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adhome2\home2\L6TW\Documents\"/>
    </mc:Choice>
  </mc:AlternateContent>
  <bookViews>
    <workbookView xWindow="0" yWindow="0" windowWidth="20490" windowHeight="7530" tabRatio="603"/>
  </bookViews>
  <sheets>
    <sheet name="Individual Performance" sheetId="1" r:id="rId1"/>
    <sheet name="Aggregate Performance" sheetId="3" r:id="rId2"/>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408" i="1" l="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B15408" i="1"/>
  <c r="B15407" i="1"/>
  <c r="B15406" i="1"/>
  <c r="B15405" i="1"/>
  <c r="B15404" i="1"/>
  <c r="B15403" i="1"/>
  <c r="B15402" i="1"/>
  <c r="B15401" i="1"/>
  <c r="B15400" i="1"/>
  <c r="B15399" i="1"/>
  <c r="B15398" i="1"/>
  <c r="B15397" i="1"/>
  <c r="B15396" i="1"/>
  <c r="B15395" i="1"/>
  <c r="B15394" i="1"/>
  <c r="B15393" i="1"/>
  <c r="B15392" i="1"/>
  <c r="B15391" i="1"/>
  <c r="B15390" i="1"/>
  <c r="B15389" i="1"/>
  <c r="B15388" i="1"/>
  <c r="B15387" i="1"/>
  <c r="B15386" i="1"/>
  <c r="B15385" i="1"/>
  <c r="B15384" i="1"/>
  <c r="B15383" i="1"/>
  <c r="B15382" i="1"/>
  <c r="B15381" i="1"/>
  <c r="B15380" i="1"/>
  <c r="B15379" i="1"/>
  <c r="B15378" i="1"/>
  <c r="B15377" i="1"/>
  <c r="B15376" i="1"/>
  <c r="B15375" i="1"/>
  <c r="B15374" i="1"/>
  <c r="B15373" i="1"/>
  <c r="B15372" i="1"/>
  <c r="B15371" i="1"/>
  <c r="B15370" i="1"/>
  <c r="B15369" i="1"/>
  <c r="B15368" i="1"/>
  <c r="B15367" i="1"/>
  <c r="B15366" i="1"/>
  <c r="B15365" i="1"/>
  <c r="B15364" i="1"/>
  <c r="B15363" i="1"/>
  <c r="B15362" i="1"/>
  <c r="B15361" i="1"/>
  <c r="B15360" i="1"/>
  <c r="B15359" i="1"/>
  <c r="B15358" i="1"/>
  <c r="B15357" i="1"/>
  <c r="B15356" i="1"/>
  <c r="B15355" i="1"/>
  <c r="B15354" i="1"/>
  <c r="B15353" i="1"/>
  <c r="B15352" i="1"/>
  <c r="B15351" i="1"/>
  <c r="B15350" i="1"/>
  <c r="B15349" i="1"/>
  <c r="B15348" i="1"/>
  <c r="B15347" i="1"/>
  <c r="B15346" i="1"/>
  <c r="B15345" i="1"/>
  <c r="B15344" i="1"/>
  <c r="B15343" i="1"/>
  <c r="B15342" i="1"/>
  <c r="B15341" i="1"/>
  <c r="B15340" i="1"/>
  <c r="B15339" i="1"/>
  <c r="B15338" i="1"/>
  <c r="B15337" i="1"/>
  <c r="B15336" i="1"/>
  <c r="B15335" i="1"/>
  <c r="B15334" i="1"/>
  <c r="B15333" i="1"/>
  <c r="B15332" i="1"/>
  <c r="B15331" i="1"/>
  <c r="B15330" i="1"/>
  <c r="B15329" i="1"/>
  <c r="B15328" i="1"/>
  <c r="B15327" i="1"/>
  <c r="B15326" i="1"/>
  <c r="B15325" i="1"/>
  <c r="B15324" i="1"/>
  <c r="B15323" i="1"/>
  <c r="B15322" i="1"/>
  <c r="B15321" i="1"/>
  <c r="B15320" i="1"/>
  <c r="B15319" i="1"/>
  <c r="B15318" i="1"/>
  <c r="B15317" i="1"/>
  <c r="B15316" i="1"/>
  <c r="B15315" i="1"/>
  <c r="B15314" i="1"/>
  <c r="B15313" i="1"/>
  <c r="B15312" i="1"/>
  <c r="B15311" i="1"/>
  <c r="B15310" i="1"/>
  <c r="B15309" i="1"/>
  <c r="B15308" i="1"/>
  <c r="B15307" i="1"/>
  <c r="B15306" i="1"/>
  <c r="B15305" i="1"/>
  <c r="B15304" i="1"/>
  <c r="B15303" i="1"/>
  <c r="B15302" i="1"/>
  <c r="B15301" i="1"/>
  <c r="B15300" i="1"/>
  <c r="B15299" i="1"/>
  <c r="B15298" i="1"/>
  <c r="B15297" i="1"/>
  <c r="B15296" i="1"/>
  <c r="B15295" i="1"/>
  <c r="B15294" i="1"/>
  <c r="B15293" i="1"/>
  <c r="B15292" i="1"/>
  <c r="B15291" i="1"/>
  <c r="B15290" i="1"/>
  <c r="B15289" i="1"/>
  <c r="B15288" i="1"/>
  <c r="B15287" i="1"/>
  <c r="B15286" i="1"/>
  <c r="B15285" i="1"/>
  <c r="B15284" i="1"/>
  <c r="B15283" i="1"/>
  <c r="B15282" i="1"/>
  <c r="B15281" i="1"/>
  <c r="B15280" i="1"/>
  <c r="B15279" i="1"/>
  <c r="B15278" i="1"/>
  <c r="B15277" i="1"/>
  <c r="B15276" i="1"/>
  <c r="B15275" i="1"/>
  <c r="B15274" i="1"/>
  <c r="B15273" i="1"/>
  <c r="B15272" i="1"/>
  <c r="B15271" i="1"/>
  <c r="B15270" i="1"/>
  <c r="B15269" i="1"/>
  <c r="B15268" i="1"/>
  <c r="B15267" i="1"/>
  <c r="B15266" i="1"/>
  <c r="B15265" i="1"/>
  <c r="B15264" i="1"/>
  <c r="B15263" i="1"/>
  <c r="B15262" i="1"/>
  <c r="B15261" i="1"/>
  <c r="B15260" i="1"/>
  <c r="B15259" i="1"/>
  <c r="B15258" i="1"/>
  <c r="B15257" i="1"/>
  <c r="B15256" i="1"/>
  <c r="B15255" i="1"/>
  <c r="B15254" i="1"/>
  <c r="B15253" i="1"/>
  <c r="B15252" i="1"/>
  <c r="B15251" i="1"/>
  <c r="B15250" i="1"/>
  <c r="B15249" i="1"/>
  <c r="B15248" i="1"/>
  <c r="B15247" i="1"/>
  <c r="B15246" i="1"/>
  <c r="B15245" i="1"/>
  <c r="B15244" i="1"/>
  <c r="B15243" i="1"/>
  <c r="B15242" i="1"/>
  <c r="B15241" i="1"/>
  <c r="B15240" i="1"/>
  <c r="B15239" i="1"/>
  <c r="B15238" i="1"/>
  <c r="B15237" i="1"/>
  <c r="B15236" i="1"/>
  <c r="B15235" i="1"/>
  <c r="B15234" i="1"/>
  <c r="B15233" i="1"/>
  <c r="B15232" i="1"/>
  <c r="B15231" i="1"/>
  <c r="B15230" i="1"/>
  <c r="B15229" i="1"/>
  <c r="B15228" i="1"/>
  <c r="B15227" i="1"/>
  <c r="B15226" i="1"/>
  <c r="B15225" i="1"/>
  <c r="B15224" i="1"/>
  <c r="B15223" i="1"/>
  <c r="B15222" i="1"/>
  <c r="B15221" i="1"/>
  <c r="B15220" i="1"/>
  <c r="B15219" i="1"/>
  <c r="B15218" i="1"/>
  <c r="B15217" i="1"/>
  <c r="B15216" i="1"/>
  <c r="B15215" i="1"/>
  <c r="B15214" i="1"/>
  <c r="B15213" i="1"/>
  <c r="B15212" i="1"/>
  <c r="B15211" i="1"/>
  <c r="B15210" i="1"/>
  <c r="B15209" i="1"/>
  <c r="B15208" i="1"/>
  <c r="B15207" i="1"/>
  <c r="B15206" i="1"/>
  <c r="B15205" i="1"/>
  <c r="B15204" i="1"/>
  <c r="B15203" i="1"/>
  <c r="B15202" i="1"/>
  <c r="B15201" i="1"/>
  <c r="B15200" i="1"/>
  <c r="B15199" i="1"/>
  <c r="B15198" i="1"/>
  <c r="B15197" i="1"/>
  <c r="B15196" i="1"/>
  <c r="B15195" i="1"/>
  <c r="B15194" i="1"/>
  <c r="B15193" i="1"/>
  <c r="B15192" i="1"/>
  <c r="B15191" i="1"/>
  <c r="B15190" i="1"/>
  <c r="B15189" i="1"/>
  <c r="B15188" i="1"/>
  <c r="B15187" i="1"/>
  <c r="B15186" i="1"/>
  <c r="B15185" i="1"/>
  <c r="B15184" i="1"/>
  <c r="B15183" i="1"/>
  <c r="B15182" i="1"/>
  <c r="B15181" i="1"/>
  <c r="B15180" i="1"/>
  <c r="B15179" i="1"/>
  <c r="B15178" i="1"/>
  <c r="B15177" i="1"/>
  <c r="B15176" i="1"/>
  <c r="B15175" i="1"/>
  <c r="B15174" i="1"/>
  <c r="B15173" i="1"/>
  <c r="B15172" i="1"/>
  <c r="B15171" i="1"/>
  <c r="B15170" i="1"/>
  <c r="B15169" i="1"/>
  <c r="B15168" i="1"/>
  <c r="B15167" i="1"/>
  <c r="B15166" i="1"/>
  <c r="B15165" i="1"/>
  <c r="B15164" i="1"/>
  <c r="B15163" i="1"/>
  <c r="B15162" i="1"/>
  <c r="B15161" i="1"/>
  <c r="B15160" i="1"/>
  <c r="B15159" i="1"/>
  <c r="B15158" i="1"/>
  <c r="B15157" i="1"/>
  <c r="B15156" i="1"/>
  <c r="B15155" i="1"/>
  <c r="B15154" i="1"/>
  <c r="B15153" i="1"/>
  <c r="B15152" i="1"/>
  <c r="B15151" i="1"/>
  <c r="B15150" i="1"/>
  <c r="B15149" i="1"/>
  <c r="B15148" i="1"/>
  <c r="B15147" i="1"/>
  <c r="B15146" i="1"/>
  <c r="B15145" i="1"/>
  <c r="B15144" i="1"/>
  <c r="B15143" i="1"/>
  <c r="B15142" i="1"/>
  <c r="B15141" i="1"/>
  <c r="B15140" i="1"/>
  <c r="B15139" i="1"/>
  <c r="B15138" i="1"/>
  <c r="B15137" i="1"/>
  <c r="B15136" i="1"/>
  <c r="B15135" i="1"/>
  <c r="B15134" i="1"/>
  <c r="B15133" i="1"/>
  <c r="B15132" i="1"/>
  <c r="B15131" i="1"/>
  <c r="B15130" i="1"/>
  <c r="B15129" i="1"/>
  <c r="B15128" i="1"/>
  <c r="B15127" i="1"/>
  <c r="B15126" i="1"/>
  <c r="B15125" i="1"/>
  <c r="B15124" i="1"/>
  <c r="B15123" i="1"/>
  <c r="B15122" i="1"/>
  <c r="B15121" i="1"/>
  <c r="B15120" i="1"/>
  <c r="B15119" i="1"/>
  <c r="B15118" i="1"/>
  <c r="B15117" i="1"/>
  <c r="B15116" i="1"/>
  <c r="B15115" i="1"/>
  <c r="B15114" i="1"/>
  <c r="B15113" i="1"/>
  <c r="B15112" i="1"/>
  <c r="B15111" i="1"/>
  <c r="B15110" i="1"/>
  <c r="B15109" i="1"/>
  <c r="B15108" i="1"/>
  <c r="B15107" i="1"/>
  <c r="B15106" i="1"/>
  <c r="B15105" i="1"/>
  <c r="B15104" i="1"/>
  <c r="B15103" i="1"/>
  <c r="B15102" i="1"/>
  <c r="B15101" i="1"/>
  <c r="B15100" i="1"/>
  <c r="B15099" i="1"/>
  <c r="B15098" i="1"/>
  <c r="B15097" i="1"/>
  <c r="B15096" i="1"/>
  <c r="B15095" i="1"/>
  <c r="B15094" i="1"/>
  <c r="B15093" i="1"/>
  <c r="B15092" i="1"/>
  <c r="B15091" i="1"/>
  <c r="B15090" i="1"/>
  <c r="B15089" i="1"/>
  <c r="B15088" i="1"/>
  <c r="B15087" i="1"/>
  <c r="B15086" i="1"/>
  <c r="B15085" i="1"/>
  <c r="B15084" i="1"/>
  <c r="B15083" i="1"/>
  <c r="B15082" i="1"/>
  <c r="B15081" i="1"/>
  <c r="B15080" i="1"/>
  <c r="B15079" i="1"/>
  <c r="B15078" i="1"/>
  <c r="B15077" i="1"/>
  <c r="B15076" i="1"/>
  <c r="B15075" i="1"/>
  <c r="B15074" i="1"/>
  <c r="B15073" i="1"/>
  <c r="B15072" i="1"/>
  <c r="B15071" i="1"/>
  <c r="B15070" i="1"/>
  <c r="B15069" i="1"/>
  <c r="B15068" i="1"/>
  <c r="B15067" i="1"/>
  <c r="B15066" i="1"/>
  <c r="B15065" i="1"/>
  <c r="B15064" i="1"/>
  <c r="B15063" i="1"/>
  <c r="B15062" i="1"/>
  <c r="B15061" i="1"/>
  <c r="B15060" i="1"/>
  <c r="B15059" i="1"/>
  <c r="B15058" i="1"/>
  <c r="B15057" i="1"/>
  <c r="B15056" i="1"/>
  <c r="B15055" i="1"/>
  <c r="B15054" i="1"/>
  <c r="B15053" i="1"/>
  <c r="B15052" i="1"/>
  <c r="B15051" i="1"/>
  <c r="B15050" i="1"/>
  <c r="B15049" i="1"/>
  <c r="B15048" i="1"/>
  <c r="B15047" i="1"/>
  <c r="B15046" i="1"/>
  <c r="B15045" i="1"/>
  <c r="B15044" i="1"/>
  <c r="B15043" i="1"/>
  <c r="B15042" i="1"/>
  <c r="B15041" i="1"/>
  <c r="B15040" i="1"/>
  <c r="B15039" i="1"/>
  <c r="B15038" i="1"/>
  <c r="B15037" i="1"/>
  <c r="B15036" i="1"/>
  <c r="B15035" i="1"/>
  <c r="B15034" i="1"/>
  <c r="B15033" i="1"/>
  <c r="B15032" i="1"/>
  <c r="B15031" i="1"/>
  <c r="B15030" i="1"/>
  <c r="B15029" i="1"/>
  <c r="B15028" i="1"/>
  <c r="B15027" i="1"/>
  <c r="B15026" i="1"/>
  <c r="B15025" i="1"/>
  <c r="B15024" i="1"/>
  <c r="B15023" i="1"/>
  <c r="B15022" i="1"/>
  <c r="B15021" i="1"/>
  <c r="B15020" i="1"/>
  <c r="B15019" i="1"/>
  <c r="B15018" i="1"/>
  <c r="B15017" i="1"/>
  <c r="B15016" i="1"/>
  <c r="B15015" i="1"/>
  <c r="B15014" i="1"/>
  <c r="B15013" i="1"/>
  <c r="B15012" i="1"/>
  <c r="B15011" i="1"/>
  <c r="B15010" i="1"/>
  <c r="B15009" i="1"/>
  <c r="B15008" i="1"/>
  <c r="B15007" i="1"/>
  <c r="B15006" i="1"/>
  <c r="B15005" i="1"/>
  <c r="B15004" i="1"/>
  <c r="B15003" i="1"/>
  <c r="B15002" i="1"/>
  <c r="B15001" i="1"/>
  <c r="B15000" i="1"/>
  <c r="B14999" i="1"/>
  <c r="B14998" i="1"/>
  <c r="B14997" i="1"/>
  <c r="B14996" i="1"/>
  <c r="B14995" i="1"/>
  <c r="B14994" i="1"/>
  <c r="B14993" i="1"/>
  <c r="B14992" i="1"/>
  <c r="B14991" i="1"/>
  <c r="B14990" i="1"/>
  <c r="B14989" i="1"/>
  <c r="B14988" i="1"/>
  <c r="B14987" i="1"/>
  <c r="B14986" i="1"/>
  <c r="B14985" i="1"/>
  <c r="B14984" i="1"/>
  <c r="B14983" i="1"/>
  <c r="B14982" i="1"/>
  <c r="B14981" i="1"/>
  <c r="B14980" i="1"/>
  <c r="B14979" i="1"/>
  <c r="B14978" i="1"/>
  <c r="B14977" i="1"/>
  <c r="B14976" i="1"/>
  <c r="B14975" i="1"/>
  <c r="B14974" i="1"/>
  <c r="B14973" i="1"/>
  <c r="B14972" i="1"/>
  <c r="B14971" i="1"/>
  <c r="B14970" i="1"/>
  <c r="B14969" i="1"/>
  <c r="B14968" i="1"/>
  <c r="B14967" i="1"/>
  <c r="B14966" i="1"/>
  <c r="B14965" i="1"/>
  <c r="B14964" i="1"/>
  <c r="B14963" i="1"/>
  <c r="B14962" i="1"/>
  <c r="B14961" i="1"/>
  <c r="B14960" i="1"/>
  <c r="B14959" i="1"/>
  <c r="B14958" i="1"/>
  <c r="B14957" i="1"/>
  <c r="B14956" i="1"/>
  <c r="B14955" i="1"/>
  <c r="B14954" i="1"/>
  <c r="B14953" i="1"/>
  <c r="B14952" i="1"/>
  <c r="B14951" i="1"/>
  <c r="B14950" i="1"/>
  <c r="B14949" i="1"/>
  <c r="B14948" i="1"/>
  <c r="B14947" i="1"/>
  <c r="B14946" i="1"/>
  <c r="B14945" i="1"/>
  <c r="B14944" i="1"/>
  <c r="B14943" i="1"/>
  <c r="B14942" i="1"/>
  <c r="B14941" i="1"/>
  <c r="B14940" i="1"/>
  <c r="B14939" i="1"/>
  <c r="B14938" i="1"/>
  <c r="B14937" i="1"/>
  <c r="B14936" i="1"/>
  <c r="B14935" i="1"/>
  <c r="B14934" i="1"/>
  <c r="B14933" i="1"/>
  <c r="B14932" i="1"/>
  <c r="B14931" i="1"/>
  <c r="B14930" i="1"/>
  <c r="B14929" i="1"/>
  <c r="B14928" i="1"/>
  <c r="B14927" i="1"/>
  <c r="B14926" i="1"/>
  <c r="B14925" i="1"/>
  <c r="B14924" i="1"/>
  <c r="B14923" i="1"/>
  <c r="B14922" i="1"/>
  <c r="B14921" i="1"/>
  <c r="B14920" i="1"/>
  <c r="B14919" i="1"/>
  <c r="B14918" i="1"/>
  <c r="B14917" i="1"/>
  <c r="B14916" i="1"/>
  <c r="B14915" i="1"/>
  <c r="B14914" i="1"/>
  <c r="B14913" i="1"/>
  <c r="B14912" i="1"/>
  <c r="B14911" i="1"/>
  <c r="B14910" i="1"/>
  <c r="B14909" i="1"/>
  <c r="B14908" i="1"/>
  <c r="B14907" i="1"/>
  <c r="B14906" i="1"/>
  <c r="B14905" i="1"/>
  <c r="B14904" i="1"/>
  <c r="B14903" i="1"/>
  <c r="B14902" i="1"/>
  <c r="B14901" i="1"/>
  <c r="B14900" i="1"/>
  <c r="B14899" i="1"/>
  <c r="B14898" i="1"/>
  <c r="B14897" i="1"/>
  <c r="B14896" i="1"/>
  <c r="B14895" i="1"/>
  <c r="B14894" i="1"/>
  <c r="B14893" i="1"/>
  <c r="B14892" i="1"/>
  <c r="B14891" i="1"/>
  <c r="B14890" i="1"/>
  <c r="B14889" i="1"/>
  <c r="B14888" i="1"/>
  <c r="B14887" i="1"/>
  <c r="B14886" i="1"/>
  <c r="B14885" i="1"/>
  <c r="B14884" i="1"/>
  <c r="B14883" i="1"/>
  <c r="B14882" i="1"/>
  <c r="B14881" i="1"/>
  <c r="B14880" i="1"/>
  <c r="B14879" i="1"/>
  <c r="B14878" i="1"/>
  <c r="B14877" i="1"/>
  <c r="B14876" i="1"/>
  <c r="B14875" i="1"/>
  <c r="B14874" i="1"/>
  <c r="B14873" i="1"/>
  <c r="B14872" i="1"/>
  <c r="B14871" i="1"/>
  <c r="B14870" i="1"/>
  <c r="B14869" i="1"/>
  <c r="B14868" i="1"/>
  <c r="B14867" i="1"/>
  <c r="B14866" i="1"/>
  <c r="B14865" i="1"/>
  <c r="B14864" i="1"/>
  <c r="B14863" i="1"/>
  <c r="B14862" i="1"/>
  <c r="B14861" i="1"/>
  <c r="B14860" i="1"/>
  <c r="B14859" i="1"/>
  <c r="B14858" i="1"/>
  <c r="B14857" i="1"/>
  <c r="B14856" i="1"/>
  <c r="B14855" i="1"/>
  <c r="B14854" i="1"/>
  <c r="B14853" i="1"/>
  <c r="B14852" i="1"/>
  <c r="B14851" i="1"/>
  <c r="B14850" i="1"/>
  <c r="B14849" i="1"/>
  <c r="B14848" i="1"/>
  <c r="B14847" i="1"/>
  <c r="B14846" i="1"/>
  <c r="B14845" i="1"/>
  <c r="B14844" i="1"/>
  <c r="B14843" i="1"/>
  <c r="B14842" i="1"/>
  <c r="B14841" i="1"/>
  <c r="B14840" i="1"/>
  <c r="B14839" i="1"/>
  <c r="B14838" i="1"/>
  <c r="B14837" i="1"/>
  <c r="B14836" i="1"/>
  <c r="B14835" i="1"/>
  <c r="B14834" i="1"/>
  <c r="B14833" i="1"/>
  <c r="B14832" i="1"/>
  <c r="B14831" i="1"/>
  <c r="B14830" i="1"/>
  <c r="B14829" i="1"/>
  <c r="B14828" i="1"/>
  <c r="B14827" i="1"/>
  <c r="B14826" i="1"/>
  <c r="B14825" i="1"/>
  <c r="B14824" i="1"/>
  <c r="B14823" i="1"/>
  <c r="B14822" i="1"/>
  <c r="B14821" i="1"/>
  <c r="B14820" i="1"/>
  <c r="B14819" i="1"/>
  <c r="B14818" i="1"/>
  <c r="B14817" i="1"/>
  <c r="B14816" i="1"/>
  <c r="B14815" i="1"/>
  <c r="B14814" i="1"/>
  <c r="B14813" i="1"/>
  <c r="B14812" i="1"/>
  <c r="B14811" i="1"/>
  <c r="B14810" i="1"/>
  <c r="B14809" i="1"/>
  <c r="B14808" i="1"/>
  <c r="B14807" i="1"/>
  <c r="B14806" i="1"/>
  <c r="B14805" i="1"/>
  <c r="B14804" i="1"/>
  <c r="B14803" i="1"/>
  <c r="B14802" i="1"/>
  <c r="B14801" i="1"/>
  <c r="B14800" i="1"/>
  <c r="B14799" i="1"/>
  <c r="B14798" i="1"/>
  <c r="B14797" i="1"/>
  <c r="B14796" i="1"/>
  <c r="B14795" i="1"/>
  <c r="B14794" i="1"/>
  <c r="B14793" i="1"/>
  <c r="B14792" i="1"/>
  <c r="B14791" i="1"/>
  <c r="B14790" i="1"/>
  <c r="B14789" i="1"/>
  <c r="B14788" i="1"/>
  <c r="B14787" i="1"/>
  <c r="B14786" i="1"/>
  <c r="B14785" i="1"/>
  <c r="B14784" i="1"/>
  <c r="B14783" i="1"/>
  <c r="B14782" i="1"/>
  <c r="B14781" i="1"/>
  <c r="B14780" i="1"/>
  <c r="B14779" i="1"/>
  <c r="B14778" i="1"/>
  <c r="B14777" i="1"/>
  <c r="B14776" i="1"/>
  <c r="B14775" i="1"/>
  <c r="B14774" i="1"/>
  <c r="B14773" i="1"/>
  <c r="B14772" i="1"/>
  <c r="B14771" i="1"/>
  <c r="B14770" i="1"/>
  <c r="B14769" i="1"/>
  <c r="B14768" i="1"/>
  <c r="B14767" i="1"/>
  <c r="B14766" i="1"/>
  <c r="B14765" i="1"/>
  <c r="B14764" i="1"/>
  <c r="B14763" i="1"/>
  <c r="B14762" i="1"/>
  <c r="B14761" i="1"/>
  <c r="B14760" i="1"/>
  <c r="B14759" i="1"/>
  <c r="B14758" i="1"/>
  <c r="B14757" i="1"/>
  <c r="B14756" i="1"/>
  <c r="B14755" i="1"/>
  <c r="B14754" i="1"/>
  <c r="B14753" i="1"/>
  <c r="B14752" i="1"/>
  <c r="B14751" i="1"/>
  <c r="B14750" i="1"/>
  <c r="B14749" i="1"/>
  <c r="B14748" i="1"/>
  <c r="B14747" i="1"/>
  <c r="B14746" i="1"/>
  <c r="B14745" i="1"/>
  <c r="B14744" i="1"/>
  <c r="B14743" i="1"/>
  <c r="B14742" i="1"/>
  <c r="B14741" i="1"/>
  <c r="B14740" i="1"/>
  <c r="B14739" i="1"/>
  <c r="B14738" i="1"/>
  <c r="B14737" i="1"/>
  <c r="B14736" i="1"/>
  <c r="B14735" i="1"/>
  <c r="B14734" i="1"/>
  <c r="B14733" i="1"/>
  <c r="B14732" i="1"/>
  <c r="B14731" i="1"/>
  <c r="B14730" i="1"/>
  <c r="B14729" i="1"/>
  <c r="B14728" i="1"/>
  <c r="B14727" i="1"/>
  <c r="B14726" i="1"/>
  <c r="B14725" i="1"/>
  <c r="B14724" i="1"/>
  <c r="B14723" i="1"/>
  <c r="B14722" i="1"/>
  <c r="B14721" i="1"/>
  <c r="B14720" i="1"/>
  <c r="B14719" i="1"/>
  <c r="B14718" i="1"/>
  <c r="B14717" i="1"/>
  <c r="B14716" i="1"/>
  <c r="B14715" i="1"/>
  <c r="B14714" i="1"/>
  <c r="B14713" i="1"/>
  <c r="B14712" i="1"/>
  <c r="B14711" i="1"/>
  <c r="B14710" i="1"/>
  <c r="B14709" i="1"/>
  <c r="B14708" i="1"/>
  <c r="B14707" i="1"/>
  <c r="B14706" i="1"/>
  <c r="B14705" i="1"/>
  <c r="B14704" i="1"/>
  <c r="B14703" i="1"/>
  <c r="B14702" i="1"/>
  <c r="B14701" i="1"/>
  <c r="B14700" i="1"/>
  <c r="B14699" i="1"/>
  <c r="B14698" i="1"/>
  <c r="B14697" i="1"/>
  <c r="B14696" i="1"/>
  <c r="B14695" i="1"/>
  <c r="B14694" i="1"/>
  <c r="B14693" i="1"/>
  <c r="B14692" i="1"/>
  <c r="B14691" i="1"/>
  <c r="B14690" i="1"/>
  <c r="B14689" i="1"/>
  <c r="B14688" i="1"/>
  <c r="B14687" i="1"/>
  <c r="B14686" i="1"/>
  <c r="B14685" i="1"/>
  <c r="B14684" i="1"/>
  <c r="B14683" i="1"/>
  <c r="B14682" i="1"/>
  <c r="B14681" i="1"/>
  <c r="B14680" i="1"/>
  <c r="B14679" i="1"/>
  <c r="B14678" i="1"/>
  <c r="B14677" i="1"/>
  <c r="B14676" i="1"/>
  <c r="B14675" i="1"/>
  <c r="B14674" i="1"/>
  <c r="B14673" i="1"/>
  <c r="B14672" i="1"/>
  <c r="B14671" i="1"/>
  <c r="B14670" i="1"/>
  <c r="B14669" i="1"/>
  <c r="B14668" i="1"/>
  <c r="B14667" i="1"/>
  <c r="B14666" i="1"/>
  <c r="B14665" i="1"/>
  <c r="B14664" i="1"/>
  <c r="B14663" i="1"/>
  <c r="B14662" i="1"/>
  <c r="B14661" i="1"/>
  <c r="B14660" i="1"/>
  <c r="B14659" i="1"/>
  <c r="B14658" i="1"/>
  <c r="B14657" i="1"/>
  <c r="B14656" i="1"/>
  <c r="B14655" i="1"/>
  <c r="B14654" i="1"/>
  <c r="B14653" i="1"/>
  <c r="B14652" i="1"/>
  <c r="B14651" i="1"/>
  <c r="B14650" i="1"/>
  <c r="B14649" i="1"/>
  <c r="B14648" i="1"/>
  <c r="B14647" i="1"/>
  <c r="B14646" i="1"/>
  <c r="B14645" i="1"/>
  <c r="B14644" i="1"/>
  <c r="B14643" i="1"/>
  <c r="B14642" i="1"/>
  <c r="B14641" i="1"/>
  <c r="B14640" i="1"/>
  <c r="B14639" i="1"/>
  <c r="B14638" i="1"/>
  <c r="B14637" i="1"/>
  <c r="B14636" i="1"/>
  <c r="B14635" i="1"/>
  <c r="B14634" i="1"/>
  <c r="B14633" i="1"/>
  <c r="B14632" i="1"/>
  <c r="B14631" i="1"/>
  <c r="B14630" i="1"/>
  <c r="B14629" i="1"/>
  <c r="B14628" i="1"/>
  <c r="B14627" i="1"/>
  <c r="B14626" i="1"/>
  <c r="B14625" i="1"/>
  <c r="B14624" i="1"/>
  <c r="B14623" i="1"/>
  <c r="B14622" i="1"/>
  <c r="B14621" i="1"/>
  <c r="B14620" i="1"/>
  <c r="B14619" i="1"/>
  <c r="B14618" i="1"/>
  <c r="B14617" i="1"/>
  <c r="B14616" i="1"/>
  <c r="B14615" i="1"/>
  <c r="B14614" i="1"/>
  <c r="B14613" i="1"/>
  <c r="B14612" i="1"/>
  <c r="B14611" i="1"/>
  <c r="B14610" i="1"/>
  <c r="B14609" i="1"/>
  <c r="B14608" i="1"/>
  <c r="B14607" i="1"/>
  <c r="B14606" i="1"/>
  <c r="B14605" i="1"/>
  <c r="B14604" i="1"/>
  <c r="B14603" i="1"/>
  <c r="B14602" i="1"/>
  <c r="B14601" i="1"/>
  <c r="B14600" i="1"/>
  <c r="B14599" i="1"/>
  <c r="B14598" i="1"/>
  <c r="B14597" i="1"/>
  <c r="B14596" i="1"/>
  <c r="B14595" i="1"/>
  <c r="B14594" i="1"/>
  <c r="B14593" i="1"/>
  <c r="B14592" i="1"/>
  <c r="B14591" i="1"/>
  <c r="B14590" i="1"/>
  <c r="B14589" i="1"/>
  <c r="B14588" i="1"/>
  <c r="B14587" i="1"/>
  <c r="B14586" i="1"/>
  <c r="B14585" i="1"/>
  <c r="B14584" i="1"/>
  <c r="B14583" i="1"/>
  <c r="B14582" i="1"/>
  <c r="B14581" i="1"/>
  <c r="B14580" i="1"/>
  <c r="B14579" i="1"/>
  <c r="B14578" i="1"/>
  <c r="B14577" i="1"/>
  <c r="B14576" i="1"/>
  <c r="B14575" i="1"/>
  <c r="B14574" i="1"/>
  <c r="B14573" i="1"/>
  <c r="B14572" i="1"/>
  <c r="B14571" i="1"/>
  <c r="B14570" i="1"/>
  <c r="B14569" i="1"/>
  <c r="B14568" i="1"/>
  <c r="B14567" i="1"/>
  <c r="B14566" i="1"/>
  <c r="B14565" i="1"/>
  <c r="B14564" i="1"/>
  <c r="B14563" i="1"/>
  <c r="B14562" i="1"/>
  <c r="B14561" i="1"/>
  <c r="B14560" i="1"/>
  <c r="B14559" i="1"/>
  <c r="B14558" i="1"/>
  <c r="B14557" i="1"/>
  <c r="B14556" i="1"/>
  <c r="B14555" i="1"/>
  <c r="B14554" i="1"/>
  <c r="B14553" i="1"/>
  <c r="B14552" i="1"/>
  <c r="B14551" i="1"/>
  <c r="B14550" i="1"/>
  <c r="B14549" i="1"/>
  <c r="B14548" i="1"/>
  <c r="B14547" i="1"/>
  <c r="B14546" i="1"/>
  <c r="B14545" i="1"/>
  <c r="B14544" i="1"/>
  <c r="B14543" i="1"/>
  <c r="B14542" i="1"/>
  <c r="B14541" i="1"/>
  <c r="B14540" i="1"/>
  <c r="B14539" i="1"/>
  <c r="B14538" i="1"/>
  <c r="B14537" i="1"/>
  <c r="B14536" i="1"/>
  <c r="B14535" i="1"/>
  <c r="B14534" i="1"/>
  <c r="B14533" i="1"/>
  <c r="B14532" i="1"/>
  <c r="B14531" i="1"/>
  <c r="B14530" i="1"/>
  <c r="B14529" i="1"/>
  <c r="B14528" i="1"/>
  <c r="B14527" i="1"/>
  <c r="B14526" i="1"/>
  <c r="B14525" i="1"/>
  <c r="B14524" i="1"/>
  <c r="B14523" i="1"/>
  <c r="B14522" i="1"/>
  <c r="B14521" i="1"/>
  <c r="B14520" i="1"/>
  <c r="B14519" i="1"/>
  <c r="B14518" i="1"/>
  <c r="B14517" i="1"/>
  <c r="B14516" i="1"/>
  <c r="B14515" i="1"/>
  <c r="B14514" i="1"/>
  <c r="B14513" i="1"/>
  <c r="B14512" i="1"/>
  <c r="B14511" i="1"/>
  <c r="B14510" i="1"/>
  <c r="B14509" i="1"/>
  <c r="B14508" i="1"/>
  <c r="B14507" i="1"/>
  <c r="B14506" i="1"/>
  <c r="B14505" i="1"/>
  <c r="B14504" i="1"/>
  <c r="B14503" i="1"/>
  <c r="B14502" i="1"/>
  <c r="B14501" i="1"/>
  <c r="B14500" i="1"/>
  <c r="B14499" i="1"/>
  <c r="B14498" i="1"/>
  <c r="B14497" i="1"/>
  <c r="B14496" i="1"/>
  <c r="B14495" i="1"/>
  <c r="B14494" i="1"/>
  <c r="B14493" i="1"/>
  <c r="B14492" i="1"/>
  <c r="B14491" i="1"/>
  <c r="B14490" i="1"/>
  <c r="B14489" i="1"/>
  <c r="B14488" i="1"/>
  <c r="B14487" i="1"/>
  <c r="B14486" i="1"/>
  <c r="B14485" i="1"/>
  <c r="B14484" i="1"/>
  <c r="B14483" i="1"/>
  <c r="B14482" i="1"/>
  <c r="B14481" i="1"/>
  <c r="B14480" i="1"/>
  <c r="B14478" i="1"/>
  <c r="B14477" i="1"/>
  <c r="B14476" i="1"/>
  <c r="B14475" i="1"/>
  <c r="B14474" i="1"/>
  <c r="B14473" i="1"/>
  <c r="B14472" i="1"/>
  <c r="B14471" i="1"/>
  <c r="B14470" i="1"/>
  <c r="B14469" i="1"/>
  <c r="B14468" i="1"/>
  <c r="B14467" i="1"/>
  <c r="B14466" i="1"/>
  <c r="B14465" i="1"/>
  <c r="B14464" i="1"/>
  <c r="B14463" i="1"/>
  <c r="B14462" i="1"/>
  <c r="B14461" i="1"/>
  <c r="B14460" i="1"/>
  <c r="B14459" i="1"/>
  <c r="B14458" i="1"/>
  <c r="B14457" i="1"/>
  <c r="B14456" i="1"/>
  <c r="B14455" i="1"/>
  <c r="B14454" i="1"/>
  <c r="B14453" i="1"/>
  <c r="B14452" i="1"/>
  <c r="B14451" i="1"/>
  <c r="B14450" i="1"/>
  <c r="B14449" i="1"/>
  <c r="B14448" i="1"/>
  <c r="B14447" i="1"/>
  <c r="B14446" i="1"/>
  <c r="B14445" i="1"/>
  <c r="B14444" i="1"/>
  <c r="B14443" i="1"/>
  <c r="B14442" i="1"/>
  <c r="B14441" i="1"/>
  <c r="B14440" i="1"/>
  <c r="B14439" i="1"/>
  <c r="B14438" i="1"/>
  <c r="B14437" i="1"/>
  <c r="B14436" i="1"/>
  <c r="B14435" i="1"/>
  <c r="B14434" i="1"/>
  <c r="B14433" i="1"/>
  <c r="B14432" i="1"/>
  <c r="B14431" i="1"/>
  <c r="B14430" i="1"/>
  <c r="B14429" i="1"/>
  <c r="B14428" i="1"/>
  <c r="B14427" i="1"/>
  <c r="B14426" i="1"/>
  <c r="B14425" i="1"/>
  <c r="B14424" i="1"/>
  <c r="B14423" i="1"/>
  <c r="B14422" i="1"/>
  <c r="B14421" i="1"/>
  <c r="B14420" i="1"/>
  <c r="B14419" i="1"/>
  <c r="B14418" i="1"/>
  <c r="B14417" i="1"/>
  <c r="B14416" i="1"/>
  <c r="B14415" i="1"/>
  <c r="B14414" i="1"/>
  <c r="B14413" i="1"/>
  <c r="B14412" i="1"/>
  <c r="B14411" i="1"/>
  <c r="B14410" i="1"/>
  <c r="B14409" i="1"/>
  <c r="B14408" i="1"/>
  <c r="B14407" i="1"/>
  <c r="B14406" i="1"/>
  <c r="B14405" i="1"/>
  <c r="B14404" i="1"/>
  <c r="B14403" i="1"/>
  <c r="B14402" i="1"/>
  <c r="B14401" i="1"/>
  <c r="B14400" i="1"/>
  <c r="B14399" i="1"/>
  <c r="B14398" i="1"/>
  <c r="B14397" i="1"/>
  <c r="B14396" i="1"/>
  <c r="B14395" i="1"/>
  <c r="B14394" i="1"/>
  <c r="B14393" i="1"/>
  <c r="B14392" i="1"/>
  <c r="B14391" i="1"/>
  <c r="B14390" i="1"/>
  <c r="B14389" i="1"/>
  <c r="B14388" i="1"/>
  <c r="B14387" i="1"/>
  <c r="B14386" i="1"/>
  <c r="B14385" i="1"/>
  <c r="B14384" i="1"/>
  <c r="B14383" i="1"/>
  <c r="B14382" i="1"/>
  <c r="B14381" i="1"/>
  <c r="B14380" i="1"/>
  <c r="B14379" i="1"/>
  <c r="B14378" i="1"/>
  <c r="B14377" i="1"/>
  <c r="B14376" i="1"/>
  <c r="B14375" i="1"/>
  <c r="B14374" i="1"/>
  <c r="B14373" i="1"/>
  <c r="B14372" i="1"/>
  <c r="B14371" i="1"/>
  <c r="B14370" i="1"/>
  <c r="B14369" i="1"/>
  <c r="B14368" i="1"/>
  <c r="B14367" i="1"/>
  <c r="B14366" i="1"/>
  <c r="B14365" i="1"/>
  <c r="B14364" i="1"/>
  <c r="B14363" i="1"/>
  <c r="B14362" i="1"/>
  <c r="B14361" i="1"/>
  <c r="B14360" i="1"/>
  <c r="B14359" i="1"/>
  <c r="B14358" i="1"/>
  <c r="B14357" i="1"/>
  <c r="B14356" i="1"/>
  <c r="B14355" i="1"/>
  <c r="B14354" i="1"/>
  <c r="B14353" i="1"/>
  <c r="B14352" i="1"/>
  <c r="B14351" i="1"/>
  <c r="B14350" i="1"/>
  <c r="B14349" i="1"/>
  <c r="B14348" i="1"/>
  <c r="B14347" i="1"/>
  <c r="B14346" i="1"/>
  <c r="B14345" i="1"/>
  <c r="B14344" i="1"/>
  <c r="B14343" i="1"/>
  <c r="B14342" i="1"/>
  <c r="B14341" i="1"/>
  <c r="B14340" i="1"/>
  <c r="B14339" i="1"/>
  <c r="B14338" i="1"/>
  <c r="B14337" i="1"/>
  <c r="B14336" i="1"/>
  <c r="B14335" i="1"/>
  <c r="B14334" i="1"/>
  <c r="B14333" i="1"/>
  <c r="B14332" i="1"/>
  <c r="B14331" i="1"/>
  <c r="B14330" i="1"/>
  <c r="B14329" i="1"/>
  <c r="B14328" i="1"/>
  <c r="B14327" i="1"/>
  <c r="B14326" i="1"/>
  <c r="B14325" i="1"/>
  <c r="B14324" i="1"/>
  <c r="B14323" i="1"/>
  <c r="B14322" i="1"/>
  <c r="B14321" i="1"/>
  <c r="B14320" i="1"/>
  <c r="B14319" i="1"/>
  <c r="B14318" i="1"/>
  <c r="B14317" i="1"/>
  <c r="B14316" i="1"/>
  <c r="B14315" i="1"/>
  <c r="B14314" i="1"/>
  <c r="B14313" i="1"/>
  <c r="B14312" i="1"/>
  <c r="B14311" i="1"/>
  <c r="B14310" i="1"/>
  <c r="B14309" i="1"/>
  <c r="B14308" i="1"/>
  <c r="B14307" i="1"/>
  <c r="B14306" i="1"/>
  <c r="B14305" i="1"/>
  <c r="B14304" i="1"/>
  <c r="B14303" i="1"/>
  <c r="B14302" i="1"/>
  <c r="B14301" i="1"/>
  <c r="B14300" i="1"/>
  <c r="B14299" i="1"/>
  <c r="B14298" i="1"/>
  <c r="B14297" i="1"/>
  <c r="B14296" i="1"/>
  <c r="B14295" i="1"/>
  <c r="B14294" i="1"/>
  <c r="B14293" i="1"/>
  <c r="B14292" i="1"/>
  <c r="B14291" i="1"/>
  <c r="B14290" i="1"/>
  <c r="B14289" i="1"/>
  <c r="B14288" i="1"/>
  <c r="B14287" i="1"/>
  <c r="B14286" i="1"/>
  <c r="B14285" i="1"/>
  <c r="B14284" i="1"/>
  <c r="B14283" i="1"/>
  <c r="B14282" i="1"/>
  <c r="B14281" i="1"/>
  <c r="B14280" i="1"/>
  <c r="B14279" i="1"/>
  <c r="B14278" i="1"/>
  <c r="B14277" i="1"/>
  <c r="B14276" i="1"/>
  <c r="B14275" i="1"/>
  <c r="B14274" i="1"/>
  <c r="B14273" i="1"/>
  <c r="B14272" i="1"/>
  <c r="B14271" i="1"/>
  <c r="B14270" i="1"/>
  <c r="B14269" i="1"/>
  <c r="B14268" i="1"/>
  <c r="B14267" i="1"/>
  <c r="B14266" i="1"/>
  <c r="B14265" i="1"/>
  <c r="B14264" i="1"/>
  <c r="B14263" i="1"/>
  <c r="B14262" i="1"/>
  <c r="B14261" i="1"/>
  <c r="B14260" i="1"/>
  <c r="B14259" i="1"/>
  <c r="B14258" i="1"/>
  <c r="B14257" i="1"/>
  <c r="B14256" i="1"/>
  <c r="B14255" i="1"/>
  <c r="B14254" i="1"/>
  <c r="B14253" i="1"/>
  <c r="B14252" i="1"/>
  <c r="B14251" i="1"/>
  <c r="B14250" i="1"/>
  <c r="B14249" i="1"/>
  <c r="B14248" i="1"/>
  <c r="B14247" i="1"/>
  <c r="B14246" i="1"/>
  <c r="B14245" i="1"/>
  <c r="B14244" i="1"/>
  <c r="B14243" i="1"/>
  <c r="B14242" i="1"/>
  <c r="B14241" i="1"/>
  <c r="B14240" i="1"/>
  <c r="B14239" i="1"/>
  <c r="B14238" i="1"/>
  <c r="B14237" i="1"/>
  <c r="B14236" i="1"/>
  <c r="B14235" i="1"/>
  <c r="B14234" i="1"/>
  <c r="B14233" i="1"/>
  <c r="B14232" i="1"/>
  <c r="B14231" i="1"/>
  <c r="B14230" i="1"/>
  <c r="B14229" i="1"/>
  <c r="B14228" i="1"/>
  <c r="B14227" i="1"/>
  <c r="B14226" i="1"/>
  <c r="B14225" i="1"/>
  <c r="B14224" i="1"/>
  <c r="B14223" i="1"/>
  <c r="B14222" i="1"/>
  <c r="B14221" i="1"/>
  <c r="B14220" i="1"/>
  <c r="B14219" i="1"/>
  <c r="B14218" i="1"/>
  <c r="B14217" i="1"/>
  <c r="B14216" i="1"/>
  <c r="B14215" i="1"/>
  <c r="B14214" i="1"/>
  <c r="B14213" i="1"/>
  <c r="B14212" i="1"/>
  <c r="B14211" i="1"/>
  <c r="B14210" i="1"/>
  <c r="B14209" i="1"/>
  <c r="B14208" i="1"/>
  <c r="B14207" i="1"/>
  <c r="B14206" i="1"/>
  <c r="B14205" i="1"/>
  <c r="B14204" i="1"/>
  <c r="B14203" i="1"/>
  <c r="B14202" i="1"/>
  <c r="B14201" i="1"/>
  <c r="B14200" i="1"/>
  <c r="B14199" i="1"/>
  <c r="B14198" i="1"/>
  <c r="B14197" i="1"/>
  <c r="B14196" i="1"/>
  <c r="B14195" i="1"/>
  <c r="B14194" i="1"/>
  <c r="B14193" i="1"/>
  <c r="B14192" i="1"/>
  <c r="B14191" i="1"/>
  <c r="B14190" i="1"/>
  <c r="B14189" i="1"/>
  <c r="B14188" i="1"/>
  <c r="B14187" i="1"/>
  <c r="B14186" i="1"/>
  <c r="B14185" i="1"/>
  <c r="B14184" i="1"/>
  <c r="B14183" i="1"/>
  <c r="B14182" i="1"/>
  <c r="B14181" i="1"/>
  <c r="B14180" i="1"/>
  <c r="B14179" i="1"/>
  <c r="B14178" i="1"/>
  <c r="B14177" i="1"/>
  <c r="B14176" i="1"/>
  <c r="B14175" i="1"/>
  <c r="B14174" i="1"/>
  <c r="B14173" i="1"/>
  <c r="B14172" i="1"/>
  <c r="B14171" i="1"/>
  <c r="B14170" i="1"/>
  <c r="B14169" i="1"/>
  <c r="B14168" i="1"/>
  <c r="B14167" i="1"/>
  <c r="B14166" i="1"/>
  <c r="B14165" i="1"/>
  <c r="B14164" i="1"/>
  <c r="B14163" i="1"/>
  <c r="B14162" i="1"/>
  <c r="B14161" i="1"/>
  <c r="B14160" i="1"/>
  <c r="B14159" i="1"/>
  <c r="B14158" i="1"/>
  <c r="B14157" i="1"/>
  <c r="B14156" i="1"/>
  <c r="B14155" i="1"/>
  <c r="B14154" i="1"/>
  <c r="B14153" i="1"/>
  <c r="B14152" i="1"/>
  <c r="B14151" i="1"/>
  <c r="B14150" i="1"/>
  <c r="B14149" i="1"/>
  <c r="B14148" i="1"/>
  <c r="B14147" i="1"/>
  <c r="B14146" i="1"/>
  <c r="B14145" i="1"/>
  <c r="B14144" i="1"/>
  <c r="B14143" i="1"/>
  <c r="B14142" i="1"/>
  <c r="B14141" i="1"/>
  <c r="B14140" i="1"/>
  <c r="B14139" i="1"/>
  <c r="B14138" i="1"/>
  <c r="B14137" i="1"/>
  <c r="B14136" i="1"/>
  <c r="B14135" i="1"/>
  <c r="B14134" i="1"/>
  <c r="B14133" i="1"/>
  <c r="B14132" i="1"/>
  <c r="B14131" i="1"/>
  <c r="B14130" i="1"/>
  <c r="B14129" i="1"/>
  <c r="B14128" i="1"/>
  <c r="B14127" i="1"/>
  <c r="B14126" i="1"/>
  <c r="B14125" i="1"/>
  <c r="B14124" i="1"/>
  <c r="B14123" i="1"/>
  <c r="B14122" i="1"/>
  <c r="B14121" i="1"/>
  <c r="B14120" i="1"/>
  <c r="B14119" i="1"/>
  <c r="B14118" i="1"/>
  <c r="B14117" i="1"/>
  <c r="B14116" i="1"/>
  <c r="B14115" i="1"/>
  <c r="B14114" i="1"/>
  <c r="B14113" i="1"/>
  <c r="B14112" i="1"/>
  <c r="B14111" i="1"/>
  <c r="B14110" i="1"/>
  <c r="B14109" i="1"/>
  <c r="B14108" i="1"/>
  <c r="B14107" i="1"/>
  <c r="B14106" i="1"/>
  <c r="B14105" i="1"/>
  <c r="B14104" i="1"/>
  <c r="B14103" i="1"/>
  <c r="B14102" i="1"/>
  <c r="B14101" i="1"/>
  <c r="B14100" i="1"/>
  <c r="B14099" i="1"/>
  <c r="B14098" i="1"/>
  <c r="B14097" i="1"/>
  <c r="B14096" i="1"/>
  <c r="B14095" i="1"/>
  <c r="B14094" i="1"/>
  <c r="B14093" i="1"/>
  <c r="B14092" i="1"/>
  <c r="B14091" i="1"/>
  <c r="B14090" i="1"/>
  <c r="B14089" i="1"/>
  <c r="B14088" i="1"/>
  <c r="B14087" i="1"/>
  <c r="B14086" i="1"/>
  <c r="B14085" i="1"/>
  <c r="B14084" i="1"/>
  <c r="B14083" i="1"/>
  <c r="B14082" i="1"/>
  <c r="B14081" i="1"/>
  <c r="B14080" i="1"/>
  <c r="B14079" i="1"/>
  <c r="B14078" i="1"/>
  <c r="B14077" i="1"/>
  <c r="B14076" i="1"/>
  <c r="B14075" i="1"/>
  <c r="B14074" i="1"/>
  <c r="B14073" i="1"/>
  <c r="B14072" i="1"/>
  <c r="B14071" i="1"/>
  <c r="B14070" i="1"/>
  <c r="B14069" i="1"/>
  <c r="B14068" i="1"/>
  <c r="B14067" i="1"/>
  <c r="B14066" i="1"/>
  <c r="B14065" i="1"/>
  <c r="B14064" i="1"/>
  <c r="B14063" i="1"/>
  <c r="B14062" i="1"/>
  <c r="B14061" i="1"/>
  <c r="B14060" i="1"/>
  <c r="B14059" i="1"/>
  <c r="B14058" i="1"/>
  <c r="B14057" i="1"/>
  <c r="B14056" i="1"/>
  <c r="B14055" i="1"/>
  <c r="B14054" i="1"/>
  <c r="B14053" i="1"/>
  <c r="B14052" i="1"/>
  <c r="B14051" i="1"/>
  <c r="B14050" i="1"/>
  <c r="B14049" i="1"/>
  <c r="B14048" i="1"/>
  <c r="B14047" i="1"/>
  <c r="B14046" i="1"/>
  <c r="B14045" i="1"/>
  <c r="B14044" i="1"/>
  <c r="B14043" i="1"/>
  <c r="B14042" i="1"/>
  <c r="B14041" i="1"/>
  <c r="B14040" i="1"/>
  <c r="B14039" i="1"/>
  <c r="B14038" i="1"/>
  <c r="B14037" i="1"/>
  <c r="B14036" i="1"/>
  <c r="B14035" i="1"/>
  <c r="B14034" i="1"/>
  <c r="B14033" i="1"/>
  <c r="B14032" i="1"/>
  <c r="B14031" i="1"/>
  <c r="B14030" i="1"/>
  <c r="B14029" i="1"/>
  <c r="B14028" i="1"/>
  <c r="B14027" i="1"/>
  <c r="B14026" i="1"/>
  <c r="B14025" i="1"/>
  <c r="B14024" i="1"/>
  <c r="B14023" i="1"/>
  <c r="B14022" i="1"/>
  <c r="B14021" i="1"/>
  <c r="B14020" i="1"/>
  <c r="B14019" i="1"/>
  <c r="B14018" i="1"/>
  <c r="B14017" i="1"/>
  <c r="B14016" i="1"/>
  <c r="B14015" i="1"/>
  <c r="B14014" i="1"/>
  <c r="B14013" i="1"/>
  <c r="B14012" i="1"/>
  <c r="B14011" i="1"/>
  <c r="B14010" i="1"/>
  <c r="B14009" i="1"/>
  <c r="B14008" i="1"/>
  <c r="B14007" i="1"/>
  <c r="B14006" i="1"/>
  <c r="B14005" i="1"/>
  <c r="B14004" i="1"/>
  <c r="B14003" i="1"/>
  <c r="B14002" i="1"/>
  <c r="B14001" i="1"/>
  <c r="B14000" i="1"/>
  <c r="B13999" i="1"/>
  <c r="B13998" i="1"/>
  <c r="B13997" i="1"/>
  <c r="B13996" i="1"/>
  <c r="B13995" i="1"/>
  <c r="B13994" i="1"/>
  <c r="B13993" i="1"/>
  <c r="B13992" i="1"/>
  <c r="B13991" i="1"/>
  <c r="B13990" i="1"/>
  <c r="B13989" i="1"/>
  <c r="B13988" i="1"/>
  <c r="B13987" i="1"/>
  <c r="B13986" i="1"/>
  <c r="B13985" i="1"/>
  <c r="B13984" i="1"/>
  <c r="B13983" i="1"/>
  <c r="B13982" i="1"/>
  <c r="B13981" i="1"/>
  <c r="B13980" i="1"/>
  <c r="B13979" i="1"/>
  <c r="B13978" i="1"/>
  <c r="B13977" i="1"/>
  <c r="B13976" i="1"/>
  <c r="B13975" i="1"/>
  <c r="B13974" i="1"/>
  <c r="B13973" i="1"/>
  <c r="B13972" i="1"/>
  <c r="B13971" i="1"/>
  <c r="B13970" i="1"/>
  <c r="B13969" i="1"/>
  <c r="B13968" i="1"/>
  <c r="B13967" i="1"/>
  <c r="B13966" i="1"/>
  <c r="B13965" i="1"/>
  <c r="B13964" i="1"/>
  <c r="B13963" i="1"/>
  <c r="B13962" i="1"/>
  <c r="B13961" i="1"/>
  <c r="B13960" i="1"/>
  <c r="B13959" i="1"/>
  <c r="B13958" i="1"/>
  <c r="B13957" i="1"/>
  <c r="B13956" i="1"/>
  <c r="B13955" i="1"/>
  <c r="B13954" i="1"/>
  <c r="B13953" i="1"/>
  <c r="B13952" i="1"/>
  <c r="B13951" i="1"/>
  <c r="B13950" i="1"/>
  <c r="B13949" i="1"/>
  <c r="B13948" i="1"/>
  <c r="B13947" i="1"/>
  <c r="B13946" i="1"/>
  <c r="B13942" i="1"/>
  <c r="B13941" i="1"/>
  <c r="B13940" i="1"/>
  <c r="B13939" i="1"/>
  <c r="B13938" i="1"/>
  <c r="B13937" i="1"/>
  <c r="B13936" i="1"/>
  <c r="B13935" i="1"/>
  <c r="B13934" i="1"/>
  <c r="B13933" i="1"/>
  <c r="B13932" i="1"/>
  <c r="B13931" i="1"/>
  <c r="B13930" i="1"/>
  <c r="B13929" i="1"/>
  <c r="B13928" i="1"/>
  <c r="B13927" i="1"/>
  <c r="B13926" i="1"/>
  <c r="B13925" i="1"/>
  <c r="B13924" i="1"/>
  <c r="B13923" i="1"/>
  <c r="B13922" i="1"/>
  <c r="B13921" i="1"/>
  <c r="B13920" i="1"/>
  <c r="B13919" i="1"/>
  <c r="B13918" i="1"/>
  <c r="B13917" i="1"/>
  <c r="B13916" i="1"/>
  <c r="B13915" i="1"/>
  <c r="B13914" i="1"/>
  <c r="B13913" i="1"/>
  <c r="B13912" i="1"/>
  <c r="B13911" i="1"/>
  <c r="B13910" i="1"/>
  <c r="B13909" i="1"/>
  <c r="B13908" i="1"/>
  <c r="B13907" i="1"/>
  <c r="B13906" i="1"/>
  <c r="B13905" i="1"/>
  <c r="B13904" i="1"/>
  <c r="B13903" i="1"/>
  <c r="B13902" i="1"/>
  <c r="B13901" i="1"/>
  <c r="B13900" i="1"/>
  <c r="B13899" i="1"/>
  <c r="B13898" i="1"/>
  <c r="B13897" i="1"/>
  <c r="B13896" i="1"/>
  <c r="B13895" i="1"/>
  <c r="B13894" i="1"/>
  <c r="B13893" i="1"/>
  <c r="B13892" i="1"/>
  <c r="B13891" i="1"/>
  <c r="B13890" i="1"/>
  <c r="B13889" i="1"/>
  <c r="B13888" i="1"/>
  <c r="B13887" i="1"/>
  <c r="B13886" i="1"/>
  <c r="B13885" i="1"/>
  <c r="B13884" i="1"/>
  <c r="B13883" i="1"/>
  <c r="B13882" i="1"/>
  <c r="B13881" i="1"/>
  <c r="B13880" i="1"/>
  <c r="B13879" i="1"/>
  <c r="B13878" i="1"/>
  <c r="B13877" i="1"/>
  <c r="B13876" i="1"/>
  <c r="B13875" i="1"/>
  <c r="B13874" i="1"/>
  <c r="B13873" i="1"/>
  <c r="B13872" i="1"/>
  <c r="B13871" i="1"/>
  <c r="B13870" i="1"/>
  <c r="B13869" i="1"/>
  <c r="B13868" i="1"/>
  <c r="B13867" i="1"/>
  <c r="B13866" i="1"/>
  <c r="B13865" i="1"/>
  <c r="B13864" i="1"/>
  <c r="B13863" i="1"/>
  <c r="B13862" i="1"/>
  <c r="B13861" i="1"/>
  <c r="B13860" i="1"/>
  <c r="B13859" i="1"/>
  <c r="B13858" i="1"/>
  <c r="B13857" i="1"/>
  <c r="B13856" i="1"/>
  <c r="B13855" i="1"/>
  <c r="B13854" i="1"/>
  <c r="B13853" i="1"/>
  <c r="B13852" i="1"/>
  <c r="B13851" i="1"/>
  <c r="B13850" i="1"/>
  <c r="B13849" i="1"/>
  <c r="B13848" i="1"/>
  <c r="B13847" i="1"/>
  <c r="B13846" i="1"/>
  <c r="B13845" i="1"/>
  <c r="B13844" i="1"/>
  <c r="B13843" i="1"/>
  <c r="B13842" i="1"/>
  <c r="B13841" i="1"/>
  <c r="B13840" i="1"/>
  <c r="B13839" i="1"/>
  <c r="B13838" i="1"/>
  <c r="B13837" i="1"/>
  <c r="B13836" i="1"/>
  <c r="B13835" i="1"/>
  <c r="B13834" i="1"/>
  <c r="B13833" i="1"/>
  <c r="B13832" i="1"/>
  <c r="B13831" i="1"/>
  <c r="B13830" i="1"/>
  <c r="B13829" i="1"/>
  <c r="B13828" i="1"/>
  <c r="B13827" i="1"/>
  <c r="B13826" i="1"/>
  <c r="B13825" i="1"/>
  <c r="B13824" i="1"/>
  <c r="B13823" i="1"/>
  <c r="B13822" i="1"/>
  <c r="B13821" i="1"/>
  <c r="B13820" i="1"/>
  <c r="B13819" i="1"/>
  <c r="B13818" i="1"/>
  <c r="B13817" i="1"/>
  <c r="B13816" i="1"/>
  <c r="B13815" i="1"/>
  <c r="B13814" i="1"/>
  <c r="B13813" i="1"/>
  <c r="B13812" i="1"/>
  <c r="B13811" i="1"/>
  <c r="B13810" i="1"/>
  <c r="B13809" i="1"/>
  <c r="B13808" i="1"/>
  <c r="B13807" i="1"/>
  <c r="B13806" i="1"/>
  <c r="B13805" i="1"/>
  <c r="B13804" i="1"/>
  <c r="B13803" i="1"/>
  <c r="B13802" i="1"/>
  <c r="B13801" i="1"/>
  <c r="B13800" i="1"/>
  <c r="B13799" i="1"/>
  <c r="B13798" i="1"/>
  <c r="B13797" i="1"/>
  <c r="B13796" i="1"/>
  <c r="B13795" i="1"/>
  <c r="B13794" i="1"/>
  <c r="B13793" i="1"/>
  <c r="B13792" i="1"/>
  <c r="B13791" i="1"/>
  <c r="B13790" i="1"/>
  <c r="B13789" i="1"/>
  <c r="B13788" i="1"/>
  <c r="B13787" i="1"/>
  <c r="B13786" i="1"/>
  <c r="B13785" i="1"/>
  <c r="B13784" i="1"/>
  <c r="B13783" i="1"/>
  <c r="B13782" i="1"/>
  <c r="B13781" i="1"/>
  <c r="B13780" i="1"/>
  <c r="B13779" i="1"/>
  <c r="B13778" i="1"/>
  <c r="B13777" i="1"/>
  <c r="B13776" i="1"/>
  <c r="B13775" i="1"/>
  <c r="B13774" i="1"/>
  <c r="B13773" i="1"/>
  <c r="B13772" i="1"/>
  <c r="B13771" i="1"/>
  <c r="B13770" i="1"/>
  <c r="B13769" i="1"/>
  <c r="B13768" i="1"/>
  <c r="B13767" i="1"/>
  <c r="B13766" i="1"/>
  <c r="B13765" i="1"/>
  <c r="B13764" i="1"/>
  <c r="B13763" i="1"/>
  <c r="B13762" i="1"/>
  <c r="B13761" i="1"/>
  <c r="B13760" i="1"/>
  <c r="B13759" i="1"/>
  <c r="B13758" i="1"/>
  <c r="B13757" i="1"/>
  <c r="B13756" i="1"/>
  <c r="B13755" i="1"/>
  <c r="B13754" i="1"/>
  <c r="B13753" i="1"/>
  <c r="B13752" i="1"/>
  <c r="B13751" i="1"/>
  <c r="B13750" i="1"/>
  <c r="B13749" i="1"/>
  <c r="B13748" i="1"/>
  <c r="B13747" i="1"/>
  <c r="B13746" i="1"/>
  <c r="B13745" i="1"/>
  <c r="B13744" i="1"/>
  <c r="B13743" i="1"/>
  <c r="B13742" i="1"/>
  <c r="B13741" i="1"/>
  <c r="B13740" i="1"/>
  <c r="B13739" i="1"/>
  <c r="B13738" i="1"/>
  <c r="B13737" i="1"/>
  <c r="B13736" i="1"/>
  <c r="B13735" i="1"/>
  <c r="B13734" i="1"/>
  <c r="B13733" i="1"/>
  <c r="B13732" i="1"/>
  <c r="B13731" i="1"/>
  <c r="B13730" i="1"/>
  <c r="B13729" i="1"/>
  <c r="B13728" i="1"/>
  <c r="B13727" i="1"/>
  <c r="B13726" i="1"/>
  <c r="B13725" i="1"/>
  <c r="B13724" i="1"/>
  <c r="B13723" i="1"/>
  <c r="B13722" i="1"/>
  <c r="B13721" i="1"/>
  <c r="B13720" i="1"/>
  <c r="B13719" i="1"/>
  <c r="B13718" i="1"/>
  <c r="B13717" i="1"/>
  <c r="B13716" i="1"/>
  <c r="B13715" i="1"/>
  <c r="B13714" i="1"/>
  <c r="B13713" i="1"/>
  <c r="B13712" i="1"/>
  <c r="B13711" i="1"/>
  <c r="B13710" i="1"/>
  <c r="B13709" i="1"/>
  <c r="B13708" i="1"/>
  <c r="B13707" i="1"/>
  <c r="B13706" i="1"/>
  <c r="B13705" i="1"/>
  <c r="B13704" i="1"/>
  <c r="B13703" i="1"/>
  <c r="B13702" i="1"/>
  <c r="B13701" i="1"/>
  <c r="B13700" i="1"/>
  <c r="B13699" i="1"/>
  <c r="B13698" i="1"/>
  <c r="B13697" i="1"/>
  <c r="B13696" i="1"/>
  <c r="B13695" i="1"/>
  <c r="B13694" i="1"/>
  <c r="B13693" i="1"/>
  <c r="B13692" i="1"/>
  <c r="B13691" i="1"/>
  <c r="B13690" i="1"/>
  <c r="B13689" i="1"/>
  <c r="B13688" i="1"/>
  <c r="B13687" i="1"/>
  <c r="B13686" i="1"/>
  <c r="B13685" i="1"/>
  <c r="B13684" i="1"/>
  <c r="B13683" i="1"/>
  <c r="B13682" i="1"/>
  <c r="B13681" i="1"/>
  <c r="B13680" i="1"/>
  <c r="B13679" i="1"/>
  <c r="B13678" i="1"/>
  <c r="B13677" i="1"/>
  <c r="B13676" i="1"/>
  <c r="B13675" i="1"/>
  <c r="B13674" i="1"/>
  <c r="B13673" i="1"/>
  <c r="B13672" i="1"/>
  <c r="B13671" i="1"/>
  <c r="B13670" i="1"/>
  <c r="B13669" i="1"/>
  <c r="B13668" i="1"/>
  <c r="B13667" i="1"/>
  <c r="B13666" i="1"/>
  <c r="B13665" i="1"/>
  <c r="B13664" i="1"/>
  <c r="B13663" i="1"/>
  <c r="B13662" i="1"/>
  <c r="B13661" i="1"/>
  <c r="B13660" i="1"/>
  <c r="B13659" i="1"/>
  <c r="B13658" i="1"/>
  <c r="B13657" i="1"/>
  <c r="B13656" i="1"/>
  <c r="B13655" i="1"/>
  <c r="B13654" i="1"/>
  <c r="B13653" i="1"/>
  <c r="B13652" i="1"/>
  <c r="B13651" i="1"/>
  <c r="B13650" i="1"/>
  <c r="B13649" i="1"/>
  <c r="B13648" i="1"/>
  <c r="B13647" i="1"/>
  <c r="B13646" i="1"/>
  <c r="B13645" i="1"/>
  <c r="B13644" i="1"/>
  <c r="B13643" i="1"/>
  <c r="B13642" i="1"/>
  <c r="B13641" i="1"/>
  <c r="B13640" i="1"/>
  <c r="B13639" i="1"/>
  <c r="B13638" i="1"/>
  <c r="B13637" i="1"/>
  <c r="B13636" i="1"/>
  <c r="B13635" i="1"/>
  <c r="B13634" i="1"/>
  <c r="B13633" i="1"/>
  <c r="B13632" i="1"/>
  <c r="B13631" i="1"/>
  <c r="B13630" i="1"/>
  <c r="B13629" i="1"/>
  <c r="B13628" i="1"/>
  <c r="B13627" i="1"/>
  <c r="B13626" i="1"/>
  <c r="B13625" i="1"/>
  <c r="B13624" i="1"/>
  <c r="B13623" i="1"/>
  <c r="B13622" i="1"/>
  <c r="B13621" i="1"/>
  <c r="B13620" i="1"/>
  <c r="B13619" i="1"/>
  <c r="B13618" i="1"/>
  <c r="B13617" i="1"/>
  <c r="B13616" i="1"/>
  <c r="B13615" i="1"/>
  <c r="B13614" i="1"/>
  <c r="B13613" i="1"/>
  <c r="B13612" i="1"/>
  <c r="B13611" i="1"/>
  <c r="B13610" i="1"/>
  <c r="B13609" i="1"/>
  <c r="B13608" i="1"/>
  <c r="B13607" i="1"/>
  <c r="B13606" i="1"/>
  <c r="B13605" i="1"/>
  <c r="B13604" i="1"/>
  <c r="B13603" i="1"/>
  <c r="B13602" i="1"/>
  <c r="B13601" i="1"/>
  <c r="B13600" i="1"/>
  <c r="B13599" i="1"/>
  <c r="B13598" i="1"/>
  <c r="B13597" i="1"/>
  <c r="B13596" i="1"/>
  <c r="B13595" i="1"/>
  <c r="B13594" i="1"/>
  <c r="B13593" i="1"/>
  <c r="B13592" i="1"/>
  <c r="B13591" i="1"/>
  <c r="B13590" i="1"/>
  <c r="B13589" i="1"/>
  <c r="B13588" i="1"/>
  <c r="B13587" i="1"/>
  <c r="B13586" i="1"/>
  <c r="B13585" i="1"/>
  <c r="B13584" i="1"/>
  <c r="B13583" i="1"/>
  <c r="B13582" i="1"/>
  <c r="B13581" i="1"/>
  <c r="B13580" i="1"/>
  <c r="B13579" i="1"/>
  <c r="B13578" i="1"/>
  <c r="B13577" i="1"/>
  <c r="B13576" i="1"/>
  <c r="B13575" i="1"/>
  <c r="B13574" i="1"/>
  <c r="B13573" i="1"/>
  <c r="B13572" i="1"/>
  <c r="B13571" i="1"/>
  <c r="B13570" i="1"/>
  <c r="B13569" i="1"/>
  <c r="B13568" i="1"/>
  <c r="B13567" i="1"/>
  <c r="B13566" i="1"/>
  <c r="B13565" i="1"/>
  <c r="B13564" i="1"/>
  <c r="B13563" i="1"/>
  <c r="B13560" i="1"/>
  <c r="B13559" i="1"/>
  <c r="B13558" i="1"/>
  <c r="B13557" i="1"/>
  <c r="B13556" i="1"/>
  <c r="B13555" i="1"/>
  <c r="B13554" i="1"/>
  <c r="B13553" i="1"/>
  <c r="B13552" i="1"/>
  <c r="B13551" i="1"/>
  <c r="B13550" i="1"/>
  <c r="B13549" i="1"/>
  <c r="B13548" i="1"/>
  <c r="B13547" i="1"/>
  <c r="B13546" i="1"/>
  <c r="B13545" i="1"/>
  <c r="B13544" i="1"/>
  <c r="B13543" i="1"/>
  <c r="B13542" i="1"/>
  <c r="B13541" i="1"/>
  <c r="B13540" i="1"/>
  <c r="B13539" i="1"/>
  <c r="B13538" i="1"/>
  <c r="B13537" i="1"/>
  <c r="B13536" i="1"/>
  <c r="B13535" i="1"/>
  <c r="B13534" i="1"/>
  <c r="B13533" i="1"/>
  <c r="B13532" i="1"/>
  <c r="B13531" i="1"/>
  <c r="B13530" i="1"/>
  <c r="B13529" i="1"/>
  <c r="B13528" i="1"/>
  <c r="B13527" i="1"/>
  <c r="B13526" i="1"/>
  <c r="B13525" i="1"/>
  <c r="B13524" i="1"/>
  <c r="B13523" i="1"/>
  <c r="B13522" i="1"/>
  <c r="B13521" i="1"/>
  <c r="B13520" i="1"/>
  <c r="B13519" i="1"/>
  <c r="B13518" i="1"/>
  <c r="B13517" i="1"/>
  <c r="B13516" i="1"/>
  <c r="B13515" i="1"/>
  <c r="B13514" i="1"/>
  <c r="B13513" i="1"/>
  <c r="B13512" i="1"/>
  <c r="B13511" i="1"/>
  <c r="B13510" i="1"/>
  <c r="B13509" i="1"/>
  <c r="B13508" i="1"/>
  <c r="B13507" i="1"/>
  <c r="B13506" i="1"/>
  <c r="B13505" i="1"/>
  <c r="B13504" i="1"/>
  <c r="B13503" i="1"/>
  <c r="B13502" i="1"/>
  <c r="B13501" i="1"/>
  <c r="B13500" i="1"/>
  <c r="B13499" i="1"/>
  <c r="B13498" i="1"/>
  <c r="B13497" i="1"/>
  <c r="B13496" i="1"/>
  <c r="B13495" i="1"/>
  <c r="B13494" i="1"/>
  <c r="B13493" i="1"/>
  <c r="B13492" i="1"/>
  <c r="B13491" i="1"/>
  <c r="B13490" i="1"/>
  <c r="B13489" i="1"/>
  <c r="B13488" i="1"/>
  <c r="B13487" i="1"/>
  <c r="B13486" i="1"/>
  <c r="B13485" i="1"/>
  <c r="B13484" i="1"/>
  <c r="B13483" i="1"/>
  <c r="B13482" i="1"/>
  <c r="B13481" i="1"/>
  <c r="B13480" i="1"/>
  <c r="B13479" i="1"/>
  <c r="B13478" i="1"/>
  <c r="B13477" i="1"/>
  <c r="B13476" i="1"/>
  <c r="B13475" i="1"/>
  <c r="B13474" i="1"/>
  <c r="B13473" i="1"/>
  <c r="B13472" i="1"/>
  <c r="B13471" i="1"/>
  <c r="B13470" i="1"/>
  <c r="B13469" i="1"/>
  <c r="B13468" i="1"/>
  <c r="B13467" i="1"/>
  <c r="B13466" i="1"/>
  <c r="B13465" i="1"/>
  <c r="B13464" i="1"/>
  <c r="B13463" i="1"/>
  <c r="B13462" i="1"/>
  <c r="B13461" i="1"/>
  <c r="B13460" i="1"/>
  <c r="B13459" i="1"/>
  <c r="B13458" i="1"/>
  <c r="B13457" i="1"/>
  <c r="B13456" i="1"/>
  <c r="B13455" i="1"/>
  <c r="B13454" i="1"/>
  <c r="B13453" i="1"/>
  <c r="B13452" i="1"/>
  <c r="B13451" i="1"/>
  <c r="B13450" i="1"/>
  <c r="B13449" i="1"/>
  <c r="B13444" i="1"/>
  <c r="B13443" i="1"/>
  <c r="B13442" i="1"/>
  <c r="B13441" i="1"/>
  <c r="B13440" i="1"/>
  <c r="B13439" i="1"/>
  <c r="B13438" i="1"/>
  <c r="B13437" i="1"/>
  <c r="B13436" i="1"/>
  <c r="B13435" i="1"/>
  <c r="B13434" i="1"/>
  <c r="B13433" i="1"/>
  <c r="B13432" i="1"/>
  <c r="B13431" i="1"/>
  <c r="B13430" i="1"/>
  <c r="B13429" i="1"/>
  <c r="B13428" i="1"/>
  <c r="B13427" i="1"/>
  <c r="B13426" i="1"/>
  <c r="B13425" i="1"/>
  <c r="B13424" i="1"/>
  <c r="B13423" i="1"/>
  <c r="B13422" i="1"/>
  <c r="B13421" i="1"/>
  <c r="B13420" i="1"/>
  <c r="B13419" i="1"/>
  <c r="B13418" i="1"/>
  <c r="B13417" i="1"/>
  <c r="B13416" i="1"/>
  <c r="B13415" i="1"/>
  <c r="B13414" i="1"/>
  <c r="B13413" i="1"/>
  <c r="B13412" i="1"/>
  <c r="B13411" i="1"/>
  <c r="B13410" i="1"/>
  <c r="B13409" i="1"/>
  <c r="B13408" i="1"/>
  <c r="B13407" i="1"/>
  <c r="B13406" i="1"/>
  <c r="B13405" i="1"/>
  <c r="B13404" i="1"/>
  <c r="B13403" i="1"/>
  <c r="B13402" i="1"/>
  <c r="B13401" i="1"/>
  <c r="B13400" i="1"/>
  <c r="B13399" i="1"/>
  <c r="B13398" i="1"/>
  <c r="B13397" i="1"/>
  <c r="B13396" i="1"/>
  <c r="B13395" i="1"/>
  <c r="B13394" i="1"/>
  <c r="B13393" i="1"/>
  <c r="B13392" i="1"/>
  <c r="B13391" i="1"/>
  <c r="B13390" i="1"/>
  <c r="B13389" i="1"/>
  <c r="B13388" i="1"/>
  <c r="B13387" i="1"/>
  <c r="B13386" i="1"/>
  <c r="B13385" i="1"/>
  <c r="B13384" i="1"/>
  <c r="B13383" i="1"/>
  <c r="B13382" i="1"/>
  <c r="B13381" i="1"/>
  <c r="B13380" i="1"/>
  <c r="B13379" i="1"/>
  <c r="B13378" i="1"/>
  <c r="B13377" i="1"/>
  <c r="B13376" i="1"/>
  <c r="B13375" i="1"/>
  <c r="B13374" i="1"/>
  <c r="B13373" i="1"/>
  <c r="B13372" i="1"/>
  <c r="B13371" i="1"/>
  <c r="B13370" i="1"/>
  <c r="B13369" i="1"/>
  <c r="B13368" i="1"/>
  <c r="B13367" i="1"/>
  <c r="B13366" i="1"/>
  <c r="B13365" i="1"/>
  <c r="B13364" i="1"/>
  <c r="B13363" i="1"/>
  <c r="B13362" i="1"/>
  <c r="B13361" i="1"/>
  <c r="B13360" i="1"/>
  <c r="B13359" i="1"/>
  <c r="B13358" i="1"/>
  <c r="B13357" i="1"/>
  <c r="B13356" i="1"/>
  <c r="B13355" i="1"/>
  <c r="B13354" i="1"/>
  <c r="B13353" i="1"/>
  <c r="B13352" i="1"/>
  <c r="B13351" i="1"/>
  <c r="B13350" i="1"/>
  <c r="B13349" i="1"/>
  <c r="B13348" i="1"/>
  <c r="B13347" i="1"/>
  <c r="B13346" i="1"/>
  <c r="B13345" i="1"/>
  <c r="B13344" i="1"/>
  <c r="B13343" i="1"/>
  <c r="B13342" i="1"/>
  <c r="B13341" i="1"/>
  <c r="B13340" i="1"/>
  <c r="B13339" i="1"/>
  <c r="B13338" i="1"/>
  <c r="B13337" i="1"/>
  <c r="B13336" i="1"/>
  <c r="B13335" i="1"/>
  <c r="B13334" i="1"/>
  <c r="B13333" i="1"/>
  <c r="B13332" i="1"/>
  <c r="B13331" i="1"/>
  <c r="B13330" i="1"/>
  <c r="B13329" i="1"/>
  <c r="B13328" i="1"/>
  <c r="B13327" i="1"/>
  <c r="B13326" i="1"/>
  <c r="B13325" i="1"/>
  <c r="B13324" i="1"/>
  <c r="B13323" i="1"/>
  <c r="B13322" i="1"/>
  <c r="B13321" i="1"/>
  <c r="B13320" i="1"/>
  <c r="B13319" i="1"/>
  <c r="B13318" i="1"/>
  <c r="B13317" i="1"/>
  <c r="B13316" i="1"/>
  <c r="B13315" i="1"/>
  <c r="B13314" i="1"/>
  <c r="B13313" i="1"/>
  <c r="B13312" i="1"/>
  <c r="B13311" i="1"/>
  <c r="B13310" i="1"/>
  <c r="B13309" i="1"/>
  <c r="B13308" i="1"/>
  <c r="B13307" i="1"/>
  <c r="B13306" i="1"/>
  <c r="B13305" i="1"/>
  <c r="B13304" i="1"/>
  <c r="B13303" i="1"/>
  <c r="B13302" i="1"/>
  <c r="B13301" i="1"/>
  <c r="B13300" i="1"/>
  <c r="B13299" i="1"/>
  <c r="B13298" i="1"/>
  <c r="B13297" i="1"/>
  <c r="B13296" i="1"/>
  <c r="B13295" i="1"/>
  <c r="B13294" i="1"/>
  <c r="B13293" i="1"/>
  <c r="B13292" i="1"/>
  <c r="B13291" i="1"/>
  <c r="B13290" i="1"/>
  <c r="B13289" i="1"/>
  <c r="B13288" i="1"/>
  <c r="B13287" i="1"/>
  <c r="B13286" i="1"/>
  <c r="B13285" i="1"/>
  <c r="B13284" i="1"/>
  <c r="B13283" i="1"/>
  <c r="B13282" i="1"/>
  <c r="B13281" i="1"/>
  <c r="B13280" i="1"/>
  <c r="B13279" i="1"/>
  <c r="B13278" i="1"/>
  <c r="B13277" i="1"/>
  <c r="B13276" i="1"/>
  <c r="B13275" i="1"/>
  <c r="B13274" i="1"/>
  <c r="B13273" i="1"/>
  <c r="B13272" i="1"/>
  <c r="B13271" i="1"/>
  <c r="B13270" i="1"/>
  <c r="B13269" i="1"/>
  <c r="B13268" i="1"/>
  <c r="B13267" i="1"/>
  <c r="B13266" i="1"/>
  <c r="B13265" i="1"/>
  <c r="B13264" i="1"/>
  <c r="B13263" i="1"/>
  <c r="B13262" i="1"/>
  <c r="B13261" i="1"/>
  <c r="B13260" i="1"/>
  <c r="B13259" i="1"/>
  <c r="B13258" i="1"/>
  <c r="B13257" i="1"/>
  <c r="B13256" i="1"/>
  <c r="B13255" i="1"/>
  <c r="B13254" i="1"/>
  <c r="B13253" i="1"/>
  <c r="B13252" i="1"/>
  <c r="B13251" i="1"/>
  <c r="B13250" i="1"/>
  <c r="B13249" i="1"/>
  <c r="B13248" i="1"/>
  <c r="B13247" i="1"/>
  <c r="B13246" i="1"/>
  <c r="B13245" i="1"/>
  <c r="B13244" i="1"/>
  <c r="B13243" i="1"/>
  <c r="B13242" i="1"/>
  <c r="B13241" i="1"/>
  <c r="B13240" i="1"/>
  <c r="B13239" i="1"/>
  <c r="B13238" i="1"/>
  <c r="B13237" i="1"/>
  <c r="B13236" i="1"/>
  <c r="B13235" i="1"/>
  <c r="B13234" i="1"/>
  <c r="B13233" i="1"/>
  <c r="B13232" i="1"/>
  <c r="B13231" i="1"/>
  <c r="B13230" i="1"/>
  <c r="B13229" i="1"/>
  <c r="B13228" i="1"/>
  <c r="B13227" i="1"/>
  <c r="B13226" i="1"/>
  <c r="B13225" i="1"/>
  <c r="B13224" i="1"/>
  <c r="B13223" i="1"/>
  <c r="B13222" i="1"/>
  <c r="B13221" i="1"/>
  <c r="B13220" i="1"/>
  <c r="B13219" i="1"/>
  <c r="B13218" i="1"/>
  <c r="B13217" i="1"/>
  <c r="B13216" i="1"/>
  <c r="B13215" i="1"/>
  <c r="B13214" i="1"/>
  <c r="B13213" i="1"/>
  <c r="B13212" i="1"/>
  <c r="B13211" i="1"/>
  <c r="B13210" i="1"/>
  <c r="B13209" i="1"/>
  <c r="B13208" i="1"/>
  <c r="B13207" i="1"/>
  <c r="B13206" i="1"/>
  <c r="B13205" i="1"/>
  <c r="B13204" i="1"/>
  <c r="B13203" i="1"/>
  <c r="B13202" i="1"/>
  <c r="B13201" i="1"/>
  <c r="B13200" i="1"/>
  <c r="B13199" i="1"/>
  <c r="B13198" i="1"/>
  <c r="B13197" i="1"/>
  <c r="B13196" i="1"/>
  <c r="B13195" i="1"/>
  <c r="B13194" i="1"/>
  <c r="B13193" i="1"/>
  <c r="B13192" i="1"/>
  <c r="B13191" i="1"/>
  <c r="B13190" i="1"/>
  <c r="B13189" i="1"/>
  <c r="B13188" i="1"/>
  <c r="B13187" i="1"/>
  <c r="B13186" i="1"/>
  <c r="B13185" i="1"/>
  <c r="B13184" i="1"/>
  <c r="B13183" i="1"/>
  <c r="B13182" i="1"/>
  <c r="B13181" i="1"/>
  <c r="B13180" i="1"/>
  <c r="B13179" i="1"/>
  <c r="B13178" i="1"/>
  <c r="B13177" i="1"/>
  <c r="B13176" i="1"/>
  <c r="B13175" i="1"/>
  <c r="B13174" i="1"/>
  <c r="B13173" i="1"/>
  <c r="B13172" i="1"/>
  <c r="B13171" i="1"/>
  <c r="B13170" i="1"/>
  <c r="B13169" i="1"/>
  <c r="B13168" i="1"/>
  <c r="B13167" i="1"/>
  <c r="B13166" i="1"/>
  <c r="B13165" i="1"/>
  <c r="B13164" i="1"/>
  <c r="B13163" i="1"/>
  <c r="B13162" i="1"/>
  <c r="B13161" i="1"/>
  <c r="B13160" i="1"/>
  <c r="B13159" i="1"/>
  <c r="B13158" i="1"/>
  <c r="B13157" i="1"/>
  <c r="B13156" i="1"/>
  <c r="B13155" i="1"/>
  <c r="B13154" i="1"/>
  <c r="B13153" i="1"/>
  <c r="B13152" i="1"/>
  <c r="B13151" i="1"/>
  <c r="B13150" i="1"/>
  <c r="B13149" i="1"/>
  <c r="B13148" i="1"/>
  <c r="B13147" i="1"/>
  <c r="B13146" i="1"/>
  <c r="B13145" i="1"/>
  <c r="B13144" i="1"/>
  <c r="B13143" i="1"/>
  <c r="B13142" i="1"/>
  <c r="B13141" i="1"/>
  <c r="B13140" i="1"/>
  <c r="B13139" i="1"/>
  <c r="B13138" i="1"/>
  <c r="B13137" i="1"/>
  <c r="B13136" i="1"/>
  <c r="B13135" i="1"/>
  <c r="B13134" i="1"/>
  <c r="B13133" i="1"/>
  <c r="B13132" i="1"/>
  <c r="B13131" i="1"/>
  <c r="B13130" i="1"/>
  <c r="B13129" i="1"/>
  <c r="B13128" i="1"/>
  <c r="B13127" i="1"/>
  <c r="B13126" i="1"/>
  <c r="B13125" i="1"/>
  <c r="B13124" i="1"/>
  <c r="B13123" i="1"/>
  <c r="B13122" i="1"/>
  <c r="B13121" i="1"/>
  <c r="B13120" i="1"/>
  <c r="B13119" i="1"/>
  <c r="B13118" i="1"/>
  <c r="B13117" i="1"/>
  <c r="B13116" i="1"/>
  <c r="B13115" i="1"/>
  <c r="B13114" i="1"/>
  <c r="B13113" i="1"/>
  <c r="B13112" i="1"/>
  <c r="B13111" i="1"/>
  <c r="B13110" i="1"/>
  <c r="B13109" i="1"/>
  <c r="B13108" i="1"/>
  <c r="B13107" i="1"/>
  <c r="B13106" i="1"/>
  <c r="B13105" i="1"/>
  <c r="B13104" i="1"/>
  <c r="B13103" i="1"/>
  <c r="B13102" i="1"/>
  <c r="B13101" i="1"/>
  <c r="B13100" i="1"/>
  <c r="B13099" i="1"/>
  <c r="B13098" i="1"/>
  <c r="B13097" i="1"/>
  <c r="B13096" i="1"/>
  <c r="B13095" i="1"/>
  <c r="B13094" i="1"/>
  <c r="B13093" i="1"/>
  <c r="B13092" i="1"/>
  <c r="B13091" i="1"/>
  <c r="B13090" i="1"/>
  <c r="B13089" i="1"/>
  <c r="B13088" i="1"/>
  <c r="B13087" i="1"/>
  <c r="B13086" i="1"/>
  <c r="B13085" i="1"/>
  <c r="B13084" i="1"/>
  <c r="B13083" i="1"/>
  <c r="B13082" i="1"/>
  <c r="B13081" i="1"/>
  <c r="B13080" i="1"/>
  <c r="B13079" i="1"/>
  <c r="B13078" i="1"/>
  <c r="B13077" i="1"/>
  <c r="B13076" i="1"/>
  <c r="B13075" i="1"/>
  <c r="B13074" i="1"/>
  <c r="B13073" i="1"/>
  <c r="B13072" i="1"/>
  <c r="B13071" i="1"/>
  <c r="B13070" i="1"/>
  <c r="B13069" i="1"/>
  <c r="B13068" i="1"/>
  <c r="B13067" i="1"/>
  <c r="B13066" i="1"/>
  <c r="B13065" i="1"/>
  <c r="B13064" i="1"/>
  <c r="B13063" i="1"/>
  <c r="B13062" i="1"/>
  <c r="B13061" i="1"/>
  <c r="B13060" i="1"/>
  <c r="B13059" i="1"/>
  <c r="B13058" i="1"/>
  <c r="B13057" i="1"/>
  <c r="B13056" i="1"/>
  <c r="B13055" i="1"/>
  <c r="B13054" i="1"/>
  <c r="B13053" i="1"/>
  <c r="B13052" i="1"/>
  <c r="B13051" i="1"/>
  <c r="B13050" i="1"/>
  <c r="B13049" i="1"/>
  <c r="B13048" i="1"/>
  <c r="B13047" i="1"/>
  <c r="B13046" i="1"/>
  <c r="B13045" i="1"/>
  <c r="B13044" i="1"/>
  <c r="B13043" i="1"/>
  <c r="B13042" i="1"/>
  <c r="B13041" i="1"/>
  <c r="B13040" i="1"/>
  <c r="B13039" i="1"/>
  <c r="B13038" i="1"/>
  <c r="B13037" i="1"/>
  <c r="B13036" i="1"/>
  <c r="B13035" i="1"/>
  <c r="B13034" i="1"/>
  <c r="B13033" i="1"/>
  <c r="B13032" i="1"/>
  <c r="B13031" i="1"/>
  <c r="B13030" i="1"/>
  <c r="B13029" i="1"/>
  <c r="B13028" i="1"/>
  <c r="B13027" i="1"/>
  <c r="B13026" i="1"/>
  <c r="B13025" i="1"/>
  <c r="B13024" i="1"/>
  <c r="B13023" i="1"/>
  <c r="B13022" i="1"/>
  <c r="B13021" i="1"/>
  <c r="B13020" i="1"/>
  <c r="B13019" i="1"/>
  <c r="B13018" i="1"/>
  <c r="B13017" i="1"/>
  <c r="B13016" i="1"/>
  <c r="B13015" i="1"/>
  <c r="B13014" i="1"/>
  <c r="B13013" i="1"/>
  <c r="B13012" i="1"/>
  <c r="B13011" i="1"/>
  <c r="B13010" i="1"/>
  <c r="B13009" i="1"/>
  <c r="B13008" i="1"/>
  <c r="B13007" i="1"/>
  <c r="B13006" i="1"/>
  <c r="B13005" i="1"/>
  <c r="B13004" i="1"/>
  <c r="B13003" i="1"/>
  <c r="B13002" i="1"/>
  <c r="B13001" i="1"/>
  <c r="B13000" i="1"/>
  <c r="B12999" i="1"/>
  <c r="B12998" i="1"/>
  <c r="B12997" i="1"/>
  <c r="B12996" i="1"/>
  <c r="B12995" i="1"/>
  <c r="B12994" i="1"/>
  <c r="B12993" i="1"/>
  <c r="B12992" i="1"/>
  <c r="B12991" i="1"/>
  <c r="B12990" i="1"/>
  <c r="B12989" i="1"/>
  <c r="B12988" i="1"/>
  <c r="B12987" i="1"/>
  <c r="B12986" i="1"/>
  <c r="B12985" i="1"/>
  <c r="B12984" i="1"/>
  <c r="B12983" i="1"/>
  <c r="B12982" i="1"/>
  <c r="B12981" i="1"/>
  <c r="B12980" i="1"/>
  <c r="B12979" i="1"/>
  <c r="B12978" i="1"/>
  <c r="B12977" i="1"/>
  <c r="B12976" i="1"/>
  <c r="B12975" i="1"/>
  <c r="B12974" i="1"/>
  <c r="B12973" i="1"/>
  <c r="B12972" i="1"/>
  <c r="B12971" i="1"/>
  <c r="B12970" i="1"/>
  <c r="B12969" i="1"/>
  <c r="B12968" i="1"/>
  <c r="B12967" i="1"/>
  <c r="B12966" i="1"/>
  <c r="B12965" i="1"/>
  <c r="B12964" i="1"/>
  <c r="B12963" i="1"/>
  <c r="B12962" i="1"/>
  <c r="B12961" i="1"/>
  <c r="B12960" i="1"/>
  <c r="B12959" i="1"/>
  <c r="B12958" i="1"/>
  <c r="B12957" i="1"/>
  <c r="B12948" i="1"/>
  <c r="B12947" i="1"/>
  <c r="B12946" i="1"/>
  <c r="B12945" i="1"/>
  <c r="B12944" i="1"/>
  <c r="B12943" i="1"/>
  <c r="B12942" i="1"/>
  <c r="B12941" i="1"/>
  <c r="B12940" i="1"/>
  <c r="B12939" i="1"/>
  <c r="B12938" i="1"/>
  <c r="B12937" i="1"/>
  <c r="B12936" i="1"/>
  <c r="B12935" i="1"/>
  <c r="B12934" i="1"/>
  <c r="B12933" i="1"/>
  <c r="B12932" i="1"/>
  <c r="B12931" i="1"/>
  <c r="B12930" i="1"/>
  <c r="B12929" i="1"/>
  <c r="B12928" i="1"/>
  <c r="B12927" i="1"/>
  <c r="B12926" i="1"/>
  <c r="B12925" i="1"/>
  <c r="B12924" i="1"/>
  <c r="B12923" i="1"/>
  <c r="B12922" i="1"/>
  <c r="B12921" i="1"/>
  <c r="B12920" i="1"/>
  <c r="B12919" i="1"/>
  <c r="B12918" i="1"/>
  <c r="B12917" i="1"/>
  <c r="B12916" i="1"/>
  <c r="B12915" i="1"/>
  <c r="B12914" i="1"/>
  <c r="B12913" i="1"/>
  <c r="B12911" i="1"/>
  <c r="B12910" i="1"/>
  <c r="B12909" i="1"/>
  <c r="B12908" i="1"/>
  <c r="B12907" i="1"/>
  <c r="B12906" i="1"/>
  <c r="B12905" i="1"/>
  <c r="B12904" i="1"/>
  <c r="B12903" i="1"/>
  <c r="B12902" i="1"/>
  <c r="B12901" i="1"/>
  <c r="B12900" i="1"/>
  <c r="B12899" i="1"/>
  <c r="B12898" i="1"/>
  <c r="B12897" i="1"/>
  <c r="B12896" i="1"/>
  <c r="B12895" i="1"/>
  <c r="B12894" i="1"/>
  <c r="B12893" i="1"/>
  <c r="B12892" i="1"/>
  <c r="B12891" i="1"/>
  <c r="B12890" i="1"/>
  <c r="B12889" i="1"/>
  <c r="B12888" i="1"/>
  <c r="B12887" i="1"/>
  <c r="B12886" i="1"/>
  <c r="B12885" i="1"/>
  <c r="B12884" i="1"/>
  <c r="B12883" i="1"/>
  <c r="B12882" i="1"/>
  <c r="B12881" i="1"/>
  <c r="B12880" i="1"/>
  <c r="B12879" i="1"/>
  <c r="B12878" i="1"/>
  <c r="B12877" i="1"/>
  <c r="B12876" i="1"/>
  <c r="B12875" i="1"/>
  <c r="B12874" i="1"/>
  <c r="B12873" i="1"/>
  <c r="B12872" i="1"/>
  <c r="B12871" i="1"/>
  <c r="B12870" i="1"/>
  <c r="B12869" i="1"/>
  <c r="B12868" i="1"/>
  <c r="B12867" i="1"/>
  <c r="B12866" i="1"/>
  <c r="B12865" i="1"/>
  <c r="B12864" i="1"/>
  <c r="B12863" i="1"/>
  <c r="B12862" i="1"/>
  <c r="B12861" i="1"/>
  <c r="B12860" i="1"/>
  <c r="B12859" i="1"/>
  <c r="B12858" i="1"/>
  <c r="B12857" i="1"/>
  <c r="B12856" i="1"/>
  <c r="B12855" i="1"/>
  <c r="B12854" i="1"/>
  <c r="B12853" i="1"/>
  <c r="B12852" i="1"/>
  <c r="B12851" i="1"/>
  <c r="B12850" i="1"/>
  <c r="B12849" i="1"/>
  <c r="B12848" i="1"/>
  <c r="B12847" i="1"/>
  <c r="B12846" i="1"/>
  <c r="B12845" i="1"/>
  <c r="B12844" i="1"/>
  <c r="B12843" i="1"/>
  <c r="B12842" i="1"/>
  <c r="B12841" i="1"/>
  <c r="B12840" i="1"/>
  <c r="B12839" i="1"/>
  <c r="B12838" i="1"/>
  <c r="B12837" i="1"/>
  <c r="B12836" i="1"/>
  <c r="B12835" i="1"/>
  <c r="B12834" i="1"/>
  <c r="B12833" i="1"/>
  <c r="B12832" i="1"/>
  <c r="B12831" i="1"/>
  <c r="B12830" i="1"/>
  <c r="B12829" i="1"/>
  <c r="B12828" i="1"/>
  <c r="B12827" i="1"/>
  <c r="B12826" i="1"/>
  <c r="B12825" i="1"/>
  <c r="B12824" i="1"/>
  <c r="B12823" i="1"/>
  <c r="B12822" i="1"/>
  <c r="B12821" i="1"/>
  <c r="B12820" i="1"/>
  <c r="B12819" i="1"/>
  <c r="B12818" i="1"/>
  <c r="B12817" i="1"/>
  <c r="B12813" i="1"/>
  <c r="B12812" i="1"/>
  <c r="B12811" i="1"/>
  <c r="B12810" i="1"/>
  <c r="B12809" i="1"/>
  <c r="B12808" i="1"/>
  <c r="B12807" i="1"/>
  <c r="B12806" i="1"/>
  <c r="B12805" i="1"/>
  <c r="B12804" i="1"/>
  <c r="B12803" i="1"/>
  <c r="B12802" i="1"/>
  <c r="B12801" i="1"/>
  <c r="B12800" i="1"/>
  <c r="B12799" i="1"/>
  <c r="B12798" i="1"/>
  <c r="B12797" i="1"/>
  <c r="B12796" i="1"/>
  <c r="B12795" i="1"/>
  <c r="B12794" i="1"/>
  <c r="B12793" i="1"/>
  <c r="B12792" i="1"/>
  <c r="B12791" i="1"/>
  <c r="B12790" i="1"/>
  <c r="B12789" i="1"/>
  <c r="B12788" i="1"/>
  <c r="B12787" i="1"/>
  <c r="B12786" i="1"/>
  <c r="B12785" i="1"/>
  <c r="B12784" i="1"/>
  <c r="B12783" i="1"/>
  <c r="B12782" i="1"/>
  <c r="B12781" i="1"/>
  <c r="B12780" i="1"/>
  <c r="B12779" i="1"/>
  <c r="B12778" i="1"/>
  <c r="B12777" i="1"/>
  <c r="B12776" i="1"/>
  <c r="B12775" i="1"/>
  <c r="B12774" i="1"/>
  <c r="B12773" i="1"/>
  <c r="B12772" i="1"/>
  <c r="B12771" i="1"/>
  <c r="B12770" i="1"/>
  <c r="B12769" i="1"/>
  <c r="B12768" i="1"/>
  <c r="B12767" i="1"/>
  <c r="B12766" i="1"/>
  <c r="B12765" i="1"/>
  <c r="B12764" i="1"/>
  <c r="B12763" i="1"/>
  <c r="B12762" i="1"/>
  <c r="B12761" i="1"/>
  <c r="B12760" i="1"/>
  <c r="B12759" i="1"/>
  <c r="B12758" i="1"/>
  <c r="B12757" i="1"/>
  <c r="B12756" i="1"/>
  <c r="B12755" i="1"/>
  <c r="B12754" i="1"/>
  <c r="B12753" i="1"/>
  <c r="B12752" i="1"/>
  <c r="B12751" i="1"/>
  <c r="B12750" i="1"/>
  <c r="B12749" i="1"/>
  <c r="B12748" i="1"/>
  <c r="B12747" i="1"/>
  <c r="B12746" i="1"/>
  <c r="B12745" i="1"/>
  <c r="B12744" i="1"/>
  <c r="B12743" i="1"/>
  <c r="B12742" i="1"/>
  <c r="B12741" i="1"/>
  <c r="B12740" i="1"/>
  <c r="B12739" i="1"/>
  <c r="B12738" i="1"/>
  <c r="B12737" i="1"/>
  <c r="B12736" i="1"/>
  <c r="B12735" i="1"/>
  <c r="B12734" i="1"/>
  <c r="B12733" i="1"/>
  <c r="B12732" i="1"/>
  <c r="B12731" i="1"/>
  <c r="B12730" i="1"/>
  <c r="B12729" i="1"/>
  <c r="B12728" i="1"/>
  <c r="B12727" i="1"/>
  <c r="B12726" i="1"/>
  <c r="B12725" i="1"/>
  <c r="B12724" i="1"/>
  <c r="B12723" i="1"/>
  <c r="B12722" i="1"/>
  <c r="B12721" i="1"/>
  <c r="B12720" i="1"/>
  <c r="B12719" i="1"/>
  <c r="B12718" i="1"/>
  <c r="B12717" i="1"/>
  <c r="B12716" i="1"/>
  <c r="B12715" i="1"/>
  <c r="B12714" i="1"/>
  <c r="B12713" i="1"/>
  <c r="B12712" i="1"/>
  <c r="B12711" i="1"/>
  <c r="B12710" i="1"/>
  <c r="B12709" i="1"/>
  <c r="B12708" i="1"/>
  <c r="B12707" i="1"/>
  <c r="B12706" i="1"/>
  <c r="B12705" i="1"/>
  <c r="B12704" i="1"/>
  <c r="B12703" i="1"/>
  <c r="B12702" i="1"/>
  <c r="B12701" i="1"/>
  <c r="B12700" i="1"/>
  <c r="B12699" i="1"/>
  <c r="B12698" i="1"/>
  <c r="B12697" i="1"/>
  <c r="B12696" i="1"/>
  <c r="B12695" i="1"/>
  <c r="B12694" i="1"/>
  <c r="B12693" i="1"/>
  <c r="B12692" i="1"/>
  <c r="B12691" i="1"/>
  <c r="B12690" i="1"/>
  <c r="B12689" i="1"/>
  <c r="B12688" i="1"/>
  <c r="B12687" i="1"/>
  <c r="B12686" i="1"/>
  <c r="B12685" i="1"/>
  <c r="B12684" i="1"/>
  <c r="B12683" i="1"/>
  <c r="B12682" i="1"/>
  <c r="B12681" i="1"/>
  <c r="B12680" i="1"/>
  <c r="B12679" i="1"/>
  <c r="B12678" i="1"/>
  <c r="B12677" i="1"/>
  <c r="B12676" i="1"/>
  <c r="B12675" i="1"/>
  <c r="B12674" i="1"/>
  <c r="B12673" i="1"/>
  <c r="B12672" i="1"/>
  <c r="B12671" i="1"/>
  <c r="B12670" i="1"/>
  <c r="B12669" i="1"/>
  <c r="B12668" i="1"/>
  <c r="B12667" i="1"/>
  <c r="B12666" i="1"/>
  <c r="B12665" i="1"/>
  <c r="B12664" i="1"/>
  <c r="B12663" i="1"/>
  <c r="B12662" i="1"/>
  <c r="B12661" i="1"/>
  <c r="B12660" i="1"/>
  <c r="B12659" i="1"/>
  <c r="B12658" i="1"/>
  <c r="B12657" i="1"/>
  <c r="B12656" i="1"/>
  <c r="B12655" i="1"/>
  <c r="B12654" i="1"/>
  <c r="B12653" i="1"/>
  <c r="B12652" i="1"/>
  <c r="B12651" i="1"/>
  <c r="B12650" i="1"/>
  <c r="B12649" i="1"/>
  <c r="B12648" i="1"/>
  <c r="B12647" i="1"/>
  <c r="B12646" i="1"/>
  <c r="B12645" i="1"/>
  <c r="B12644" i="1"/>
  <c r="B12643" i="1"/>
  <c r="B12642" i="1"/>
  <c r="B12641" i="1"/>
  <c r="B12640" i="1"/>
  <c r="B12639" i="1"/>
  <c r="B12638" i="1"/>
  <c r="B12637" i="1"/>
  <c r="B12636" i="1"/>
  <c r="B12635" i="1"/>
  <c r="B12634" i="1"/>
  <c r="B12633" i="1"/>
  <c r="B12632" i="1"/>
  <c r="B12631" i="1"/>
  <c r="B12630" i="1"/>
  <c r="B12629" i="1"/>
  <c r="B12628" i="1"/>
  <c r="B12627" i="1"/>
  <c r="B12626" i="1"/>
  <c r="B12625" i="1"/>
  <c r="B12624" i="1"/>
  <c r="B12623" i="1"/>
  <c r="B12622" i="1"/>
  <c r="B12621" i="1"/>
  <c r="B12620" i="1"/>
  <c r="B12619" i="1"/>
  <c r="B12618" i="1"/>
  <c r="B12617" i="1"/>
  <c r="B12616" i="1"/>
  <c r="B12615" i="1"/>
  <c r="B12614" i="1"/>
  <c r="B12613" i="1"/>
  <c r="B12612" i="1"/>
  <c r="B12611" i="1"/>
  <c r="B12610" i="1"/>
  <c r="B12609" i="1"/>
  <c r="B12608" i="1"/>
  <c r="B12607" i="1"/>
  <c r="B12606" i="1"/>
  <c r="B12605" i="1"/>
  <c r="B12604" i="1"/>
  <c r="B12603" i="1"/>
  <c r="B12602" i="1"/>
  <c r="B12601" i="1"/>
  <c r="B12600" i="1"/>
  <c r="B12599" i="1"/>
  <c r="B12598" i="1"/>
  <c r="B12597" i="1"/>
  <c r="B12596" i="1"/>
  <c r="B12595" i="1"/>
  <c r="B12594" i="1"/>
  <c r="B12593" i="1"/>
  <c r="B12592" i="1"/>
  <c r="B12591" i="1"/>
  <c r="B12590" i="1"/>
  <c r="B12589" i="1"/>
  <c r="B12588" i="1"/>
  <c r="B12587" i="1"/>
  <c r="B12586" i="1"/>
  <c r="B12585" i="1"/>
  <c r="B12584" i="1"/>
  <c r="B12583" i="1"/>
  <c r="B12582" i="1"/>
  <c r="B12581" i="1"/>
  <c r="B12580" i="1"/>
  <c r="B12579" i="1"/>
  <c r="B12578" i="1"/>
  <c r="B12577" i="1"/>
  <c r="B12576" i="1"/>
  <c r="B12575" i="1"/>
  <c r="B12574" i="1"/>
  <c r="B12573" i="1"/>
  <c r="B12572" i="1"/>
  <c r="B12571" i="1"/>
  <c r="B12570" i="1"/>
  <c r="B12569" i="1"/>
  <c r="B12568" i="1"/>
  <c r="B12567" i="1"/>
  <c r="B12566" i="1"/>
  <c r="B12565" i="1"/>
  <c r="B12564" i="1"/>
  <c r="B12563" i="1"/>
  <c r="B12562" i="1"/>
  <c r="B12561" i="1"/>
  <c r="B12560" i="1"/>
  <c r="B12559" i="1"/>
  <c r="B12521" i="1"/>
  <c r="B12520" i="1"/>
  <c r="B12519" i="1"/>
  <c r="B12518" i="1"/>
  <c r="B12517" i="1"/>
  <c r="B12516" i="1"/>
  <c r="B12515" i="1"/>
  <c r="B12514" i="1"/>
  <c r="B12513" i="1"/>
  <c r="B12512" i="1"/>
  <c r="B12511" i="1"/>
  <c r="B12510" i="1"/>
  <c r="B12509" i="1"/>
  <c r="B12508" i="1"/>
  <c r="B12507" i="1"/>
  <c r="B12506" i="1"/>
  <c r="B12505" i="1"/>
  <c r="B12504" i="1"/>
  <c r="B12503" i="1"/>
  <c r="B12502" i="1"/>
  <c r="B12501" i="1"/>
  <c r="B12500" i="1"/>
  <c r="B12499" i="1"/>
  <c r="B12498" i="1"/>
  <c r="B12497" i="1"/>
  <c r="B12496" i="1"/>
  <c r="B12495" i="1"/>
  <c r="B12494" i="1"/>
  <c r="B12493" i="1"/>
  <c r="B12492" i="1"/>
  <c r="B12491" i="1"/>
  <c r="B12490" i="1"/>
  <c r="B12489" i="1"/>
  <c r="B12488" i="1"/>
  <c r="B12487" i="1"/>
  <c r="B12486" i="1"/>
  <c r="B12485" i="1"/>
  <c r="B12484" i="1"/>
  <c r="B12483" i="1"/>
  <c r="B12482" i="1"/>
  <c r="B12481" i="1"/>
  <c r="B12480" i="1"/>
  <c r="B12479" i="1"/>
  <c r="B12478" i="1"/>
  <c r="B12477" i="1"/>
  <c r="B12476" i="1"/>
  <c r="B12475" i="1"/>
  <c r="B12474" i="1"/>
  <c r="B12473" i="1"/>
  <c r="B12472" i="1"/>
  <c r="B12471" i="1"/>
  <c r="B12470" i="1"/>
  <c r="B12469" i="1"/>
  <c r="B12468" i="1"/>
  <c r="B12467" i="1"/>
  <c r="B12466" i="1"/>
  <c r="B12465" i="1"/>
  <c r="B12464" i="1"/>
  <c r="B12463" i="1"/>
  <c r="B12462" i="1"/>
  <c r="B12461" i="1"/>
  <c r="B12460" i="1"/>
  <c r="B12459" i="1"/>
  <c r="B12458" i="1"/>
  <c r="B12457" i="1"/>
  <c r="B12456" i="1"/>
  <c r="B12455" i="1"/>
  <c r="B12454" i="1"/>
  <c r="B12453" i="1"/>
  <c r="B12452" i="1"/>
  <c r="B12451" i="1"/>
  <c r="B12450" i="1"/>
  <c r="B12449" i="1"/>
  <c r="B12448" i="1"/>
  <c r="B12447" i="1"/>
  <c r="B12446" i="1"/>
  <c r="B12445" i="1"/>
  <c r="B12444" i="1"/>
  <c r="B12443" i="1"/>
  <c r="B12442" i="1"/>
  <c r="B12441" i="1"/>
  <c r="B12440" i="1"/>
  <c r="B12439" i="1"/>
  <c r="B12438" i="1"/>
  <c r="B12437" i="1"/>
  <c r="B12436" i="1"/>
  <c r="B12435" i="1"/>
  <c r="B12434" i="1"/>
  <c r="B12433" i="1"/>
  <c r="B12432" i="1"/>
  <c r="B12431" i="1"/>
  <c r="B12430" i="1"/>
  <c r="B12429" i="1"/>
  <c r="B12428" i="1"/>
  <c r="B12427" i="1"/>
  <c r="B12426" i="1"/>
  <c r="B12425" i="1"/>
  <c r="B12424" i="1"/>
  <c r="B12423" i="1"/>
  <c r="B12422" i="1"/>
  <c r="B12421" i="1"/>
  <c r="B12420" i="1"/>
  <c r="B12419" i="1"/>
  <c r="B12418" i="1"/>
  <c r="B12417" i="1"/>
  <c r="B12416" i="1"/>
  <c r="B12415" i="1"/>
  <c r="B12414" i="1"/>
  <c r="B12413" i="1"/>
  <c r="B12412" i="1"/>
  <c r="B12411" i="1"/>
  <c r="B12410" i="1"/>
  <c r="B12409" i="1"/>
  <c r="B12408" i="1"/>
  <c r="B12407" i="1"/>
  <c r="B12406" i="1"/>
  <c r="B12405" i="1"/>
  <c r="B12404" i="1"/>
  <c r="B12403" i="1"/>
  <c r="B12402" i="1"/>
  <c r="B12401" i="1"/>
  <c r="B12400" i="1"/>
  <c r="B12399" i="1"/>
  <c r="B12398" i="1"/>
  <c r="B12397" i="1"/>
  <c r="B12396" i="1"/>
  <c r="B12395" i="1"/>
  <c r="B12394" i="1"/>
  <c r="B12393" i="1"/>
  <c r="B12392" i="1"/>
  <c r="B12391" i="1"/>
  <c r="B12390" i="1"/>
  <c r="B12389" i="1"/>
  <c r="B12388" i="1"/>
  <c r="B12387" i="1"/>
  <c r="B12386" i="1"/>
  <c r="B12385" i="1"/>
  <c r="B12384" i="1"/>
  <c r="B12383" i="1"/>
  <c r="B12382" i="1"/>
  <c r="B12381" i="1"/>
  <c r="B12380" i="1"/>
  <c r="B12379" i="1"/>
  <c r="B12378" i="1"/>
  <c r="B12377" i="1"/>
  <c r="B12376" i="1"/>
  <c r="B12375" i="1"/>
  <c r="B12374" i="1"/>
  <c r="B12373" i="1"/>
  <c r="B12372" i="1"/>
  <c r="B12371" i="1"/>
  <c r="B12370" i="1"/>
  <c r="B12369" i="1"/>
  <c r="B12368" i="1"/>
  <c r="B12367" i="1"/>
  <c r="B12366" i="1"/>
  <c r="B12365" i="1"/>
  <c r="B12364" i="1"/>
  <c r="B12363" i="1"/>
  <c r="B12362" i="1"/>
  <c r="B12361" i="1"/>
  <c r="B12360" i="1"/>
  <c r="B12359" i="1"/>
  <c r="B12358" i="1"/>
  <c r="B12357" i="1"/>
  <c r="B12356" i="1"/>
  <c r="B12355" i="1"/>
  <c r="B12354" i="1"/>
  <c r="B12353" i="1"/>
  <c r="B12352" i="1"/>
  <c r="B12351" i="1"/>
  <c r="B12350" i="1"/>
  <c r="B12349" i="1"/>
  <c r="B12348" i="1"/>
  <c r="B12347" i="1"/>
  <c r="B12346" i="1"/>
  <c r="B12345" i="1"/>
  <c r="B12344" i="1"/>
  <c r="B12343" i="1"/>
  <c r="B12342" i="1"/>
  <c r="B12341" i="1"/>
  <c r="B12340" i="1"/>
  <c r="B12339" i="1"/>
  <c r="B12338" i="1"/>
  <c r="B12337" i="1"/>
  <c r="B12336" i="1"/>
  <c r="B12335" i="1"/>
  <c r="B12334" i="1"/>
  <c r="B12333" i="1"/>
  <c r="B12332" i="1"/>
  <c r="B12331" i="1"/>
  <c r="B12330" i="1"/>
  <c r="B12329" i="1"/>
  <c r="B12328" i="1"/>
  <c r="B12327" i="1"/>
  <c r="B12326" i="1"/>
  <c r="B12325" i="1"/>
  <c r="B12324" i="1"/>
  <c r="B12323" i="1"/>
  <c r="B12322" i="1"/>
  <c r="B12321" i="1"/>
  <c r="B12320" i="1"/>
  <c r="B12319" i="1"/>
  <c r="B12318" i="1"/>
  <c r="B12317" i="1"/>
  <c r="B12316" i="1"/>
  <c r="B12315" i="1"/>
  <c r="B12314" i="1"/>
  <c r="B12313" i="1"/>
  <c r="B12312" i="1"/>
  <c r="B12311" i="1"/>
  <c r="B12310" i="1"/>
  <c r="B12309" i="1"/>
  <c r="B12308" i="1"/>
  <c r="B12307" i="1"/>
  <c r="B12306" i="1"/>
  <c r="B12305" i="1"/>
  <c r="B12304" i="1"/>
  <c r="B12303" i="1"/>
  <c r="B12302" i="1"/>
  <c r="B12301" i="1"/>
  <c r="B12300" i="1"/>
  <c r="B12299" i="1"/>
  <c r="B12298" i="1"/>
  <c r="B12297" i="1"/>
  <c r="B12296" i="1"/>
  <c r="B12295" i="1"/>
  <c r="B12294" i="1"/>
  <c r="B12293" i="1"/>
  <c r="B12292" i="1"/>
  <c r="B12291" i="1"/>
  <c r="B12290" i="1"/>
  <c r="B12289" i="1"/>
  <c r="B12288" i="1"/>
  <c r="B12287" i="1"/>
  <c r="B12286" i="1"/>
  <c r="B12285" i="1"/>
  <c r="B12284" i="1"/>
  <c r="B12283" i="1"/>
  <c r="B12282" i="1"/>
  <c r="B12281" i="1"/>
  <c r="B12280" i="1"/>
  <c r="B12279" i="1"/>
  <c r="B12278" i="1"/>
  <c r="B12277" i="1"/>
  <c r="B12276" i="1"/>
  <c r="B12275" i="1"/>
  <c r="B12274" i="1"/>
  <c r="B12273" i="1"/>
  <c r="B12272" i="1"/>
  <c r="B12271" i="1"/>
  <c r="B12270" i="1"/>
  <c r="B12269" i="1"/>
  <c r="B12268" i="1"/>
  <c r="B12267" i="1"/>
  <c r="B12266" i="1"/>
  <c r="B12265" i="1"/>
  <c r="B12264" i="1"/>
  <c r="B12263" i="1"/>
  <c r="B12262" i="1"/>
  <c r="B12261" i="1"/>
  <c r="B12260" i="1"/>
  <c r="B12259" i="1"/>
  <c r="B12258" i="1"/>
  <c r="B12257" i="1"/>
  <c r="B12256" i="1"/>
  <c r="B12255" i="1"/>
  <c r="B12254" i="1"/>
  <c r="B12253" i="1"/>
  <c r="B12252" i="1"/>
  <c r="B12251" i="1"/>
  <c r="B12250" i="1"/>
  <c r="B12249" i="1"/>
  <c r="B12248" i="1"/>
  <c r="B12247" i="1"/>
  <c r="B12246" i="1"/>
  <c r="B12245" i="1"/>
  <c r="B12244" i="1"/>
  <c r="B12243" i="1"/>
  <c r="B12242" i="1"/>
  <c r="B12241" i="1"/>
  <c r="B12240" i="1"/>
  <c r="B12239" i="1"/>
  <c r="B12238" i="1"/>
  <c r="B12237" i="1"/>
  <c r="B12236" i="1"/>
  <c r="B12235" i="1"/>
  <c r="B12234" i="1"/>
  <c r="B12233" i="1"/>
  <c r="B12232" i="1"/>
  <c r="B12231" i="1"/>
  <c r="B12230" i="1"/>
  <c r="B12229" i="1"/>
  <c r="B12228" i="1"/>
  <c r="B12227" i="1"/>
  <c r="B12226" i="1"/>
  <c r="B12225" i="1"/>
  <c r="B12224" i="1"/>
  <c r="B12223" i="1"/>
  <c r="B12222" i="1"/>
  <c r="B12221" i="1"/>
  <c r="B12220" i="1"/>
  <c r="B12219" i="1"/>
  <c r="B12218" i="1"/>
  <c r="B12217" i="1"/>
  <c r="B12216" i="1"/>
  <c r="B12215" i="1"/>
  <c r="B12214" i="1"/>
  <c r="B12213" i="1"/>
  <c r="B12194" i="1"/>
  <c r="B12193" i="1"/>
  <c r="B12192" i="1"/>
  <c r="B12191" i="1"/>
  <c r="B12190" i="1"/>
  <c r="B12189" i="1"/>
  <c r="B12188" i="1"/>
  <c r="B12187" i="1"/>
  <c r="B12186" i="1"/>
  <c r="B12185" i="1"/>
  <c r="B12184" i="1"/>
  <c r="B12183" i="1"/>
  <c r="B12182" i="1"/>
  <c r="B12181" i="1"/>
  <c r="B12180" i="1"/>
  <c r="B12179" i="1"/>
  <c r="B12178" i="1"/>
  <c r="B12177" i="1"/>
  <c r="B12176" i="1"/>
  <c r="B12175" i="1"/>
  <c r="B12174" i="1"/>
  <c r="B12173" i="1"/>
  <c r="B12172" i="1"/>
  <c r="B12171" i="1"/>
  <c r="B12170" i="1"/>
  <c r="B12169" i="1"/>
  <c r="B12168" i="1"/>
  <c r="B12167" i="1"/>
  <c r="B12166" i="1"/>
  <c r="B12165" i="1"/>
  <c r="B12164" i="1"/>
  <c r="B12163" i="1"/>
  <c r="B12162" i="1"/>
  <c r="B12161" i="1"/>
  <c r="B12160" i="1"/>
  <c r="B12159" i="1"/>
  <c r="B12158" i="1"/>
  <c r="B12157" i="1"/>
  <c r="B12156" i="1"/>
  <c r="B12155" i="1"/>
  <c r="B12154" i="1"/>
  <c r="B12153" i="1"/>
  <c r="B12152" i="1"/>
  <c r="B12151" i="1"/>
  <c r="B12150" i="1"/>
  <c r="B12149" i="1"/>
  <c r="B12148" i="1"/>
  <c r="B12147" i="1"/>
  <c r="B12146" i="1"/>
  <c r="B12145" i="1"/>
  <c r="B12144" i="1"/>
  <c r="B12143" i="1"/>
  <c r="B12142" i="1"/>
  <c r="B12141" i="1"/>
  <c r="B12140" i="1"/>
  <c r="B12139" i="1"/>
  <c r="B12138" i="1"/>
  <c r="B12137" i="1"/>
  <c r="B12136" i="1"/>
  <c r="B12135" i="1"/>
  <c r="B12134" i="1"/>
  <c r="B12133" i="1"/>
  <c r="B12132" i="1"/>
  <c r="B12131" i="1"/>
  <c r="B12130" i="1"/>
  <c r="B12129" i="1"/>
  <c r="B12128" i="1"/>
  <c r="B12127" i="1"/>
  <c r="B12126" i="1"/>
  <c r="B12125" i="1"/>
  <c r="B12124" i="1"/>
  <c r="B12123" i="1"/>
  <c r="B12122" i="1"/>
  <c r="B12121" i="1"/>
  <c r="B12120" i="1"/>
  <c r="B12119" i="1"/>
  <c r="B12118" i="1"/>
  <c r="B12117" i="1"/>
  <c r="B12116" i="1"/>
  <c r="B12115" i="1"/>
  <c r="B12114" i="1"/>
  <c r="B12113" i="1"/>
  <c r="B12112" i="1"/>
  <c r="B12111" i="1"/>
  <c r="B12110" i="1"/>
  <c r="B12109" i="1"/>
  <c r="B12108" i="1"/>
  <c r="B12107" i="1"/>
  <c r="B12106" i="1"/>
  <c r="B12105" i="1"/>
  <c r="B12104" i="1"/>
  <c r="B12103" i="1"/>
  <c r="B12102" i="1"/>
  <c r="B12101" i="1"/>
  <c r="B12100" i="1"/>
  <c r="B12099" i="1"/>
  <c r="B12098" i="1"/>
  <c r="B12097" i="1"/>
  <c r="B12090" i="1"/>
  <c r="B12089" i="1"/>
  <c r="B12088" i="1"/>
  <c r="B12087" i="1"/>
  <c r="B12086" i="1"/>
  <c r="B12085" i="1"/>
  <c r="B12084" i="1"/>
  <c r="B12083" i="1"/>
  <c r="B12082" i="1"/>
  <c r="B12081" i="1"/>
  <c r="B12080" i="1"/>
  <c r="B12079" i="1"/>
  <c r="B12078" i="1"/>
  <c r="B12077" i="1"/>
  <c r="B12076" i="1"/>
  <c r="B12075" i="1"/>
  <c r="B12074" i="1"/>
  <c r="B12073" i="1"/>
  <c r="B12072" i="1"/>
  <c r="B12071" i="1"/>
  <c r="B12070" i="1"/>
  <c r="B12069" i="1"/>
  <c r="B12068" i="1"/>
  <c r="B12067" i="1"/>
  <c r="B12066" i="1"/>
  <c r="B12065" i="1"/>
  <c r="B12064" i="1"/>
  <c r="B12063" i="1"/>
  <c r="B12062" i="1"/>
  <c r="B12061" i="1"/>
  <c r="B12060" i="1"/>
  <c r="B12059" i="1"/>
  <c r="B12058" i="1"/>
  <c r="B12057" i="1"/>
  <c r="B12056" i="1"/>
  <c r="B12055" i="1"/>
  <c r="B12054" i="1"/>
  <c r="B12053" i="1"/>
  <c r="B12052" i="1"/>
  <c r="B12051" i="1"/>
  <c r="B12050" i="1"/>
  <c r="B12049" i="1"/>
  <c r="B12048" i="1"/>
  <c r="B12047" i="1"/>
  <c r="B12046" i="1"/>
  <c r="B12045" i="1"/>
  <c r="B12044" i="1"/>
  <c r="B12043" i="1"/>
  <c r="B12042" i="1"/>
  <c r="B12041" i="1"/>
  <c r="B12040" i="1"/>
  <c r="B12039" i="1"/>
  <c r="B12038" i="1"/>
  <c r="B12037" i="1"/>
  <c r="B12036" i="1"/>
  <c r="B12035" i="1"/>
  <c r="B12034" i="1"/>
  <c r="B12033" i="1"/>
  <c r="B12032" i="1"/>
  <c r="B12031" i="1"/>
  <c r="B12030" i="1"/>
  <c r="B12029" i="1"/>
  <c r="B12028" i="1"/>
  <c r="B12027" i="1"/>
  <c r="B12026" i="1"/>
  <c r="B12025" i="1"/>
  <c r="B12024" i="1"/>
  <c r="B12023" i="1"/>
  <c r="B12022" i="1"/>
  <c r="B12021" i="1"/>
  <c r="B12020" i="1"/>
  <c r="B12019" i="1"/>
  <c r="B12018" i="1"/>
  <c r="B12017" i="1"/>
  <c r="B12016" i="1"/>
  <c r="B12015" i="1"/>
  <c r="B12014" i="1"/>
  <c r="B12013" i="1"/>
  <c r="B12012" i="1"/>
  <c r="B12011" i="1"/>
  <c r="B12010" i="1"/>
  <c r="B12009" i="1"/>
  <c r="B12008" i="1"/>
  <c r="B12007" i="1"/>
  <c r="B12006" i="1"/>
  <c r="B12005" i="1"/>
  <c r="B12004" i="1"/>
  <c r="B12003" i="1"/>
  <c r="B12002" i="1"/>
  <c r="B12001" i="1"/>
  <c r="B12000" i="1"/>
  <c r="B11999" i="1"/>
  <c r="B11998" i="1"/>
  <c r="B11997" i="1"/>
  <c r="B11996" i="1"/>
  <c r="B11995" i="1"/>
  <c r="B11994" i="1"/>
  <c r="B11993" i="1"/>
  <c r="B11992" i="1"/>
  <c r="B11991" i="1"/>
  <c r="B11990" i="1"/>
  <c r="B11989" i="1"/>
  <c r="B11988" i="1"/>
  <c r="B11987" i="1"/>
  <c r="B11986" i="1"/>
  <c r="B11985" i="1"/>
  <c r="B11984" i="1"/>
  <c r="B11983" i="1"/>
  <c r="B11982" i="1"/>
  <c r="B11981" i="1"/>
  <c r="B11980" i="1"/>
  <c r="B11979" i="1"/>
  <c r="B11978" i="1"/>
  <c r="B11977" i="1"/>
  <c r="B11976" i="1"/>
  <c r="B11975" i="1"/>
  <c r="B11974" i="1"/>
  <c r="B11973" i="1"/>
  <c r="B11972" i="1"/>
  <c r="B11971" i="1"/>
  <c r="B11970" i="1"/>
  <c r="B11969" i="1"/>
  <c r="B11968" i="1"/>
  <c r="B11967" i="1"/>
  <c r="B11966" i="1"/>
  <c r="B11965" i="1"/>
  <c r="B11964" i="1"/>
  <c r="B11963" i="1"/>
  <c r="B11962" i="1"/>
  <c r="B11961" i="1"/>
  <c r="B11960" i="1"/>
  <c r="B11959" i="1"/>
  <c r="B11958" i="1"/>
  <c r="B11957" i="1"/>
  <c r="B11956" i="1"/>
  <c r="B11955" i="1"/>
  <c r="B11954" i="1"/>
  <c r="B11953" i="1"/>
  <c r="B11952" i="1"/>
  <c r="B11951" i="1"/>
  <c r="B11950" i="1"/>
  <c r="B11949" i="1"/>
  <c r="B11948" i="1"/>
  <c r="B11947" i="1"/>
  <c r="B11946" i="1"/>
  <c r="B11945" i="1"/>
  <c r="B11944" i="1"/>
  <c r="B11943" i="1"/>
  <c r="B11942" i="1"/>
  <c r="B11941" i="1"/>
  <c r="B11940" i="1"/>
  <c r="B11939" i="1"/>
  <c r="B11938" i="1"/>
  <c r="B11937" i="1"/>
  <c r="B11936" i="1"/>
  <c r="B11935" i="1"/>
  <c r="B11934" i="1"/>
  <c r="B11933" i="1"/>
  <c r="B11932" i="1"/>
  <c r="B11931" i="1"/>
  <c r="B11930" i="1"/>
  <c r="B11929" i="1"/>
  <c r="B11928" i="1"/>
  <c r="B11927" i="1"/>
  <c r="B11926" i="1"/>
  <c r="B11925" i="1"/>
  <c r="B11924" i="1"/>
  <c r="B11923" i="1"/>
  <c r="B11922" i="1"/>
  <c r="B11921" i="1"/>
  <c r="B11920" i="1"/>
  <c r="B11919" i="1"/>
  <c r="B11918" i="1"/>
  <c r="B11917" i="1"/>
  <c r="B11916" i="1"/>
  <c r="B11915" i="1"/>
  <c r="B11914" i="1"/>
  <c r="B11913" i="1"/>
  <c r="B11912" i="1"/>
  <c r="B11911" i="1"/>
  <c r="B11910" i="1"/>
  <c r="B11909" i="1"/>
  <c r="B11908" i="1"/>
  <c r="B11907" i="1"/>
  <c r="B11898" i="1"/>
  <c r="B11897" i="1"/>
  <c r="B11896" i="1"/>
  <c r="B11895" i="1"/>
  <c r="B11894" i="1"/>
  <c r="B11893" i="1"/>
  <c r="B11892" i="1"/>
  <c r="B11891" i="1"/>
  <c r="B11890" i="1"/>
  <c r="B11889" i="1"/>
  <c r="B11888" i="1"/>
  <c r="B11887" i="1"/>
  <c r="B11886" i="1"/>
  <c r="B11885" i="1"/>
  <c r="B11884" i="1"/>
  <c r="B11883" i="1"/>
  <c r="B11882" i="1"/>
  <c r="B11881" i="1"/>
  <c r="B11880" i="1"/>
  <c r="B11879" i="1"/>
  <c r="B11878" i="1"/>
  <c r="B11877" i="1"/>
  <c r="B11876" i="1"/>
  <c r="B11875" i="1"/>
  <c r="B11874" i="1"/>
  <c r="B11873" i="1"/>
  <c r="B11872" i="1"/>
  <c r="B11871" i="1"/>
  <c r="B11870" i="1"/>
  <c r="B11869" i="1"/>
  <c r="B11868" i="1"/>
  <c r="B11867" i="1"/>
  <c r="B11866" i="1"/>
  <c r="B11865" i="1"/>
  <c r="B11864" i="1"/>
  <c r="B11863" i="1"/>
  <c r="B11862" i="1"/>
  <c r="B11861" i="1"/>
  <c r="B11860" i="1"/>
  <c r="B11859" i="1"/>
  <c r="B11858" i="1"/>
  <c r="B11857" i="1"/>
  <c r="B11856" i="1"/>
  <c r="B11855" i="1"/>
  <c r="B11854" i="1"/>
  <c r="B11853" i="1"/>
  <c r="B11852" i="1"/>
  <c r="B11851" i="1"/>
  <c r="B11850" i="1"/>
  <c r="B11849" i="1"/>
  <c r="B11848" i="1"/>
  <c r="B11847" i="1"/>
  <c r="B11846" i="1"/>
  <c r="B11845" i="1"/>
  <c r="B11844" i="1"/>
  <c r="B11843" i="1"/>
  <c r="B11842" i="1"/>
  <c r="B11841" i="1"/>
  <c r="B11840" i="1"/>
  <c r="B11839" i="1"/>
  <c r="B11838" i="1"/>
  <c r="B11837" i="1"/>
  <c r="B11836" i="1"/>
  <c r="B11835" i="1"/>
  <c r="B11834" i="1"/>
  <c r="B11833" i="1"/>
  <c r="B11832" i="1"/>
  <c r="B11831" i="1"/>
  <c r="B11830" i="1"/>
  <c r="B11829" i="1"/>
  <c r="B11828" i="1"/>
  <c r="B11827" i="1"/>
  <c r="B11826" i="1"/>
  <c r="B11825" i="1"/>
  <c r="B11824" i="1"/>
  <c r="B11823" i="1"/>
  <c r="B11822" i="1"/>
  <c r="B11821" i="1"/>
  <c r="B11820" i="1"/>
  <c r="B11819" i="1"/>
  <c r="B11818" i="1"/>
  <c r="B11817" i="1"/>
  <c r="B11816" i="1"/>
  <c r="B11815" i="1"/>
  <c r="B11814" i="1"/>
  <c r="B11813" i="1"/>
  <c r="B11812" i="1"/>
  <c r="B11811" i="1"/>
  <c r="B11810" i="1"/>
  <c r="B11809" i="1"/>
  <c r="B11808" i="1"/>
  <c r="B11807" i="1"/>
  <c r="B11806" i="1"/>
  <c r="B11805" i="1"/>
  <c r="B11804" i="1"/>
  <c r="B11803" i="1"/>
  <c r="B11802" i="1"/>
  <c r="B11801" i="1"/>
  <c r="B11800" i="1"/>
  <c r="B11799" i="1"/>
  <c r="B11798" i="1"/>
  <c r="B11797" i="1"/>
  <c r="B11796" i="1"/>
  <c r="B11795" i="1"/>
  <c r="B11794" i="1"/>
  <c r="B11793" i="1"/>
  <c r="B11792" i="1"/>
  <c r="B11791" i="1"/>
  <c r="B11790" i="1"/>
  <c r="B11789" i="1"/>
  <c r="B11788" i="1"/>
  <c r="B11787" i="1"/>
  <c r="B11786" i="1"/>
  <c r="B11785" i="1"/>
  <c r="B11784" i="1"/>
  <c r="B11783" i="1"/>
  <c r="B11782" i="1"/>
  <c r="B11781" i="1"/>
  <c r="B11780" i="1"/>
  <c r="B11779" i="1"/>
  <c r="B11778" i="1"/>
  <c r="B11777" i="1"/>
  <c r="B11776" i="1"/>
  <c r="B11775" i="1"/>
  <c r="B11774" i="1"/>
  <c r="B11773" i="1"/>
  <c r="B11772" i="1"/>
  <c r="B11771" i="1"/>
  <c r="B11770" i="1"/>
  <c r="B11769" i="1"/>
  <c r="B11768" i="1"/>
  <c r="B11767" i="1"/>
  <c r="B11766" i="1"/>
  <c r="B11765" i="1"/>
  <c r="B11764" i="1"/>
  <c r="B11763" i="1"/>
  <c r="B11762" i="1"/>
  <c r="B11761" i="1"/>
  <c r="B11760" i="1"/>
  <c r="B11759" i="1"/>
  <c r="B11758" i="1"/>
  <c r="B11757" i="1"/>
  <c r="B11756" i="1"/>
  <c r="B11755" i="1"/>
  <c r="B11754" i="1"/>
  <c r="B11753" i="1"/>
  <c r="B11752" i="1"/>
  <c r="B11751" i="1"/>
  <c r="B11750" i="1"/>
  <c r="B11749" i="1"/>
  <c r="B11748" i="1"/>
  <c r="B11747" i="1"/>
  <c r="B11746" i="1"/>
  <c r="B11745" i="1"/>
  <c r="B11744" i="1"/>
  <c r="B11743" i="1"/>
  <c r="B11742" i="1"/>
  <c r="B11741" i="1"/>
  <c r="B11740" i="1"/>
  <c r="B11739" i="1"/>
  <c r="B11738" i="1"/>
  <c r="B11737" i="1"/>
  <c r="B11736" i="1"/>
  <c r="B11735" i="1"/>
  <c r="B11734" i="1"/>
  <c r="B11733" i="1"/>
  <c r="B11732" i="1"/>
  <c r="B11731" i="1"/>
  <c r="B11730" i="1"/>
  <c r="B11729" i="1"/>
  <c r="B11728" i="1"/>
  <c r="B11727" i="1"/>
  <c r="B11726" i="1"/>
  <c r="B11725" i="1"/>
  <c r="B11724" i="1"/>
  <c r="B11723" i="1"/>
  <c r="B11722" i="1"/>
  <c r="B11721" i="1"/>
  <c r="B11720" i="1"/>
  <c r="B11719" i="1"/>
  <c r="B11718" i="1"/>
  <c r="B11717" i="1"/>
  <c r="B11716" i="1"/>
  <c r="B11715" i="1"/>
  <c r="B11714" i="1"/>
  <c r="B11713" i="1"/>
  <c r="B11712" i="1"/>
  <c r="B11711" i="1"/>
  <c r="B11710" i="1"/>
  <c r="B11709" i="1"/>
  <c r="B11708" i="1"/>
  <c r="B11707" i="1"/>
  <c r="B11706" i="1"/>
  <c r="B11705" i="1"/>
  <c r="B11704" i="1"/>
  <c r="B11703" i="1"/>
  <c r="B11702" i="1"/>
  <c r="B11701" i="1"/>
  <c r="B11700" i="1"/>
  <c r="B11699" i="1"/>
  <c r="B11698" i="1"/>
  <c r="B11697" i="1"/>
  <c r="B11696" i="1"/>
  <c r="B11695" i="1"/>
  <c r="B11694" i="1"/>
  <c r="B11693" i="1"/>
  <c r="B11692" i="1"/>
  <c r="B11691" i="1"/>
  <c r="B11690" i="1"/>
  <c r="B11689" i="1"/>
  <c r="B11688" i="1"/>
  <c r="B11687" i="1"/>
  <c r="B11686" i="1"/>
  <c r="B11685" i="1"/>
  <c r="B11684" i="1"/>
  <c r="B11683" i="1"/>
  <c r="B11682" i="1"/>
  <c r="B11681" i="1"/>
  <c r="B11680" i="1"/>
  <c r="B11679" i="1"/>
  <c r="B11678" i="1"/>
  <c r="B11677" i="1"/>
  <c r="B11676" i="1"/>
  <c r="B11675" i="1"/>
  <c r="B11674" i="1"/>
  <c r="B11673" i="1"/>
  <c r="B11672" i="1"/>
  <c r="B11671" i="1"/>
  <c r="B11670" i="1"/>
  <c r="B11669" i="1"/>
  <c r="B11668" i="1"/>
  <c r="B11667" i="1"/>
  <c r="B11666" i="1"/>
  <c r="B11665" i="1"/>
  <c r="B11664" i="1"/>
  <c r="B11663" i="1"/>
  <c r="B11662" i="1"/>
  <c r="B11661" i="1"/>
  <c r="B11660" i="1"/>
  <c r="B11659" i="1"/>
  <c r="B11658" i="1"/>
  <c r="B11657" i="1"/>
  <c r="B11656" i="1"/>
  <c r="B11655" i="1"/>
  <c r="B11654" i="1"/>
  <c r="B11653" i="1"/>
  <c r="B11652" i="1"/>
  <c r="B11651" i="1"/>
  <c r="B11650" i="1"/>
  <c r="B11649" i="1"/>
  <c r="B11648" i="1"/>
  <c r="B11647" i="1"/>
  <c r="B11646" i="1"/>
  <c r="B11645" i="1"/>
  <c r="B11644" i="1"/>
  <c r="B11643" i="1"/>
  <c r="B11642" i="1"/>
  <c r="B11641" i="1"/>
  <c r="B11640" i="1"/>
  <c r="B11639" i="1"/>
  <c r="B11638" i="1"/>
  <c r="B11637" i="1"/>
  <c r="B11636" i="1"/>
  <c r="B11635" i="1"/>
  <c r="B11634" i="1"/>
  <c r="B11633" i="1"/>
  <c r="B11632" i="1"/>
  <c r="B11631" i="1"/>
  <c r="B11630" i="1"/>
  <c r="B11629" i="1"/>
  <c r="B11628" i="1"/>
  <c r="B11627" i="1"/>
  <c r="B11626" i="1"/>
  <c r="B11625" i="1"/>
  <c r="B11624" i="1"/>
  <c r="B11623" i="1"/>
  <c r="B11622" i="1"/>
  <c r="B11621" i="1"/>
  <c r="B11620" i="1"/>
  <c r="B11619" i="1"/>
  <c r="B11618" i="1"/>
  <c r="B11617" i="1"/>
  <c r="B11616" i="1"/>
  <c r="B11615" i="1"/>
  <c r="B11614" i="1"/>
  <c r="B11613" i="1"/>
  <c r="B11612" i="1"/>
  <c r="B11611" i="1"/>
  <c r="B11610" i="1"/>
  <c r="B11609" i="1"/>
  <c r="B11608" i="1"/>
  <c r="B11607" i="1"/>
  <c r="B11606" i="1"/>
  <c r="B11605" i="1"/>
  <c r="B11604" i="1"/>
  <c r="B11603" i="1"/>
  <c r="B11602" i="1"/>
  <c r="B11601" i="1"/>
  <c r="B11600" i="1"/>
  <c r="B11599" i="1"/>
  <c r="B11598" i="1"/>
  <c r="B11597" i="1"/>
  <c r="B11596" i="1"/>
  <c r="B11595" i="1"/>
  <c r="B11594" i="1"/>
  <c r="B11593" i="1"/>
  <c r="B11592" i="1"/>
  <c r="B11591" i="1"/>
  <c r="B11590" i="1"/>
  <c r="B11589" i="1"/>
  <c r="B11588" i="1"/>
  <c r="B11587" i="1"/>
  <c r="B11586" i="1"/>
  <c r="B11585" i="1"/>
  <c r="B11584" i="1"/>
  <c r="B11583" i="1"/>
  <c r="B11582" i="1"/>
  <c r="B11581" i="1"/>
  <c r="B11580" i="1"/>
  <c r="B11579" i="1"/>
  <c r="B11578" i="1"/>
  <c r="B11577" i="1"/>
  <c r="B11576" i="1"/>
  <c r="B11575" i="1"/>
  <c r="B11574" i="1"/>
  <c r="B11573" i="1"/>
  <c r="B11572" i="1"/>
  <c r="B11571" i="1"/>
  <c r="B11570" i="1"/>
  <c r="B11569" i="1"/>
  <c r="B11568" i="1"/>
  <c r="B11567" i="1"/>
  <c r="B11566" i="1"/>
  <c r="B11565" i="1"/>
  <c r="B11564" i="1"/>
  <c r="B11563" i="1"/>
  <c r="B11562" i="1"/>
  <c r="B11561" i="1"/>
  <c r="B11560" i="1"/>
  <c r="B11559" i="1"/>
  <c r="B11558" i="1"/>
  <c r="B11557" i="1"/>
  <c r="B11556" i="1"/>
  <c r="B11555" i="1"/>
  <c r="B11554" i="1"/>
  <c r="B11553" i="1"/>
  <c r="B11552" i="1"/>
  <c r="B11551" i="1"/>
  <c r="B11550" i="1"/>
  <c r="B11549" i="1"/>
  <c r="B11548" i="1"/>
  <c r="B11547" i="1"/>
  <c r="B11546" i="1"/>
  <c r="B11545" i="1"/>
  <c r="B11544" i="1"/>
  <c r="B11543" i="1"/>
  <c r="B11542" i="1"/>
  <c r="B11541" i="1"/>
  <c r="B11540" i="1"/>
  <c r="B11539" i="1"/>
  <c r="B11538" i="1"/>
  <c r="B11537" i="1"/>
  <c r="B11536" i="1"/>
  <c r="B11535" i="1"/>
  <c r="B11534" i="1"/>
  <c r="B11533" i="1"/>
  <c r="B11532" i="1"/>
  <c r="B11531" i="1"/>
  <c r="B11530" i="1"/>
  <c r="B11529" i="1"/>
  <c r="B11528" i="1"/>
  <c r="B11527" i="1"/>
  <c r="B11526" i="1"/>
  <c r="B11525" i="1"/>
  <c r="B11524" i="1"/>
  <c r="B11523" i="1"/>
  <c r="B11522" i="1"/>
  <c r="B11521" i="1"/>
  <c r="B11520" i="1"/>
  <c r="B11519" i="1"/>
  <c r="B11518" i="1"/>
  <c r="B11517" i="1"/>
  <c r="B11516" i="1"/>
  <c r="B11515" i="1"/>
  <c r="B11514" i="1"/>
  <c r="B11513" i="1"/>
  <c r="B11512" i="1"/>
  <c r="B11511" i="1"/>
  <c r="B11510" i="1"/>
  <c r="B11509" i="1"/>
  <c r="B11508" i="1"/>
  <c r="B11507" i="1"/>
  <c r="B11506" i="1"/>
  <c r="B11505" i="1"/>
  <c r="B11504" i="1"/>
  <c r="B11503" i="1"/>
  <c r="B11502" i="1"/>
  <c r="B11501" i="1"/>
  <c r="B11500" i="1"/>
  <c r="B11499" i="1"/>
  <c r="B11498" i="1"/>
  <c r="B11497" i="1"/>
  <c r="B11496" i="1"/>
  <c r="B11495" i="1"/>
  <c r="B11494" i="1"/>
  <c r="B11493" i="1"/>
  <c r="B11492" i="1"/>
  <c r="B11491" i="1"/>
  <c r="B11490" i="1"/>
  <c r="B11489" i="1"/>
  <c r="B11488" i="1"/>
  <c r="B11487" i="1"/>
  <c r="B11486" i="1"/>
  <c r="B11485" i="1"/>
  <c r="B11484" i="1"/>
  <c r="B11483" i="1"/>
  <c r="B11482" i="1"/>
  <c r="B11481" i="1"/>
  <c r="B11480" i="1"/>
  <c r="B11479" i="1"/>
  <c r="B11478" i="1"/>
  <c r="B11477" i="1"/>
  <c r="B11476" i="1"/>
  <c r="B11475" i="1"/>
  <c r="B11474" i="1"/>
  <c r="B11473" i="1"/>
  <c r="B11472" i="1"/>
  <c r="B11471" i="1"/>
  <c r="B11470" i="1"/>
  <c r="B11469" i="1"/>
  <c r="B11468" i="1"/>
  <c r="B11467" i="1"/>
  <c r="B11466" i="1"/>
  <c r="B11465" i="1"/>
  <c r="B11464" i="1"/>
  <c r="B11463" i="1"/>
  <c r="B11462" i="1"/>
  <c r="B11461" i="1"/>
  <c r="B11460" i="1"/>
  <c r="B11459" i="1"/>
  <c r="B11458" i="1"/>
  <c r="B11457" i="1"/>
  <c r="B11456" i="1"/>
  <c r="B11455" i="1"/>
  <c r="B11454" i="1"/>
  <c r="B11453" i="1"/>
  <c r="B11452" i="1"/>
  <c r="B11451" i="1"/>
  <c r="B11450" i="1"/>
  <c r="B11449" i="1"/>
  <c r="B11448" i="1"/>
  <c r="B11447" i="1"/>
  <c r="B11446" i="1"/>
  <c r="B11445" i="1"/>
  <c r="B11444" i="1"/>
  <c r="B11443" i="1"/>
  <c r="B11442" i="1"/>
  <c r="B11441" i="1"/>
  <c r="B11440" i="1"/>
  <c r="B11439" i="1"/>
  <c r="B11438" i="1"/>
  <c r="B11437" i="1"/>
  <c r="B11436" i="1"/>
  <c r="B11435" i="1"/>
  <c r="B11434" i="1"/>
  <c r="B11433" i="1"/>
  <c r="B11432" i="1"/>
  <c r="B11431" i="1"/>
  <c r="B11430" i="1"/>
  <c r="B11429" i="1"/>
  <c r="B11428" i="1"/>
  <c r="B11427" i="1"/>
  <c r="B11426" i="1"/>
  <c r="B11425" i="1"/>
  <c r="B11424" i="1"/>
  <c r="B11423" i="1"/>
  <c r="B11422" i="1"/>
  <c r="B11421" i="1"/>
  <c r="B11420" i="1"/>
  <c r="B11419" i="1"/>
  <c r="B11418" i="1"/>
  <c r="B11417" i="1"/>
  <c r="B11416" i="1"/>
  <c r="B11415" i="1"/>
  <c r="B11414" i="1"/>
  <c r="B11413" i="1"/>
  <c r="B11412" i="1"/>
  <c r="B11411" i="1"/>
  <c r="B11410" i="1"/>
  <c r="B11409" i="1"/>
  <c r="B11408" i="1"/>
  <c r="B11407" i="1"/>
  <c r="B11406" i="1"/>
  <c r="B11405" i="1"/>
  <c r="B11404" i="1"/>
  <c r="B11403" i="1"/>
  <c r="B11402" i="1"/>
  <c r="B11401" i="1"/>
  <c r="B11400" i="1"/>
  <c r="B11399" i="1"/>
  <c r="B11398" i="1"/>
  <c r="B11397" i="1"/>
  <c r="B11396" i="1"/>
  <c r="B11395" i="1"/>
  <c r="B11394" i="1"/>
  <c r="B11393" i="1"/>
  <c r="B11392" i="1"/>
  <c r="B11391" i="1"/>
  <c r="B11390" i="1"/>
  <c r="B11389" i="1"/>
  <c r="B11388" i="1"/>
  <c r="B11387" i="1"/>
  <c r="B11386" i="1"/>
  <c r="B11385" i="1"/>
  <c r="B11384" i="1"/>
  <c r="B11383" i="1"/>
  <c r="B11382" i="1"/>
  <c r="B11381" i="1"/>
  <c r="B11380" i="1"/>
  <c r="B11379" i="1"/>
  <c r="B11378" i="1"/>
  <c r="B11377" i="1"/>
  <c r="B11376" i="1"/>
  <c r="B11375" i="1"/>
  <c r="B11374" i="1"/>
  <c r="B11373" i="1"/>
  <c r="B11372" i="1"/>
  <c r="B11371" i="1"/>
  <c r="B11370" i="1"/>
  <c r="B11369" i="1"/>
  <c r="B11368" i="1"/>
  <c r="B11367" i="1"/>
  <c r="B11366" i="1"/>
  <c r="B11365" i="1"/>
  <c r="B11364" i="1"/>
  <c r="B11363" i="1"/>
  <c r="B11362" i="1"/>
  <c r="B11361" i="1"/>
  <c r="B11360" i="1"/>
  <c r="B11359" i="1"/>
  <c r="B11358" i="1"/>
  <c r="B11357" i="1"/>
  <c r="B11356" i="1"/>
  <c r="B11355" i="1"/>
  <c r="B11354" i="1"/>
  <c r="B11353" i="1"/>
  <c r="B11352" i="1"/>
  <c r="B11351" i="1"/>
  <c r="B11350" i="1"/>
  <c r="B11349" i="1"/>
  <c r="B11348" i="1"/>
  <c r="B11347" i="1"/>
  <c r="B11346" i="1"/>
  <c r="B11345" i="1"/>
  <c r="B11344" i="1"/>
  <c r="B11343" i="1"/>
  <c r="B11342" i="1"/>
  <c r="B11341" i="1"/>
  <c r="B11340" i="1"/>
  <c r="B11339" i="1"/>
  <c r="B11338" i="1"/>
  <c r="B11337" i="1"/>
  <c r="B11336" i="1"/>
  <c r="B11335" i="1"/>
  <c r="B11334" i="1"/>
  <c r="B11333" i="1"/>
  <c r="B11332" i="1"/>
  <c r="B11331" i="1"/>
  <c r="B11330" i="1"/>
  <c r="B11329" i="1"/>
  <c r="B11328" i="1"/>
  <c r="B11327" i="1"/>
  <c r="B11326" i="1"/>
  <c r="B11325" i="1"/>
  <c r="B11324" i="1"/>
  <c r="B11323" i="1"/>
  <c r="B11322" i="1"/>
  <c r="B11321" i="1"/>
  <c r="B11320" i="1"/>
  <c r="B11319" i="1"/>
  <c r="B11318" i="1"/>
  <c r="B11317" i="1"/>
  <c r="B11316" i="1"/>
  <c r="B11315" i="1"/>
  <c r="B11314" i="1"/>
  <c r="B11313" i="1"/>
  <c r="B11312" i="1"/>
  <c r="B11311" i="1"/>
  <c r="B11310" i="1"/>
  <c r="B11309" i="1"/>
  <c r="B11308" i="1"/>
  <c r="B11307" i="1"/>
  <c r="B11306" i="1"/>
  <c r="B11305" i="1"/>
  <c r="B11304" i="1"/>
  <c r="B11303" i="1"/>
  <c r="B11302" i="1"/>
  <c r="B11301" i="1"/>
  <c r="B11300" i="1"/>
  <c r="B11299" i="1"/>
  <c r="B11298" i="1"/>
  <c r="B11297" i="1"/>
  <c r="B11296" i="1"/>
  <c r="B11295" i="1"/>
  <c r="B11294" i="1"/>
  <c r="B11293" i="1"/>
  <c r="B11292" i="1"/>
  <c r="B11291" i="1"/>
  <c r="B11290" i="1"/>
  <c r="B11289" i="1"/>
  <c r="B11288" i="1"/>
  <c r="B11287" i="1"/>
  <c r="B11286" i="1"/>
  <c r="B11285" i="1"/>
  <c r="B11284" i="1"/>
  <c r="B11283" i="1"/>
  <c r="B11282" i="1"/>
  <c r="B11281" i="1"/>
  <c r="B11280" i="1"/>
  <c r="B11279" i="1"/>
  <c r="B11278" i="1"/>
  <c r="B11277" i="1"/>
  <c r="B11276" i="1"/>
  <c r="B11275" i="1"/>
  <c r="B11274" i="1"/>
  <c r="B11273" i="1"/>
  <c r="B11272" i="1"/>
  <c r="B11271" i="1"/>
  <c r="B11270" i="1"/>
  <c r="B11269" i="1"/>
  <c r="B11268" i="1"/>
  <c r="B11267" i="1"/>
  <c r="B11266" i="1"/>
  <c r="B11265" i="1"/>
  <c r="B11264" i="1"/>
  <c r="B11263" i="1"/>
  <c r="B11262" i="1"/>
  <c r="B11261" i="1"/>
  <c r="B11260" i="1"/>
  <c r="B11259" i="1"/>
  <c r="B11258" i="1"/>
  <c r="B11257" i="1"/>
  <c r="B11256" i="1"/>
  <c r="B11255" i="1"/>
  <c r="B11254" i="1"/>
  <c r="B11253" i="1"/>
  <c r="B11252" i="1"/>
  <c r="B11251" i="1"/>
  <c r="B11250" i="1"/>
  <c r="B11249" i="1"/>
  <c r="B11248" i="1"/>
  <c r="B11247" i="1"/>
  <c r="B11246" i="1"/>
  <c r="B11245" i="1"/>
  <c r="B11244" i="1"/>
  <c r="B11243" i="1"/>
  <c r="B11242" i="1"/>
  <c r="B11241" i="1"/>
  <c r="B11240" i="1"/>
  <c r="B11239" i="1"/>
  <c r="B11238" i="1"/>
  <c r="B11237" i="1"/>
  <c r="B11236" i="1"/>
  <c r="B11235" i="1"/>
  <c r="B11234" i="1"/>
  <c r="B11233" i="1"/>
  <c r="B11232" i="1"/>
  <c r="B11231" i="1"/>
  <c r="B11230" i="1"/>
  <c r="B11229" i="1"/>
  <c r="B11228" i="1"/>
  <c r="B11227" i="1"/>
  <c r="B11226" i="1"/>
  <c r="B11225" i="1"/>
  <c r="B11224" i="1"/>
  <c r="B11223" i="1"/>
  <c r="B11222" i="1"/>
  <c r="B11221" i="1"/>
  <c r="B11220" i="1"/>
  <c r="B11219" i="1"/>
  <c r="B11218" i="1"/>
  <c r="B11217" i="1"/>
  <c r="B11216" i="1"/>
  <c r="B11215" i="1"/>
  <c r="B11214" i="1"/>
  <c r="B11213" i="1"/>
  <c r="B11212" i="1"/>
  <c r="B11211" i="1"/>
  <c r="B11210" i="1"/>
  <c r="B11209" i="1"/>
  <c r="B11208" i="1"/>
  <c r="B11207" i="1"/>
  <c r="B11206" i="1"/>
  <c r="B11205" i="1"/>
  <c r="B11204" i="1"/>
  <c r="B11203" i="1"/>
  <c r="B11202" i="1"/>
  <c r="B11201" i="1"/>
  <c r="B11200" i="1"/>
  <c r="B11199" i="1"/>
  <c r="B11198" i="1"/>
  <c r="B11197" i="1"/>
  <c r="B11196" i="1"/>
  <c r="B11195" i="1"/>
  <c r="B11194" i="1"/>
  <c r="B11193" i="1"/>
  <c r="B11192" i="1"/>
  <c r="B11191" i="1"/>
  <c r="B11190" i="1"/>
  <c r="B11189" i="1"/>
  <c r="B11188" i="1"/>
  <c r="B11187" i="1"/>
  <c r="B11186" i="1"/>
  <c r="B11185" i="1"/>
  <c r="B11184" i="1"/>
  <c r="B11183" i="1"/>
  <c r="B11182" i="1"/>
  <c r="B11181" i="1"/>
  <c r="B11180" i="1"/>
  <c r="B11179" i="1"/>
  <c r="B11178" i="1"/>
  <c r="B11177" i="1"/>
  <c r="B11176" i="1"/>
  <c r="B11175" i="1"/>
  <c r="B11174" i="1"/>
  <c r="B11173" i="1"/>
  <c r="B11172" i="1"/>
  <c r="B11171" i="1"/>
  <c r="B11170" i="1"/>
  <c r="B11169" i="1"/>
  <c r="B11168" i="1"/>
  <c r="B11167" i="1"/>
  <c r="B11166" i="1"/>
  <c r="B11165" i="1"/>
  <c r="B11164" i="1"/>
  <c r="B11163" i="1"/>
  <c r="B11162" i="1"/>
  <c r="B11161" i="1"/>
  <c r="B11160" i="1"/>
  <c r="B11159" i="1"/>
  <c r="B11158" i="1"/>
  <c r="B11157" i="1"/>
  <c r="B11156" i="1"/>
  <c r="B11155" i="1"/>
  <c r="B11154" i="1"/>
  <c r="B11153" i="1"/>
  <c r="B11152" i="1"/>
  <c r="B11151" i="1"/>
  <c r="B11150" i="1"/>
  <c r="B11149" i="1"/>
  <c r="B11148" i="1"/>
  <c r="B11147" i="1"/>
  <c r="B11146" i="1"/>
  <c r="B11145" i="1"/>
  <c r="B11144" i="1"/>
  <c r="B11143" i="1"/>
  <c r="B11142" i="1"/>
  <c r="B11141" i="1"/>
  <c r="B11140" i="1"/>
  <c r="B11139" i="1"/>
  <c r="B11138" i="1"/>
  <c r="B11137" i="1"/>
  <c r="B11136" i="1"/>
  <c r="B11135" i="1"/>
  <c r="B11134" i="1"/>
  <c r="B11133" i="1"/>
  <c r="B11132" i="1"/>
  <c r="B11131" i="1"/>
  <c r="B11130" i="1"/>
  <c r="B11129" i="1"/>
  <c r="B11128" i="1"/>
  <c r="B11127" i="1"/>
  <c r="B11126" i="1"/>
  <c r="B11125" i="1"/>
  <c r="B11124" i="1"/>
  <c r="B11123" i="1"/>
  <c r="B11122" i="1"/>
  <c r="B11121" i="1"/>
  <c r="B11120" i="1"/>
  <c r="B11119" i="1"/>
  <c r="B11118" i="1"/>
  <c r="B11117" i="1"/>
  <c r="B11116" i="1"/>
  <c r="B11115" i="1"/>
  <c r="B11099" i="1"/>
  <c r="B11098" i="1"/>
  <c r="B11097" i="1"/>
  <c r="B11096" i="1"/>
  <c r="B11095" i="1"/>
  <c r="B11094" i="1"/>
  <c r="B11093" i="1"/>
  <c r="B11092" i="1"/>
  <c r="B11091" i="1"/>
  <c r="B11090" i="1"/>
  <c r="B11089" i="1"/>
  <c r="B11088" i="1"/>
  <c r="B11087" i="1"/>
  <c r="B11086" i="1"/>
  <c r="B11085" i="1"/>
  <c r="B11084" i="1"/>
  <c r="B11083" i="1"/>
  <c r="B11082" i="1"/>
  <c r="B11081" i="1"/>
  <c r="B11080" i="1"/>
  <c r="B11079" i="1"/>
  <c r="B11078" i="1"/>
  <c r="B11077" i="1"/>
  <c r="B11076" i="1"/>
  <c r="B11075" i="1"/>
  <c r="B11074" i="1"/>
  <c r="B11073" i="1"/>
  <c r="B11072" i="1"/>
  <c r="B11071" i="1"/>
  <c r="B11070" i="1"/>
  <c r="B11069" i="1"/>
  <c r="B11068" i="1"/>
  <c r="B11067" i="1"/>
  <c r="B11066" i="1"/>
  <c r="B11065" i="1"/>
  <c r="B11064" i="1"/>
  <c r="B11063" i="1"/>
  <c r="B11062" i="1"/>
  <c r="B11061" i="1"/>
  <c r="B11060" i="1"/>
  <c r="B11059" i="1"/>
  <c r="B11058" i="1"/>
  <c r="B11057" i="1"/>
  <c r="B11056" i="1"/>
  <c r="B11055" i="1"/>
  <c r="B11054" i="1"/>
  <c r="B11053" i="1"/>
  <c r="B11052" i="1"/>
  <c r="B11051" i="1"/>
  <c r="B11050" i="1"/>
  <c r="B11049" i="1"/>
  <c r="B11048" i="1"/>
  <c r="B11047" i="1"/>
  <c r="B11046" i="1"/>
  <c r="B11045" i="1"/>
  <c r="B11044" i="1"/>
  <c r="B11043" i="1"/>
  <c r="B11042" i="1"/>
  <c r="B11041" i="1"/>
  <c r="B11040" i="1"/>
  <c r="B11039" i="1"/>
  <c r="B11038" i="1"/>
  <c r="B11037" i="1"/>
  <c r="B11036" i="1"/>
  <c r="B11035" i="1"/>
  <c r="B11034" i="1"/>
  <c r="B11033" i="1"/>
  <c r="B11032" i="1"/>
  <c r="B11031" i="1"/>
  <c r="B11030" i="1"/>
  <c r="B11029" i="1"/>
  <c r="B11028" i="1"/>
  <c r="B11027" i="1"/>
  <c r="B11026" i="1"/>
  <c r="B11025" i="1"/>
  <c r="B11024" i="1"/>
  <c r="B11023" i="1"/>
  <c r="B11022" i="1"/>
  <c r="B11021" i="1"/>
  <c r="B11020" i="1"/>
  <c r="B11019" i="1"/>
  <c r="B11018" i="1"/>
  <c r="B11017" i="1"/>
  <c r="B11016" i="1"/>
  <c r="B11015" i="1"/>
  <c r="B11014" i="1"/>
  <c r="B11013" i="1"/>
  <c r="B11012" i="1"/>
  <c r="B11011" i="1"/>
  <c r="B11010" i="1"/>
  <c r="B11009" i="1"/>
  <c r="B11008" i="1"/>
  <c r="B11007" i="1"/>
  <c r="B11006" i="1"/>
  <c r="B11005" i="1"/>
  <c r="B11004" i="1"/>
  <c r="B11003" i="1"/>
  <c r="B11002" i="1"/>
  <c r="B11001" i="1"/>
  <c r="B11000" i="1"/>
  <c r="B10999" i="1"/>
  <c r="B10998" i="1"/>
  <c r="B10997" i="1"/>
  <c r="B10996" i="1"/>
  <c r="B10995" i="1"/>
  <c r="B10994" i="1"/>
  <c r="B10993" i="1"/>
  <c r="B10992" i="1"/>
  <c r="B10991" i="1"/>
  <c r="B10990" i="1"/>
  <c r="B10989" i="1"/>
  <c r="B10988" i="1"/>
  <c r="B10987" i="1"/>
  <c r="B10986" i="1"/>
  <c r="B10985" i="1"/>
  <c r="B10984" i="1"/>
  <c r="B10983" i="1"/>
  <c r="B10982" i="1"/>
  <c r="B10981" i="1"/>
  <c r="B10980" i="1"/>
  <c r="B10979" i="1"/>
  <c r="B10978" i="1"/>
  <c r="B10977" i="1"/>
  <c r="B10976" i="1"/>
  <c r="B10975" i="1"/>
  <c r="B10974" i="1"/>
  <c r="B10973" i="1"/>
  <c r="B10972" i="1"/>
  <c r="B10971" i="1"/>
  <c r="B10970" i="1"/>
  <c r="B10969" i="1"/>
  <c r="B10968" i="1"/>
  <c r="B10967" i="1"/>
  <c r="B10966" i="1"/>
  <c r="B10965" i="1"/>
  <c r="B10964" i="1"/>
  <c r="B10963" i="1"/>
  <c r="B10962" i="1"/>
  <c r="B10961" i="1"/>
  <c r="B10960" i="1"/>
  <c r="B10959" i="1"/>
  <c r="B10958" i="1"/>
  <c r="B10957" i="1"/>
  <c r="B10956" i="1"/>
  <c r="B10955" i="1"/>
  <c r="B10954" i="1"/>
  <c r="B10953" i="1"/>
  <c r="B10952" i="1"/>
  <c r="B10951" i="1"/>
  <c r="B10950" i="1"/>
  <c r="B10949" i="1"/>
  <c r="B10948" i="1"/>
  <c r="B10947" i="1"/>
  <c r="B10946" i="1"/>
  <c r="B10945" i="1"/>
  <c r="B10944" i="1"/>
  <c r="B10943" i="1"/>
  <c r="B10942" i="1"/>
  <c r="B10941" i="1"/>
  <c r="B10940" i="1"/>
  <c r="B10939" i="1"/>
  <c r="B10938" i="1"/>
  <c r="B10937" i="1"/>
  <c r="B10936" i="1"/>
  <c r="B10935" i="1"/>
  <c r="B10934" i="1"/>
  <c r="B10933" i="1"/>
  <c r="B10932" i="1"/>
  <c r="B10931" i="1"/>
  <c r="B10930" i="1"/>
  <c r="B10929" i="1"/>
  <c r="B10928" i="1"/>
  <c r="B10927" i="1"/>
  <c r="B10926" i="1"/>
  <c r="B10925" i="1"/>
  <c r="B10924" i="1"/>
  <c r="B10923" i="1"/>
  <c r="B10922" i="1"/>
  <c r="B10921" i="1"/>
  <c r="B10920" i="1"/>
  <c r="B10919" i="1"/>
  <c r="B10918" i="1"/>
  <c r="B10917" i="1"/>
  <c r="B10916" i="1"/>
  <c r="B10915" i="1"/>
  <c r="B10914" i="1"/>
  <c r="B10913" i="1"/>
  <c r="B10912" i="1"/>
  <c r="B10911" i="1"/>
  <c r="B10910" i="1"/>
  <c r="B10909" i="1"/>
  <c r="B10908" i="1"/>
  <c r="B10907" i="1"/>
  <c r="B10906" i="1"/>
  <c r="B10905" i="1"/>
  <c r="B10904" i="1"/>
  <c r="B10903" i="1"/>
  <c r="B10902" i="1"/>
  <c r="B10901" i="1"/>
  <c r="B10900" i="1"/>
  <c r="B10899" i="1"/>
  <c r="B10898" i="1"/>
  <c r="B10897" i="1"/>
  <c r="B10896" i="1"/>
  <c r="B10895" i="1"/>
  <c r="B10894" i="1"/>
  <c r="B10893" i="1"/>
  <c r="B10892" i="1"/>
  <c r="B10891" i="1"/>
  <c r="B10890" i="1"/>
  <c r="B10889" i="1"/>
  <c r="B10888" i="1"/>
  <c r="B10887" i="1"/>
  <c r="B10886" i="1"/>
  <c r="B10885" i="1"/>
  <c r="B10884" i="1"/>
  <c r="B10883" i="1"/>
  <c r="B10882" i="1"/>
  <c r="B10881" i="1"/>
  <c r="B10880" i="1"/>
  <c r="B10879" i="1"/>
  <c r="B10878" i="1"/>
  <c r="B10877" i="1"/>
  <c r="B10876" i="1"/>
  <c r="B10875" i="1"/>
  <c r="B10874" i="1"/>
  <c r="B10873" i="1"/>
  <c r="B10872" i="1"/>
  <c r="B10871" i="1"/>
  <c r="B10870" i="1"/>
  <c r="B10869" i="1"/>
  <c r="B10868" i="1"/>
  <c r="B10867" i="1"/>
  <c r="B10866" i="1"/>
  <c r="B10865" i="1"/>
  <c r="B10864" i="1"/>
  <c r="B10863" i="1"/>
  <c r="B10862" i="1"/>
  <c r="B10861" i="1"/>
  <c r="B10860" i="1"/>
  <c r="B10859" i="1"/>
  <c r="B10858" i="1"/>
  <c r="B10857" i="1"/>
  <c r="B10856" i="1"/>
  <c r="B10855" i="1"/>
  <c r="B10854" i="1"/>
  <c r="B10853" i="1"/>
  <c r="B10852" i="1"/>
  <c r="B10851" i="1"/>
  <c r="B10850" i="1"/>
  <c r="B10849" i="1"/>
  <c r="B10848" i="1"/>
  <c r="B10847" i="1"/>
  <c r="B10846" i="1"/>
  <c r="B10845" i="1"/>
  <c r="B10844" i="1"/>
  <c r="B10843" i="1"/>
  <c r="B10842" i="1"/>
  <c r="B10841" i="1"/>
  <c r="B10840" i="1"/>
  <c r="B10839" i="1"/>
  <c r="B10838" i="1"/>
  <c r="B10837" i="1"/>
  <c r="B10836" i="1"/>
  <c r="B10835" i="1"/>
  <c r="B10834" i="1"/>
  <c r="B10833" i="1"/>
  <c r="B10832" i="1"/>
  <c r="B10831" i="1"/>
  <c r="B10830" i="1"/>
  <c r="B10829" i="1"/>
  <c r="B10828" i="1"/>
  <c r="B10827" i="1"/>
  <c r="B10826" i="1"/>
  <c r="B10825" i="1"/>
  <c r="B10824" i="1"/>
  <c r="B10823" i="1"/>
  <c r="B10822" i="1"/>
  <c r="B10821" i="1"/>
  <c r="B10820" i="1"/>
  <c r="B10819" i="1"/>
  <c r="B10818" i="1"/>
  <c r="B10817" i="1"/>
  <c r="B10816" i="1"/>
  <c r="B10815" i="1"/>
  <c r="B10814" i="1"/>
  <c r="B10813" i="1"/>
  <c r="B10812" i="1"/>
  <c r="B10811" i="1"/>
  <c r="B10810" i="1"/>
  <c r="B10809" i="1"/>
  <c r="B10808" i="1"/>
  <c r="B10807" i="1"/>
  <c r="B10806" i="1"/>
  <c r="B10805" i="1"/>
  <c r="B10804" i="1"/>
  <c r="B10803" i="1"/>
  <c r="B10802" i="1"/>
  <c r="B10801" i="1"/>
  <c r="B10800" i="1"/>
  <c r="B10799" i="1"/>
  <c r="B10798" i="1"/>
  <c r="B10797" i="1"/>
  <c r="B10796" i="1"/>
  <c r="B10795" i="1"/>
  <c r="B10794" i="1"/>
  <c r="B10793" i="1"/>
  <c r="B10792" i="1"/>
  <c r="B10791" i="1"/>
  <c r="B10790" i="1"/>
  <c r="B10789" i="1"/>
  <c r="B10788" i="1"/>
  <c r="B10787" i="1"/>
  <c r="B10786" i="1"/>
  <c r="B10785" i="1"/>
  <c r="B10784" i="1"/>
  <c r="B10783" i="1"/>
  <c r="B10782" i="1"/>
  <c r="B10781" i="1"/>
  <c r="B10780" i="1"/>
  <c r="B10779" i="1"/>
  <c r="B10778" i="1"/>
  <c r="B10777" i="1"/>
  <c r="B10776" i="1"/>
  <c r="B10775" i="1"/>
  <c r="B10774" i="1"/>
  <c r="B10773" i="1"/>
  <c r="B10772" i="1"/>
  <c r="B10771" i="1"/>
  <c r="B10770" i="1"/>
  <c r="B10769" i="1"/>
  <c r="B10768" i="1"/>
  <c r="B10767" i="1"/>
  <c r="B10766" i="1"/>
  <c r="B10765" i="1"/>
  <c r="B10764" i="1"/>
  <c r="B10763" i="1"/>
  <c r="B10762" i="1"/>
  <c r="B10761" i="1"/>
  <c r="B10760" i="1"/>
  <c r="B10759" i="1"/>
  <c r="B10758" i="1"/>
  <c r="B10757" i="1"/>
  <c r="B10756" i="1"/>
  <c r="B10755" i="1"/>
  <c r="B10754" i="1"/>
  <c r="B10753" i="1"/>
  <c r="B10752" i="1"/>
  <c r="B10751" i="1"/>
  <c r="B10750" i="1"/>
  <c r="B10749" i="1"/>
  <c r="B10748" i="1"/>
  <c r="B10747" i="1"/>
  <c r="B10746" i="1"/>
  <c r="B10745" i="1"/>
  <c r="B10744" i="1"/>
  <c r="B10743" i="1"/>
  <c r="B10742" i="1"/>
  <c r="B10741" i="1"/>
  <c r="B10740" i="1"/>
  <c r="B10739" i="1"/>
  <c r="B10738" i="1"/>
  <c r="B10737" i="1"/>
  <c r="B10736" i="1"/>
  <c r="B10735" i="1"/>
  <c r="B10734" i="1"/>
  <c r="B10733" i="1"/>
  <c r="B10732" i="1"/>
  <c r="B10731" i="1"/>
  <c r="B10730" i="1"/>
  <c r="B10729" i="1"/>
  <c r="B10728" i="1"/>
  <c r="B10727" i="1"/>
  <c r="B10726" i="1"/>
  <c r="B10725" i="1"/>
  <c r="B10724" i="1"/>
  <c r="B10723" i="1"/>
  <c r="B10722" i="1"/>
  <c r="B10721" i="1"/>
  <c r="B10720" i="1"/>
  <c r="B10719" i="1"/>
  <c r="B10718" i="1"/>
  <c r="B10717" i="1"/>
  <c r="B10716" i="1"/>
  <c r="B10715" i="1"/>
  <c r="B10714" i="1"/>
  <c r="B10713" i="1"/>
  <c r="B10712" i="1"/>
  <c r="B10711" i="1"/>
  <c r="B10710" i="1"/>
  <c r="B10709" i="1"/>
  <c r="B10708" i="1"/>
  <c r="B10707" i="1"/>
  <c r="B10706" i="1"/>
  <c r="B10705" i="1"/>
  <c r="B10704" i="1"/>
  <c r="B10703" i="1"/>
  <c r="B10702" i="1"/>
  <c r="B10701" i="1"/>
  <c r="B10700" i="1"/>
  <c r="B10699" i="1"/>
  <c r="B10698" i="1"/>
  <c r="B10697" i="1"/>
  <c r="B10696" i="1"/>
  <c r="B10695" i="1"/>
  <c r="B10694" i="1"/>
  <c r="B10693" i="1"/>
  <c r="B10692" i="1"/>
  <c r="B10691" i="1"/>
  <c r="B10690" i="1"/>
  <c r="B10689" i="1"/>
  <c r="B10688" i="1"/>
  <c r="B10687" i="1"/>
  <c r="B10686" i="1"/>
  <c r="B10685" i="1"/>
  <c r="B10684" i="1"/>
  <c r="B10657" i="1"/>
  <c r="B10656" i="1"/>
  <c r="B10655" i="1"/>
  <c r="B10654" i="1"/>
  <c r="B10653" i="1"/>
  <c r="B10652" i="1"/>
  <c r="B10651" i="1"/>
  <c r="B10650" i="1"/>
  <c r="B10649" i="1"/>
  <c r="B10648" i="1"/>
  <c r="B10647" i="1"/>
  <c r="B10646" i="1"/>
  <c r="B10645" i="1"/>
  <c r="B10644" i="1"/>
  <c r="B10643" i="1"/>
  <c r="B10642" i="1"/>
  <c r="B10641" i="1"/>
  <c r="B10640" i="1"/>
  <c r="B10639" i="1"/>
  <c r="B10638" i="1"/>
  <c r="B10637" i="1"/>
  <c r="B10636" i="1"/>
  <c r="B10635" i="1"/>
  <c r="B10634" i="1"/>
  <c r="B10633" i="1"/>
  <c r="B10632" i="1"/>
  <c r="B10631" i="1"/>
  <c r="B10630" i="1"/>
  <c r="B10629" i="1"/>
  <c r="B10628" i="1"/>
  <c r="B10627" i="1"/>
  <c r="B10626" i="1"/>
  <c r="B10625" i="1"/>
  <c r="B10624" i="1"/>
  <c r="B10623" i="1"/>
  <c r="B10622" i="1"/>
  <c r="B10621" i="1"/>
  <c r="B10620" i="1"/>
  <c r="B10619" i="1"/>
  <c r="B10618" i="1"/>
  <c r="B10617" i="1"/>
  <c r="B10616" i="1"/>
  <c r="B10615" i="1"/>
  <c r="B10614" i="1"/>
  <c r="B10613" i="1"/>
  <c r="B10612" i="1"/>
  <c r="B10611" i="1"/>
  <c r="B10610" i="1"/>
  <c r="B10609" i="1"/>
  <c r="B10608" i="1"/>
  <c r="B10607" i="1"/>
  <c r="B10606" i="1"/>
  <c r="B10605" i="1"/>
  <c r="B10604" i="1"/>
  <c r="B10603" i="1"/>
  <c r="B10602" i="1"/>
  <c r="B10601" i="1"/>
  <c r="B10600" i="1"/>
  <c r="B10599" i="1"/>
  <c r="B10598" i="1"/>
  <c r="B10597" i="1"/>
  <c r="B10596" i="1"/>
  <c r="B10595" i="1"/>
  <c r="B10594" i="1"/>
  <c r="B10593" i="1"/>
  <c r="B10592" i="1"/>
  <c r="B10591" i="1"/>
  <c r="B10590" i="1"/>
  <c r="B10589" i="1"/>
  <c r="B10588" i="1"/>
  <c r="B10587" i="1"/>
  <c r="B10586" i="1"/>
  <c r="B10585" i="1"/>
  <c r="B10584" i="1"/>
  <c r="B10583" i="1"/>
  <c r="B10582" i="1"/>
  <c r="B10581" i="1"/>
  <c r="B10580" i="1"/>
  <c r="B10579" i="1"/>
  <c r="B10578" i="1"/>
  <c r="B10577" i="1"/>
  <c r="B10576" i="1"/>
  <c r="B10575" i="1"/>
  <c r="B10574" i="1"/>
  <c r="B10573" i="1"/>
  <c r="B10572" i="1"/>
  <c r="B10571" i="1"/>
  <c r="B10570" i="1"/>
  <c r="B10569" i="1"/>
  <c r="B10568" i="1"/>
  <c r="B10567" i="1"/>
  <c r="B10566" i="1"/>
  <c r="B10565" i="1"/>
  <c r="B10564" i="1"/>
  <c r="B10563" i="1"/>
  <c r="B10562" i="1"/>
  <c r="B10561" i="1"/>
  <c r="B10560" i="1"/>
  <c r="B10559" i="1"/>
  <c r="B10558" i="1"/>
  <c r="B10557" i="1"/>
  <c r="B10556" i="1"/>
  <c r="B10555" i="1"/>
  <c r="B10554" i="1"/>
  <c r="B10553" i="1"/>
  <c r="B10552" i="1"/>
  <c r="B10551" i="1"/>
  <c r="B10550" i="1"/>
  <c r="B10549" i="1"/>
  <c r="B10548" i="1"/>
  <c r="B10547" i="1"/>
  <c r="B10546" i="1"/>
  <c r="B10545" i="1"/>
  <c r="B10544" i="1"/>
  <c r="B10543" i="1"/>
  <c r="B10542" i="1"/>
  <c r="B10541" i="1"/>
  <c r="B10540" i="1"/>
  <c r="B10539" i="1"/>
  <c r="B10538" i="1"/>
  <c r="B10537" i="1"/>
  <c r="B10536" i="1"/>
  <c r="B10535" i="1"/>
  <c r="B10534" i="1"/>
  <c r="B10533" i="1"/>
  <c r="B10532" i="1"/>
  <c r="B10531" i="1"/>
  <c r="B10530" i="1"/>
  <c r="B10529" i="1"/>
  <c r="B10528" i="1"/>
  <c r="B10527" i="1"/>
  <c r="B10526" i="1"/>
  <c r="B10525" i="1"/>
  <c r="B10524" i="1"/>
  <c r="B10523" i="1"/>
  <c r="B10522" i="1"/>
  <c r="B10521" i="1"/>
  <c r="B10520" i="1"/>
  <c r="B10519" i="1"/>
  <c r="B10518" i="1"/>
  <c r="B10517" i="1"/>
  <c r="B10516" i="1"/>
  <c r="B10515" i="1"/>
  <c r="B10514" i="1"/>
  <c r="B10513" i="1"/>
  <c r="B10512" i="1"/>
  <c r="B10511" i="1"/>
  <c r="B10510" i="1"/>
  <c r="B10509" i="1"/>
  <c r="B10508" i="1"/>
  <c r="B10507" i="1"/>
  <c r="B10506" i="1"/>
  <c r="B10505" i="1"/>
  <c r="B10504" i="1"/>
  <c r="B10503" i="1"/>
  <c r="B10502" i="1"/>
  <c r="B10501" i="1"/>
  <c r="B10500" i="1"/>
  <c r="B10499" i="1"/>
  <c r="B10498" i="1"/>
  <c r="B10497" i="1"/>
  <c r="B10496" i="1"/>
  <c r="B10495" i="1"/>
  <c r="B10494" i="1"/>
  <c r="B10493" i="1"/>
  <c r="B10492" i="1"/>
  <c r="B10491" i="1"/>
  <c r="B10490" i="1"/>
  <c r="B10489" i="1"/>
  <c r="B10488" i="1"/>
  <c r="B10487" i="1"/>
  <c r="B10486" i="1"/>
  <c r="B10485" i="1"/>
  <c r="B10484" i="1"/>
  <c r="B10483" i="1"/>
  <c r="B10482" i="1"/>
  <c r="B10481" i="1"/>
  <c r="B10480" i="1"/>
  <c r="B10479" i="1"/>
  <c r="B10478" i="1"/>
  <c r="B10477" i="1"/>
  <c r="B10476" i="1"/>
  <c r="B10475" i="1"/>
  <c r="B10474" i="1"/>
  <c r="B10473" i="1"/>
  <c r="B10472" i="1"/>
  <c r="B10471" i="1"/>
  <c r="B10470" i="1"/>
  <c r="B10469" i="1"/>
  <c r="B10468" i="1"/>
  <c r="B10467" i="1"/>
  <c r="B10466" i="1"/>
  <c r="B10465" i="1"/>
  <c r="B10464" i="1"/>
  <c r="B10463" i="1"/>
  <c r="B10462" i="1"/>
  <c r="B10461" i="1"/>
  <c r="B10460" i="1"/>
  <c r="B10459" i="1"/>
  <c r="B10458" i="1"/>
  <c r="B10457" i="1"/>
  <c r="B10456" i="1"/>
  <c r="B10455" i="1"/>
  <c r="B10454" i="1"/>
  <c r="B10453" i="1"/>
  <c r="B10452" i="1"/>
  <c r="B10451" i="1"/>
  <c r="B10450" i="1"/>
  <c r="B10449" i="1"/>
  <c r="B10448" i="1"/>
  <c r="B10447" i="1"/>
  <c r="B10446" i="1"/>
  <c r="B10445" i="1"/>
  <c r="B10444" i="1"/>
  <c r="B10443" i="1"/>
  <c r="B10442" i="1"/>
  <c r="B10441" i="1"/>
  <c r="B10440" i="1"/>
  <c r="B10439" i="1"/>
  <c r="B10438" i="1"/>
  <c r="B10437" i="1"/>
  <c r="B10436" i="1"/>
  <c r="B10435" i="1"/>
  <c r="B10434" i="1"/>
  <c r="B10433" i="1"/>
  <c r="B10432" i="1"/>
  <c r="B10431" i="1"/>
  <c r="B10430" i="1"/>
  <c r="B10429" i="1"/>
  <c r="B10428" i="1"/>
  <c r="B10427" i="1"/>
  <c r="B10426" i="1"/>
  <c r="B10425" i="1"/>
  <c r="B10424" i="1"/>
  <c r="B10423" i="1"/>
  <c r="B10422" i="1"/>
  <c r="B10421" i="1"/>
  <c r="B10420" i="1"/>
  <c r="B10419" i="1"/>
  <c r="B10418" i="1"/>
  <c r="B10417" i="1"/>
  <c r="B10416" i="1"/>
  <c r="B10415" i="1"/>
  <c r="B10414" i="1"/>
  <c r="B10413" i="1"/>
  <c r="B10412" i="1"/>
  <c r="B10411" i="1"/>
  <c r="B10410" i="1"/>
  <c r="B10409" i="1"/>
  <c r="B10408" i="1"/>
  <c r="B10407" i="1"/>
  <c r="B10406" i="1"/>
  <c r="B10405" i="1"/>
  <c r="B10404" i="1"/>
  <c r="B10403" i="1"/>
  <c r="B10402" i="1"/>
  <c r="B10401" i="1"/>
  <c r="B10400" i="1"/>
  <c r="B10399" i="1"/>
  <c r="B10398" i="1"/>
  <c r="B10397" i="1"/>
  <c r="B10396" i="1"/>
  <c r="B10395" i="1"/>
  <c r="B10394" i="1"/>
  <c r="B10393" i="1"/>
  <c r="B10392" i="1"/>
  <c r="B10391" i="1"/>
  <c r="B10390" i="1"/>
  <c r="B10389" i="1"/>
  <c r="B10388" i="1"/>
  <c r="B10387" i="1"/>
  <c r="B10386" i="1"/>
  <c r="B10385" i="1"/>
  <c r="B10384" i="1"/>
  <c r="B10383" i="1"/>
  <c r="B10382" i="1"/>
  <c r="B10381" i="1"/>
  <c r="B10380" i="1"/>
  <c r="B10379" i="1"/>
  <c r="B10378" i="1"/>
  <c r="B10377" i="1"/>
  <c r="B10376" i="1"/>
  <c r="B10375" i="1"/>
  <c r="B10374" i="1"/>
  <c r="B10373" i="1"/>
  <c r="B10372" i="1"/>
  <c r="B10371" i="1"/>
  <c r="B10370" i="1"/>
  <c r="B10369" i="1"/>
  <c r="B10368" i="1"/>
  <c r="B10367" i="1"/>
  <c r="B10366" i="1"/>
  <c r="B10365" i="1"/>
  <c r="B10364" i="1"/>
  <c r="B10363" i="1"/>
  <c r="B10362" i="1"/>
  <c r="B10361" i="1"/>
  <c r="B10360" i="1"/>
  <c r="B10359" i="1"/>
  <c r="B10358" i="1"/>
  <c r="B10357" i="1"/>
  <c r="B10356" i="1"/>
  <c r="B10355" i="1"/>
  <c r="B10354" i="1"/>
  <c r="B10353" i="1"/>
  <c r="B10352" i="1"/>
  <c r="B10351" i="1"/>
  <c r="B10350" i="1"/>
  <c r="B10349" i="1"/>
  <c r="B10348" i="1"/>
  <c r="B10347" i="1"/>
  <c r="B10346" i="1"/>
  <c r="B10345" i="1"/>
  <c r="B10344" i="1"/>
  <c r="B10343" i="1"/>
  <c r="B10342" i="1"/>
  <c r="B10341" i="1"/>
  <c r="B10340" i="1"/>
  <c r="B10339" i="1"/>
  <c r="B10338" i="1"/>
  <c r="B10337" i="1"/>
  <c r="B10336" i="1"/>
  <c r="B10335" i="1"/>
  <c r="B10334" i="1"/>
  <c r="B10333" i="1"/>
  <c r="B10332" i="1"/>
  <c r="B10331" i="1"/>
  <c r="B10330" i="1"/>
  <c r="B10329" i="1"/>
  <c r="B10328" i="1"/>
  <c r="B10327" i="1"/>
  <c r="B10326" i="1"/>
  <c r="B10325" i="1"/>
  <c r="B10324" i="1"/>
  <c r="B10323" i="1"/>
  <c r="B10322" i="1"/>
  <c r="B10321" i="1"/>
  <c r="B10320" i="1"/>
  <c r="B10319" i="1"/>
  <c r="B10318" i="1"/>
  <c r="B10317" i="1"/>
  <c r="B10316" i="1"/>
  <c r="B10315" i="1"/>
  <c r="B10314" i="1"/>
  <c r="B10313" i="1"/>
  <c r="B10312" i="1"/>
  <c r="B10311" i="1"/>
  <c r="B10310" i="1"/>
  <c r="B10309" i="1"/>
  <c r="B10308" i="1"/>
  <c r="B10307" i="1"/>
  <c r="B10306" i="1"/>
  <c r="B10305" i="1"/>
  <c r="B10304" i="1"/>
  <c r="B10303" i="1"/>
  <c r="B10302" i="1"/>
  <c r="B10301" i="1"/>
  <c r="B10300" i="1"/>
  <c r="B10299" i="1"/>
  <c r="B10298" i="1"/>
  <c r="B10297" i="1"/>
  <c r="B10296" i="1"/>
  <c r="B10295" i="1"/>
  <c r="B10294" i="1"/>
  <c r="B10293" i="1"/>
  <c r="B10292" i="1"/>
  <c r="B10291" i="1"/>
  <c r="B10290" i="1"/>
  <c r="B10289" i="1"/>
  <c r="B10288" i="1"/>
  <c r="B10287" i="1"/>
  <c r="B10286" i="1"/>
  <c r="B10285" i="1"/>
  <c r="B10284" i="1"/>
  <c r="B10283" i="1"/>
  <c r="B10282" i="1"/>
  <c r="B10281" i="1"/>
  <c r="B10280" i="1"/>
  <c r="B10279" i="1"/>
  <c r="B10278" i="1"/>
  <c r="B10277" i="1"/>
  <c r="B10276" i="1"/>
  <c r="B10275" i="1"/>
  <c r="B10274" i="1"/>
  <c r="B10273" i="1"/>
  <c r="B10272" i="1"/>
  <c r="B10271" i="1"/>
  <c r="B10270" i="1"/>
  <c r="B10269" i="1"/>
  <c r="B10268" i="1"/>
  <c r="B10267" i="1"/>
  <c r="B10266" i="1"/>
  <c r="B10265" i="1"/>
  <c r="B10264" i="1"/>
  <c r="B10263" i="1"/>
  <c r="B10262" i="1"/>
  <c r="B10261" i="1"/>
  <c r="B10260" i="1"/>
  <c r="B10259" i="1"/>
  <c r="B10258" i="1"/>
  <c r="B10257" i="1"/>
  <c r="B10256" i="1"/>
  <c r="B10255" i="1"/>
  <c r="B10254" i="1"/>
  <c r="B10253" i="1"/>
  <c r="B10252" i="1"/>
  <c r="B10251" i="1"/>
  <c r="B10250" i="1"/>
  <c r="B10249" i="1"/>
  <c r="B10248" i="1"/>
  <c r="B10247" i="1"/>
  <c r="B10246" i="1"/>
  <c r="B10245" i="1"/>
  <c r="B10244" i="1"/>
  <c r="B10243" i="1"/>
  <c r="B10242" i="1"/>
  <c r="B10241" i="1"/>
  <c r="B10240" i="1"/>
  <c r="B10239" i="1"/>
  <c r="B10238" i="1"/>
  <c r="B10237" i="1"/>
  <c r="B10236" i="1"/>
  <c r="B10235" i="1"/>
  <c r="B10234" i="1"/>
  <c r="B10233" i="1"/>
  <c r="B10232" i="1"/>
  <c r="B10231" i="1"/>
  <c r="B10230" i="1"/>
  <c r="B10229" i="1"/>
  <c r="B10228" i="1"/>
  <c r="B10227" i="1"/>
  <c r="B10226" i="1"/>
  <c r="B10225" i="1"/>
  <c r="B10224" i="1"/>
  <c r="B10223" i="1"/>
  <c r="B10222" i="1"/>
  <c r="B10221" i="1"/>
  <c r="B10220" i="1"/>
  <c r="B10219" i="1"/>
  <c r="B10218" i="1"/>
  <c r="B10217" i="1"/>
  <c r="B10216" i="1"/>
  <c r="B10215" i="1"/>
  <c r="B10214" i="1"/>
  <c r="B10213" i="1"/>
  <c r="B10212" i="1"/>
  <c r="B10211" i="1"/>
  <c r="B10210" i="1"/>
  <c r="B10209" i="1"/>
  <c r="B10208" i="1"/>
  <c r="B10207" i="1"/>
  <c r="B10206" i="1"/>
  <c r="B10205" i="1"/>
  <c r="B10204" i="1"/>
  <c r="B10203" i="1"/>
  <c r="B10202" i="1"/>
  <c r="B10201" i="1"/>
  <c r="B10200" i="1"/>
  <c r="B10199" i="1"/>
  <c r="B10198" i="1"/>
  <c r="B10197" i="1"/>
  <c r="B10196" i="1"/>
  <c r="B10195" i="1"/>
  <c r="B10194" i="1"/>
  <c r="B10193" i="1"/>
  <c r="B10192" i="1"/>
  <c r="B10191" i="1"/>
  <c r="B10190" i="1"/>
  <c r="B10189" i="1"/>
  <c r="B10188" i="1"/>
  <c r="B10187" i="1"/>
  <c r="B10186" i="1"/>
  <c r="B10185" i="1"/>
  <c r="B10184" i="1"/>
  <c r="B10183" i="1"/>
  <c r="B10182" i="1"/>
  <c r="B10181" i="1"/>
  <c r="B10180" i="1"/>
  <c r="B10179" i="1"/>
  <c r="B10178" i="1"/>
  <c r="B10177" i="1"/>
  <c r="B10176" i="1"/>
  <c r="B10175" i="1"/>
  <c r="B10174" i="1"/>
  <c r="B10173" i="1"/>
  <c r="B10172" i="1"/>
  <c r="B10171" i="1"/>
  <c r="B10170" i="1"/>
  <c r="B10169" i="1"/>
  <c r="B10168" i="1"/>
  <c r="B10167" i="1"/>
  <c r="B10166" i="1"/>
  <c r="B10165" i="1"/>
  <c r="B10164" i="1"/>
  <c r="B10163" i="1"/>
  <c r="B10162" i="1"/>
  <c r="B10161" i="1"/>
  <c r="B10160" i="1"/>
  <c r="B10159" i="1"/>
  <c r="B10158" i="1"/>
  <c r="B10157" i="1"/>
  <c r="B10156" i="1"/>
  <c r="B10155" i="1"/>
  <c r="B10154" i="1"/>
  <c r="B10153" i="1"/>
  <c r="B10152" i="1"/>
  <c r="B10151" i="1"/>
  <c r="B10150" i="1"/>
  <c r="B10149" i="1"/>
  <c r="B10148" i="1"/>
  <c r="B10147" i="1"/>
  <c r="B10146" i="1"/>
  <c r="B10145" i="1"/>
  <c r="B10144" i="1"/>
  <c r="B10143" i="1"/>
  <c r="B10142" i="1"/>
  <c r="B10141" i="1"/>
  <c r="B10140" i="1"/>
  <c r="B10139" i="1"/>
  <c r="B10138" i="1"/>
  <c r="B10137" i="1"/>
  <c r="B10136" i="1"/>
  <c r="B10135" i="1"/>
  <c r="B10134" i="1"/>
  <c r="B10133" i="1"/>
  <c r="B10132" i="1"/>
  <c r="B10131" i="1"/>
  <c r="B10130" i="1"/>
  <c r="B10129" i="1"/>
  <c r="B10128" i="1"/>
  <c r="B10127" i="1"/>
  <c r="B10126" i="1"/>
  <c r="B10125" i="1"/>
  <c r="B10124" i="1"/>
  <c r="B10123" i="1"/>
  <c r="B10122" i="1"/>
  <c r="B10121" i="1"/>
  <c r="B10120" i="1"/>
  <c r="B10119" i="1"/>
  <c r="B10118" i="1"/>
  <c r="B10117" i="1"/>
  <c r="B10116" i="1"/>
  <c r="B10115" i="1"/>
  <c r="B10114" i="1"/>
  <c r="B10113" i="1"/>
  <c r="B10112" i="1"/>
  <c r="B10111" i="1"/>
  <c r="B10110" i="1"/>
  <c r="B10109" i="1"/>
  <c r="B10108" i="1"/>
  <c r="B10107" i="1"/>
  <c r="B10106" i="1"/>
  <c r="B10105" i="1"/>
  <c r="B10104" i="1"/>
  <c r="B10103" i="1"/>
  <c r="B10102" i="1"/>
  <c r="B10101" i="1"/>
  <c r="B10100" i="1"/>
  <c r="B10099" i="1"/>
  <c r="B10098" i="1"/>
  <c r="B10097" i="1"/>
  <c r="B10096" i="1"/>
  <c r="B10095" i="1"/>
  <c r="B10094" i="1"/>
  <c r="B10093" i="1"/>
  <c r="B10092" i="1"/>
  <c r="B10091" i="1"/>
  <c r="B10090" i="1"/>
  <c r="B10089" i="1"/>
  <c r="B10088" i="1"/>
  <c r="B10087" i="1"/>
  <c r="B10086" i="1"/>
  <c r="B10085" i="1"/>
  <c r="B10084" i="1"/>
  <c r="B10083" i="1"/>
  <c r="B10082" i="1"/>
  <c r="B10081" i="1"/>
  <c r="B10080" i="1"/>
  <c r="B10079" i="1"/>
  <c r="B10078" i="1"/>
  <c r="B10077" i="1"/>
  <c r="B10076" i="1"/>
  <c r="B10075" i="1"/>
  <c r="B10074" i="1"/>
  <c r="B10073" i="1"/>
  <c r="B10072" i="1"/>
  <c r="B10071" i="1"/>
  <c r="B10070" i="1"/>
  <c r="B10069" i="1"/>
  <c r="B10068" i="1"/>
  <c r="B10067" i="1"/>
  <c r="B10066" i="1"/>
  <c r="B10065" i="1"/>
  <c r="B10064" i="1"/>
  <c r="B10063" i="1"/>
  <c r="B10062" i="1"/>
  <c r="B10061" i="1"/>
  <c r="B10060" i="1"/>
  <c r="B10059" i="1"/>
  <c r="B10058" i="1"/>
  <c r="B10057" i="1"/>
  <c r="B10056" i="1"/>
  <c r="B10055" i="1"/>
  <c r="B10054" i="1"/>
  <c r="B10053" i="1"/>
  <c r="B10052" i="1"/>
  <c r="B10051" i="1"/>
  <c r="B10050" i="1"/>
  <c r="B10049" i="1"/>
  <c r="B10048" i="1"/>
  <c r="B10047" i="1"/>
  <c r="B10046" i="1"/>
  <c r="B10045" i="1"/>
  <c r="B10044" i="1"/>
  <c r="B10043" i="1"/>
  <c r="B10042" i="1"/>
  <c r="B10041" i="1"/>
  <c r="B10040" i="1"/>
  <c r="B10039" i="1"/>
  <c r="B10038" i="1"/>
  <c r="B10037" i="1"/>
  <c r="B10036" i="1"/>
  <c r="B10035" i="1"/>
  <c r="B10034" i="1"/>
  <c r="B10033" i="1"/>
  <c r="B10032" i="1"/>
  <c r="B10031" i="1"/>
  <c r="B10030" i="1"/>
  <c r="B10029" i="1"/>
  <c r="B10028" i="1"/>
  <c r="B10027" i="1"/>
  <c r="B10026" i="1"/>
  <c r="B10025" i="1"/>
  <c r="B10024" i="1"/>
  <c r="B10023" i="1"/>
  <c r="B10022" i="1"/>
  <c r="B10021" i="1"/>
  <c r="B10020" i="1"/>
  <c r="B10019" i="1"/>
  <c r="B10018" i="1"/>
  <c r="B10017" i="1"/>
  <c r="B10016" i="1"/>
  <c r="B10015" i="1"/>
  <c r="B10014" i="1"/>
  <c r="B10013" i="1"/>
  <c r="B10012" i="1"/>
  <c r="B10011" i="1"/>
  <c r="B10010" i="1"/>
  <c r="B10009" i="1"/>
  <c r="B10008" i="1"/>
  <c r="B10007" i="1"/>
  <c r="B10006" i="1"/>
  <c r="B10005" i="1"/>
  <c r="B10004" i="1"/>
  <c r="B10003" i="1"/>
  <c r="B10002" i="1"/>
  <c r="B10001" i="1"/>
  <c r="B10000" i="1"/>
  <c r="B9999" i="1"/>
  <c r="B9998" i="1"/>
  <c r="B9997" i="1"/>
  <c r="B9996" i="1"/>
  <c r="B9995" i="1"/>
  <c r="B9994" i="1"/>
  <c r="B9993" i="1"/>
  <c r="B9992" i="1"/>
  <c r="B9991" i="1"/>
  <c r="B9990" i="1"/>
  <c r="B9989" i="1"/>
  <c r="B9988" i="1"/>
  <c r="B9987" i="1"/>
  <c r="B9986" i="1"/>
  <c r="B9985" i="1"/>
  <c r="B9984" i="1"/>
  <c r="B9983" i="1"/>
  <c r="B9982" i="1"/>
  <c r="B9981" i="1"/>
  <c r="B9980" i="1"/>
  <c r="B9979" i="1"/>
  <c r="B9978" i="1"/>
  <c r="B9977" i="1"/>
  <c r="B9976" i="1"/>
  <c r="B9975" i="1"/>
  <c r="B9974" i="1"/>
  <c r="B9973" i="1"/>
  <c r="B9972" i="1"/>
  <c r="B9971" i="1"/>
  <c r="B9970" i="1"/>
  <c r="B9969" i="1"/>
  <c r="B9968" i="1"/>
  <c r="B9967" i="1"/>
  <c r="B9966" i="1"/>
  <c r="B9965" i="1"/>
  <c r="B9964" i="1"/>
  <c r="B9963" i="1"/>
  <c r="B9962" i="1"/>
  <c r="B9961" i="1"/>
  <c r="B9960" i="1"/>
  <c r="B9959" i="1"/>
  <c r="B9958" i="1"/>
  <c r="B9957" i="1"/>
  <c r="B9956" i="1"/>
  <c r="B9955" i="1"/>
  <c r="B9954" i="1"/>
  <c r="B9953" i="1"/>
  <c r="B9952" i="1"/>
  <c r="B9951" i="1"/>
  <c r="B9950" i="1"/>
  <c r="B9949" i="1"/>
  <c r="B9948" i="1"/>
  <c r="B9947" i="1"/>
  <c r="B9946" i="1"/>
  <c r="B9945" i="1"/>
  <c r="B9944" i="1"/>
  <c r="B9943" i="1"/>
  <c r="B9942" i="1"/>
  <c r="B9941" i="1"/>
  <c r="B9940" i="1"/>
  <c r="B9939" i="1"/>
  <c r="B9938" i="1"/>
  <c r="B9937" i="1"/>
  <c r="B9936" i="1"/>
  <c r="B9935" i="1"/>
  <c r="B9934" i="1"/>
  <c r="B9933" i="1"/>
  <c r="B9932" i="1"/>
  <c r="B9931" i="1"/>
  <c r="B9930" i="1"/>
  <c r="B9929" i="1"/>
  <c r="B9928" i="1"/>
  <c r="B9927" i="1"/>
  <c r="B9926" i="1"/>
  <c r="B9925" i="1"/>
  <c r="B9924" i="1"/>
  <c r="B9923" i="1"/>
  <c r="B9922" i="1"/>
  <c r="B9921" i="1"/>
  <c r="B9920" i="1"/>
  <c r="B9919" i="1"/>
  <c r="B9918" i="1"/>
  <c r="B9917" i="1"/>
  <c r="B9916" i="1"/>
  <c r="B9915" i="1"/>
  <c r="B9914" i="1"/>
  <c r="B9913" i="1"/>
  <c r="B9912" i="1"/>
  <c r="B9911" i="1"/>
  <c r="B9910" i="1"/>
  <c r="B9909" i="1"/>
  <c r="B9908" i="1"/>
  <c r="B9907" i="1"/>
  <c r="B9906" i="1"/>
  <c r="B9905" i="1"/>
  <c r="B9904" i="1"/>
  <c r="B9903" i="1"/>
  <c r="B9902" i="1"/>
  <c r="B9901" i="1"/>
  <c r="B9900" i="1"/>
  <c r="B9899" i="1"/>
  <c r="B9898" i="1"/>
  <c r="B9897" i="1"/>
  <c r="B9896" i="1"/>
  <c r="B9895" i="1"/>
  <c r="B9894" i="1"/>
  <c r="B9893" i="1"/>
  <c r="B9892" i="1"/>
  <c r="B9891" i="1"/>
  <c r="B9890" i="1"/>
  <c r="B9889" i="1"/>
  <c r="B9888" i="1"/>
  <c r="B9887" i="1"/>
  <c r="B9886" i="1"/>
  <c r="B9885" i="1"/>
  <c r="B9884" i="1"/>
  <c r="B9883" i="1"/>
  <c r="B9882" i="1"/>
  <c r="B9881" i="1"/>
  <c r="B9880" i="1"/>
  <c r="B9879" i="1"/>
  <c r="B9878" i="1"/>
  <c r="B9877" i="1"/>
  <c r="B9876" i="1"/>
  <c r="B9875" i="1"/>
  <c r="B9874" i="1"/>
  <c r="B9873" i="1"/>
  <c r="B9872" i="1"/>
  <c r="B9871" i="1"/>
  <c r="B9870" i="1"/>
  <c r="B9869" i="1"/>
  <c r="B9868" i="1"/>
  <c r="B9867" i="1"/>
  <c r="B9866" i="1"/>
  <c r="B9865" i="1"/>
  <c r="B9864" i="1"/>
  <c r="B9863" i="1"/>
  <c r="B9862" i="1"/>
  <c r="B9861" i="1"/>
  <c r="B9860" i="1"/>
  <c r="B9859" i="1"/>
  <c r="B9858" i="1"/>
  <c r="B9857" i="1"/>
  <c r="B9856" i="1"/>
  <c r="B9855" i="1"/>
  <c r="B9854" i="1"/>
  <c r="B9853" i="1"/>
  <c r="B9852" i="1"/>
  <c r="B9851" i="1"/>
  <c r="B9850" i="1"/>
  <c r="B9849" i="1"/>
  <c r="B9848" i="1"/>
  <c r="B9847" i="1"/>
  <c r="B9846" i="1"/>
  <c r="B9845" i="1"/>
  <c r="B9844" i="1"/>
  <c r="B9843" i="1"/>
  <c r="B9842" i="1"/>
  <c r="B9841" i="1"/>
  <c r="B9840" i="1"/>
  <c r="B9839" i="1"/>
  <c r="B9838" i="1"/>
  <c r="B9837" i="1"/>
  <c r="B9836" i="1"/>
  <c r="B9835" i="1"/>
  <c r="B9834" i="1"/>
  <c r="B9833" i="1"/>
  <c r="B9832" i="1"/>
  <c r="B9831" i="1"/>
  <c r="B9830" i="1"/>
  <c r="B9829" i="1"/>
  <c r="B9828" i="1"/>
  <c r="B9827" i="1"/>
  <c r="B9826" i="1"/>
  <c r="B9825" i="1"/>
  <c r="B9824" i="1"/>
  <c r="B9823" i="1"/>
  <c r="B9822" i="1"/>
  <c r="B9821" i="1"/>
  <c r="B9820" i="1"/>
  <c r="B9819" i="1"/>
  <c r="B9818" i="1"/>
  <c r="B9817" i="1"/>
  <c r="B9816" i="1"/>
  <c r="B9815" i="1"/>
  <c r="B9814" i="1"/>
  <c r="B9813" i="1"/>
  <c r="B9812" i="1"/>
  <c r="B9811" i="1"/>
  <c r="B9810" i="1"/>
  <c r="B9809" i="1"/>
  <c r="B9808" i="1"/>
  <c r="B9807" i="1"/>
  <c r="B9806" i="1"/>
  <c r="B9805" i="1"/>
  <c r="B9804" i="1"/>
  <c r="B9803" i="1"/>
  <c r="B9802" i="1"/>
  <c r="B9801" i="1"/>
  <c r="B9800" i="1"/>
  <c r="B9799" i="1"/>
  <c r="B9798" i="1"/>
  <c r="B9797" i="1"/>
  <c r="B9796" i="1"/>
  <c r="B9795" i="1"/>
  <c r="B9794" i="1"/>
  <c r="B9793" i="1"/>
  <c r="B9792" i="1"/>
  <c r="B9791" i="1"/>
  <c r="B9790" i="1"/>
  <c r="B9789" i="1"/>
  <c r="B9788" i="1"/>
  <c r="B9787" i="1"/>
  <c r="B9786" i="1"/>
  <c r="B9785" i="1"/>
  <c r="B9784" i="1"/>
  <c r="B9783" i="1"/>
  <c r="B9782" i="1"/>
  <c r="B9781" i="1"/>
  <c r="B9780" i="1"/>
  <c r="B9779" i="1"/>
  <c r="B9778" i="1"/>
  <c r="B9777" i="1"/>
  <c r="B9776" i="1"/>
  <c r="B9775" i="1"/>
  <c r="B9774" i="1"/>
  <c r="B9773" i="1"/>
  <c r="B9772" i="1"/>
  <c r="B9771" i="1"/>
  <c r="B9770" i="1"/>
  <c r="B9769" i="1"/>
  <c r="B9768" i="1"/>
  <c r="B9767" i="1"/>
  <c r="B9766" i="1"/>
  <c r="B9765" i="1"/>
  <c r="B9764" i="1"/>
  <c r="B9763" i="1"/>
  <c r="B9762" i="1"/>
  <c r="B9761" i="1"/>
  <c r="B9760" i="1"/>
  <c r="B9759" i="1"/>
  <c r="B9758" i="1"/>
  <c r="B9757" i="1"/>
  <c r="B9756" i="1"/>
  <c r="B9755" i="1"/>
  <c r="B9754" i="1"/>
  <c r="B9753" i="1"/>
  <c r="B9752" i="1"/>
  <c r="B9751" i="1"/>
  <c r="B9750" i="1"/>
  <c r="B9749" i="1"/>
  <c r="B9748" i="1"/>
  <c r="B9747" i="1"/>
  <c r="B9746" i="1"/>
  <c r="B9745" i="1"/>
  <c r="B9744" i="1"/>
  <c r="B9743" i="1"/>
  <c r="B9742" i="1"/>
  <c r="B9741" i="1"/>
  <c r="B9740" i="1"/>
  <c r="B9739" i="1"/>
  <c r="B9738" i="1"/>
  <c r="B9737" i="1"/>
  <c r="B9736" i="1"/>
  <c r="B9735" i="1"/>
  <c r="B9734" i="1"/>
  <c r="B9733" i="1"/>
  <c r="B9732" i="1"/>
  <c r="B9731" i="1"/>
  <c r="B9730" i="1"/>
  <c r="B9729" i="1"/>
  <c r="B9728" i="1"/>
  <c r="B9727" i="1"/>
  <c r="B9726" i="1"/>
  <c r="B9725" i="1"/>
  <c r="B9724" i="1"/>
  <c r="B9723" i="1"/>
  <c r="B9722" i="1"/>
  <c r="B9721" i="1"/>
  <c r="B9720" i="1"/>
  <c r="B9719" i="1"/>
  <c r="B9718" i="1"/>
  <c r="B9717" i="1"/>
  <c r="B9716" i="1"/>
  <c r="B9715" i="1"/>
  <c r="B9714" i="1"/>
  <c r="B9713" i="1"/>
  <c r="B9712" i="1"/>
  <c r="B9711" i="1"/>
  <c r="B9710" i="1"/>
  <c r="B9709" i="1"/>
  <c r="B9708" i="1"/>
  <c r="B9707" i="1"/>
  <c r="B9706" i="1"/>
  <c r="B9705" i="1"/>
  <c r="B9704" i="1"/>
  <c r="B9703" i="1"/>
  <c r="B9702" i="1"/>
  <c r="B9701" i="1"/>
  <c r="B9700" i="1"/>
  <c r="B9699" i="1"/>
  <c r="B9698" i="1"/>
  <c r="B9697" i="1"/>
  <c r="B9693" i="1"/>
  <c r="B9692" i="1"/>
  <c r="B9691" i="1"/>
  <c r="B9690" i="1"/>
  <c r="B9689" i="1"/>
  <c r="B9688" i="1"/>
  <c r="B9687" i="1"/>
  <c r="B9686" i="1"/>
  <c r="B9685" i="1"/>
  <c r="B9684" i="1"/>
  <c r="B9683" i="1"/>
  <c r="B9682" i="1"/>
  <c r="B9681" i="1"/>
  <c r="B9680" i="1"/>
  <c r="B9679" i="1"/>
  <c r="B9678" i="1"/>
  <c r="B9677" i="1"/>
  <c r="B9676" i="1"/>
  <c r="B9675" i="1"/>
  <c r="B9674" i="1"/>
  <c r="B9673" i="1"/>
  <c r="B9672" i="1"/>
  <c r="B9671" i="1"/>
  <c r="B9670" i="1"/>
  <c r="B9669" i="1"/>
  <c r="B9668" i="1"/>
  <c r="B9667" i="1"/>
  <c r="B9666" i="1"/>
  <c r="B9665" i="1"/>
  <c r="B9664" i="1"/>
  <c r="B9663" i="1"/>
  <c r="B9662" i="1"/>
  <c r="B9661" i="1"/>
  <c r="B9660" i="1"/>
  <c r="B9659" i="1"/>
  <c r="B9658" i="1"/>
  <c r="B9657" i="1"/>
  <c r="B9656" i="1"/>
  <c r="B9655" i="1"/>
  <c r="B9654" i="1"/>
  <c r="B9653" i="1"/>
  <c r="B9652" i="1"/>
  <c r="B9651" i="1"/>
  <c r="B9650" i="1"/>
  <c r="B9649" i="1"/>
  <c r="B9648" i="1"/>
  <c r="B9647" i="1"/>
  <c r="B9646" i="1"/>
  <c r="B9645" i="1"/>
  <c r="B9644" i="1"/>
  <c r="B9643" i="1"/>
  <c r="B9642" i="1"/>
  <c r="B9641" i="1"/>
  <c r="B9640" i="1"/>
  <c r="B9639" i="1"/>
  <c r="B9638" i="1"/>
  <c r="B9637" i="1"/>
  <c r="B9636" i="1"/>
  <c r="B9635" i="1"/>
  <c r="B9634" i="1"/>
  <c r="B9633" i="1"/>
  <c r="B9632" i="1"/>
  <c r="B9631" i="1"/>
  <c r="B9630" i="1"/>
  <c r="B9629" i="1"/>
  <c r="B9628" i="1"/>
  <c r="B9627" i="1"/>
  <c r="B9626" i="1"/>
  <c r="B9625" i="1"/>
  <c r="B9624" i="1"/>
  <c r="B9623" i="1"/>
  <c r="B9622" i="1"/>
  <c r="B9621" i="1"/>
  <c r="B9620" i="1"/>
  <c r="B9619" i="1"/>
  <c r="B9618" i="1"/>
  <c r="B9617" i="1"/>
  <c r="B9616" i="1"/>
  <c r="B9615" i="1"/>
  <c r="B9614" i="1"/>
  <c r="B9613" i="1"/>
  <c r="B9612" i="1"/>
  <c r="B9611" i="1"/>
  <c r="B9610" i="1"/>
  <c r="B9609" i="1"/>
  <c r="B9608" i="1"/>
  <c r="B9607" i="1"/>
  <c r="B9606" i="1"/>
  <c r="B9605" i="1"/>
  <c r="B9604" i="1"/>
  <c r="B9603" i="1"/>
  <c r="B9602" i="1"/>
  <c r="B9601" i="1"/>
  <c r="B9600" i="1"/>
  <c r="B9599" i="1"/>
  <c r="B9598" i="1"/>
  <c r="B9597" i="1"/>
  <c r="B9596" i="1"/>
  <c r="B9595" i="1"/>
  <c r="B9594" i="1"/>
  <c r="B9593" i="1"/>
  <c r="B9592" i="1"/>
  <c r="B9591" i="1"/>
  <c r="B9590" i="1"/>
  <c r="B9589" i="1"/>
  <c r="B9588" i="1"/>
  <c r="B9587" i="1"/>
  <c r="B9586" i="1"/>
  <c r="B9585" i="1"/>
  <c r="B9584" i="1"/>
  <c r="B9583" i="1"/>
  <c r="B9582" i="1"/>
  <c r="B9581" i="1"/>
  <c r="B9580" i="1"/>
  <c r="B9579" i="1"/>
  <c r="B9578" i="1"/>
  <c r="B9577" i="1"/>
  <c r="B9576" i="1"/>
  <c r="B9575" i="1"/>
  <c r="B9574" i="1"/>
  <c r="B9573" i="1"/>
  <c r="B9572" i="1"/>
  <c r="B9571" i="1"/>
  <c r="B9570" i="1"/>
  <c r="B9569" i="1"/>
  <c r="B9568" i="1"/>
  <c r="B9567" i="1"/>
  <c r="B9566" i="1"/>
  <c r="B9565" i="1"/>
  <c r="B9564" i="1"/>
  <c r="B9563" i="1"/>
  <c r="B9562" i="1"/>
  <c r="B9561" i="1"/>
  <c r="B9560" i="1"/>
  <c r="B9559" i="1"/>
  <c r="B9558" i="1"/>
  <c r="B9557" i="1"/>
  <c r="B9556" i="1"/>
  <c r="B9555" i="1"/>
  <c r="B9554" i="1"/>
  <c r="B9553" i="1"/>
  <c r="B9552" i="1"/>
  <c r="B9551" i="1"/>
  <c r="B9550" i="1"/>
  <c r="B9549" i="1"/>
  <c r="B9548" i="1"/>
  <c r="B9547" i="1"/>
  <c r="B9546" i="1"/>
  <c r="B9545" i="1"/>
  <c r="B9544" i="1"/>
  <c r="B9543" i="1"/>
  <c r="B9542" i="1"/>
  <c r="B9541" i="1"/>
  <c r="B9540" i="1"/>
  <c r="B9539" i="1"/>
  <c r="B9538" i="1"/>
  <c r="B9537" i="1"/>
  <c r="B9536" i="1"/>
  <c r="B9535" i="1"/>
  <c r="B9534" i="1"/>
  <c r="B9533" i="1"/>
  <c r="B9532" i="1"/>
  <c r="B9531" i="1"/>
  <c r="B9530" i="1"/>
  <c r="B9529" i="1"/>
  <c r="B9528" i="1"/>
  <c r="B9527" i="1"/>
  <c r="B9526" i="1"/>
  <c r="B9525" i="1"/>
  <c r="B9524" i="1"/>
  <c r="B9523" i="1"/>
  <c r="B9522" i="1"/>
  <c r="B9521" i="1"/>
  <c r="B9520" i="1"/>
  <c r="B9519" i="1"/>
  <c r="B9518" i="1"/>
  <c r="B9517" i="1"/>
  <c r="B9516" i="1"/>
  <c r="B9515" i="1"/>
  <c r="B9514" i="1"/>
  <c r="B9513" i="1"/>
  <c r="B9512" i="1"/>
  <c r="B9511" i="1"/>
  <c r="B9510" i="1"/>
  <c r="B9509" i="1"/>
  <c r="B9508" i="1"/>
  <c r="B9507" i="1"/>
  <c r="B9506" i="1"/>
  <c r="B9505" i="1"/>
  <c r="B9504" i="1"/>
  <c r="B9503" i="1"/>
  <c r="B9502" i="1"/>
  <c r="B9501" i="1"/>
  <c r="B9500" i="1"/>
  <c r="B9499" i="1"/>
  <c r="B9498" i="1"/>
  <c r="B9497" i="1"/>
  <c r="B9496" i="1"/>
  <c r="B9495" i="1"/>
  <c r="B9494" i="1"/>
  <c r="B9493" i="1"/>
  <c r="B9492" i="1"/>
  <c r="B9491" i="1"/>
  <c r="B9490" i="1"/>
  <c r="B9489" i="1"/>
  <c r="B9488" i="1"/>
  <c r="B9487" i="1"/>
  <c r="B9486" i="1"/>
  <c r="B9485" i="1"/>
  <c r="B9484" i="1"/>
  <c r="B9483" i="1"/>
  <c r="B9482" i="1"/>
  <c r="B9481" i="1"/>
  <c r="B9480" i="1"/>
  <c r="B9479" i="1"/>
  <c r="B9478" i="1"/>
  <c r="B9477" i="1"/>
  <c r="B9476" i="1"/>
  <c r="B9475" i="1"/>
  <c r="B9474" i="1"/>
  <c r="B9473" i="1"/>
  <c r="B9472" i="1"/>
  <c r="B9471" i="1"/>
  <c r="B9470" i="1"/>
  <c r="B9469" i="1"/>
  <c r="B9468" i="1"/>
  <c r="B9467" i="1"/>
  <c r="B9466" i="1"/>
  <c r="B9465" i="1"/>
  <c r="B9464" i="1"/>
  <c r="B9463" i="1"/>
  <c r="B9462" i="1"/>
  <c r="B9461" i="1"/>
  <c r="B9460" i="1"/>
  <c r="B9459" i="1"/>
  <c r="B9458" i="1"/>
  <c r="B9457" i="1"/>
  <c r="B9456" i="1"/>
  <c r="B9455" i="1"/>
  <c r="B9454" i="1"/>
  <c r="B9453" i="1"/>
  <c r="B9452" i="1"/>
  <c r="B9451" i="1"/>
  <c r="B9450" i="1"/>
  <c r="B9449" i="1"/>
  <c r="B9448" i="1"/>
  <c r="B9447" i="1"/>
  <c r="B9446" i="1"/>
  <c r="B9445" i="1"/>
  <c r="B9444" i="1"/>
  <c r="B9443" i="1"/>
  <c r="B9442" i="1"/>
  <c r="B9441" i="1"/>
  <c r="B9440" i="1"/>
  <c r="B9439" i="1"/>
  <c r="B9438" i="1"/>
  <c r="B9437" i="1"/>
  <c r="B9436" i="1"/>
  <c r="B9435" i="1"/>
  <c r="B9434" i="1"/>
  <c r="B9433" i="1"/>
  <c r="B9432" i="1"/>
  <c r="B9431" i="1"/>
  <c r="B9430" i="1"/>
  <c r="B9429" i="1"/>
  <c r="B9428" i="1"/>
  <c r="B9427" i="1"/>
  <c r="B9426" i="1"/>
  <c r="B9425" i="1"/>
  <c r="B9424" i="1"/>
  <c r="B9423" i="1"/>
  <c r="B9422" i="1"/>
  <c r="B9421" i="1"/>
  <c r="B9420" i="1"/>
  <c r="B9419" i="1"/>
  <c r="B9418" i="1"/>
  <c r="B9417" i="1"/>
  <c r="B9416" i="1"/>
  <c r="B9415" i="1"/>
  <c r="B9414" i="1"/>
  <c r="B9413" i="1"/>
  <c r="B9412" i="1"/>
  <c r="B9411" i="1"/>
  <c r="B9410" i="1"/>
  <c r="B9409" i="1"/>
  <c r="B9408" i="1"/>
  <c r="B9407" i="1"/>
  <c r="B9406" i="1"/>
  <c r="B9405" i="1"/>
  <c r="B9404" i="1"/>
  <c r="B9403" i="1"/>
  <c r="B9402" i="1"/>
  <c r="B9401" i="1"/>
  <c r="B9400" i="1"/>
  <c r="B9399" i="1"/>
  <c r="B9398" i="1"/>
  <c r="B9397" i="1"/>
  <c r="B9396" i="1"/>
  <c r="B9395" i="1"/>
  <c r="B9394" i="1"/>
  <c r="B9393" i="1"/>
  <c r="B9392" i="1"/>
  <c r="B9391" i="1"/>
  <c r="B9390" i="1"/>
  <c r="B9389" i="1"/>
  <c r="B9388" i="1"/>
  <c r="B9387" i="1"/>
  <c r="B9386" i="1"/>
  <c r="B9385" i="1"/>
  <c r="B9384" i="1"/>
  <c r="B9383" i="1"/>
  <c r="B9382" i="1"/>
  <c r="B9381" i="1"/>
  <c r="B9380" i="1"/>
  <c r="B9379" i="1"/>
  <c r="B9378" i="1"/>
  <c r="B9377" i="1"/>
  <c r="B9376" i="1"/>
  <c r="B9375" i="1"/>
  <c r="B9374" i="1"/>
  <c r="B9373" i="1"/>
  <c r="B9372" i="1"/>
  <c r="B9371" i="1"/>
  <c r="B9370" i="1"/>
  <c r="B9369" i="1"/>
  <c r="B9368" i="1"/>
  <c r="B9367" i="1"/>
  <c r="B9366" i="1"/>
  <c r="B9365" i="1"/>
  <c r="B9364" i="1"/>
  <c r="B9363" i="1"/>
  <c r="B9362" i="1"/>
  <c r="B9361" i="1"/>
  <c r="B9360" i="1"/>
  <c r="B9359" i="1"/>
  <c r="B9358" i="1"/>
  <c r="B9357" i="1"/>
  <c r="B9356" i="1"/>
  <c r="B9355" i="1"/>
  <c r="B9354" i="1"/>
  <c r="B9353" i="1"/>
  <c r="B9352" i="1"/>
  <c r="B9351" i="1"/>
  <c r="B9350" i="1"/>
  <c r="B9349" i="1"/>
  <c r="B9348" i="1"/>
  <c r="B9347" i="1"/>
  <c r="B9346" i="1"/>
  <c r="B9345" i="1"/>
  <c r="B9344" i="1"/>
  <c r="B9343" i="1"/>
  <c r="B9342" i="1"/>
  <c r="B9341" i="1"/>
  <c r="B9340" i="1"/>
  <c r="B9339" i="1"/>
  <c r="B9338" i="1"/>
  <c r="B9337" i="1"/>
  <c r="B9336" i="1"/>
  <c r="B9335" i="1"/>
  <c r="B9334" i="1"/>
  <c r="B9333" i="1"/>
  <c r="B9332" i="1"/>
  <c r="B9331" i="1"/>
  <c r="B9330" i="1"/>
  <c r="B9329" i="1"/>
  <c r="B9328" i="1"/>
  <c r="B9327" i="1"/>
  <c r="B9326" i="1"/>
  <c r="B9325" i="1"/>
  <c r="B9324" i="1"/>
  <c r="B9323" i="1"/>
  <c r="B9322" i="1"/>
  <c r="B9321" i="1"/>
  <c r="B9320" i="1"/>
  <c r="B9319" i="1"/>
  <c r="B9318" i="1"/>
  <c r="B9317" i="1"/>
  <c r="B9316" i="1"/>
  <c r="B9315" i="1"/>
  <c r="B9314" i="1"/>
  <c r="B9313" i="1"/>
  <c r="B9312" i="1"/>
  <c r="B9311" i="1"/>
  <c r="B9310" i="1"/>
  <c r="B9309" i="1"/>
  <c r="B9308" i="1"/>
  <c r="B9307" i="1"/>
  <c r="B9306" i="1"/>
  <c r="B9305" i="1"/>
  <c r="B9304" i="1"/>
  <c r="B9303" i="1"/>
  <c r="B9302" i="1"/>
  <c r="B9301" i="1"/>
  <c r="B9300" i="1"/>
  <c r="B9299" i="1"/>
  <c r="B9298" i="1"/>
  <c r="B9297" i="1"/>
  <c r="B9296" i="1"/>
  <c r="B9295" i="1"/>
  <c r="B9294" i="1"/>
  <c r="B9293" i="1"/>
  <c r="B9292" i="1"/>
  <c r="B9291" i="1"/>
  <c r="B9290" i="1"/>
  <c r="B9289" i="1"/>
  <c r="B9288" i="1"/>
  <c r="B9287" i="1"/>
  <c r="B9286" i="1"/>
  <c r="B9285" i="1"/>
  <c r="B9284" i="1"/>
  <c r="B9283" i="1"/>
  <c r="B9282" i="1"/>
  <c r="B9281" i="1"/>
  <c r="B9280" i="1"/>
  <c r="B9279" i="1"/>
  <c r="B9278" i="1"/>
  <c r="B9277" i="1"/>
  <c r="B9276" i="1"/>
  <c r="B9275" i="1"/>
  <c r="B9274" i="1"/>
  <c r="B9273" i="1"/>
  <c r="B9272" i="1"/>
  <c r="B9271" i="1"/>
  <c r="B9270" i="1"/>
  <c r="B9269" i="1"/>
  <c r="B9268" i="1"/>
  <c r="B9267" i="1"/>
  <c r="B9266" i="1"/>
  <c r="B9265" i="1"/>
  <c r="B9264" i="1"/>
  <c r="B9263" i="1"/>
  <c r="B9262" i="1"/>
  <c r="B9261" i="1"/>
  <c r="B9260" i="1"/>
  <c r="B9259" i="1"/>
  <c r="B9258" i="1"/>
  <c r="B9257" i="1"/>
  <c r="B9256" i="1"/>
  <c r="B9255" i="1"/>
  <c r="B9254" i="1"/>
  <c r="B9253" i="1"/>
  <c r="B9252" i="1"/>
  <c r="B9251" i="1"/>
  <c r="B9250" i="1"/>
  <c r="B9249" i="1"/>
  <c r="B9248" i="1"/>
  <c r="B9247" i="1"/>
  <c r="B9246" i="1"/>
  <c r="B9245" i="1"/>
  <c r="B9244" i="1"/>
  <c r="B9243" i="1"/>
  <c r="B9242" i="1"/>
  <c r="B9241" i="1"/>
  <c r="B9240" i="1"/>
  <c r="B9239" i="1"/>
  <c r="B9238" i="1"/>
  <c r="B9237" i="1"/>
  <c r="B9236" i="1"/>
  <c r="B9235" i="1"/>
  <c r="B9234" i="1"/>
  <c r="B9233" i="1"/>
  <c r="B9232" i="1"/>
  <c r="B9231" i="1"/>
  <c r="B9230" i="1"/>
  <c r="B9229" i="1"/>
  <c r="B9228" i="1"/>
  <c r="B9227" i="1"/>
  <c r="B9226" i="1"/>
  <c r="B9225" i="1"/>
  <c r="B9224" i="1"/>
  <c r="B9223" i="1"/>
  <c r="B9222" i="1"/>
  <c r="B9221" i="1"/>
  <c r="B9220" i="1"/>
  <c r="B9219" i="1"/>
  <c r="B9218" i="1"/>
  <c r="B9217" i="1"/>
  <c r="B9216" i="1"/>
  <c r="B9215" i="1"/>
  <c r="B9214" i="1"/>
  <c r="B9213" i="1"/>
  <c r="B9212" i="1"/>
  <c r="B9211" i="1"/>
  <c r="B9210" i="1"/>
  <c r="B9209" i="1"/>
  <c r="B9208" i="1"/>
  <c r="B9207" i="1"/>
  <c r="B9206" i="1"/>
  <c r="B9205" i="1"/>
  <c r="B9204" i="1"/>
  <c r="B9203" i="1"/>
  <c r="B9202" i="1"/>
  <c r="B9201" i="1"/>
  <c r="B9200" i="1"/>
  <c r="B9199" i="1"/>
  <c r="B9198" i="1"/>
  <c r="B9197" i="1"/>
  <c r="B9193" i="1"/>
  <c r="B9192" i="1"/>
  <c r="B9191" i="1"/>
  <c r="B9190" i="1"/>
  <c r="B9189" i="1"/>
  <c r="B9188" i="1"/>
  <c r="B9187" i="1"/>
  <c r="B9186" i="1"/>
  <c r="B9185" i="1"/>
  <c r="B9184" i="1"/>
  <c r="B9183" i="1"/>
  <c r="B9182" i="1"/>
  <c r="B9181" i="1"/>
  <c r="B9180" i="1"/>
  <c r="B9179" i="1"/>
  <c r="B9178" i="1"/>
  <c r="B9177" i="1"/>
  <c r="B9176" i="1"/>
  <c r="B9175" i="1"/>
  <c r="B9174" i="1"/>
  <c r="B9173" i="1"/>
  <c r="B9172" i="1"/>
  <c r="B9171" i="1"/>
  <c r="B9170" i="1"/>
  <c r="B9169" i="1"/>
  <c r="B9168" i="1"/>
  <c r="B9167" i="1"/>
  <c r="B9166" i="1"/>
  <c r="B9165" i="1"/>
  <c r="B9164" i="1"/>
  <c r="B9163" i="1"/>
  <c r="B9162" i="1"/>
  <c r="B9161" i="1"/>
  <c r="B9160" i="1"/>
  <c r="B9159" i="1"/>
  <c r="B9158" i="1"/>
  <c r="B9157" i="1"/>
  <c r="B9156" i="1"/>
  <c r="B9155" i="1"/>
  <c r="B9154" i="1"/>
  <c r="B9153" i="1"/>
  <c r="B9152" i="1"/>
  <c r="B9151" i="1"/>
  <c r="B9150" i="1"/>
  <c r="B9149" i="1"/>
  <c r="B9148" i="1"/>
  <c r="B9147" i="1"/>
  <c r="B9146" i="1"/>
  <c r="B9145" i="1"/>
  <c r="B9144" i="1"/>
  <c r="B9143" i="1"/>
  <c r="B9142" i="1"/>
  <c r="B9141" i="1"/>
  <c r="B9140" i="1"/>
  <c r="B9139" i="1"/>
  <c r="B9138" i="1"/>
  <c r="B9137" i="1"/>
  <c r="B9136" i="1"/>
  <c r="B9135" i="1"/>
  <c r="B9134" i="1"/>
  <c r="B9133" i="1"/>
  <c r="B9132" i="1"/>
  <c r="B9131" i="1"/>
  <c r="B9130" i="1"/>
  <c r="B9129" i="1"/>
  <c r="B9128" i="1"/>
  <c r="B9127" i="1"/>
  <c r="B9126" i="1"/>
  <c r="B9125" i="1"/>
  <c r="B9124" i="1"/>
  <c r="B9123" i="1"/>
  <c r="B9122" i="1"/>
  <c r="B9121" i="1"/>
  <c r="B9120" i="1"/>
  <c r="B9119" i="1"/>
  <c r="B9118" i="1"/>
  <c r="B9117" i="1"/>
  <c r="B9116" i="1"/>
  <c r="B9115" i="1"/>
  <c r="B9114" i="1"/>
  <c r="B9113" i="1"/>
  <c r="B9112" i="1"/>
  <c r="B9111" i="1"/>
  <c r="B9110" i="1"/>
  <c r="B9109" i="1"/>
  <c r="B9108" i="1"/>
  <c r="B9107" i="1"/>
  <c r="B9106" i="1"/>
  <c r="B9105" i="1"/>
  <c r="B9104" i="1"/>
  <c r="B9103" i="1"/>
  <c r="B9102" i="1"/>
  <c r="B9101" i="1"/>
  <c r="B9100" i="1"/>
  <c r="B9099" i="1"/>
  <c r="B9098" i="1"/>
  <c r="B9097" i="1"/>
  <c r="B9096" i="1"/>
  <c r="B9095" i="1"/>
  <c r="B9094" i="1"/>
  <c r="B9093" i="1"/>
  <c r="B9092" i="1"/>
  <c r="B9091" i="1"/>
  <c r="B9090" i="1"/>
  <c r="B9089" i="1"/>
  <c r="B9088" i="1"/>
  <c r="B9087" i="1"/>
  <c r="B9086" i="1"/>
  <c r="B9085" i="1"/>
  <c r="B9084" i="1"/>
  <c r="B9083" i="1"/>
  <c r="B9082" i="1"/>
  <c r="B9081" i="1"/>
  <c r="B9080" i="1"/>
  <c r="B9079" i="1"/>
  <c r="B9078" i="1"/>
  <c r="B9077" i="1"/>
  <c r="B9076" i="1"/>
  <c r="B9075" i="1"/>
  <c r="B9074" i="1"/>
  <c r="B9073" i="1"/>
  <c r="B9072" i="1"/>
  <c r="B9071" i="1"/>
  <c r="B9070" i="1"/>
  <c r="B9069" i="1"/>
  <c r="B9068" i="1"/>
  <c r="B9067" i="1"/>
  <c r="B9066" i="1"/>
  <c r="B9065" i="1"/>
  <c r="B9064" i="1"/>
  <c r="B9063" i="1"/>
  <c r="B9062" i="1"/>
  <c r="B9061" i="1"/>
  <c r="B9060" i="1"/>
  <c r="B9059" i="1"/>
  <c r="B9058" i="1"/>
  <c r="B9057" i="1"/>
  <c r="B9056" i="1"/>
  <c r="B9055" i="1"/>
  <c r="B9054" i="1"/>
  <c r="B9053" i="1"/>
  <c r="B9052" i="1"/>
  <c r="B9051" i="1"/>
  <c r="B9050" i="1"/>
  <c r="B9049" i="1"/>
  <c r="B9048" i="1"/>
  <c r="B9047" i="1"/>
  <c r="B9046" i="1"/>
  <c r="B9045" i="1"/>
  <c r="B9044" i="1"/>
  <c r="B9043" i="1"/>
  <c r="B9042" i="1"/>
  <c r="B9041" i="1"/>
  <c r="B9040" i="1"/>
  <c r="B9039" i="1"/>
  <c r="B9038" i="1"/>
  <c r="B9037" i="1"/>
  <c r="B9036" i="1"/>
  <c r="B9035" i="1"/>
  <c r="B9034" i="1"/>
  <c r="B9033" i="1"/>
  <c r="B9032" i="1"/>
  <c r="B9031" i="1"/>
  <c r="B9030" i="1"/>
  <c r="B9029" i="1"/>
  <c r="B9028" i="1"/>
  <c r="B9027" i="1"/>
  <c r="B9026" i="1"/>
  <c r="B9025" i="1"/>
  <c r="B9024" i="1"/>
  <c r="B9023" i="1"/>
  <c r="B9022" i="1"/>
  <c r="B9021" i="1"/>
  <c r="B9020" i="1"/>
  <c r="B9019" i="1"/>
  <c r="B9018" i="1"/>
  <c r="B9017" i="1"/>
  <c r="B9016" i="1"/>
  <c r="B9015" i="1"/>
  <c r="B9014" i="1"/>
  <c r="B9013" i="1"/>
  <c r="B9012" i="1"/>
  <c r="B9011" i="1"/>
  <c r="B9010" i="1"/>
  <c r="B9009" i="1"/>
  <c r="B9008" i="1"/>
  <c r="B9007" i="1"/>
  <c r="B9006" i="1"/>
  <c r="B9005" i="1"/>
  <c r="B9004" i="1"/>
  <c r="B9003" i="1"/>
  <c r="B9002" i="1"/>
  <c r="B9001" i="1"/>
  <c r="B9000" i="1"/>
  <c r="B8999" i="1"/>
  <c r="B8998" i="1"/>
  <c r="B8997" i="1"/>
  <c r="B8996" i="1"/>
  <c r="B8995" i="1"/>
  <c r="B8994" i="1"/>
  <c r="B8993" i="1"/>
  <c r="B8992" i="1"/>
  <c r="B8991" i="1"/>
  <c r="B8990" i="1"/>
  <c r="B8989" i="1"/>
  <c r="B8988" i="1"/>
  <c r="B8987" i="1"/>
  <c r="B8986" i="1"/>
  <c r="B8985" i="1"/>
  <c r="B8984" i="1"/>
  <c r="B8983" i="1"/>
  <c r="B8982" i="1"/>
  <c r="B8981" i="1"/>
  <c r="B8980" i="1"/>
  <c r="B8979" i="1"/>
  <c r="B8978" i="1"/>
  <c r="B8977" i="1"/>
  <c r="B8976" i="1"/>
  <c r="B8975" i="1"/>
  <c r="B8974" i="1"/>
  <c r="B8973" i="1"/>
  <c r="B8972" i="1"/>
  <c r="B8971" i="1"/>
  <c r="B8970" i="1"/>
  <c r="B8969" i="1"/>
  <c r="B8968" i="1"/>
  <c r="B8967" i="1"/>
  <c r="B8966" i="1"/>
  <c r="B8965" i="1"/>
  <c r="B8964" i="1"/>
  <c r="B8963" i="1"/>
  <c r="B8962" i="1"/>
  <c r="B8961" i="1"/>
  <c r="B8960" i="1"/>
  <c r="B8959" i="1"/>
  <c r="B8958" i="1"/>
  <c r="B8957" i="1"/>
  <c r="B8956" i="1"/>
  <c r="B8955" i="1"/>
  <c r="B8954" i="1"/>
  <c r="B8953" i="1"/>
  <c r="B8952" i="1"/>
  <c r="B8951" i="1"/>
  <c r="B8950" i="1"/>
  <c r="B8949" i="1"/>
  <c r="B8948" i="1"/>
  <c r="B8947" i="1"/>
  <c r="B8946" i="1"/>
  <c r="B8945" i="1"/>
  <c r="B8944" i="1"/>
  <c r="B8943" i="1"/>
  <c r="B8942" i="1"/>
  <c r="B8941" i="1"/>
  <c r="B8940" i="1"/>
  <c r="B8939" i="1"/>
  <c r="B8938" i="1"/>
  <c r="B8937" i="1"/>
  <c r="B8936" i="1"/>
  <c r="B8935" i="1"/>
  <c r="B8934" i="1"/>
  <c r="B8933" i="1"/>
  <c r="B8932" i="1"/>
  <c r="B8931" i="1"/>
  <c r="B8930" i="1"/>
  <c r="B8929" i="1"/>
  <c r="B8928" i="1"/>
  <c r="B8927" i="1"/>
  <c r="B8926" i="1"/>
  <c r="B8925" i="1"/>
  <c r="B8924" i="1"/>
  <c r="B8923" i="1"/>
  <c r="B8922" i="1"/>
  <c r="B8921" i="1"/>
  <c r="B8920" i="1"/>
  <c r="B8919" i="1"/>
  <c r="B8918" i="1"/>
  <c r="B8917" i="1"/>
  <c r="B8916" i="1"/>
  <c r="B8915" i="1"/>
  <c r="B8914" i="1"/>
  <c r="B8913" i="1"/>
  <c r="B8912" i="1"/>
  <c r="B8911" i="1"/>
  <c r="B8910" i="1"/>
  <c r="B8909" i="1"/>
  <c r="B8908" i="1"/>
  <c r="B8907" i="1"/>
  <c r="B8906" i="1"/>
  <c r="B8905" i="1"/>
  <c r="B8904" i="1"/>
  <c r="B8903" i="1"/>
  <c r="B8902" i="1"/>
  <c r="B8901" i="1"/>
  <c r="B8900" i="1"/>
  <c r="B8899" i="1"/>
  <c r="B8898" i="1"/>
  <c r="B8897" i="1"/>
  <c r="B8896" i="1"/>
  <c r="B8895" i="1"/>
  <c r="B8894" i="1"/>
  <c r="B8893" i="1"/>
  <c r="B8892" i="1"/>
  <c r="B8891" i="1"/>
  <c r="B8890" i="1"/>
  <c r="B8889" i="1"/>
  <c r="B8888" i="1"/>
  <c r="B8887" i="1"/>
  <c r="B8886" i="1"/>
  <c r="B8885" i="1"/>
  <c r="B8884" i="1"/>
  <c r="B8883" i="1"/>
  <c r="B8882" i="1"/>
  <c r="B8881" i="1"/>
  <c r="B8880" i="1"/>
  <c r="B8879" i="1"/>
  <c r="B8878" i="1"/>
  <c r="B8877" i="1"/>
  <c r="B8876" i="1"/>
  <c r="B8875" i="1"/>
  <c r="B8874" i="1"/>
  <c r="B8873" i="1"/>
  <c r="B8872" i="1"/>
  <c r="B8871" i="1"/>
  <c r="B8870" i="1"/>
  <c r="B8869" i="1"/>
  <c r="B8868" i="1"/>
  <c r="B8867" i="1"/>
  <c r="B8866" i="1"/>
  <c r="B8865" i="1"/>
  <c r="B8864" i="1"/>
  <c r="B8863" i="1"/>
  <c r="B8862" i="1"/>
  <c r="B8861" i="1"/>
  <c r="B8860" i="1"/>
  <c r="B8859" i="1"/>
  <c r="B8858" i="1"/>
  <c r="B8857" i="1"/>
  <c r="B8856" i="1"/>
  <c r="B8855" i="1"/>
  <c r="B8854" i="1"/>
  <c r="B8853" i="1"/>
  <c r="B8852" i="1"/>
  <c r="B8851" i="1"/>
  <c r="B8850" i="1"/>
  <c r="B8849" i="1"/>
  <c r="B8848" i="1"/>
  <c r="B8847" i="1"/>
  <c r="B8846" i="1"/>
  <c r="B8845" i="1"/>
  <c r="B8844" i="1"/>
  <c r="B8843" i="1"/>
  <c r="B8842" i="1"/>
  <c r="B8841" i="1"/>
  <c r="B8840" i="1"/>
  <c r="B8839" i="1"/>
  <c r="B8838" i="1"/>
  <c r="B8837" i="1"/>
  <c r="B8836" i="1"/>
  <c r="B8835" i="1"/>
  <c r="B8834" i="1"/>
  <c r="B8833" i="1"/>
  <c r="B8832" i="1"/>
  <c r="B8831" i="1"/>
  <c r="B8830" i="1"/>
  <c r="B8829" i="1"/>
  <c r="B8828" i="1"/>
  <c r="B8827" i="1"/>
  <c r="B8826" i="1"/>
  <c r="B8825" i="1"/>
  <c r="B8824" i="1"/>
  <c r="B8823" i="1"/>
  <c r="B8822" i="1"/>
  <c r="B8821" i="1"/>
  <c r="B8820" i="1"/>
  <c r="B8819" i="1"/>
  <c r="B8818" i="1"/>
  <c r="B8817" i="1"/>
  <c r="B8816" i="1"/>
  <c r="B8815" i="1"/>
  <c r="B8814" i="1"/>
  <c r="B8813" i="1"/>
  <c r="B8812" i="1"/>
  <c r="B8811" i="1"/>
  <c r="B8810" i="1"/>
  <c r="B8809" i="1"/>
  <c r="B8808" i="1"/>
  <c r="B8807" i="1"/>
  <c r="B8806" i="1"/>
  <c r="B8805" i="1"/>
  <c r="B8804" i="1"/>
  <c r="B8803" i="1"/>
  <c r="B8802" i="1"/>
  <c r="B8801" i="1"/>
  <c r="B8800" i="1"/>
  <c r="B8799" i="1"/>
  <c r="B8798" i="1"/>
  <c r="B8797" i="1"/>
  <c r="B8796" i="1"/>
  <c r="B8795" i="1"/>
  <c r="B8794" i="1"/>
  <c r="B8793" i="1"/>
  <c r="B8792" i="1"/>
  <c r="B8791" i="1"/>
  <c r="B8790" i="1"/>
  <c r="B8789" i="1"/>
  <c r="B8788" i="1"/>
  <c r="B8787" i="1"/>
  <c r="B8786" i="1"/>
  <c r="B8785" i="1"/>
  <c r="B8784" i="1"/>
  <c r="B8783" i="1"/>
  <c r="B8782" i="1"/>
  <c r="B8781" i="1"/>
  <c r="B8780" i="1"/>
  <c r="B8779" i="1"/>
  <c r="B8778" i="1"/>
  <c r="B8777" i="1"/>
  <c r="B8776" i="1"/>
  <c r="B8775" i="1"/>
  <c r="B8774" i="1"/>
  <c r="B8773" i="1"/>
  <c r="B8772" i="1"/>
  <c r="B8771" i="1"/>
  <c r="B8770" i="1"/>
  <c r="B8769" i="1"/>
  <c r="B8768" i="1"/>
  <c r="B8767" i="1"/>
  <c r="B8766" i="1"/>
  <c r="B8765" i="1"/>
  <c r="B8764" i="1"/>
  <c r="B8763" i="1"/>
  <c r="B8762" i="1"/>
  <c r="B8761" i="1"/>
  <c r="B8760" i="1"/>
  <c r="B8759" i="1"/>
  <c r="B8758" i="1"/>
  <c r="B8757" i="1"/>
  <c r="B8756" i="1"/>
  <c r="B8755" i="1"/>
  <c r="B8754" i="1"/>
  <c r="B8753" i="1"/>
  <c r="B8752" i="1"/>
  <c r="B8751" i="1"/>
  <c r="B8750" i="1"/>
  <c r="B8749" i="1"/>
  <c r="B8748" i="1"/>
  <c r="B8747" i="1"/>
  <c r="B8746" i="1"/>
  <c r="B8745" i="1"/>
  <c r="B8744" i="1"/>
  <c r="B8743" i="1"/>
  <c r="B8742" i="1"/>
  <c r="B8741" i="1"/>
  <c r="B8740" i="1"/>
  <c r="B8739" i="1"/>
  <c r="B8738" i="1"/>
  <c r="B8737" i="1"/>
  <c r="B8736" i="1"/>
  <c r="B8735" i="1"/>
  <c r="B8734" i="1"/>
  <c r="B8733" i="1"/>
  <c r="B8732" i="1"/>
  <c r="B8731" i="1"/>
  <c r="B8730" i="1"/>
  <c r="B8729" i="1"/>
  <c r="B8728" i="1"/>
  <c r="B8727" i="1"/>
  <c r="B8726" i="1"/>
  <c r="B8725" i="1"/>
  <c r="B8724" i="1"/>
  <c r="B8723" i="1"/>
  <c r="B8722" i="1"/>
  <c r="B8721" i="1"/>
  <c r="B8720" i="1"/>
  <c r="B8719" i="1"/>
  <c r="B8718" i="1"/>
  <c r="B8717" i="1"/>
  <c r="B8716" i="1"/>
  <c r="B8715" i="1"/>
  <c r="B8714" i="1"/>
  <c r="B8713" i="1"/>
  <c r="B8712" i="1"/>
  <c r="B8711" i="1"/>
  <c r="B8710" i="1"/>
  <c r="B8709" i="1"/>
  <c r="B8708" i="1"/>
  <c r="B8707" i="1"/>
  <c r="B8706" i="1"/>
  <c r="B8705" i="1"/>
  <c r="B8704" i="1"/>
  <c r="B8703" i="1"/>
  <c r="B8702" i="1"/>
  <c r="B8701" i="1"/>
  <c r="B8700" i="1"/>
  <c r="B8699" i="1"/>
  <c r="B8698" i="1"/>
  <c r="B8697" i="1"/>
  <c r="B8696" i="1"/>
  <c r="B8695" i="1"/>
  <c r="B8694" i="1"/>
  <c r="B8693" i="1"/>
  <c r="B8692" i="1"/>
  <c r="B8691" i="1"/>
  <c r="B8690" i="1"/>
  <c r="B8689" i="1"/>
  <c r="B8688" i="1"/>
  <c r="B8687" i="1"/>
  <c r="B8686" i="1"/>
  <c r="B8685" i="1"/>
  <c r="B8684" i="1"/>
  <c r="B8683" i="1"/>
  <c r="B8682" i="1"/>
  <c r="B8681" i="1"/>
  <c r="B8680" i="1"/>
  <c r="B8679" i="1"/>
  <c r="B8678" i="1"/>
  <c r="B8677" i="1"/>
  <c r="B8676" i="1"/>
  <c r="B8675" i="1"/>
  <c r="B8674" i="1"/>
  <c r="B8673" i="1"/>
  <c r="B8672" i="1"/>
  <c r="B8671" i="1"/>
  <c r="B8670" i="1"/>
  <c r="B8669" i="1"/>
  <c r="B8668" i="1"/>
  <c r="B8667" i="1"/>
  <c r="B8666" i="1"/>
  <c r="B8665" i="1"/>
  <c r="B8664" i="1"/>
  <c r="B8663" i="1"/>
  <c r="B8662" i="1"/>
  <c r="B8661" i="1"/>
  <c r="B8660" i="1"/>
  <c r="B8659" i="1"/>
  <c r="B8658" i="1"/>
  <c r="B8657" i="1"/>
  <c r="B8656" i="1"/>
  <c r="B8655" i="1"/>
  <c r="B8654" i="1"/>
  <c r="B8653" i="1"/>
  <c r="B8652" i="1"/>
  <c r="B8651" i="1"/>
  <c r="B8650" i="1"/>
  <c r="B8649" i="1"/>
  <c r="B8648" i="1"/>
  <c r="B8647" i="1"/>
  <c r="B8646" i="1"/>
  <c r="B8645" i="1"/>
  <c r="B8644" i="1"/>
  <c r="B8643" i="1"/>
  <c r="B8642" i="1"/>
  <c r="B8641" i="1"/>
  <c r="B8640" i="1"/>
  <c r="B8639" i="1"/>
  <c r="B8638" i="1"/>
  <c r="B8637" i="1"/>
  <c r="B8636" i="1"/>
  <c r="B8635" i="1"/>
  <c r="B8634" i="1"/>
  <c r="B8633" i="1"/>
  <c r="B8632" i="1"/>
  <c r="B8631" i="1"/>
  <c r="B8630" i="1"/>
  <c r="B8629" i="1"/>
  <c r="B8628" i="1"/>
  <c r="B8627" i="1"/>
  <c r="B8626" i="1"/>
  <c r="B8625" i="1"/>
  <c r="B8624" i="1"/>
  <c r="B8623" i="1"/>
  <c r="B8622" i="1"/>
  <c r="B8621" i="1"/>
  <c r="B8620" i="1"/>
  <c r="B8619" i="1"/>
  <c r="B8618" i="1"/>
  <c r="B8617" i="1"/>
  <c r="B8616" i="1"/>
  <c r="B8615" i="1"/>
  <c r="B8614" i="1"/>
  <c r="B8613" i="1"/>
  <c r="B8612" i="1"/>
  <c r="B8611" i="1"/>
  <c r="B8610" i="1"/>
  <c r="B8609" i="1"/>
  <c r="B8608" i="1"/>
  <c r="B8607" i="1"/>
  <c r="B8606" i="1"/>
  <c r="B8605" i="1"/>
  <c r="B8604" i="1"/>
  <c r="B8603" i="1"/>
  <c r="B8602" i="1"/>
  <c r="B8601" i="1"/>
  <c r="B8600" i="1"/>
  <c r="B8599" i="1"/>
  <c r="B8598" i="1"/>
  <c r="B8597" i="1"/>
  <c r="B8596" i="1"/>
  <c r="B8595" i="1"/>
  <c r="B8594" i="1"/>
  <c r="B8593" i="1"/>
  <c r="B8592" i="1"/>
  <c r="B8591" i="1"/>
  <c r="B8590" i="1"/>
  <c r="B8589" i="1"/>
  <c r="B8588" i="1"/>
  <c r="B8587" i="1"/>
  <c r="B8586" i="1"/>
  <c r="B8585" i="1"/>
  <c r="B8584" i="1"/>
  <c r="B8583" i="1"/>
  <c r="B8582" i="1"/>
  <c r="B8581" i="1"/>
  <c r="B8580" i="1"/>
  <c r="B8579" i="1"/>
  <c r="B8578" i="1"/>
  <c r="B8577" i="1"/>
  <c r="B8576" i="1"/>
  <c r="B8567" i="1"/>
  <c r="B8566" i="1"/>
  <c r="B8565" i="1"/>
  <c r="B8564" i="1"/>
  <c r="B8563" i="1"/>
  <c r="B8562" i="1"/>
  <c r="B8561" i="1"/>
  <c r="B8560" i="1"/>
  <c r="B8559" i="1"/>
  <c r="B8558" i="1"/>
  <c r="B8557" i="1"/>
  <c r="B8556" i="1"/>
  <c r="B8555" i="1"/>
  <c r="B8554" i="1"/>
  <c r="B8553" i="1"/>
  <c r="B8552" i="1"/>
  <c r="B8551" i="1"/>
  <c r="B8550" i="1"/>
  <c r="B8549" i="1"/>
  <c r="B8548" i="1"/>
  <c r="B8547" i="1"/>
  <c r="B8546" i="1"/>
  <c r="B8545" i="1"/>
  <c r="B8544" i="1"/>
  <c r="B8543" i="1"/>
  <c r="B8542" i="1"/>
  <c r="B8541" i="1"/>
  <c r="B8540" i="1"/>
  <c r="B8539" i="1"/>
  <c r="B8538" i="1"/>
  <c r="B8537" i="1"/>
  <c r="B8536" i="1"/>
  <c r="B8535" i="1"/>
  <c r="B8534" i="1"/>
  <c r="B8533" i="1"/>
  <c r="B8532" i="1"/>
  <c r="B8531" i="1"/>
  <c r="B8530" i="1"/>
  <c r="B8529" i="1"/>
  <c r="B8528" i="1"/>
  <c r="B8527" i="1"/>
  <c r="B8526" i="1"/>
  <c r="B8525" i="1"/>
  <c r="B8524" i="1"/>
  <c r="B8523" i="1"/>
  <c r="B8522" i="1"/>
  <c r="B8521" i="1"/>
  <c r="B8520" i="1"/>
  <c r="B8519" i="1"/>
  <c r="B8518" i="1"/>
  <c r="B8517" i="1"/>
  <c r="B8516" i="1"/>
  <c r="B8515" i="1"/>
  <c r="B8514" i="1"/>
  <c r="B8513" i="1"/>
  <c r="B8512" i="1"/>
  <c r="B8511" i="1"/>
  <c r="B8510" i="1"/>
  <c r="B8509" i="1"/>
  <c r="B8508" i="1"/>
  <c r="B8507" i="1"/>
  <c r="B8506" i="1"/>
  <c r="B8505" i="1"/>
  <c r="B8504" i="1"/>
  <c r="B8503" i="1"/>
  <c r="B8502" i="1"/>
  <c r="B8501" i="1"/>
  <c r="B8499" i="1"/>
  <c r="B8498" i="1"/>
  <c r="B8497" i="1"/>
  <c r="B8496" i="1"/>
  <c r="B8495" i="1"/>
  <c r="B8494" i="1"/>
  <c r="B8493" i="1"/>
  <c r="B8492" i="1"/>
  <c r="B8491" i="1"/>
  <c r="B8490" i="1"/>
  <c r="B8489" i="1"/>
  <c r="B8488" i="1"/>
  <c r="B8487" i="1"/>
  <c r="B8486" i="1"/>
  <c r="B8485" i="1"/>
  <c r="B8484" i="1"/>
  <c r="B8483" i="1"/>
  <c r="B8482" i="1"/>
  <c r="B8481" i="1"/>
  <c r="B8480" i="1"/>
  <c r="B8479" i="1"/>
  <c r="B8478" i="1"/>
  <c r="B8477" i="1"/>
  <c r="B8476" i="1"/>
  <c r="B8475" i="1"/>
  <c r="B8474" i="1"/>
  <c r="B8473" i="1"/>
  <c r="B8472" i="1"/>
  <c r="B8471" i="1"/>
  <c r="B8470" i="1"/>
  <c r="B8469" i="1"/>
  <c r="B8468" i="1"/>
  <c r="B8467" i="1"/>
  <c r="B8466" i="1"/>
  <c r="B8465" i="1"/>
  <c r="B8464" i="1"/>
  <c r="B8463" i="1"/>
  <c r="B8462" i="1"/>
  <c r="B8461" i="1"/>
  <c r="B8460" i="1"/>
  <c r="B8459" i="1"/>
  <c r="B8458" i="1"/>
  <c r="B8457" i="1"/>
  <c r="B8456" i="1"/>
  <c r="B8455" i="1"/>
  <c r="B8454" i="1"/>
  <c r="B8453" i="1"/>
  <c r="B8452" i="1"/>
  <c r="B8451" i="1"/>
  <c r="B8450" i="1"/>
  <c r="B8449" i="1"/>
  <c r="B8448" i="1"/>
  <c r="B8447" i="1"/>
  <c r="B8446" i="1"/>
  <c r="B8445" i="1"/>
  <c r="B8444" i="1"/>
  <c r="B8443" i="1"/>
  <c r="B8442" i="1"/>
  <c r="B8441" i="1"/>
  <c r="B8440" i="1"/>
  <c r="B8439" i="1"/>
  <c r="B8438" i="1"/>
  <c r="B8437" i="1"/>
  <c r="B8436" i="1"/>
  <c r="B8435" i="1"/>
  <c r="B8434" i="1"/>
  <c r="B8433" i="1"/>
  <c r="B8432" i="1"/>
  <c r="B8431" i="1"/>
  <c r="B8430" i="1"/>
  <c r="B8429" i="1"/>
  <c r="B8428" i="1"/>
  <c r="B8427" i="1"/>
  <c r="B8426" i="1"/>
  <c r="B8425" i="1"/>
  <c r="B8424" i="1"/>
  <c r="B8423" i="1"/>
  <c r="B8422" i="1"/>
  <c r="B8421" i="1"/>
  <c r="B8420" i="1"/>
  <c r="B8419" i="1"/>
  <c r="B8418" i="1"/>
  <c r="B8417" i="1"/>
  <c r="B8416" i="1"/>
  <c r="B8415" i="1"/>
  <c r="B8414" i="1"/>
  <c r="B8413" i="1"/>
  <c r="B8412" i="1"/>
  <c r="B8411" i="1"/>
  <c r="B8410" i="1"/>
  <c r="B8409" i="1"/>
  <c r="B8408" i="1"/>
  <c r="B8407" i="1"/>
  <c r="B8406" i="1"/>
  <c r="B8405" i="1"/>
  <c r="B8404" i="1"/>
  <c r="B8403" i="1"/>
  <c r="B8402" i="1"/>
  <c r="B8401" i="1"/>
  <c r="B8400" i="1"/>
  <c r="B8399" i="1"/>
  <c r="B8398" i="1"/>
  <c r="B8397" i="1"/>
  <c r="B8396" i="1"/>
  <c r="B8395" i="1"/>
  <c r="B8394" i="1"/>
  <c r="B8393" i="1"/>
  <c r="B8392" i="1"/>
  <c r="B8391" i="1"/>
  <c r="B8390" i="1"/>
  <c r="B8389" i="1"/>
  <c r="B8388" i="1"/>
  <c r="B8387" i="1"/>
  <c r="B8386" i="1"/>
  <c r="B8385" i="1"/>
  <c r="B8384" i="1"/>
  <c r="B8383" i="1"/>
  <c r="B8382" i="1"/>
  <c r="B8381" i="1"/>
  <c r="B8380" i="1"/>
  <c r="B8379" i="1"/>
  <c r="B8378" i="1"/>
  <c r="B8377" i="1"/>
  <c r="B8376" i="1"/>
  <c r="B8375" i="1"/>
  <c r="B8374" i="1"/>
  <c r="B8373" i="1"/>
  <c r="B8372" i="1"/>
  <c r="B8371" i="1"/>
  <c r="B8370" i="1"/>
  <c r="B8369" i="1"/>
  <c r="B8368" i="1"/>
  <c r="B8367" i="1"/>
  <c r="B8366" i="1"/>
  <c r="B8365" i="1"/>
  <c r="B8364" i="1"/>
  <c r="B8363" i="1"/>
  <c r="B8362" i="1"/>
  <c r="B8361" i="1"/>
  <c r="B8360" i="1"/>
  <c r="B8359" i="1"/>
  <c r="B8358" i="1"/>
  <c r="B8357" i="1"/>
  <c r="B8356" i="1"/>
  <c r="B8355" i="1"/>
  <c r="B8354" i="1"/>
  <c r="B8353" i="1"/>
  <c r="B8352" i="1"/>
  <c r="B8351" i="1"/>
  <c r="B8350" i="1"/>
  <c r="B8349" i="1"/>
  <c r="B8348" i="1"/>
  <c r="B8347" i="1"/>
  <c r="B8346" i="1"/>
  <c r="B8345" i="1"/>
  <c r="B8344" i="1"/>
  <c r="B8343" i="1"/>
  <c r="B8342" i="1"/>
  <c r="B8341" i="1"/>
  <c r="B8340" i="1"/>
  <c r="B8339" i="1"/>
  <c r="B8338" i="1"/>
  <c r="B8337" i="1"/>
  <c r="B8336" i="1"/>
  <c r="B8335" i="1"/>
  <c r="B8334" i="1"/>
  <c r="B8333" i="1"/>
  <c r="B8332" i="1"/>
  <c r="B8331" i="1"/>
  <c r="B8330" i="1"/>
  <c r="B8329" i="1"/>
  <c r="B8328" i="1"/>
  <c r="B8327" i="1"/>
  <c r="B8326" i="1"/>
  <c r="B8325" i="1"/>
  <c r="B8324" i="1"/>
  <c r="B8323" i="1"/>
  <c r="B8322" i="1"/>
  <c r="B8321" i="1"/>
  <c r="B8320" i="1"/>
  <c r="B8319" i="1"/>
  <c r="B8318" i="1"/>
  <c r="B8317" i="1"/>
  <c r="B8316" i="1"/>
  <c r="B8315" i="1"/>
  <c r="B8314" i="1"/>
  <c r="B8313" i="1"/>
  <c r="B8312" i="1"/>
  <c r="B8311" i="1"/>
  <c r="B8310" i="1"/>
  <c r="B8309" i="1"/>
  <c r="B8308" i="1"/>
  <c r="B8307" i="1"/>
  <c r="B8306" i="1"/>
  <c r="B8305" i="1"/>
  <c r="B8304" i="1"/>
  <c r="B8303" i="1"/>
  <c r="B8302" i="1"/>
  <c r="B8301" i="1"/>
  <c r="B8300" i="1"/>
  <c r="B8299" i="1"/>
  <c r="B8298" i="1"/>
  <c r="B8297" i="1"/>
  <c r="B8296" i="1"/>
  <c r="B8295" i="1"/>
  <c r="B8294" i="1"/>
  <c r="B8293" i="1"/>
  <c r="B8292" i="1"/>
  <c r="B8291" i="1"/>
  <c r="B8290" i="1"/>
  <c r="B8289" i="1"/>
  <c r="B8288" i="1"/>
  <c r="B8287" i="1"/>
  <c r="B8286" i="1"/>
  <c r="B8285" i="1"/>
  <c r="B8284" i="1"/>
  <c r="B8283" i="1"/>
  <c r="B8282" i="1"/>
  <c r="B8281" i="1"/>
  <c r="B8280" i="1"/>
  <c r="B8279" i="1"/>
  <c r="B8278" i="1"/>
  <c r="B8277" i="1"/>
  <c r="B8276" i="1"/>
  <c r="B8275" i="1"/>
  <c r="B8274" i="1"/>
  <c r="B8273" i="1"/>
  <c r="B8272" i="1"/>
  <c r="B8271" i="1"/>
  <c r="B8270" i="1"/>
  <c r="B8269" i="1"/>
  <c r="B8268" i="1"/>
  <c r="B8267" i="1"/>
  <c r="B8266" i="1"/>
  <c r="B8265" i="1"/>
  <c r="B8264" i="1"/>
  <c r="B8263" i="1"/>
  <c r="B8262" i="1"/>
  <c r="B8261" i="1"/>
  <c r="B8260" i="1"/>
  <c r="B8259" i="1"/>
  <c r="B8258" i="1"/>
  <c r="B8257" i="1"/>
  <c r="B8256" i="1"/>
  <c r="B8255" i="1"/>
  <c r="B8254" i="1"/>
  <c r="B8253" i="1"/>
  <c r="B8252" i="1"/>
  <c r="B8251" i="1"/>
  <c r="B8250" i="1"/>
  <c r="B8249" i="1"/>
  <c r="B8248" i="1"/>
  <c r="B8247" i="1"/>
  <c r="B8246" i="1"/>
  <c r="B8245" i="1"/>
  <c r="B8244" i="1"/>
  <c r="B8243" i="1"/>
  <c r="B8242" i="1"/>
  <c r="B8241" i="1"/>
  <c r="B8240" i="1"/>
  <c r="B8239" i="1"/>
  <c r="B8238" i="1"/>
  <c r="B8237" i="1"/>
  <c r="B8236" i="1"/>
  <c r="B8235" i="1"/>
  <c r="B8234" i="1"/>
  <c r="B8233" i="1"/>
  <c r="B8232" i="1"/>
  <c r="B8231" i="1"/>
  <c r="B8230" i="1"/>
  <c r="B8229" i="1"/>
  <c r="B8228" i="1"/>
  <c r="B8227" i="1"/>
  <c r="B8226" i="1"/>
  <c r="B8225" i="1"/>
  <c r="B8224" i="1"/>
  <c r="B8223" i="1"/>
  <c r="B8222" i="1"/>
  <c r="B8221" i="1"/>
  <c r="B8220" i="1"/>
  <c r="B8219" i="1"/>
  <c r="B8218" i="1"/>
  <c r="B8217" i="1"/>
  <c r="B8216" i="1"/>
  <c r="B8215" i="1"/>
  <c r="B8214" i="1"/>
  <c r="B8213" i="1"/>
  <c r="B8212" i="1"/>
  <c r="B8211" i="1"/>
  <c r="B8210" i="1"/>
  <c r="B8209" i="1"/>
  <c r="B8208" i="1"/>
  <c r="B8207" i="1"/>
  <c r="B8206" i="1"/>
  <c r="B8205" i="1"/>
  <c r="B8204" i="1"/>
  <c r="B8203" i="1"/>
  <c r="B8202" i="1"/>
  <c r="B8201" i="1"/>
  <c r="B8200" i="1"/>
  <c r="B8199" i="1"/>
  <c r="B8198" i="1"/>
  <c r="B8197" i="1"/>
  <c r="B8196" i="1"/>
  <c r="B8195" i="1"/>
  <c r="B8194" i="1"/>
  <c r="B8193" i="1"/>
  <c r="B8192" i="1"/>
  <c r="B8191" i="1"/>
  <c r="B8190" i="1"/>
  <c r="B8189" i="1"/>
  <c r="B8188" i="1"/>
  <c r="B8187" i="1"/>
  <c r="B8186" i="1"/>
  <c r="B8185" i="1"/>
  <c r="B8184" i="1"/>
  <c r="B8183" i="1"/>
  <c r="B8182" i="1"/>
  <c r="B8181" i="1"/>
  <c r="B8180" i="1"/>
  <c r="B8179" i="1"/>
  <c r="B8178" i="1"/>
  <c r="B8177" i="1"/>
  <c r="B8176" i="1"/>
  <c r="B8175" i="1"/>
  <c r="B8174" i="1"/>
  <c r="B8173" i="1"/>
  <c r="B8172" i="1"/>
  <c r="B8171" i="1"/>
  <c r="B8170" i="1"/>
  <c r="B8169" i="1"/>
  <c r="B8168" i="1"/>
  <c r="B8167" i="1"/>
  <c r="B8166" i="1"/>
  <c r="B8165" i="1"/>
  <c r="B8164" i="1"/>
  <c r="B8163" i="1"/>
  <c r="B8162" i="1"/>
  <c r="B8161" i="1"/>
  <c r="B8160" i="1"/>
  <c r="B8159" i="1"/>
  <c r="B8158" i="1"/>
  <c r="B8157" i="1"/>
  <c r="B8156" i="1"/>
  <c r="B8155" i="1"/>
  <c r="B8154" i="1"/>
  <c r="B8153" i="1"/>
  <c r="B8152" i="1"/>
  <c r="B8151" i="1"/>
  <c r="B8150" i="1"/>
  <c r="B8149" i="1"/>
  <c r="B8148" i="1"/>
  <c r="B8147" i="1"/>
  <c r="B8146" i="1"/>
  <c r="B8145" i="1"/>
  <c r="B8144" i="1"/>
  <c r="B8143" i="1"/>
  <c r="B8142" i="1"/>
  <c r="B8141" i="1"/>
  <c r="B8140" i="1"/>
  <c r="B8139" i="1"/>
  <c r="B8138" i="1"/>
  <c r="B8137" i="1"/>
  <c r="B8136" i="1"/>
  <c r="B8135" i="1"/>
  <c r="B8134" i="1"/>
  <c r="B8133" i="1"/>
  <c r="B8132" i="1"/>
  <c r="B8131" i="1"/>
  <c r="B8130" i="1"/>
  <c r="B8129" i="1"/>
  <c r="B8128" i="1"/>
  <c r="B8127" i="1"/>
  <c r="B8126" i="1"/>
  <c r="B8125" i="1"/>
  <c r="B8124" i="1"/>
  <c r="B8123" i="1"/>
  <c r="B8122" i="1"/>
  <c r="B8121" i="1"/>
  <c r="B8120" i="1"/>
  <c r="B8119" i="1"/>
  <c r="B8118" i="1"/>
  <c r="B8117" i="1"/>
  <c r="B8116" i="1"/>
  <c r="B8115" i="1"/>
  <c r="B8114" i="1"/>
  <c r="B8113" i="1"/>
  <c r="B8112" i="1"/>
  <c r="B8111" i="1"/>
  <c r="B8110" i="1"/>
  <c r="B8109" i="1"/>
  <c r="B8108" i="1"/>
  <c r="B8107" i="1"/>
  <c r="B8106" i="1"/>
  <c r="B8105" i="1"/>
  <c r="B8104" i="1"/>
  <c r="B8103" i="1"/>
  <c r="B8102" i="1"/>
  <c r="B8101" i="1"/>
  <c r="B8100" i="1"/>
  <c r="B8099" i="1"/>
  <c r="B8098" i="1"/>
  <c r="B8097" i="1"/>
  <c r="B8096" i="1"/>
  <c r="B8095" i="1"/>
  <c r="B8094" i="1"/>
  <c r="B8093" i="1"/>
  <c r="B8092" i="1"/>
  <c r="B8091" i="1"/>
  <c r="B8090" i="1"/>
  <c r="B8089" i="1"/>
  <c r="B8088" i="1"/>
  <c r="B8087" i="1"/>
  <c r="B8086" i="1"/>
  <c r="B8085" i="1"/>
  <c r="B8084" i="1"/>
  <c r="B8083" i="1"/>
  <c r="B8082" i="1"/>
  <c r="B8081" i="1"/>
  <c r="B8080" i="1"/>
  <c r="B8079" i="1"/>
  <c r="B8078" i="1"/>
  <c r="B8077" i="1"/>
  <c r="B8076" i="1"/>
  <c r="B8075" i="1"/>
  <c r="B8074" i="1"/>
  <c r="B8073" i="1"/>
  <c r="B8072" i="1"/>
  <c r="B8071" i="1"/>
  <c r="B8070" i="1"/>
  <c r="B8069" i="1"/>
  <c r="B8068"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09" i="1"/>
  <c r="B4908" i="1"/>
  <c r="B4907" i="1"/>
  <c r="B4906" i="1"/>
  <c r="B4905" i="1"/>
  <c r="B4904" i="1"/>
  <c r="B4903" i="1"/>
  <c r="B4902" i="1"/>
  <c r="B4901" i="1"/>
  <c r="B4900" i="1"/>
  <c r="B4899" i="1"/>
  <c r="B4898" i="1"/>
  <c r="B4897" i="1"/>
  <c r="B4896"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0" i="1"/>
  <c r="B259" i="1"/>
  <c r="B258" i="1"/>
  <c r="B257" i="1"/>
  <c r="B256" i="1"/>
  <c r="B255" i="1"/>
  <c r="B254" i="1"/>
  <c r="B253"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alcChain>
</file>

<file path=xl/sharedStrings.xml><?xml version="1.0" encoding="utf-8"?>
<sst xmlns="http://schemas.openxmlformats.org/spreadsheetml/2006/main" count="154401" uniqueCount="37004">
  <si>
    <t>City</t>
  </si>
  <si>
    <t>State</t>
  </si>
  <si>
    <t>Address</t>
  </si>
  <si>
    <t>County</t>
  </si>
  <si>
    <t>DEERFIELD</t>
  </si>
  <si>
    <t>FRANKLIN</t>
  </si>
  <si>
    <t>Zip Code</t>
  </si>
  <si>
    <t>Provider Number (CCN)</t>
  </si>
  <si>
    <t>.</t>
  </si>
  <si>
    <t>Skilled Nursing Facility Name</t>
  </si>
  <si>
    <t>MIZELL MEMORIAL HOSPITAL</t>
  </si>
  <si>
    <t>CRENSHAW COMMUNITY HOSPITAL</t>
  </si>
  <si>
    <t>CHEROKEE MEDICAL CENTER</t>
  </si>
  <si>
    <t>WEDOWEE HOSPITAL</t>
  </si>
  <si>
    <t>COMMUNITY HOSPITAL INC</t>
  </si>
  <si>
    <t>MARION REGIONAL MEDICAL CENTER</t>
  </si>
  <si>
    <t>FAYETTE MEDICAL CENTER</t>
  </si>
  <si>
    <t>BIBB MEDICAL CENTER</t>
  </si>
  <si>
    <t>LAWRENCE MEDICAL CENTER</t>
  </si>
  <si>
    <t>MEDICAL CENTER BARBOUR</t>
  </si>
  <si>
    <t>CLAY COUNTY HOSPITAL</t>
  </si>
  <si>
    <t>NORTHWEST MEDICAL CENTER</t>
  </si>
  <si>
    <t>HALE COUNTY HOSPITAL</t>
  </si>
  <si>
    <t>PICKENS COUNTY MEDICAL CENTER</t>
  </si>
  <si>
    <t>BRYAN W. WHITFIELD MEMORIAL HOSPITAL</t>
  </si>
  <si>
    <t>LAKELAND COMMUNITY HOSPITAL</t>
  </si>
  <si>
    <t>TROY REGIONAL MEDICAL CENTER</t>
  </si>
  <si>
    <t>JACKSON MEDICAL CENTER</t>
  </si>
  <si>
    <t>L V STABLER MEMORIAL HOSPITAL</t>
  </si>
  <si>
    <t>RUSSELLVILLE HOSPITAL</t>
  </si>
  <si>
    <t>ATMORE COMMUNITY HOSPITAL</t>
  </si>
  <si>
    <t>BURNS NURSING HOME, INC.</t>
  </si>
  <si>
    <t>COOSA VALLEY NURSING FACILITY</t>
  </si>
  <si>
    <t>HIGHLANDS HEALTH AND REHAB</t>
  </si>
  <si>
    <t>EASTVIEW REHABILITATION &amp; HEALTHCARE CENTER</t>
  </si>
  <si>
    <t>PLANTATION MANOR NURSING HOME</t>
  </si>
  <si>
    <t>ATHENS HEALTH AND REHABILITATION LLC</t>
  </si>
  <si>
    <t>MERRY WOOD LODGE CARE AND REHABILITATION CENTER</t>
  </si>
  <si>
    <t>HATLEY HEALTH CARE INC</t>
  </si>
  <si>
    <t>SENIOR REHAB &amp; RECOVERY AT LIMESTONE HEALTH FACILI</t>
  </si>
  <si>
    <t>WETUMPKA HEALTH AND REHABILITATION, LLC</t>
  </si>
  <si>
    <t>KELLER LANDING</t>
  </si>
  <si>
    <t>MITCHELL-HOLLINGSWORTH NURSING &amp; REHABILITATION</t>
  </si>
  <si>
    <t>GOLDEN LIVING CENTER - FOLEY</t>
  </si>
  <si>
    <t>HUNTER CREEK HEALTH AND REHABILITATION, LLC</t>
  </si>
  <si>
    <t>WEST GATE VILLAGE</t>
  </si>
  <si>
    <t>WOODLEY MANOR HEALTH &amp; REHABILITATION</t>
  </si>
  <si>
    <t>GOLDEN LIVING CENTER - MONTGOMERY</t>
  </si>
  <si>
    <t>SUMTER HEALTH AND REHABILITATION, L L C</t>
  </si>
  <si>
    <t>SOUTH HAVEN HEALTH AND REHABILITATION CENTER</t>
  </si>
  <si>
    <t>CAREGIVERS OF PLEASANT GROVE, INC</t>
  </si>
  <si>
    <t>EAMC LANIER NURSING HOME</t>
  </si>
  <si>
    <t>NORTHWAY HEALTH AND REHABILITATION, LLC</t>
  </si>
  <si>
    <t>CULLMAN HEALTH CARE CENTER</t>
  </si>
  <si>
    <t>EASTERN SHORE REHABILITATION AND HEALTH CENTER</t>
  </si>
  <si>
    <t>OAK TRACE CARE &amp; REHABILITATION CENTER</t>
  </si>
  <si>
    <t>CLEBURNE COUNTY NURSING HOME</t>
  </si>
  <si>
    <t>TERRACE OAKS CARE &amp; REHABILITATION CENTER</t>
  </si>
  <si>
    <t>GOLDEN LIVING CENTER - BOAZ</t>
  </si>
  <si>
    <t>PRATTVILLE HEALTH AND REHABILITATION, LLC</t>
  </si>
  <si>
    <t>TERRACE MANOR NURSING &amp; REHABILITATION CENTER, INC</t>
  </si>
  <si>
    <t>COTTAGE OF THE SHOALS</t>
  </si>
  <si>
    <t>RUSSELLVILLE HEALTH CARE INC</t>
  </si>
  <si>
    <t>HANCEVILLE NURSING &amp; REHAB CENTER, INC</t>
  </si>
  <si>
    <t>SUMMERFORD NURSING HOME INC</t>
  </si>
  <si>
    <t>FAIR HAVEN RETIREMENT CENTER</t>
  </si>
  <si>
    <t>ELBA NURSING AND REHABILITATION CENTER, LLC</t>
  </si>
  <si>
    <t>PARK PLACE NURSING AND REHABILITATION CENTER, LLC</t>
  </si>
  <si>
    <t>EVERGREEN NURSING HOME</t>
  </si>
  <si>
    <t>NORTH HILL NURSING AND REHABILITATION CTR, LLC</t>
  </si>
  <si>
    <t>SOUTH HEALTH AND REHABILITATION, LLC</t>
  </si>
  <si>
    <t>ALLEN MEMORIAL HOME</t>
  </si>
  <si>
    <t>CROWNE HEALTH CARE OF MOBILE</t>
  </si>
  <si>
    <t>ALTOONA  HEALTH &amp; REHAB</t>
  </si>
  <si>
    <t>ASHLAND PLACE HEALTH AND REHABILITATION, LLC</t>
  </si>
  <si>
    <t>SOUTHLAND NURSING HOME</t>
  </si>
  <si>
    <t>CIVIC CENTER HEALTH AND REHABILITATION, LLC</t>
  </si>
  <si>
    <t>DIVERSICARE OF BIG SPRINGS</t>
  </si>
  <si>
    <t>MAGNOLIA HAVEN HEALTH AND REHABILITATION CENTER</t>
  </si>
  <si>
    <t>RIVER CITY CENTER</t>
  </si>
  <si>
    <t>SHADESCREST HEALTH CARE CENTER</t>
  </si>
  <si>
    <t>CORDOVA HEALTH AND REHABILITATION, LLC</t>
  </si>
  <si>
    <t>SIGNATURE HEALTHCARE OF WHITESBURG GARDENS</t>
  </si>
  <si>
    <t>OAK KNOLL HEALTH AND REHABILITATION, LLC</t>
  </si>
  <si>
    <t>WARREN MANOR HEALTH AND REHABILITATION CENTER</t>
  </si>
  <si>
    <t>NHC HEALTHCARE, ANNISTON</t>
  </si>
  <si>
    <t>CITRONELLE HEALTH AND REHABILITATION CENTER</t>
  </si>
  <si>
    <t>WASHINGTON COUNTY NURSING HOME</t>
  </si>
  <si>
    <t>CLAY COUNTY NURSING HOME</t>
  </si>
  <si>
    <t>TRAYLOR RETIREMENT COMMUNITY</t>
  </si>
  <si>
    <t>BROOKSHIRE HEALTHCARE CENTER</t>
  </si>
  <si>
    <t>NHC HEALTHCARE, MOULTON</t>
  </si>
  <si>
    <t>ATMORE NURSING CENTER</t>
  </si>
  <si>
    <t>GOLDEN LIVING CENTER - TRUSSVILLE</t>
  </si>
  <si>
    <t>GOLDEN LIVING CENTER - OXFORD</t>
  </si>
  <si>
    <t>MAGNOLIA RIDGE CARE AND REHABILITATION CENTER</t>
  </si>
  <si>
    <t>BIRMINGHAM NURSING AND REHABILITATION CENTER EAST</t>
  </si>
  <si>
    <t>JOHN KNOX MANOR INC  I I</t>
  </si>
  <si>
    <t>FALKVILLE HEALTH CARE CENTER</t>
  </si>
  <si>
    <t>ALICEVILLE MANOR NURSING HOME</t>
  </si>
  <si>
    <t>HENDRIX HEALTH AND REHABILITATION</t>
  </si>
  <si>
    <t>TALLASSEE HEALTH AND REHABILITATION, LLC</t>
  </si>
  <si>
    <t>ARBOR WOODS HEALTH AND REHAB</t>
  </si>
  <si>
    <t>LINEVILLE HEALTH AND REHABILITATION, LLC</t>
  </si>
  <si>
    <t>FOREST MANOR INC</t>
  </si>
  <si>
    <t>CHANDLER HEALTH &amp; REHAB CENTER, LLC</t>
  </si>
  <si>
    <t>GOLDEN LIVING CENTER - RIVERCHASE</t>
  </si>
  <si>
    <t>GLENWOOD CENTER</t>
  </si>
  <si>
    <t>GOLDEN LIVING CENTER - ARAB</t>
  </si>
  <si>
    <t>SOUTHERN CARE, LLC</t>
  </si>
  <si>
    <t>WIREGRASS REHABILITATION CENTER &amp; NURSING HOME</t>
  </si>
  <si>
    <t>AZALEA GARDENS OF MOBILE</t>
  </si>
  <si>
    <t>EXTENDICARE HEALTH CENTER</t>
  </si>
  <si>
    <t>ARLINGTON REHABILITATION &amp; HEALTHCARE CENTER</t>
  </si>
  <si>
    <t>FAYETTE MEDICAL CENTER LONG TERM CARE UNIT</t>
  </si>
  <si>
    <t>RIDGEVIEW HEALTH SERVICES, INC</t>
  </si>
  <si>
    <t>CROWNE HEALTH CARE OF FT PAYNE</t>
  </si>
  <si>
    <t>HALEYVILLE HEALTH CARE CENTER</t>
  </si>
  <si>
    <t>PERRY COUNTY NURSING HOME</t>
  </si>
  <si>
    <t>GOLDEN LIVING CENTER - ONEONTA</t>
  </si>
  <si>
    <t>SYLACAUGA HEALTH AND REHAB SERVICES</t>
  </si>
  <si>
    <t>TALLADEGA HEALTHCARE CENTER, INC</t>
  </si>
  <si>
    <t>ALBERTVILLE NURSING HOME</t>
  </si>
  <si>
    <t>WILLOW TRACE HEALTH AND REHABILITATION CENTER</t>
  </si>
  <si>
    <t>DADEVILLE HEALTHCARE CENTER</t>
  </si>
  <si>
    <t>MARION REGIONAL NURSING HOME</t>
  </si>
  <si>
    <t>LITTLE SISTERS OF THE POOR SACRED HEART RESIDENCE</t>
  </si>
  <si>
    <t>FLORENCE NURSING AND REHABILITATION CTR,  LLC</t>
  </si>
  <si>
    <t>SOUTHERN SPRINGS HEALTHCARE FACILITY</t>
  </si>
  <si>
    <t>COOSA VALLEY HEALTH AND REHAB</t>
  </si>
  <si>
    <t>WESLEY MANOR RETIREMENT CENTER</t>
  </si>
  <si>
    <t>CROSSVILLE HEALTH AND REHABILITATION, LLC</t>
  </si>
  <si>
    <t>WOODHAVEN MANOR NURSING HOME</t>
  </si>
  <si>
    <t>GREENE COUNTY NURSING HOME</t>
  </si>
  <si>
    <t>PARKWOOD HEALTH CARE FACILITY</t>
  </si>
  <si>
    <t>GADSDEN HEALTH AND REHAB CENTER</t>
  </si>
  <si>
    <t>GEORGIANA HEALTH AND REHABILITATION, LLC</t>
  </si>
  <si>
    <t>NORTH MOBILE NURSING AND REHABILITATION CTR</t>
  </si>
  <si>
    <t>CLOVERDALE REHABILITATION AND NURSING CENTER</t>
  </si>
  <si>
    <t>GLEN HAVEN HEALTH AND REHABILITATION, LLC</t>
  </si>
  <si>
    <t>MOUNDVILLE HEALTH AND REHABILITATION, LLC</t>
  </si>
  <si>
    <t>JACKSON HEALTH CARE FACILITY</t>
  </si>
  <si>
    <t>GOLDEN LIVING CENTER - PELL CITY</t>
  </si>
  <si>
    <t>BROWN NURSING HOME</t>
  </si>
  <si>
    <t>ARBOR SPRINGS HEALTH AND REHAB CENTER, LTD</t>
  </si>
  <si>
    <t>CROWNE HEALTH CARE OF GREENVILLE</t>
  </si>
  <si>
    <t>PIEDMONT HEALTH CARE CENTER</t>
  </si>
  <si>
    <t>VILLAGE AT COOK SPRINGS SKILLED NURSING FACILITY</t>
  </si>
  <si>
    <t>GOLDEN LIVING CENTER - LANETT</t>
  </si>
  <si>
    <t>LAFAYETTE EXTENDED CARE</t>
  </si>
  <si>
    <t>CROWNE HEALTH CARE OF EUFAULA</t>
  </si>
  <si>
    <t>CHEROKEE COUNTY HEALTH AND REHABILITATION CENTER</t>
  </si>
  <si>
    <t>GENERATIONS OF RED BAY, LLC</t>
  </si>
  <si>
    <t>MCGUFFEY HEALTH &amp; REHABILITATION CENTER</t>
  </si>
  <si>
    <t>ATTALLA HEALTH AND REHAB</t>
  </si>
  <si>
    <t>GOODWATER HEALTHCARE CENTER</t>
  </si>
  <si>
    <t>DECATUR HEALTH &amp; REHAB CENTER</t>
  </si>
  <si>
    <t>COLLINSVILLE HEALTHCARE &amp; REHAB</t>
  </si>
  <si>
    <t>OZARK HEALTH AND REHABILITATION, LLC</t>
  </si>
  <si>
    <t>GOLDEN LIVING CENTER - MEADOWOOD</t>
  </si>
  <si>
    <t>OPP HEALTH AND REHABILITATION, LLC</t>
  </si>
  <si>
    <t>TWIN OAKS REHABILITATION AND HEALTHCARE CENTER</t>
  </si>
  <si>
    <t>SELF HEALTH CARE &amp; REHAB CENTER INC</t>
  </si>
  <si>
    <t>TROY HEALTH &amp; REHABILITATION CENTER</t>
  </si>
  <si>
    <t>MADISON MANOR NURSING HOME</t>
  </si>
  <si>
    <t>BIBB MED CENTER NURSING HOME</t>
  </si>
  <si>
    <t>OAKVIEW MANOR HEALTH CARE CENTER</t>
  </si>
  <si>
    <t>BIRMINGHAM NURSING AND REHABILITATION CTR</t>
  </si>
  <si>
    <t>THOMASVILLE HEALTHCARE AND REHABILITATION CENTER</t>
  </si>
  <si>
    <t>CHAPMAN HEALTHCARE CENTER, INC</t>
  </si>
  <si>
    <t>FAIRHOPE HEALTH &amp; REHAB</t>
  </si>
  <si>
    <t>NORTHSIDE HEALTH CARE</t>
  </si>
  <si>
    <t>BARFIELD HEALTH CARE INC</t>
  </si>
  <si>
    <t>GENERATIONS OF VERNON, LLC</t>
  </si>
  <si>
    <t>CEDAR CREST</t>
  </si>
  <si>
    <t>FAIRVIEW HEALTH AND REHABILITATION CENTER</t>
  </si>
  <si>
    <t>RIDGEWOOD HEALTH SERVICES, INC.</t>
  </si>
  <si>
    <t>ENTERPRISE HEALTH &amp; REHABILITATION CENTER</t>
  </si>
  <si>
    <t>SOUTH HAVEN HEALTH AND REHABILITATION, LLC</t>
  </si>
  <si>
    <t>ENGLEWOOD HEALTH CARE CENTER</t>
  </si>
  <si>
    <t>PARK MANOR HEALTH AND REHABILITATION, LLC</t>
  </si>
  <si>
    <t>MARENGO NURSING HOME</t>
  </si>
  <si>
    <t>PHENIX CITY HEALTH CARE, INC</t>
  </si>
  <si>
    <t>LUVERNE HEALTH AND REHABILITATION, LLC</t>
  </si>
  <si>
    <t>LAUDERDALE CHRISTIAN NURSING HOME</t>
  </si>
  <si>
    <t>OAKS ON PARKWOOD SKILLED NURSING FACILITY</t>
  </si>
  <si>
    <t>HERITAGE HEALTH CARE &amp; REHAB INC</t>
  </si>
  <si>
    <t>REGENCY HEALTH CARE AND REHABILITATION CENTER</t>
  </si>
  <si>
    <t>HENRY COUNTY HEALTH AND REHABILITATION FACILITY</t>
  </si>
  <si>
    <t>CAMDEN NURSING FACILITY INC.</t>
  </si>
  <si>
    <t>BECKWOOD MANOR, INC</t>
  </si>
  <si>
    <t>GOLDEN LIVING CENTER - WINFIELD</t>
  </si>
  <si>
    <t>MARSHALL MANOR NURSING HOME</t>
  </si>
  <si>
    <t>MOBILE NURSING AND REHABILITATION CENTER</t>
  </si>
  <si>
    <t>WESTMINSTER VILLAGE</t>
  </si>
  <si>
    <t>CANTERBURY HEALTH CARE FACILITY</t>
  </si>
  <si>
    <t>WOODLAND VILLAGE REHABILITATION AND HEALTHCARE CEN</t>
  </si>
  <si>
    <t>ADAMS NURSING HOME</t>
  </si>
  <si>
    <t>EAST GLEN</t>
  </si>
  <si>
    <t>CAPITOL HILL HEALTHCARE CENTER</t>
  </si>
  <si>
    <t>JACKSONVILLE HEALTH AND REHABILITATION, LLC</t>
  </si>
  <si>
    <t>CYPRESS COVE CARE CENTER</t>
  </si>
  <si>
    <t>CROWNE HEALTH CARE OF MONTGOMERY</t>
  </si>
  <si>
    <t>COLONIAL HAVEN CARE &amp; REHABILITATION CENTER</t>
  </si>
  <si>
    <t>WINDSOR HOUSE</t>
  </si>
  <si>
    <t>MONROE MANOR HEALTH &amp; REHABILITATION CENTER</t>
  </si>
  <si>
    <t>MEADOWVIEW NURSING CENTER</t>
  </si>
  <si>
    <t>EL REPOSO NURSING FACILITY</t>
  </si>
  <si>
    <t>PALM GARDENS HEALTH AND REHABILITATION, LLC</t>
  </si>
  <si>
    <t>GOLDEN LIVING CENTER - HUEYTOWN</t>
  </si>
  <si>
    <t>GRAND BAY CONVALESCENT HOME, INC.</t>
  </si>
  <si>
    <t>HEALTH CARE INC</t>
  </si>
  <si>
    <t>WALKER REHABILITATION CENTER, INC</t>
  </si>
  <si>
    <t>EAST ALABAMA MEDICAL CENTER SKILLED NURSING FACILI</t>
  </si>
  <si>
    <t>SHELBY RIDGE NURSING HOME</t>
  </si>
  <si>
    <t>LIGHTHOUSE REHABILITATION &amp; HEALTHCARE CENTER</t>
  </si>
  <si>
    <t>LAFAYETTE NURSING HOME</t>
  </si>
  <si>
    <t>SPRINGHILL MANOR NURSING HOME</t>
  </si>
  <si>
    <t>ANDALUSIA MANOR</t>
  </si>
  <si>
    <t>OAKWOOD-NORTH BALDWIN'S CENTER FOR LIVING</t>
  </si>
  <si>
    <t>HARTFORD HEALTH CARE</t>
  </si>
  <si>
    <t>CUMBERLAND HEALTH AND REHAB</t>
  </si>
  <si>
    <t>TLC NURSING CENTER</t>
  </si>
  <si>
    <t>BROOKDALE UNIVERSITY PARK SNF (AL)</t>
  </si>
  <si>
    <t>ROANOKE REHABILITATION &amp; HEALTHCARE CENTER</t>
  </si>
  <si>
    <t>WESTSIDE TERRACE HEALTH &amp; REHABILITATION CENTER</t>
  </si>
  <si>
    <t>CROWNE HEALTH CARE OF SPRINGHILL</t>
  </si>
  <si>
    <t>SEA BREEZE HEALTHCARE CENTER</t>
  </si>
  <si>
    <t>VALLEY VIEW HEALTH AND REHABILITATION, LLC</t>
  </si>
  <si>
    <t>ST MARTIN'S IN THE PINES</t>
  </si>
  <si>
    <t>LYNWOOD NURSING HOME</t>
  </si>
  <si>
    <t>SPRINGHILL SENIOR RESIDENCE</t>
  </si>
  <si>
    <t>HILLVIEW TERRACE</t>
  </si>
  <si>
    <t>FOLSOM CENTER FOR REHABILITATION AND HEALTHCARE, T</t>
  </si>
  <si>
    <t>HUNTSVILLE HEALTH &amp; REHABILITATION, LLC</t>
  </si>
  <si>
    <t>ORCHARD REHABILITATION &amp; HEALTHCARE CENTER</t>
  </si>
  <si>
    <t>ROBERTSDALE REHABILITATION &amp; HEALTHCARE CTR</t>
  </si>
  <si>
    <t>CHERRY HILL REHABILITATION &amp; HEALTHCARE CENTER</t>
  </si>
  <si>
    <t>GREENBRIAR AT THE ALTAMONT SKILLED NURSING FACILIT</t>
  </si>
  <si>
    <t>MONTROSE BAY HEALTH AND REHABILITATION CENTER</t>
  </si>
  <si>
    <t>SOUTH HAMPTON NURSING &amp; REHABILITATION CENTER</t>
  </si>
  <si>
    <t>WILLOWBROOKE COURT AT MAGNOLIA TRACE</t>
  </si>
  <si>
    <t>FLORALA HEALTH AND REHABILITATION LLC</t>
  </si>
  <si>
    <t>OAK PARK</t>
  </si>
  <si>
    <t>COLUMBIANA HEALTH AND REHABILITATION, LLC</t>
  </si>
  <si>
    <t>FAIRVIEW AT REDSTONE VILLAGE</t>
  </si>
  <si>
    <t>MOUNT ROYAL TOWERS</t>
  </si>
  <si>
    <t>GULF COAST HEALTH AND REHABILITATION, LLC</t>
  </si>
  <si>
    <t>KIRKWOOD BY THE RIVER</t>
  </si>
  <si>
    <t>MILLENNIUM NURSING &amp; REHAB CENTER, INC</t>
  </si>
  <si>
    <t>GALLERIA WOODS SKILLED NURSING FACILITY</t>
  </si>
  <si>
    <t>CHARLTON PLACE REHAB AND HEALTHCARE CENTER</t>
  </si>
  <si>
    <t>LEGACY HEALTH AND REHABILITATION OF PLEASANT GROVE</t>
  </si>
  <si>
    <t>GORDON OAKS HEALTH &amp; REHAB</t>
  </si>
  <si>
    <t>ASPIRE PHYSICAL RECOVERY CENTER AT HOOVER, LLC</t>
  </si>
  <si>
    <t>MEADOWBROOK EXTENDED CARE</t>
  </si>
  <si>
    <t>MAT-SU REGIONAL MEDICAL CENTER</t>
  </si>
  <si>
    <t>CENTRAL PENINSULA GENERAL HOSPITAL</t>
  </si>
  <si>
    <t>KETCHIKAN MED CTR NEW HORIZONS TRANSITIONAL CARE</t>
  </si>
  <si>
    <t>PROVIDENCE TRANSITIONAL CARE CENTER</t>
  </si>
  <si>
    <t>DENALI CENTER</t>
  </si>
  <si>
    <t>HERITAGE PLACE</t>
  </si>
  <si>
    <t>PRESTIGE CARE &amp; REHAB CENTER OF ANCHORAGE</t>
  </si>
  <si>
    <t>WILDFLOWER COURT</t>
  </si>
  <si>
    <t>SITKA COMMUNITY HOSPITAL-LTC</t>
  </si>
  <si>
    <t>PROVIDENCE EXTENDED CARE</t>
  </si>
  <si>
    <t>TUBA CITY REGIONAL HEALTH CARE CORPORATION</t>
  </si>
  <si>
    <t>THE TERRACES OF PHOENIX</t>
  </si>
  <si>
    <t>DESERT TERRACE HEALTHCARE CENTER</t>
  </si>
  <si>
    <t>HANDMAKER HOME FOR THE AGING</t>
  </si>
  <si>
    <t>HAVEN OF SCOTTSDALE</t>
  </si>
  <si>
    <t>FOOTHILLS REHABILITATION CENTER</t>
  </si>
  <si>
    <t>PUEBLO SPRINGS REHABILITATION CENTER</t>
  </si>
  <si>
    <t>CASAS ADOBES POST ACUTE REHAB CENTER</t>
  </si>
  <si>
    <t>MISSION PALMS OF MESA HEALTH AND REHABILITATION CE</t>
  </si>
  <si>
    <t>PHOENIX MOUNTAIN NURSING CTR</t>
  </si>
  <si>
    <t>SANTA RITA NURSING &amp; REHABILITATION CENTER</t>
  </si>
  <si>
    <t>THE HEALTH CARE CENTER AT FRIENDSHIP VILLAGE</t>
  </si>
  <si>
    <t>OSBORN HEALTH AND REHABILITATION</t>
  </si>
  <si>
    <t>HERITAGE COURT POST ACUTE OF SCOTTSDALE</t>
  </si>
  <si>
    <t>PLAZA HEALTHCARE</t>
  </si>
  <si>
    <t>VILLA CAMPANA REHABILITATION HOSPITAL LLC</t>
  </si>
  <si>
    <t>KINDRED NURSING AND REHABILITATION-HACIENDA</t>
  </si>
  <si>
    <t>NORTH MOUNTAIN MEDICAL AND REHABILITATION CENTER</t>
  </si>
  <si>
    <t>CAMELBACK POST ACUTE AND REHABILITATION</t>
  </si>
  <si>
    <t>PUEBLO NORTE SENIOR LIVING COMMUNITY</t>
  </si>
  <si>
    <t>HAVEN OF FLAGSTAFF, LLC</t>
  </si>
  <si>
    <t>BELLA VITA HEALTH AND REHABILITATION CENTER</t>
  </si>
  <si>
    <t>HAVEN OF COTTONWOOD, LLC</t>
  </si>
  <si>
    <t>KACHINA POINT REHABILITATION HOSPITAL, LLC</t>
  </si>
  <si>
    <t>DESERT COVE NURSING CENTER</t>
  </si>
  <si>
    <t>PALM VIEW REHABILITATION &amp; CARE</t>
  </si>
  <si>
    <t>THE LEGACY REHAB &amp; CARE CENTER</t>
  </si>
  <si>
    <t>AVALON SOUTHWEST HEALTH &amp; REHABILITATION</t>
  </si>
  <si>
    <t>HAVASU NURSING CENTER</t>
  </si>
  <si>
    <t>CHANDLER POST ACUTE AND REHABILITATION</t>
  </si>
  <si>
    <t>CITADEL POST ACUTE</t>
  </si>
  <si>
    <t>SHEA POST ACUTE REHABILITATION CENTER</t>
  </si>
  <si>
    <t>WESTCHESTER CARE CENTER</t>
  </si>
  <si>
    <t>HAVEN OF PHOENIX LLC</t>
  </si>
  <si>
    <t>SUN WEST CHOICE HEALTHCARE &amp; REHAB</t>
  </si>
  <si>
    <t>LAKE PLEASANT POST ACUTE REHABILITATION CENTER</t>
  </si>
  <si>
    <t>APACHE JUNCTION HLTH CENTER</t>
  </si>
  <si>
    <t>MOUNTAIN VIEW MANOR</t>
  </si>
  <si>
    <t>THE REHABILITATION CENTER AT THE PALAZZO</t>
  </si>
  <si>
    <t>PAYSON CARE CENTER</t>
  </si>
  <si>
    <t>HAVEN OF CAMP VERDE</t>
  </si>
  <si>
    <t>MI CASA NURSING CENTER</t>
  </si>
  <si>
    <t>BANNER BOSWELL REHABILITATION CENTER</t>
  </si>
  <si>
    <t>RIDGECREST HEALTHCARE</t>
  </si>
  <si>
    <t>LIFE CARE CENTER OF NORTH GLENDALE</t>
  </si>
  <si>
    <t>PRESCOTT NURSING AND REHABILITATION CENTER</t>
  </si>
  <si>
    <t>ACUITY SPECIALTY HOSPITAL OF ARIZONA AT SUN CITY</t>
  </si>
  <si>
    <t>ACUITY SPECIALTY HOSPITAL OF ARIZONA AT MESA</t>
  </si>
  <si>
    <t>ARCHSTONE CARE CENTER</t>
  </si>
  <si>
    <t>GRANITE CREEK HEALTH &amp; REHABILITATION CENTER</t>
  </si>
  <si>
    <t>CORONADO HEALTHCARE CENTER</t>
  </si>
  <si>
    <t>LIFE CARE CENTER OF YUMA</t>
  </si>
  <si>
    <t>RIM COUNTRY HEALTH &amp; RETIREMENT COMMUNITY</t>
  </si>
  <si>
    <t>MONTECITO POST ACUTE CARE AND REHABILITATION</t>
  </si>
  <si>
    <t>LIFE CARE CENTER OF SIERRA VISTA</t>
  </si>
  <si>
    <t>LIFESTREAM AT COOK HEALTH CARE</t>
  </si>
  <si>
    <t>HAVEN OF SHOW LOW, LLC</t>
  </si>
  <si>
    <t>LIFE CARE CENTER OF TUCSON</t>
  </si>
  <si>
    <t>HERITAGE HEALTH CARE CENTER</t>
  </si>
  <si>
    <t>LIFE CARE CENTER OF SCOTTSDALE</t>
  </si>
  <si>
    <t>PLAZA DEL RIO CARE CENTER</t>
  </si>
  <si>
    <t>DEVON GABLES REHABILITATION CENTER</t>
  </si>
  <si>
    <t>LIFE CARE CENTER OF PARADISE VALLEY</t>
  </si>
  <si>
    <t>VILLA MARIA CARE CENTER</t>
  </si>
  <si>
    <t>SABINO CANYON REHABILITATION &amp; CARE CENTER</t>
  </si>
  <si>
    <t>YUMA NURSING CENTER</t>
  </si>
  <si>
    <t>PROVIDENCE PLACE AT GLENCROFT</t>
  </si>
  <si>
    <t>GOOD SAMARITAN SOCIETY-PRESCOTT VILLAGE</t>
  </si>
  <si>
    <t>HORIZON POST ACUTE AND REHABILITATION CENTER</t>
  </si>
  <si>
    <t>SOLTERRA SUBACUTE SERVICES</t>
  </si>
  <si>
    <t>DESERT BLOSSOM HEALTH &amp; REHAB CENTER</t>
  </si>
  <si>
    <t>HAVEN OF TUCSON LLC</t>
  </si>
  <si>
    <t>ESTRELLA CENTER</t>
  </si>
  <si>
    <t>DESERT HIGHLANDS CARE CENTER</t>
  </si>
  <si>
    <t>GOOD SAMARITAN SOCIETY-MESA GOOD SHEPHERD</t>
  </si>
  <si>
    <t>HAVEN OF SAFFORD, LLC</t>
  </si>
  <si>
    <t>CHRISTIAN CARE NURSING CENTER</t>
  </si>
  <si>
    <t>PARK AVENUE HEALTH AND REHABILITATION CENTER</t>
  </si>
  <si>
    <t>BEATITUDES CAMPUS</t>
  </si>
  <si>
    <t>HAVEN OF DOUGLAS, LLC</t>
  </si>
  <si>
    <t>GOOD SAMARITAN SOCIETY-PEORIA GOOD SHEPHERD</t>
  </si>
  <si>
    <t>LA CANADA CARE CENTER</t>
  </si>
  <si>
    <t>CATALINA POST ACUTE AND REHABILITATION</t>
  </si>
  <si>
    <t>WEYRICH HCC OF WESTMINSTER VLG</t>
  </si>
  <si>
    <t>SYMPHONY OF MESA</t>
  </si>
  <si>
    <t>MESA CHRISTIAN HEALTH AND REHABILITATION CENTER</t>
  </si>
  <si>
    <t>HAVEN OF YUMA</t>
  </si>
  <si>
    <t>THE HEALTH CARE CENTER-FORUM TUCSON</t>
  </si>
  <si>
    <t>FORUM AT DESERT HARBOR, THE</t>
  </si>
  <si>
    <t>SUNCREST HEALTHCARE CENTER</t>
  </si>
  <si>
    <t>SPRINGDALE VILLAGE HEALTH CARE</t>
  </si>
  <si>
    <t>GOOD SAMARITAN SOCIETY-QUIBURI MISSION</t>
  </si>
  <si>
    <t>CARING HOUSE</t>
  </si>
  <si>
    <t>SCOTTSDALE VILLAGE SQUARE</t>
  </si>
  <si>
    <t>SUN CITY HEALTH AND REHABILITATION CENTER</t>
  </si>
  <si>
    <t>SIERRA WINDS</t>
  </si>
  <si>
    <t>MOUNTAIN VIEW CARE CENTER</t>
  </si>
  <si>
    <t>HAVEN OF GLOBE</t>
  </si>
  <si>
    <t>ARIZONA STATE VETERAN HOME-PHX</t>
  </si>
  <si>
    <t>LAKE HILLS INN</t>
  </si>
  <si>
    <t>SOUTH MOUNTAIN POST ACUTE</t>
  </si>
  <si>
    <t>LIFESTREAM AT SUN RIDGE</t>
  </si>
  <si>
    <t>GOOD SAMARITAN SOCIETY-PRESCOTT VALLEY</t>
  </si>
  <si>
    <t>SUNVIEW HEALTH &amp; REHABILITATION CENTER</t>
  </si>
  <si>
    <t>THE GARDENS REHAB &amp; CARE CENTER</t>
  </si>
  <si>
    <t>IMMANUEL CAMPUS OF CARE</t>
  </si>
  <si>
    <t>BROOKDALE NORTH CHANDLER</t>
  </si>
  <si>
    <t>BROOKDALE SANTA CATALINA</t>
  </si>
  <si>
    <t>WINSLOW CAMPUS OF CARE</t>
  </si>
  <si>
    <t>PALM VALLEY REHAB &amp; CARE CTR</t>
  </si>
  <si>
    <t>FREEDOM PLAZA CARE CENTER</t>
  </si>
  <si>
    <t>THE PEAKS, A SENIOR LIVING COMMUNITY</t>
  </si>
  <si>
    <t>THE GARDENS OF SCOTTSDALE</t>
  </si>
  <si>
    <t>FOUNTAIN VIEW VILLAGE</t>
  </si>
  <si>
    <t>THE GARDENS OF SUN CITY</t>
  </si>
  <si>
    <t>THE LINGENFELTER CENTER</t>
  </si>
  <si>
    <t>ARCHIE HENDRICKS SENIOR SKILLED NURSING FACILITY</t>
  </si>
  <si>
    <t>SUN HEALTH LA LOMA CARE CENTER</t>
  </si>
  <si>
    <t>SUN HEALTH GRANDVIEW CARE CTR</t>
  </si>
  <si>
    <t>ADVANCED HEALTHCARE OF MESA</t>
  </si>
  <si>
    <t>THE RIVER GARDENS REHAB AND CARE CENTER</t>
  </si>
  <si>
    <t>ADVANCE HEALTH CARE OF SCOTTSDALE</t>
  </si>
  <si>
    <t>LA ESTANCIA NURSING AND REHABILITATION CENTER</t>
  </si>
  <si>
    <t>VI AT GRAYHAWK, A VI AND PLAZA COMPANIES COMMUNITY</t>
  </si>
  <si>
    <t>SPLENDIDO AT RANCHO VISTOSO</t>
  </si>
  <si>
    <t>ADVANCED HEALTH CARE OF GLENDALE</t>
  </si>
  <si>
    <t>OASIS PAVILION NURSING &amp; REHABILITATION CENTER</t>
  </si>
  <si>
    <t>HAVEN OF LAKESIDE, LLC</t>
  </si>
  <si>
    <t>ACACIA HEALTH CENTER</t>
  </si>
  <si>
    <t>SANTE OF MESA</t>
  </si>
  <si>
    <t>VI AT SILVERSTONE, A VI AND PLAZA COMPANIES COMMUN</t>
  </si>
  <si>
    <t>SANTE OF SURPRISE</t>
  </si>
  <si>
    <t>SANTE OF CHANDLER</t>
  </si>
  <si>
    <t>ARIZONA STATE VETERAN HOME-TUCSON</t>
  </si>
  <si>
    <t>WELLSPRINGS CARE AND REHAB</t>
  </si>
  <si>
    <t>SANTE OF NORTH SCOTTSDALE</t>
  </si>
  <si>
    <t>HAVASU REGIONAL MEDICAL CENTER</t>
  </si>
  <si>
    <t>COPPER HEALTH ORO VALLEY</t>
  </si>
  <si>
    <t>CENTER AT ARROWHEAD, LLC</t>
  </si>
  <si>
    <t>CHAMBERS MEMORIAL HOSPITAL</t>
  </si>
  <si>
    <t>MENA REGIONAL HEALTH SYSTEM</t>
  </si>
  <si>
    <t>FORREST CITY MEDICAL CENTER</t>
  </si>
  <si>
    <t>ARKANSAS METHODIST MEDICAL CENTER</t>
  </si>
  <si>
    <t>FIVE RIVERS MEDICAL CENTER</t>
  </si>
  <si>
    <t>OUACHITA COUNTY MEDICAL CENTER</t>
  </si>
  <si>
    <t>DREW MEMORIAL HOSPITAL</t>
  </si>
  <si>
    <t>MAGNOLIA HOSPITAL</t>
  </si>
  <si>
    <t>BAPTIST HEALTH MEDICAL CENTER-STUTTGART</t>
  </si>
  <si>
    <t>ROGERS HEALTH AND REHABILITATION CENTER</t>
  </si>
  <si>
    <t>HERITAGE OF HOT SPRINGS HEALTH AND REHAB</t>
  </si>
  <si>
    <t>BUTTERFIELD TRAIL VILLAGE</t>
  </si>
  <si>
    <t>JONESBORO HEALTH AND REHAB</t>
  </si>
  <si>
    <t>MAGNOLIA HEALTH AND REHAB</t>
  </si>
  <si>
    <t>VALLEY SPRINGS REHABILITATION AND HEALTH CENTER</t>
  </si>
  <si>
    <t>MCGEHEE HEALTH AND REHABILITATION CENTER</t>
  </si>
  <si>
    <t>SEARCY HEALTH AND REHAB</t>
  </si>
  <si>
    <t>CANYON SPRINGS HEALTH AND REHABILITATION CENTER</t>
  </si>
  <si>
    <t>CONCORDIA NURSING &amp; REHAB, LLC</t>
  </si>
  <si>
    <t>CROWNPOINT HEALTH &amp; REHAB CENTER</t>
  </si>
  <si>
    <t>WHITE RIVER MEDICAL CENTER RECUPERATION CENTER</t>
  </si>
  <si>
    <t>HIGHLANDS OF MOUNTAIN VIEW THERAPY AND LIVING CENT</t>
  </si>
  <si>
    <t>BROOKRIDGE COVE REHABILITATION AND CARE  CENTER</t>
  </si>
  <si>
    <t>CAVE CITY NURSING HOME, INC</t>
  </si>
  <si>
    <t>RIVER CHASE REHABILITATION AND CARE CENTER</t>
  </si>
  <si>
    <t>WALNUT RIDGE NURSING &amp; REHABILITATION CENTER</t>
  </si>
  <si>
    <t>INDIAN ROCK VILLAGE HEALTH CENTER</t>
  </si>
  <si>
    <t>ASH FLAT HEALTHCARE AND REHABILITATION CENTER</t>
  </si>
  <si>
    <t>RIVER RIDGE REHABILITATION AND CARE CENTER</t>
  </si>
  <si>
    <t>SEVEN SPRINGS REHABILITATION AND HEALTH CENTER</t>
  </si>
  <si>
    <t>PINE LANE THERAPY AND LIVING</t>
  </si>
  <si>
    <t>LINCOLN HEIGHTS HEALTHCARE</t>
  </si>
  <si>
    <t>CRESTPARK WYNNE, LLC</t>
  </si>
  <si>
    <t>SPRINGDALE HEALTH AND REHABILITATION CENTER</t>
  </si>
  <si>
    <t>JOHNSON COUNTY HEALTH AND REHAB, LLC</t>
  </si>
  <si>
    <t>BELLE MEADE, A REHABILITATION AND GUEST CARE FACIL</t>
  </si>
  <si>
    <t>DERMOTT CITY NURSING HOME</t>
  </si>
  <si>
    <t>SILVER OAKS HEALTH AND REHABILITATION</t>
  </si>
  <si>
    <t>THE WOODS OF MONTICELLO HEALTH AND REHABILITATION</t>
  </si>
  <si>
    <t>CRESTPARK DEWITT, LLC</t>
  </si>
  <si>
    <t>GENERAL BAPTIST NURSING HOME OF PIGGOTT</t>
  </si>
  <si>
    <t>MINE CREEK HEALTH AND REHAB</t>
  </si>
  <si>
    <t>PRESCOTT MANOR NURSING CENTER</t>
  </si>
  <si>
    <t>COURTYARD REHABILITATION AND HEALTH CENTER, LLC</t>
  </si>
  <si>
    <t>SALEM PLACE NURSING AND REHABILITATION CENTER, INC</t>
  </si>
  <si>
    <t>LAKE VILLAGE REHABILITATION AND CARE CENTER</t>
  </si>
  <si>
    <t>THE GREEN HOUSE COTTAGES OF WENTWORTH PLACE</t>
  </si>
  <si>
    <t>PINE HILLS HEALTH AND REHABILITATION CENTER</t>
  </si>
  <si>
    <t>CROSSETT REHABILITATION AND HEALTH CENTER</t>
  </si>
  <si>
    <t>GOOD SAMARITAN SOCIETY - HOT SPRINGS VILLAGE</t>
  </si>
  <si>
    <t>MOUNT VISTA REHABILITATION AND HEALTH CENTER</t>
  </si>
  <si>
    <t>LINROCK HEALTH AND REHAB CENTER</t>
  </si>
  <si>
    <t>BROADWAY HEALTH AND REHAB,LLC</t>
  </si>
  <si>
    <t>SOUTHRIDGE VILLAGE NURSING AND REHAB</t>
  </si>
  <si>
    <t>HARRISON REHABILITATION AND HEALTH CENTER</t>
  </si>
  <si>
    <t>BAPTIST HEALTH MEDICAL CENTER-LITTLE ROCK</t>
  </si>
  <si>
    <t>HEARTLAND REHABILITATION AND CARE CENTER</t>
  </si>
  <si>
    <t>CHAPEL WOODS HEALTH AND REHABILITATION</t>
  </si>
  <si>
    <t>LAKEWOOD HEALTH AND REHAB, LLC</t>
  </si>
  <si>
    <t>BATESVILLE HEALTH AND REHAB</t>
  </si>
  <si>
    <t>OUACHITA NURSING AND REHABILITATION CENTER</t>
  </si>
  <si>
    <t>CABOT HEALTH AND REHAB, LLC</t>
  </si>
  <si>
    <t>THE CROSSING AT RIVERSIDE HEALTH AND REHABILITATIO</t>
  </si>
  <si>
    <t>ARKANSAS NURSING  AND REHABILITATION CENTER</t>
  </si>
  <si>
    <t>HIGHLANDS OF NORTHWEST ARKANSAS THERAPY AND LIVING</t>
  </si>
  <si>
    <t>HUDSON MEMORIAL NURSING HOME</t>
  </si>
  <si>
    <t>TWIN RIVERS HEALTH AND REHABILITATION</t>
  </si>
  <si>
    <t>WEST MEMPHIS HEALTH AND REHAB</t>
  </si>
  <si>
    <t>GASSVILLE THERAPY &amp; LIVING</t>
  </si>
  <si>
    <t>CRESTPARK FORREST CITY, LLC</t>
  </si>
  <si>
    <t>FAYETTEVILLE HEALTH AND REHABILITATION CENTER</t>
  </si>
  <si>
    <t>CRESTPARK HELENA, LLC</t>
  </si>
  <si>
    <t>WOODRUFF COUNTY HEALTH CENTER</t>
  </si>
  <si>
    <t>PLEASANT MANOR NURSING &amp;  REHAB</t>
  </si>
  <si>
    <t>SPRING BROOK HEALTH &amp; REHAB CENTER, LLC</t>
  </si>
  <si>
    <t>MENA MANOR</t>
  </si>
  <si>
    <t>HIGHLANDS OF STAMPS THERAPY AND LIVING CENTER</t>
  </si>
  <si>
    <t>GARLAND NURSING  AND REHABILITATION CENTER</t>
  </si>
  <si>
    <t>DES ARC NURSING AND REHABILITATION CENTER</t>
  </si>
  <si>
    <t>BELLE VIEW ESTATES REHABILITATION AND CARE CENTER</t>
  </si>
  <si>
    <t>BAILEY CREEK HEALTH &amp; REHAB</t>
  </si>
  <si>
    <t>BRIGHTON RIDGE</t>
  </si>
  <si>
    <t>THE PINES NURSING AND REHABILITATION CENTER</t>
  </si>
  <si>
    <t>LITTLE RIVER NURSING &amp; REHAB</t>
  </si>
  <si>
    <t>CONWAY HEALTHCARE AND REHABILITATION CENTER</t>
  </si>
  <si>
    <t>PERRY COUNTY NURSING AND REHABILITATION CENTER</t>
  </si>
  <si>
    <t>STELLA MANOR NURSING AND REHABILITATION CENTER</t>
  </si>
  <si>
    <t>SOUTHFORK RIVER THERAPY AND LIVING</t>
  </si>
  <si>
    <t>GOOD SAMARITAN SOCIETY - MOUNTAIN HOME</t>
  </si>
  <si>
    <t>VILLAGE SPRINGS HEALTH AND REHABILITATION</t>
  </si>
  <si>
    <t>SHERIDAN HEALTHCARE AND REHABILITATION CENTER</t>
  </si>
  <si>
    <t>HIGHLANDS OF LITTLE ROCK AT WOODLAND HILLS THERAPY</t>
  </si>
  <si>
    <t>MONTGOMERY COUNTY NURSING HOME</t>
  </si>
  <si>
    <t>LEGACY HEALTH AND REHABILITATION CENTER</t>
  </si>
  <si>
    <t>VAN  BUREN HEALTHCARE AND REHABILITATION CENTER</t>
  </si>
  <si>
    <t>GARDNER NURSING AND REHABILITATION</t>
  </si>
  <si>
    <t>ARBOR OAKS HEALTHCARE AND REHABILITATION CENTER</t>
  </si>
  <si>
    <t>OAK RIDGE NURSING HOME</t>
  </si>
  <si>
    <t>GRACE POINT, LLC</t>
  </si>
  <si>
    <t>ARKANSAS CONVALESCENT CENTER</t>
  </si>
  <si>
    <t>TWIN LAKES THERAPY AND LIVING</t>
  </si>
  <si>
    <t>POCAHONTAS HEALTHCARE AND REHABILITATION CENTER</t>
  </si>
  <si>
    <t>DE QUEEN THERAPY &amp; LIVING CENTER, INC</t>
  </si>
  <si>
    <t>CHENAL REHABILITATION AND HEALTHCARE CENTER</t>
  </si>
  <si>
    <t>LONOKE HEALTH AND REHAB CENTER, LLC</t>
  </si>
  <si>
    <t>DARDANELLE NURSING AND REHABILITATION CENTER,INC</t>
  </si>
  <si>
    <t>AUTUMN HILL, INC</t>
  </si>
  <si>
    <t>MANILA NURSING CENTER</t>
  </si>
  <si>
    <t>PARIS HEALTH AND REHABILITATION CENTER</t>
  </si>
  <si>
    <t>OAK MANOR NURSING AND REHABILITATION CENTER INC</t>
  </si>
  <si>
    <t>INNISFREE HEALTH AND REHAB, LLC</t>
  </si>
  <si>
    <t>CRESTPARK STUTTGART, LLC</t>
  </si>
  <si>
    <t>BEEBE RETIREMENT CENTER, INC.</t>
  </si>
  <si>
    <t>SOUTHERN TRACE REHABILITATION AND CARE CENTER</t>
  </si>
  <si>
    <t>HILLCREST CARE AND REHAB</t>
  </si>
  <si>
    <t>JEFFERSON REGIONAL MEDICAL CENTER</t>
  </si>
  <si>
    <t>HERITAGE LIVING CENTER</t>
  </si>
  <si>
    <t>DAVIS EAST</t>
  </si>
  <si>
    <t>MONETTE MANOR LLC</t>
  </si>
  <si>
    <t>ST ANDREWS PLACE</t>
  </si>
  <si>
    <t>WILLOW POINTE  HEALTH AND REHAB CENTER</t>
  </si>
  <si>
    <t>LAKESIDE NURSING CENTER</t>
  </si>
  <si>
    <t>WOOD-LAWN HEIGHTS</t>
  </si>
  <si>
    <t>CHAMBERS NURSING HOME CENTER, INC</t>
  </si>
  <si>
    <t>LEXINGTON PLACE HEALTHCARE AND REHABILITATION, LLC</t>
  </si>
  <si>
    <t>PIONEER THERAPY AND LIVING</t>
  </si>
  <si>
    <t>ST MICHAEL'S PLACE, INC</t>
  </si>
  <si>
    <t>CRAWFORD HEALTHCARE &amp; REHABILITATION CENTER</t>
  </si>
  <si>
    <t>RIDGECREST HEALTH AND REHABILITATION</t>
  </si>
  <si>
    <t>ARLINGTON COVE HEALTHCARE, LLC</t>
  </si>
  <si>
    <t>LINDLEY HEALTHCARE  AND REHABILITATION  CENTER</t>
  </si>
  <si>
    <t>HEATHER MANOR NURSING AND REHABILITATION CENTER</t>
  </si>
  <si>
    <t>QUAPAW CARE AND REHABILITATION CENTER LLC</t>
  </si>
  <si>
    <t>ATKINS NURSING AND REHABILITATION CENTER</t>
  </si>
  <si>
    <t>RUSSELLVILLE NURSING AND REHABILITATION CENTER</t>
  </si>
  <si>
    <t>MEADOWVIEW HEALTHCARE AND REHAB</t>
  </si>
  <si>
    <t>NASHVILLE NURSING AND REHAB, INC</t>
  </si>
  <si>
    <t>NURSING AND REHABILITATION CENTER AT GOOD SHEPHERD</t>
  </si>
  <si>
    <t>HIGHLANDS OF FORT SMITH THERAPY AND LIVING CENTER</t>
  </si>
  <si>
    <t>DIERKS HEALTH AND REHAB CENTER</t>
  </si>
  <si>
    <t>LONGMEADOW NURSING CENTER - CAMDEN</t>
  </si>
  <si>
    <t>COURTYARD GARDENS HEALTH AND REHABILITATION CENTER</t>
  </si>
  <si>
    <t>CARE MANOR NURSING AND REHAB</t>
  </si>
  <si>
    <t>EAGLECREST NURSING AND REHAB</t>
  </si>
  <si>
    <t>HIGHLAND COURT, A REHABILITATION AND RESIDENT CARE</t>
  </si>
  <si>
    <t>FIANNA HILLS NURSING AND REHABILITATION CENTER</t>
  </si>
  <si>
    <t>SILOAM SPRINGS NURSING AND REHABILITATION CENTER</t>
  </si>
  <si>
    <t>PREMIER HEALTH AND REHABILITATION CENTER</t>
  </si>
  <si>
    <t>RICH MOUNTAIN NURSING AND REHABILITATION CENTER</t>
  </si>
  <si>
    <t>HIGHLANDS OF LITTLE ROCK AT CUMBERLAND THERAPY AND</t>
  </si>
  <si>
    <t>BENTONVILLE HEALTH AND REHABILITATION</t>
  </si>
  <si>
    <t>COVINGTON COURT HEALTH AND REHABILITATION CENTER</t>
  </si>
  <si>
    <t>CHAPEL RIDGE HEALTH AND REHAB</t>
  </si>
  <si>
    <t>DEWITT NURSING HOME</t>
  </si>
  <si>
    <t>HERITAGE SQUARE NURSING AND REHABILITATION CENTER,</t>
  </si>
  <si>
    <t>WINDCREST HEALTH AND REHAB INC</t>
  </si>
  <si>
    <t>MOUNTAIN MEADOWS HEALTH AND REHABILITATION</t>
  </si>
  <si>
    <t>ALMA HEALTHCARE AND REHABILITATION CENTER</t>
  </si>
  <si>
    <t>WESTWOOD HEALTH AND REHAB, INC</t>
  </si>
  <si>
    <t>WHITE HALL HEALTH AND REHAB</t>
  </si>
  <si>
    <t>BRADFORD HOUSE NURSING AND REHAB, LLC</t>
  </si>
  <si>
    <t>ROBINSON NURSING AND REHABILITATION CENTER LLC</t>
  </si>
  <si>
    <t>SHERWOOD NURSING &amp; REHABILITATION CENTER, INC</t>
  </si>
  <si>
    <t>THE GREEN HOUSE COTTAGES OF SOUTHERN HILLS</t>
  </si>
  <si>
    <t>WOODLAND HILLS HEALTHCARE AND REHABILITATION OF JA</t>
  </si>
  <si>
    <t>DAVIS LIFE CARE CENTER</t>
  </si>
  <si>
    <t>ST ELIZABETH'S PLACE</t>
  </si>
  <si>
    <t>GREENBRIER NURSING AND REHABILITATION CENTER</t>
  </si>
  <si>
    <t>LAUREL PLACE HEALTH &amp; REHAB CENTER</t>
  </si>
  <si>
    <t>WALDRON NURSING CENTER INC</t>
  </si>
  <si>
    <t>WOODBRIAR NURSING HOME</t>
  </si>
  <si>
    <t>HIGHLANDS OF NORTH LITTLE ROCK THERAPY AND LIVING</t>
  </si>
  <si>
    <t>OZARK NURSING HOME INC</t>
  </si>
  <si>
    <t>BRIARWOOD NURSING AND REHABILITATION CENTER,INC</t>
  </si>
  <si>
    <t>PLEASANT VALLEY NURSING &amp; REHABILITATION</t>
  </si>
  <si>
    <t>THREE RIVERS HEALTHCARE AND REHABILITATION</t>
  </si>
  <si>
    <t>SPRING CREEK HEALTH &amp; REHAB</t>
  </si>
  <si>
    <t>ENCORE HEALTHCARE AND REHABILITATION</t>
  </si>
  <si>
    <t>RECTOR NURSING &amp; REHAB</t>
  </si>
  <si>
    <t>ST JOHNS PLACE OF ARKANSAS, LLC</t>
  </si>
  <si>
    <t>NORTH HILLS LIFE CARE AND REHAB</t>
  </si>
  <si>
    <t>STONEYBROOK HEALTH AND REHABILITATION CENTER</t>
  </si>
  <si>
    <t>BROOKSIDE HEALTH AND REHABILITATION CENTER</t>
  </si>
  <si>
    <t>WHITE RIVER HEALTHCARE</t>
  </si>
  <si>
    <t>HIGHLAND HEALTHCARE &amp; REHABILITATION CENTER</t>
  </si>
  <si>
    <t>GLENWOOD HEALTH AND REHABILITATION, LLC</t>
  </si>
  <si>
    <t>LAKEWOOD HEALTHCARE, INC</t>
  </si>
  <si>
    <t>HIRAM SHADDOX GERIATRIC HEALTH AND REHAB</t>
  </si>
  <si>
    <t>THE MAPLES AT HAR-BER MEADOWS</t>
  </si>
  <si>
    <t>ALCOA PINES HEALTH AND REHABILITATION</t>
  </si>
  <si>
    <t>PRAIRIE GROVE HEALTH AND REHABILITATION, LLC</t>
  </si>
  <si>
    <t>LEGACY HEIGHTS NURSING AND REHAB, LLC</t>
  </si>
  <si>
    <t>SUMMIT  HEALTH AND REHAB CENTER</t>
  </si>
  <si>
    <t>WILLOWBEND AT MARION</t>
  </si>
  <si>
    <t>METHODIST HEALTH AND REHAB</t>
  </si>
  <si>
    <t>OZARK HEALTH NURSING AND REHAB  CENTER</t>
  </si>
  <si>
    <t>TIMBERLANE HEALTH AND REHABILITATION</t>
  </si>
  <si>
    <t>ARKANSAS VETERANS HOME AT FAYETTEVILLE</t>
  </si>
  <si>
    <t>OAKDALE NURSING FACILITY</t>
  </si>
  <si>
    <t>ASHTON PLACE HEALTH AND REHAB, LLC</t>
  </si>
  <si>
    <t>ASHLEY HEALTH AND REHABILITATION</t>
  </si>
  <si>
    <t>THE LAKES AT MAUMELLE HEALTH AND REHABILITATION</t>
  </si>
  <si>
    <t>GREENE ACRES NURSING HOME</t>
  </si>
  <si>
    <t>STONERIDGE NURSING &amp; REHABILITATION  CENTER</t>
  </si>
  <si>
    <t>SHILOH NURSING AND REHAB, LLC</t>
  </si>
  <si>
    <t>WALNUT GROVE NURSING AND REHABILITATION CENTER</t>
  </si>
  <si>
    <t>CLA-CLIF NURSING AND REHAB CENTER, INC</t>
  </si>
  <si>
    <t>VALLEY RANCH NURSING AND REHAB CENTER</t>
  </si>
  <si>
    <t>SANDALWOOD HEALTHCARE, LLC</t>
  </si>
  <si>
    <t>CORNING THERAPY AND LIVING CENTER</t>
  </si>
  <si>
    <t>KATHERINE'S PLACE AT WEDINGTON</t>
  </si>
  <si>
    <t>JAMESTOWN NURSING AND REHAB, LLC</t>
  </si>
  <si>
    <t>PRESBYTERIAN VILLAGE, INC</t>
  </si>
  <si>
    <t>STONEGATE VILLA HEALTH AND REHABILITATION, LLC</t>
  </si>
  <si>
    <t>TRINITY VILLAGE MEDICAL CENTER</t>
  </si>
  <si>
    <t>GOSNELL THERAPY AND LIVING</t>
  </si>
  <si>
    <t>OSCEOLA THERAPY AND LIVING</t>
  </si>
  <si>
    <t>HILLCREST HOME</t>
  </si>
  <si>
    <t>CAVALIER HEALTHCARE OF ENGLAND</t>
  </si>
  <si>
    <t>RANDOLPH COUNTY NURSING HOME</t>
  </si>
  <si>
    <t>LAKE HAMILTON HEALTH AND REHAB</t>
  </si>
  <si>
    <t>MADISON HEALTHCARE &amp; REHABILITATION CENTER</t>
  </si>
  <si>
    <t>GREENHURST NURSING CENTER</t>
  </si>
  <si>
    <t>DEERVIEW, LLC</t>
  </si>
  <si>
    <t>CRESTPARK MARIANNA, L L C</t>
  </si>
  <si>
    <t>HIGHLANDS OF LITTLE ROCK AT MIDTOWN THERAPY AND LI</t>
  </si>
  <si>
    <t>CREEKSIDE HEALTH AND REHAB</t>
  </si>
  <si>
    <t>LAWRENCE HALL NURSING CENTER</t>
  </si>
  <si>
    <t>GREYSTONE NURSING AND REHAB, LLC</t>
  </si>
  <si>
    <t>MITCHELL'S NURSING HOME, INC</t>
  </si>
  <si>
    <t>HICKORY HEIGHTS HEALTH AND REHAB, LLC</t>
  </si>
  <si>
    <t>EVERGREEN LIVING CENTER AT STAGECOACH</t>
  </si>
  <si>
    <t>GEORGE L MEE MEMORIAL HOSPITAL</t>
  </si>
  <si>
    <t>SONORA REGIONAL MEDICAL CENTER</t>
  </si>
  <si>
    <t>COLUSA REGIONAL MEDICAL CENTER</t>
  </si>
  <si>
    <t>REDLANDS HEALTHCARE CENTER</t>
  </si>
  <si>
    <t>COUNTRY MANOR HEALTHCARE</t>
  </si>
  <si>
    <t>EUREKA REHABILITATION &amp; WELLNESS CENTER, LP</t>
  </si>
  <si>
    <t>ACACIA PARK NURSING &amp; REHAB CENTER</t>
  </si>
  <si>
    <t>EISENBERG VILLAGE</t>
  </si>
  <si>
    <t>FAIRFIELD POST-ACUTE REHAB</t>
  </si>
  <si>
    <t>MOUNT SAN ANTONIO GARDENS</t>
  </si>
  <si>
    <t>HEARTS &amp; HANDS, POST ACUTE CARE &amp; REHAB CENTER</t>
  </si>
  <si>
    <t>MARY HEALTH OF THE SICK CONVALESCENT &amp; NURSING HOS</t>
  </si>
  <si>
    <t>LOS BANOS NURSING &amp; REHABILITATION CENTER</t>
  </si>
  <si>
    <t>THE EARLWOOD</t>
  </si>
  <si>
    <t>MAPLE HEALTHCARE CENTER</t>
  </si>
  <si>
    <t>GOOD SAMARITAN REHAB AND CARE CENTER</t>
  </si>
  <si>
    <t>ROYAL CARE SKILLED NURSING CTR</t>
  </si>
  <si>
    <t>ALTA VISTA HEALTHCARE &amp; WELLNESS CENTRE</t>
  </si>
  <si>
    <t>RIVIERA HEALTHCARE CENTER</t>
  </si>
  <si>
    <t>GOLDEN LIVINGCENTER - CHOWCHILLA</t>
  </si>
  <si>
    <t>GRACE HEALTHCARE OF PLEASANT HILL</t>
  </si>
  <si>
    <t>BLOOMFIELD EAST</t>
  </si>
  <si>
    <t>PINE GROVE HEALTHCARE &amp; WELLNESS CENTRE, LP</t>
  </si>
  <si>
    <t>LAFAYETTE CARE CENTER</t>
  </si>
  <si>
    <t>COUNTRY VILLA WESTWOOD</t>
  </si>
  <si>
    <t>COTTONWOOD CANYON HEALTHCARE CENTER</t>
  </si>
  <si>
    <t>CALIF HOSP MED CTR L.A. DP SNF</t>
  </si>
  <si>
    <t>PALOMAR VISTA HEALTHCARE CENTER</t>
  </si>
  <si>
    <t>SEACREST CONVALESCENT HOSPITAL</t>
  </si>
  <si>
    <t>ROSECRANS CARE CENTER</t>
  </si>
  <si>
    <t>VILLA CORONADO D/P SNF</t>
  </si>
  <si>
    <t>SPRING VALLEY POST ACUTE LLC</t>
  </si>
  <si>
    <t>COUNTRY VILLA BELMONT HEIGHTS</t>
  </si>
  <si>
    <t>PARKWAY HILLS NURSING &amp; REHABILITATION</t>
  </si>
  <si>
    <t>MISSION VIEW HEALTH CENTER</t>
  </si>
  <si>
    <t>RIVERBANK NURSING CENTER</t>
  </si>
  <si>
    <t>GRACE HEALTHCARE OF MORAGA</t>
  </si>
  <si>
    <t>YUBA CITY POST ACUTE</t>
  </si>
  <si>
    <t>KINDRED NURSING AND TRANSITIONAL CARE-SOUTH MARIN</t>
  </si>
  <si>
    <t>CREEKSIDE HEALTHCARE CENTER</t>
  </si>
  <si>
    <t>SUNSET MANOR CONV HOSP</t>
  </si>
  <si>
    <t>VISTA COVE CARE CENTER AT SAN GABRIEL</t>
  </si>
  <si>
    <t>BANCROFT CONVALESCENT HOSPITAL</t>
  </si>
  <si>
    <t>DRIFTWOOD HEALTHCARE CENTER - SANTA CRUZ</t>
  </si>
  <si>
    <t>FOUNTAIN VIEW SUBACUTE AND NURSING CENTER</t>
  </si>
  <si>
    <t>ARBOR HILLS NURSING CENTER</t>
  </si>
  <si>
    <t>HOLLENBECK PALMS</t>
  </si>
  <si>
    <t>LINDA MAR CARE CENTER</t>
  </si>
  <si>
    <t>COUNTRY VILLA TERRACE NRSG CTR</t>
  </si>
  <si>
    <t>FLAGSHIP HEALTHCARE CENTER</t>
  </si>
  <si>
    <t>SANTA FE CONVALESCENT HOSPITAL</t>
  </si>
  <si>
    <t>CHINO VALLEY HEALTH CARE CENTE</t>
  </si>
  <si>
    <t>GRAND TERRACE CARE CENTER</t>
  </si>
  <si>
    <t>MONTROSE HEALTHCARE CENTER</t>
  </si>
  <si>
    <t>BERKLEY WEST CONV HOSP</t>
  </si>
  <si>
    <t>SANTA TERESITA MANOR</t>
  </si>
  <si>
    <t>RAMONA NURSING &amp; REHABILITATION CENTER</t>
  </si>
  <si>
    <t>MAGNOLIA GARDENS</t>
  </si>
  <si>
    <t>NORTH VALLEY NURSING CENTER</t>
  </si>
  <si>
    <t>MADERA REHABILITATION &amp; NURSING CENTER</t>
  </si>
  <si>
    <t>WINDSOR MANOR REHABILITATION CENTER</t>
  </si>
  <si>
    <t>MONTEBELLO CARE CENTER</t>
  </si>
  <si>
    <t>SEAPORT 17TH CARE CENTER</t>
  </si>
  <si>
    <t>ST PAULS TOWERS</t>
  </si>
  <si>
    <t>VIRGIL REHABILITATION &amp; SKILLED NURSING CENTER</t>
  </si>
  <si>
    <t>COUNTRY VILLA PAVILION NURSING CENTER</t>
  </si>
  <si>
    <t>GARDEN CREST REHABILITATION CENTER</t>
  </si>
  <si>
    <t>MONTEREY PARK CONV HOSP</t>
  </si>
  <si>
    <t>MONTECITO HEIGHTS HEALTHCARE &amp; WELLNESS CENTRE, LP</t>
  </si>
  <si>
    <t>VERNON HEALTHCARE CENTER</t>
  </si>
  <si>
    <t>SOCAL POST-ACUTE CARE</t>
  </si>
  <si>
    <t>JEWISH HOME D/P SNF</t>
  </si>
  <si>
    <t>PICO RIVERA HEALTH CARE CENTER</t>
  </si>
  <si>
    <t>FOLSOM CARE CENTER</t>
  </si>
  <si>
    <t>KINDRED TRANSITIONAL CARE &amp; REHABILITATION-LAWTON</t>
  </si>
  <si>
    <t>SAN GABRIEL CONV CENTER</t>
  </si>
  <si>
    <t>LEMON GROVE CARE AND REHABILITATION CENTER</t>
  </si>
  <si>
    <t>HERITAGE GARDENS HEALTH CARE CENTER</t>
  </si>
  <si>
    <t>GARDEN CITY HEALTHCARE CENTER</t>
  </si>
  <si>
    <t>GARDEN VIEW POST- ACUTE REHABILITATION</t>
  </si>
  <si>
    <t>BROOKSIDE SKILLED NURSING HOSPITAL</t>
  </si>
  <si>
    <t>GREENFIELD CARE CENTER OF FAIRFIELD</t>
  </si>
  <si>
    <t>AVALON HEALTH CARE-MADERA</t>
  </si>
  <si>
    <t>PROVIDENCE ST ELIZABETH CARE CENTER</t>
  </si>
  <si>
    <t>MARYCREST MANOR</t>
  </si>
  <si>
    <t>HORIZON HEALTH AND SUBACUTE CENTER</t>
  </si>
  <si>
    <t>GOLDEN LIVING CENTER - HY-PANA</t>
  </si>
  <si>
    <t>EL MONTE CONVALESCENT HOSPITAL</t>
  </si>
  <si>
    <t>SUNNY VIEW CARE CENTER</t>
  </si>
  <si>
    <t>OAKWOOD GARDENS CARE CENTER</t>
  </si>
  <si>
    <t>COUNTRY VILLA PLAZA CONVALESCENT CENTER</t>
  </si>
  <si>
    <t>SEAVIEW REHABILITATION &amp; WELLNESS CENTER, LP</t>
  </si>
  <si>
    <t>THE TERRACES AT LOS ALTOS HEALTH FACILITY</t>
  </si>
  <si>
    <t>IDYLWOOD CARE CENTER</t>
  </si>
  <si>
    <t>KINDRED NURSING AND HEALTHCARE - LIVERMORE</t>
  </si>
  <si>
    <t>VISTA COVE CARE CENTER AT RIALTO</t>
  </si>
  <si>
    <t>OAKLAND HEALTHCARE &amp; WELLNESS CENTER</t>
  </si>
  <si>
    <t>SPRINGS ROAD HEALTHCARE</t>
  </si>
  <si>
    <t>SAN JACINTO HEALTHCARE</t>
  </si>
  <si>
    <t>VICTORIA HEALTHCARE AND REHABILITATION CENTER</t>
  </si>
  <si>
    <t>EAST BAY POST-ACUTE</t>
  </si>
  <si>
    <t>WATSONVILLE NURSING CENTER</t>
  </si>
  <si>
    <t>WILLOW PASS HEALTHCARE CENTER</t>
  </si>
  <si>
    <t>FAIRMONT REHABILITATION HOSPITAL</t>
  </si>
  <si>
    <t>COUNTRY OAKS CARE CENTER</t>
  </si>
  <si>
    <t>MERCED NURSING &amp; REHABILITATION CTR</t>
  </si>
  <si>
    <t>ORANGE HEALTHCARE &amp; WELLNESS CENTRE, LLC</t>
  </si>
  <si>
    <t>ST. JOHN OF GOD RETIREMENT</t>
  </si>
  <si>
    <t>CORONA HEALTH CARE CENTER</t>
  </si>
  <si>
    <t>LOMPOC VALLEY MEDICAL CTR COMP CARE CTR D/P SNF</t>
  </si>
  <si>
    <t>COMMUNITY SUBACUTE AND TRANSITIONAL CARE CENTER</t>
  </si>
  <si>
    <t>MONROVIA CONVALESCENT HOSPITAL</t>
  </si>
  <si>
    <t>PILGRIM PLACE HSC</t>
  </si>
  <si>
    <t>LOMITA POST-ACUTE CARE CENTER</t>
  </si>
  <si>
    <t>GOLDEN LIVINGCENTER - LONDON HOUSE SONOMA</t>
  </si>
  <si>
    <t>LA SIERRA CARE CENTER</t>
  </si>
  <si>
    <t>WINDSOR PARK CARE CENTER OF FREMONT</t>
  </si>
  <si>
    <t>CENTRAL GARDENS</t>
  </si>
  <si>
    <t>POMONA VISTA CARE CENTER</t>
  </si>
  <si>
    <t>KEARNY MESA CONVALESCENT AND NURSING HOME</t>
  </si>
  <si>
    <t>VALLEY PALMS CARE CENTER</t>
  </si>
  <si>
    <t>AUTUMN HILLS HEALTH CARE CENTER</t>
  </si>
  <si>
    <t>WINE COUNTRY CARE CENTER</t>
  </si>
  <si>
    <t>SHIELDS RICHMOND NURSING CENTER</t>
  </si>
  <si>
    <t>SANTA ANITA CONVALESCENT HOSP</t>
  </si>
  <si>
    <t>APPLEWOOD CARE CENTER</t>
  </si>
  <si>
    <t>NORWALK MEADOWS NURSING CENTER</t>
  </si>
  <si>
    <t>FALLBROOK SKILLED NURSING</t>
  </si>
  <si>
    <t>LINDA VALLEY CARE CENTER</t>
  </si>
  <si>
    <t>CANTERBURY WOODS</t>
  </si>
  <si>
    <t>GOLDEN LIVING CENTER - CHATEAU</t>
  </si>
  <si>
    <t>SHERWOOD HEALTHCARE CENTER</t>
  </si>
  <si>
    <t>LANCASTER HEALTH CARE CENTER</t>
  </si>
  <si>
    <t>WINDSOR ELK GROVE CARE AND REHABILITATION CENTER</t>
  </si>
  <si>
    <t>RAFAEL CONVALESCENT HOSPITAL</t>
  </si>
  <si>
    <t>KATHERINE HEALTHCARE</t>
  </si>
  <si>
    <t>GRANT CUESTA SUB-ACUTE AND REHABILITATION CENTER</t>
  </si>
  <si>
    <t>MOUNTAIN VIEW HEALTHCARE CENTER</t>
  </si>
  <si>
    <t>SKYLINE HEALTHCARE CENTER - SAN JOSE</t>
  </si>
  <si>
    <t>POINT LOMA POST ACUTE CENTER</t>
  </si>
  <si>
    <t>UNIVERSITY CARE CENTER</t>
  </si>
  <si>
    <t>VILLA SERENA HEALTHCARE CENTER</t>
  </si>
  <si>
    <t>ADVANCED REHAB CENTER OF TUSTIN</t>
  </si>
  <si>
    <t>SAN RAFAEL HEALTHCARE &amp; WELLNESS CENTER, LP</t>
  </si>
  <si>
    <t>PACIFIC REHABILITATION &amp; WELLNESS CENTER, LP</t>
  </si>
  <si>
    <t>LA PALOMA HEALTHCARE CENTER</t>
  </si>
  <si>
    <t>HAYWARD CONVALESCENT HOSPITAL</t>
  </si>
  <si>
    <t>GEM TRANSITIONAL</t>
  </si>
  <si>
    <t>THOUSAND OAKS HEALTHCARE CENTER</t>
  </si>
  <si>
    <t>COUNTRY VILLA CLAREMONT HEALTH</t>
  </si>
  <si>
    <t>CULVER WEST HEALTH CENTER</t>
  </si>
  <si>
    <t>SHORELINE HEALTHCARE CENTER</t>
  </si>
  <si>
    <t>FREDERICKA MANOR CARE CENTER</t>
  </si>
  <si>
    <t>PACIFIC GROVE CONVALESCENT HOSPITAL</t>
  </si>
  <si>
    <t>OAKPARK HEALTHCARE CENTER</t>
  </si>
  <si>
    <t>VISTA PACIFICA CONVALESCENT HOSPITAL</t>
  </si>
  <si>
    <t>VISTA COVE CARE CENTER AT LONG BEACH</t>
  </si>
  <si>
    <t>MONROVIA GARDENS HEALTHCARE CENTER</t>
  </si>
  <si>
    <t>ELMCREST CARE CENTER</t>
  </si>
  <si>
    <t>UPLAND REHABILITATION AND CARE CENTER</t>
  </si>
  <si>
    <t>HUNTINGTON DRIVE HEALTH AND REHABILITATION CENTER</t>
  </si>
  <si>
    <t>EDGEWATER SKILLED NURSING CENTER</t>
  </si>
  <si>
    <t>SAN JOSE HEALTHCARE &amp; WELLNESS CENTER</t>
  </si>
  <si>
    <t>CLAREMONT CARE CENTER</t>
  </si>
  <si>
    <t>MEADOWBROOK HEALTH CARE CENTER</t>
  </si>
  <si>
    <t>WINDSOR EL CAMINO CARE CENTER</t>
  </si>
  <si>
    <t>CUPERTINO HEALTHCARE &amp; WELLNESS CENTER</t>
  </si>
  <si>
    <t>COMMUNITY CARE AND REHABILITATION CENTER</t>
  </si>
  <si>
    <t>HACIENDA REHABILITATION &amp; HEALTH CARE CENTER</t>
  </si>
  <si>
    <t>ORCHARD POST ACUTE CARE</t>
  </si>
  <si>
    <t>SAYLOR LANE HEALTHCARE CENTER</t>
  </si>
  <si>
    <t>MANNING GARDENS CARE CENTER, INC</t>
  </si>
  <si>
    <t>WHITTIER HILLS HEALTH CARE CTR</t>
  </si>
  <si>
    <t>WINDSOR GARDENS CARE CENTER OF HAYWARD</t>
  </si>
  <si>
    <t>OUR LADY OF FATIMA VILLA</t>
  </si>
  <si>
    <t>ALDERSON CONVALESCENT HOSPITAL</t>
  </si>
  <si>
    <t>IVY CREEK HEALTHCARE &amp; WELLNESS CENTRE</t>
  </si>
  <si>
    <t>PROVIDENCE WEST VALLEY</t>
  </si>
  <si>
    <t>ROCK CREEK CARE CENTER</t>
  </si>
  <si>
    <t>DINUBA HEALTHCARE</t>
  </si>
  <si>
    <t>COVINA REHABILITATION CENTER</t>
  </si>
  <si>
    <t>GOLDEN LIVINGCENTER-FOWLER</t>
  </si>
  <si>
    <t>INTERCOMMUNITY HEALTHCARE &amp; REHABILITATION CENTER</t>
  </si>
  <si>
    <t>BUENA VISTA CARE CENTER</t>
  </si>
  <si>
    <t>HAZEL HAWKINS MEMORIAL HOSPITAL D/P SNF</t>
  </si>
  <si>
    <t>TWO PALMS NURSING CENTER, INC</t>
  </si>
  <si>
    <t>SEQUOIAS, THE</t>
  </si>
  <si>
    <t>NEW VISTA POST- ACUTE CARE CENTER</t>
  </si>
  <si>
    <t>MAGNOLIA REHABILITATION  &amp; NURSING  CENTER</t>
  </si>
  <si>
    <t>MAIN WEST POSTACUTE CARE</t>
  </si>
  <si>
    <t>FIRCREST CONVALESCENT HOSPITAL</t>
  </si>
  <si>
    <t>THE CALIFORNIAN-PASADENA</t>
  </si>
  <si>
    <t>VIENNA NURSING AND REHABILITATION CENTER</t>
  </si>
  <si>
    <t>LA MESA HEALTHCARE CENTER</t>
  </si>
  <si>
    <t>BRENTWOOD SKILLED NURSING</t>
  </si>
  <si>
    <t>OAK RIDGE HEALTHCARE CENTER</t>
  </si>
  <si>
    <t>MID-TOWN OAKS POST-ACUTE</t>
  </si>
  <si>
    <t>PARADISE RIDGE POST-ACUTE</t>
  </si>
  <si>
    <t>THE PINES AT PLACERVILLE HEALTHCARE CENTER</t>
  </si>
  <si>
    <t>ROCKY POINT CARE CENTER</t>
  </si>
  <si>
    <t>VALLE VISTA CONVALESCENT HOSPITAL</t>
  </si>
  <si>
    <t>COUNTRY VILLA SOUTH CONV CTR</t>
  </si>
  <si>
    <t>ARROYO VISTA NURSING CENTER</t>
  </si>
  <si>
    <t>EAGLE CREST</t>
  </si>
  <si>
    <t>JACOB HEALTH CARE CENTER, LLC</t>
  </si>
  <si>
    <t>GOLDEN LIVINGCENTER - REDDING</t>
  </si>
  <si>
    <t>WOLF CREEK CARE CENTER</t>
  </si>
  <si>
    <t>WINDSOR CHICO CARE CENTER</t>
  </si>
  <si>
    <t>WOODLANDS HEALTHCARE CENTER</t>
  </si>
  <si>
    <t>NEWPORT NURSING AND REHABILITATION CENTER</t>
  </si>
  <si>
    <t>DOWNEY CARE CENTER</t>
  </si>
  <si>
    <t>ROYAL OAKS CONVALESCENT HOSP</t>
  </si>
  <si>
    <t>CRENSHAW NURSING HOME</t>
  </si>
  <si>
    <t>INGLEWOOD HEALTH CARE CENTER</t>
  </si>
  <si>
    <t>LOS PALOS CONVALESCENT HOSPITAL</t>
  </si>
  <si>
    <t>ROYALWOOD CARE CENTER</t>
  </si>
  <si>
    <t>HOME FOR JEWISH PARENTS</t>
  </si>
  <si>
    <t>BONNIE BRAE CONVALESCENT HOSP</t>
  </si>
  <si>
    <t>ARTESIA CHRISTIAN HOME INC.</t>
  </si>
  <si>
    <t>SANTA MONICA HEALTH CARE CENTER</t>
  </si>
  <si>
    <t>ROYAL TERRACE HEALTH CARE</t>
  </si>
  <si>
    <t>MISSION CARE CENTER</t>
  </si>
  <si>
    <t>ROYAL CREST HEALTH CARE</t>
  </si>
  <si>
    <t>PASADENA PARK HEALTHCARE AND WELLNESS CENTER</t>
  </si>
  <si>
    <t>PROVIDENCE SUN VILLA</t>
  </si>
  <si>
    <t>CREEKSIDE CARE CENTER</t>
  </si>
  <si>
    <t>BAY CREST CARE CENTER</t>
  </si>
  <si>
    <t>HILLSIDE SENIOR CARE</t>
  </si>
  <si>
    <t>SANTA MARIA CARE CENTER</t>
  </si>
  <si>
    <t>PROVIDENCE WATERMAN</t>
  </si>
  <si>
    <t>COASTAL VIEW HEALTHCARE CENTER</t>
  </si>
  <si>
    <t>SIERRA VALLEY REHAB CENTER</t>
  </si>
  <si>
    <t>ST ELIZABETH HEALTHCARE CENTER</t>
  </si>
  <si>
    <t>BUENA PARK NURSING CENTER</t>
  </si>
  <si>
    <t>KINGSBURG CENTER</t>
  </si>
  <si>
    <t>PACIFIC HAVEN SUBACUTE AND HEALTHCARE CENTER</t>
  </si>
  <si>
    <t>PROVIDENCE MT RUBIDOUX</t>
  </si>
  <si>
    <t>CAPISTRANO BEACH CARE CENTER</t>
  </si>
  <si>
    <t>MAYWOOD ACRES HEALTHCARE</t>
  </si>
  <si>
    <t>THE BRADLEY GARDENS</t>
  </si>
  <si>
    <t>PARKVIEW JULIAN CONVALESCENT</t>
  </si>
  <si>
    <t>REDWOOD SPRINGS HEALTHCARE CENTER</t>
  </si>
  <si>
    <t>PRIMROSE POST-ACUTE</t>
  </si>
  <si>
    <t>SHADOWBROOK HEALTH CARE</t>
  </si>
  <si>
    <t>EISENHOWER HEALTHCARE CENTER</t>
  </si>
  <si>
    <t>PROVIDENCE ONTARIO</t>
  </si>
  <si>
    <t>LA HABRA CONVALESCENT HOSPITAL</t>
  </si>
  <si>
    <t>HEALTHCARE CENTRE OF FRESNO</t>
  </si>
  <si>
    <t>GROSSMONT POST ACUTE CARE</t>
  </si>
  <si>
    <t>BRANDEL MANOR</t>
  </si>
  <si>
    <t>SPRING HILL MANOR</t>
  </si>
  <si>
    <t>MISSION SKILLED NURSING &amp; SUBACUTE CENTER</t>
  </si>
  <si>
    <t>PALO ALTO SUB-ACUTE AND REHABILITATION CENTER</t>
  </si>
  <si>
    <t>TULARE NURSING &amp; REHABILITATION CENTER</t>
  </si>
  <si>
    <t>HIGHLAND CARE CENTER OF REDLANDS</t>
  </si>
  <si>
    <t>SOUTH COAST POST ACUTE</t>
  </si>
  <si>
    <t>RIVERSIDE CONVALESCENT HOSPITAL</t>
  </si>
  <si>
    <t>TWILIGHT HAVEN</t>
  </si>
  <si>
    <t>BETHANY HOME SOCIETY SAN JOAQUIN COUNTY</t>
  </si>
  <si>
    <t>YORK HEALTHCARE &amp; WELLNESS CENTRE</t>
  </si>
  <si>
    <t>BROADWAY MANOR CARE CENTER</t>
  </si>
  <si>
    <t>PARKVIEW HEALTHCARE CENTER</t>
  </si>
  <si>
    <t>KNOTT AVENUE CARE CENTER</t>
  </si>
  <si>
    <t>PITTSBURG SKILLED NURSING CENTER</t>
  </si>
  <si>
    <t>THE CALIFORNIAN</t>
  </si>
  <si>
    <t>BRIGHTON PLACE SPRING VALLEY</t>
  </si>
  <si>
    <t>WINDSOR GARDENS CARE CENTER OF FULLERTON</t>
  </si>
  <si>
    <t>HEALTHCARE CENTER OF BELLA VISTA</t>
  </si>
  <si>
    <t>BUENA VENTURA  POST ACUTE CARE CENTER</t>
  </si>
  <si>
    <t>CLAIREMONT HEALTHCARE &amp; WELLNESS CENTRE, LLC</t>
  </si>
  <si>
    <t>ANGELS NURSING HEALTH CENTER</t>
  </si>
  <si>
    <t>THE ORCHARD - POST ACUTE CARE</t>
  </si>
  <si>
    <t>ONTARIO HEALTHCARE CENTER</t>
  </si>
  <si>
    <t>LEGACY POST-ACUTE REHABILITATION</t>
  </si>
  <si>
    <t>COUNTRY VILLA WILSHIRE CONVALESCENT CENTER</t>
  </si>
  <si>
    <t>BRENTWOOD HEALTH CARE CENTER</t>
  </si>
  <si>
    <t>KYAKAMEENA CARE CENTER</t>
  </si>
  <si>
    <t>MONTCLAIR MANOR CARE CENTER</t>
  </si>
  <si>
    <t>VENTURA POST ACUTE</t>
  </si>
  <si>
    <t>SANTA CLARITA POST-ACUTE CARE CENTER</t>
  </si>
  <si>
    <t>VALLE VERDE HEALTH FACILITY</t>
  </si>
  <si>
    <t>UKIAH POST ACUTE</t>
  </si>
  <si>
    <t>WINDSOR ELMHAVEN CARE CENTER</t>
  </si>
  <si>
    <t>MIRADA HILLS REHABILITATION AND CONV HOSPITAL</t>
  </si>
  <si>
    <t>WINDSOR GARDENS REHABILITATION CENTER OF SALINAS</t>
  </si>
  <si>
    <t>HARBOR VILLA CARE CENTER</t>
  </si>
  <si>
    <t>ATLANTIC MEMORIAL HEALTHCARE CENTER</t>
  </si>
  <si>
    <t>SANTA MONICA CONV CTR II</t>
  </si>
  <si>
    <t>AMBERWOOD GARDENS</t>
  </si>
  <si>
    <t>LONGWOOD MANOR CONV.HOSPITAL</t>
  </si>
  <si>
    <t>SHARON CARE CENTER</t>
  </si>
  <si>
    <t>CLOVERDALE HEALTHCARE CENTER</t>
  </si>
  <si>
    <t>NORTH WALK VILLA CONVAL. HOSP.</t>
  </si>
  <si>
    <t>ALHAMBRA HEALTHCARE &amp; WELLNESS CENTRE, LP</t>
  </si>
  <si>
    <t>ENCINITAS NURSING AND REHABILITATION CENTER</t>
  </si>
  <si>
    <t>SHEA REHABILITATION HEALTHCARE</t>
  </si>
  <si>
    <t>ORINDA CARE CENTER, LLC</t>
  </si>
  <si>
    <t>WESTVIEW HEALTHCARE CENTER</t>
  </si>
  <si>
    <t>BRIGHTON PLACE SAN DIEGO</t>
  </si>
  <si>
    <t>GILROY HEALTHCARE AND REHABILITATION CENTER</t>
  </si>
  <si>
    <t>VASONA CREEK HEALTHCARE CENTER</t>
  </si>
  <si>
    <t>GOLDEN LIVINGCENTER- REEDLEY</t>
  </si>
  <si>
    <t>STONEBROOK HEALTH AND REHABILITATION</t>
  </si>
  <si>
    <t>VILLA LAS PALMAS HEALTHCARE CENTER</t>
  </si>
  <si>
    <t>SHASTA VIEW NURSING CENTER</t>
  </si>
  <si>
    <t>ST ANTHONY CARE CENTER</t>
  </si>
  <si>
    <t>CHAPMAN CARE CENTER</t>
  </si>
  <si>
    <t>MONTE VISTA HEALTHCARE CENTER</t>
  </si>
  <si>
    <t>ROYAL GARDEN EXTENDED CARE HOS</t>
  </si>
  <si>
    <t>VILLA MARIA HEALTHCARE CENTER</t>
  </si>
  <si>
    <t>LA SALETTE HEALTH AND REHABILITATION CENTER</t>
  </si>
  <si>
    <t>SAN LUIS CARE CENTER</t>
  </si>
  <si>
    <t>LEISURE GLEN POST ACUTE CARE CENTER</t>
  </si>
  <si>
    <t>THE TERRACES AT SAN JOAQUIN GARDENS VILLAGE</t>
  </si>
  <si>
    <t>KINDRED NURSING AND HEALTHCARE-VICTORIAN</t>
  </si>
  <si>
    <t>MODESTO POST ACUTE CENTER</t>
  </si>
  <si>
    <t>PINE RIDGE CARE CENTER</t>
  </si>
  <si>
    <t>REDWOOD COVE HEALTHCARE CENTER</t>
  </si>
  <si>
    <t>GOLDEN LIVINGCENTER SANTA ROSA</t>
  </si>
  <si>
    <t>ARDEN POST ACUTE REHAB</t>
  </si>
  <si>
    <t>HIGH VALLEY LODGE</t>
  </si>
  <si>
    <t>GOLDEN LIVING CENTER - GALT</t>
  </si>
  <si>
    <t>PROVIDENCE OJAI</t>
  </si>
  <si>
    <t>ROSE GARDEN CONVALESCENT CTR</t>
  </si>
  <si>
    <t>PLUM TREE CARE CENTER</t>
  </si>
  <si>
    <t>VALLEY SUBACUTE &amp; REHABILITATION CENTER</t>
  </si>
  <si>
    <t>SUNRAY HEALTHCARE CENTER</t>
  </si>
  <si>
    <t>WINDSOR SKYLINE CARE CENTER</t>
  </si>
  <si>
    <t>CITRUS NURSING CENTER</t>
  </si>
  <si>
    <t>COMMUNITY CARE CENTER</t>
  </si>
  <si>
    <t>HAYWARD HEALTHCARE &amp; WELLNESS CENTER</t>
  </si>
  <si>
    <t>WILLOW TREE NURSING CENTER</t>
  </si>
  <si>
    <t>SAN TOMAS CONVALESCENT HOSPITAL</t>
  </si>
  <si>
    <t>WINDSOR COUNTRY DRIVE CARE CENTER</t>
  </si>
  <si>
    <t>ROSEVILLE CARE CENTER</t>
  </si>
  <si>
    <t>RIVER BEND NURSING CENTER</t>
  </si>
  <si>
    <t>HUNTINGTON VALLEY HEALTHCARE CENTER</t>
  </si>
  <si>
    <t>MAGNOLIA POST ACUTE CARE</t>
  </si>
  <si>
    <t>BERKELEY PINES SKILLED NURSING CENTER</t>
  </si>
  <si>
    <t>BROADWAY BY THE SEA</t>
  </si>
  <si>
    <t>ROYAL PALMS CONVALESCENT HOSPITAL</t>
  </si>
  <si>
    <t>RINALDI CONVALESCENT HOSPITAL</t>
  </si>
  <si>
    <t>COUNTRY MANOR LA MESA HEALTHCARE CENTER</t>
  </si>
  <si>
    <t>PLYMOUTH VILLAGE</t>
  </si>
  <si>
    <t>KAWEAH MANOR CONVALESCENT HOSPITAL</t>
  </si>
  <si>
    <t>ST JUDE CARE CENTER</t>
  </si>
  <si>
    <t>BEL TOOREN VILLA CONVALESCENT</t>
  </si>
  <si>
    <t>APPLE VALLEY POST-ACUTE REHAB</t>
  </si>
  <si>
    <t>COURTYARD HEALTH CARE CENTER</t>
  </si>
  <si>
    <t>CRYSTAL COVE CARE CENTER</t>
  </si>
  <si>
    <t>FOUR SEASONS HEALTHCARE &amp; WELLNESS CENTER, LP</t>
  </si>
  <si>
    <t>CERES POSTACUTE CARE</t>
  </si>
  <si>
    <t>TORRANCE CARE CENTER WEST, INC</t>
  </si>
  <si>
    <t>WINDSOR GARDENS CONV CENTER OF SAN DIEGO</t>
  </si>
  <si>
    <t>CALIFORNIA HOME FOR THE AGED</t>
  </si>
  <si>
    <t>BRIARWOOD HEALTH CARE</t>
  </si>
  <si>
    <t>VISTA COVE CARE CENTER AT SANTA PAULA</t>
  </si>
  <si>
    <t>WATSONVILLE POST ACUTE CENTER</t>
  </si>
  <si>
    <t>VERDUGO VISTA HEALTH CARE CENTER</t>
  </si>
  <si>
    <t>WINDSOR MONTEREY CARE CENTER</t>
  </si>
  <si>
    <t>KINDRED NURSING AND REHABILITATION-NINETEENTH AVE</t>
  </si>
  <si>
    <t>FRIENDSHIP MANOR NURSING &amp; REHAB CENTER</t>
  </si>
  <si>
    <t>ST. FRANCIS HEIGHTS CONVALESCENT HOSPITAL</t>
  </si>
  <si>
    <t>KENNEDY POST ACUTE CARE CENTER</t>
  </si>
  <si>
    <t>FRANCISCAN CONVALESCENT HOSPITAL</t>
  </si>
  <si>
    <t>COVENTRY COURT HEALTH CENTER</t>
  </si>
  <si>
    <t>ANAHEIM HEALTHCARE CENTER, LLC</t>
  </si>
  <si>
    <t>BROADWAY VILLA POST ACUTE</t>
  </si>
  <si>
    <t>HY-LOND HEALTH CARE CENTER-MERCED</t>
  </si>
  <si>
    <t>HERITAGE MANOR</t>
  </si>
  <si>
    <t>MISSION TERRACE CONVALESCENT HOSPITAL</t>
  </si>
  <si>
    <t>WEST COVINA HEALTHCARE CENTER</t>
  </si>
  <si>
    <t>WINDSOR CONVALESCENT CENTER OF NORTH LONG BEACH</t>
  </si>
  <si>
    <t>GOLDEN LIVING CENTER - HY-LOND</t>
  </si>
  <si>
    <t>PACIFIC CARE NURSING CENTER</t>
  </si>
  <si>
    <t>GUARDIAN REHABILITATION HOSPITAL</t>
  </si>
  <si>
    <t>SEAL BEACH HEALTH AND REHABILITATION CENTER</t>
  </si>
  <si>
    <t>BROOKFIELD HEALTHCARE CENTER</t>
  </si>
  <si>
    <t>LA JOLLA NURSING AND REHABILITATION CENTER</t>
  </si>
  <si>
    <t>GARDENA CONVALESCENT CENTER</t>
  </si>
  <si>
    <t>LONE TREE CONVALESCENT HOSPITAL</t>
  </si>
  <si>
    <t>AVALON VILLA CARE CENTER</t>
  </si>
  <si>
    <t>HIGHLAND PALMS HEALTHCARE CENTER</t>
  </si>
  <si>
    <t>EMPRESS CARE CENTER, LLC</t>
  </si>
  <si>
    <t>NEW VISTA NURSING AND REHABILITATION CENTER</t>
  </si>
  <si>
    <t>GOLDEN LIVINGCENTER - SHAFTER</t>
  </si>
  <si>
    <t>PACIFIC HILLS MANOR</t>
  </si>
  <si>
    <t>WELLSPRINGS POST ACUTE CENTER</t>
  </si>
  <si>
    <t>ESCONDIDO POST ACUTE REHAB</t>
  </si>
  <si>
    <t>COUNTRY VILLA BAY VISTA HCC</t>
  </si>
  <si>
    <t>COLONIAL CARE CENTER</t>
  </si>
  <si>
    <t>PACIFIC COAST MANOR</t>
  </si>
  <si>
    <t>COUNTRY VILLA HACIENDA HEALTHCARE CENTER</t>
  </si>
  <si>
    <t>CARMEL HILLS CARE CENTER</t>
  </si>
  <si>
    <t>BRIER OAK ON SUNSET</t>
  </si>
  <si>
    <t>ALMADEN HEALTH AND REHABILITATION  CENTER</t>
  </si>
  <si>
    <t>AMAYA SPRINGS HEALTH CARE CENTER</t>
  </si>
  <si>
    <t>INFINITY CARE OF EAST LOS ANGELES</t>
  </si>
  <si>
    <t>KINDRED NURSING AND TRANSITIONAL CARE-SANTA CRUZ</t>
  </si>
  <si>
    <t>WOODLAND CARE CENTER</t>
  </si>
  <si>
    <t>VALLEY HOUSE REHABILITATION CENTER</t>
  </si>
  <si>
    <t>SEQUOIAS SAN FRANCISCO CONVALESCENT HOSPITAL</t>
  </si>
  <si>
    <t>PETALUMA POST-ACUTE REHABILITATION</t>
  </si>
  <si>
    <t>SACRAMENTO POST-ACUTE</t>
  </si>
  <si>
    <t>WINDSOR CHICO CREEK CARE AND REHAB CENTER</t>
  </si>
  <si>
    <t>ANAHEIM TERRACE CARE CENTER</t>
  </si>
  <si>
    <t>THE TAMALPAIS</t>
  </si>
  <si>
    <t>LAKEVIEW TERRACE</t>
  </si>
  <si>
    <t>GLENDORA GRAND, INC</t>
  </si>
  <si>
    <t>PASADENA MEADOWS NURSING CENTER</t>
  </si>
  <si>
    <t>CANYON SPRINGS POST-ACUTE</t>
  </si>
  <si>
    <t>WOODS HEALTH SERVICES</t>
  </si>
  <si>
    <t>ASTORIA NURSING AND REHAB CENTER</t>
  </si>
  <si>
    <t>LA MARIPOSA CARE AND REHABILITATION CENTER</t>
  </si>
  <si>
    <t>CREEKSIDE REHABILITATION &amp; BEHAVIORAL HEALTH</t>
  </si>
  <si>
    <t>TOPANGA TERRACE</t>
  </si>
  <si>
    <t>DEVONSHIRE CARE CENTER</t>
  </si>
  <si>
    <t>PIEDMONT GARDENS HEALTH FACILITY</t>
  </si>
  <si>
    <t>COTTONWOOD HEALTH CARE CENTER</t>
  </si>
  <si>
    <t>GOLDEN LIVINGCENTER-SANGER</t>
  </si>
  <si>
    <t>ROSEWOOD POST ACUTE REHABILITATION</t>
  </si>
  <si>
    <t>CROWN BAY NURSING AND REHABILITATION CENTER</t>
  </si>
  <si>
    <t>ROSE VILLA HEALTH CARE CENTER</t>
  </si>
  <si>
    <t>BALBOA NURSING &amp; REHABILITATION CENTER</t>
  </si>
  <si>
    <t>WOODLAND SKILLED NURSING FACILITY</t>
  </si>
  <si>
    <t>LAGUNA HILLS HEALTH AND REHABILITATION CENTER</t>
  </si>
  <si>
    <t>GRIFFITH PARK HEALTHCARE CENTER</t>
  </si>
  <si>
    <t>ALEXANDRIA CARE CENTER</t>
  </si>
  <si>
    <t>COUNTRY VILLA EAST NURSING CENTER</t>
  </si>
  <si>
    <t>IMPERIAL HEALTHCARE CENTER</t>
  </si>
  <si>
    <t>LOS ALTOS SUB-ACUTE AND REHABILITATION CENTER</t>
  </si>
  <si>
    <t>THE ROWLAND</t>
  </si>
  <si>
    <t>GLADSTONE CARE AND REHABILITAT</t>
  </si>
  <si>
    <t>EMPRES POST ACUTE REHABILITATION</t>
  </si>
  <si>
    <t>WASHINGTON CENTER</t>
  </si>
  <si>
    <t>MILLBRAE SKILLED CARE</t>
  </si>
  <si>
    <t>TARZANA HEALTH AND REHABILITATION CENTER</t>
  </si>
  <si>
    <t>ALAMITOS BELMONT REHAB HOSPITA</t>
  </si>
  <si>
    <t>LIVE OAK REHAB CENTER</t>
  </si>
  <si>
    <t>BURBANK HEALTHCARE &amp; REHAB</t>
  </si>
  <si>
    <t>AVALON HEALTH CARE - SAN ANDREAS</t>
  </si>
  <si>
    <t>WEST HILLS HEALTH &amp; REHAB CENTER</t>
  </si>
  <si>
    <t>VILLA MESA CARE CENTER</t>
  </si>
  <si>
    <t>PANORAMA MEADOWS NURSING CENTER, LP</t>
  </si>
  <si>
    <t>STOLLWOOD CONVALESCENT HOSPITAL</t>
  </si>
  <si>
    <t>ROSEVILLE POINT HEALTH &amp; WELLNESS CENTER</t>
  </si>
  <si>
    <t>OSAGE HEALTHCARE &amp; WELLNESS CENTRE</t>
  </si>
  <si>
    <t>HUNTINGTON PARK NURSING CENTER</t>
  </si>
  <si>
    <t>GARDEN GROVE CONVALESCENT HOSP</t>
  </si>
  <si>
    <t>CASITAS CARE CENTER</t>
  </si>
  <si>
    <t>CALIFORNIA HEALTHCARE &amp; REHAB</t>
  </si>
  <si>
    <t>CATERED MANOR NURSING CENTER</t>
  </si>
  <si>
    <t>GREENFIELD CARE CENTER OF FULLERTON, LLC</t>
  </si>
  <si>
    <t>GOLDEN LIVINGCENTER - NAPA</t>
  </si>
  <si>
    <t>OAKDALE NURSING AND REHABILITATION CENTER</t>
  </si>
  <si>
    <t>EMERALD TERRACE CONV HOSPITAL</t>
  </si>
  <si>
    <t>COLLEGE OAK NURSING &amp;  REHABILITATION CENTER</t>
  </si>
  <si>
    <t>SHERMAN VILLAGE HCC</t>
  </si>
  <si>
    <t>EXTENDED CARE HOSPITAL OF RIVERSIDE</t>
  </si>
  <si>
    <t>PACIFIC PALMS HEALTHCARE</t>
  </si>
  <si>
    <t>PARAMOUNT MEADOWS NURSING CTR.</t>
  </si>
  <si>
    <t>CENTINELA SKILLED NURSING &amp; WELLNESS CENTRE WEST</t>
  </si>
  <si>
    <t>GRANADA HILLS CONVALESCENT</t>
  </si>
  <si>
    <t>ALAMITOS WEST HEALTH CARE CENTER</t>
  </si>
  <si>
    <t>EXCELL HEALTH CARE CENTER</t>
  </si>
  <si>
    <t>MID-WILSHIRE HEALTH CARE CNTR</t>
  </si>
  <si>
    <t>KINDRED NURSING AND REHABILITATION-GOLDEN GATE</t>
  </si>
  <si>
    <t>DOUBLE TREE POST-ACUTE CARE CENTER</t>
  </si>
  <si>
    <t>VALLEY CONVALESCENT HOSPITAL</t>
  </si>
  <si>
    <t>LAKE BALBOA CARE CENTER</t>
  </si>
  <si>
    <t>GOLDEN HILL SUBACUTE &amp; REHAB CTR</t>
  </si>
  <si>
    <t>VALLEY HEALTHCARE CENTER</t>
  </si>
  <si>
    <t>LIFE CARE CENTER OF MENIFEE</t>
  </si>
  <si>
    <t>CENTINELA GRAND INC</t>
  </si>
  <si>
    <t>LONG BEACH CARE CENTER, INC</t>
  </si>
  <si>
    <t>BELLA VISTA TRANSITIONAL CARE CENTER</t>
  </si>
  <si>
    <t>CHANDLER CONVALESCENT HOSPITAL</t>
  </si>
  <si>
    <t>HARBOR POST ACUTE CARE CENTER</t>
  </si>
  <si>
    <t>WINDSOR GARDENS CONVALESCENT HOSPITAL</t>
  </si>
  <si>
    <t>THE REHABILITATION CENTER ON LA BREA</t>
  </si>
  <si>
    <t>KIT CARSON NURSING &amp; REHABILITATION CENTER</t>
  </si>
  <si>
    <t>OJAI VALLEY COMMUNITY HOSPITAL D/P SNF</t>
  </si>
  <si>
    <t>BROADWAY HEALTHCARE CENTER</t>
  </si>
  <si>
    <t>KINDRED TRANSITIONAL CARE AND REHAB-TUNNELL CENTER</t>
  </si>
  <si>
    <t>PACIFICA NURSING AND REHAB CENTER</t>
  </si>
  <si>
    <t>UNIVERSITY PARK HEALTHCARE CENTER</t>
  </si>
  <si>
    <t>PACIFIC GARDENS NURSING &amp; REHABILITATION CENTER</t>
  </si>
  <si>
    <t>WILLOW GLEN CENTER</t>
  </si>
  <si>
    <t>TAMPICO TERRACE CARE CENTER</t>
  </si>
  <si>
    <t>RAMONA REHABILITATION AND POST ACUTE CARE CENTER</t>
  </si>
  <si>
    <t>NORTHBROOK HEALTHCARE CENTER</t>
  </si>
  <si>
    <t>MANTECA CARE AND REHABILITATION CENTER</t>
  </si>
  <si>
    <t>BELL CONVALESCENT HOSPITAL</t>
  </si>
  <si>
    <t>BRIARCREST NURSING CENTER</t>
  </si>
  <si>
    <t>MARQUIS CARE AT SHASTA</t>
  </si>
  <si>
    <t>WEST HAVEN HEALTHCARE</t>
  </si>
  <si>
    <t>PALM SPRINGS HEALTHCARE &amp; REHABILITATION CENTER</t>
  </si>
  <si>
    <t>LASSEN NURSING &amp; REHABILITATION CENTER</t>
  </si>
  <si>
    <t>MARLORA POST ACUTE REHAB HOSP</t>
  </si>
  <si>
    <t>ALDEN TERRACE CONVALESCENT HOSPITAL</t>
  </si>
  <si>
    <t>WINDSOR VALLEJO NURSING &amp; REHABILITATION CENTER</t>
  </si>
  <si>
    <t>WESTLAKE CONVALESCENT HOSPITAL</t>
  </si>
  <si>
    <t>WESTERN SLOPE HEALTH CENTER</t>
  </si>
  <si>
    <t>GRAND PARK CONVALESCENT HOSPITAL</t>
  </si>
  <si>
    <t>CALIFORNIA PACIFIC MEDICAL CTR- DAVIES CAMPUS HOSP</t>
  </si>
  <si>
    <t>SHERMAN OAKS HEALTH &amp; REHAB</t>
  </si>
  <si>
    <t>BERKLEY VALLEY CONV HOSPITAL</t>
  </si>
  <si>
    <t>WINDSOR REDDING CARE CENTER</t>
  </si>
  <si>
    <t>SANTA ROSA CONVALESCENT HOSP</t>
  </si>
  <si>
    <t>KINDRED NURSING AND HEALTHCARE - BAYBERRY</t>
  </si>
  <si>
    <t>MERRITT MANOR CONVALESCENT HOSPITAL</t>
  </si>
  <si>
    <t>QUINCY NURSING &amp; REHABILITATION CENTER</t>
  </si>
  <si>
    <t>GOLDEN LIVINGCENTER - HILLCREST</t>
  </si>
  <si>
    <t>WINDSOR GARDENS CONV CENTER OF HAWTHORNE</t>
  </si>
  <si>
    <t>MISSION PALMS HEALTHCARE CENTER</t>
  </si>
  <si>
    <t>SAN FRANCISCO HEALTH CARE</t>
  </si>
  <si>
    <t>RED BLUFF HEALTH CARE CENTER</t>
  </si>
  <si>
    <t>SIERRA VIEW HOMES</t>
  </si>
  <si>
    <t>WINDSOR HEALTHCARE CENTER OF OAKLAND</t>
  </si>
  <si>
    <t>GOLDEN LIVINGCENTER COUNTRY VIEW ALZHEIMERS CARE</t>
  </si>
  <si>
    <t>BIXBY KNOLLS TOWERS HEALTH CARE &amp; REHAB CENTER</t>
  </si>
  <si>
    <t>MAYFLOWER GARDENS CONVALESCENT HOSPITAL</t>
  </si>
  <si>
    <t>HANFORD NURSING &amp; REHABILITATION CENTER</t>
  </si>
  <si>
    <t>LOS GATOS MEADOWS GERIATRIC HOSPITAL</t>
  </si>
  <si>
    <t>CASA BONITA CONVALESCENT</t>
  </si>
  <si>
    <t>ALCOTT REHABILITATION HOSPITAL</t>
  </si>
  <si>
    <t>GOLDEN LIVINGCENTER - BAKERSFIELD</t>
  </si>
  <si>
    <t>LANTERN HEALTH CRESCENT CITY</t>
  </si>
  <si>
    <t>PARK CENTRAL CARE AND REHABILITATION CENTER</t>
  </si>
  <si>
    <t>GRANADA REHABILITATION &amp; WELLNESS CENTER, LP</t>
  </si>
  <si>
    <t>HY-LOND HEALTH CARE CENTER - MODESTO</t>
  </si>
  <si>
    <t>MISSION CARMICHAEL HEALTHCARE CENTER</t>
  </si>
  <si>
    <t>HERITAGE REHABILITATION CENTER</t>
  </si>
  <si>
    <t>HOLLYWOOD PRESBYTERIAN MEDICAL CENTER D/P SNF</t>
  </si>
  <si>
    <t>PACIFIC VILLA, INC</t>
  </si>
  <si>
    <t>CYPRESS GARDENS CARE CENTER</t>
  </si>
  <si>
    <t>CAMELLIA GARDENS CARE CENTER</t>
  </si>
  <si>
    <t>GLENOAKS CONVALESCENT HOSPITAL</t>
  </si>
  <si>
    <t>OLYMPIA CONVALESCENT HOSPITAL</t>
  </si>
  <si>
    <t>VERDUGO VALLEY SKILLED NURSING &amp; WELLNESS CT</t>
  </si>
  <si>
    <t>WINDSOR HAMPTON CARE CENTER</t>
  </si>
  <si>
    <t>GOLDEN LIVINGCENTER - FRESNO</t>
  </si>
  <si>
    <t>BURLINGTON CONVALESCENT HOSPITAL</t>
  </si>
  <si>
    <t>KINDRED TRANSITIONAL CARE &amp; REHAB - WALNUT CREEK</t>
  </si>
  <si>
    <t>PREMIER CARE CENTER FOR PALM SPRINGS</t>
  </si>
  <si>
    <t>REO VISTA HEALTHCARE CENTER</t>
  </si>
  <si>
    <t>BEACON HEALTHCARE CENTER</t>
  </si>
  <si>
    <t>MOUNTAIN VIEW CONV HOSP</t>
  </si>
  <si>
    <t>BEACHWOOD POST-ACUTE &amp; REHAB</t>
  </si>
  <si>
    <t>PANORAMA GARDENS</t>
  </si>
  <si>
    <t>GOLDEN LIVINGCENTER - CLOVIS</t>
  </si>
  <si>
    <t>SOPHIA LYN CONVALESCENT HOSPITAL</t>
  </si>
  <si>
    <t>SAN LEANDRO HEALTHCARE CENTER</t>
  </si>
  <si>
    <t>YUBA SKILLED NURSING CENTER</t>
  </si>
  <si>
    <t>BAY VIEW REHABILITATION HOSPITAL, LLC</t>
  </si>
  <si>
    <t>OAKGROVE SPRINGS CARE CENTER</t>
  </si>
  <si>
    <t>CHATSWORTH PARK CARE CENTER</t>
  </si>
  <si>
    <t>ATTERDAG CARE CENTER</t>
  </si>
  <si>
    <t>SAN PABLO HEALTHCARE &amp; WELLNESS CENTER</t>
  </si>
  <si>
    <t>ARBOR GLEN CARE CENTER</t>
  </si>
  <si>
    <t>FORTUNA REHABILITATION AND WELLNESS CENTER, LP</t>
  </si>
  <si>
    <t>MESA VERDE POST ACUTE CARE CENTER</t>
  </si>
  <si>
    <t>GRAND VALLEY HEALTH CARE CENTER</t>
  </si>
  <si>
    <t>SUMMERFIELD HEALTH CARE CENTER</t>
  </si>
  <si>
    <t>CALIMESA POST ACUTE</t>
  </si>
  <si>
    <t>COUNTRY VILLA SHERATON</t>
  </si>
  <si>
    <t>BROOKSIDE HEALTHCARE CENTER</t>
  </si>
  <si>
    <t>A GRACE SUB ACUTE &amp; SKILLED CARE</t>
  </si>
  <si>
    <t>COUNTRY VILLA NORTH</t>
  </si>
  <si>
    <t>REGENCY OAKS POST ACUTE CARE CENTER</t>
  </si>
  <si>
    <t>OXNARD MANOR HEALTHCARE CENTER</t>
  </si>
  <si>
    <t>COUNTRY VILLA LOS FELIZ NURSING CENTER</t>
  </si>
  <si>
    <t>ANTIOCH CONVALESCENT HOSPITAL</t>
  </si>
  <si>
    <t>THE GROVE POST-ACUTE CARE CENTER</t>
  </si>
  <si>
    <t>PARADISE VALLEY HEALTH CARE</t>
  </si>
  <si>
    <t>VALE HEALTHCARE CENTER</t>
  </si>
  <si>
    <t>GOLDEN EMPIRE NURSING &amp; REHAB CENTER</t>
  </si>
  <si>
    <t>PLEASANTON NURSING AND REHABILITATION CENTER</t>
  </si>
  <si>
    <t>ST. FRANCIS CONVALESCENT PAVILION</t>
  </si>
  <si>
    <t>KINDRED NURSING AND REHABILITATION-YGNACIO VALLEY</t>
  </si>
  <si>
    <t>MISSION HILLS POST ACUTE CARE</t>
  </si>
  <si>
    <t>WOODRUFF CONVALESCENT CENTER</t>
  </si>
  <si>
    <t>ALL SAINTS HEALTHCARE SUBACUTE</t>
  </si>
  <si>
    <t>WHITNEY OAKS CARE CENTER</t>
  </si>
  <si>
    <t>PARK VIEW POST ACUTE</t>
  </si>
  <si>
    <t>NORTHRIDGE CARE CENTER</t>
  </si>
  <si>
    <t>TEMPLE CITY HEALTHCARE</t>
  </si>
  <si>
    <t>LYNWOOD HEALTHCARE CENTER</t>
  </si>
  <si>
    <t>FREMONT HEALTHCARE CENTER</t>
  </si>
  <si>
    <t>PROVIDENCE VALLEY CARE CENTER</t>
  </si>
  <si>
    <t>VILLA ELENA HEALTHCARE CENTER</t>
  </si>
  <si>
    <t>DELANO REGIONAL MEDICAL CENTER</t>
  </si>
  <si>
    <t>CALIFORNIA NURSING &amp; REHABILITATION CENTER</t>
  </si>
  <si>
    <t>LAUREL CONVALESCENT HOSPITAL</t>
  </si>
  <si>
    <t>NORTHGATE POSTACUTE CARE</t>
  </si>
  <si>
    <t>INLAND VALLEY CARE AND REHABILITATION CENTER</t>
  </si>
  <si>
    <t>VERMONT CONVALESCENT CENTER</t>
  </si>
  <si>
    <t>MEDICAL CENTER CONVALESCENT HOSPITAL</t>
  </si>
  <si>
    <t>CYPRESS RIDGE CARE CENTER</t>
  </si>
  <si>
    <t>FLOWER VILLA, INC</t>
  </si>
  <si>
    <t>GEORGE L MEE MEMORIAL HOSPITAL D/P SNF</t>
  </si>
  <si>
    <t>COMMUNITY EXTENDED CARE HOSPITAL OF MONTCLAIR</t>
  </si>
  <si>
    <t>PARAMOUNT CONVALESCENT HOSP.</t>
  </si>
  <si>
    <t>HAYWARD HILLS HEALTH CARE CENTER</t>
  </si>
  <si>
    <t>PROVIDENCE SAN FRANCISCO</t>
  </si>
  <si>
    <t>WINDSOR CARE CENTER OF CHEVIOT HILLS</t>
  </si>
  <si>
    <t>SERRANO SOUTH CONVALESCENT  HOSPITAL</t>
  </si>
  <si>
    <t>GREENRIDGE SENIOR CARE</t>
  </si>
  <si>
    <t>GREENFIELD CARE CENTER OF SOUTH GATE</t>
  </si>
  <si>
    <t>GATEWAY CARE &amp; REHABILITATION CENTER</t>
  </si>
  <si>
    <t>SIERRA VIEW CARE CENTER</t>
  </si>
  <si>
    <t>BAYPOINT HEALTHCARE CENTER</t>
  </si>
  <si>
    <t>HILLTOP CARE CENTER</t>
  </si>
  <si>
    <t>WINDSOR ROSEWOOD CARE CENTER</t>
  </si>
  <si>
    <t>ALLIANCE NURSING &amp; REHAB CTR</t>
  </si>
  <si>
    <t>LIGHTHOUSE  HEALTHCARE CENTER</t>
  </si>
  <si>
    <t>ALAMEDA COUNTY MEDICAL CENTER D/P SNF</t>
  </si>
  <si>
    <t>SHERWOOD OAKS HEALTH CENTER</t>
  </si>
  <si>
    <t>ARLINGTON GARDENS CARE CENTER</t>
  </si>
  <si>
    <t>RIO HONDO SUBACUTE &amp;  NURSING CENTER</t>
  </si>
  <si>
    <t>SUNNYSIDE NURSING CENTER</t>
  </si>
  <si>
    <t>SERRANO NORTH CONVALESCENT HOSPITAL</t>
  </si>
  <si>
    <t>CASA COLOMA HLTH CARE CENTER</t>
  </si>
  <si>
    <t>CARLSBAD BY THE SEA</t>
  </si>
  <si>
    <t>PROVIDENCE LITTLE CO OF MARY TRANSITIONAL CARE CTR</t>
  </si>
  <si>
    <t>SAN LUIS VALLEY HEALTH</t>
  </si>
  <si>
    <t>CENTURA HEALTH-ST THOMAS MORE HOSPITAL</t>
  </si>
  <si>
    <t>COLORADO PLAINS MEDICAL CENTER</t>
  </si>
  <si>
    <t>YAMPA VALLEY MEDICAL CENTER</t>
  </si>
  <si>
    <t>ST ANTHONY SUMMIT MEDICAL CENTER</t>
  </si>
  <si>
    <t>KINDRED NURSING AND REHABILITATION-AURORA</t>
  </si>
  <si>
    <t>ST PAUL HEALTH CENTER</t>
  </si>
  <si>
    <t>MOUNTAIN VISTA HEALTH CENTER</t>
  </si>
  <si>
    <t>AMBERWOOD COURT REHABILITATION AND CARE COMMUNITY</t>
  </si>
  <si>
    <t>MESA VISTA OF BOULDER</t>
  </si>
  <si>
    <t>ENGLEWOOD POST ACUTE AND REHABILITATION</t>
  </si>
  <si>
    <t>UNION PRINTERS HOME</t>
  </si>
  <si>
    <t>VILLA MANOR CARE CENTER</t>
  </si>
  <si>
    <t>GOOD SAMARITAN SOCIETY - BONELL COMMUNITY</t>
  </si>
  <si>
    <t>ROCK CANYON RESPIRATORY AND REHABILITATION CENTER</t>
  </si>
  <si>
    <t>VILLAS AT SUNNY ACRES, THE</t>
  </si>
  <si>
    <t>MESA MANOR CENTER</t>
  </si>
  <si>
    <t>CENTURA HEALTH-MEDALION HEALTH CENTER</t>
  </si>
  <si>
    <t>VALLEY MANOR CARE CENTER</t>
  </si>
  <si>
    <t>CLEAR CREEK CARE CENTER</t>
  </si>
  <si>
    <t>PAVILION AT VILLA PUEBLO, THE</t>
  </si>
  <si>
    <t>HOLLY HEIGHTS CARE CENTER</t>
  </si>
  <si>
    <t>NORTH SHORE HEALTH AND REHAB FACILITY</t>
  </si>
  <si>
    <t>GOOD SAMARITAN SOCIETY - LOVELAND VILLAGE</t>
  </si>
  <si>
    <t>LEMAY AVENUE HEALTH AND REHABILITATION FACILITY</t>
  </si>
  <si>
    <t>GUNNISON VALLEY HEALTH SENIOR CARE CENTER</t>
  </si>
  <si>
    <t>CHERRY CREEK NURSING CENTER</t>
  </si>
  <si>
    <t>CHEYENNE MOUNTAIN CENTER</t>
  </si>
  <si>
    <t>DEVONSHIRE ACRES</t>
  </si>
  <si>
    <t>SUNDANCE SKILLED NURSING AND REHABILITATION</t>
  </si>
  <si>
    <t>VISTA GRANDE INN</t>
  </si>
  <si>
    <t>EBEN EZER LUTHERAN CARE CENTER</t>
  </si>
  <si>
    <t>SIERRA VISTA HEALTH CARE CENTER</t>
  </si>
  <si>
    <t>FORT COLLINS HEALTH CARE CENTER</t>
  </si>
  <si>
    <t>ASPEN LIVING CENTER</t>
  </si>
  <si>
    <t>BELMONT LODGE HEALTH CARE CENTER</t>
  </si>
  <si>
    <t>SUNSET MANOR</t>
  </si>
  <si>
    <t>WESTLAKE CARE COMMUNITY</t>
  </si>
  <si>
    <t>TERRACE GARDENS HEALTH CARE CENTER</t>
  </si>
  <si>
    <t>STERLING LIVING CENTER</t>
  </si>
  <si>
    <t>CEDARWOOD HEALTH CARE CENTER</t>
  </si>
  <si>
    <t>SUMMIT REHABILITATION AND CARE COMMUNITY</t>
  </si>
  <si>
    <t>HILDEBRAND CARE CENTER</t>
  </si>
  <si>
    <t>VALLEY VIEW VILLA</t>
  </si>
  <si>
    <t>CENTURA HEALTH PROGRESSIVE CARE CENTER</t>
  </si>
  <si>
    <t>PROSPECT PARK LIVING CENTER</t>
  </si>
  <si>
    <t>BEAR CREEK CENTER</t>
  </si>
  <si>
    <t>PEAKS CARE CENTER THE</t>
  </si>
  <si>
    <t>AUTUMN HEIGHTS HEALTH CARE CENTER</t>
  </si>
  <si>
    <t>REHABILITATION AND NURSING CENTER OF THE ROCKIES</t>
  </si>
  <si>
    <t>ALPINE LIVING CENTER</t>
  </si>
  <si>
    <t>SAN JUAN LIVING CENTER</t>
  </si>
  <si>
    <t>AVAMERE TRANSITIONAL CARE AND REHAB-MALLEY</t>
  </si>
  <si>
    <t>GARDENS, THE</t>
  </si>
  <si>
    <t>CEDARS HEALTHCARE CENTER</t>
  </si>
  <si>
    <t>CHERRELYN HEALTHCARE CENTER</t>
  </si>
  <si>
    <t>ROWAN COMMUNITY, INC</t>
  </si>
  <si>
    <t>PEARL STREET HEALTH AND REHABILITATION CENTER</t>
  </si>
  <si>
    <t>WESTERN HILLS HEALTH CARE CENTER</t>
  </si>
  <si>
    <t>FAIRACRES MANOR, INC.</t>
  </si>
  <si>
    <t>CENTENNIAL HEALTH CARE CENTER</t>
  </si>
  <si>
    <t>HEALTH CENTER AT FRANKLIN PARK</t>
  </si>
  <si>
    <t>ARKANSAS VALLEY REGIONAL MED CTR LONG TERM CARE</t>
  </si>
  <si>
    <t>CANON LODGE CARE CENTER</t>
  </si>
  <si>
    <t>KENTON MANOR</t>
  </si>
  <si>
    <t>COLUMBINE MANOR CARE CENTER</t>
  </si>
  <si>
    <t>SPRING CREEK HEALTH CARE CENTER</t>
  </si>
  <si>
    <t>BOULDER MANOR</t>
  </si>
  <si>
    <t>BERKLEY MANOR CARE CENTER</t>
  </si>
  <si>
    <t>COLONIAL COLUMNS NURSING CENTER</t>
  </si>
  <si>
    <t>APPLEWOOD LIVING CENTER</t>
  </si>
  <si>
    <t>GOOD SAMARITAN SOCIETY - FORT COLLINS VILLAGE</t>
  </si>
  <si>
    <t>PALISADES LIVING CENTER</t>
  </si>
  <si>
    <t>MINNEQUA MEDICENTER</t>
  </si>
  <si>
    <t>JEWELL CARE CENTER OF DENVER</t>
  </si>
  <si>
    <t>UNIVERSITY PARK CARE CENTER</t>
  </si>
  <si>
    <t>PUEBLO CENTER</t>
  </si>
  <si>
    <t>HALLMARK NURSING CENTER</t>
  </si>
  <si>
    <t>PIONEER HEALTH CARE CENTER</t>
  </si>
  <si>
    <t>RIVERWALK POST ACUTE AND REHABILITATION</t>
  </si>
  <si>
    <t>HERITAGE PARK CARE CENTER</t>
  </si>
  <si>
    <t>ELMS HAVEN CENTER</t>
  </si>
  <si>
    <t>AVAMERE TRANSITIONAL CARE AND REHABILITATION</t>
  </si>
  <si>
    <t>MANORCARE HEALTH SERVICES - DENVER</t>
  </si>
  <si>
    <t>BROOKSHIRE HOUSE REHABILITATION AND CARE COMMUNITY</t>
  </si>
  <si>
    <t>FOUR CORNERS HEALTH CARE CENTER</t>
  </si>
  <si>
    <t>GLENWOOD SPRINGS HEALTH CARE</t>
  </si>
  <si>
    <t>COLUMBINE WEST HEALTH AND REHAB FACILITY</t>
  </si>
  <si>
    <t>LAUREL MANOR CARE CENTER</t>
  </si>
  <si>
    <t>SPRINGS VILLAGE CARE CENTER</t>
  </si>
  <si>
    <t>BETHANY NURSING &amp; REHAB CENTER</t>
  </si>
  <si>
    <t>WILLOW TREE CARE CENTER</t>
  </si>
  <si>
    <t>SKYLINE RIDGE NURSING AND REHABILITATION CENTER</t>
  </si>
  <si>
    <t>PAONIA CARE AND REHABILITATION CENTER</t>
  </si>
  <si>
    <t>PARKMOOR VILLAGE HEALTHCARE CENTER</t>
  </si>
  <si>
    <t>LA VILLA GRANDE CARE CENTER</t>
  </si>
  <si>
    <t>SUNNY VISTA LIVING CENTER</t>
  </si>
  <si>
    <t>BRIARWOOD HEALTH CARE CENTER</t>
  </si>
  <si>
    <t>HIGHLINE REHABILITATION AND CARE COMMUNITY</t>
  </si>
  <si>
    <t>GOLDEN PEAKS CENTER</t>
  </si>
  <si>
    <t>HORIZONS CARE CENTER</t>
  </si>
  <si>
    <t>ORCHARD PARK HEALTH CARE CENTER</t>
  </si>
  <si>
    <t>YUMA LIFE CARE CENTER</t>
  </si>
  <si>
    <t>BERTHOUD LIVING CENTER</t>
  </si>
  <si>
    <t>GARDEN TERRACE ALZHEIMER'S CENTER OF EXCELLENCE</t>
  </si>
  <si>
    <t>MANORCARE HEALTH SERVICES - BOULDER</t>
  </si>
  <si>
    <t>LIFE CARE CENTER OF PUEBLO</t>
  </si>
  <si>
    <t>PARKVIEW MEDICAL CTR SKILLED NURSING FACILITY ECF</t>
  </si>
  <si>
    <t>SIERRA REHABILITATION AND CARE COMMUNITY</t>
  </si>
  <si>
    <t>CHRISTOPHER HOUSE REHABILITATION AND CARE COMMUNIT</t>
  </si>
  <si>
    <t>NORTH STAR REHABILITATION AND CARE COMMUNITY</t>
  </si>
  <si>
    <t>LIFE CARE CENTER OF EVERGREEN</t>
  </si>
  <si>
    <t>WINDSOR HEALTH CARE CENTER</t>
  </si>
  <si>
    <t>LIFE CARE CENTER OF LONGMONT</t>
  </si>
  <si>
    <t>WOODRIDGE TERRACE NURSING AND REHABILITATION</t>
  </si>
  <si>
    <t>GRACE MANOR CARE CENTER</t>
  </si>
  <si>
    <t>CASTLE ROCK CARE CENTER</t>
  </si>
  <si>
    <t>EAGLE RIDGE AT GRAND VALLEY</t>
  </si>
  <si>
    <t>MONACO PARKWAY HEALTH AND REHABILITATION CENTER</t>
  </si>
  <si>
    <t>MONTE VISTA ESTATES LLC</t>
  </si>
  <si>
    <t>REHABILITATION CENTER AT SANDALWOOD,THE</t>
  </si>
  <si>
    <t>LAMAR ESTATES LLC</t>
  </si>
  <si>
    <t>CAMBRIDGE CARE CENTER</t>
  </si>
  <si>
    <t>ALLISON CARE CENTER</t>
  </si>
  <si>
    <t>HARMONY POINTE NURSING CENTER</t>
  </si>
  <si>
    <t>PARKVIEW CARE CENTER</t>
  </si>
  <si>
    <t>REGENT PARK NURSING AND REHABILITATION</t>
  </si>
  <si>
    <t>BETH ISRAEL AT SHALOM PARK</t>
  </si>
  <si>
    <t>LIBERTY HEIGHTS</t>
  </si>
  <si>
    <t>VALLEY INN, THE</t>
  </si>
  <si>
    <t>MANTEY HEIGHTS REHABILITATION AND CARE CENTER</t>
  </si>
  <si>
    <t>WHEATRIDGE MANOR CARE CENTER</t>
  </si>
  <si>
    <t>UPTOWN HEALTH CARE CENTER</t>
  </si>
  <si>
    <t>CROWLEY COUNTY NURSING CENTER</t>
  </si>
  <si>
    <t>HILLCREST CARE CENTER</t>
  </si>
  <si>
    <t>MISSION SAN MIGUEL NURSING AND REHAB CENTER</t>
  </si>
  <si>
    <t>LITTLETON CARE AND REHABILITATION CENTER</t>
  </si>
  <si>
    <t>ARVADA CARE AND REHABILITATION CENTER</t>
  </si>
  <si>
    <t>JULIA TEMPLE HEALTHCARE CENTER</t>
  </si>
  <si>
    <t>DENVER NORTH CARE CENTER</t>
  </si>
  <si>
    <t>FRASIER MEADOWS HEALTH CARE CENTER</t>
  </si>
  <si>
    <t>MOUNT ST FRANCIS NURSING CENTER</t>
  </si>
  <si>
    <t>JUNIPER VILLAGE - THE SPEARLY CENTER</t>
  </si>
  <si>
    <t>LONGMONT UNITED HOSPITAL T C U</t>
  </si>
  <si>
    <t>COLORADO LUTHERAN HOME</t>
  </si>
  <si>
    <t>LARCHWOOD INNS</t>
  </si>
  <si>
    <t>LIFE CARE CENTER OF AURORA</t>
  </si>
  <si>
    <t>CRIPPLE CREEK CARE CENTER</t>
  </si>
  <si>
    <t>ASPEN CENTER</t>
  </si>
  <si>
    <t>CASEY'S POND SENIOR LIVING LTC</t>
  </si>
  <si>
    <t>SUITES AT CLERMONT PARK CARE CENTER</t>
  </si>
  <si>
    <t>CHRISTIAN LVG COMMUNITIES SUITES AT SOMEREN GLEN</t>
  </si>
  <si>
    <t>VALLEY VIEW HEALTH CARE CENTER INC</t>
  </si>
  <si>
    <t>HOLLY NURSING CARE CENTER</t>
  </si>
  <si>
    <t>COLOROW CARE CENTER</t>
  </si>
  <si>
    <t>SHARMAR VILLAGE CARE CENTER</t>
  </si>
  <si>
    <t>LIFE CARE CENTER OF COLORADO SPRINGS</t>
  </si>
  <si>
    <t>LIFE CARE CENTER OF WESTMINSTER</t>
  </si>
  <si>
    <t>BENT COUNTY HEALTHCARE CENTER</t>
  </si>
  <si>
    <t>FOWLER HEALTH CARE</t>
  </si>
  <si>
    <t>BROOKSIDE INN</t>
  </si>
  <si>
    <t>BROOKDALE ROSLYN</t>
  </si>
  <si>
    <t>PINE RIDGE EXTENDED CARE CENTER</t>
  </si>
  <si>
    <t>VILLAGE CARE AND REHABILITATION CENTER, THE</t>
  </si>
  <si>
    <t>LIFE CARE CENTER OF GREELEY</t>
  </si>
  <si>
    <t>LIFE CARE CENTER OF LITTLETON</t>
  </si>
  <si>
    <t>BROOKDALE BEAR CREEK</t>
  </si>
  <si>
    <t>BROOKDALE GREEN MOUNTAIN</t>
  </si>
  <si>
    <t>BROOKDALE GREENWOOD VILLAGE</t>
  </si>
  <si>
    <t>CENTRE AVENUE HEALTH AND REHAB FACILITY, LLC</t>
  </si>
  <si>
    <t>COTTONWOOD CARE CENTER</t>
  </si>
  <si>
    <t>BROOMFIELD SKILLED NURSING AND REHABILITATION CTR</t>
  </si>
  <si>
    <t>COLORADO STATE VETERANS HOME AT FITZSIMONS</t>
  </si>
  <si>
    <t>E DENE MOORE CARE CENTER</t>
  </si>
  <si>
    <t>BROOKDALE SKYLINE</t>
  </si>
  <si>
    <t>VISTA VIEW CARE CENTER</t>
  </si>
  <si>
    <t>SANDROCK RIDGE CARE AND REHAB</t>
  </si>
  <si>
    <t>COLORADO STATE VETERANS NURSING HOME-RIFLE</t>
  </si>
  <si>
    <t>FOREST STREET COMPASSIONATE CARE CENTER</t>
  </si>
  <si>
    <t>ST ANDREWS VILLAGE-LTC</t>
  </si>
  <si>
    <t>CENTER AT CENTENNIAL, THE</t>
  </si>
  <si>
    <t>COLORADO VETERANS COMMUNITY LVG CTR AT HOMELAKE</t>
  </si>
  <si>
    <t>BROOKDALE MOUNTAIN VIEW</t>
  </si>
  <si>
    <t>ADVANCED HEALTH CARE OF AURORA</t>
  </si>
  <si>
    <t>BRUCE MCCANDLESS CO STATE VETERANS NURSING HOME</t>
  </si>
  <si>
    <t>SUITES AT HOLLY CREEK CARE CENTER, THE</t>
  </si>
  <si>
    <t>TRINIDAD INN NURSING HOME</t>
  </si>
  <si>
    <t>GRACE POINTE CONTINUING CARE SR CAMPUS SKILLED NUR</t>
  </si>
  <si>
    <t>VI AT HIGHLANDS RANCH SKILLED NURSING</t>
  </si>
  <si>
    <t>RIO GRANDE INN</t>
  </si>
  <si>
    <t>POWERBACK REHABILITATION LAKEWOOD</t>
  </si>
  <si>
    <t>LIFE CARE CENTER OF STONEGATE</t>
  </si>
  <si>
    <t>CENTER AT LINCOLN LLC</t>
  </si>
  <si>
    <t>SLOAN'S LAKE REHABILITATION CENTER</t>
  </si>
  <si>
    <t>CROWN CREST OF PARKER</t>
  </si>
  <si>
    <t>GARDENS ON QUAIL</t>
  </si>
  <si>
    <t>ADVANCED HEALTH CARE OF COLORADO SPRINGS</t>
  </si>
  <si>
    <t>LAKEWOOD VILLA</t>
  </si>
  <si>
    <t>CONTINUING CARE AT WIND CREST</t>
  </si>
  <si>
    <t>COLUMBINE COMMONS HEALTH AND REHAB LLC</t>
  </si>
  <si>
    <t>COTTONWOOD INN REHAB AND EXTENDED CARE CENTER</t>
  </si>
  <si>
    <t>GREEN HOUSE HOMES AT MIRASOL, THE</t>
  </si>
  <si>
    <t>CENTER AT CORDERA, LLC, THE</t>
  </si>
  <si>
    <t>POWERBACK REHABILITATION LAFAYETTE</t>
  </si>
  <si>
    <t>PIKES PEAK CENTER</t>
  </si>
  <si>
    <t>ST JOSEPH'S CENTER</t>
  </si>
  <si>
    <t>WINDSOR HEALTH AND REHABILITATION CENTER, LLC</t>
  </si>
  <si>
    <t>CRESTFIELD REHABILITATION CENTER &amp; FENWOOD MANOR</t>
  </si>
  <si>
    <t>MONTOWESE HEALTH &amp; REHAB CTR,</t>
  </si>
  <si>
    <t>CHESTERFIELDS HEALTH CARE CENTER</t>
  </si>
  <si>
    <t>GLEN HILL REHABILITATION &amp; NURSING CENTER</t>
  </si>
  <si>
    <t>CAROLTON CHRONIC &amp; CONV HOSP,</t>
  </si>
  <si>
    <t>APPLE REHAB FARMINGTON VALLEY</t>
  </si>
  <si>
    <t>HEWITT HEALTH &amp; REHABILITATION CENTER, INC</t>
  </si>
  <si>
    <t>BLAIR MANOR</t>
  </si>
  <si>
    <t>SKYVIEW CENTER</t>
  </si>
  <si>
    <t>BIRMINGHAM HEALTH CENTER</t>
  </si>
  <si>
    <t>SALMON BROOK CENTER</t>
  </si>
  <si>
    <t>CASSENA CARE AT STAMFORD</t>
  </si>
  <si>
    <t>AVERY NURSING HOME</t>
  </si>
  <si>
    <t>MILFORD HEALTH CARE CENTER INC</t>
  </si>
  <si>
    <t>REGALCARE AT GREENWICH</t>
  </si>
  <si>
    <t>APPLE REHAB SAYBROOK</t>
  </si>
  <si>
    <t>FILOSA, FOR NURSING &amp; REHABILITATION</t>
  </si>
  <si>
    <t>WESTVIEW NURSING CARE &amp; REHAB</t>
  </si>
  <si>
    <t>NORWICHTOWN REHABILITATION &amp; C</t>
  </si>
  <si>
    <t>HUGHES HEALTH AND REHABILITATION</t>
  </si>
  <si>
    <t>VILLA MARIA NURSING &amp; REHAB COMMUNITY, INC</t>
  </si>
  <si>
    <t>ST MARY HOME</t>
  </si>
  <si>
    <t>APPLE REHAB MIDDLETOWN</t>
  </si>
  <si>
    <t>GROVE MANOR NURSING HOME, INC</t>
  </si>
  <si>
    <t>MERIDIAN MANOR</t>
  </si>
  <si>
    <t>ASTORIA PARK</t>
  </si>
  <si>
    <t>REGALCARE AT TORRINGTON</t>
  </si>
  <si>
    <t>MIDDLESEX HEALTH CARE CENTER</t>
  </si>
  <si>
    <t>HEBREW HOME AND HOSPITAL INC</t>
  </si>
  <si>
    <t>WOLCOTT HALL NURSING CTR</t>
  </si>
  <si>
    <t>GREENTREE MANOR NURSING &amp; REHA</t>
  </si>
  <si>
    <t>WITHERELL, NATHANIEL</t>
  </si>
  <si>
    <t>MASONICARE HEALTH CENTER</t>
  </si>
  <si>
    <t>BLOOMFIELD HEALTH CARE CENTER</t>
  </si>
  <si>
    <t>APPLE REHAB GUILFORD</t>
  </si>
  <si>
    <t>MIDDLEBURY CONVALESCENT HOME</t>
  </si>
  <si>
    <t>SMITH HOUSE SNF</t>
  </si>
  <si>
    <t>NEW LONDON REHAB &amp; CARE OF WATERFORD</t>
  </si>
  <si>
    <t>CASSENA CARE AT NORWALK</t>
  </si>
  <si>
    <t>BISHOP WICKE HEALTH &amp; REHAB CT</t>
  </si>
  <si>
    <t>APPLE REHAB WATERTOWN</t>
  </si>
  <si>
    <t>GRANDVIEW REHABILITATION AND HEALTHCARE CENTER</t>
  </si>
  <si>
    <t>FOX HILL CENTER</t>
  </si>
  <si>
    <t>CASSENA CARE AT NEW BRITAIN</t>
  </si>
  <si>
    <t>MERIDEN CENTER</t>
  </si>
  <si>
    <t>PARKWAY PAVILION HEALTH AND REHABILITATION CENTER</t>
  </si>
  <si>
    <t>CROSSINGS EAST HEALTH AND REHABILITATION CENTER</t>
  </si>
  <si>
    <t>VILLAGE GREEN OF BRISTOL REHAB &amp; HEALTH CENTER</t>
  </si>
  <si>
    <t>FAIRVIEW HEALTHCARE CENTER OF FAIRFIELD</t>
  </si>
  <si>
    <t>REGALCARE AT WEST HAVEN</t>
  </si>
  <si>
    <t>GEER NURSING AND REHABILITATIO</t>
  </si>
  <si>
    <t>TORRINGTON HEALTH &amp; REHABILITATION CENTER</t>
  </si>
  <si>
    <t>WESTFIELD CARE &amp; REHAB CENTER</t>
  </si>
  <si>
    <t>GREENSPRINGS HEALTHCARE AND REHABILITATION</t>
  </si>
  <si>
    <t>REGALCARE AT PROSPECT</t>
  </si>
  <si>
    <t>VILLAGE CREST CENTER FOR HEALTH &amp; REHABILITATION</t>
  </si>
  <si>
    <t>WATERBURY GARDENS NURSING AND REHAB</t>
  </si>
  <si>
    <t>APPLE REHAB ROCKY HILL</t>
  </si>
  <si>
    <t>GOLDEN HILL REHAB PAVILION</t>
  </si>
  <si>
    <t>PORTLAND CARE &amp; REHAB CENTER,</t>
  </si>
  <si>
    <t>MCLEAN HEALTH CENTER</t>
  </si>
  <si>
    <t>REGALCARE AT WATERBURY</t>
  </si>
  <si>
    <t>PINES AT BRISTOL FOR NURSING &amp; REHABILITATION, THE</t>
  </si>
  <si>
    <t>CHESHIRE REGIONAL REHAB CENTER</t>
  </si>
  <si>
    <t>ARDEN HOUSE</t>
  </si>
  <si>
    <t>LEDGECREST HEALTH CARE</t>
  </si>
  <si>
    <t>APPLE REHAB COLCHESTER</t>
  </si>
  <si>
    <t>COBALT LODGE HEALTH CARE &amp; REH</t>
  </si>
  <si>
    <t>VILLAGE GREEN OF WALLINGFORD REHAB &amp; HEALTH CENTER</t>
  </si>
  <si>
    <t>GUILFORD HOUSE, THE</t>
  </si>
  <si>
    <t>NOBLE HORIZONS</t>
  </si>
  <si>
    <t>KIMBERLY HALL-SOUTH CENTER</t>
  </si>
  <si>
    <t>MAPLE VIEW MANOR</t>
  </si>
  <si>
    <t>ELLIS MANOR</t>
  </si>
  <si>
    <t>GLENDALE CENTER</t>
  </si>
  <si>
    <t>RIVER GLEN HEALTH CARE CTR</t>
  </si>
  <si>
    <t>PIERCE MEM BAPTIST HOME</t>
  </si>
  <si>
    <t>AVON HEALTH CENTER</t>
  </si>
  <si>
    <t>WHITNEY REHABILITATION CARE CENTER</t>
  </si>
  <si>
    <t>PARK PLACE HEALTH CENTER</t>
  </si>
  <si>
    <t>TOUCHPOINTS AT FARMINGTON</t>
  </si>
  <si>
    <t>WESTSIDE CARE CENTER</t>
  </si>
  <si>
    <t>HARRINGTON COURT</t>
  </si>
  <si>
    <t>RIVERSIDE HEALTH &amp; REHABILITAT</t>
  </si>
  <si>
    <t>DOUGLAS MANOR</t>
  </si>
  <si>
    <t>REGENCY HOUSE NURSING AND REHABILITATION CENTER</t>
  </si>
  <si>
    <t>AUTUMN LAKE HEALTHCARE AT CROMWELL</t>
  </si>
  <si>
    <t>TOUCHPOINTS AT BLOOMFIELD</t>
  </si>
  <si>
    <t>ELIM PARK BAPTIST HOME, INC</t>
  </si>
  <si>
    <t>CROSSINGS WEST HEALTH AND REHABILITATION CENTER</t>
  </si>
  <si>
    <t>TRINITY HILL CARE CENTER</t>
  </si>
  <si>
    <t>GROTON REGENCY CENTER</t>
  </si>
  <si>
    <t>MYSTIC HEALTHCARE &amp; REHABILITATION CENTER, LLC</t>
  </si>
  <si>
    <t>ST JOSEPH'S RESIDENCE</t>
  </si>
  <si>
    <t>WESTERN REHABILITATION CARE CENTER</t>
  </si>
  <si>
    <t>GRIMES CENTER</t>
  </si>
  <si>
    <t>WEST HARTFORD HEALTH &amp; REHABILITATION CENTER</t>
  </si>
  <si>
    <t>KIMBERLY HALL NORTH</t>
  </si>
  <si>
    <t>WESTPORT REHABILITATION COMPLEX</t>
  </si>
  <si>
    <t>WOLCOTT VIEW MANOR</t>
  </si>
  <si>
    <t>NEWINGTON RAPID RECOVERY REHAB CENTER</t>
  </si>
  <si>
    <t>FAIRVIEW</t>
  </si>
  <si>
    <t>WHITNEY CENTER</t>
  </si>
  <si>
    <t>ALEXANDRIA MANOR</t>
  </si>
  <si>
    <t>AUTUMN LAKE HEALTHCARE AT NEW BRITAIN</t>
  </si>
  <si>
    <t>JEFFERSON HOUSE</t>
  </si>
  <si>
    <t>TALMADGE PARK HEALTHCARE</t>
  </si>
  <si>
    <t>MILLER MEMORIAL COMMUNITY</t>
  </si>
  <si>
    <t>BRANFORD HILLS HEALTHCARE CTR</t>
  </si>
  <si>
    <t>CHELSEA PLACE CARE CENTER</t>
  </si>
  <si>
    <t>APPLE REHAB SHELTON LAKES</t>
  </si>
  <si>
    <t>CALEB HITCHCOCK HEALTH CARE CE</t>
  </si>
  <si>
    <t>PILGRIM MANOR</t>
  </si>
  <si>
    <t>CHESTELM HEALTH CARE</t>
  </si>
  <si>
    <t>GREENWICH WOODS REHABILITATION</t>
  </si>
  <si>
    <t>COLONIAL HEALTH &amp; REHAB CENTER OF PLAINFIELD LLC</t>
  </si>
  <si>
    <t>WADSWORTH GLEN HEALTH CARE CEN</t>
  </si>
  <si>
    <t>GLADEVIEW HEALTH CARE CENTER</t>
  </si>
  <si>
    <t>TOUCHPOINTS AT MANCHESTER</t>
  </si>
  <si>
    <t>GLASTONBURY HEALTH CARE CENTER</t>
  </si>
  <si>
    <t>WILTON MEADOWS HEALTH CARE CEN</t>
  </si>
  <si>
    <t>POMPERAUG WOODS HEALTH CENTER</t>
  </si>
  <si>
    <t>LITCHFIELD WOODS HEALTH CARE C</t>
  </si>
  <si>
    <t>ST CAMILLUS REHABILITATION &amp; NURSING CENTER</t>
  </si>
  <si>
    <t>ST JOSEPHS LIVING CENTER</t>
  </si>
  <si>
    <t>ESSEX MEADOWS HEALTH CENTER</t>
  </si>
  <si>
    <t>CAMBRIDGE HEALTH AND REHABILITATION CENTER</t>
  </si>
  <si>
    <t>BAYVIEW HEALTH CARE</t>
  </si>
  <si>
    <t>MARY WADE HOME, INC</t>
  </si>
  <si>
    <t>EVERGREEN HEALTH CARE CENTER</t>
  </si>
  <si>
    <t>APPLE REHAB MYSTIC</t>
  </si>
  <si>
    <t>WATROUS NURSING CENTER</t>
  </si>
  <si>
    <t>INGRAHAM MANOR</t>
  </si>
  <si>
    <t>LUDLOWE CENTER FOR HEALTH &amp; REHABILITATION, LLC</t>
  </si>
  <si>
    <t>WILLOWS REHABILITATION &amp; NURSING CENTER</t>
  </si>
  <si>
    <t>VALERIE MANOR</t>
  </si>
  <si>
    <t>MANCHESTER MANOR</t>
  </si>
  <si>
    <t>VERNON MANOR HEALTH CARE CENTER</t>
  </si>
  <si>
    <t>BEECHWOOD</t>
  </si>
  <si>
    <t>SOUTHINGTON CARE CENTER</t>
  </si>
  <si>
    <t>SILVER SPRINGS CARE CENTER</t>
  </si>
  <si>
    <t>GOVERNOR'S HOUSE REHABILITATION &amp; NURSING CENTER</t>
  </si>
  <si>
    <t>LORD CHAMBERLAIN NURSING &amp; REHABILITATION CENTER</t>
  </si>
  <si>
    <t>WATERTOWN CONVALARIUM, INC</t>
  </si>
  <si>
    <t>PENDLETON HEALTH &amp; REHABILITATION CENTER</t>
  </si>
  <si>
    <t>JEROME HOME</t>
  </si>
  <si>
    <t>APPLE REHAB COCCOMO</t>
  </si>
  <si>
    <t>ROSE HAVEN, LTD</t>
  </si>
  <si>
    <t>SUFFIELD HOUSE, THE</t>
  </si>
  <si>
    <t>ADVANCED NURSING &amp; REHAB CENTER OF NEW HAVEN</t>
  </si>
  <si>
    <t>COOK WILLOW CONVALESCENT HOSPI</t>
  </si>
  <si>
    <t>SHERIDEN WOODS</t>
  </si>
  <si>
    <t>ABBOTT TERR HEALTH CTR</t>
  </si>
  <si>
    <t>CONNECTICUT BAPTIST HOMES, INC</t>
  </si>
  <si>
    <t>JEWISH HM FOR THE ELDERLY FAIR</t>
  </si>
  <si>
    <t>SAINT JOHN PAUL I I CENTER</t>
  </si>
  <si>
    <t>MASONICARE AT NEWTOWN, INC</t>
  </si>
  <si>
    <t>NOTRE DAME CONVALESCENT HOME I</t>
  </si>
  <si>
    <t>BICKFORD HEALTH CARE CENTER</t>
  </si>
  <si>
    <t>FRESH RIVER HEALTHCARE</t>
  </si>
  <si>
    <t>WAVENY CARE CENTER</t>
  </si>
  <si>
    <t>EVERGREEN WOODS</t>
  </si>
  <si>
    <t>CURTIS HOME - ST ELIZABETH CEN</t>
  </si>
  <si>
    <t>HAMDEN REHABILITATION &amp; HEALTH CARE CENTER</t>
  </si>
  <si>
    <t>MEADOWBROOK OF GRANBY</t>
  </si>
  <si>
    <t>GARDNER HEIGHTS HEALTH CARE CENTER, INC</t>
  </si>
  <si>
    <t>BRIDGEPORT MANOR</t>
  </si>
  <si>
    <t>BRIDGEPORT HEALTH CARE CENTER</t>
  </si>
  <si>
    <t>LUTHERAN HOME OF SOUTHBURY INC</t>
  </si>
  <si>
    <t>CHESHIRE HOUSE HEALTH CARE FAC</t>
  </si>
  <si>
    <t>MONSIGNOR BOJNOWSKI MANOR</t>
  </si>
  <si>
    <t>BRIDE BROOK HEALTH &amp; REHABILITATION CENTER</t>
  </si>
  <si>
    <t>WEST RIVER REHAB CENTER</t>
  </si>
  <si>
    <t>ALZHEIMERS RESOURCE CENTER OF CONNECTICUT</t>
  </si>
  <si>
    <t>SHARON HEALTH CARE CENTER</t>
  </si>
  <si>
    <t>APPLE REHAB CROMWELL</t>
  </si>
  <si>
    <t>WATER'S EDGE CENTER FOR HEALTH &amp; REHAB</t>
  </si>
  <si>
    <t>WOODLAKE AT TOLLAND</t>
  </si>
  <si>
    <t>SEABURY RETIREMENT COMMUNITY</t>
  </si>
  <si>
    <t>MARLBOROUGH HEALTH CARE CENTER</t>
  </si>
  <si>
    <t>SHADY KNOLL</t>
  </si>
  <si>
    <t>AUTUMN LAKE HEALTHCARE AT NORWALK</t>
  </si>
  <si>
    <t>APPLE REHAB AVON</t>
  </si>
  <si>
    <t>APPLE REHAB LAUREL WOODS</t>
  </si>
  <si>
    <t>BEACON BROOK HEALTH CENTER</t>
  </si>
  <si>
    <t>KENT, LTD, THE</t>
  </si>
  <si>
    <t>BEL AIR MANOR</t>
  </si>
  <si>
    <t>LONG RIDGE POST-ACUTE CARE</t>
  </si>
  <si>
    <t>LAUREL RIDGE HEALTH CARE CENTE</t>
  </si>
  <si>
    <t>CHERRY BROOK HEALTH CARE CENTE</t>
  </si>
  <si>
    <t>REGALCARE AT NEW HAVEN</t>
  </si>
  <si>
    <t>ROSEGARDEN HEALTH &amp; REHAB CENTER, THE</t>
  </si>
  <si>
    <t>BETHEL HEALTH CARE CENTER</t>
  </si>
  <si>
    <t>MANSFIELD CENTER FOR NURSING AND REHABILITATION</t>
  </si>
  <si>
    <t>APPLE REHAB WEST HAVEN</t>
  </si>
  <si>
    <t>MAEFAIR HEALTH CARE CENTER</t>
  </si>
  <si>
    <t>MADISON HOUSE</t>
  </si>
  <si>
    <t>THE RESERVOIR</t>
  </si>
  <si>
    <t>LEEWAY, INC</t>
  </si>
  <si>
    <t>AARON MANOR NURSING &amp; REHABILITATION</t>
  </si>
  <si>
    <t>MATULAITIS NURSING HOME</t>
  </si>
  <si>
    <t>LORD CHAMBERLAIN MANOR</t>
  </si>
  <si>
    <t>NORTHBRIDGE HEALTH CARE CENTER</t>
  </si>
  <si>
    <t>HANCOCK HALL</t>
  </si>
  <si>
    <t>COUNTRYSIDE MANOR OF BRISTOL</t>
  </si>
  <si>
    <t>CANDLEWOOD VALLEY HEALTH &amp; REHABILITATION CENTER</t>
  </si>
  <si>
    <t>THREE RIVERS</t>
  </si>
  <si>
    <t>AUTUMN LAKE HEALTHCARE AT BUCKS HILL</t>
  </si>
  <si>
    <t>AMBERWOODS OF FARMINGTON</t>
  </si>
  <si>
    <t>SUMMIT AT PLANTSVILLE, THE</t>
  </si>
  <si>
    <t>EDGEHILL HEALTH CENTER</t>
  </si>
  <si>
    <t>PARADIGM HEALTHCARE CENTER OF SOUTH WINDSOR</t>
  </si>
  <si>
    <t>DAVIS PLACE</t>
  </si>
  <si>
    <t>VANDERMAN PLACE</t>
  </si>
  <si>
    <t>LOURDES HEALTH CARE CENTER, IN</t>
  </si>
  <si>
    <t>MEADOW RIDGE</t>
  </si>
  <si>
    <t>MARSHALL LANE MANOR</t>
  </si>
  <si>
    <t>TWIN MAPLES HEALTHCARE, INC</t>
  </si>
  <si>
    <t>MATTATUCK HEALTH CARE FAC</t>
  </si>
  <si>
    <t>ORANGE HEALTH CARE CENTER</t>
  </si>
  <si>
    <t>TOUCHPOINTS AT CHESTNUT</t>
  </si>
  <si>
    <t>AVALON HEALTH CARE CENTER AT STONERIDGE</t>
  </si>
  <si>
    <t>ORCHARD GROVE SPECIALTY CARE CENTER, LLC</t>
  </si>
  <si>
    <t>BRADLEY HOME &amp; PAVILLION, THE</t>
  </si>
  <si>
    <t>SPRINGS AT WATERMARK 3030 PARK, THE</t>
  </si>
  <si>
    <t>SPRINGS AT WATERMARK, EAST HILL, THE</t>
  </si>
  <si>
    <t>KENTMERE REHABILITATION AND HEALTHCARE CENTER</t>
  </si>
  <si>
    <t>PARKVIEW NURSING</t>
  </si>
  <si>
    <t>WILLOWBROOKE COURT AT COUNTRY HOUSE</t>
  </si>
  <si>
    <t>BRANDYWINE NURSING &amp; REHABILITATION CENTER</t>
  </si>
  <si>
    <t>REGAL HEIGHTS HEALTHCARE &amp; REHAB CENTER</t>
  </si>
  <si>
    <t>WILLOWBROOKE COURT AT MANOR HOUSE</t>
  </si>
  <si>
    <t>MILFORD CENTER</t>
  </si>
  <si>
    <t>REGENCY HEALTHCARE &amp; REHAB CENTER</t>
  </si>
  <si>
    <t>HILLSIDE CENTER</t>
  </si>
  <si>
    <t>SEAFORD CENTER</t>
  </si>
  <si>
    <t>WILLOWBROOKE COURT AT COKESBURY VILLAGE</t>
  </si>
  <si>
    <t>COURTLAND MANOR</t>
  </si>
  <si>
    <t>PINNACLE REHABILITATION &amp; HEALTH CENTER</t>
  </si>
  <si>
    <t>MILLCROFT</t>
  </si>
  <si>
    <t>CHURCHMAN VILLAGE</t>
  </si>
  <si>
    <t>STONEGATES</t>
  </si>
  <si>
    <t>SILVER LAKE CENTER</t>
  </si>
  <si>
    <t>MANORCARE HEALTH SERVICES - WILMINGTON</t>
  </si>
  <si>
    <t>HARRISON SENIOR LIVING OF GEORGETOWN, LLC</t>
  </si>
  <si>
    <t>SHIPLEY MANOR</t>
  </si>
  <si>
    <t>WESTMINSTER VILLAGE HEALTH</t>
  </si>
  <si>
    <t>MANORCARE HEALTH  SERVICES - PIKE CREEK</t>
  </si>
  <si>
    <t>HARBOR HEALTHCARE &amp; REHAB CTR</t>
  </si>
  <si>
    <t>DELAWARE HOSPITAL F/T CHRONICALLY ILL (DHCI)</t>
  </si>
  <si>
    <t>FORWOOD MANOR</t>
  </si>
  <si>
    <t>ATLANTIC SHORES REHABILITATION &amp; HEALTH CENTER</t>
  </si>
  <si>
    <t>NEW CASTLE HEALTH AND REHABILITATION CENTER</t>
  </si>
  <si>
    <t>LOFLAND PARK CENTER</t>
  </si>
  <si>
    <t>DELMAR NURSING &amp; REHABILITATION CENTER</t>
  </si>
  <si>
    <t>BRACKENVILLE CENTER</t>
  </si>
  <si>
    <t>MILTON &amp; HATTIE KUTZ HOME</t>
  </si>
  <si>
    <t>GILPIN HALL</t>
  </si>
  <si>
    <t>CADIA REHABILITATION CAPITOL</t>
  </si>
  <si>
    <t>CADIA REHABILITATION BROADMEADOW</t>
  </si>
  <si>
    <t>DELAWARE VETERANS HOME</t>
  </si>
  <si>
    <t>CADIA REHABILITATION RENAISSANCE</t>
  </si>
  <si>
    <t>CADBURY AT LEWES</t>
  </si>
  <si>
    <t>CADIA REHABILITATION PIKE CREEK</t>
  </si>
  <si>
    <t>WESTON SENIOR LIVING CENTER AT HIGHFIELD</t>
  </si>
  <si>
    <t>CADIA REHABILITATION SILVERSIDE</t>
  </si>
  <si>
    <t>THE WASHINGTON HOME</t>
  </si>
  <si>
    <t>WASHINGTON CTR FOR AGING SVCS</t>
  </si>
  <si>
    <t>BRINTON WOODS HEALTH &amp; REHAB OF WASHINGTON DC</t>
  </si>
  <si>
    <t>DEANWOOD REHABILITATION AND WELLNESS CENTER</t>
  </si>
  <si>
    <t>STODDARD BAPTIST NURSING HOME</t>
  </si>
  <si>
    <t>HEALTH &amp; REHABILITATION  CENTER AT THOMAS CIRCLE</t>
  </si>
  <si>
    <t>TRANSITIONS HEALTHCARE CAPITOL CITY</t>
  </si>
  <si>
    <t>BRIDGEPOINT SUBACUTE AND REHABILITATION HADLEY</t>
  </si>
  <si>
    <t>LISNER LOUISE DICKSON HURTHOME</t>
  </si>
  <si>
    <t>KNOLLWOOD HSC</t>
  </si>
  <si>
    <t>BRIDGEPOINT SUB-ACUTE AND REHAB CAPITOL HILL</t>
  </si>
  <si>
    <t>INGLESIDE AT ROCK CREEK</t>
  </si>
  <si>
    <t>SIBLEY MEM HOSP RENAISSANCE</t>
  </si>
  <si>
    <t>BRINTON WOODS HEALTH &amp; REHAB CENTER AT DUPONT CIRC</t>
  </si>
  <si>
    <t>CARROLL MANOR NURSING &amp; REHAB</t>
  </si>
  <si>
    <t>UNIQUE RESIDENTIAL CARE CENTER</t>
  </si>
  <si>
    <t>FOREST HILLS OF DC</t>
  </si>
  <si>
    <t>UNITED MEDICAL NURSING HOME</t>
  </si>
  <si>
    <t>JAY HOSPITAL</t>
  </si>
  <si>
    <t>HEALTHMARK REGIONAL MEDICAL CENTER</t>
  </si>
  <si>
    <t>DOCTOR'S MEMORIAL HOSPITAL INC</t>
  </si>
  <si>
    <t>JACKSON HOSPITAL</t>
  </si>
  <si>
    <t>SACRED HEART HOSPITAL ON THE GULF</t>
  </si>
  <si>
    <t>LAKE EUSTIS HEALTH AND REHABILITATION CENTER</t>
  </si>
  <si>
    <t>SANDALWOOD NURSING CENTER</t>
  </si>
  <si>
    <t>CORAL GABLES NURSING AND REHABILITATION CENTER</t>
  </si>
  <si>
    <t>ARCH PLAZA NURSING &amp; REHABILITATION CENTER</t>
  </si>
  <si>
    <t>GOLFCREST HEALTHCARE CENTER</t>
  </si>
  <si>
    <t>HEALTH AND REHABILITATION CENTRE AT DOLPHINS VIEW</t>
  </si>
  <si>
    <t>RIVER GARDEN HEBREW HOME FOR THE AGED</t>
  </si>
  <si>
    <t>REHABILITATION CENTER AT HOLLYWOOD HILLS, LLC</t>
  </si>
  <si>
    <t>COMMUNITY CONVALESCENT CENTER</t>
  </si>
  <si>
    <t>MIAMI JEWISH HEALTH SYSTEMS, INC</t>
  </si>
  <si>
    <t>PALMS OF SEBRING, THE</t>
  </si>
  <si>
    <t>OCEAN VIEW NURSING &amp; REHABILITATION CENTER, LLC</t>
  </si>
  <si>
    <t>REHABILITATION CENTER OF THE PALM BEACHES,THE</t>
  </si>
  <si>
    <t>BRADEN RIVER REHABILITATION CENTER LLC</t>
  </si>
  <si>
    <t>JUPITER MEDICAL CENTER PAVILION INC</t>
  </si>
  <si>
    <t>SHORE ACRES CARE CENTER</t>
  </si>
  <si>
    <t>SEASIDE HEALTH AND REHABILITATION CENTER</t>
  </si>
  <si>
    <t>PINES NURSING HOME</t>
  </si>
  <si>
    <t>BOULEVARD REHABILITATION CENTER</t>
  </si>
  <si>
    <t>BAYSIDE REHABILITATION AND HEALTH CENTER</t>
  </si>
  <si>
    <t>LEXINGTON HEALTH AND REHABILITATION CENTER</t>
  </si>
  <si>
    <t>BROWARD NURSING &amp; REHABILITATION CENTER</t>
  </si>
  <si>
    <t>MANOR PINES CONVALESCENT CENTER</t>
  </si>
  <si>
    <t>FOUNTAINS NURSING HOME INC, THE</t>
  </si>
  <si>
    <t>SOUTH HERITAGE HEALTH &amp; REHABILITATION CENTER</t>
  </si>
  <si>
    <t>WILTON MANORS HEALTH &amp; REHABILITATION CENTER</t>
  </si>
  <si>
    <t>KRYSTAL BAY NURSING AND REHABILITATION</t>
  </si>
  <si>
    <t>TERRACES OF LAKE WORTH REHABILITATION AND HEALTH C</t>
  </si>
  <si>
    <t>MORTON PLANT REHABILITATION CENTER</t>
  </si>
  <si>
    <t>LAKESIDE OAKS CARE CENTER</t>
  </si>
  <si>
    <t>RIVERWOOD CENTER</t>
  </si>
  <si>
    <t>SUMMER BROOK HEALTH CARE CENTER</t>
  </si>
  <si>
    <t>ACCENTIA HEALTH AND REHABILITATION CENTER OF TAMPA</t>
  </si>
  <si>
    <t>PARKSIDE HEALTH AND REHABILITATION CENTER</t>
  </si>
  <si>
    <t>BOYNTON HEALTH CARE CENTER</t>
  </si>
  <si>
    <t>PINES OF SARASOTA</t>
  </si>
  <si>
    <t>EMERALD SHORES HEALTH AND REHABILITATION</t>
  </si>
  <si>
    <t>NORTH REHABILITATION CENTER</t>
  </si>
  <si>
    <t>PANAMA CITY HEALTH AND REHABILITATION CENTER</t>
  </si>
  <si>
    <t>PINECREST REHABILITATION CENTER</t>
  </si>
  <si>
    <t>SARASOTA HEALTH AND REHABILITATION CENTER</t>
  </si>
  <si>
    <t>TALLAHASSEE MEMORIAL HOSPITAL EXTENDED CARE</t>
  </si>
  <si>
    <t>GREENBRIAR REHABILITATION AND NURSING CENTER</t>
  </si>
  <si>
    <t>MADISON POINTE REHABILITATION AND HEALTH CENTER</t>
  </si>
  <si>
    <t>FOUNTAIN MANOR HEALTH &amp; REHABILITATION CENTER</t>
  </si>
  <si>
    <t>PLANTATION NURSING &amp; REHABILITATION CENTER</t>
  </si>
  <si>
    <t>WINTER HAVEN HEALTH AND REHABILITATION CENTER</t>
  </si>
  <si>
    <t>HERITAGE HEALTHCARE &amp; REHABILITATION CENTER</t>
  </si>
  <si>
    <t>CRESTVIEW REHABILITATION CENTER, LLC</t>
  </si>
  <si>
    <t>PARK MEADOWS HEALTH AND REHABILITATION CENTER</t>
  </si>
  <si>
    <t>THE LODGE HEALTH AND REHABILITATION CENTER</t>
  </si>
  <si>
    <t>APOLLO HEALTH AND REHABILITATION CENTER</t>
  </si>
  <si>
    <t>MANOR OAKS NURSING &amp; REHABILITATION CENTER</t>
  </si>
  <si>
    <t>WAVE CREST HEALTH AND REHABILITATION CENTER</t>
  </si>
  <si>
    <t>W FRANK WELLS NURSING HOME</t>
  </si>
  <si>
    <t>NORTH BEACH REHABILITATION CENTER</t>
  </si>
  <si>
    <t>BOCA RATON REHABILITATION CENTER</t>
  </si>
  <si>
    <t>HARMONY HEALTH CENTER</t>
  </si>
  <si>
    <t>LAURELLWOOD NURSING CENTER</t>
  </si>
  <si>
    <t>SOUTH POINTE PLAZA REHABILITATION AND NURSING CENT</t>
  </si>
  <si>
    <t>VILLA MARIA NURSING CENTER</t>
  </si>
  <si>
    <t>REHABILITATION AND HEALTHCARE CENTER OF TAMPA</t>
  </si>
  <si>
    <t>WEST BROWARD REHABILITATION AND HEALTHCARE</t>
  </si>
  <si>
    <t>HERITAGE PARK REHABILITATION AND HEALTHCARE</t>
  </si>
  <si>
    <t>OAK MANOR HEALTHCARE &amp; REHABILITATION CENTER</t>
  </si>
  <si>
    <t>HUNTINGTON PLACE</t>
  </si>
  <si>
    <t>ROCKLEDGE HEALTH AND REHABILITATION CENTER</t>
  </si>
  <si>
    <t>JACKSON MEMORIAL PERDUE MEDICAL CENTER</t>
  </si>
  <si>
    <t>JOHN KNOX VILLAGE HEALTH CENTER-POMPANO BEACH</t>
  </si>
  <si>
    <t>FORT PIERCE HEALTH CARE</t>
  </si>
  <si>
    <t>SEAVIEW NURSING AND REHABILITATION CENTER</t>
  </si>
  <si>
    <t>MEDICANA NURSING AND REHAB CENTER</t>
  </si>
  <si>
    <t>UNIVERSITY CENTER WEST</t>
  </si>
  <si>
    <t>UNIVERSITY CENTER EAST</t>
  </si>
  <si>
    <t>EMERALD COAST CENTER</t>
  </si>
  <si>
    <t>BAYSIDE HEALTH AND REHABILITATION CENTER</t>
  </si>
  <si>
    <t>LAKESIDE HEALTH CENTER</t>
  </si>
  <si>
    <t>GROVES CENTER</t>
  </si>
  <si>
    <t>BOCA CIEGA CENTER</t>
  </si>
  <si>
    <t>CLEARWATER CENTER</t>
  </si>
  <si>
    <t>SOUTHERN PINES HEALTHCARE CENTER</t>
  </si>
  <si>
    <t>STUART NURSING &amp; RESTORATIVE CARE CENTER</t>
  </si>
  <si>
    <t>TARPON BAYOU CENTER</t>
  </si>
  <si>
    <t>EDEN SPRINGS NURSING AND REHAB CENTER</t>
  </si>
  <si>
    <t>LAKELAND HILLS CENTER</t>
  </si>
  <si>
    <t>BAY CENTER</t>
  </si>
  <si>
    <t>BARTOW CENTER</t>
  </si>
  <si>
    <t>SIGNATURE HEALTHCARE OF JACKSONVILLE</t>
  </si>
  <si>
    <t>LIFE CARE CENTER OF PUNTA GORDA</t>
  </si>
  <si>
    <t>LIFE CARE CENTER OF MELBOURNE</t>
  </si>
  <si>
    <t>EAGLE LAKE NURSING AND REHAB CARE CENTER</t>
  </si>
  <si>
    <t>EGRET COVE CENTER</t>
  </si>
  <si>
    <t>FORT WALTON REHABILITATION CENTER, LLC</t>
  </si>
  <si>
    <t>CROSS POINTE CARE CENTER</t>
  </si>
  <si>
    <t>BROOKSVILLE HEALTHCARE CENTER</t>
  </si>
  <si>
    <t>FT LAUDERDALE HEALTH &amp; REHABILITATION CENTER</t>
  </si>
  <si>
    <t>WHISPERING OAKS</t>
  </si>
  <si>
    <t>TERRACE AT HOBE SOUND, THE</t>
  </si>
  <si>
    <t>VALENCIA HILLS HEALTH AND REHABILITATION CENTER</t>
  </si>
  <si>
    <t>AUBURNDALE OAKS CARE AND REHABILITATION CENTER</t>
  </si>
  <si>
    <t>AVANTE AT LEESBURG, INC</t>
  </si>
  <si>
    <t>FAIRWAY OAKS CENTER</t>
  </si>
  <si>
    <t>MANOR CARE NURSING &amp; REHABILITATION CENTER</t>
  </si>
  <si>
    <t>AVANTE AT INVERNESS INC</t>
  </si>
  <si>
    <t>AVANTE AT ORMOND BEACH, INC</t>
  </si>
  <si>
    <t>DAYTONA BEACH HEALTH AND REHABILITATION CENTER</t>
  </si>
  <si>
    <t>ST AUGUSTINE HEALTH AND REHABILITATION CENTER</t>
  </si>
  <si>
    <t>CRYSTAL RIVER HEALTH AND REHABILITATION CENTER</t>
  </si>
  <si>
    <t>SUN TERRACE HEALTH CARE CENTER</t>
  </si>
  <si>
    <t>HERITAGE PARK HEALTH AND REHABILITATION CENTER</t>
  </si>
  <si>
    <t>OCALA HEALTH AND REHABILITATION CENTER</t>
  </si>
  <si>
    <t>OAKS OF CLEARWATER, THE</t>
  </si>
  <si>
    <t>BAYVIEW CENTER</t>
  </si>
  <si>
    <t>ISLAND HEALTH AND REHABILITATION CENTER</t>
  </si>
  <si>
    <t>CANTERBURY TOWERS INC</t>
  </si>
  <si>
    <t>CASA MORA REHABILITATION AND EXTENDED CARE</t>
  </si>
  <si>
    <t>SANTA ROSA HEALTH &amp; REHABILITATION CENTER</t>
  </si>
  <si>
    <t>OCEANSIDE EXTENDED CARE CENTER</t>
  </si>
  <si>
    <t>AVENTURA PLAZA REHABILITATION &amp; NURSING CENTER</t>
  </si>
  <si>
    <t>WINTER PARK CARE &amp; REHABILITATION CENTER</t>
  </si>
  <si>
    <t>AVANTE AT MT DORA, INC</t>
  </si>
  <si>
    <t>ABBEY DELRAY</t>
  </si>
  <si>
    <t>PALMS REHABILITATION AND NURSING CENTER</t>
  </si>
  <si>
    <t>REHAB &amp; HEALTHCARE CENTER OF CAPE CORAL</t>
  </si>
  <si>
    <t>HEATHER HILL HEALTHCARE CENTER</t>
  </si>
  <si>
    <t>AVALON HEALTHCARE CENTER</t>
  </si>
  <si>
    <t>ALLIANCE HEALTH AND REHABILITATION CENTER</t>
  </si>
  <si>
    <t>CROSS TERRACE REHABILITATION CENTER</t>
  </si>
  <si>
    <t>JOHN KNOX VILLAGE MED CENTER</t>
  </si>
  <si>
    <t>KENILWORTH CARE &amp; REHABILITATION CENTER</t>
  </si>
  <si>
    <t>FLORIDA LIVING NURSING CENTER</t>
  </si>
  <si>
    <t>LAKELAND NURSING &amp; REHABILITATION</t>
  </si>
  <si>
    <t>WILLOWBROOKE COURT AT ST ANDREWS</t>
  </si>
  <si>
    <t>FAIR HAVENS CENTER</t>
  </si>
  <si>
    <t>ST CATHERINE LABOURE MANOR, INC</t>
  </si>
  <si>
    <t>TAMARAC REHABILITATION AND HEALTH CENTER</t>
  </si>
  <si>
    <t>HARDEE MANOR HEALTHCARE CENTER</t>
  </si>
  <si>
    <t>SIGNATURE HEALTHCARE OF PORT CHARLOTTE</t>
  </si>
  <si>
    <t>SEVEN HILLS HEALTH &amp; REHABILITATION CENTER</t>
  </si>
  <si>
    <t>LIFE CARE CENTER OF ALTAMONTE SPRINGS</t>
  </si>
  <si>
    <t>HEARTLAND HEALTH CARE CENTER OF SOUTH JACKSONVILLE</t>
  </si>
  <si>
    <t>ST JOHNS NURSING CENTER</t>
  </si>
  <si>
    <t>AVANTE AT LAKE WORTH, INC.</t>
  </si>
  <si>
    <t>SUNSET POINT</t>
  </si>
  <si>
    <t>MAJESTIC OAKS</t>
  </si>
  <si>
    <t>SOUTH CAMPUS CARE CENTER</t>
  </si>
  <si>
    <t>WEST MELBOURNE HEALTH &amp; REHABILITATION CENTER</t>
  </si>
  <si>
    <t>LONGWOOD HEALTH AND REHABILITATION CENTER</t>
  </si>
  <si>
    <t>ST MARK VILLAGE</t>
  </si>
  <si>
    <t>OAKS OF KISSIMMEE HEALTH AND REHABILITATION CENTER</t>
  </si>
  <si>
    <t>SIGNATURE HEALTHCARE OF ORANGE PARK</t>
  </si>
  <si>
    <t>LAUREL POINTE CARE AND REHABILITATION CENTER</t>
  </si>
  <si>
    <t>CALUSA HARBOUR</t>
  </si>
  <si>
    <t>ROYAL OAK NURSING CENTER</t>
  </si>
  <si>
    <t>SIGNATURE HEALTHCARE AT COLLEGE PARK</t>
  </si>
  <si>
    <t>HEARTLAND HEALTH CARE CENTER - NORTH SARASOTA</t>
  </si>
  <si>
    <t>JACARANDA MANOR</t>
  </si>
  <si>
    <t>SEA BREEZE HEALTH CARE</t>
  </si>
  <si>
    <t>JACKSON MEMORIAL LONG TERM CARE CENTER</t>
  </si>
  <si>
    <t>BEAR CREEK NURSING CENTER</t>
  </si>
  <si>
    <t>BAY TREE CENTER</t>
  </si>
  <si>
    <t>WESTWOOD NURSING &amp; REHABILITATION CENTER</t>
  </si>
  <si>
    <t>CHATEAU AT MOORINGS PARK, THE</t>
  </si>
  <si>
    <t>TIERRA PINES CENTER</t>
  </si>
  <si>
    <t>ATLANTIC CARE AND REHABILITATION CENTER</t>
  </si>
  <si>
    <t>AYERS HEALTH AND REHABILITATION CENTER</t>
  </si>
  <si>
    <t>BRIDGEVIEW CENTER</t>
  </si>
  <si>
    <t>WATERFORD, THE</t>
  </si>
  <si>
    <t>SPRINGWOOD CENTER</t>
  </si>
  <si>
    <t>TREASURE ISLE CARE CENTER</t>
  </si>
  <si>
    <t>GOLFVIEW HEALTHCARE CENTER</t>
  </si>
  <si>
    <t>PORT ST LUCIE NURSING AND RESTORATIVE CARE CENTER</t>
  </si>
  <si>
    <t>ABBEY DELRAY SOUTH</t>
  </si>
  <si>
    <t>SEMINOLE PAVILION REHABILITATION &amp; NURSING SERVICE</t>
  </si>
  <si>
    <t>HERON POINTE HEALTH AND REHABILITATION</t>
  </si>
  <si>
    <t>BENEVA LAKES HEALTHCARE AND REHABILITATION CENTER</t>
  </si>
  <si>
    <t>HABANA HEALTH CARE CENTER</t>
  </si>
  <si>
    <t>WEST BAY OF TAMPA</t>
  </si>
  <si>
    <t>LOURDES-NOREEN MCKEEN RESIDENCE FOR GERIATRIC CARE</t>
  </si>
  <si>
    <t>MANORCARE NURSING AND REHABILITATION CENTER</t>
  </si>
  <si>
    <t>SIGNATURE HEALTHCARE OF PINELLAS PARK</t>
  </si>
  <si>
    <t>TERRACE OF JACKSONVILLE, THE</t>
  </si>
  <si>
    <t>WOODBRIDGE REHABILITATION AND HEALTH CENTER</t>
  </si>
  <si>
    <t>FORT MYERS REHABILITATION AND NURSING CENTER</t>
  </si>
  <si>
    <t>BRANDYWYNE HEALTH CARE CENTER</t>
  </si>
  <si>
    <t>FIRST COAST HEALTH &amp; REHABILITATION CENTER</t>
  </si>
  <si>
    <t>REHABILITATION CENTER OF WINTER PARK, THE</t>
  </si>
  <si>
    <t>COURTYARDS OF ORLANDO REHABILITATION AND HEALTH CE</t>
  </si>
  <si>
    <t>RIVERSIDE CARE CENTER</t>
  </si>
  <si>
    <t>HERITAGE HEALTHCARE CENTER AT TALLAHASSEE</t>
  </si>
  <si>
    <t>GAINESVILLE HEALTH CARE CENTER</t>
  </si>
  <si>
    <t>BRIDGE AT BAY ST JOE, THE</t>
  </si>
  <si>
    <t>MANORCARE HEALTH SERVICES DUNEDIN</t>
  </si>
  <si>
    <t>ORCHARD RIDGE</t>
  </si>
  <si>
    <t>LAKESIDE PAVILION</t>
  </si>
  <si>
    <t>COLONIAL LAKES HEALTH CARE</t>
  </si>
  <si>
    <t>SUNRISE HEALTH &amp; REHABILITATION CENTER</t>
  </si>
  <si>
    <t>HAINES CITY HEALTH CARE</t>
  </si>
  <si>
    <t>BAY BREEZE HEALTH AND REHABILITATION CENTER</t>
  </si>
  <si>
    <t>WILLOWBROOKE COURT AT AZALEA TRACE</t>
  </si>
  <si>
    <t>UNIVERSITY HILLS HEALTH AND REHABILITATION</t>
  </si>
  <si>
    <t>DELTONA HEALTH CARE</t>
  </si>
  <si>
    <t>TITUSVILLE REHABILITATION &amp; NURSING CENTER</t>
  </si>
  <si>
    <t>MIAMI SHORES NURSING AND REHAB CENTER</t>
  </si>
  <si>
    <t>PENINSULA CARE AND REHABILITATION CENTER</t>
  </si>
  <si>
    <t>ENGLEWOOD HEALTHCARE AND REHAB</t>
  </si>
  <si>
    <t>CLEARWATER CARE AND REHABILITATION CENTER</t>
  </si>
  <si>
    <t>MANORCARE HEALTH SERVICES SARASOTA</t>
  </si>
  <si>
    <t>LAKE PLACID HEALTH AND REHABILITATION CENTER</t>
  </si>
  <si>
    <t>SIGNATURE HEALTHCARE OF ORMOND</t>
  </si>
  <si>
    <t>CONSULATE HEALTH CARE OF NEW PORT RICHEY</t>
  </si>
  <si>
    <t>NORTH FLORIDA REHABILITATION AND SPECIALTY CARE</t>
  </si>
  <si>
    <t>HEALTH CENTER AT BRENTWOOD</t>
  </si>
  <si>
    <t>CLEWISTON NURSING &amp; REHABILITATION</t>
  </si>
  <si>
    <t>COURTENAY SPRINGS VILLAGE</t>
  </si>
  <si>
    <t>ANCHOR CARE AND REHABILITATION CENTER</t>
  </si>
  <si>
    <t>OAKHURST CENTER</t>
  </si>
  <si>
    <t>SIGNATURE HEALTHCARE OF PALM BEACH</t>
  </si>
  <si>
    <t>WILLISTON REHABILITATION AND NURSING CENTER</t>
  </si>
  <si>
    <t>PONCE THERAPY CARE CENTER, THE</t>
  </si>
  <si>
    <t>GOLDEN GLADES NURSING AND REHABILITATION CENTER</t>
  </si>
  <si>
    <t>QUALITY HEALTH OF FERNANDINA BEACH</t>
  </si>
  <si>
    <t>PARKS HEALTHCARE AND REHABILITATION CENTER</t>
  </si>
  <si>
    <t>VILLAGE ON THE ISLE</t>
  </si>
  <si>
    <t>RIVER VALLEY REHABILITATION CENTER</t>
  </si>
  <si>
    <t>CONSULATE HEALTH CARE OF VERO BEACH</t>
  </si>
  <si>
    <t>LAKE VIEW CARE CENTER AT DELRAY</t>
  </si>
  <si>
    <t>REGENTS PARK NURSING &amp; REHABILITATION CENTER</t>
  </si>
  <si>
    <t>BAY POINTE NURSING PAVILION</t>
  </si>
  <si>
    <t>ADVANCED CARE CENTER</t>
  </si>
  <si>
    <t>HEALTH CENTRAL PARK</t>
  </si>
  <si>
    <t>ROSEWOOD HEALTH AND REHABILITATION CENTER</t>
  </si>
  <si>
    <t>MANORCARE HEALTH SERVICES</t>
  </si>
  <si>
    <t>CONSULATE HEALTH CARE OF LAKELAND</t>
  </si>
  <si>
    <t>OKEECHOBEE HEALTH CARE FACILITY</t>
  </si>
  <si>
    <t>HAMLIN PLACE</t>
  </si>
  <si>
    <t>GRACEWOOD REHABILITATION AND NURSING CARE</t>
  </si>
  <si>
    <t>BAY BREEZE SENIOR LIVING AND REHABILITATION CENTER</t>
  </si>
  <si>
    <t>RIVERWOOD HEALTH &amp; REHABILITATION CENTER</t>
  </si>
  <si>
    <t>WILLOWBROOKE COURT AT EDGEWATER POINTE ESTATES</t>
  </si>
  <si>
    <t>SOUTH TAMPA HEALTH AND REHABILITATION CENTER</t>
  </si>
  <si>
    <t>CONSULATE HEALTH CARE OF WEST PALM BEACH</t>
  </si>
  <si>
    <t>ROYAL PALM BEACH HEALTH AND REHABILITATION CENTER</t>
  </si>
  <si>
    <t>HILLCREST HEALTH CARE AND REHABILITATION CENTER</t>
  </si>
  <si>
    <t>MANORCARE HEALTH SERVICES BOYNTON BEACH</t>
  </si>
  <si>
    <t>PINEBROOK CENTER</t>
  </si>
  <si>
    <t>SUSANNA WESLEY HEALTH CENTER</t>
  </si>
  <si>
    <t>MANORCARE AT LELY PALMS</t>
  </si>
  <si>
    <t>SOUTH DADE NURSING AND REHABILITATION CENTER</t>
  </si>
  <si>
    <t>NORTH DADE NURSING AND REHABILITATION CENTER</t>
  </si>
  <si>
    <t>PARK SUMMIT AT CORAL SPRINGS</t>
  </si>
  <si>
    <t>MARION AND BERNARD L SAMSON NURSING CENTER</t>
  </si>
  <si>
    <t>MARGATE HEALTH CARE CENTER</t>
  </si>
  <si>
    <t>WHITEHALL BOCA RATON</t>
  </si>
  <si>
    <t>CONSULATE HEALTH CARE OF NORTH FORT MYERS</t>
  </si>
  <si>
    <t>EAST RIDGE RETIREMENT VILLAGE INC</t>
  </si>
  <si>
    <t>SALERNO BAY MANOR</t>
  </si>
  <si>
    <t>UNITY HEALTH AND REHABILITATION CENTER</t>
  </si>
  <si>
    <t>HIALEAH SHORES NURSING AND REHAB CENTER</t>
  </si>
  <si>
    <t>CLERMONT HEALTH AND REHABILITATION CENTER</t>
  </si>
  <si>
    <t>CLARIDGE HOUSE NURSING &amp; REHABILITATION CENTER</t>
  </si>
  <si>
    <t>DEBARY HEALTH AND REHABILITATION CENTER</t>
  </si>
  <si>
    <t>SOLARIS HEALTHCARE PLANT CITY</t>
  </si>
  <si>
    <t>DARCY HALL OF LIFE CARE</t>
  </si>
  <si>
    <t>QUALITY HEALTH OF ORANGE COUNTY</t>
  </si>
  <si>
    <t>CONSULATE HEALTH CARE OF BRANDON</t>
  </si>
  <si>
    <t>AVANTE AT BOCA RATON, INC.</t>
  </si>
  <si>
    <t>LEHIGH ACRES HEALTH AND REHABILITATION CENTER</t>
  </si>
  <si>
    <t>QUALITY HEALTH OF NORTH PORT</t>
  </si>
  <si>
    <t>PORT CHARLOTTE REHABILITATION CENTER</t>
  </si>
  <si>
    <t>WOODS OF MANATEE SPRINGS, THE</t>
  </si>
  <si>
    <t>BISHOPS GLEN RETIREMENT CENTER</t>
  </si>
  <si>
    <t>TERRACE OF ST CLOUD, THE</t>
  </si>
  <si>
    <t>HERITAGE PARK CARE AND REHABILITATION CENTER</t>
  </si>
  <si>
    <t>VISTA MANOR</t>
  </si>
  <si>
    <t>SAN JOSE HEALTH AND REHABILITATION CENTER</t>
  </si>
  <si>
    <t>ARCADIA HEALTH &amp; REHABILITATION CENTER</t>
  </si>
  <si>
    <t>REGENTS PARK OF JACKSONVILLE</t>
  </si>
  <si>
    <t>SPRINGS AT BOCA CIEGA BAY</t>
  </si>
  <si>
    <t>HARBOUR HEALTH CENTER</t>
  </si>
  <si>
    <t>HEALTHCARE AND REHAB OF SANFORD</t>
  </si>
  <si>
    <t>HOMESTEAD MANOR A PALACE COMMUNITY</t>
  </si>
  <si>
    <t>ST ANDREWS BAY SKILLED NURSING AND REHABILITATION</t>
  </si>
  <si>
    <t>SOLARIS HEALTHCARE BAYONET POINT</t>
  </si>
  <si>
    <t>TERRA VISTA REHAB AND HEALTH CENTER</t>
  </si>
  <si>
    <t>FLAGLER HEALTH AND REHABILITATION CENTER</t>
  </si>
  <si>
    <t>MOULTRIE CREEK NURSING AND REHAB CENTER</t>
  </si>
  <si>
    <t>CONSULATE HEALTH CARE OF SAFETY HARBOR</t>
  </si>
  <si>
    <t>SIGNATURE HEALTHCARE OF BROOKWOOD GARDENS</t>
  </si>
  <si>
    <t>BAY VUE NURSING AND REHABILITATION CENTER</t>
  </si>
  <si>
    <t>SANDY RIDGE HEALTH AND REHABILITATION</t>
  </si>
  <si>
    <t>CARROLLWOOD CARE CENTER</t>
  </si>
  <si>
    <t>SIGNATURE HEALTHCARE CENTER OF WATERFORD</t>
  </si>
  <si>
    <t>REHABILITATION CENTER AT JUPITER GARDENS LLC</t>
  </si>
  <si>
    <t>VILLAGE ON THE GREEN</t>
  </si>
  <si>
    <t>RENAISSANCE HEALTH AND REHABILITATION</t>
  </si>
  <si>
    <t>GOOD SAMARITAN SOCIETY-KISSIMMEE VILLAGE</t>
  </si>
  <si>
    <t>ST ANNES NURSING CENTER, ST ANNES RESIDENCE INC</t>
  </si>
  <si>
    <t>SOLARIS HEALTHCARE PENSACOLA</t>
  </si>
  <si>
    <t>PALM GARDEN OF OCALA</t>
  </si>
  <si>
    <t>CENTRE POINTE HEALTH AND REHAB CENTER</t>
  </si>
  <si>
    <t>RIO PINAR HEALTH CARE</t>
  </si>
  <si>
    <t>COASTAL HEALTH AND REHABILITATION CENTER</t>
  </si>
  <si>
    <t>PALM GARDEN OF WINTER HAVEN</t>
  </si>
  <si>
    <t>SPRINGS AT LAKE POINTE WOODS</t>
  </si>
  <si>
    <t>WINDSOR WOODS REHAB AND HEALTHCARE CENTER</t>
  </si>
  <si>
    <t>INDIGO MANOR</t>
  </si>
  <si>
    <t>PALM GARDEN OF GAINESVILLE</t>
  </si>
  <si>
    <t>POMPANO HEALTH AND REHABILITATION CENTER</t>
  </si>
  <si>
    <t>PALM GARDEN OF LARGO</t>
  </si>
  <si>
    <t>PALMETTO REHABILITATION AND HEALTH CENTER</t>
  </si>
  <si>
    <t>PALM GARDEN OF ORLANDO</t>
  </si>
  <si>
    <t>HARBOR BEACH NURSING AND REHABILITATION CENTER</t>
  </si>
  <si>
    <t>EMERALD HEALTH CARE CENTER</t>
  </si>
  <si>
    <t>CARLTON SHORES HEALTH AND REHABILITATION CENTER</t>
  </si>
  <si>
    <t>PALM GARDEN OF CLEARWATER</t>
  </si>
  <si>
    <t>SARASOTA MEMORIAL NURSING AND REHABILITATION CENTE</t>
  </si>
  <si>
    <t>OAK VIEW REHABILITATION CENTER</t>
  </si>
  <si>
    <t>COUNTRYSIDE REHAB AND HEALTHCARE CENTER</t>
  </si>
  <si>
    <t>CORAL TRACE HEALTH CARE</t>
  </si>
  <si>
    <t>COQUINA CENTER</t>
  </si>
  <si>
    <t>PALM GARDEN OF TAMPA</t>
  </si>
  <si>
    <t>PALM GARDEN OF VERO BEACH</t>
  </si>
  <si>
    <t>WILLOWBROOKE COURT AT INDIAN RIVER ESTATES</t>
  </si>
  <si>
    <t>REGENTS PARK AT AVENTURA</t>
  </si>
  <si>
    <t>SURREY PLACE CARE CENTER</t>
  </si>
  <si>
    <t>HARBOURS EDGE</t>
  </si>
  <si>
    <t>HEARTLAND OF ZEPHYRHILLS</t>
  </si>
  <si>
    <t>PALM GARDEN OF PORT SAINT LUCIE</t>
  </si>
  <si>
    <t>GRAND BOULEVARD HEALTH AND REHABILITATION CENTER</t>
  </si>
  <si>
    <t>HAWTHORNE HEALTH AND REHAB OF OCALA</t>
  </si>
  <si>
    <t>RIVIERA PALMS REHABILITATION CENTER</t>
  </si>
  <si>
    <t>COVENANT VILLAGE CARE CENTER</t>
  </si>
  <si>
    <t>NORTHBROOK HEALTH AND REHABILITATION CENTER</t>
  </si>
  <si>
    <t>PALM GARDEN OF WEST PALM BEACH</t>
  </si>
  <si>
    <t>HEARTLAND OF TAMARAC</t>
  </si>
  <si>
    <t>PALM GARDEN OF AVENTURA</t>
  </si>
  <si>
    <t>WOOD LAKE HEALTH AND REHABILITATION CENTER</t>
  </si>
  <si>
    <t>SILVERCREST HEALTH AND REHABILITATION CENTER</t>
  </si>
  <si>
    <t>SUWANNEE HEALTH AND REHABILITATION CENTER</t>
  </si>
  <si>
    <t>CARRINGTON PLACE OF ST PETE</t>
  </si>
  <si>
    <t>AVANTE VILLA AT JACKSONVILLE BEACH INC</t>
  </si>
  <si>
    <t>REGENTS PARK OF WINTER PARK</t>
  </si>
  <si>
    <t>HIGHLANDS LAKE CENTER</t>
  </si>
  <si>
    <t>NORTH CAMPUS REHABILITATION AND NURSING CENTER</t>
  </si>
  <si>
    <t>DEERFIELD BEACH HEALTH AND REHABILITATION CENTER</t>
  </si>
  <si>
    <t>WEST GABLES HEALTH CARE CENTER</t>
  </si>
  <si>
    <t>BONIFAY NURSING AND REHAB CENTER</t>
  </si>
  <si>
    <t>CHAUTAUQUA REHABILITATION AND NURSING CENTER</t>
  </si>
  <si>
    <t>COURT AT PALM AIRE, THE</t>
  </si>
  <si>
    <t>REHABILITATION CENTER AT PARK PLACE</t>
  </si>
  <si>
    <t>SURREY PLACE HEALTHCARE AND REHABILITATION</t>
  </si>
  <si>
    <t>VICAR'S LANDING NURSING HOME</t>
  </si>
  <si>
    <t>MARSHALL HEALTH AND REHABILITATION CENTER</t>
  </si>
  <si>
    <t>HARTS HARBOR HEALTH CARE CENTER</t>
  </si>
  <si>
    <t>GLEN OAKS HEALTH AND REHABILITATION CENTER</t>
  </si>
  <si>
    <t>MELBOURNE TERRACE REHABILITATION CENTER</t>
  </si>
  <si>
    <t>BELLEAIR HEALTH CARE CENTER</t>
  </si>
  <si>
    <t>MARIANNA HEALTH AND REHABILITATION CENTER</t>
  </si>
  <si>
    <t>PARKLANDS REHABILITATION AND NURSING CENTER</t>
  </si>
  <si>
    <t>NORTH LAKE CARE CENTER</t>
  </si>
  <si>
    <t>HEARTLAND HEALTH CARE CENTER KENDALL</t>
  </si>
  <si>
    <t>ISLAND LAKE CENTER</t>
  </si>
  <si>
    <t>FLETCHER HEALTH AND REHABILITATION CENTER</t>
  </si>
  <si>
    <t>BARTRAM CROSSING</t>
  </si>
  <si>
    <t>BROWNWOOD CARE CENTER</t>
  </si>
  <si>
    <t>BAYSHORE POINTE NURSING AND REHAB CENTER</t>
  </si>
  <si>
    <t>GOOD SAMARITAN SOCIETY-DAYTONA</t>
  </si>
  <si>
    <t>PALATKA HEALTH CARE CENTER</t>
  </si>
  <si>
    <t>CONSULATE HEALTH CARE OF ORANGE PARK</t>
  </si>
  <si>
    <t>WESTCHESTER GARDENS REHABILITATION CARE CENTER</t>
  </si>
  <si>
    <t>NURSING CENTER AT FREEDOM VILLAGE, THE</t>
  </si>
  <si>
    <t>DIAMOND RIDGE HEALTH AND REHABILITATION CENTER</t>
  </si>
  <si>
    <t>ZEPHYR HAVEN HEALTH &amp; REHAB CENTER, INC</t>
  </si>
  <si>
    <t>OASIS HEALTH AND REHABILITATION CENTER</t>
  </si>
  <si>
    <t>MANOR AT CARPENTERS, THE</t>
  </si>
  <si>
    <t>SIGNATURE HEALTHCARE OF NORTH FLORIDA</t>
  </si>
  <si>
    <t>GOVERNORS CREEK HEALTH AND REHABILITATION</t>
  </si>
  <si>
    <t>SIGNATURE HEALTHCARE OF GAINESVILLE</t>
  </si>
  <si>
    <t>OAKTREE HEALTHCARE</t>
  </si>
  <si>
    <t>LANIER TERRACE</t>
  </si>
  <si>
    <t>MEMORIAL MANOR</t>
  </si>
  <si>
    <t>AVANTE AT ST CLOUD INC</t>
  </si>
  <si>
    <t>AVANTE AT MELBOURNE INC</t>
  </si>
  <si>
    <t>GULF COAST VILLAGE</t>
  </si>
  <si>
    <t>INDIAN RIVER CENTER</t>
  </si>
  <si>
    <t>NURSING CENTER AT UNIVERSITY VILLAGE, THE</t>
  </si>
  <si>
    <t>REGENTS PARK OF SUNRISE</t>
  </si>
  <si>
    <t>HEARTLAND HEALTH CARE CENTER LAUDERHILL</t>
  </si>
  <si>
    <t>PALM GARDEN OF JACKSONVILLE</t>
  </si>
  <si>
    <t>OAKBROOK OF LABELLE</t>
  </si>
  <si>
    <t>HEARTLAND HEALTH CARE CENTER JACKSONVILLE</t>
  </si>
  <si>
    <t>MENORAH HOUSE</t>
  </si>
  <si>
    <t>SPRINGTREE REHABILITATION &amp; HEALTH CARE CENTER</t>
  </si>
  <si>
    <t>SOLARIS HEALTHCARE PARKWAY</t>
  </si>
  <si>
    <t>BON SECOURS MARIA MANOR NURSING CARE CENTER</t>
  </si>
  <si>
    <t>HIGHLAND PINES REHABILITATION CENTER</t>
  </si>
  <si>
    <t>FORUM AT DEER CREEK</t>
  </si>
  <si>
    <t>HEARTLAND HEALTH CARE CENTER ORANGE PARK</t>
  </si>
  <si>
    <t>CONSULATE HEALTH CARE OF LAKE PARKER</t>
  </si>
  <si>
    <t>SABAL PALMS HEALTH CARE CENTER</t>
  </si>
  <si>
    <t>WINDSOR HEALTH AND REHABILITATION CENTER</t>
  </si>
  <si>
    <t>EAST BAY REHABILITATION CENTER</t>
  </si>
  <si>
    <t>MANORCARE HEALTH SERVICES CARROLLWOOD</t>
  </si>
  <si>
    <t>SOLARIS HEALTHCARE MERRITT ISLAND</t>
  </si>
  <si>
    <t>TARPON POINT NURSING AND REHABILITATION CENTER</t>
  </si>
  <si>
    <t>ARBOR TRAIL REHAB AND SKILLED NURSING CENTER</t>
  </si>
  <si>
    <t>LAKE HARRIS HEALTH CENTER</t>
  </si>
  <si>
    <t>OCOEE HEALTH CARE CENTER</t>
  </si>
  <si>
    <t>WEST JACKSONVILLE CARE AND REHABILITATION CENTER</t>
  </si>
  <si>
    <t>MANORCARE HEALTH SERVICES PALM HARBOR</t>
  </si>
  <si>
    <t>HEARTLAND HEALTH CARE CENTER MIAMI LAKES</t>
  </si>
  <si>
    <t>JACKSONVILLE NURSING AND REHAB CENTER</t>
  </si>
  <si>
    <t>SINAI PLAZA NURSING &amp; REHAB CENTER</t>
  </si>
  <si>
    <t>ALHAMBRA HEALTH AND REHABILITATION CENTER</t>
  </si>
  <si>
    <t>ALPINE HEALTH AND REHABILITATION CENTER</t>
  </si>
  <si>
    <t>CONCORDIA MANOR</t>
  </si>
  <si>
    <t>HAMPTON COURT NURSING AND REHABILITATION CENTER</t>
  </si>
  <si>
    <t>TAMPA COMMUNITY HOSPITAL</t>
  </si>
  <si>
    <t>TIMBERRIDGE NURSING &amp; REHABILITATION CENTER</t>
  </si>
  <si>
    <t>CENTRAL PARK HEALTHCARE AND REHABILITATION CENTER</t>
  </si>
  <si>
    <t>PALACE AT KENDALL NURSING AND REHABILITATION CENTE</t>
  </si>
  <si>
    <t>MAYFLOWER HEALTHCARE CENTER</t>
  </si>
  <si>
    <t>CROSS CARE CENTER</t>
  </si>
  <si>
    <t>HEARTLAND HEALTH CARE CENTER FORT MYERS</t>
  </si>
  <si>
    <t>OCALA OAKS REHABILITATION CENTER</t>
  </si>
  <si>
    <t>HOME ASSOCIATION, THE</t>
  </si>
  <si>
    <t>WASHINGTON REHABILITATION AND NURSING CENTER</t>
  </si>
  <si>
    <t>ORLANDO HEALTH AND REHABILITATION CENTER</t>
  </si>
  <si>
    <t>CHIPOLA HEALTH AND REHABILITATION CENTER</t>
  </si>
  <si>
    <t>SPRING LAKE REHABILITATION CENTER</t>
  </si>
  <si>
    <t>COMMONS AT ORLANDO LUTHERAN TOWERS</t>
  </si>
  <si>
    <t>MEASE CONTINUING CARE</t>
  </si>
  <si>
    <t>PALM GARDEN OF PINELLAS</t>
  </si>
  <si>
    <t>OSCEOLA HEALTH CARE CENTER</t>
  </si>
  <si>
    <t>ORANGE CITY NURSING AND REHAB CENTER</t>
  </si>
  <si>
    <t>PALM GARDEN OF SUN CITY</t>
  </si>
  <si>
    <t>MACCLENNY NURSING AND REHAB CENTER</t>
  </si>
  <si>
    <t>SOLARIS HEALTHCARE IMPERIAL</t>
  </si>
  <si>
    <t>OAKBRIDGE HEALTHCARE CENTER</t>
  </si>
  <si>
    <t>FLEET LANDING</t>
  </si>
  <si>
    <t>SYLVAN HEALTH CENTER</t>
  </si>
  <si>
    <t>CYPRESS VILLAGE</t>
  </si>
  <si>
    <t>ROSEWOOD HEALTHCARE AND REHABILITATION CENTER</t>
  </si>
  <si>
    <t>ABBEY REHABILITATION AND NURSING CENTER</t>
  </si>
  <si>
    <t>SPECIALTY HEALTH AND REHABILITATION CENTER</t>
  </si>
  <si>
    <t>CONWAY LAKES HEALTH &amp; REHABILITATION CENTER</t>
  </si>
  <si>
    <t>HEARTLAND HEALTH CARE CENTER BOYNTON BEACH</t>
  </si>
  <si>
    <t>LIFE CARE CENTER OF HILLIARD</t>
  </si>
  <si>
    <t>WESTMINSTER TOWERS</t>
  </si>
  <si>
    <t>STRATFORD COURT OF PALM HARBOR</t>
  </si>
  <si>
    <t>SUNSET LAKE HEALTH AND REHABILITATION CENTER</t>
  </si>
  <si>
    <t>HEARTLAND HEALTH CARE CENTER PROSPERITY OAKS</t>
  </si>
  <si>
    <t>CONSULATE HEALTH CARE OF TALLAHASSEE</t>
  </si>
  <si>
    <t>CROSS GARDENS CARE CENTER</t>
  </si>
  <si>
    <t>SOLARIS HEALTHCARE LAKE CITY</t>
  </si>
  <si>
    <t>TRI-COUNTY NURSING HOME</t>
  </si>
  <si>
    <t>REHABILITATION CENTER OF ST PETE</t>
  </si>
  <si>
    <t>CROSSBREEZE CARE CENTER</t>
  </si>
  <si>
    <t>GLENCOVE HEALTH AND REHABILITATION CENTER</t>
  </si>
  <si>
    <t>PORT ORANGE NURSING AND REHAB CENTER</t>
  </si>
  <si>
    <t>CROSSROADS, THE</t>
  </si>
  <si>
    <t>HEALTHPARK CARE CENTER</t>
  </si>
  <si>
    <t>OAKS AT AVON</t>
  </si>
  <si>
    <t>SUNBELT HEALTH &amp; REHAB CENTER-APOPKA, INC</t>
  </si>
  <si>
    <t>EAST ORLANDO HEALTH &amp; REHAB CENTER INC</t>
  </si>
  <si>
    <t>MANOR AT BLUE WATER BAY, THE</t>
  </si>
  <si>
    <t>MARY LEE DEPUGH NURSING HOME ASSOCIATION INC</t>
  </si>
  <si>
    <t>CONSULATE HEALTH CARE OF BAYONET POINT</t>
  </si>
  <si>
    <t>SOLARIS SENIOR LIVING NORTH NAPLES</t>
  </si>
  <si>
    <t>DELANEY PARK HEALTH AND REHABILITATION CENTER</t>
  </si>
  <si>
    <t>LIFE CARE CENTER OF WINTER HAVEN</t>
  </si>
  <si>
    <t>ROYAL OAKS NURSING AND REHAB CENTER</t>
  </si>
  <si>
    <t>CORAL BAY HEALTHCARE AND REHABILITATION</t>
  </si>
  <si>
    <t>EDGEWATER AT WATERMAN VILLAGE</t>
  </si>
  <si>
    <t>GUARDIAN CARE NURSING &amp; REHABILITATION CENTER</t>
  </si>
  <si>
    <t>JOSEPH L MORSE GERIATRIC CENTER INC</t>
  </si>
  <si>
    <t>CROSS LANDINGS HEALTH AND REHABILITATION CENTER</t>
  </si>
  <si>
    <t>HIALEAH NURSING AND REHABILITATION CENTER</t>
  </si>
  <si>
    <t>ABBIEJEAN RUSSELL CARE CENTER LLC</t>
  </si>
  <si>
    <t>CRESTWOOD NURSING CENTER</t>
  </si>
  <si>
    <t>MADISON HEALTH AND REHABILITATION CENTER</t>
  </si>
  <si>
    <t>LAKEWOOD NURSING CENTER</t>
  </si>
  <si>
    <t>GOOD SAMARITAN CENTER</t>
  </si>
  <si>
    <t>MIRACLE HILL NURSING &amp; REHABILITATION CENTER, INC</t>
  </si>
  <si>
    <t>ROYAL CARE OF AVON PARK</t>
  </si>
  <si>
    <t>PARK RIDGE NURSING CENTER</t>
  </si>
  <si>
    <t>SAMANTHA WILSON CARE CENTER</t>
  </si>
  <si>
    <t>PLYMOUTH HARBOR INCORPORATED</t>
  </si>
  <si>
    <t>TIFFANY HALL NURSING AND REHAB CENTER</t>
  </si>
  <si>
    <t>UNIVERSITY CROSSING</t>
  </si>
  <si>
    <t>TAYLOR CARE CENTER</t>
  </si>
  <si>
    <t>GARDENS HEALTH &amp; REHABILITATION CENTER, THE</t>
  </si>
  <si>
    <t>ROHR HOME, THE</t>
  </si>
  <si>
    <t>CROSSWINDS HEALTH AND REHABILITATION CENTER</t>
  </si>
  <si>
    <t>SUWANNEE VALLEY NURSING CENTER</t>
  </si>
  <si>
    <t>EDGEWOOD NURSING CENTER</t>
  </si>
  <si>
    <t>FINNISH-AMERICAN VILLAGE</t>
  </si>
  <si>
    <t>WATERS EDGE EXTENDED CARE</t>
  </si>
  <si>
    <t>PALM CITY NURSING &amp; REHAB CENTER</t>
  </si>
  <si>
    <t>GARDENS OF PORT ST LUCIE, THE</t>
  </si>
  <si>
    <t>ST ANTHONYS HOSPITAL</t>
  </si>
  <si>
    <t>CATHEDRAL GERONTOLOGY CENTER, INC</t>
  </si>
  <si>
    <t>CROSSINGS, THE</t>
  </si>
  <si>
    <t>BOYNTON BEACH REHABILITATION CENTER</t>
  </si>
  <si>
    <t>EDWARD J HEALEY REHABILITATION AND NURSING CENTER</t>
  </si>
  <si>
    <t>TERRACE OF KISSIMMEE, THE</t>
  </si>
  <si>
    <t>EMORY L BENNETT MEMORIAL VETERANS NURSING HOME</t>
  </si>
  <si>
    <t>HEARTLAND HEALTH CARE &amp; REHABILITATION CENTER</t>
  </si>
  <si>
    <t>CONSULATE HEALTH CARE AT WEST ALTAMONTE</t>
  </si>
  <si>
    <t>BAYA POINTE NURSING AND REHABILITATION CENTER</t>
  </si>
  <si>
    <t>WRIGHTS HEALTHCARE AND REHABILITATION CENTER</t>
  </si>
  <si>
    <t>BARRINGTON TERRACE OF BOYNTON BEACH</t>
  </si>
  <si>
    <t>STRATFORD COURT OF BOCA RATON</t>
  </si>
  <si>
    <t>HEARTLAND HEALTH CARE AND REHABILITATION CENTER OF</t>
  </si>
  <si>
    <t>WESTMINSTER OAKS</t>
  </si>
  <si>
    <t>RULEME CENTER</t>
  </si>
  <si>
    <t>PREMIER PLACE AT THE GLENVIEW</t>
  </si>
  <si>
    <t>CITRUS HEALTH AND REHABILITATION CENTER</t>
  </si>
  <si>
    <t>SOLARIS HEALTHCARE CHARLOTTE HARBOR</t>
  </si>
  <si>
    <t>CENTURY HEALTH AND REHABILITATION CENTER</t>
  </si>
  <si>
    <t>CONSULATE HEALTH CARE OF MELBOURNE</t>
  </si>
  <si>
    <t>DESTIN HEALTHCARE AND REHABILITATION CENTER</t>
  </si>
  <si>
    <t>PAGE REHABILITATION AND HEALTHCARE CENTER</t>
  </si>
  <si>
    <t>PLAZA WEST</t>
  </si>
  <si>
    <t>METRO WEST NURSING AND REHAB CENTER</t>
  </si>
  <si>
    <t>LIFE CARE CENTER OF CITRUS COUNTY</t>
  </si>
  <si>
    <t>TUSKAWILLA NURSING AND REHAB CENTER</t>
  </si>
  <si>
    <t>NURSING CENTER AT MERCY, THE</t>
  </si>
  <si>
    <t>SAVANNAH COVE</t>
  </si>
  <si>
    <t>PINELLAS POINT NURSING AND REHAB CENTER</t>
  </si>
  <si>
    <t>WESTMINSTER WINTER PARK</t>
  </si>
  <si>
    <t>HAWTHORNE HEALTH AND REHAB OF BRANDON</t>
  </si>
  <si>
    <t>WINKLER COURT</t>
  </si>
  <si>
    <t>EXCEL CARE CENTER</t>
  </si>
  <si>
    <t>VIERA HEALTH AND REHABILITATION CENTER</t>
  </si>
  <si>
    <t>PLANTATION BAY REHABILITATION CENTER</t>
  </si>
  <si>
    <t>BAYWOOD NURSING CENTER</t>
  </si>
  <si>
    <t>YBOR CITY HEALTHCARE AND REHABILITATION CENTER</t>
  </si>
  <si>
    <t>LAKE PARK OF MADISON</t>
  </si>
  <si>
    <t>CONSULATE HEALTH CARE OF ST PETERSBURG</t>
  </si>
  <si>
    <t>WESTMINSTER WOODS ON JULINGTON CREEK</t>
  </si>
  <si>
    <t>FRANCO NURSING &amp; REHABILITATION CENTER</t>
  </si>
  <si>
    <t>ATLANTIC SHORES NURSING AND REHAB CENTER</t>
  </si>
  <si>
    <t>CORAL REEF NURSING &amp; REHABILITATION CENTER</t>
  </si>
  <si>
    <t>MANORCARE HEALTH SERVICES WEST PALM BEACH</t>
  </si>
  <si>
    <t>FLORIDA HOSPITAL NORTH PINELLAS</t>
  </si>
  <si>
    <t>SOLARIS HEALTHCARE DAYTONA</t>
  </si>
  <si>
    <t>CONSULATE HEALTH CARE OF JACKSONVILLE</t>
  </si>
  <si>
    <t>WESTMINSTER COMMUNITIES OF BRADENTON WESTMINSTER</t>
  </si>
  <si>
    <t>GARDENS COURT</t>
  </si>
  <si>
    <t>BLOUNTSTOWN HEALTH AND REHABILITATION CENTER</t>
  </si>
  <si>
    <t>WESTMINSTER SUNCOAST</t>
  </si>
  <si>
    <t>BROOKDALE ATRIUM WAY 2</t>
  </si>
  <si>
    <t>LIFE CARE CENTER OF ORANGE PARK</t>
  </si>
  <si>
    <t>VILLA HEALTH &amp; REHABILITATION CENTER</t>
  </si>
  <si>
    <t>CONSULATE HEALTH CARE OF PENSACOLA</t>
  </si>
  <si>
    <t>GOOD SAMARITAN SOCIETY-FLORIDA LUTHERAN</t>
  </si>
  <si>
    <t>PALMETTO SUB ACUTE CARE CENTER, INC</t>
  </si>
  <si>
    <t>FLORIDA PRESBYTERIAN HOMES INC</t>
  </si>
  <si>
    <t>BRANDON HEALTH AND REHABILITATION CENTER</t>
  </si>
  <si>
    <t>GRAND OAKS HEALTH AND REHABILITATION CENTER</t>
  </si>
  <si>
    <t>HARBORCHASE OF VENICE</t>
  </si>
  <si>
    <t>ALLEGRO AT COLLEGE HARBOR, THE</t>
  </si>
  <si>
    <t>SOLARIS HEALTHCARE WINDERMERE</t>
  </si>
  <si>
    <t>SHANDS JACKSONVILLE MEDICAL CENTER</t>
  </si>
  <si>
    <t>LIFE CARE CENTER AT WELLS CROSSING</t>
  </si>
  <si>
    <t>LAFAYETTE HEALTH CARE CENTER</t>
  </si>
  <si>
    <t>SHELL POINT NURSING PAVILION</t>
  </si>
  <si>
    <t>LAKE BENNETT HEALTH AND REHABILITATION</t>
  </si>
  <si>
    <t>VI AT LAKESIDE VILLAGE</t>
  </si>
  <si>
    <t>SIGNATURE HEALTHCARE AT THE COURTYARD</t>
  </si>
  <si>
    <t>MARTIN NURSING AND RESTORATIVE CARE CENTER</t>
  </si>
  <si>
    <t>LIFE CARE CENTER OF ORLANDO</t>
  </si>
  <si>
    <t>COMMUNITY HEALTH AND REHABILITATION CENTER</t>
  </si>
  <si>
    <t>GULF SHORE REHABILITATION AND NURSING CENTER</t>
  </si>
  <si>
    <t>SOLARIS HEALTHCARE COCONUT CREEK</t>
  </si>
  <si>
    <t>LAKESIDE NURSING AND REHABILITATION CENTER</t>
  </si>
  <si>
    <t>CONSULATE HEALTH CARE OF PORT CHARLOTTE</t>
  </si>
  <si>
    <t>CONSULATE HEALTH CARE OF SARASOTA</t>
  </si>
  <si>
    <t>PALMS REHABILITATION AND HEALTHCARE CENTER, THE</t>
  </si>
  <si>
    <t>ZEPHYRHILLS HEALTH &amp; REHAB CENTER, INC</t>
  </si>
  <si>
    <t>HUNTERS CREEK NURSING AND REHAB CENTER</t>
  </si>
  <si>
    <t>HARBORCHASE OF NAPLES</t>
  </si>
  <si>
    <t>SPRING HILL HEALTH AND REHABILITATION CENTER</t>
  </si>
  <si>
    <t>CONSULATE HEALTH CARE OF WINTER HAVEN</t>
  </si>
  <si>
    <t>LIFE CARE CENTER OF OCALA</t>
  </si>
  <si>
    <t>EVANS HEALTH CARE</t>
  </si>
  <si>
    <t>WEDGEWOOD HEALTHCARE CENTER</t>
  </si>
  <si>
    <t>LADY LAKE SPECIALTY CARE CENTER</t>
  </si>
  <si>
    <t>BALDOMERO LOPEZ MEMORIAL VETERANS NURSING HOME</t>
  </si>
  <si>
    <t>FLORIDEAN NURSING AND REHABILITATION CENTER, THE</t>
  </si>
  <si>
    <t>OSPREY POINT NURSING CENTER</t>
  </si>
  <si>
    <t>CROSS CITY REHABILITATION &amp; HEALTH CARE CENTER</t>
  </si>
  <si>
    <t>LARGO HEALTH AND REHABILITATION CENTER</t>
  </si>
  <si>
    <t>CONSULATE HEALTH CARE OF KISSIMMEE</t>
  </si>
  <si>
    <t>LIFE CARE CENTER OF PORT SAINT LUCIE</t>
  </si>
  <si>
    <t>CHATSWORTH AT PGA NATIONAL</t>
  </si>
  <si>
    <t>BRIGHTON GARDENS OF TAMPA</t>
  </si>
  <si>
    <t>BRADENTON HEALTH CARE</t>
  </si>
  <si>
    <t>GLADES HEALTH CARE CENTER</t>
  </si>
  <si>
    <t>LODGE AT CYPRESS COVE, THE</t>
  </si>
  <si>
    <t>PONCE PLAZA NURSING &amp; REHABILITATION CENTER</t>
  </si>
  <si>
    <t>BROOKDALE PALMER RANCH SNF</t>
  </si>
  <si>
    <t>ADVENTIST CARE CENTERS-COURTLAND, INC</t>
  </si>
  <si>
    <t>LIFE CARE CENTER OF SARASOTA</t>
  </si>
  <si>
    <t>AVANTE AT ORLANDO INC</t>
  </si>
  <si>
    <t>SHOAL CREEK REHABILITATION CENTER</t>
  </si>
  <si>
    <t>LAKE MARY HEALTH AND REHABILITATION CENTER</t>
  </si>
  <si>
    <t>WESTMINSTER TOWERS AND SHORES OF BRADENTON</t>
  </si>
  <si>
    <t>VICTORIA NURSING &amp; REHABILITATION CENTER, INC.</t>
  </si>
  <si>
    <t>MAGNOLIA HEALTH AND REHABILITATION CENTER</t>
  </si>
  <si>
    <t>ST PETERSBURG NURSING &amp; REHABILITATION</t>
  </si>
  <si>
    <t>JACKSON PLAZA NURSING &amp; REHABILITATION CENTER</t>
  </si>
  <si>
    <t>INN AT SARASOTA BAY CLUB</t>
  </si>
  <si>
    <t>CITRUS HILLS HEALTH &amp; REHABILITATION CENTER</t>
  </si>
  <si>
    <t>ALEXANDER NININGER STATE VETERANS NURSING HOME</t>
  </si>
  <si>
    <t>LIFECARE ST. JOHNS, INC</t>
  </si>
  <si>
    <t>HARBOURWOOD HEALTH AND REHAB CENTER</t>
  </si>
  <si>
    <t>FREEDOM SQUARE REHABILITATION &amp; NURSING SERVICES</t>
  </si>
  <si>
    <t>RIVERCHASE HEALTH AND REHABILITATION CENTER</t>
  </si>
  <si>
    <t>BRYNWOOD HEALTH AND REHABILITATION CENTER</t>
  </si>
  <si>
    <t>TERRACE HEALTH &amp; REHABILITATION CENTER</t>
  </si>
  <si>
    <t>LIFE CARE CENTER AT INVERRARY</t>
  </si>
  <si>
    <t>PRUITTHEALTH - SANTA ROSA</t>
  </si>
  <si>
    <t>LIFE CARE CENTER OF NEW PORT RICHEY</t>
  </si>
  <si>
    <t>LUTHERAN HAVEN NURSING HOME</t>
  </si>
  <si>
    <t>SOUTHERN OAKS CARE CENTER</t>
  </si>
  <si>
    <t>HAVEN OF OUR LADY OF PEACE</t>
  </si>
  <si>
    <t>SUNNYSIDE NURSING HOME</t>
  </si>
  <si>
    <t>NORTHWEST FLORIDA COMMUNITY HOSPITAL (SNU)</t>
  </si>
  <si>
    <t>CLIFFORD CHESTER SIMS STATE VETERANS NURSING HOME</t>
  </si>
  <si>
    <t>LIFE CARE CENTER OF ESTERO</t>
  </si>
  <si>
    <t>WOODLAND GROVE HEALTH &amp; REHABILITATION CENTER</t>
  </si>
  <si>
    <t>DOUGLAS JACOBSON STATE VETERANS NURSING HOME</t>
  </si>
  <si>
    <t>LIFE CARE CENTER OF PALM BAY</t>
  </si>
  <si>
    <t>RIDGECREST NURSING AND REHABILITATION CENTER</t>
  </si>
  <si>
    <t>BENTLEY CARE CENTER</t>
  </si>
  <si>
    <t>GLENRIDGE ON PALMER RANCH INC.</t>
  </si>
  <si>
    <t>LIFE CARE CENTER OF JACKSONVILLE</t>
  </si>
  <si>
    <t>ISLE HEALTH &amp; REHABILITATION CENTER</t>
  </si>
  <si>
    <t>OAK HAMMOCK AT THE UNIVERSITY OF FLORIDA INC</t>
  </si>
  <si>
    <t>NURSING CENTER AT LA POSADA, THE</t>
  </si>
  <si>
    <t>LAKEVIEW TERRACE SKILLED NURSING FACILITY</t>
  </si>
  <si>
    <t>GRACE HEALTHCARE OF LAKE WALES</t>
  </si>
  <si>
    <t>DESOTO HEALTH AND REHAB</t>
  </si>
  <si>
    <t>VILLAGE PLACE HEALTH AND REHABILITATION CENTER</t>
  </si>
  <si>
    <t>LIFE CARE CENTER OF PENSACOLA</t>
  </si>
  <si>
    <t>KEYSTONE REHABILITATION AND HEALTH CENTER</t>
  </si>
  <si>
    <t>GRACE REHABILITATION CENTER OF VERO BEACH</t>
  </si>
  <si>
    <t>VI AT AVENTURA</t>
  </si>
  <si>
    <t>MOOSEHAVEN</t>
  </si>
  <si>
    <t>TRINITY REGIONAL REHAB CENTER</t>
  </si>
  <si>
    <t>VILLA MARIA WEST SKILLED NURSING FACILITY</t>
  </si>
  <si>
    <t>ST JAMES HEALTH AND REHABILITATION CENTER</t>
  </si>
  <si>
    <t>ST VINCENT'S MEDICAL CENTER SOUTHSIDE</t>
  </si>
  <si>
    <t>FREEDOM POINTE AT THE VILLAGES REHABILITATION AND</t>
  </si>
  <si>
    <t>AVANTE AT OCALA, INC</t>
  </si>
  <si>
    <t>BAY VILLAGE OF SARASOTA</t>
  </si>
  <si>
    <t>ASTORIA HEALTH AND REHABILITATION CENTER</t>
  </si>
  <si>
    <t>CLYDE E LASSEN STATE VETERANS NURSING HOME</t>
  </si>
  <si>
    <t>KEY WEST HEALTH AND REHABILITATION CENTER</t>
  </si>
  <si>
    <t>BENDERSON FAMILY SKILLED NURSING AND REHAB CENTER</t>
  </si>
  <si>
    <t>NUVISTA LIVING AT WELLINGTON GREEN</t>
  </si>
  <si>
    <t>PLANTATION KEY NURSING CENTER</t>
  </si>
  <si>
    <t>NUVISTA LIVING AT HILLSBOROUGH LAKES</t>
  </si>
  <si>
    <t>RIVIERA HEALTH RESORT</t>
  </si>
  <si>
    <t>CLUB HEALTH AND REHABILITATION CENTER AT THE VILLA</t>
  </si>
  <si>
    <t>PAVILION FOR HEALTH CARE, THE</t>
  </si>
  <si>
    <t>FLORIDA BAPTIST RETIREMENT CENTER</t>
  </si>
  <si>
    <t>HAWTHORNE HEALTH AND REHAB OF SARASOTA</t>
  </si>
  <si>
    <t>VILLAGES REHABILITATION AND NURSING CENTER (THE)</t>
  </si>
  <si>
    <t>UNIVERSITY PLAZA REHABILITATION AND NURSING CENTER</t>
  </si>
  <si>
    <t>SEBASTIAN RIVER MEDICAL CENTER</t>
  </si>
  <si>
    <t>SARASOTA POINT REHABILITATION CENTER</t>
  </si>
  <si>
    <t>GULFPORT REHABILITATION CENTER</t>
  </si>
  <si>
    <t>RENAISSANCE AT THE TERRACES</t>
  </si>
  <si>
    <t>SKYTOP VIEW REHABILTATION CENTER</t>
  </si>
  <si>
    <t>GLADES WEST REHABILITATION AND NURSING C</t>
  </si>
  <si>
    <t>ELBERT MEMORIAL HOSPITAL</t>
  </si>
  <si>
    <t>NORTHRIDGE MEDICAL CENTER</t>
  </si>
  <si>
    <t>HABERSHAM COUNTY MEDICAL CTR</t>
  </si>
  <si>
    <t>APPLING HOSPITAL</t>
  </si>
  <si>
    <t>DORMINY MEDICAL CENTER</t>
  </si>
  <si>
    <t>WASHINGTON COUNTY REGIONAL MEDICAL CENTER</t>
  </si>
  <si>
    <t>JEFFERSON HOSPITAL</t>
  </si>
  <si>
    <t>COOK  MEDICAL CENTER  A CAMPUS OF TIFT REG MED CTR</t>
  </si>
  <si>
    <t>CRISP REGIONAL HOSPITAL</t>
  </si>
  <si>
    <t>COLQUITT REGIONAL MEDICAL CENTER</t>
  </si>
  <si>
    <t>EMANUEL MEDICAL CENTER</t>
  </si>
  <si>
    <t>BURKE MEDICAL CENTER</t>
  </si>
  <si>
    <t>GRADY GENERAL HOSPITAL</t>
  </si>
  <si>
    <t>WAYNE MEMORIAL HOSPITAL</t>
  </si>
  <si>
    <t>MEMORIAL HOSPITAL AND MANOR</t>
  </si>
  <si>
    <t>PERRY HOSPITAL</t>
  </si>
  <si>
    <t>CHESTATEE REGIONAL HOSPITAL</t>
  </si>
  <si>
    <t>FANNIN REGIONAL HOSPITAL</t>
  </si>
  <si>
    <t>DONALSONVILLE HOSPITAL INC</t>
  </si>
  <si>
    <t>NORTH GEORGIA MEDICAL CENTER</t>
  </si>
  <si>
    <t>A.G. RHODES HOME WESLEY WOODS</t>
  </si>
  <si>
    <t>MAGNOLIA MANOR METHODIST NSG C</t>
  </si>
  <si>
    <t>PARK PLACE NURSING FACILITY</t>
  </si>
  <si>
    <t>GOLDEN LIVINGCENTER - DECATUR</t>
  </si>
  <si>
    <t>BELL MINOR HOME, THE</t>
  </si>
  <si>
    <t>WILLIAM BREMAN JEWISH HOME, THE</t>
  </si>
  <si>
    <t>GOLDEN LIVINGCENTER - GLENWOOD</t>
  </si>
  <si>
    <t>MILLER NURSING HOME</t>
  </si>
  <si>
    <t>CENTER FOR ADVANCED REHAB AT PARKSIDE, THE</t>
  </si>
  <si>
    <t>GOLDEN LIVINGCENTER - AUGUSTA</t>
  </si>
  <si>
    <t>MAGNOLIA MANOR OF COLUMBUS NURSING CENTER - WEST</t>
  </si>
  <si>
    <t>BROWN HEALTH AND REHABILITATION</t>
  </si>
  <si>
    <t>HABERSHAM HOME</t>
  </si>
  <si>
    <t>NHC HEALTHCARE ROSSVILLE</t>
  </si>
  <si>
    <t>EFFINGHAM CO EXTENDED CARE FAC</t>
  </si>
  <si>
    <t>SIGNATURE HEALTHCARE OF BUCKHEAD</t>
  </si>
  <si>
    <t>SIGNATURE HEALTHCARE AT TOWER ROAD</t>
  </si>
  <si>
    <t>SIGNATURE HEALTHCARE OF SAVANNAH</t>
  </si>
  <si>
    <t>MAGNOLIA MANOR OF COLUMBUS NURSING CENTER - EAST</t>
  </si>
  <si>
    <t>NURSE CARE OF BUCKHEAD</t>
  </si>
  <si>
    <t>ABERCORN REHABILITATION CENTER</t>
  </si>
  <si>
    <t>NEWNAN HEALTH AND REHABILITATION</t>
  </si>
  <si>
    <t>RIVERDALE CENTER</t>
  </si>
  <si>
    <t>ANDERSON MILL HEALTH AND REHABILITATION CENTER</t>
  </si>
  <si>
    <t>ORCHARD VIEW REHABILITATION &amp; SKILLED NURSING CTR</t>
  </si>
  <si>
    <t>KENTWOOD NURSING FACILITY</t>
  </si>
  <si>
    <t>AMARA HEALTHCARE &amp; REHAB</t>
  </si>
  <si>
    <t>SIGNATURE HEALTHCARE OF MARIETTA</t>
  </si>
  <si>
    <t>MANOR CARE REHABILITATION CENTER - DECATUR</t>
  </si>
  <si>
    <t>WELLSTAR PAULDING NURSING CTR</t>
  </si>
  <si>
    <t>APPLING NURSING AND REHABILITATION PAVILION</t>
  </si>
  <si>
    <t>CALHOUN NURSING HOME</t>
  </si>
  <si>
    <t>SATILLA CARE CENTER</t>
  </si>
  <si>
    <t>MITCHELL COUNTY NURSING HOMES</t>
  </si>
  <si>
    <t>GOLDEN LIVINGCENTER - DUNWOODY</t>
  </si>
  <si>
    <t>EARLY MEMORIAL NURSING HOME</t>
  </si>
  <si>
    <t>JOE-ANNE BURGIN NURSING HOME</t>
  </si>
  <si>
    <t>DOUGLASVILLE NURSING AND REHABILITATION CENTER</t>
  </si>
  <si>
    <t>A.G. RHODES HOME, INC, THE</t>
  </si>
  <si>
    <t>PRUITTHEALTH - MARIETTA</t>
  </si>
  <si>
    <t>FLORENCE HAND HOME</t>
  </si>
  <si>
    <t>HIGH SHOALS HEALTH AND REHABILITATION</t>
  </si>
  <si>
    <t>CHATSWORTH HEALTH CARE CENTER</t>
  </si>
  <si>
    <t>MANOR CARE REHABILITATION CENTER - MARIETTA</t>
  </si>
  <si>
    <t>CHULIO HILLS HEALTH AND REHAB</t>
  </si>
  <si>
    <t>PRUITTHEALTH - MACON</t>
  </si>
  <si>
    <t>COMER HEALTH AND REHABILITATION</t>
  </si>
  <si>
    <t>PLACE AT DEANS BRIDGE, THE</t>
  </si>
  <si>
    <t>GOLDEN LIVINGCENTER - WINDERMERE</t>
  </si>
  <si>
    <t>PLACE AT POOLER, THE</t>
  </si>
  <si>
    <t>STEVENS PARK HEALTH AND REHABILITATION CENTER, LLC</t>
  </si>
  <si>
    <t>ZEBULON PARK HEALTH AND REHABILITATION</t>
  </si>
  <si>
    <t>LENBROOK</t>
  </si>
  <si>
    <t>FAIRBURN HEALTH CARE CTR, INC</t>
  </si>
  <si>
    <t>PRUITTHEALTH - LAFAYETTE</t>
  </si>
  <si>
    <t>PLACE AT MARTINEZ, THE</t>
  </si>
  <si>
    <t>PRUITTHEALTH - BROOKHAVEN</t>
  </si>
  <si>
    <t>PRUITTHEALTH - AUSTELL</t>
  </si>
  <si>
    <t>FIFTH AVENUE HEALTH CARE</t>
  </si>
  <si>
    <t>WARRENTON HEALTH AND REHAB</t>
  </si>
  <si>
    <t>GOLDEN LIVINGCENTER - BRIARWOOD</t>
  </si>
  <si>
    <t>BAINBRIDGE HEALTH AND REHAB</t>
  </si>
  <si>
    <t>PRUITTHEALTH - WASHINGTON</t>
  </si>
  <si>
    <t>PRUITTHEALTH - MAGNOLIA MANOR</t>
  </si>
  <si>
    <t>WILLOWWOOD NURSING CENTER</t>
  </si>
  <si>
    <t>HARBORVIEW HEALTH SYSTEMS THOMASTON</t>
  </si>
  <si>
    <t>DELMAR GARDENS OF SMYRNA</t>
  </si>
  <si>
    <t>PRUITTHEALTH - AUGUSTA</t>
  </si>
  <si>
    <t>UNIVERSITY EXTENDED CARE/WESTW</t>
  </si>
  <si>
    <t>MIONA GERIATRIC &amp; DEMENTIA CENTER</t>
  </si>
  <si>
    <t>PRUITTHEALTH - SAVANNAH</t>
  </si>
  <si>
    <t>CALHOUN HEALTH CARE CTR, INC</t>
  </si>
  <si>
    <t>RIDGEWOOD MANOR HEALTH AND REHABILITATION</t>
  </si>
  <si>
    <t>BERRIEN NURSING CENTER</t>
  </si>
  <si>
    <t>PRUITTHEALTH - TOCCOA</t>
  </si>
  <si>
    <t>BOLINGREEN HEALTH AND REHABILITATION</t>
  </si>
  <si>
    <t>LIFE CARE CENTER OF GWINNETT</t>
  </si>
  <si>
    <t>ETOWAH LANDING</t>
  </si>
  <si>
    <t>DELMAR GARDENS OF GWINNETT</t>
  </si>
  <si>
    <t>MUSCOGEE MANOR &amp; REHABILITATION CTR</t>
  </si>
  <si>
    <t>RIVERSIDE HEALTH AND REHABILITATION</t>
  </si>
  <si>
    <t>LAGRANGE HEALTH AND REHAB</t>
  </si>
  <si>
    <t>DUBLINAIR HEALTH &amp; REHAB</t>
  </si>
  <si>
    <t>OCONEE HEALTH AND REHABILITATION</t>
  </si>
  <si>
    <t>TREUTLEN COUNTY HEALTH AND REHABILITATION</t>
  </si>
  <si>
    <t>KINDRED TRANSITIONAL CARE AND REHAB - LAFAYETTE</t>
  </si>
  <si>
    <t>BRENTWOOD HEALTH AND REHABILITATION</t>
  </si>
  <si>
    <t>MACON REHABILITATION AND HEALTHCARE CENTER, LLC</t>
  </si>
  <si>
    <t>GOLDEN LIVINGCENTER - ROME</t>
  </si>
  <si>
    <t>MONTEZUMA HEALTH CARE CENTER</t>
  </si>
  <si>
    <t>THOMSON HEALTH AND REHABILITATION</t>
  </si>
  <si>
    <t>CARROLLTON NURSING &amp; REHAB CTR</t>
  </si>
  <si>
    <t>HERITAGE INN OF SANDERSVILLE HEALTH AND REHAB</t>
  </si>
  <si>
    <t>PRUITTHEALTH - LAKEHAVEN</t>
  </si>
  <si>
    <t>WOOD DALE HEALTH AND REHABILITATION</t>
  </si>
  <si>
    <t>RIVERSIDE HEALTH CARE CENTER</t>
  </si>
  <si>
    <t>SOUTHLAND HEALTHCARE AND REHAB CENTER</t>
  </si>
  <si>
    <t>PRUITTHEALTH - VALDOSTA</t>
  </si>
  <si>
    <t>PRUITTHEALTH - MONROE</t>
  </si>
  <si>
    <t>CEDAR SPRINGS HEALTH AND REHAB</t>
  </si>
  <si>
    <t>SPARTA HEALTH AND REHABILITATION</t>
  </si>
  <si>
    <t>OAKS - CARROLLTON SKILLED NURSING, THE</t>
  </si>
  <si>
    <t>PRUITTHEALTH - CRESTWOOD</t>
  </si>
  <si>
    <t>OXLEY PARK HEALTH AND REHABILITATION</t>
  </si>
  <si>
    <t>PRUITTHEALTH - EASTSIDE</t>
  </si>
  <si>
    <t>OAKS - SCENIC VIEW SKILLED NURSING, THE</t>
  </si>
  <si>
    <t>PRUITTHEALTH - PEAKE</t>
  </si>
  <si>
    <t>WINTHROP HEALTH AND REHABILITATION</t>
  </si>
  <si>
    <t>QUIET OAKS HEALTH CARE CENTER</t>
  </si>
  <si>
    <t>PROVIDENCE OF SPARTA HEALTH AND REHAB</t>
  </si>
  <si>
    <t>PRUITTHEALTH - SPRING VALLEY</t>
  </si>
  <si>
    <t>QUINTON MEM HC &amp; REHAB CENTER</t>
  </si>
  <si>
    <t>LUMBER CITY NURSING &amp; REHABILITATION CENTER</t>
  </si>
  <si>
    <t>WRIGHTSVILLE NURSING HOME</t>
  </si>
  <si>
    <t>PRUITTHEALTH - FORT OGLETHORPE</t>
  </si>
  <si>
    <t>OAKS - LIMESTONE, THE</t>
  </si>
  <si>
    <t>PLEASANT VIEW NURSING CENTER</t>
  </si>
  <si>
    <t>GOLDEN LIVINGCENTER - TIFTON</t>
  </si>
  <si>
    <t>JEFFERSONVILLE HEALTH &amp; REHAB</t>
  </si>
  <si>
    <t>HARBORVIEW HEALTH SYSTEMS JESUP</t>
  </si>
  <si>
    <t>PRUITTHEALTH - FORSYTH</t>
  </si>
  <si>
    <t>OAKS - ATHENS SKILLED NURSING, THE</t>
  </si>
  <si>
    <t>WOODSTOCK NURSING &amp; REHAB CTR</t>
  </si>
  <si>
    <t>ROSWELL NURSING &amp; REHAB CENTER</t>
  </si>
  <si>
    <t>CHESTNUT RIDGE NSG &amp; REHAB CTR</t>
  </si>
  <si>
    <t>LAKE CROSSING HEALTH CENTER</t>
  </si>
  <si>
    <t>THOMASVILLE HEALTH &amp; REHAB, LLC</t>
  </si>
  <si>
    <t>OAKVIEW HEALTH AND REHABILITATION</t>
  </si>
  <si>
    <t>CORDELE HEALTH AND REHABILITATION</t>
  </si>
  <si>
    <t>SUMMERHILL ELDERLIVING HOME &amp; CARE</t>
  </si>
  <si>
    <t>HARALSON NSG &amp; REHAB CENTER</t>
  </si>
  <si>
    <t>HARTWELL HEALTH AND REHABILITATION</t>
  </si>
  <si>
    <t>CEDAR VALLEY NSG &amp; REHAB CTR</t>
  </si>
  <si>
    <t>PINE KNOLL NURSING &amp; REHAB CTR</t>
  </si>
  <si>
    <t>HERITAGE INN OF BARNESVILLE HEALTH AND REHAB</t>
  </si>
  <si>
    <t>HART CARE CENTER</t>
  </si>
  <si>
    <t>PRUITTHEALTH - SHEPHERD HILLS</t>
  </si>
  <si>
    <t>PRUITTHEALTH - TOOMSBORO</t>
  </si>
  <si>
    <t>MADISON HEALTH AND REHAB</t>
  </si>
  <si>
    <t>OCEANSIDE HEALTH &amp; REHAB</t>
  </si>
  <si>
    <t>SOUTHLAND HEALTH AND REHABILITATION</t>
  </si>
  <si>
    <t>TOWNSEND PARK HEALTH AND REHABILITATION</t>
  </si>
  <si>
    <t>WESTBURY HEALTH AND REHABILITATION CTR - MCDONOUGH</t>
  </si>
  <si>
    <t>GRAY HEALTH AND REHABILITATION</t>
  </si>
  <si>
    <t>UNIVERSITY NURSING &amp; REHAB CTR</t>
  </si>
  <si>
    <t>PRUITTHEALTH - BLUE RIDGE</t>
  </si>
  <si>
    <t>WESTBURY HEALTH &amp; REHABILITATION CENTER - CONYERS</t>
  </si>
  <si>
    <t>TRADITIONS HEALTH AND REHABILITATION</t>
  </si>
  <si>
    <t>LYNN HAVEN HEALTH AND REHABILITATION</t>
  </si>
  <si>
    <t>CHAPLINWOOD NURSING HOME</t>
  </si>
  <si>
    <t>AZALEA TRACE NURSING CENTER</t>
  </si>
  <si>
    <t>BRYANT HEALTH AND REHABILITATION CENTER</t>
  </si>
  <si>
    <t>GLENN-MOR NURSING HOME</t>
  </si>
  <si>
    <t>FOUR COUNTY HEALTH AND REHABILITATION</t>
  </si>
  <si>
    <t>EAST LAKE ARBOR</t>
  </si>
  <si>
    <t>DAWSON HEALTH AND REHABILITATION</t>
  </si>
  <si>
    <t>PROVIDENCE HEALTHCARE OF THOMASTON</t>
  </si>
  <si>
    <t>GOODWILL HEALTH AND REHAB</t>
  </si>
  <si>
    <t>NEW HORIZONS LIMESTONE</t>
  </si>
  <si>
    <t>GREENE POINT HEALTH AND REHABILITATION</t>
  </si>
  <si>
    <t>PRESBYTERIAN VILLAGE</t>
  </si>
  <si>
    <t>PRUITTHEALTH - ASHBURN</t>
  </si>
  <si>
    <t>NHC HEALTHCARE FT OGLETHORPE</t>
  </si>
  <si>
    <t>MCRAE MANOR NURSING HOME</t>
  </si>
  <si>
    <t>PREMIER ESTATES OF DUBLIN, LLC</t>
  </si>
  <si>
    <t>BOSWELL-PARKER HEALTH AND REHABILITATION</t>
  </si>
  <si>
    <t>PRESBYTERIAN HOME, QUITMAN, IN</t>
  </si>
  <si>
    <t>GOLDEN LIVINGCENTER - THOMASVILLE</t>
  </si>
  <si>
    <t>GRANDVIEW HEALTH CARE CENTER</t>
  </si>
  <si>
    <t>JESUP HEALTH AND REHAB</t>
  </si>
  <si>
    <t>NORTHEAST ATLANTA HEALTH AND REHABILITATION CENTER</t>
  </si>
  <si>
    <t>PRUITTHEALTH - MOULTRIE</t>
  </si>
  <si>
    <t>PRUITTHEALTH - FAIRBURN</t>
  </si>
  <si>
    <t>TAYLOR COUNTY HEALTH AND REHABILITATION</t>
  </si>
  <si>
    <t>BRIAN CENTER HEALTH &amp; REHABILITATION/CANTON</t>
  </si>
  <si>
    <t>PRUITTHEALTH - ATHENS HERITAGE</t>
  </si>
  <si>
    <t>PRUITTHEALTH - WEST ATLANTA</t>
  </si>
  <si>
    <t>TWIN OAKS CONVALESCENT CENTER</t>
  </si>
  <si>
    <t>ROSS MEMORIAL HEALTH CARE CTR</t>
  </si>
  <si>
    <t>PRUITTHEALTH - LILBURN</t>
  </si>
  <si>
    <t>SEARS MANOR NURSING HOME</t>
  </si>
  <si>
    <t>A.G. RHODES HOME, INC - COBB</t>
  </si>
  <si>
    <t>ORCHARD HEALTH AND REHABILITATION</t>
  </si>
  <si>
    <t>ROBERTA HEALTH AND REHAB</t>
  </si>
  <si>
    <t>BRANDON WILDE PAVILION</t>
  </si>
  <si>
    <t>CRESTVIEW HEALTH &amp; REHAB CTR</t>
  </si>
  <si>
    <t>AVALON HEALTH AND REHABILITATION</t>
  </si>
  <si>
    <t>PRUITTHEALTH - GRIFFIN</t>
  </si>
  <si>
    <t>ROCKMART HEALTH &amp; REHAB</t>
  </si>
  <si>
    <t>PRUITTHEALTH - VIRGINIA PARK</t>
  </si>
  <si>
    <t>SOCIAL CIRCLE NSG &amp; REHAB CTR</t>
  </si>
  <si>
    <t>PRUITTHEALTH - SWAINSBORO</t>
  </si>
  <si>
    <t>AZALEALAND NURSING HOME</t>
  </si>
  <si>
    <t>LAKE CITY NURSING AND REHABILITATION CENTER LLC</t>
  </si>
  <si>
    <t>WINDER HEALTH CARE &amp; REHAB CTR</t>
  </si>
  <si>
    <t>RENAISSANCE CENTER</t>
  </si>
  <si>
    <t>POWDER SPRINGS TRANSITIONAL CARE AND REHAB</t>
  </si>
  <si>
    <t>ARROWHEAD HEALTH AND REHAB</t>
  </si>
  <si>
    <t>TWIN VIEW HEALTH AND REHAB</t>
  </si>
  <si>
    <t>CROSSVIEW CARE CENTER</t>
  </si>
  <si>
    <t>SADIE G. MAYS HEALTH &amp; REHABILITATION CENTER</t>
  </si>
  <si>
    <t>MAPLE RIDGE HEALTH CARE CENTER</t>
  </si>
  <si>
    <t>SYL-VIEW HEALTH CARE CENTER</t>
  </si>
  <si>
    <t>JONESBORO NURSING AND REHABILITATION CENTER</t>
  </si>
  <si>
    <t>SAVANNAH SQUARE HEALTH CENTER</t>
  </si>
  <si>
    <t>WESTVIEW NURSING &amp; REHABILITATION CENTER</t>
  </si>
  <si>
    <t>LILLIAN G CARTER HEALTH AND REHABILITATION</t>
  </si>
  <si>
    <t>CUMMING NURSING CENTER</t>
  </si>
  <si>
    <t>LODGE, THE</t>
  </si>
  <si>
    <t>WOODLANDS HEALTH CARE</t>
  </si>
  <si>
    <t>GRACEMORE NURSING AND REHAB</t>
  </si>
  <si>
    <t>BONTERRA TRANSITIONAL CARE &amp; REHABILITATION</t>
  </si>
  <si>
    <t>BRIGHTMOOR HEALTH CARE, INC</t>
  </si>
  <si>
    <t>DADE HEALTH AND REHAB</t>
  </si>
  <si>
    <t>FRIENDSHIP HEALTH AND REHAB</t>
  </si>
  <si>
    <t>GATEWAY HEALTH AND REHAB</t>
  </si>
  <si>
    <t>MEADOWBROOK HEALTH AND REHAB</t>
  </si>
  <si>
    <t>PRUITTHEALTH - HOLLY HILL</t>
  </si>
  <si>
    <t>WESTBURY MEDICAL CARE AND REHAB</t>
  </si>
  <si>
    <t>PINEHILL NURSING CENTER</t>
  </si>
  <si>
    <t>ROSEMONT AT STONE MOUNTAIN</t>
  </si>
  <si>
    <t>RIVER TOWNE CENTER</t>
  </si>
  <si>
    <t>CRISP REGIONAL NSG &amp; REHAB CTR</t>
  </si>
  <si>
    <t>FOX GLOVE CENTER</t>
  </si>
  <si>
    <t>CAMELLIA GARDENS OF LIFE CARE</t>
  </si>
  <si>
    <t>CARTERSVILLE HEIGHTS</t>
  </si>
  <si>
    <t>CHRISTIAN CITY REHABILITATION CENTER</t>
  </si>
  <si>
    <t>TATTNALL HEALTHCARE CENTER</t>
  </si>
  <si>
    <t>OAK VIEW HOME, INC</t>
  </si>
  <si>
    <t>ALTAMAHA HEALTHCARE CENTER</t>
  </si>
  <si>
    <t>GREEN ACRES HEALTH AND REHABILITATION</t>
  </si>
  <si>
    <t>HEALTHCARE AT COLLEGE PARK, LLC</t>
  </si>
  <si>
    <t>AUTUMN BREEZE HEALTH AND REHAB</t>
  </si>
  <si>
    <t>MAGNOLIA MANOR OF ST SIMONS REHAB &amp; NURSING CENTER</t>
  </si>
  <si>
    <t>GORDON HEALTH AND REHABILITATION</t>
  </si>
  <si>
    <t>LEGACY TRANSITIONAL CARE &amp; REHABILITATION</t>
  </si>
  <si>
    <t>PINEWOOD MANOR NURSING HOME &amp; REHABILITATION CNTR</t>
  </si>
  <si>
    <t>SOUTHERN TRADITIONS</t>
  </si>
  <si>
    <t>PRUITTHEALTH - COVINGTON</t>
  </si>
  <si>
    <t>COUNTRYSIDE HEALTH CENTER</t>
  </si>
  <si>
    <t>BAYVIEW NURSING HOME</t>
  </si>
  <si>
    <t>EATONTON HEALTH AND REHABILITATION</t>
  </si>
  <si>
    <t>GRACE HEALTHCARE OF TUCKER</t>
  </si>
  <si>
    <t>HERITAGE INN HEALTH AND REHABILITATION</t>
  </si>
  <si>
    <t>CAMELLIA HEALTH &amp; REHABILITATION</t>
  </si>
  <si>
    <t>MAGNOLIA MANOR OF MARION COUNTY</t>
  </si>
  <si>
    <t>PRUITTHEALTH - LANIER</t>
  </si>
  <si>
    <t>WESTWOOD NURSING CENTER</t>
  </si>
  <si>
    <t>WARM SPRINGS MEDICAL CENTER NURSING HOME</t>
  </si>
  <si>
    <t>BROWN'S HEALTH &amp; REHAB CENTER</t>
  </si>
  <si>
    <t>WAYCROSS HEALTH AND REHABILITATION</t>
  </si>
  <si>
    <t>CANTON NURSING CENTER</t>
  </si>
  <si>
    <t>PINEWOOD NURSING CENTER</t>
  </si>
  <si>
    <t>PRUITTHEALTH - OCILLA</t>
  </si>
  <si>
    <t>CANDLER SKILLED NURSING UNIT</t>
  </si>
  <si>
    <t>SHADY ACRES HEALTH AND REHABILITATION</t>
  </si>
  <si>
    <t>WARNER ROBINS REHABILITATION CENTER</t>
  </si>
  <si>
    <t>GIBSON HEALTH AND REHABILITATION</t>
  </si>
  <si>
    <t>LEE COUNTY HEALTH AND REHABILITATION</t>
  </si>
  <si>
    <t>BAPTIST VILLAGE, INC.</t>
  </si>
  <si>
    <t>PRUITTHEALTH - FRANKLIN</t>
  </si>
  <si>
    <t>PRUITTHEALTH - FITZGERALD</t>
  </si>
  <si>
    <t>EAGLE HEALTH &amp; REHABILITATION</t>
  </si>
  <si>
    <t>GLENVUE HEALTH AND REHAB</t>
  </si>
  <si>
    <t>BRYAN COUNTY HLTH &amp; REHAB CTR</t>
  </si>
  <si>
    <t>EASTMAN HEALTHCARE &amp; REHAB</t>
  </si>
  <si>
    <t>ABBEVILLE HEALTHCARE &amp; REHAB</t>
  </si>
  <si>
    <t>THUNDERBOLT TRANSITIONAL CARE AND REHABILITATION</t>
  </si>
  <si>
    <t>WYNFIELD PARK HEALTH AND REHABILITATION</t>
  </si>
  <si>
    <t>HAZELHURST CENTER</t>
  </si>
  <si>
    <t>OAKS NURSING HOME, INC, THE</t>
  </si>
  <si>
    <t>PRUITTHEALTH - PALMYRA</t>
  </si>
  <si>
    <t>PRUITTHEALTH - SYLVESTER</t>
  </si>
  <si>
    <t>FOLKSTON PARK</t>
  </si>
  <si>
    <t>PRUITTHEALTH - GRANDVIEW</t>
  </si>
  <si>
    <t>SAVANNAH BEACH HEALTH AND REHAB</t>
  </si>
  <si>
    <t>CLINCH HEALTHCARE CENTER</t>
  </si>
  <si>
    <t>PORTER FIELD HEALTH &amp; REHAB CENTER</t>
  </si>
  <si>
    <t>CARROLLTON MANOR, INCORPORATED</t>
  </si>
  <si>
    <t>ST JOSEPH'S TRANSITIONAL CARE UNIT</t>
  </si>
  <si>
    <t>RIVERVIEW HEALTH &amp; REHAB CTR</t>
  </si>
  <si>
    <t>AZALEA HEALTH AND REHABILITATION</t>
  </si>
  <si>
    <t>SCEPTER REHABILITATION AND HEALTHCARE CENTER, LLC</t>
  </si>
  <si>
    <t>KEYSVILLE NURSING HOME &amp; REHAB CENTER</t>
  </si>
  <si>
    <t>GWINNETT EXTENDED CARE CENTER</t>
  </si>
  <si>
    <t>PRUITTHEALTH - DECATUR</t>
  </si>
  <si>
    <t>OCONEE REG MC SKILLED NSG UNIT</t>
  </si>
  <si>
    <t>FORT VALLEY HEALTH AND REHAB</t>
  </si>
  <si>
    <t>CHERRY BLOSSOM HEALTH AND REHABILITATION</t>
  </si>
  <si>
    <t>LIFE CARE CENTER</t>
  </si>
  <si>
    <t>COOK SENIOR LIVING CENTER</t>
  </si>
  <si>
    <t>EASTVIEW NURSING CENTER</t>
  </si>
  <si>
    <t>ELBERTA HEALTH CARE</t>
  </si>
  <si>
    <t>PRUITTHEALTH - GREENVILLE</t>
  </si>
  <si>
    <t>LIFE CARE CTR OF LAWRENCEVILLE</t>
  </si>
  <si>
    <t>GOLDEN LIVINGCENTER - KENNESTONE</t>
  </si>
  <si>
    <t>REGENCY PARK HEALTH AND REHABILITATION</t>
  </si>
  <si>
    <t>COASTAL MANOR</t>
  </si>
  <si>
    <t>COBBLESTONE REHABILITATION &amp;HEALTHCARE CENTER, LLC</t>
  </si>
  <si>
    <t>PRUITTHEALTH - SUNRISE</t>
  </si>
  <si>
    <t>ROCKDALE HEALTHCARE CENTER</t>
  </si>
  <si>
    <t>SCOTT HEALTH &amp; REHABILITATION</t>
  </si>
  <si>
    <t>PRUITTHEALTH - AUGUSTA HILLS</t>
  </si>
  <si>
    <t>LAUREL PARK AT HENRY MED CTR</t>
  </si>
  <si>
    <t>WESTMINSTER COMMONS</t>
  </si>
  <si>
    <t>RETREAT, THE</t>
  </si>
  <si>
    <t>REHABILITATION CENTER OF SOUTH GEORGIA</t>
  </si>
  <si>
    <t>PRUITTHEALTH - JASPER</t>
  </si>
  <si>
    <t>VERO HEALTH AND REHAB OF WADLEY</t>
  </si>
  <si>
    <t>CARLYLE PLACE</t>
  </si>
  <si>
    <t>PRUITTHEALTH - OLD CAPITOL</t>
  </si>
  <si>
    <t>BUDD TERRACE AT WESLEY WOODS</t>
  </si>
  <si>
    <t>GILMER NURSING HOME</t>
  </si>
  <si>
    <t>SENIOR CARE CENTER - ST MARYS</t>
  </si>
  <si>
    <t>HEARDMONT NURSING HOME</t>
  </si>
  <si>
    <t>NANCY HART NURSING CENTER</t>
  </si>
  <si>
    <t>WILLOWBROOKE COURT AT LANIER VILLAGE ESTATES</t>
  </si>
  <si>
    <t>MOUNTAIN VIEW HEALTH CARE</t>
  </si>
  <si>
    <t>GOLD CITY CONVALESCENT CENTER</t>
  </si>
  <si>
    <t>D SCOTT HUDGENS CENTER FOR SKILLED NURSING, THE</t>
  </si>
  <si>
    <t>MEDICAL MANAGEMENT HEALTH AND REHAB CENTER</t>
  </si>
  <si>
    <t>MOLENA HEALTH &amp; REHAB</t>
  </si>
  <si>
    <t>PARK SPRINGS HEALTH CENTER</t>
  </si>
  <si>
    <t>UNION COUNTY NURSING HOME</t>
  </si>
  <si>
    <t>FORT GAINES HEALTH AND REHAB</t>
  </si>
  <si>
    <t>FOUNTAINVIEW CTR FOR ALZHEIMER</t>
  </si>
  <si>
    <t>PRUITTHEALTH - BETHANY</t>
  </si>
  <si>
    <t>CHATUGE REGIONAL NURSING HOME</t>
  </si>
  <si>
    <t>WASHINGTON CO EXTENDED CARE FA</t>
  </si>
  <si>
    <t>GLENWOOD HEALTHCARE</t>
  </si>
  <si>
    <t>EMANUEL COUNTY NURSING HOME</t>
  </si>
  <si>
    <t>OAKS - BETHANY SKILLED NURSING, THE</t>
  </si>
  <si>
    <t>WILDWOOD HEALTH AND REHAB</t>
  </si>
  <si>
    <t>SGMC LAKELAND VILLA</t>
  </si>
  <si>
    <t>CHURCH HOME REHABILITATION AND HEALTHCARE</t>
  </si>
  <si>
    <t>TWIN FOUNTAINS HOME</t>
  </si>
  <si>
    <t>HILL HAVEN NURSING HOME</t>
  </si>
  <si>
    <t>MEMORIAL MANOR NURSING HOME</t>
  </si>
  <si>
    <t>SEMINOLE MANOR NURSING HOME</t>
  </si>
  <si>
    <t>PALEMON GASKINS MEM NSG HOME</t>
  </si>
  <si>
    <t>NORTHRIDGE HEALTH AND REHABILITATION</t>
  </si>
  <si>
    <t>OAKS HEALTH CTR AT THE MARSHES OF SKIDAWAY ISLAND</t>
  </si>
  <si>
    <t>SPRING HARBOR AT GREEN ISLAND</t>
  </si>
  <si>
    <t>RELIABLE HEALTH &amp; REHAB AT LAKEWOOD</t>
  </si>
  <si>
    <t>MARSH'S EDGE</t>
  </si>
  <si>
    <t>PRUITTHEALTH - ROME</t>
  </si>
  <si>
    <t>EVERGREEN HEALTH &amp; REHABILITATION CENTER</t>
  </si>
  <si>
    <t>SENIOR CARE CENTER - BRUNSWICK</t>
  </si>
  <si>
    <t>ANSLEY PARK HEALTH AND REHABILITATION</t>
  </si>
  <si>
    <t>SALUDE - THE ART OF RECOVERY</t>
  </si>
  <si>
    <t>CHELSEY PARK HEALTH AND REHABILITATION</t>
  </si>
  <si>
    <t>HARRINGTON PARK HEALTH AND REHABILITATION</t>
  </si>
  <si>
    <t>MEADOWS PARK HEALTH AND REHABILITATION</t>
  </si>
  <si>
    <t>NEW LONDON HEALTH CENTER</t>
  </si>
  <si>
    <t>HILO MEDICAL CENTER</t>
  </si>
  <si>
    <t>GARDEN ISLE HEALTHCARE AND REHABILITATION CENTER</t>
  </si>
  <si>
    <t>ISLAND NURSING HOME</t>
  </si>
  <si>
    <t>HALE MAKUA - KAHULUI</t>
  </si>
  <si>
    <t>MALUHIA</t>
  </si>
  <si>
    <t>LEAHI HOSPITAL</t>
  </si>
  <si>
    <t>HALE NANI REHABILITATION AND NURSING CENTER</t>
  </si>
  <si>
    <t>MAUNALANI NURSING AND REHABILITATION CENTER</t>
  </si>
  <si>
    <t>ARCADIA RETIREMENT RESIDENCE</t>
  </si>
  <si>
    <t>WAHIAWA GENERAL HOSPITAL</t>
  </si>
  <si>
    <t>THE CARE CENTER OF HONOLULU</t>
  </si>
  <si>
    <t>AVALON CARE CENTER - HONOLULU, LLC</t>
  </si>
  <si>
    <t>NUUANU HALE</t>
  </si>
  <si>
    <t>KUAKINI GERIATRIC CARE, INC</t>
  </si>
  <si>
    <t>KONA COMMUNITY HOSPITAL</t>
  </si>
  <si>
    <t>SAMUEL MAHELONA MEMORIAL HOSPITAL</t>
  </si>
  <si>
    <t>HARRY AND JEANETTE WEINBERG CARE CENTER</t>
  </si>
  <si>
    <t>THE QUEEN`S MEDICAL CENTER</t>
  </si>
  <si>
    <t>ALOHA NURSING &amp; REHAB CENTRE</t>
  </si>
  <si>
    <t>LIFE CARE CENTER OF HILO</t>
  </si>
  <si>
    <t>LILIHA HEALTHCARE CENTER</t>
  </si>
  <si>
    <t>OAHU CARE FACILITY</t>
  </si>
  <si>
    <t>PEARL CITY NURSING HOME</t>
  </si>
  <si>
    <t>HALE ANUENUE RESTORATIVE CARE</t>
  </si>
  <si>
    <t>PU'UWAI 'O MAKAHA</t>
  </si>
  <si>
    <t>HALE OLA KINO</t>
  </si>
  <si>
    <t>ANN PEARL NURSING FACILITY</t>
  </si>
  <si>
    <t>HALE MALAMALAMA</t>
  </si>
  <si>
    <t>KA PUNAWAI OLA</t>
  </si>
  <si>
    <t>LIFE CARE CENTER OF KONA</t>
  </si>
  <si>
    <t>HI'OLANI CARE CENTER AT KAHALA NUI</t>
  </si>
  <si>
    <t>HALE MAKUA HEALTH SERVICES</t>
  </si>
  <si>
    <t>YUKIO OKUTSU STATE VETERANS HOME</t>
  </si>
  <si>
    <t>PALOLO CHINESE HOME</t>
  </si>
  <si>
    <t>KFH - MALAMA 'OHANA NURSING AND REHAB CENTER</t>
  </si>
  <si>
    <t>KAUAI CARE CENTER</t>
  </si>
  <si>
    <t>HALE KUPUNA HERITAGE HOME, LLC</t>
  </si>
  <si>
    <t>15 CRAIGSIDE</t>
  </si>
  <si>
    <t>CLARENCE TC CHING VILLAS AT ST FRANCIS</t>
  </si>
  <si>
    <t>ST LUKE'S ELMORE LONG TERM CARE</t>
  </si>
  <si>
    <t>BINGHAM MEMORIAL SKILLED NURSING &amp; REHABILITATION</t>
  </si>
  <si>
    <t>KINDRED NURSING AND REHABILITATION - WEISER</t>
  </si>
  <si>
    <t>GATEWAY TRANSITIONAL CARE CENTER</t>
  </si>
  <si>
    <t>KINDRED NURSING AND REHABILITATION - CALDWELL</t>
  </si>
  <si>
    <t>PAYETTE CENTER</t>
  </si>
  <si>
    <t>MONTE VISTA HILLS HEALTHCARE CENTER</t>
  </si>
  <si>
    <t>KINDRED NURSING AND REHABILITATION - NAMPA</t>
  </si>
  <si>
    <t>RIVER'S EDGE REHABILITATION &amp; LIVING CENTER</t>
  </si>
  <si>
    <t>KINDRED TRANSITIONAL CARE AND REHAB - LEWISTON</t>
  </si>
  <si>
    <t>LIFE CARE CENTER OF BOISE</t>
  </si>
  <si>
    <t>LACROSSE HEALTH &amp; REHABILITATION CENTER</t>
  </si>
  <si>
    <t>CLEARWATER HEALTH &amp; REHABILITATION</t>
  </si>
  <si>
    <t>KINDRED NURSING AND REHABILITATION - CANYON WEST</t>
  </si>
  <si>
    <t>COEUR D'ALENE HEALTH CARE &amp; REHABILITATION CENTER</t>
  </si>
  <si>
    <t>IVY COURT</t>
  </si>
  <si>
    <t>VALLEY VISTA CARE CENTER OF SANDPOINT</t>
  </si>
  <si>
    <t>LINCOLN COUNTY CARE CENTER</t>
  </si>
  <si>
    <t>GOOD SAMARITAN SOCIETY - SILVER WOOD VILLAGE</t>
  </si>
  <si>
    <t>FRANKLIN COUNTY TRANSITIONAL CARE</t>
  </si>
  <si>
    <t>COUNTRYSIDE CARE &amp; REHABILITATION</t>
  </si>
  <si>
    <t>KINDRED NURSING AND REHABILITATION-MOUNTAIN VALLEY</t>
  </si>
  <si>
    <t>GOOD SAMARITAN SOCIETY - MOSCOW VILLAGE</t>
  </si>
  <si>
    <t>PARKE VIEW REHABILITATION &amp; CARE CENTER</t>
  </si>
  <si>
    <t>BELL MOUNTAIN VILLAGE &amp; CARE CENTER</t>
  </si>
  <si>
    <t>BEAR LAKE MEMORIAL SKILLED NURSING FACILITY</t>
  </si>
  <si>
    <t>SAFE HAVEN CARE CENTER OF POCATELLO</t>
  </si>
  <si>
    <t>VALLEY VISTA CARE CENTER OF ST MARIES</t>
  </si>
  <si>
    <t>MIDLAND REHABILITATION AND HEALTHCARE CENTER</t>
  </si>
  <si>
    <t>AVAMERE TRANSITIONAL CARE &amp; REHAB - BOISE</t>
  </si>
  <si>
    <t>APEX CENTER</t>
  </si>
  <si>
    <t>GRANGEVILLE HEALTH &amp; REHABILITATION CENTER</t>
  </si>
  <si>
    <t>MINI-CASSIA CARE CENTER</t>
  </si>
  <si>
    <t>MCCALL REHABILITATION &amp; CARE CENTER</t>
  </si>
  <si>
    <t>OAK CREEK REHABILITATION CENTER OF KIMBERLY</t>
  </si>
  <si>
    <t>GOOD SAMARITAN SOCIETY - BOISE VILLAGE</t>
  </si>
  <si>
    <t>OWYHEE HEALTH &amp; REHABILITATION CENTER</t>
  </si>
  <si>
    <t>DESERT VIEW CARE CENTER OF BUHL</t>
  </si>
  <si>
    <t>SHAW MOUNTAIN OF CASCADIA</t>
  </si>
  <si>
    <t>LIFE CARE CENTER OF IDAHO FALLS</t>
  </si>
  <si>
    <t>GOOD SAMARITAN SOCIETY - IDAHO FALLS VILLAGE</t>
  </si>
  <si>
    <t>KINDRED NURSING AND REHABILITATION - ASPEN PARK</t>
  </si>
  <si>
    <t>HOLLY LANE REHABILITATION AND HEALTHCARE CENTER</t>
  </si>
  <si>
    <t>CHERRY RIDGE CENTER</t>
  </si>
  <si>
    <t>ASHTON MEMORIAL  LIVING CENTER</t>
  </si>
  <si>
    <t>VALLEY VIEW NURSING &amp; REHABILITATION</t>
  </si>
  <si>
    <t>SUNNY RIDGE</t>
  </si>
  <si>
    <t>PRESTIGE CARE &amp; REHABILITATION - THE ORCHARDS</t>
  </si>
  <si>
    <t>TWIN FALLS CENTER</t>
  </si>
  <si>
    <t>REXBURG CARE &amp; REHABILITATION CENTER</t>
  </si>
  <si>
    <t>RIVER RIDGE CENTER</t>
  </si>
  <si>
    <t>KARCHER ESTATES, LLC</t>
  </si>
  <si>
    <t>BRIDGEVIEW ESTATES</t>
  </si>
  <si>
    <t>ST LUKE'S REHAB - ELKS SUB ACUTE REHAB UNIT</t>
  </si>
  <si>
    <t>EASTERN IDAHO REGIONAL MEDICAL CENTER - TCU</t>
  </si>
  <si>
    <t>ROYAL PLAZA HEALTH &amp; REHABILITATION</t>
  </si>
  <si>
    <t>SAINT ALPHONSUS TRANSITIONAL REHABILITATION UNIT</t>
  </si>
  <si>
    <t>LIFE CARE CENTER OF COEUR D'ALENE</t>
  </si>
  <si>
    <t>LIFE CARE CENTER OF TREASURE VALLEY</t>
  </si>
  <si>
    <t>MERIDIAN CENTER GENESIS HEALTHCARE</t>
  </si>
  <si>
    <t>LIFE CARE CENTER OF SANDPOINT</t>
  </si>
  <si>
    <t>LIFE CARE CENTER OF LEWISTON</t>
  </si>
  <si>
    <t>DISCOVERY CARE CENTER</t>
  </si>
  <si>
    <t>ASPEN TRANSITIONAL REHABILITATION</t>
  </si>
  <si>
    <t>IDAHO STATE VETERANS HOME - BOISE</t>
  </si>
  <si>
    <t>IDAHO STATE VETERANS HOME - POCATELLO</t>
  </si>
  <si>
    <t>IDAHO STATE VETERANS HOME - LEWISTON</t>
  </si>
  <si>
    <t>BENNETT HILLS CENTER</t>
  </si>
  <si>
    <t>LIFE CARE CENTER OF POST FALLS</t>
  </si>
  <si>
    <t>QUINN MEADOWS REHABILITATION &amp; CARE CENTER</t>
  </si>
  <si>
    <t>PROMONTORY POINT REHABILITATION</t>
  </si>
  <si>
    <t>TETON POST ACUTE CARE &amp; REHABILITATION</t>
  </si>
  <si>
    <t>RIVERVIEW REHABILITATION</t>
  </si>
  <si>
    <t>MADISON CARRIAGE COVE SHORT STAY REHABILITATION</t>
  </si>
  <si>
    <t>SHELBY MEMORIAL HOSPITAL</t>
  </si>
  <si>
    <t>MC DONOUGH DISTRICT HOSPITAL</t>
  </si>
  <si>
    <t>GREENVILLE REGIONAL HOSPITAL</t>
  </si>
  <si>
    <t>ST MARGARETS HOSPITAL</t>
  </si>
  <si>
    <t>RICHLAND MEMORIAL HOSPITAL</t>
  </si>
  <si>
    <t>SAINT JAMES HOSPITAL</t>
  </si>
  <si>
    <t>HARRISBURG MEDICAL CENTER</t>
  </si>
  <si>
    <t>ILLINOIS VALLEY COMMUNITY HOSPITAL</t>
  </si>
  <si>
    <t>WASHINGTON CHRISTIAN VILLAGE</t>
  </si>
  <si>
    <t>CITADEL CARE CENTER-ELGIN</t>
  </si>
  <si>
    <t>GROVE OF FOX VALLEY,THE</t>
  </si>
  <si>
    <t>DUQUOIN NURSING AND REHAB</t>
  </si>
  <si>
    <t>GROVE OF EVANSTON L &amp; R, THE</t>
  </si>
  <si>
    <t>HEARTLAND OF GALESBURG</t>
  </si>
  <si>
    <t>HERITAGE HEALTH-BLOOMINGTON</t>
  </si>
  <si>
    <t>HEARTLAND OF MACOMB</t>
  </si>
  <si>
    <t>PINECREST MANOR</t>
  </si>
  <si>
    <t>WESTMINSTER PLACE</t>
  </si>
  <si>
    <t>HEARTLAND OF MOLINE</t>
  </si>
  <si>
    <t>PRESENCE VILLA FRANCISCAN</t>
  </si>
  <si>
    <t>HEARTLAND OF NORMAL</t>
  </si>
  <si>
    <t>HEARTLAND OF DECATUR</t>
  </si>
  <si>
    <t>HEARTLAND OF PEORIA</t>
  </si>
  <si>
    <t>CITADEL CARE CENTER-KANKAKEE</t>
  </si>
  <si>
    <t>HERITAGE HEALTH-PERU</t>
  </si>
  <si>
    <t>MANORCARE OF NAPERVILLE</t>
  </si>
  <si>
    <t>DU PAGE CONVALESCENT CENTER</t>
  </si>
  <si>
    <t>HERITAGE HEALTH-CHILLICOTHE</t>
  </si>
  <si>
    <t>HERITAGE HEALTH-STREATOR</t>
  </si>
  <si>
    <t>COURTYARD HEALTHCARE CENTER</t>
  </si>
  <si>
    <t>MANORCARE OF OAK LAWN WEST</t>
  </si>
  <si>
    <t>MEMORIAL CARE CENTER</t>
  </si>
  <si>
    <t>ELMHURST EXTENDED CARE CENTER</t>
  </si>
  <si>
    <t>EUNICE C SMITH NURSING HOME</t>
  </si>
  <si>
    <t>DOBSON PLAZA</t>
  </si>
  <si>
    <t>ALDEN LINCOLN REHAB &amp; H C CTR</t>
  </si>
  <si>
    <t>BURGIN MANOR</t>
  </si>
  <si>
    <t>AUBURN REHAB &amp; HCC</t>
  </si>
  <si>
    <t>ALDEN DEBES REHAB &amp; HCC</t>
  </si>
  <si>
    <t>HERITAGE HEALTH-MENDOTA</t>
  </si>
  <si>
    <t>MOSAIC OF SPRINGFIELD, THE</t>
  </si>
  <si>
    <t>GLEN OAKS NRSG &amp; REHAB CTR</t>
  </si>
  <si>
    <t>HEATHER HEALTH CARE CENTER</t>
  </si>
  <si>
    <t>COLONIAL MANOR</t>
  </si>
  <si>
    <t>HEARTLAND OF CHAMPAIGN</t>
  </si>
  <si>
    <t>APERION CARE OAK LAWN</t>
  </si>
  <si>
    <t>BELLA TERRA MORTON GROVE</t>
  </si>
  <si>
    <t>MANORCARE OF ARLINGTON HEIGHTS</t>
  </si>
  <si>
    <t>FRANKLIN GROVE LIVING AND REHAB</t>
  </si>
  <si>
    <t>BRIDGEVIEW HEALTH CARE CENTER</t>
  </si>
  <si>
    <t>BRENTWOOD SUB-ACUTE HEALTHCARE CENTER</t>
  </si>
  <si>
    <t>WYNSCAPE HEALTH &amp; REHAB</t>
  </si>
  <si>
    <t>LAKE FOREST HOSPITAL SNU</t>
  </si>
  <si>
    <t>BURGESS SQUARE HEALTHCARE CTR</t>
  </si>
  <si>
    <t>PINE CREST HEALTH CARE</t>
  </si>
  <si>
    <t>PARC AT JOLIET,THE</t>
  </si>
  <si>
    <t>CROSSROADS CARE CTR WOODSTOCK</t>
  </si>
  <si>
    <t>ST JOHN HOSPITAL LTC UNIT</t>
  </si>
  <si>
    <t>HERITAGE HEALTH-SPRINGFIELD</t>
  </si>
  <si>
    <t>PEARL PAVILION</t>
  </si>
  <si>
    <t>LAKEFRONT NURSING &amp; REHAB CTR</t>
  </si>
  <si>
    <t>GENERATIONS AT REGENCY</t>
  </si>
  <si>
    <t>CORNERSTONE REHAB &amp; HC</t>
  </si>
  <si>
    <t>HELIA SOUTHBELT HEALTHCARE</t>
  </si>
  <si>
    <t>NORTH LOGAN HEALTHCARE CENTER</t>
  </si>
  <si>
    <t>MOSAIC OF LAKESHORE, THE</t>
  </si>
  <si>
    <t>MANORCARE OF HINSDALE</t>
  </si>
  <si>
    <t>DOCTORS NURSING AND REHAB CENTER</t>
  </si>
  <si>
    <t>MORTON VILLA HLTH &amp; REHAB CTR</t>
  </si>
  <si>
    <t>LAKELAND REHAB &amp; HEALTHCARE CENTER</t>
  </si>
  <si>
    <t>CRYSTAL PINES REHAB &amp; HCC</t>
  </si>
  <si>
    <t>ALDEN PARK STRATHMOOR</t>
  </si>
  <si>
    <t>PINE ACRES REHAB &amp; LIVING CTR</t>
  </si>
  <si>
    <t>FONDULAC REHABILITATION &amp; HCC</t>
  </si>
  <si>
    <t>HERITAGE HEALTH-PANA</t>
  </si>
  <si>
    <t>GLENVIEW TERRACE NURSING CTR</t>
  </si>
  <si>
    <t>HOPE CREEK CARE CENTER</t>
  </si>
  <si>
    <t>HERITAGE HEALTH-LITCHFIELD</t>
  </si>
  <si>
    <t>JACKSONVILLE SKILLED NURSING &amp; REHAB</t>
  </si>
  <si>
    <t>TIMBERCREEK REHAB &amp; HEALTHCARE CENTER</t>
  </si>
  <si>
    <t>STERLING PAVILION</t>
  </si>
  <si>
    <t>BUCKINGHAM PAVILION</t>
  </si>
  <si>
    <t>HERITAGE HEALTH-STAUNTON</t>
  </si>
  <si>
    <t>HELIA HEALTHCARE OF BELLEVILLE</t>
  </si>
  <si>
    <t>MIDWEST REHAB &amp; RESPIRATORY</t>
  </si>
  <si>
    <t>PRAIRIE VILLAGE HEALTHCARE CTR</t>
  </si>
  <si>
    <t>RIVERSHORES HLTH &amp; REHAB CTR</t>
  </si>
  <si>
    <t>BRENTWOOD NORTH HC &amp;REHAB CTR</t>
  </si>
  <si>
    <t>GROVE OF LAGRANGE PARK, THE</t>
  </si>
  <si>
    <t>RIVER VIEW REHAB CENTER</t>
  </si>
  <si>
    <t>RED BUD REGIONAL CARE</t>
  </si>
  <si>
    <t>NORTHWOODS CARE CENTRE</t>
  </si>
  <si>
    <t>OSF ST ANTHONY'S HEALTH CENTER SNF</t>
  </si>
  <si>
    <t>APERION CARE WILMINGTON</t>
  </si>
  <si>
    <t>HERITAGE HEALTH-EL PASO</t>
  </si>
  <si>
    <t>CARRIER MILLS NURSING &amp; REHAB CENTER</t>
  </si>
  <si>
    <t>PRESENCE RESURRECTION N &amp; R</t>
  </si>
  <si>
    <t>NORRIDGE GARDENS</t>
  </si>
  <si>
    <t>WEST SUBURBAN NURSING &amp; REHAB CENTER</t>
  </si>
  <si>
    <t>BALLARD RESPIRATORY AND REHAB</t>
  </si>
  <si>
    <t>WARREN BARR LIVING &amp; REHAB CTR</t>
  </si>
  <si>
    <t>SYMPHONY OF BRONZEVILLE</t>
  </si>
  <si>
    <t>MANORCARE OF WESTMONT</t>
  </si>
  <si>
    <t>ELM BROOK HEALTHCARE &amp; REHAB</t>
  </si>
  <si>
    <t>FRIENDSHIP VILLAGE-SCHAUMBURG</t>
  </si>
  <si>
    <t>AMBASSADOR NURSING &amp; REHAB CENTER</t>
  </si>
  <si>
    <t>LIBERTYVILLE MANOR EXT CARE</t>
  </si>
  <si>
    <t>GILMAN HEALTHCARE CENTER</t>
  </si>
  <si>
    <t>MANORCARE OF ROLLING MEADOWS</t>
  </si>
  <si>
    <t>COMMUNITY NURSING &amp; REHAB CTR</t>
  </si>
  <si>
    <t>MANORCARE OF OAK LAWN EAST</t>
  </si>
  <si>
    <t>CHAMPAIGN COUNTY NURSING HOME</t>
  </si>
  <si>
    <t>HERITAGE HEALTH-GILLESPIE</t>
  </si>
  <si>
    <t>SULLIVAN REHAB &amp; HLTH CARE CTR</t>
  </si>
  <si>
    <t>APERION CARE BLOOMINGTON</t>
  </si>
  <si>
    <t>SYMPHONY OF JOLIET</t>
  </si>
  <si>
    <t>OAKVIEW HTS CONT C &amp; REHAB CTR</t>
  </si>
  <si>
    <t>ALDEN VALLEY RIDGE REHAB &amp; HCC</t>
  </si>
  <si>
    <t>LUTHERAN CARE CENTER</t>
  </si>
  <si>
    <t>CLARK-LINDSEY VILLAGE</t>
  </si>
  <si>
    <t>LEE MANOR</t>
  </si>
  <si>
    <t>EDEN VILLAGE CARE CENTER</t>
  </si>
  <si>
    <t>SOUTHGATE HEALTH CARE CENTER</t>
  </si>
  <si>
    <t>ST ANTHONY'S NRSG &amp; REHAB CENTER</t>
  </si>
  <si>
    <t>HELIA HEALTHCARE OF OLNEY</t>
  </si>
  <si>
    <t>WATSEKA REHAB &amp; HLTH CARE CTR</t>
  </si>
  <si>
    <t>HERITAGE HEALTH-LASALLE</t>
  </si>
  <si>
    <t>ALDEN POPLAR CREEK REHAB &amp; HCC</t>
  </si>
  <si>
    <t>FARMINGTON COUNTRY MANOR</t>
  </si>
  <si>
    <t>BRIA OF WESTMONT</t>
  </si>
  <si>
    <t>RANDOLPH COUNTY CARE CENTER</t>
  </si>
  <si>
    <t>COVENANT HLTH CR CTR-BATAVIA</t>
  </si>
  <si>
    <t>BREESE NURSING HOME</t>
  </si>
  <si>
    <t>PRAIRIE ROSE HEALTH CARE CTR</t>
  </si>
  <si>
    <t>APERION CARE TOLUCA</t>
  </si>
  <si>
    <t>PRAIRIE CROSSING LVG &amp; REHAB</t>
  </si>
  <si>
    <t>ELSTON NURSING &amp; REHAB CENTRE</t>
  </si>
  <si>
    <t>HEARTLAND MANOR NURSING CENTER</t>
  </si>
  <si>
    <t>UNITED METHODIST VILLAGE, THE</t>
  </si>
  <si>
    <t>ROYAL OAKS CARE CENTER</t>
  </si>
  <si>
    <t>GENERATIONS AT ELMWOOD PARK</t>
  </si>
  <si>
    <t>BRIDGEWAY SENIOR LIVING</t>
  </si>
  <si>
    <t>FAIR HAVENS CHRISTIAN HOME</t>
  </si>
  <si>
    <t>GLENSHIRE NURSING &amp; REHAB CTRE</t>
  </si>
  <si>
    <t>OTTAWA PAVILION</t>
  </si>
  <si>
    <t>INTEGRITY HC OF ALTON</t>
  </si>
  <si>
    <t>WENTWORTH REHAB &amp; HCC</t>
  </si>
  <si>
    <t>CHRISTIAN NURSING HOME</t>
  </si>
  <si>
    <t>SELECT POST ACUTE CARE</t>
  </si>
  <si>
    <t>PRESENCE PINE VIEW CARE CENTER</t>
  </si>
  <si>
    <t>CLARIDGE HEALTHCARE CENTER</t>
  </si>
  <si>
    <t>APOSTOLIC CHRISTIAN RESTMOR</t>
  </si>
  <si>
    <t>COLONIAL HLTHCARE &amp; REHAB CTR</t>
  </si>
  <si>
    <t>COLLINSVILLE REHABILITATION &amp; HEALTH CARE CENTER</t>
  </si>
  <si>
    <t>CHAMPAIGN URBANA NRSG &amp; REHAB</t>
  </si>
  <si>
    <t>GENERATIONS AT NEIGHBORS</t>
  </si>
  <si>
    <t>SHELBYVILLE MANOR</t>
  </si>
  <si>
    <t>TOULON REHAB &amp; HEALTH CARE CENTER</t>
  </si>
  <si>
    <t>ROLLING HILLS MANOR</t>
  </si>
  <si>
    <t>OAK HILL</t>
  </si>
  <si>
    <t>MARIGOLD REHABILITATION HCC</t>
  </si>
  <si>
    <t>HERITAGE HEALTH-ELGIN</t>
  </si>
  <si>
    <t>ILLINOIS KNIGHTS TEMPLAR HOME</t>
  </si>
  <si>
    <t>ALDEN LAKELAND REHAB &amp; HCC</t>
  </si>
  <si>
    <t>HERITAGE HEALTH-DWIGHT</t>
  </si>
  <si>
    <t>ALDEN TERRACE OF MCHENRY REHAB</t>
  </si>
  <si>
    <t>CARLINVILLE REHAB &amp; HCC</t>
  </si>
  <si>
    <t>HERITAGE HEALTH-CARLINVILLE</t>
  </si>
  <si>
    <t>ST VINCENT'S HOME</t>
  </si>
  <si>
    <t>OAKBROOK HEALTHCARE CENTRE</t>
  </si>
  <si>
    <t>WINCHESTER HOUSE</t>
  </si>
  <si>
    <t>HAMMOND-HENRY DISTRICT HSP</t>
  </si>
  <si>
    <t>JERSEYVILLE NSG &amp; REHAB CENTER</t>
  </si>
  <si>
    <t>TWIN LAKES REHAB &amp; HEALTH CARE</t>
  </si>
  <si>
    <t>CAMBRIDGE NURSING &amp; REHAB CENTER</t>
  </si>
  <si>
    <t>PARIS HEALTH CARE CENTER</t>
  </si>
  <si>
    <t>HERITAGE HEALTH-HOOPESTON</t>
  </si>
  <si>
    <t>MONTEBELLO HEALTHCARE CENTER</t>
  </si>
  <si>
    <t>SYMPHONY OF ORCHARD VALLEY</t>
  </si>
  <si>
    <t>INTEGRITY HC OF CHESTER</t>
  </si>
  <si>
    <t>OREGON LIVING AND REHABILITATION CENTER</t>
  </si>
  <si>
    <t>NOKOMIS REHAB &amp; HEALTH CARE CENTER</t>
  </si>
  <si>
    <t>ATRIUM HEALTH CARE CENTER</t>
  </si>
  <si>
    <t>MATTOON REHAB &amp; HCC</t>
  </si>
  <si>
    <t>SHERIDAN SHORES CR &amp; REHAB CTR</t>
  </si>
  <si>
    <t>MONTGOMERY NURSING &amp; REHAB CTR</t>
  </si>
  <si>
    <t>GLENCREST HEALTHCR &amp; REHAB CTR</t>
  </si>
  <si>
    <t>APERION CARE SPRING VALLEY</t>
  </si>
  <si>
    <t>RUSHVILLE NURSING &amp; REHAB CTR</t>
  </si>
  <si>
    <t>PIPER CITY REHAB &amp; LIVING CENTER</t>
  </si>
  <si>
    <t>MCLEAN COUNTY NURSING HOME</t>
  </si>
  <si>
    <t>MEDINA NURSING CENTER</t>
  </si>
  <si>
    <t>THREE SPRINGS LODGE NURSING HOME, LLC</t>
  </si>
  <si>
    <t>HILLSBORO REHAB &amp; HCC</t>
  </si>
  <si>
    <t>TAYLORVILLE CARE CENTER</t>
  </si>
  <si>
    <t>DOUGLAS NURSING &amp; REHAB CENTER</t>
  </si>
  <si>
    <t>CLARK MANOR CNV CENTER</t>
  </si>
  <si>
    <t>HIGHLAND HEALTH CARE CENTER</t>
  </si>
  <si>
    <t>SYMPHONY OF LINCOLN PARK</t>
  </si>
  <si>
    <t>LEXINGTON HLTH CR CTR-LOMBARD</t>
  </si>
  <si>
    <t>EFFINGHAM REHAB &amp; HEALTH CARE CTR</t>
  </si>
  <si>
    <t>FREEBURG CARE CENTER</t>
  </si>
  <si>
    <t>WHITE OAK REHABILITATION &amp; HCC</t>
  </si>
  <si>
    <t>MAR KA NURSING HOME</t>
  </si>
  <si>
    <t>WHITE HALL NURSING &amp; REHAB CENTER</t>
  </si>
  <si>
    <t>BEACON HILL</t>
  </si>
  <si>
    <t>APERION CARE AMBOY</t>
  </si>
  <si>
    <t>HEARTLAND OF RIVERVIEW</t>
  </si>
  <si>
    <t>GOTTLIEB MEMORIAL HOSPITAL</t>
  </si>
  <si>
    <t>COVENANT HLTH CR CTR-NORTHBRK</t>
  </si>
  <si>
    <t>BIRCHWOOD PLAZA</t>
  </si>
  <si>
    <t>PRESENCE OUR LADY OF VICTORY</t>
  </si>
  <si>
    <t>BEECHER MANOR NRSG &amp; REHAB CTR</t>
  </si>
  <si>
    <t>TAYLORVILLE MEMORIAL HOSPITAL TCU</t>
  </si>
  <si>
    <t>SAINTS MARY &amp; ELIZABETH MEDICAL CENTER</t>
  </si>
  <si>
    <t>HERITAGE HEALTH-MOUNT ZION</t>
  </si>
  <si>
    <t>DEKALB COUNTY REHAB &amp; NURSING</t>
  </si>
  <si>
    <t>COMMUNITY FIRST MEDICAL CENTER</t>
  </si>
  <si>
    <t>BELHAVEN NURSING &amp; REHAB CENTER</t>
  </si>
  <si>
    <t>FAIRFIELD MEMORIAL HOSPITAL</t>
  </si>
  <si>
    <t>EDWARDSVILLE NURSING &amp; REHABILITATION CENTER</t>
  </si>
  <si>
    <t>WINNING WHEELS</t>
  </si>
  <si>
    <t>ALDEN ESTATES OF BARRINGTON</t>
  </si>
  <si>
    <t>GATEWAY REGIONAL MED CTR SNF</t>
  </si>
  <si>
    <t>PRESENCE ST ANNE CENTER</t>
  </si>
  <si>
    <t>TRINITY MEDICAL CENTER - WEST</t>
  </si>
  <si>
    <t>ALTON MEM HSP HATCH SK N W</t>
  </si>
  <si>
    <t>CARE CENTER OF ABINGDON</t>
  </si>
  <si>
    <t>ST JOSEPH HOSPITAL-CHICAGO</t>
  </si>
  <si>
    <t>CEDAR RIDGE HEALTH REHAB CENTER</t>
  </si>
  <si>
    <t>GRAHAM HOSPITAL</t>
  </si>
  <si>
    <t>SWEDISH COVENANT HOSPITAL</t>
  </si>
  <si>
    <t>PROCTOR COM HSP SK N CENTER</t>
  </si>
  <si>
    <t>RICHLAND MEMORIAL HSP SK N FAC</t>
  </si>
  <si>
    <t>CAHOKIA NURSING &amp; REHAB CENTER</t>
  </si>
  <si>
    <t>ALDEN ESTATES OF NAPERVILLE</t>
  </si>
  <si>
    <t>RUSH OAK PARK HSP SKILLED CARE UNIT</t>
  </si>
  <si>
    <t>PALM TERRACE OF MATTOON</t>
  </si>
  <si>
    <t>CASEYVILLE NURSING &amp; REHAB CTR</t>
  </si>
  <si>
    <t>ST JOSEPH'S MEDICAL CENTER</t>
  </si>
  <si>
    <t>WESLEY PLACE</t>
  </si>
  <si>
    <t>MANORCARE OF LIBERTYVILLE</t>
  </si>
  <si>
    <t>SNYDER VILLAGE</t>
  </si>
  <si>
    <t>PEKIN MANOR</t>
  </si>
  <si>
    <t>SEMINARY MANOR</t>
  </si>
  <si>
    <t>ADVOCATE SOUTH SUBURBAN HOSPITAL-SNF</t>
  </si>
  <si>
    <t>HEARTLAND OF CANTON</t>
  </si>
  <si>
    <t>AVISTON COUNTRYSIDE MANOR</t>
  </si>
  <si>
    <t>VILLAGE AT VICTORY LAKES, THE</t>
  </si>
  <si>
    <t>HEARTLAND OF PAXTON</t>
  </si>
  <si>
    <t>HEARTLAND OF HENRY</t>
  </si>
  <si>
    <t>WINDSOR PARK MANOR</t>
  </si>
  <si>
    <t>MANORCARE OF PALOS HEIGHTS EAST</t>
  </si>
  <si>
    <t>MANORCARE OF SOUTH HOLLAND</t>
  </si>
  <si>
    <t>HILLSIDE REHAB &amp; CARE CENTER</t>
  </si>
  <si>
    <t>BLOOMINGTON REHABILITATION &amp; HCC</t>
  </si>
  <si>
    <t>ST JAMES WELLNESS REHAB VILLAS</t>
  </si>
  <si>
    <t>SPRINGS AT CRYSTAL LAKE, THE</t>
  </si>
  <si>
    <t>BRIA OF CAHOKIA</t>
  </si>
  <si>
    <t>CHATEAU NRSG &amp; REHAB CENTER</t>
  </si>
  <si>
    <t>REGENCY CARE OF STERLING</t>
  </si>
  <si>
    <t>MASON CITY AREA NURSING HOME</t>
  </si>
  <si>
    <t>SALEM VILLAGE NURSING &amp; REHAB</t>
  </si>
  <si>
    <t>ROSEWOOD CARE CENTER OF GALESBURG</t>
  </si>
  <si>
    <t>MERCY REHAB AND CARE CENTER</t>
  </si>
  <si>
    <t>PAVILION OF WAUKEGAN</t>
  </si>
  <si>
    <t>REGENCY CARE OF MORRIS</t>
  </si>
  <si>
    <t>FLORA GARDENS CARE CENTER</t>
  </si>
  <si>
    <t>CALIFORNIA GARDENS N &amp; REHAB C</t>
  </si>
  <si>
    <t>GENERATIONS OAKTON PAVILLION</t>
  </si>
  <si>
    <t>EVERGREEN NURSING &amp; REHAB CENTER</t>
  </si>
  <si>
    <t>PRAIRIE MANOR NRSG &amp; REHAB CTR</t>
  </si>
  <si>
    <t>AVANTI WELLNESS &amp; REHAB</t>
  </si>
  <si>
    <t>NEWMAN REHAB &amp; HEALTH CARE CTR</t>
  </si>
  <si>
    <t>WARREN BARR SOUTH LOOP</t>
  </si>
  <si>
    <t>ASTORIA PLACE LIVING &amp; REHAB</t>
  </si>
  <si>
    <t>CHARLESTON REHAB &amp; HEALTH CARE CENTER</t>
  </si>
  <si>
    <t>ST JOSEPH VILLAGE OF CHICAGO</t>
  </si>
  <si>
    <t>LEXINGTON HLTH CR CTR-BLMNGDL</t>
  </si>
  <si>
    <t>CHICAGO RIDGE NURSING CENTER</t>
  </si>
  <si>
    <t>CHURCH CREEK</t>
  </si>
  <si>
    <t>BLESSING HOSPITAL SNU</t>
  </si>
  <si>
    <t>ROSEWOOD CARE CENTER OF EAST PEORIA</t>
  </si>
  <si>
    <t>ROSEWOOD CARE CENTER OF PEORIA</t>
  </si>
  <si>
    <t>CENTRAL NURSING HOME</t>
  </si>
  <si>
    <t>ODIN HEALTH CARE CENTER</t>
  </si>
  <si>
    <t>BRIA OF PALOS HILLS</t>
  </si>
  <si>
    <t>ROSEWOOD CARE CENTER OF ALTON</t>
  </si>
  <si>
    <t>VALLEY HI NURSING HOME</t>
  </si>
  <si>
    <t>LAKEVIEW  REHAB &amp; NURSING CENTER</t>
  </si>
  <si>
    <t>INTEGRITY HC OF WOOD RIVER</t>
  </si>
  <si>
    <t>INTEGRITY HC OF GODFREY</t>
  </si>
  <si>
    <t>PROVIDENCE DOWNERS GROVE</t>
  </si>
  <si>
    <t>APERION CARE PLUM GROVE</t>
  </si>
  <si>
    <t>WATERFORD NURSING &amp; REHAB, THE</t>
  </si>
  <si>
    <t>WESTCHESTER HEALTH &amp; REHABILITATION</t>
  </si>
  <si>
    <t>SYMPHONY OF CHICAGO WEST</t>
  </si>
  <si>
    <t>GLEN BRIDGE N &amp; REHAB CENTRE</t>
  </si>
  <si>
    <t>ELMWOOD TERRACE HEALTHCARE CTR</t>
  </si>
  <si>
    <t>WESTSIDE REHAB &amp; CARE CENTER</t>
  </si>
  <si>
    <t>GROVE AT THE LAKE,THE</t>
  </si>
  <si>
    <t>CENTRALIA MANOR</t>
  </si>
  <si>
    <t>AVANTARA PARK RIDGE</t>
  </si>
  <si>
    <t>BRIA OF BELLEVILLE</t>
  </si>
  <si>
    <t>GLENLAKE TERRACE NURSING &amp; REH</t>
  </si>
  <si>
    <t>CHALET LIVING &amp; REHAB</t>
  </si>
  <si>
    <t>VILLA AT SOUTH HOLLAND, THE</t>
  </si>
  <si>
    <t>APOSTOLIC CHRISTIAN HOME OF EUREKA</t>
  </si>
  <si>
    <t>LEROY MANOR</t>
  </si>
  <si>
    <t>LEXINGTON OF SCHAUMBURG</t>
  </si>
  <si>
    <t>CARLTON AT THE LAKE, THE</t>
  </si>
  <si>
    <t>ROSEWOOD CARE CENTER OF MOLINE</t>
  </si>
  <si>
    <t>PROVIDENCE PALOS HEIGHTS</t>
  </si>
  <si>
    <t>ABINGTON OF GLENVIEW NURSING</t>
  </si>
  <si>
    <t>MANORCARE OF HOMEWOOD</t>
  </si>
  <si>
    <t>MOUNT VERNON COUNTRYSIDE MANOR</t>
  </si>
  <si>
    <t>MORTON TERRACE H &amp; R CENTRE</t>
  </si>
  <si>
    <t>PRINCETON REHAB &amp; HCC</t>
  </si>
  <si>
    <t>MANORCARE OF ELK GROVE VILLAGE</t>
  </si>
  <si>
    <t>GALESBURG COTTAGE HOSPITAL SKILLED NSG UNIT</t>
  </si>
  <si>
    <t>HALLMARK HOUSE NURSING CENTER</t>
  </si>
  <si>
    <t>FLORA REHAB &amp; HEALTH CARE CTR</t>
  </si>
  <si>
    <t>ROSEWOOD CARE CENTER OF JOLIET</t>
  </si>
  <si>
    <t>NILES NSG &amp; REHAB CTR</t>
  </si>
  <si>
    <t>KNOX COUNTY NURSING HOME</t>
  </si>
  <si>
    <t>SHERMAN WEST COURT</t>
  </si>
  <si>
    <t>LEXINGTON OF CHICAGO RIDGE</t>
  </si>
  <si>
    <t>LEXINGTON OF STREAMWOOD</t>
  </si>
  <si>
    <t>FAIR OAKS REHAB &amp; HEALTHCARE</t>
  </si>
  <si>
    <t>ILLINI RESTORATIVE CARE</t>
  </si>
  <si>
    <t>APOSTOLIC CHRISTIAN HOME</t>
  </si>
  <si>
    <t>NATHAN HEALTH CARE CENTER</t>
  </si>
  <si>
    <t>WHITEHALL NORTH, THE</t>
  </si>
  <si>
    <t>COUNTRY HEALTH</t>
  </si>
  <si>
    <t>MEADOWBROOK MANOR</t>
  </si>
  <si>
    <t>LEXINGTON OF ELMHURST</t>
  </si>
  <si>
    <t>WILLOW CREST NURSING PAVILION</t>
  </si>
  <si>
    <t>MOMENCE MEADOWS NURSING &amp; REHAB</t>
  </si>
  <si>
    <t>PARAMOUNT OAK PARK R &amp; N CTR</t>
  </si>
  <si>
    <t>WHEATON CARE CENTER</t>
  </si>
  <si>
    <t>INTEGRITY HC OF COLUMBIA</t>
  </si>
  <si>
    <t>SYMPHONY OF CRESTWOOD</t>
  </si>
  <si>
    <t>SYMPHONY OF LINCOLN</t>
  </si>
  <si>
    <t>ST CLARA'S MANOR</t>
  </si>
  <si>
    <t>VILLA HEALTH CARE EAST</t>
  </si>
  <si>
    <t>UNITED METHODIST VILLAGE, NORTH CAMPUS</t>
  </si>
  <si>
    <t>ADDOLORATA VILLA</t>
  </si>
  <si>
    <t>TIMBER POINT HEALTHCARE CENTER</t>
  </si>
  <si>
    <t>POLO REHABILITATION &amp; HCC</t>
  </si>
  <si>
    <t>MANOR COURT OF MARYVILLE</t>
  </si>
  <si>
    <t>CARLYLE HEALTHCARE CENTER</t>
  </si>
  <si>
    <t>CONTINENTAL NURSING &amp; REHAB CENTER</t>
  </si>
  <si>
    <t>PRESENCE SAINT BENEDICT N &amp; R</t>
  </si>
  <si>
    <t>HERITAGE HEALTH-NORMAL</t>
  </si>
  <si>
    <t>JERSEYVILLE MANOR</t>
  </si>
  <si>
    <t>VILLA AT EVERGREEN PARK,THE</t>
  </si>
  <si>
    <t>BRIA OF RIVER OAKS</t>
  </si>
  <si>
    <t>ALDEN TOWN MANOR REHAB &amp; HCC</t>
  </si>
  <si>
    <t>LEXINGTON OF LAGRANGE</t>
  </si>
  <si>
    <t>LUTHERAN HOME FOR THE AGED</t>
  </si>
  <si>
    <t>APERION CARE ELGIN</t>
  </si>
  <si>
    <t>PRESENCE MARYHAVEN NSG &amp; REHAB</t>
  </si>
  <si>
    <t>WEST SUBURBAN HOSPITAL MED CTR</t>
  </si>
  <si>
    <t>HERITAGE HEALTH-MINONK</t>
  </si>
  <si>
    <t>MONTGOMERY PLACE</t>
  </si>
  <si>
    <t>VILLA AT PA PETERSON,THE</t>
  </si>
  <si>
    <t>FOREST VIEW REHAB &amp; NURSING CENTER</t>
  </si>
  <si>
    <t>DANVILLE CARE CENTER</t>
  </si>
  <si>
    <t>INTEGRITY HC OF CARBONDALE</t>
  </si>
  <si>
    <t>GLENWOOD HEALTHCARE &amp; REHAB.</t>
  </si>
  <si>
    <t>ROSICLARE REHAB &amp; HCC</t>
  </si>
  <si>
    <t>HERITAGE HEALTH-ROBINSON</t>
  </si>
  <si>
    <t>LAKEWOOD NRSG &amp; REHAB CENTER</t>
  </si>
  <si>
    <t>SYMPHONY OF MORGAN PARK</t>
  </si>
  <si>
    <t>PARK VIEW REHAB CENTER</t>
  </si>
  <si>
    <t>ST PAUL'S HOUSE &amp; HLTH CR CTR</t>
  </si>
  <si>
    <t>LUTHERAN HOME, THE</t>
  </si>
  <si>
    <t>FRIENDSHIP SKILLED NSG &amp; REHAB</t>
  </si>
  <si>
    <t>GOOD SAMARITAN SOCIETY - MOUNT CARROLL</t>
  </si>
  <si>
    <t>RIVER BLUFF NURSING HOME</t>
  </si>
  <si>
    <t>ODD FELLOW-REBEKAH HOME</t>
  </si>
  <si>
    <t>GOOD SAMARITAN HOME</t>
  </si>
  <si>
    <t>HAVANA HEALTH CARE CENTER</t>
  </si>
  <si>
    <t>HARMONY NURSING &amp; REHAB CENTER</t>
  </si>
  <si>
    <t>MOSAIC OF BEACON,THE</t>
  </si>
  <si>
    <t>MIDWAY NEUROLOGICAL / REHAB CENTER</t>
  </si>
  <si>
    <t>PARK VILLA  NRSG &amp; REHAB CENTER</t>
  </si>
  <si>
    <t>GENERATIONS AT APPLEWOOD</t>
  </si>
  <si>
    <t>SUNRISE SKILLED NURSING &amp; REHAB</t>
  </si>
  <si>
    <t>BRIAR PLACE</t>
  </si>
  <si>
    <t>TERRACE ON THE PARK</t>
  </si>
  <si>
    <t>LINCOLNWOOD PLACE</t>
  </si>
  <si>
    <t>GOOD SAMARITAN SOCIETY - GENESEO VILLAGE</t>
  </si>
  <si>
    <t>FIRESIDE HOUSE OF CENTRALIA</t>
  </si>
  <si>
    <t>WOODBRIDGE NURSING PAVILION</t>
  </si>
  <si>
    <t>RENAISSANCE CARE CENTER</t>
  </si>
  <si>
    <t>FAIRVIEW HAVEN</t>
  </si>
  <si>
    <t>TOWER HILL HEALTHCARE CENTER</t>
  </si>
  <si>
    <t>BALMORAL HOME</t>
  </si>
  <si>
    <t>COUNTRYSIDE NURSING &amp; REHAB CTR</t>
  </si>
  <si>
    <t>SUNSET HOME</t>
  </si>
  <si>
    <t>PLEASANT VIEW LUTHER HOME</t>
  </si>
  <si>
    <t>SYMPHONY EVANSTON HEALTHCARE</t>
  </si>
  <si>
    <t>OAK TRACE</t>
  </si>
  <si>
    <t>WARREN PARK HEALTH &amp; LIVING CTR</t>
  </si>
  <si>
    <t>NEWTON CARE CENTER</t>
  </si>
  <si>
    <t>GROVE OF NORTHBROOK,THE</t>
  </si>
  <si>
    <t>HEIGHTS HLTHCARE &amp; REHAB CTR</t>
  </si>
  <si>
    <t>METROPOLIS REHAB &amp; HCC</t>
  </si>
  <si>
    <t>LEXINGTON OF LAKE ZURICH</t>
  </si>
  <si>
    <t>ROCK RIVER HEALTH CARE</t>
  </si>
  <si>
    <t>SYMPHONY OF BUFFALO GROVE</t>
  </si>
  <si>
    <t>HERITAGE HEALTH-MOUNT STERLING</t>
  </si>
  <si>
    <t>ROSEWOOD CARE CENTER OF ELGIN</t>
  </si>
  <si>
    <t>SOUTH ELGIN REHAB &amp; HCC</t>
  </si>
  <si>
    <t>BRITISH HOME, THE</t>
  </si>
  <si>
    <t>ESTATES OF HYDE PARK, THE</t>
  </si>
  <si>
    <t>KENSINGTON PLACE NRSG &amp; REHAB</t>
  </si>
  <si>
    <t>WOOD GLEN NURSING &amp; REHAB CTR</t>
  </si>
  <si>
    <t>RIDGEVIEW REHAB &amp; NURSING CENTER</t>
  </si>
  <si>
    <t>GENERATIONS AT COLUMBUS PARK</t>
  </si>
  <si>
    <t>LEXINGTON OF WHEELING</t>
  </si>
  <si>
    <t>SHELBYVILLE REHAB &amp; HLTH C CTR</t>
  </si>
  <si>
    <t>PITTSFIELD MANOR</t>
  </si>
  <si>
    <t>PETERSON PARK HEALTH CARE CTR</t>
  </si>
  <si>
    <t>PARK RIDGE CARE CENTER</t>
  </si>
  <si>
    <t>TABOR HILLS HEALTH CARE FAC</t>
  </si>
  <si>
    <t>PARKWAY MANOR</t>
  </si>
  <si>
    <t>FLANAGAN REHABILITATION &amp; HEALTHCARE CENTER</t>
  </si>
  <si>
    <t>MILLER HEALTH CARE CENTER</t>
  </si>
  <si>
    <t>BETHESDA REHAB &amp; SENIOR CARE</t>
  </si>
  <si>
    <t>ROSEWOOD CARE CENTER OF EDWARDSVILLE</t>
  </si>
  <si>
    <t>STEARNS NURSING &amp; REHAB CENTER</t>
  </si>
  <si>
    <t>MAC NEAL MEMORIAL HOSPITAL</t>
  </si>
  <si>
    <t>CITY VIEW MULTICARE CENTER</t>
  </si>
  <si>
    <t>EASTSIDE HEALTH &amp; REHAB CENTER</t>
  </si>
  <si>
    <t>BROOKDALE PROSPECT HEIGHTS</t>
  </si>
  <si>
    <t>CENTRAL BAPTIST VILLAGE</t>
  </si>
  <si>
    <t>APERION CARE ST ELMO</t>
  </si>
  <si>
    <t>ELMWOOD NURSING &amp; REHAB CENTER</t>
  </si>
  <si>
    <t>GROVE OF SKOKIE, THE</t>
  </si>
  <si>
    <t>HILLTOP SKILLED NURSING AND REHABILITATION</t>
  </si>
  <si>
    <t>INTEGRITY HC OF MARION</t>
  </si>
  <si>
    <t>BRIA OF FOREST EDGE</t>
  </si>
  <si>
    <t>HICKORY NURSING PAVILION</t>
  </si>
  <si>
    <t>FAIRMONT CARE CENTRE</t>
  </si>
  <si>
    <t>AVANTARA LONG GROVE</t>
  </si>
  <si>
    <t>ALDEN ESTATES OF SKOKIE</t>
  </si>
  <si>
    <t>ALDEN LONG GROVE REHAB &amp;HC CTR</t>
  </si>
  <si>
    <t>MEADOWBROOK MANOR - NAPERVILLE</t>
  </si>
  <si>
    <t>GROVE AT LINCOLN PARK, THE</t>
  </si>
  <si>
    <t>APERION CARE DOLTON</t>
  </si>
  <si>
    <t>ST PATRICK'S RESIDENCE</t>
  </si>
  <si>
    <t>TRI-STATE NURSING &amp; REHAB CTR</t>
  </si>
  <si>
    <t>HILLVIEW HEALTH CARE CENTER</t>
  </si>
  <si>
    <t>MOSAIC OF UPTOWN, THE</t>
  </si>
  <si>
    <t>PIATT COUNTY NURSING HOME</t>
  </si>
  <si>
    <t>MOSAIC OF MAYFIELD, THE</t>
  </si>
  <si>
    <t>ALEDO REHAB &amp; HEALTH CARE CENTER</t>
  </si>
  <si>
    <t>WAUCONDA HEALTHCARE AND REHAB</t>
  </si>
  <si>
    <t>ALDEN ESTATES OF NORTHMOOR</t>
  </si>
  <si>
    <t>ELDORADO REHAB AND HEALTHCARE</t>
  </si>
  <si>
    <t>ROSEWOOD CARE CENTER OF ROCKFORD</t>
  </si>
  <si>
    <t>SUNNY HILL NURSING HOME OF WILL COUNTY</t>
  </si>
  <si>
    <t>MANORCARE OF PALOS HEIGHTS WEST</t>
  </si>
  <si>
    <t>STEPHENSON NURSING CENTER</t>
  </si>
  <si>
    <t>LEBANON CARE CENTER</t>
  </si>
  <si>
    <t>BRIA OF CHICAGO HEIGHTS</t>
  </si>
  <si>
    <t>LEXINGTON OF ORLAND PARK</t>
  </si>
  <si>
    <t>PRAIRIE VIEW CR CTR-LEWISTOWN</t>
  </si>
  <si>
    <t>LEMONT NURSING &amp; REHAB CENTER</t>
  </si>
  <si>
    <t>VANDALIA REHAB &amp; HEALTH CARE C</t>
  </si>
  <si>
    <t>SMITH VILLAGE</t>
  </si>
  <si>
    <t>JONESBORO REHAB &amp; HCC</t>
  </si>
  <si>
    <t>DIXON REHAB &amp; HCC</t>
  </si>
  <si>
    <t>ALDEN ESTATES OF EVANSTON</t>
  </si>
  <si>
    <t>AMBERWOOD CARE CENTRE</t>
  </si>
  <si>
    <t>HELIA HEALTHCARE OF GREENVILLE</t>
  </si>
  <si>
    <t>CALHOUN NURSING &amp; REHAB CENTER</t>
  </si>
  <si>
    <t>HERITAGE HEALTH-GIBSON CITY</t>
  </si>
  <si>
    <t>APERION CARE BURBANK</t>
  </si>
  <si>
    <t>SOUTHPOINT NURSING &amp; REHAB CENTER</t>
  </si>
  <si>
    <t>FAIR OAKS HEALTH CARE CENTER</t>
  </si>
  <si>
    <t>APERION CARE BRIDGEPORT</t>
  </si>
  <si>
    <t>GOOD SAMARITAN SOCIETY - PROPHETS RIVERVIEW</t>
  </si>
  <si>
    <t>HITZ MEMORIAL HOME</t>
  </si>
  <si>
    <t>INTEGRITY HC OF COBDEN</t>
  </si>
  <si>
    <t>WARREN BARR NORTH SHORE</t>
  </si>
  <si>
    <t>HELIA HEALTHCARE OF CHAMPAIGN</t>
  </si>
  <si>
    <t>GARDENVIEW MANOR</t>
  </si>
  <si>
    <t>WINDMILL NURSING PAVILION</t>
  </si>
  <si>
    <t>APERION CARE JACKSONVILLE</t>
  </si>
  <si>
    <t>GOOD SAMARITAN - PONTIAC</t>
  </si>
  <si>
    <t>LIEBERMAN CENTER FOR HEALTH &amp; REHAB</t>
  </si>
  <si>
    <t>CITADEL CARE CENTER-WILMETTE</t>
  </si>
  <si>
    <t>APOSTOLIC CHRISTIAN SKYLINES</t>
  </si>
  <si>
    <t>PRESENCE ST JOSEPH CENTER</t>
  </si>
  <si>
    <t>APERION CARE HIGHWOOD</t>
  </si>
  <si>
    <t>FOREST CITY REHAB &amp; NRSG CTR</t>
  </si>
  <si>
    <t>PARKSHORE ESTATES NURSING &amp; REHAB</t>
  </si>
  <si>
    <t>WATERFRONT TERRACE</t>
  </si>
  <si>
    <t>OAK LAWN RESPIRATORY &amp; REHAB</t>
  </si>
  <si>
    <t>PRESENCE MCAULEY MANOR</t>
  </si>
  <si>
    <t>IMBODEN CREEK LIVING CENTER</t>
  </si>
  <si>
    <t>SYMPHONY AT ARIA</t>
  </si>
  <si>
    <t>APERION CARE MIDLOTHIAN</t>
  </si>
  <si>
    <t>BEMENT HEALTH CARE CENTER</t>
  </si>
  <si>
    <t>GENERATIONS AT ROCK ISLAND</t>
  </si>
  <si>
    <t>PASSAVANT AREA HOSPITAL</t>
  </si>
  <si>
    <t>HERITAGE HEALTH-BEARDSTOWN</t>
  </si>
  <si>
    <t>PRAIRIEVIEW LUTHERAN HOME</t>
  </si>
  <si>
    <t>PRESENCE VILLA SCALABRINI N&amp;R</t>
  </si>
  <si>
    <t>BETHANY REHAB &amp; HCC</t>
  </si>
  <si>
    <t>PRESENCE RESURRECTION LIFE CTR</t>
  </si>
  <si>
    <t>HEDDINGTON OAKS</t>
  </si>
  <si>
    <t>ALDEN ESTATES OF ORLAND PARK</t>
  </si>
  <si>
    <t>MCLEANSBORO REHAB &amp; HLTH C CTR</t>
  </si>
  <si>
    <t>MCKINLEY COURT</t>
  </si>
  <si>
    <t>SCHWAB REHABILITATION CTR SNU</t>
  </si>
  <si>
    <t>WINDSOR ESTATES NSG &amp; REHAB</t>
  </si>
  <si>
    <t>KEWANEE CARE HOME</t>
  </si>
  <si>
    <t>APERION CARE FOREST PARK</t>
  </si>
  <si>
    <t>VILLA AT WINDSOR PARK</t>
  </si>
  <si>
    <t>ROSEWOOD CARE CENTER NORTHBROOK</t>
  </si>
  <si>
    <t>PRESENCE COR MARIAE CENTER</t>
  </si>
  <si>
    <t>NORWOOD CROSSING</t>
  </si>
  <si>
    <t>ROCHELLE REHAB &amp; HEALTH CARE CENTER</t>
  </si>
  <si>
    <t>SYMPHONY OF SOUTH SHORE</t>
  </si>
  <si>
    <t>SHAWNEE ROSE CARE CENTER</t>
  </si>
  <si>
    <t>GIBSON COMMUNITY HSP ANNEX</t>
  </si>
  <si>
    <t>ROSEWOOD CARE CENTER OF ST CHARLES</t>
  </si>
  <si>
    <t>SWANSEA REHAB HEALTH CARE</t>
  </si>
  <si>
    <t>MANORCARE OF NORTHBROOK</t>
  </si>
  <si>
    <t>SYMPHONY AT 87TH STREET</t>
  </si>
  <si>
    <t>ALDEN NORTH SHORE REHAB &amp; HCC</t>
  </si>
  <si>
    <t>UNIVERSITY NURSING &amp; REHABILITATION</t>
  </si>
  <si>
    <t>LAKE FOREST PLACE</t>
  </si>
  <si>
    <t>APERION CARE GALESBURG</t>
  </si>
  <si>
    <t>SAUK VALLEY SENIOR LIVING</t>
  </si>
  <si>
    <t>PARKER NURSING &amp; REHAB CENTER</t>
  </si>
  <si>
    <t>MAPLE CREST CARE CENTRE</t>
  </si>
  <si>
    <t>APERION CARE COLFAX</t>
  </si>
  <si>
    <t>COULTERVILLE REHAB &amp; HCC</t>
  </si>
  <si>
    <t>ROSEWOOD CARE CENTER OF INVERNESS</t>
  </si>
  <si>
    <t>SYMPHONY AT MIDWAY</t>
  </si>
  <si>
    <t>OAKRIDGE HEALTHCARE CENTER</t>
  </si>
  <si>
    <t>ALDEN DES PLAINES REHAB &amp; HC</t>
  </si>
  <si>
    <t>GROSSE POINTE MANOR</t>
  </si>
  <si>
    <t>WAY-FAIR NURSING &amp; REHAB CENTER</t>
  </si>
  <si>
    <t>APERION CARE INTERNATIONAL</t>
  </si>
  <si>
    <t>DAYSTAR NURSING &amp; REHAB CENTER</t>
  </si>
  <si>
    <t>SYMPHONY OF DECATUR</t>
  </si>
  <si>
    <t>PAXTON HEALTHCARE AND REHAB</t>
  </si>
  <si>
    <t>INTEGRITY HC OF ANNA</t>
  </si>
  <si>
    <t>MOORINGS OF ARLINGTON HEIGHTS</t>
  </si>
  <si>
    <t>ALDEN OF WATERFORD</t>
  </si>
  <si>
    <t>SELFHELP HOME OF CHICAGO</t>
  </si>
  <si>
    <t>PONTIAC HEALTHCARE AND REHAB</t>
  </si>
  <si>
    <t>ROBINGS MANOR RHC</t>
  </si>
  <si>
    <t>BERKELEY NURSING &amp; REHAB CENTER</t>
  </si>
  <si>
    <t>MERCY HARVARD HOSPITAL CARE CENTER</t>
  </si>
  <si>
    <t>HEARTHSTONE MANOR</t>
  </si>
  <si>
    <t>SUNSET REHABILITATION &amp; HLTH C</t>
  </si>
  <si>
    <t>ILLINI HERITAGE REHAB &amp; HC</t>
  </si>
  <si>
    <t>PARK HOUSE NURSING &amp; REHAB CTR</t>
  </si>
  <si>
    <t>WABASH CHRISTIAN RETIREMENT</t>
  </si>
  <si>
    <t>ROSEVILLE REHAB &amp; HEALTH CARE</t>
  </si>
  <si>
    <t>NATURE TRAIL HEALTH CARE CENTER</t>
  </si>
  <si>
    <t>ARTHUR HOME, THE</t>
  </si>
  <si>
    <t>CLINTON MANOR LIVING CENTER</t>
  </si>
  <si>
    <t>LEWIS MEMORIAL CHRISTIAN VLG</t>
  </si>
  <si>
    <t>WARREN BARR LINCOLNSHIRE</t>
  </si>
  <si>
    <t>FRANCISCAN VILLAGE</t>
  </si>
  <si>
    <t>HEARTLAND CHRISTIAN VILLAGE</t>
  </si>
  <si>
    <t>GREEK AMERICAN REHAB CARE CTR</t>
  </si>
  <si>
    <t>FAIRVIEW NURSING CENTER</t>
  </si>
  <si>
    <t>ELMS, THE</t>
  </si>
  <si>
    <t>SYMPHONY AT THE TILLERS</t>
  </si>
  <si>
    <t>NORTH ADAMS HOME</t>
  </si>
  <si>
    <t>SHAWNEE CHRISTIAN NURSING CTR</t>
  </si>
  <si>
    <t>PLEASANT MEADOWS SENIOR LIVING</t>
  </si>
  <si>
    <t>PRAIRIE CITY REHAB &amp; H C</t>
  </si>
  <si>
    <t>EASTVIEW TERRACE</t>
  </si>
  <si>
    <t>WILLOW ROSE REHAB &amp; HEALTH</t>
  </si>
  <si>
    <t>APERION CARE EAST MOLINE</t>
  </si>
  <si>
    <t>H &amp; J VONDERLIETH LVG CTR, THE</t>
  </si>
  <si>
    <t>FRIENDSHIP MANOR HEALTH CARE</t>
  </si>
  <si>
    <t>HELIA HEALTHCARE OF ENERGY</t>
  </si>
  <si>
    <t>BURNSIDES COMMUNITY HEALTH CTR</t>
  </si>
  <si>
    <t>WESLEY VILLAGE</t>
  </si>
  <si>
    <t>MEADOW MANOR SKILLED NURSING &amp; REHAB</t>
  </si>
  <si>
    <t>IROQUOIS RESIDENT HOME, THE</t>
  </si>
  <si>
    <t>ARCOLA HEALTH CARE CENTER</t>
  </si>
  <si>
    <t>BARRY COMMUNITY CARE CENTER</t>
  </si>
  <si>
    <t>ALHAMBRA CARE CENTER</t>
  </si>
  <si>
    <t>HOLY FAMILY VILLA</t>
  </si>
  <si>
    <t>INTEGRITY HC OF RIDGWAY</t>
  </si>
  <si>
    <t>PRESENCE HERITAGE VILLAGE</t>
  </si>
  <si>
    <t>MONMOUTH NURSING HOME</t>
  </si>
  <si>
    <t>APERION CARE EVANSTON</t>
  </si>
  <si>
    <t>HERITAGE HEALTH-JACKSONVILLE</t>
  </si>
  <si>
    <t>FAITH CARE CENTER</t>
  </si>
  <si>
    <t>BROOKDALE PLAZA LISLE SNF</t>
  </si>
  <si>
    <t>CENTER HOME HISPANIC ELDERLY</t>
  </si>
  <si>
    <t>HERITAGE HEALTH - WALNUT</t>
  </si>
  <si>
    <t>LINCOLN MANOR</t>
  </si>
  <si>
    <t>ABBINGTON REHAB &amp; NURSING CTR</t>
  </si>
  <si>
    <t>ALPINE FIRESIDE HEALTH CENTER</t>
  </si>
  <si>
    <t>BRIA OF GENEVA</t>
  </si>
  <si>
    <t>SUNNY ACRES NURSING HOME</t>
  </si>
  <si>
    <t>EAST BANK CENTER, LLC</t>
  </si>
  <si>
    <t>TWIN WILLOWS NURSING CENTER</t>
  </si>
  <si>
    <t>PARK PLACE OF BELVIDERE</t>
  </si>
  <si>
    <t>MENDOTA LUTHERAN HOME</t>
  </si>
  <si>
    <t>MASON POINT</t>
  </si>
  <si>
    <t>GRANITE NURSING &amp; REHABILITATION</t>
  </si>
  <si>
    <t>MANOR COURT OF CLINTON</t>
  </si>
  <si>
    <t>PARK POINTE HEALTHCARE &amp; REHAB</t>
  </si>
  <si>
    <t>PERSHING GARDENS HEALTHCARE CENTER</t>
  </si>
  <si>
    <t>CARBONDALE REHAB &amp; NRSG CTR II</t>
  </si>
  <si>
    <t>COUNTRYVIEW CARE CENTER-MACOMB</t>
  </si>
  <si>
    <t>FRANKFORT HEALTHCARE &amp; REHAB CENTER</t>
  </si>
  <si>
    <t>MANOR COURT OF PRINCETON</t>
  </si>
  <si>
    <t>PLEASANT VIEW REHAB &amp; HCC</t>
  </si>
  <si>
    <t>A MERKLE C KNIPPRATH N H</t>
  </si>
  <si>
    <t>TUSCOLA HEALTH CARE CENTER</t>
  </si>
  <si>
    <t>HELIA HEALTHCARE OF BENTON</t>
  </si>
  <si>
    <t>GOOD SAMARITAN - FLANAGAN</t>
  </si>
  <si>
    <t>HAWTHORNE INN OF DANVILLE</t>
  </si>
  <si>
    <t>MANOR COURT OF PERU</t>
  </si>
  <si>
    <t>INTEGRITY HC OF HERRIN</t>
  </si>
  <si>
    <t>MEADOWBROOK MANOR - LAGRANGE</t>
  </si>
  <si>
    <t>BROOKDALE BURR RIDGE</t>
  </si>
  <si>
    <t>EVENGLOW LODGE</t>
  </si>
  <si>
    <t>RIDGEVIEW CARE CENTER</t>
  </si>
  <si>
    <t>EL PASO HEALTH CARE CENTER</t>
  </si>
  <si>
    <t>SHARON HEALTH CARE ELMS</t>
  </si>
  <si>
    <t>FRIENDSHIP MANOR</t>
  </si>
  <si>
    <t>WALKER NURSING HOME</t>
  </si>
  <si>
    <t>WILLOWS HEALTH CENTER</t>
  </si>
  <si>
    <t>MANOR COURT OF FREEPORT</t>
  </si>
  <si>
    <t>HENDERSON COUNTY RET CENTER</t>
  </si>
  <si>
    <t>FARMER CITY REHAB &amp; HEALTHCARE</t>
  </si>
  <si>
    <t>OAK CREST</t>
  </si>
  <si>
    <t>SCOTT COUNTY NURSING CENTER</t>
  </si>
  <si>
    <t>VI AT THE GLEN</t>
  </si>
  <si>
    <t>MANOR COURT OF PEORIA</t>
  </si>
  <si>
    <t>MEADOWS MENNONITE HOME</t>
  </si>
  <si>
    <t>SMITH CROSSING</t>
  </si>
  <si>
    <t>GOLDEN GOOD SHEPHERD HOME</t>
  </si>
  <si>
    <t>RIVER NORTH OF BRADLEY H &amp; R</t>
  </si>
  <si>
    <t>CUMBERLAND REHAB &amp; HEALTH CC</t>
  </si>
  <si>
    <t>LENA LIVING CENTER</t>
  </si>
  <si>
    <t>NEW ATHENS HOME FOR THE AGED</t>
  </si>
  <si>
    <t>LA SALLE COUNTY NURSING HOME</t>
  </si>
  <si>
    <t>CASEY HEALTHCARE CENTER</t>
  </si>
  <si>
    <t>PRAIRIEVIEW AT THE GARLANDS</t>
  </si>
  <si>
    <t>MEADOWOOD</t>
  </si>
  <si>
    <t>LA HARPE DAVIER HLTH CARE CENTER</t>
  </si>
  <si>
    <t>BENTON REHAB &amp; HCC</t>
  </si>
  <si>
    <t>ST PAUL'S HOME</t>
  </si>
  <si>
    <t>ST JOSEPH NURSING HOME</t>
  </si>
  <si>
    <t>CARMI MANOR REHAB &amp; NRSG CTR</t>
  </si>
  <si>
    <t>ASSISI HEALTHCARE OF CLARE OAKS</t>
  </si>
  <si>
    <t>OUR LADY OF ANGELS RET HOME</t>
  </si>
  <si>
    <t>FLORENCE NURSING HOME</t>
  </si>
  <si>
    <t>PLYMOUTH PLACE</t>
  </si>
  <si>
    <t>MARIANJOY REHABILITATION HOSPITAL-SNF</t>
  </si>
  <si>
    <t>HILLCREST RETIREMENT VILLAGE</t>
  </si>
  <si>
    <t>CISNE REHABILITATION &amp; HEALTH CENTER</t>
  </si>
  <si>
    <t>SOUTH SUBURBAN REHAB CENTER</t>
  </si>
  <si>
    <t>SANDWICH REHAB &amp; HCC</t>
  </si>
  <si>
    <t>SALINE CARE CENTER</t>
  </si>
  <si>
    <t>PLEASANT HILL VILLAGE</t>
  </si>
  <si>
    <t>RADFORD GREEN</t>
  </si>
  <si>
    <t>REGENCY CARE</t>
  </si>
  <si>
    <t>GALENA STAUSS NURSING HOME</t>
  </si>
  <si>
    <t>TERRACES AT THE CLARE</t>
  </si>
  <si>
    <t>MERIDIAN VILLAGE CARE CENTER</t>
  </si>
  <si>
    <t>SYMPHONY OF HANOVER PARK</t>
  </si>
  <si>
    <t>STONEBRIDGE SENIOR LIVING CENTER</t>
  </si>
  <si>
    <t>MATHER, THE</t>
  </si>
  <si>
    <t>HAMILTON MEMORIAL REHAB &amp; HCC</t>
  </si>
  <si>
    <t>WAVERLY PLACE OF STOCKTON</t>
  </si>
  <si>
    <t>HICKORY POINT CHRISTIAN VILLAGE</t>
  </si>
  <si>
    <t>WESTWOOD MANOR, THE</t>
  </si>
  <si>
    <t>CRAWFORD MEMORIAL HOSPITAL LTC</t>
  </si>
  <si>
    <t>CLAYBERG, THE</t>
  </si>
  <si>
    <t>ROCHELLE GARDENS CARE CENTER</t>
  </si>
  <si>
    <t>ALDEN ESTATES OF SHOREWOOD</t>
  </si>
  <si>
    <t>CONCORDIA VILLAGE CARE CENTER</t>
  </si>
  <si>
    <t>PARK PLACE CHRISTIAN COMMUNITY</t>
  </si>
  <si>
    <t>ENFIELD REHAB &amp; HEALTH CARE CT</t>
  </si>
  <si>
    <t>ROCK FALLS REHAB &amp; HLTH CARE C</t>
  </si>
  <si>
    <t>HARBOR CREST HOME</t>
  </si>
  <si>
    <t>TERRACE NURSING HOME,THE</t>
  </si>
  <si>
    <t>BRIDGE CARE SUITES</t>
  </si>
  <si>
    <t>SOUTHVIEW MANOR NURSING CENTER</t>
  </si>
  <si>
    <t>MOWEAQUA REHAB &amp; HCC</t>
  </si>
  <si>
    <t>SYCAMORE HEALTHCARE CENTER</t>
  </si>
  <si>
    <t>ADMIRAL AT THE LAKE, THE</t>
  </si>
  <si>
    <t>GREENFIELDS OF GENEVA</t>
  </si>
  <si>
    <t>FOSTER HEALTH &amp; REHAB CENTER</t>
  </si>
  <si>
    <t>WINFIELD WOODS HEALTHCARE CTR</t>
  </si>
  <si>
    <t>ARBOUR HEALTH CARE CENTER</t>
  </si>
  <si>
    <t>ASBURY GARDENS NSG &amp; REHAB</t>
  </si>
  <si>
    <t>MANOR COURT OF CARBONDALE</t>
  </si>
  <si>
    <t>SPRING CREEK NRSG &amp; REHAB CTR</t>
  </si>
  <si>
    <t>SPRINGS AT MONARCH LANDING, THE</t>
  </si>
  <si>
    <t>MERCY CIRCLE</t>
  </si>
  <si>
    <t>PINCKNEYVILLE NURSING &amp; REHAB</t>
  </si>
  <si>
    <t>GLEN SAINT ANDREW LIVING COMM</t>
  </si>
  <si>
    <t>RESTHAVE HOME-WHITESIDE COUNTY</t>
  </si>
  <si>
    <t>VICTORIAN VILLAGE HLTH &amp; WELL</t>
  </si>
  <si>
    <t>FAYETTE REGIONAL HEALTH SYSTEM</t>
  </si>
  <si>
    <t>SCHNECK MEDICAL CENTER</t>
  </si>
  <si>
    <t>HOOVERWOOD</t>
  </si>
  <si>
    <t>MASON HEALTH CARE CENTER</t>
  </si>
  <si>
    <t>PROVIDENCE ANDERSON</t>
  </si>
  <si>
    <t>MILLER'S MERRY MANOR</t>
  </si>
  <si>
    <t>GARDEN VILLA - BLOOMINGTON</t>
  </si>
  <si>
    <t>HERITAGE HOUSE OF SHELBYVILLE</t>
  </si>
  <si>
    <t>GREENWOOD VILLAGE SOUTH</t>
  </si>
  <si>
    <t>COMMUNITY NURSING AND REHABILITATION CENTER</t>
  </si>
  <si>
    <t>WATERS EDGE VILLAGE</t>
  </si>
  <si>
    <t>NORTHWEST MANOR HEALTH CARE CENTER</t>
  </si>
  <si>
    <t>WILLOW MANOR</t>
  </si>
  <si>
    <t>MILLERS MERRY MANOR</t>
  </si>
  <si>
    <t>WOODLAND HILLS CARE CENTER</t>
  </si>
  <si>
    <t>GOLDEN LIVING CENTER-LAPORTE</t>
  </si>
  <si>
    <t>APERION CARE KOKOMO</t>
  </si>
  <si>
    <t>EDGEWATER WOODS</t>
  </si>
  <si>
    <t>GREEN VALLEY CARE CENTER</t>
  </si>
  <si>
    <t>BEECH GROVE MEADOWS</t>
  </si>
  <si>
    <t>GOLDEN LIVING CENTER-BROOKVIEW</t>
  </si>
  <si>
    <t>LAKEVIEW MANOR</t>
  </si>
  <si>
    <t>WOODLAND MANOR</t>
  </si>
  <si>
    <t>HERITAGE HOUSE OF NEW CASTLE</t>
  </si>
  <si>
    <t>GIBSON GENERAL HOSPITAL-SNF</t>
  </si>
  <si>
    <t>ST MARY HEALTHCARE CENTER</t>
  </si>
  <si>
    <t>HERITAGE PARK</t>
  </si>
  <si>
    <t>GARDEN VILLA - BEDFORD</t>
  </si>
  <si>
    <t>TRAILPOINT VILLAGE</t>
  </si>
  <si>
    <t>HERITAGE CENTER</t>
  </si>
  <si>
    <t>RIVERWALK VILLAGE</t>
  </si>
  <si>
    <t>GOLDEN LIVING CENTER-MISHAWAKA</t>
  </si>
  <si>
    <t>CARDINAL NURSING AND REHABILITATION CENTER</t>
  </si>
  <si>
    <t>GOLDEN LIVING CENTER-BRANDYWINE</t>
  </si>
  <si>
    <t>ROSEWALK VILLAGE AT LAFAYETTE</t>
  </si>
  <si>
    <t>VERMILLION CONVALESCENT CENTER</t>
  </si>
  <si>
    <t>SPRINGS VALLEY MEADOWS</t>
  </si>
  <si>
    <t>MILLER'S AT OAK POINTE</t>
  </si>
  <si>
    <t>MUNSTER MED-INN</t>
  </si>
  <si>
    <t>DANVILLE REGIONAL REHABILITATION</t>
  </si>
  <si>
    <t>KINDRED TRANSITIONAL CARE AND REHAB-COLUMBUS</t>
  </si>
  <si>
    <t>WESTVIEW NURSING AND REHABILITATION CENTER</t>
  </si>
  <si>
    <t>GOLDEN LIVING CENTER-FOUNTAINVIEW TERRACE</t>
  </si>
  <si>
    <t>GOLDEN LIVING CENTER-VALPARAISO</t>
  </si>
  <si>
    <t>GOLDEN LIVING CENTER-INDIANAPOLIS</t>
  </si>
  <si>
    <t>NORTH WOODS VILLAGE</t>
  </si>
  <si>
    <t>MEADOWS MANOR NORTH</t>
  </si>
  <si>
    <t>WASHINGTON NURSING CENTER</t>
  </si>
  <si>
    <t>NORTH PARK NURSING CENTER</t>
  </si>
  <si>
    <t>HARCOURT TERRACE NURSING AND REHABILITATION</t>
  </si>
  <si>
    <t>MONTICELLO HEALTHCARE</t>
  </si>
  <si>
    <t>HEALTHWIN</t>
  </si>
  <si>
    <t>SPRING MILL MEADOWS</t>
  </si>
  <si>
    <t>ARBORS AT MICHIGAN CITY</t>
  </si>
  <si>
    <t>GOLDEN LIVING CENTER-RICHMOND</t>
  </si>
  <si>
    <t>LIFE CARE CENTER OF THE WILLOWS</t>
  </si>
  <si>
    <t>SUMMIT CITY NURSING AND REHABILITATION</t>
  </si>
  <si>
    <t>STONEBROOKE REHABILITATION CENTER</t>
  </si>
  <si>
    <t>AUTUMN RIDGE REHABILITATION CENTRE</t>
  </si>
  <si>
    <t>RIVERVIEW VILLAGE</t>
  </si>
  <si>
    <t>VALPARAISO CARE &amp; REHABILITATION</t>
  </si>
  <si>
    <t>WESTMINSTER VILLAGE NORTH</t>
  </si>
  <si>
    <t>WESTMINSTER VILLAGE MUNCIE INC</t>
  </si>
  <si>
    <t>FRANKLIN MEADOWS</t>
  </si>
  <si>
    <t>GLENBROOK REHABILITATION &amp; SKILLED NURSING CENTER</t>
  </si>
  <si>
    <t>WESTMINSTER VILLAGE - WEST LAFAYETTE</t>
  </si>
  <si>
    <t>GOLDEN LIVING CENTER-FOUNTAINVIEW</t>
  </si>
  <si>
    <t>CARMEL HEALTH &amp; LIVING COMMUNITY</t>
  </si>
  <si>
    <t>WATERS OF MARTINSVILLE, THE</t>
  </si>
  <si>
    <t>GOLDEN LIVING CENTER-FOUNTAINVIEW PLACE</t>
  </si>
  <si>
    <t>KINDRED TRANSITIONAL CARE AND REHAB-GREENFIELD</t>
  </si>
  <si>
    <t>WESTMINSTER HEALTH CARE CENTER</t>
  </si>
  <si>
    <t>KINDRED TRANSITIONAL CARE AND REHAB-GREENWOOD</t>
  </si>
  <si>
    <t>ALTENHEIM HEALTH &amp; LIVING COMMUNITY</t>
  </si>
  <si>
    <t>SANCTUARY AT ST PAULS</t>
  </si>
  <si>
    <t>MARQUETTE</t>
  </si>
  <si>
    <t>MAPLE PARK VILLAGE</t>
  </si>
  <si>
    <t>UNIVERSITY NURSING CENTER</t>
  </si>
  <si>
    <t>WATERS OF GREENCASTLE, THE</t>
  </si>
  <si>
    <t>HILLCREST VILLAGE</t>
  </si>
  <si>
    <t>GREENCROFT HEALTHCARE</t>
  </si>
  <si>
    <t>BROWNSBURG HEALTH CARE CENTER</t>
  </si>
  <si>
    <t>NEW HAVEN CENTER</t>
  </si>
  <si>
    <t>HANOVER NURSING CENTER</t>
  </si>
  <si>
    <t>WATERS OF CLIFTY FALLS, THE</t>
  </si>
  <si>
    <t>HERITAGE HOUSE OF GREENSBURG</t>
  </si>
  <si>
    <t>HICKORY CREEK AT LEBANON</t>
  </si>
  <si>
    <t>ST ANTHONY HOME - CROWN POINT</t>
  </si>
  <si>
    <t>PLAINFIELD HEALTH CARE CENTER</t>
  </si>
  <si>
    <t>WATERS OF HUNTINGBURG, THE</t>
  </si>
  <si>
    <t>KINDRED TRANSITIONAL CARE AND REHABILITATION-DYER</t>
  </si>
  <si>
    <t>SIGNATURE HEALTHCARE OF SOUTH BEND</t>
  </si>
  <si>
    <t>DYER NURSING AND REHABILITATION CENTER</t>
  </si>
  <si>
    <t>WESTMINSTER VILLAGE HEALTH &amp; REHAB</t>
  </si>
  <si>
    <t>KINDRED TRANSITIONAL CARE AND REHAB-KOKOMO</t>
  </si>
  <si>
    <t>WATERS OF COVINGTON, THE</t>
  </si>
  <si>
    <t>COLUMBIA HEALTHCARE CENTER</t>
  </si>
  <si>
    <t>NORTH CAPITOL NURSING &amp; REHABILITATION CENTER</t>
  </si>
  <si>
    <t>HERITAGE HOUSE OF RICHMOND</t>
  </si>
  <si>
    <t>WOODLANDS THE</t>
  </si>
  <si>
    <t>ROSEBUD VILLAGE</t>
  </si>
  <si>
    <t>RANDOLPH NURSING HOME</t>
  </si>
  <si>
    <t>TWIN CITY HEALTH CARE</t>
  </si>
  <si>
    <t>WATERS OF BATESVILLE, THE</t>
  </si>
  <si>
    <t>WESTRIDGE HEALTH CARE CENTER</t>
  </si>
  <si>
    <t>AVON HEALTH &amp; REHABILITATION CENTER</t>
  </si>
  <si>
    <t>BETHANY VILLAGE</t>
  </si>
  <si>
    <t>YORKTOWN MANOR</t>
  </si>
  <si>
    <t>LYONS HEALTH AND LIVING CENTER</t>
  </si>
  <si>
    <t>FOREST CREEK VILLAGE</t>
  </si>
  <si>
    <t>SIGNATURE HEALTHCARE OF MUNCIE</t>
  </si>
  <si>
    <t>SIGNATURE HEALTHCARE OF LAFAYETTE</t>
  </si>
  <si>
    <t>CASTLETON HEALTH CARE CENTER</t>
  </si>
  <si>
    <t>CHESTERTON MANOR</t>
  </si>
  <si>
    <t>GOLDEN LIVING CENTER-BRENTWOOD</t>
  </si>
  <si>
    <t>SIGNATURE HEALTHCARE OF FORT WAYNE</t>
  </si>
  <si>
    <t>GOLDEN LIVING CENTER-WOODLANDS</t>
  </si>
  <si>
    <t>MEADOWOOD HEALTH PAVILION</t>
  </si>
  <si>
    <t>SUGAR CREEK REHABILITATION AND CONVALESCENT CENTER</t>
  </si>
  <si>
    <t>WOODVIEW A WATERS COMMUNITY</t>
  </si>
  <si>
    <t>COUNTRYSIDE MANOR HEALTH &amp; LIVING COMMUNITY</t>
  </si>
  <si>
    <t>WILLIAMSBURG HEALTH CARE</t>
  </si>
  <si>
    <t>LOOGOOTEE NURSING CENTER</t>
  </si>
  <si>
    <t>GOLDEN LIVING CENTER-GOLDEN RULE</t>
  </si>
  <si>
    <t>KINDRED TRANSITIONAL CARE AND REHAB-WEDGEWOOD</t>
  </si>
  <si>
    <t>LIFE CARE CENTER OF FORT WAYNE</t>
  </si>
  <si>
    <t>LAKE POINTE VILLAGE</t>
  </si>
  <si>
    <t>EAST LAKE NURSING &amp; REHABILITATION CENTER</t>
  </si>
  <si>
    <t>CORE OF DALE</t>
  </si>
  <si>
    <t>MILLER'S SENIOR LIVING COMMUNITY</t>
  </si>
  <si>
    <t>KINDRED TRANSITIONAL CARE &amp; REHAB-ALLISON POINTE</t>
  </si>
  <si>
    <t>CYPRESS GROVE REHABILITATION CENTER</t>
  </si>
  <si>
    <t>WATERS OF PRINCETON, THE</t>
  </si>
  <si>
    <t>APERION CARE VALPARAISO</t>
  </si>
  <si>
    <t>GOLDEN LIVING CENTER-BLOOMINGTON</t>
  </si>
  <si>
    <t>WATERS OF DILLSBORO-ROSS MANOR, THE</t>
  </si>
  <si>
    <t>GOOD SAMARITAN SOCIETY NORTHWOOD RETIREMENT COMM</t>
  </si>
  <si>
    <t>WINTERSONG VILLAGE</t>
  </si>
  <si>
    <t>AVALON VILLAGE</t>
  </si>
  <si>
    <t>RENSSELAER CARE CENTER</t>
  </si>
  <si>
    <t>COLONIAL OAKS HEALTH CARE CENTER</t>
  </si>
  <si>
    <t>EAGLE VALLEY MEADOWS</t>
  </si>
  <si>
    <t>AMERICAN VILLAGE</t>
  </si>
  <si>
    <t>FORUM AT THE CROSSING</t>
  </si>
  <si>
    <t>CLINTON HOUSE HEALTH AND REHAB CENTER</t>
  </si>
  <si>
    <t>MILLER'S HEALTH &amp; REHAB BY MILLER'S MERRY MANOR</t>
  </si>
  <si>
    <t>PYRAMID POINT POST-ACUTE REHABILITATION CENTER</t>
  </si>
  <si>
    <t>GOOD SAMARITAN SOCIETY SHAKAMAK RETIREMENT COMM</t>
  </si>
  <si>
    <t>WATERS OF NEW CASTLE, THE</t>
  </si>
  <si>
    <t>SKILLED CARING CENTER OF MEMORIAL HOSPITAL</t>
  </si>
  <si>
    <t>KINDRED TRANSITIONAL CARE AND REHAB-INDIAN CREEK</t>
  </si>
  <si>
    <t>CLINTON GARDENS</t>
  </si>
  <si>
    <t>RENAISSANCE VILLAGE</t>
  </si>
  <si>
    <t>LAKEVIEW VILLAGE SENIOR LIVING</t>
  </si>
  <si>
    <t>MITCHELL MANOR</t>
  </si>
  <si>
    <t>MEADOW VIEW HEALTH AND REHABILITATION</t>
  </si>
  <si>
    <t>UNIVERSITY HEIGHTS HEALTH AND LIVING COMMUNITY</t>
  </si>
  <si>
    <t>PARK TERRACE VILLAGE</t>
  </si>
  <si>
    <t>ROSEWALK VILLAGE</t>
  </si>
  <si>
    <t>SALEM CROSSING</t>
  </si>
  <si>
    <t>LIFE CARE CENTER OF VALPARAISO</t>
  </si>
  <si>
    <t>HERITAGE HOUSE REHABILITATION &amp; HEALTH CARE CENTER</t>
  </si>
  <si>
    <t>PAOLI HEALTH AND LIVING COMMUNITY</t>
  </si>
  <si>
    <t>KINDRED TRANSITIONAL CARE AND REHAB-WILDWOOD</t>
  </si>
  <si>
    <t>OSSIAN HEALTH CARE AND REHABILITATION CENTER</t>
  </si>
  <si>
    <t>DECATUR TOWNSHIP CENTER</t>
  </si>
  <si>
    <t>MANORCARE HEALTH SERVICES - PRESTWICK</t>
  </si>
  <si>
    <t>EASTGATE MANOR NURSING AND REHABILITATION</t>
  </si>
  <si>
    <t>MOUNT VERNON NURSING AND REHABILITATION</t>
  </si>
  <si>
    <t>LIFE CARE CENTER OF LAGRANGE</t>
  </si>
  <si>
    <t>LIFE CARE CENTER OF MICHIGAN CITY</t>
  </si>
  <si>
    <t>SAINT ANNE HOME</t>
  </si>
  <si>
    <t>ELKHART REHABILITATION CENTER</t>
  </si>
  <si>
    <t>HICKORY CREEK AT GREENSBURG</t>
  </si>
  <si>
    <t>NEWBURGH HEALTH CARE</t>
  </si>
  <si>
    <t>WEST BEND NURSING AND REHABILITATION</t>
  </si>
  <si>
    <t>TRANSITIONAL CARE UNIT OF ST JOSEPH</t>
  </si>
  <si>
    <t>RAWLINS HOUSE HEALTH &amp; LIVING COMMUNITY</t>
  </si>
  <si>
    <t>MEADOWS MANOR EAST</t>
  </si>
  <si>
    <t>PREMIER HEALTHCARE OF FORT WAYNE</t>
  </si>
  <si>
    <t>AMBER MANOR CARE CENTER</t>
  </si>
  <si>
    <t>GOLDEN LIVING CENTER-MERRILLVILLE</t>
  </si>
  <si>
    <t>WILLOWDALE VILLAGE</t>
  </si>
  <si>
    <t>BYRON HEALTH CENTER</t>
  </si>
  <si>
    <t>GOLDEN LIVING CENTER-SYCAMORE VILLAGE</t>
  </si>
  <si>
    <t>TODD-DICKEY NURSING AND REHABILITATION</t>
  </si>
  <si>
    <t>NEW HARMONIE HEALTHCARE CENTER</t>
  </si>
  <si>
    <t>BLUFFTON REGIONAL MEDICAL CENTER CARE CENTER</t>
  </si>
  <si>
    <t>LOOGOOTEE HEALTHCARE &amp; REHABILITATION CENTER</t>
  </si>
  <si>
    <t>GOLDEN LIVING CENTER-PETERSBURG</t>
  </si>
  <si>
    <t>PREMIER HEALTHCARE OF SHERIDAN</t>
  </si>
  <si>
    <t>SEYMOUR CROSSING</t>
  </si>
  <si>
    <t>SIGNATURE HEALTHCARE AT PARKWOOD</t>
  </si>
  <si>
    <t>LIFE CARE CENTER OF ROCHESTER</t>
  </si>
  <si>
    <t>HARBOUR MANOR HEALTH &amp; LIVING COMMUNITY</t>
  </si>
  <si>
    <t>WASHINGTON HEALTHCARE CENTER</t>
  </si>
  <si>
    <t>GOLDEN LIVING CENTER-LINCOLN HILLS</t>
  </si>
  <si>
    <t>LAURELS OF DEKALB</t>
  </si>
  <si>
    <t>CAROLETON MANOR</t>
  </si>
  <si>
    <t>CORE OF BEDFORD</t>
  </si>
  <si>
    <t>WESTPARK A WATERS COMMUNITY</t>
  </si>
  <si>
    <t>GOLDEN LIVING CENTER-WOODBRIDGE</t>
  </si>
  <si>
    <t>HICKORY CREEK AT KENDALLVILLE</t>
  </si>
  <si>
    <t>LIBERTY VILLAGE</t>
  </si>
  <si>
    <t>BEN HUR HEALTH AND REHABILITATION</t>
  </si>
  <si>
    <t>HERITAGE HEALTHCARE</t>
  </si>
  <si>
    <t>ESSEX NURSING AND REHABILITATION CENTER</t>
  </si>
  <si>
    <t>HICKORY CREEK AT PERU</t>
  </si>
  <si>
    <t>WATERS OF INDIANAPOLIS, THE</t>
  </si>
  <si>
    <t>GREENWOOD HEALTH AND LIVING COMMUNITY</t>
  </si>
  <si>
    <t>LINTON NURSING AND REHABILITATION CENTER</t>
  </si>
  <si>
    <t>HICKORY CREEK AT SCOTTSBURG</t>
  </si>
  <si>
    <t>HICKORY CREEK AT CRAWFORDSVILLE</t>
  </si>
  <si>
    <t>HAMMOND-WHITING CARE CENTER</t>
  </si>
  <si>
    <t>HICKORY CREEK AT COLUMBUS</t>
  </si>
  <si>
    <t>SIGNATURE HEALTHCARE OF TERRE HAUTE</t>
  </si>
  <si>
    <t>HICKORY CREEK AT MADISON</t>
  </si>
  <si>
    <t>MERIDIAN NURSING AND REHABILITATION CENTER</t>
  </si>
  <si>
    <t>HICKORY CREEK AT ROCHESTER</t>
  </si>
  <si>
    <t>ALBANY HEALTH CARE &amp; REHABILITATION CENTER</t>
  </si>
  <si>
    <t>HICKORY CREEK AT CONNERSVILLE</t>
  </si>
  <si>
    <t>HICKORY CREEK AT WINAMAC</t>
  </si>
  <si>
    <t>CORYDON NURSING AND REHABILITATION CENTER</t>
  </si>
  <si>
    <t>HICKORY CREEK AT FRANKLIN</t>
  </si>
  <si>
    <t>WATERS OF MUNCIE, THE</t>
  </si>
  <si>
    <t>NORWOOD HEALTH AND REHABILITATION CENTER</t>
  </si>
  <si>
    <t>COVINGTON MANOR HEALTH AND REHABILITATION CENTER</t>
  </si>
  <si>
    <t>LOWELL HEALTHCARE</t>
  </si>
  <si>
    <t>NORTHERN LAKES NURSING AND REHABILITATION CENTER</t>
  </si>
  <si>
    <t>WESLEYAN HEALTH CARE CENTER</t>
  </si>
  <si>
    <t>HIGHLAND NURSING AND REHABILITATION CENTER</t>
  </si>
  <si>
    <t>HICKORY CREEK AT NEW CASTLE</t>
  </si>
  <si>
    <t>PRAIRIE VILLAGE NURSING AND REHABILITATION</t>
  </si>
  <si>
    <t>SWISS VILLA NURSING AND REHABILITATION</t>
  </si>
  <si>
    <t>ROCKVILLE NURSING AND REHABILITATION CENTER</t>
  </si>
  <si>
    <t>BRECKENRIDGE  HEALTH &amp; REHABILITATION</t>
  </si>
  <si>
    <t>SEBO'S NURSING AND REHABILITATION CENTER</t>
  </si>
  <si>
    <t>FOUR SEASONS RETIREMENT CENTER</t>
  </si>
  <si>
    <t>HOOSIER VILLAGE</t>
  </si>
  <si>
    <t>CHALET VILLAGE HEALTH AND REHABILITATION CENTER</t>
  </si>
  <si>
    <t>SIGNATURE HEALTHCARE OF BREMEN</t>
  </si>
  <si>
    <t>TOWNE HOUSE RETIREMENT COMMUNITY</t>
  </si>
  <si>
    <t>LANE HOUSE</t>
  </si>
  <si>
    <t>TIMBERS OF JASPER THE</t>
  </si>
  <si>
    <t>KINGSTON CARE CENTER OF FORT WAYNE</t>
  </si>
  <si>
    <t>BROOKVILLE HEALTHCARE CENTER</t>
  </si>
  <si>
    <t>ARBOR TRACE HEALTH &amp; LIVING COMMUNITY</t>
  </si>
  <si>
    <t>KENDALLVILLE MANOR</t>
  </si>
  <si>
    <t>WATERS OF RISING SUN, THE</t>
  </si>
  <si>
    <t>KINDRED TRANSITIONAL CARE AND REHAB-SOUTHWOOD</t>
  </si>
  <si>
    <t>MIDDLETOWN NURSING AND REHABILITATION CENTER</t>
  </si>
  <si>
    <t>BROWN COUNTY HEALTH AND LIVING COMMUNITY</t>
  </si>
  <si>
    <t>KINDRED TRANSITIONAL CARE AND REHAB-ROLLING HILLS</t>
  </si>
  <si>
    <t>PARKER HEALTH CARE &amp; REHABILITATION CENTER</t>
  </si>
  <si>
    <t>AMBASSADOR HEALTHCARE</t>
  </si>
  <si>
    <t>PREMIER HEALTHCARE OF CONNERSVILLE</t>
  </si>
  <si>
    <t>SCENIC HILLS CARE CENTER</t>
  </si>
  <si>
    <t>WATERS OF SCOTTSBURG, THE</t>
  </si>
  <si>
    <t>LAKELAND REHABILITATION AND HEALTHCARE CENTER</t>
  </si>
  <si>
    <t>KINDRED NURSING AND REHABILITATION VALLEY VIEW</t>
  </si>
  <si>
    <t>SIGNATURE HEALTHCARE OF BLUFFTON</t>
  </si>
  <si>
    <t>TRANSCENDENT HEALTHCARE OF OWENSVILLE</t>
  </si>
  <si>
    <t>EXCEPTIONAL LIVING CENTER OF BRAZIL</t>
  </si>
  <si>
    <t>ROBIN RUN HEALTH CENTER</t>
  </si>
  <si>
    <t>SANCTUARY AT HOLY CROSS--INDIANA</t>
  </si>
  <si>
    <t>WHITEWATER COMMONS SENIOR LIVING</t>
  </si>
  <si>
    <t>TRANSCENDENT HEALTHCARE OF BOONVILLE</t>
  </si>
  <si>
    <t>CENTURY VILLA HEALTH CARE</t>
  </si>
  <si>
    <t>TERRE HAUTE NURSING AND REHABILITATION CENTER</t>
  </si>
  <si>
    <t>PRESENCE SACRED HEART HOME</t>
  </si>
  <si>
    <t>PARKVIEW MEMORIAL HOSPITAL-CCC</t>
  </si>
  <si>
    <t>GENTLECARE OF VINCENNES</t>
  </si>
  <si>
    <t>BRAUN'S NURSING HOME</t>
  </si>
  <si>
    <t>COMMUNITY PARKVIEW HEALTH AND LIVING</t>
  </si>
  <si>
    <t>RICHLAND BEAN BLOSSOM HEALTH CARE CENTER</t>
  </si>
  <si>
    <t>HEALTH CENTER AT GLENBURN HOME</t>
  </si>
  <si>
    <t>SHADY NOOK CARE CENTER</t>
  </si>
  <si>
    <t>PERSIMMON RIDGE REHABILITATION CENTRE</t>
  </si>
  <si>
    <t>PINEKNOLL REHABILITATION CENTRE</t>
  </si>
  <si>
    <t>SOUTH SHORE HEALTH &amp; REHABILITATION CENTER</t>
  </si>
  <si>
    <t>OAKBROOK VILLAGE</t>
  </si>
  <si>
    <t>BLOOMINGTON NURSING AND REHABILITATION CENTER</t>
  </si>
  <si>
    <t>WILLOW CROSSING HEALTH &amp; REHABILITATION CENTER</t>
  </si>
  <si>
    <t>BERTHA D GARTEN KETCHAM MEMORIAL CENTER</t>
  </si>
  <si>
    <t>CLOVERLEAF OF KNIGHTSVILLE</t>
  </si>
  <si>
    <t>HICKORY CREEK AT HUNTINGTON</t>
  </si>
  <si>
    <t>BETHEL POINTE HEALTH AND REHAB</t>
  </si>
  <si>
    <t>WILLOWBEND LIVING CENTER</t>
  </si>
  <si>
    <t>ROLLING MEADOWS HEALTH CARE CENTER</t>
  </si>
  <si>
    <t>GOOD SAMARITAN HOME &amp; REHABILITATIVE CENTER</t>
  </si>
  <si>
    <t>HICKORY CREEK AT SUNSET</t>
  </si>
  <si>
    <t>WARSAW MEADOWS</t>
  </si>
  <si>
    <t>UNIVERSITY PARK HEALTH AND REHABILITATION CENTER</t>
  </si>
  <si>
    <t>WILLIAMSPORT NURSING AND REHABILITATION</t>
  </si>
  <si>
    <t>PLEASANT VIEW LODGE</t>
  </si>
  <si>
    <t>APERION CARE DEMOTTE</t>
  </si>
  <si>
    <t>APERION CARE TOLLESTON PARK</t>
  </si>
  <si>
    <t>LUTHERAN LIFE VILLAGES</t>
  </si>
  <si>
    <t>SUMMERFIELD HEALTH CARE</t>
  </si>
  <si>
    <t>INDIANA MASONIC HOME HEALTH CENTER</t>
  </si>
  <si>
    <t>LAKELAND SKILLED NURSING AND REHABILITATION</t>
  </si>
  <si>
    <t>MULBERRY HEALTH &amp; REHABILITATION CENTER</t>
  </si>
  <si>
    <t>SAINT ANTHONY REHAB AND NURSING CENTER</t>
  </si>
  <si>
    <t>GRANDVIEW HEALTH &amp; REHABILITATION CENTER</t>
  </si>
  <si>
    <t>WESTSIDE RETIREMENT VILLAGE</t>
  </si>
  <si>
    <t>BETHEL MANOR</t>
  </si>
  <si>
    <t>WITTENBERG LUTHERAN VILLAGE</t>
  </si>
  <si>
    <t>HOOSIER CHRISTIAN VILLAGE</t>
  </si>
  <si>
    <t>LINCOLN HILLS OF NEW ALBANY</t>
  </si>
  <si>
    <t>NEW ALBANY NURSING AND REHABILITATION CENTER</t>
  </si>
  <si>
    <t>MANOR CARE HEALTH SERVICES SUMMER TRACE</t>
  </si>
  <si>
    <t>ZIONSVILLE MEADOWS</t>
  </si>
  <si>
    <t>PINE HAVEN HEALTH AND REHABILITATION CENTER</t>
  </si>
  <si>
    <t>ARBOR GROVE VILLAGE</t>
  </si>
  <si>
    <t>BRIARWOOD HEALTH AND REHABILITATION CENTER</t>
  </si>
  <si>
    <t>FLATROCK RIVER LODGE</t>
  </si>
  <si>
    <t>WHITE RIVER LODGE</t>
  </si>
  <si>
    <t>LODGE OF THE WABASH</t>
  </si>
  <si>
    <t>GRACE VILLAGE HEALTH CARE FACILITY</t>
  </si>
  <si>
    <t>HARRISON TERRACE</t>
  </si>
  <si>
    <t>CROWN POINT CHRISTIAN VILLAGE</t>
  </si>
  <si>
    <t>MCCORMICK'S CREEK REHABILITATION &amp; SKILLED NURSING</t>
  </si>
  <si>
    <t>LINCOLNSHIRE HEALTH &amp; REHABILITATION CENTER</t>
  </si>
  <si>
    <t>HOMEVIEW CENTER OF FRANKLIN</t>
  </si>
  <si>
    <t>LAKE COUNTY NURSING AND REHABILITATION CENTER</t>
  </si>
  <si>
    <t>ENGLEWOOD HEALTH &amp; REHABILITATION CENTER</t>
  </si>
  <si>
    <t>PEABODY RETIREMENT COMMUNITY</t>
  </si>
  <si>
    <t>CANTERBURY NURSING AND REHABILITATION CENTER</t>
  </si>
  <si>
    <t>KINDRED TRANSITIONAL CARE AND REHAB-HARRISON</t>
  </si>
  <si>
    <t>WESLEY MANOR HEALTH CENTER</t>
  </si>
  <si>
    <t>KINDRED TRANSITIONAL CARE AND REHAB-SELLERSBURG</t>
  </si>
  <si>
    <t>PULASKI HEALTH CARE CENTER</t>
  </si>
  <si>
    <t>OWEN VALLEY HEALTH CAMPUS</t>
  </si>
  <si>
    <t>NURSING CARE AT HARTSFIELD VILLAGE</t>
  </si>
  <si>
    <t>KINDRED TRANSITIONAL CARE AND REHAB- EAGLE CREEK</t>
  </si>
  <si>
    <t>PREMIER HEALTHCARE OF NORTH VERNON</t>
  </si>
  <si>
    <t>AUBURN VILLAGE</t>
  </si>
  <si>
    <t>OAK GROVE CHRISTIAN RETIREMENT VILLAGE</t>
  </si>
  <si>
    <t>DIVERSICARE OF PROVIDENCE</t>
  </si>
  <si>
    <t>RIVERVIEW TCU</t>
  </si>
  <si>
    <t>SIGNATURE HEALTHCARE OF NEWBURGH</t>
  </si>
  <si>
    <t>OAKWOOD HEALTH CAMPUS</t>
  </si>
  <si>
    <t>HAMILTON GROVE</t>
  </si>
  <si>
    <t>MARKLE HEALTH &amp; REHABILITATION</t>
  </si>
  <si>
    <t>ST CHARLES HEALTH CAMPUS</t>
  </si>
  <si>
    <t>MORNING BREEZE RETIREMENT COMMUNITY AND HEALTHCARE</t>
  </si>
  <si>
    <t>MILNER COMMUNITY HEALTH CARE</t>
  </si>
  <si>
    <t>BELL TRACE HEALTH AND LIVING CENTER</t>
  </si>
  <si>
    <t>WATERFORD PLACE HEALTH CAMPUS</t>
  </si>
  <si>
    <t>BETHLEHEM WOODS NURSING AND REHABILITATION</t>
  </si>
  <si>
    <t>HOMEWOOD HEALTH CAMPUS</t>
  </si>
  <si>
    <t>AUTUMN WOODS HEALTH CAMPUS</t>
  </si>
  <si>
    <t>WOODMONT HEALTH CAMPUS</t>
  </si>
  <si>
    <t>SOUTHFIELD VILLAGE</t>
  </si>
  <si>
    <t>GOLDEN LIVING CENTER-ELKHART</t>
  </si>
  <si>
    <t>GOLDEN LIVING CENTER-KNOX</t>
  </si>
  <si>
    <t>GOLDEN LIVING CENTER-MUNCIE</t>
  </si>
  <si>
    <t>FREELANDVILLE COMMUNITY HOME</t>
  </si>
  <si>
    <t>LINDBERG CROSSING SENIOR LIVING</t>
  </si>
  <si>
    <t>MORRISTOWN MANOR</t>
  </si>
  <si>
    <t>HERITAGE OF HUNTINGTON</t>
  </si>
  <si>
    <t>SILVER OAKS HEALTH CAMPUS</t>
  </si>
  <si>
    <t>BETZ NURSING HOME</t>
  </si>
  <si>
    <t>RIVERSIDE VILLAGE</t>
  </si>
  <si>
    <t>BRIDGEPOINTE HEALTH CAMPUS</t>
  </si>
  <si>
    <t>CLARK REHABILITATION AND SKILLED NURSING CENTER</t>
  </si>
  <si>
    <t>BETHANY POINTE HEALTH CAMPUS</t>
  </si>
  <si>
    <t>BRIDGEWATER REHABILITATION CENTRE</t>
  </si>
  <si>
    <t>CATHERINE KASPER HOME</t>
  </si>
  <si>
    <t>CHRISTIAN CARE RETIREMENT COMMUNITY</t>
  </si>
  <si>
    <t>APERION CARE PERU</t>
  </si>
  <si>
    <t>BROOKSIDE VILLAGE INC</t>
  </si>
  <si>
    <t>WALDRON HEALTH AND REHAB CENTER</t>
  </si>
  <si>
    <t>HERITAGE POINTE</t>
  </si>
  <si>
    <t>SWISS VILLAGE</t>
  </si>
  <si>
    <t>HILLSIDE MANOR NURSING HOME</t>
  </si>
  <si>
    <t>CHASE CENTER</t>
  </si>
  <si>
    <t>CAPITOL VILLAGE</t>
  </si>
  <si>
    <t>COVERED BRIDGE HEALTH CAMPUS</t>
  </si>
  <si>
    <t>OAK VILLAGE</t>
  </si>
  <si>
    <t>LUTHERAN COMMUNITY HOME</t>
  </si>
  <si>
    <t>GOOD SAMARITAN HOME HEALTH CENTER AND RESIDENTIAL</t>
  </si>
  <si>
    <t>ALPHA HOME - A WATERS COMMUNITY</t>
  </si>
  <si>
    <t>COMMUNITY NORTHVIEW CARE CENTER</t>
  </si>
  <si>
    <t>GEORGE ADE MEMORIAL HEALTH CARE CENTER</t>
  </si>
  <si>
    <t>CATHEDRAL HEALTH CARE CENTER</t>
  </si>
  <si>
    <t>LAWRENCE MANOR HEALTHCARE CENTER</t>
  </si>
  <si>
    <t>RIVER POINTE HEALTH CAMPUS</t>
  </si>
  <si>
    <t>WOODBRIDGE HEALTH CAMPUS</t>
  </si>
  <si>
    <t>UNIVERSITY PLACE HEALTH CENTER AND ASSISTED LIVING</t>
  </si>
  <si>
    <t>RIVER TERRACE HEALTH CARE CENTER</t>
  </si>
  <si>
    <t>STONEBRIDGE HEALTH CAMPUS</t>
  </si>
  <si>
    <t>MANDERLEY HEALTH CARE CENTER</t>
  </si>
  <si>
    <t>ADAMS HERITAGE</t>
  </si>
  <si>
    <t>RIPLEY CROSSING</t>
  </si>
  <si>
    <t>RIVER OAKS HEALTH CAMPUS</t>
  </si>
  <si>
    <t>COLONIAL NURSING HOME</t>
  </si>
  <si>
    <t>THORNTON TERRACE HEALTH CAMPUS</t>
  </si>
  <si>
    <t>ASHFORD PLACE HEALTH CAMPUS</t>
  </si>
  <si>
    <t>MILL POND HEALTH CAMPUS</t>
  </si>
  <si>
    <t>MILTON HOME, THE</t>
  </si>
  <si>
    <t>TIMBERCREST CHURCH OF THE BRETHREN HOME</t>
  </si>
  <si>
    <t>FAIRWAY VILLAGE</t>
  </si>
  <si>
    <t>ST ANDREWS HEALTH CAMPUS</t>
  </si>
  <si>
    <t>GREEN-HILL MANOR</t>
  </si>
  <si>
    <t>HOLY CROSS VILLAGE AT NOTRE DAME INC</t>
  </si>
  <si>
    <t>PARKVIEW HAVEN</t>
  </si>
  <si>
    <t>ADAMS WOODCREST</t>
  </si>
  <si>
    <t>MEADOW LAKES</t>
  </si>
  <si>
    <t>MORNINGSIDE NURSING AND MEMORY CARE CENTER</t>
  </si>
  <si>
    <t>HAMPTON OAKS HEALTH CAMPUS</t>
  </si>
  <si>
    <t>HUBBARD HILL ESTATES INC</t>
  </si>
  <si>
    <t>GOLDEN YEARS HOMESTEAD</t>
  </si>
  <si>
    <t>COVENTRY MEADOWS</t>
  </si>
  <si>
    <t>ROSEGATE VILLAGE</t>
  </si>
  <si>
    <t>ASBURY TOWERS HEALTH CARE CENTER</t>
  </si>
  <si>
    <t>GLEN OAKS HEALTH CAMPUS</t>
  </si>
  <si>
    <t>MAPLES AT WATERFORD CROSSING, THE</t>
  </si>
  <si>
    <t>BROWNSBURG MEADOWS</t>
  </si>
  <si>
    <t>FOREST PARK HEALTH CAMPUS</t>
  </si>
  <si>
    <t>NORTH RIDGE VILLAGE NURSING &amp; REHAB CENTER</t>
  </si>
  <si>
    <t>SPRING MILL HEALTH CAMPUS</t>
  </si>
  <si>
    <t>SOUTHERN INDIANA REHAB HOSPITAL-PCU</t>
  </si>
  <si>
    <t>MAPLE MANOR CHRISTIAN HOME INC</t>
  </si>
  <si>
    <t>SPRINGHURST HEALTH CAMPUS</t>
  </si>
  <si>
    <t>EVANSVILLE PROTESTANT HOME INC</t>
  </si>
  <si>
    <t>MORRISON WOODS HEALTH CAMPUS</t>
  </si>
  <si>
    <t>VILLAS OF GUERIN WOODS</t>
  </si>
  <si>
    <t>FRANKLIN UNITED METHODIST COMMUNITY RES &amp; COM CARE</t>
  </si>
  <si>
    <t>COBBLESTONE CROSSINGS HEALTH CAMPUS</t>
  </si>
  <si>
    <t>TERRACE AT SOLARBRON THE</t>
  </si>
  <si>
    <t>CUMBERLAND POINTE HEALTH CAMPUS</t>
  </si>
  <si>
    <t>SPRINGHILL VILLAGE</t>
  </si>
  <si>
    <t>CREASY SPRINGS HEALTH CAMPUS</t>
  </si>
  <si>
    <t>PARKVIEW HEALTHCARE</t>
  </si>
  <si>
    <t>PRAIRIE LAKES HEALTH CAMPUS</t>
  </si>
  <si>
    <t>MADISON HEALTH CARE CENTER</t>
  </si>
  <si>
    <t>WHITE OAK HEALTH CAMPUS</t>
  </si>
  <si>
    <t>GREENLEAF HEALTH CAMPUS</t>
  </si>
  <si>
    <t>CREEKSIDE VILLAGE</t>
  </si>
  <si>
    <t>WEST RIVER HEALTH CAMPUS</t>
  </si>
  <si>
    <t>ALLISONVILLE MEADOWS</t>
  </si>
  <si>
    <t>INDIANA VETERANS HOME</t>
  </si>
  <si>
    <t>GREENWOOD MEADOWS</t>
  </si>
  <si>
    <t>RIDGEWOOD HEALTH CAMPUS</t>
  </si>
  <si>
    <t>KINDRED TRANSITIONAL CARE AND REHAB-BRIDGEWATER</t>
  </si>
  <si>
    <t>BLAIR RIDGE HEALTH CAMPUS</t>
  </si>
  <si>
    <t>COUNTRYSIDE MEADOWS</t>
  </si>
  <si>
    <t>HAMILTON TRACE OF FISHERS</t>
  </si>
  <si>
    <t>STRATFORD RETIREMENT LLC</t>
  </si>
  <si>
    <t>AVALON SPRINGS HEALTH CAMPUS</t>
  </si>
  <si>
    <t>CEDARS THE</t>
  </si>
  <si>
    <t>ASPEN PLACE HEALTH CAMPUS</t>
  </si>
  <si>
    <t>ASHTON CREEK HEALTH AND REHABILITATION CENTER</t>
  </si>
  <si>
    <t>MARION REHABILITATION AND ASSISTED LIVING CENTER</t>
  </si>
  <si>
    <t>TRANSCENDENT HEALTHCARE OF BOONVILLE - NORTH</t>
  </si>
  <si>
    <t>PROVIDENCE HEALTH CARE CENTER</t>
  </si>
  <si>
    <t>HAMILTON POINTE HEALTH AND REHAB</t>
  </si>
  <si>
    <t>SPRENGER HEALTH CARE OF MISHAWAKA</t>
  </si>
  <si>
    <t>ADDISON POINTE HEALTH &amp; REHABILITATION CENTER</t>
  </si>
  <si>
    <t>WELLBROOKE OF WABASH</t>
  </si>
  <si>
    <t>RURAL HEALTH CARE CENTER</t>
  </si>
  <si>
    <t>WELLBROOKE OF WESTFIELD</t>
  </si>
  <si>
    <t>GREY STONE HEALTH &amp; REHABILITATION CENTER</t>
  </si>
  <si>
    <t>VERNON MANOR CHILDRENS HOME</t>
  </si>
  <si>
    <t>WELLBROOKE OF AVON</t>
  </si>
  <si>
    <t>WELLBROOKE OF CRAWFORDSVILLE</t>
  </si>
  <si>
    <t>VILLAGES AT HISTORIC SILVERCREST THE</t>
  </si>
  <si>
    <t>BROOKE KNOLL VILLAGE</t>
  </si>
  <si>
    <t>CLEARVISTA LAKE HEALTH CAMPUS</t>
  </si>
  <si>
    <t>ARLINGTON PLACE HEALTH CAMPUS</t>
  </si>
  <si>
    <t>BARRINGTON OF CARMEL, THE</t>
  </si>
  <si>
    <t>HEARTHSTONE HEALTH CAMPUS</t>
  </si>
  <si>
    <t>WELLBROOKE OF KOKOMO</t>
  </si>
  <si>
    <t>UNIVERSITY NURSING AND REHABILITATION CENTER</t>
  </si>
  <si>
    <t>ASPEN TRACE HEALTH AND LIVING COMMUNITY</t>
  </si>
  <si>
    <t>CEDAR CREEK HEALTH CAMPUS</t>
  </si>
  <si>
    <t>KINDRED TRANS CARE AND REHAB - SOUTHPOINTE</t>
  </si>
  <si>
    <t>WELLBROOKE OF SOUTH BEND</t>
  </si>
  <si>
    <t>ST AUGUSTINE HOME FOR THE AGED</t>
  </si>
  <si>
    <t>EVERGREEN CROSSING AND THE LOFTS</t>
  </si>
  <si>
    <t>SAGE BLUFF HEALTH &amp; REHAB CENTER LLC</t>
  </si>
  <si>
    <t>HERITAGE OF FORT WAYNE, THE</t>
  </si>
  <si>
    <t>SPRINGS AT LAFAYETTE, THE</t>
  </si>
  <si>
    <t>HARRISON'S CROSSING HEALTH CAMPUS</t>
  </si>
  <si>
    <t>BRIARCLIFF HEALTH &amp; REHABILITATION CENTER</t>
  </si>
  <si>
    <t>WITHAM EXTENDED CARE</t>
  </si>
  <si>
    <t>WELLBROOKE OF CARMEL</t>
  </si>
  <si>
    <t>SYMPHONY OF CROWN POINT  LLC</t>
  </si>
  <si>
    <t>CUMBERLAND TRACE HEALTH &amp; LIVING COMMUNITY</t>
  </si>
  <si>
    <t>VILLAGES AT OAK RIDGE, THE</t>
  </si>
  <si>
    <t>STONECROFT HEALTH CAMPUS</t>
  </si>
  <si>
    <t>ST ANTHONY REGIONAL HOSPITAL &amp; NURSING HOME</t>
  </si>
  <si>
    <t>KEOKUK AREA HOSPITAL</t>
  </si>
  <si>
    <t>SKIFF MEDICAL CENTER</t>
  </si>
  <si>
    <t>SPENCER MUNICIPAL HOSPITAL</t>
  </si>
  <si>
    <t>FORT MADISON COMMUNITY HOSPITAL</t>
  </si>
  <si>
    <t>LAKES REGIONAL HEALTHCARE</t>
  </si>
  <si>
    <t>GRINNELL REGIONAL MEDICAL CENTER</t>
  </si>
  <si>
    <t>IOWA JEWISH SENIOR LIFE CENTER</t>
  </si>
  <si>
    <t>CHAUTAUQUA GUEST HOME #2</t>
  </si>
  <si>
    <t>OAKNOLL RETIREMENT RESIDENCE</t>
  </si>
  <si>
    <t>MERCY MEDICAL CENTER</t>
  </si>
  <si>
    <t>RIDGECREST VILLAGE</t>
  </si>
  <si>
    <t>GOOD SHEPHERD HEALTH CENTER</t>
  </si>
  <si>
    <t>FRIENDSHIP VILLAGE RETIREMENT</t>
  </si>
  <si>
    <t>SHADY OAKS CARE CENTER</t>
  </si>
  <si>
    <t>GREAT RIVER KLEIN CENTER</t>
  </si>
  <si>
    <t>MERCY MEDICAL CENTER-DUBUQUE</t>
  </si>
  <si>
    <t>MADRID HOME FOR THE AGED</t>
  </si>
  <si>
    <t>MERCY LIVING CENTER SOUTH</t>
  </si>
  <si>
    <t>IOWA LUTHERAN HOSPITAL</t>
  </si>
  <si>
    <t>STRAWBERRY POINT LUTHERAN HOME</t>
  </si>
  <si>
    <t>MERCY HOSPITAL</t>
  </si>
  <si>
    <t>EMBASSY HEALTHCARE COMMUNITY</t>
  </si>
  <si>
    <t>KAHL HOME FOR THE AGED &amp; INFIRMED</t>
  </si>
  <si>
    <t>HENRY COUNTY HEALTH CENTER</t>
  </si>
  <si>
    <t>ROWLEY MEMORIAL MASONIC HOME</t>
  </si>
  <si>
    <t>LEXINGTON SQUARE</t>
  </si>
  <si>
    <t>HARMONY HOUSE HEALTH CARE CENT</t>
  </si>
  <si>
    <t>SALEM LUTHERAN HOME</t>
  </si>
  <si>
    <t>FORT DODGE HEALTH AND REHABILITATION</t>
  </si>
  <si>
    <t>WESTRIDGE QUALITY CARE &amp; REHAB</t>
  </si>
  <si>
    <t>TOUCHSTONE HEALTHCARE COMMUNITY</t>
  </si>
  <si>
    <t>ALTOONA NURSING AND REHABILITATION CENTER</t>
  </si>
  <si>
    <t>ON WITH LIFE</t>
  </si>
  <si>
    <t>NORTHCREST SPECIALTY CARE</t>
  </si>
  <si>
    <t>THE VILLAGE</t>
  </si>
  <si>
    <t>GOOD SAMARITAN SOCIETY - DAVENPORT</t>
  </si>
  <si>
    <t>POLK CITY NURSING &amp; REHABILITATION CENTER</t>
  </si>
  <si>
    <t>WILLOW GARDENS CARE CENTER</t>
  </si>
  <si>
    <t>BRIARWOOD HEALTHCARE CENTER</t>
  </si>
  <si>
    <t>OSAGE REHAB AND HEALTH CARE CENTER</t>
  </si>
  <si>
    <t>CASA DE PAZ HEALTH CARE CENTER</t>
  </si>
  <si>
    <t>GENESIS SENIOR LIVING CENTER</t>
  </si>
  <si>
    <t>MERCY LIVING PLUS</t>
  </si>
  <si>
    <t>COMMUNITY MEMORIAL HEALTH CENTER</t>
  </si>
  <si>
    <t>AASE HAUGEN HOME</t>
  </si>
  <si>
    <t>NORWALK NURSING AND REHABILITATION CENTER</t>
  </si>
  <si>
    <t>ODEBOLT SPECIALTY CARE</t>
  </si>
  <si>
    <t>ROCK RAPIDS HEALTH CENTRE</t>
  </si>
  <si>
    <t>MERCY HEALTH SERVICES- IOWA CORP</t>
  </si>
  <si>
    <t>RED OAK HEALTHCARE COMMUNITY</t>
  </si>
  <si>
    <t>GOOD SAMARITAN SOCIETY - INDIANOLA</t>
  </si>
  <si>
    <t>GOOD SAMARITAN SOCIETY - WEST UNION</t>
  </si>
  <si>
    <t>WEST BRIDGE CARE &amp; REHABILITATION</t>
  </si>
  <si>
    <t>GOOD SAMARITAN SOCIETY - VILLISCA</t>
  </si>
  <si>
    <t>GOOD SAMARITAN SOCIETY - ALGONA</t>
  </si>
  <si>
    <t>GOOD SAMARITAN SOCIETY - RED OAK</t>
  </si>
  <si>
    <t>GOOD SAMARITAN SOCIETY - ESTHERVILLE</t>
  </si>
  <si>
    <t>DUNLAP SPECIALTY CARE</t>
  </si>
  <si>
    <t>CEDAR FALLS HEALTH CARE CENTER</t>
  </si>
  <si>
    <t>IOWA CITY REHAB &amp; HEALTH CARE</t>
  </si>
  <si>
    <t>CRESTON SPECIALTY CARE</t>
  </si>
  <si>
    <t>MCPHERSON HEALTH CENTER</t>
  </si>
  <si>
    <t>UNION PARK HEALTH SERVICES</t>
  </si>
  <si>
    <t>WESTMONT HEALTHCARE COMMUNITY</t>
  </si>
  <si>
    <t>KEOSAUQUA HEALTH CARE CENTER</t>
  </si>
  <si>
    <t>GOOD SAMARITAN SOCIETY - LEMARS</t>
  </si>
  <si>
    <t>MORNINGSIDE HEALTHCARE COMMUNITY</t>
  </si>
  <si>
    <t>GOOD SAMARITAN SOCIETY - HOLSTEIN</t>
  </si>
  <si>
    <t>GRANGER NURSING &amp; REHABILITATION CENTER</t>
  </si>
  <si>
    <t>SOUTHRIDGE SPECIALTY CARE</t>
  </si>
  <si>
    <t>GOOD SAMARITAN SOCIETY - SAINT ANSGAR</t>
  </si>
  <si>
    <t>GOOD SAMARITAN SOCIETY - OTTUMWA</t>
  </si>
  <si>
    <t>GOOD SAMARITAN SOCIETY - FOREST CITY</t>
  </si>
  <si>
    <t>LANTERN PARK SPECIALTY CARE</t>
  </si>
  <si>
    <t>LYON SPECIALTY CARE</t>
  </si>
  <si>
    <t>PELLA REGIONAL HEALTH CENTER</t>
  </si>
  <si>
    <t>CARING ACRES NURSING &amp; REHAB CENTER</t>
  </si>
  <si>
    <t>EAGLE POINT NURSING &amp; REHAB CE</t>
  </si>
  <si>
    <t>LAURENS CARE CENTER</t>
  </si>
  <si>
    <t>PRAIRIE RIDGE CARE &amp; REHABILIT</t>
  </si>
  <si>
    <t>CORYDON SPECIALTY CARE</t>
  </si>
  <si>
    <t>RIDGEWOOD SPECIALTY CARE</t>
  </si>
  <si>
    <t>MOUNT AYR HEALTH CARE CENTER</t>
  </si>
  <si>
    <t>CENTERVILLE SPECIALTY CARE</t>
  </si>
  <si>
    <t>MANLY SPECIALTY CARE</t>
  </si>
  <si>
    <t>THE MADISON</t>
  </si>
  <si>
    <t>DUBUQUE SPECIALTY CARE</t>
  </si>
  <si>
    <t>OAKLAND MANOR</t>
  </si>
  <si>
    <t>REGENCY PARK NURSING &amp; REHAB CENTER OF CARROLL</t>
  </si>
  <si>
    <t>FRIENDSHIP HOME ASSOCIATION</t>
  </si>
  <si>
    <t>REGENCY PARK NURSING &amp; REHAB CENTER OF JEFFERSON</t>
  </si>
  <si>
    <t>PARKVIEW MANOR</t>
  </si>
  <si>
    <t>LENOX CARE CENTER</t>
  </si>
  <si>
    <t>GOOD SAMARITAN SOCIETY - MANSON</t>
  </si>
  <si>
    <t>GOOD SAMARITAN SOCIETY - FONTANELLE</t>
  </si>
  <si>
    <t>DENISON CARE CENTER</t>
  </si>
  <si>
    <t>GOOD SAMARITAN SOCIETY - POSTVILLE</t>
  </si>
  <si>
    <t>GOOD SAMARITAN SOCIETY - WAUKON</t>
  </si>
  <si>
    <t>GRUNDY CARE CENTER</t>
  </si>
  <si>
    <t>CHAUTAUQUA GUEST HOME #3</t>
  </si>
  <si>
    <t>HILLCREST HEALTH CARE CENTER</t>
  </si>
  <si>
    <t>GOOD SAMARITAN SOCIETY - GEORGE</t>
  </si>
  <si>
    <t>PLEASANT ACRES CARE CENTER</t>
  </si>
  <si>
    <t>GOOD SAMARITAN SOCIETY - NEWELL</t>
  </si>
  <si>
    <t>RAVENWOOD SPECIALTY CARE</t>
  </si>
  <si>
    <t>WESTVIEW ACRES CARE CENTER</t>
  </si>
  <si>
    <t>PANORA SPECIALTY CARE</t>
  </si>
  <si>
    <t>OAKVIEW, INC.</t>
  </si>
  <si>
    <t>CARLISLE CENTER FOR WELLNESS AND REHAB</t>
  </si>
  <si>
    <t>ELMWOOD CARE CENTRE</t>
  </si>
  <si>
    <t>GOLDEN AGE CARE CENTER</t>
  </si>
  <si>
    <t>THORNTON MANOR</t>
  </si>
  <si>
    <t>DONNELLSON HEALTH CENTER</t>
  </si>
  <si>
    <t>MILL-POND</t>
  </si>
  <si>
    <t>TRU REHAB OF GRINNELL</t>
  </si>
  <si>
    <t>MECHANICSVILLE SPECIALTY CARE</t>
  </si>
  <si>
    <t>QHC MITCHELLVILLE, LLC</t>
  </si>
  <si>
    <t>QHC FORT DODGE VILLA , LLC</t>
  </si>
  <si>
    <t>HOLY SPIRIT RETIREMENT HOME</t>
  </si>
  <si>
    <t>MAPLE HEIGHTS</t>
  </si>
  <si>
    <t>THE REHABILITATION CENTER OF DES MOINES</t>
  </si>
  <si>
    <t>CLEARVIEW HOME</t>
  </si>
  <si>
    <t>STRATFORD SPECIALTY CARE</t>
  </si>
  <si>
    <t>WESTWOOD SPECIALTY CARE</t>
  </si>
  <si>
    <t>UNIVERSITY PARK NURSING &amp; REHABILITATION CENTER</t>
  </si>
  <si>
    <t>FLEUR HEIGHTS CENTER FOR WELLNESS AND REHAB</t>
  </si>
  <si>
    <t>NORTHERN MAHASKA SPECIALTY CARE</t>
  </si>
  <si>
    <t>CREST HAVEN CARE CENTRE</t>
  </si>
  <si>
    <t>LIVING CENTER WEST</t>
  </si>
  <si>
    <t>MONTICELLO NURSING &amp; REHAB CEN</t>
  </si>
  <si>
    <t>BETTENDORF HEALTH CARE CENTER</t>
  </si>
  <si>
    <t>VALLEY VIEW SPECIALTY CARE</t>
  </si>
  <si>
    <t>FELLOWSHIP VILLAGE</t>
  </si>
  <si>
    <t>SUNNY KNOLL CARE CENTRE</t>
  </si>
  <si>
    <t>CORNING SPECIALTY CARE</t>
  </si>
  <si>
    <t>SUNRISE HILL CARE CENTER</t>
  </si>
  <si>
    <t>CRESTVIEW SPECIALTY CARE</t>
  </si>
  <si>
    <t>ATLANTIC SPECIALTY CARE</t>
  </si>
  <si>
    <t>NORTH CREST LIVING CENTER</t>
  </si>
  <si>
    <t>FRIENDSHIP HAVEN, INC</t>
  </si>
  <si>
    <t>BEDFORD SPECIALTY CARE</t>
  </si>
  <si>
    <t>SOUTHERN HILLS SPECIALITY CARE</t>
  </si>
  <si>
    <t>AVOCA SPECIALTY CARE</t>
  </si>
  <si>
    <t>MONTEZUMA SPECIALTY CARE</t>
  </si>
  <si>
    <t>PLEASANT VIEW CARE CENTER</t>
  </si>
  <si>
    <t>NEW HAMPTON NURSING &amp; REHAB CE</t>
  </si>
  <si>
    <t>WINDSOR SPECIALTY CARE</t>
  </si>
  <si>
    <t>CRESTVIEW ACRES</t>
  </si>
  <si>
    <t>LAPORTE CITY SPECIALTY CARE</t>
  </si>
  <si>
    <t>GREAT RIVER CARE CENTER</t>
  </si>
  <si>
    <t>LINN HAVEN REHAB &amp; HEALTHCARE</t>
  </si>
  <si>
    <t>ABCM REHAB CENTERS OF INDEPENDENCE WEST CAMPUS</t>
  </si>
  <si>
    <t>MONTROSE HEALTH CENTER</t>
  </si>
  <si>
    <t>CHARITON SPECIALTY CARE</t>
  </si>
  <si>
    <t>COUNTRY VIEW</t>
  </si>
  <si>
    <t>WEST RIDGE SPECIALTY CARE</t>
  </si>
  <si>
    <t>SHELL ROCK SENIOR LIVING</t>
  </si>
  <si>
    <t>HERITAGE SPECIALTY CARE</t>
  </si>
  <si>
    <t>PLYMOUTH MANOR CARE CENTER</t>
  </si>
  <si>
    <t>FONDA SPECIALTY CARE</t>
  </si>
  <si>
    <t>OAKWOOD SPECIALTY CARE</t>
  </si>
  <si>
    <t>LAMONI SPECIALTY CARE</t>
  </si>
  <si>
    <t>ELDORA SPECIALTY CARE</t>
  </si>
  <si>
    <t>COLONIAL MANOR OF AMANA</t>
  </si>
  <si>
    <t>ZEARING HEALTH CARE, LLC</t>
  </si>
  <si>
    <t>COTTAGE GROVE PLACE - THE CLUB</t>
  </si>
  <si>
    <t>CORRECTIONVILLE SPECIALTY CARE</t>
  </si>
  <si>
    <t>ACCURA HEALTHCARE OF PLEASANTVILLE, LLC</t>
  </si>
  <si>
    <t>MANOR HOUSE CARE CENTER</t>
  </si>
  <si>
    <t>BLOOMFIELD CARE CENTER</t>
  </si>
  <si>
    <t>SUNRISE TERRACE NURSING &amp; REHABILITATION CENTER</t>
  </si>
  <si>
    <t>KINGSLEY SPECIALTY CARE</t>
  </si>
  <si>
    <t>CHEROKEE SPECIALTY CARE</t>
  </si>
  <si>
    <t>MORNING SUN CARE CENTER</t>
  </si>
  <si>
    <t>STANTON CARE CENTER</t>
  </si>
  <si>
    <t>HALLMARK CARE CENTER</t>
  </si>
  <si>
    <t>GUTTENBERG CARE CENTER</t>
  </si>
  <si>
    <t>HUBBARD CARE CENTER</t>
  </si>
  <si>
    <t>REHABILITATION CENTER OF ALLISON</t>
  </si>
  <si>
    <t>ABCM REHAB CENTERS OF INDEPENDENCE EAST CAMPUS</t>
  </si>
  <si>
    <t>NORTHGATE CARE CENTER</t>
  </si>
  <si>
    <t>DUMONT WELLNESS CENTER</t>
  </si>
  <si>
    <t>GRANDVIEW HEALTHCARE CENTER</t>
  </si>
  <si>
    <t>OELWEIN HEALTH CARE CENTER</t>
  </si>
  <si>
    <t>WILLOW DALE WELLNESS VILLAGE</t>
  </si>
  <si>
    <t>PARK VIEW REHABILITATION CENTER</t>
  </si>
  <si>
    <t>GOWRIE CARE CENTER LLC</t>
  </si>
  <si>
    <t>PARKRIDGE SPECIALTY CARE</t>
  </si>
  <si>
    <t>MAPLE MANOR VILLAGE</t>
  </si>
  <si>
    <t>NORA SPRINGS CARE CENTER</t>
  </si>
  <si>
    <t>BELLE PLAINE SPECIALTY CARE</t>
  </si>
  <si>
    <t>FOUNTAIN WEST HEALTH CENTER</t>
  </si>
  <si>
    <t>GRISWOLD REHABILITATION &amp; HEALTH CARE CENTER</t>
  </si>
  <si>
    <t>EMMETSBURG CARE CENTER</t>
  </si>
  <si>
    <t>VALLEY VUE CARE CENTER</t>
  </si>
  <si>
    <t>REHABILITATION CENTER OF HAMPTON</t>
  </si>
  <si>
    <t>KEOTA HEALTH CARE CENTER</t>
  </si>
  <si>
    <t>VALLEY VIEW COMMUNITY</t>
  </si>
  <si>
    <t>ROSE VISTA HOME, INC.</t>
  </si>
  <si>
    <t>THOMAS REST HAVEN</t>
  </si>
  <si>
    <t>METHODIST MANOR RETIREMENT COM</t>
  </si>
  <si>
    <t>ROLLING GREEN VILLAGE CARE CEN</t>
  </si>
  <si>
    <t>CLARION WELLNESS AND REHABILITATION CENTER</t>
  </si>
  <si>
    <t>WESTVIEW CARE CENTER</t>
  </si>
  <si>
    <t>CONCORD CARE CENTER</t>
  </si>
  <si>
    <t>OAKWOOD CARE CENTER</t>
  </si>
  <si>
    <t>LAKE MILLS CARE CENTER</t>
  </si>
  <si>
    <t>HERITAGE CARE AND REHABILITATION CENTER</t>
  </si>
  <si>
    <t>LITTLE FLOWER HAVEN</t>
  </si>
  <si>
    <t>WESTVIEW OF INDIANOLA CARE CENTER</t>
  </si>
  <si>
    <t>MANILLA MANOR</t>
  </si>
  <si>
    <t>ELM CREST RETIREMENT COMMUNITY</t>
  </si>
  <si>
    <t>LONGVIEW HOME, INC</t>
  </si>
  <si>
    <t>MILL VALLEY CARE CENTER</t>
  </si>
  <si>
    <t>ANAMOSA CARE CENTER</t>
  </si>
  <si>
    <t>RIVERVIEW MANOR</t>
  </si>
  <si>
    <t>WHEATLAND MANOR</t>
  </si>
  <si>
    <t>EDGEWOOD CONVALESCENT HOME</t>
  </si>
  <si>
    <t>REHABILITATION CENTER OF BELMOND</t>
  </si>
  <si>
    <t>SIGOURNEY HEALTH CARE</t>
  </si>
  <si>
    <t>ACCURA HEALTHCARE OF KNOXVILLE, LLC</t>
  </si>
  <si>
    <t>GREENFIELD REHABILITATION &amp; HEALTH CARE CENTER</t>
  </si>
  <si>
    <t>SHEFFIELD CARE CENTER</t>
  </si>
  <si>
    <t>GRANDVIEW HEIGHTS INC</t>
  </si>
  <si>
    <t>COLONIAL MANOR OF ELMA</t>
  </si>
  <si>
    <t>PRIMGHAR REHAB &amp; CARE CENTER</t>
  </si>
  <si>
    <t>LONE TREE HEALTH CARE CENTER</t>
  </si>
  <si>
    <t>LIVING CENTER EAST</t>
  </si>
  <si>
    <t>STATE CENTER SPECIALTY CARE</t>
  </si>
  <si>
    <t>ELKADER CARE CENTER</t>
  </si>
  <si>
    <t>HERITAGE CARE CENTER</t>
  </si>
  <si>
    <t>RIVER HILLS VILLAGE IN KEOKUK</t>
  </si>
  <si>
    <t>HEARTLAND CARE CENTER</t>
  </si>
  <si>
    <t>ACCURA HEALTHCARE OF BAXTER, LLC</t>
  </si>
  <si>
    <t>REGENCY CARE CENTER</t>
  </si>
  <si>
    <t>SIBLEY SPECIALTY CARE</t>
  </si>
  <si>
    <t>HAWKEYE CARE CENTER MILFORD</t>
  </si>
  <si>
    <t>HAWKEYE CARE CENTER SIOUX RAPIDS</t>
  </si>
  <si>
    <t>NEW LONDON SPECIALTY CARE</t>
  </si>
  <si>
    <t>HAPPY SIESTA NURSING HOME</t>
  </si>
  <si>
    <t>ROCKWELL COMMUNITY NURSING HOM</t>
  </si>
  <si>
    <t>HAWKEYE CARE CENTER BANCROFT</t>
  </si>
  <si>
    <t>SOUTHFIELD WELLNESS COMMUNITY</t>
  </si>
  <si>
    <t>EXIRA CARE CENTER</t>
  </si>
  <si>
    <t>PLEASANT VIEW HOME</t>
  </si>
  <si>
    <t>ACCURA HEALTHCARE OF POMEROY, LLC</t>
  </si>
  <si>
    <t>AFTON CARE CENTER</t>
  </si>
  <si>
    <t>SIMPSON MEMORIAL HOME</t>
  </si>
  <si>
    <t>ACCURA HEALTHCARE OF NEWTON WEST, LLC</t>
  </si>
  <si>
    <t>ACCURA HEALTHCARE OF NEWTON EAST, LLC</t>
  </si>
  <si>
    <t>RIVERSIDE SOUTH</t>
  </si>
  <si>
    <t>ACCURA HEALTHCARE OF AMES, LLC</t>
  </si>
  <si>
    <t>BETHANY LIFE</t>
  </si>
  <si>
    <t>ACCURA HEALTHCARE OF CHEROKEE, LLC</t>
  </si>
  <si>
    <t>PERRY HEALTH CARE CENTER</t>
  </si>
  <si>
    <t>NEWTON HEALTH CARE CENTER</t>
  </si>
  <si>
    <t>CAREAGE HILLS REHABILITATION AND HEALTHCARE</t>
  </si>
  <si>
    <t>TITONKA CARE CENTER</t>
  </si>
  <si>
    <t>LUTHERAN LIVING SENIOR CAMPUS</t>
  </si>
  <si>
    <t>FAITH LUTHERAN HOME</t>
  </si>
  <si>
    <t>ACCURA HEALTHCARE OF OGDEN, LLC</t>
  </si>
  <si>
    <t>ACCURA HEALTHCARE OF SIOUX CITY, LLC</t>
  </si>
  <si>
    <t>ST MARY HEALTHCARE AND REHABILITATION CENTER</t>
  </si>
  <si>
    <t>MAPLE CREST MANOR</t>
  </si>
  <si>
    <t>STACYVILLE COMMUNITY NURSING HOME</t>
  </si>
  <si>
    <t>BLAIR HOUSE</t>
  </si>
  <si>
    <t>WINSLOW HOUSE CARE CENTER</t>
  </si>
  <si>
    <t>WOODLAND TERRACE</t>
  </si>
  <si>
    <t>GRAND JI VANTE</t>
  </si>
  <si>
    <t>WEST BEND HEALTH AND REHABILITATION</t>
  </si>
  <si>
    <t>LAKE PARK CARE CENTER</t>
  </si>
  <si>
    <t>WESTBROOK ACRES</t>
  </si>
  <si>
    <t>MIDLANDS LIVING CENTER L L C</t>
  </si>
  <si>
    <t>BISHOP DRUMM CARE CENTER</t>
  </si>
  <si>
    <t>LONGHOUSE-NORTHSHIRE, LTD</t>
  </si>
  <si>
    <t>PREMIER ESTATES OF TOLEDO</t>
  </si>
  <si>
    <t>HAWKEYE CARE CENTER MARSHALLTOWN</t>
  </si>
  <si>
    <t>WAPELLO SPECIALTY CARE</t>
  </si>
  <si>
    <t>PEARL VALLEY REHABILITATION &amp; HEALTHCARE CENTER O</t>
  </si>
  <si>
    <t>HAWKEYE CARE CENTER CARROLL</t>
  </si>
  <si>
    <t>ENGLISH VALLEY NURSING CARE CENTER</t>
  </si>
  <si>
    <t>SUTHERLAND CARE CENTER</t>
  </si>
  <si>
    <t>KAREN ACRES CARE CENTER</t>
  </si>
  <si>
    <t>POCAHONTAS MANOR</t>
  </si>
  <si>
    <t>SUNNY HILL CARE CENTER</t>
  </si>
  <si>
    <t>CRESTVIEW NURSING &amp; REHAB</t>
  </si>
  <si>
    <t>NEWALDAYA LIFESCAPES</t>
  </si>
  <si>
    <t>RISEN SON CHRISTIAN VILLAGE</t>
  </si>
  <si>
    <t>KANAWHA COMMUNITY HOME, INC.</t>
  </si>
  <si>
    <t>EASTERN STAR MASONIC HOME</t>
  </si>
  <si>
    <t>CEDAR HEALTH</t>
  </si>
  <si>
    <t>PLEASANTVIEW HOME</t>
  </si>
  <si>
    <t>STONEHILL CARE CENTER</t>
  </si>
  <si>
    <t>SCENIC MANOR</t>
  </si>
  <si>
    <t>SUNRISE RETIREMENT COMMUNITY</t>
  </si>
  <si>
    <t>THE AMBASSADOR SIDNEY INC</t>
  </si>
  <si>
    <t>WELLINGTON PLACE</t>
  </si>
  <si>
    <t>COLONIAL MANORS OF COLUMBUS COMMUNITY</t>
  </si>
  <si>
    <t>ARBOR COURT</t>
  </si>
  <si>
    <t>CALVIN COMMUNITY</t>
  </si>
  <si>
    <t>ST FRANCIS MANOR</t>
  </si>
  <si>
    <t>MAYFLOWER HOME</t>
  </si>
  <si>
    <t>UNITED PRESBYTERIAN HOME</t>
  </si>
  <si>
    <t>HALCYON HOUSE</t>
  </si>
  <si>
    <t>ST LUKE LUTHERAN HOME</t>
  </si>
  <si>
    <t>LUTHERAN RETIREMENT HOME</t>
  </si>
  <si>
    <t>RUTHVEN COMMUNITY CARE CENTER</t>
  </si>
  <si>
    <t>WESLEY ACRES</t>
  </si>
  <si>
    <t>TWILIGHT ACRES</t>
  </si>
  <si>
    <t>GOLDENROD MANOR</t>
  </si>
  <si>
    <t>HAWKEYE CARE CENTER CRESCO</t>
  </si>
  <si>
    <t>EVANS MEMORIAL HOME</t>
  </si>
  <si>
    <t>LAKESIDE LUTHERAN HOME</t>
  </si>
  <si>
    <t>TRIPOLI NURSING &amp; REHAB</t>
  </si>
  <si>
    <t>CLARKSVILLE SKILLED NURSING &amp; REHAB CENTER</t>
  </si>
  <si>
    <t>QHC WINTERSET NORTH, LLC</t>
  </si>
  <si>
    <t>WESTHAVEN COMMUNITY</t>
  </si>
  <si>
    <t>BLACKHAWK LIFE CARE CENTER</t>
  </si>
  <si>
    <t>ROTARY SENIOR LIVING</t>
  </si>
  <si>
    <t>GOOD NEIGHBOR HOME</t>
  </si>
  <si>
    <t>ALGONA MANOR CARE CENTER</t>
  </si>
  <si>
    <t>QHC WINTERSET SOUTH, LLC</t>
  </si>
  <si>
    <t>VALLEY VIEW VILLAGE</t>
  </si>
  <si>
    <t>MARTIN HEALTH CENTER, INC</t>
  </si>
  <si>
    <t>THE ALVERNO HEALTH CARE CENTER</t>
  </si>
  <si>
    <t>DAVENPORT LUTHERAN HOME</t>
  </si>
  <si>
    <t>LINN MANOR CARE CENTER</t>
  </si>
  <si>
    <t>MERCY LIVING CENTER NORTH</t>
  </si>
  <si>
    <t>LUTHER MANOR RETIREMENT HOME</t>
  </si>
  <si>
    <t>RAMSEY VILLAGE</t>
  </si>
  <si>
    <t>SUNNYCREST NURSING CENTER</t>
  </si>
  <si>
    <t>CRESTRIDGE CARE CENTER</t>
  </si>
  <si>
    <t>NELSON MANOR</t>
  </si>
  <si>
    <t>PARKVIEW MANOR CARE CENTER</t>
  </si>
  <si>
    <t>ROSEWOOD MANOR</t>
  </si>
  <si>
    <t>BETHANY LUTHERAN HOME</t>
  </si>
  <si>
    <t>THE NEW HOMESTEAD</t>
  </si>
  <si>
    <t>PATTY ELWOOD CENTER</t>
  </si>
  <si>
    <t>HAWKEYE CARE CENTER SPIRIT LAKE</t>
  </si>
  <si>
    <t>ELM HEIGHTS CARE CENTER</t>
  </si>
  <si>
    <t>GLEN HAVEN HOME</t>
  </si>
  <si>
    <t>GARDEN VIEW CARE CENTER</t>
  </si>
  <si>
    <t>EVENTIDE LUTHERAN HOME FOR THE</t>
  </si>
  <si>
    <t>QHC HUMBOLDT NORTH, LLC</t>
  </si>
  <si>
    <t>QHC HUMBOLDT SOUTH, LLC</t>
  </si>
  <si>
    <t>SUNSET KNOLL CARE AND REHAB CENTER</t>
  </si>
  <si>
    <t>I O O F HOME AND COMMUNITY THERAPY CENTER</t>
  </si>
  <si>
    <t>HIAWATHA CARE CENTER</t>
  </si>
  <si>
    <t>PRAIRIE RIDGE CARE CENTER</t>
  </si>
  <si>
    <t>MARIAN HOME</t>
  </si>
  <si>
    <t>COUNTRYSIDE HEALTH CARE CENTER</t>
  </si>
  <si>
    <t>RICEVILLE FAMILY CARE AND THERAPY CENTER</t>
  </si>
  <si>
    <t>METH-WICK HEALTH CENTER</t>
  </si>
  <si>
    <t>WESLEY PARK CENTRE</t>
  </si>
  <si>
    <t>WINDMILL MANOR</t>
  </si>
  <si>
    <t>TABOR MANOR CARE CENTER</t>
  </si>
  <si>
    <t>PARKVIEW HOME</t>
  </si>
  <si>
    <t>ARBOR SPRINGS OF WEST DES MOINES L L C</t>
  </si>
  <si>
    <t>VISTA WOODS CARE CENTER</t>
  </si>
  <si>
    <t>SOLON NURSING CARE CENTER</t>
  </si>
  <si>
    <t>THE VINTON LUTHERAN HOME</t>
  </si>
  <si>
    <t>IOWA MASONIC HEALTH FACILITIES</t>
  </si>
  <si>
    <t>COUNTRY VIEW MANOR INC</t>
  </si>
  <si>
    <t>ADEL ACRES</t>
  </si>
  <si>
    <t>SUNNYCREST MANOR</t>
  </si>
  <si>
    <t>DEERFIELD RETIREMENT COMMUNITY INC</t>
  </si>
  <si>
    <t>BOONE COUNTY HOSPITAL</t>
  </si>
  <si>
    <t>ENNOBLE SKILLED NURSING AND REHABILITATION CENTER</t>
  </si>
  <si>
    <t>HERITAGE HOUSE</t>
  </si>
  <si>
    <t>MONROE CARE CENTER</t>
  </si>
  <si>
    <t>HAWKEYE CARE CENTER DUBUQUE</t>
  </si>
  <si>
    <t>HIGHLAND RIDGE CARE CENTER, LLC</t>
  </si>
  <si>
    <t>WEST RIDGE CARE CENTER</t>
  </si>
  <si>
    <t>SHADY REST CARE CENTER</t>
  </si>
  <si>
    <t>WEST POINT CARE CENTER INC</t>
  </si>
  <si>
    <t>CRYSTAL HEIGHTS CARE CENTER</t>
  </si>
  <si>
    <t>BURLINGTON CARE CENTER</t>
  </si>
  <si>
    <t>PRAIRIE VIEW HOME</t>
  </si>
  <si>
    <t>MANORCARE HEALTH SERVICES-UTICA RIDGE</t>
  </si>
  <si>
    <t>OSSIAN SENIOR HOSPICE</t>
  </si>
  <si>
    <t>GREEN HILLS HEALTH CARE CENTER</t>
  </si>
  <si>
    <t>PREMIER ESTATES OF MUSCATINE</t>
  </si>
  <si>
    <t>MAQUOKETA CARE CENTER</t>
  </si>
  <si>
    <t>URBANDALE HEALTH CARE CENTER</t>
  </si>
  <si>
    <t>THE VILLAGE AT LEGACY POINTE NURSING FACILITY</t>
  </si>
  <si>
    <t>BETHANY HOME</t>
  </si>
  <si>
    <t>PEARL VALLEY REHABILITATION AND HEALTHCARE CENTER</t>
  </si>
  <si>
    <t>TIMELY MISSION NURSING HOME</t>
  </si>
  <si>
    <t>NORTHBROOK MANOR</t>
  </si>
  <si>
    <t>OSKALOOSA CARE CENTER</t>
  </si>
  <si>
    <t>CLARENCE NURSING HOME</t>
  </si>
  <si>
    <t>SPURGEON MANOR</t>
  </si>
  <si>
    <t>PLEASANT MANOR CARE CENTER</t>
  </si>
  <si>
    <t>SCOTTISH RITE PARK INC</t>
  </si>
  <si>
    <t>BROOKLYN COMMUNITY ESTATES</t>
  </si>
  <si>
    <t>AKRON  CARE CENTER, INC</t>
  </si>
  <si>
    <t>NORTH LAKE MANOR</t>
  </si>
  <si>
    <t>EDGEWATER, A WESLEYLIFE COMMUNITY</t>
  </si>
  <si>
    <t>JEFFERSON PLACE</t>
  </si>
  <si>
    <t>CEDAR MANOR NURSING HOME</t>
  </si>
  <si>
    <t>MANORCARE HEALTH SERVICES -WEST DES MOINES</t>
  </si>
  <si>
    <t>SUNNY BROOK LIVING CARE CENTER</t>
  </si>
  <si>
    <t>DENVER SUNSET HOME</t>
  </si>
  <si>
    <t>KEYSTONE NURSING CARE CENTER INC</t>
  </si>
  <si>
    <t>KENNYBROOK VILLAGE</t>
  </si>
  <si>
    <t>PERRY LUTHERAN HOME</t>
  </si>
  <si>
    <t>THE COTTAGES</t>
  </si>
  <si>
    <t>EAST VILLAGE CENTER FOR WELLNESS &amp; REHAB</t>
  </si>
  <si>
    <t>NEWTON VILLAGE HEALTH CARE CENTER</t>
  </si>
  <si>
    <t>PRAIRIE VISTA VILLAGE</t>
  </si>
  <si>
    <t>WILTON RETIREMENT COMMUNITY</t>
  </si>
  <si>
    <t>TRINITY CENTER AT LUTHER PARK</t>
  </si>
  <si>
    <t>NORTHRIDGE VILLAGE</t>
  </si>
  <si>
    <t>VIA CHRISTI HOSPITAL PITTSBURG INC</t>
  </si>
  <si>
    <t>SAINT JOHN HOSPITAL</t>
  </si>
  <si>
    <t>MERCY HOSPITAL INDEPENDENCE</t>
  </si>
  <si>
    <t>SUSAN B ALLEN MEMORIAL HOSPITAL</t>
  </si>
  <si>
    <t>MERCY HOSPITAL-FORT SCOTT</t>
  </si>
  <si>
    <t>GEARY COMMUNITY HOSPITAL</t>
  </si>
  <si>
    <t>COFFEY COUNTY HOSPITAL</t>
  </si>
  <si>
    <t>NEWTON MEDICAL CENTER</t>
  </si>
  <si>
    <t>MCPHERSON HOSPITAL INC</t>
  </si>
  <si>
    <t>BOB WILSON MEMORIAL GRANT COUNTY HOSPITAL</t>
  </si>
  <si>
    <t>SOUTH CENTRAL KS  MED CENTER</t>
  </si>
  <si>
    <t>MORTON COUNTY HOSPITAL</t>
  </si>
  <si>
    <t>WESTERN PLAINS MEDICAL COMPLEX</t>
  </si>
  <si>
    <t>MEDICALODGES WICHITA</t>
  </si>
  <si>
    <t>BREWSTER HEALTH CENTER</t>
  </si>
  <si>
    <t>MEDICALODGES PITTSBURG</t>
  </si>
  <si>
    <t>LIFE CARE CENTER OF OSAWATOMIE</t>
  </si>
  <si>
    <t>LEGACY AT COLLEGE HILL</t>
  </si>
  <si>
    <t>VIA CHRISTI VILLAGE MANHATTAN INC</t>
  </si>
  <si>
    <t>LEGACY ON 10TH AVENUE</t>
  </si>
  <si>
    <t>DIVERSICARE OF HUTCHINSON</t>
  </si>
  <si>
    <t>VILLA ST FRANCIS</t>
  </si>
  <si>
    <t>SUMNER REGIONAL MEDICAL CENTER SNF</t>
  </si>
  <si>
    <t>KANSAS MASONIC HOME</t>
  </si>
  <si>
    <t>DELMAR GARDENS OF LENEXA</t>
  </si>
  <si>
    <t>TRINITY NURSING &amp; REHABILITATION CENTER INC</t>
  </si>
  <si>
    <t>LAKEPOINT NURSING &amp; REHAB CENTER OF EL DORADO</t>
  </si>
  <si>
    <t>VALLEY VIEW SENIOR LIFE</t>
  </si>
  <si>
    <t>LEGACY AT SALINA</t>
  </si>
  <si>
    <t>MEADOWBROOK REHABILITATION HOSPITAL LTCU</t>
  </si>
  <si>
    <t>DIVERSICARE OF HAYSVILLE</t>
  </si>
  <si>
    <t>MEDICALODGES POST ACUTE CARE CENTER</t>
  </si>
  <si>
    <t>MEDICALODGES ATCHISON</t>
  </si>
  <si>
    <t>BROOKSIDE RETIREMENT COMMUNITY</t>
  </si>
  <si>
    <t>HUTCHINSON REGIONAL MEDICAL CENTER INC (SNU)</t>
  </si>
  <si>
    <t>LAWRENCE MEMORIAL HOSPITAL SNF</t>
  </si>
  <si>
    <t>LEXINGTON PARK NURSING &amp; POST ACUTE CENTER</t>
  </si>
  <si>
    <t>LIFE CARE CENTER OF ANDOVER</t>
  </si>
  <si>
    <t>GARDEN TERRACE AT OVERLAND PARK</t>
  </si>
  <si>
    <t>PROVIDENCE PLACE</t>
  </si>
  <si>
    <t>MEDICALODGES LEAVENWORTH</t>
  </si>
  <si>
    <t>SOUTHWEST MEDICAL CENTER SNF</t>
  </si>
  <si>
    <t>ROLLING HILLS HEALTH CENTER</t>
  </si>
  <si>
    <t>MANORCARE HEALTH SERVICES - WICHITA</t>
  </si>
  <si>
    <t>COFFEYVILLE REGIONAL MEDICAL CENTER SNF</t>
  </si>
  <si>
    <t>MCCRITE PLAZA HEALTH CENTER</t>
  </si>
  <si>
    <t>MANORCARE HEALTH SERVICES - TOPEKA</t>
  </si>
  <si>
    <t>HOLIDAY RESORT</t>
  </si>
  <si>
    <t>MEADOWLARK HILLS</t>
  </si>
  <si>
    <t>GARDEN VALLEY RETIREMENT VILLAGE</t>
  </si>
  <si>
    <t>INDIAN CREEK HEALTHCARE CENTER</t>
  </si>
  <si>
    <t>LEISURE TERRACE</t>
  </si>
  <si>
    <t>LARKSFIELD PLACE</t>
  </si>
  <si>
    <t>DELMAR GARDENS OF OVERLAND PARK</t>
  </si>
  <si>
    <t>VILLA ST JOSEPH</t>
  </si>
  <si>
    <t>PINNACLE PARK NURSING &amp; REHAB CENTER</t>
  </si>
  <si>
    <t>SMOKY HILL REHABILITATION CENTER</t>
  </si>
  <si>
    <t>OVERLAND PARK NURSING &amp; REHAB CENTER INC</t>
  </si>
  <si>
    <t>THE FORUM AT OVERLAND PARK</t>
  </si>
  <si>
    <t>STONEYBROOK RETIREMENT COMMUNITY</t>
  </si>
  <si>
    <t>KENWOOD VIEW HEALTH AND REHABILITATION CENTER</t>
  </si>
  <si>
    <t>GOLDEN LIVINGCENTER - DOWNS</t>
  </si>
  <si>
    <t>COLBY OPERATOR, LLC</t>
  </si>
  <si>
    <t>GOLDEN LIVINGCENTER - WILSON</t>
  </si>
  <si>
    <t>GOOD SAMARITAN SOCIETY - DODGE CITY</t>
  </si>
  <si>
    <t>GOLDEN LIVINGCENTER - PITTSBURG</t>
  </si>
  <si>
    <t>GOOD SAMARITAN SOCIETY - PARSONS</t>
  </si>
  <si>
    <t>PINNACLE RIDGE NURSING &amp; REHAB CENTER</t>
  </si>
  <si>
    <t>DIVERSICARE OF CHANUTE</t>
  </si>
  <si>
    <t>TONGANOXIE NURSING CENTER</t>
  </si>
  <si>
    <t>WATHENA HEALTHCARE &amp; REHABILITATION CENTER</t>
  </si>
  <si>
    <t>WESTVIEW OF DERBY</t>
  </si>
  <si>
    <t>GOLDEN LIVINGCENTER - KAW RIVER</t>
  </si>
  <si>
    <t>ONAGA OPERATOR, LLC</t>
  </si>
  <si>
    <t>FOUNTAINVIEW NURSING &amp; REHAB CENTER</t>
  </si>
  <si>
    <t>GOLDEN LIVINGCENTER - CHASE COUNTY</t>
  </si>
  <si>
    <t>MORAN MANOR</t>
  </si>
  <si>
    <t>WINDSOR PLACE AT IOLA LLC</t>
  </si>
  <si>
    <t>GOLDEN LIVINGCENTER - LANSING</t>
  </si>
  <si>
    <t>GOLDEN LIVINGCENTER - PARKWAY</t>
  </si>
  <si>
    <t>GOOD SAMARITAN SOCIETY - ELLSWORTH VILLAGE</t>
  </si>
  <si>
    <t>PLEASANT VALLEY MANOR</t>
  </si>
  <si>
    <t>GALENA NURSING &amp; REHAB CENTER</t>
  </si>
  <si>
    <t>DIVERSICARE OF LARNED</t>
  </si>
  <si>
    <t>HUTCHINSON OPERATOR, LLC</t>
  </si>
  <si>
    <t>MEDICALODGES COFFEYVILLE</t>
  </si>
  <si>
    <t>LOUISBURG HEALTHCARE &amp; REHAB CENTER</t>
  </si>
  <si>
    <t>DIVERSICARE OF COUNCIL GROVE</t>
  </si>
  <si>
    <t>PROMISE SKILLED NURSING FACILITY OF OVERLAND PARK,</t>
  </si>
  <si>
    <t>SABETHA MANOR</t>
  </si>
  <si>
    <t>LAKEVIEW VILLAGE</t>
  </si>
  <si>
    <t>MEDICALODGES GARDNER</t>
  </si>
  <si>
    <t>MEMORIAL HOSPITAL LTCU (VILLAGE MANOR)</t>
  </si>
  <si>
    <t>GOLDEN LIVINGCENTER - EDWARDSVILLE</t>
  </si>
  <si>
    <t>BELLEVILLE HEALTH CARE CENTER</t>
  </si>
  <si>
    <t>KENSINGTON OPERATOR, LLC</t>
  </si>
  <si>
    <t>WELLSVILLE MANOR</t>
  </si>
  <si>
    <t>SEVILLE OPERATOR, LLC</t>
  </si>
  <si>
    <t>DIVERSICARE OF SEDGWICK</t>
  </si>
  <si>
    <t>PLAZA WEST REGIONAL HEALTH CENTER</t>
  </si>
  <si>
    <t>OSAGE NURSING &amp; REHABILITATION CENTER</t>
  </si>
  <si>
    <t>SHARON LANE HEALTH SERVICES</t>
  </si>
  <si>
    <t>MEDICALODGES FORT SCOTT</t>
  </si>
  <si>
    <t>GOOD SAMARITAN SOCIETY - HUTCHINSON VILLAGE</t>
  </si>
  <si>
    <t>GOOD SAMARITAN SOCIETY - OLATHE</t>
  </si>
  <si>
    <t>MEDICALODGES COLUMBUS</t>
  </si>
  <si>
    <t>SHAWNEE GARDENS HEALTHCARE &amp; REHAB CENTER</t>
  </si>
  <si>
    <t>GOLDEN LIVINGCENTER - WAKEFIELD</t>
  </si>
  <si>
    <t>GOLDEN LIVINGCENTER - WICHITA</t>
  </si>
  <si>
    <t>MERIDIAN REHABILITATION AND HEALTH CARE CENTER</t>
  </si>
  <si>
    <t>MEDICALODGES KINSLEY</t>
  </si>
  <si>
    <t>NORTH POINT SKILLED NURSING CENTER</t>
  </si>
  <si>
    <t>BRANDON WOODS AT ALVAMAR</t>
  </si>
  <si>
    <t>FLINT HILLS CARE CENTER</t>
  </si>
  <si>
    <t>LIFE CARE CENTER OF KANSAS CITY</t>
  </si>
  <si>
    <t>GOOD SAMARITAN SOCIETY - MINNEAPOLIS</t>
  </si>
  <si>
    <t>WHEATLAND NURSING &amp; REHABILITATION CENTER</t>
  </si>
  <si>
    <t>EUREKA NURSING CENTER</t>
  </si>
  <si>
    <t>WINDSOR PLACE LLC</t>
  </si>
  <si>
    <t>GREAT BEND HEALTH &amp; REHAB CENTER</t>
  </si>
  <si>
    <t>MEDICALODGES DOUGLASS</t>
  </si>
  <si>
    <t>MEDICALODGES GODDARD</t>
  </si>
  <si>
    <t>SMITH CENTER OPERATOR, LLC</t>
  </si>
  <si>
    <t>TOPEKA PRESBYTERIAN MANOR</t>
  </si>
  <si>
    <t>BIG BLUE HEALTHCARE, INC</t>
  </si>
  <si>
    <t>STERLING PRESBYTERIAN MANOR</t>
  </si>
  <si>
    <t>SALINA PRESBYTERIAN MANOR</t>
  </si>
  <si>
    <t>WICHITA PRESBYTERIAN MANOR</t>
  </si>
  <si>
    <t>NEWTON PRESBYTERIAN MANOR</t>
  </si>
  <si>
    <t>PARSONS PRESBYTERIAN MANOR</t>
  </si>
  <si>
    <t>EMPORIA PRESBYTERIAN MANOR</t>
  </si>
  <si>
    <t>LAWRENCE PRESBYTERIAN MANOR</t>
  </si>
  <si>
    <t>MANOR OF THE PLAINS</t>
  </si>
  <si>
    <t>ARKANSAS CITY PRESBYTERIAN MANOR</t>
  </si>
  <si>
    <t>CLAY CENTER PRESBYTERIAN MANOR</t>
  </si>
  <si>
    <t>MEDICALODGES ARKANSAS CITY</t>
  </si>
  <si>
    <t>PRATT OPERATOR, LLC</t>
  </si>
  <si>
    <t>GOLDEN LIVINGCENTER - NEODESHA</t>
  </si>
  <si>
    <t>GOOD SAMARITAN SOCIETY - HAYS</t>
  </si>
  <si>
    <t>VILLAGE VILLA</t>
  </si>
  <si>
    <t>GOLDEN LIVINGCENTER - EL DORADO</t>
  </si>
  <si>
    <t>WINFIELD SENIOR LIVING COMMUNITY</t>
  </si>
  <si>
    <t>GOOD SAMARITAN SOCIETY - ELLIS</t>
  </si>
  <si>
    <t>OTTAWA RETIREMENT VILLAGE</t>
  </si>
  <si>
    <t>HICKORY POINTE CARE &amp; REHAB CENTER</t>
  </si>
  <si>
    <t>GOOD SAMARITAN SOCIETY - LIBERAL</t>
  </si>
  <si>
    <t>CHERRYVALE NURSING AND REHABILITATION CENTER</t>
  </si>
  <si>
    <t>GOOD SAMARITAN SOCIETY - LYONS</t>
  </si>
  <si>
    <t>GOLDEN LIVINGCENTER - WELLINGTON</t>
  </si>
  <si>
    <t>BALDWIN HEALTHCARE &amp; REHAB CENTER LLC</t>
  </si>
  <si>
    <t>ALDERSGATE VILLAGE</t>
  </si>
  <si>
    <t>CLARIDGE COURT</t>
  </si>
  <si>
    <t>SANDPIPER HEALTHCARE &amp; REHABILITATION CENTER LLC</t>
  </si>
  <si>
    <t>ALMA MANOR</t>
  </si>
  <si>
    <t>GOOD SAMARITAN SOCIETY - CHEYENNE COUNTY</t>
  </si>
  <si>
    <t>HILLTOP LODGE NURSING HOME</t>
  </si>
  <si>
    <t>CAMBRIDGE PLACE</t>
  </si>
  <si>
    <t>MEDICALODGES CLAY CENTER</t>
  </si>
  <si>
    <t>ARMA OPERATOR, LLC</t>
  </si>
  <si>
    <t>WOODHAVEN CARE CENTER</t>
  </si>
  <si>
    <t>EVERGREEN COMMUNITY OF JOHNSON COUNTY</t>
  </si>
  <si>
    <t>GOOD SAMARITAN SOCIETY - DECATUR COUNTY</t>
  </si>
  <si>
    <t>SUMNER OPERATOR, LLC</t>
  </si>
  <si>
    <t>GOOD SAMARITAN SOCIETY - VALLEY VISTA</t>
  </si>
  <si>
    <t>PETERSON HEALTH CARE</t>
  </si>
  <si>
    <t>GOOD SAMARITAN SOCIETY - SHERMAN COUNTY</t>
  </si>
  <si>
    <t>MEDICALODGES FRONTENAC</t>
  </si>
  <si>
    <t>GOOD SAMARITAN SOCIETY - ATWOOD</t>
  </si>
  <si>
    <t>LOCUST GROVE VILLAGE</t>
  </si>
  <si>
    <t>LIFE CARE CENTER OF BURLINGTON</t>
  </si>
  <si>
    <t>EASTRIDGE</t>
  </si>
  <si>
    <t>TRINITY MANOR</t>
  </si>
  <si>
    <t>MENNONITE FRIENDSHIP COMMUNITIES INC</t>
  </si>
  <si>
    <t>THE CEDARS</t>
  </si>
  <si>
    <t>WESLEY TOWERS INC</t>
  </si>
  <si>
    <t>FORT SCOTT MANOR</t>
  </si>
  <si>
    <t>ASBURY PARK</t>
  </si>
  <si>
    <t>SCHOWALTER VILLA</t>
  </si>
  <si>
    <t>PARKSIDE HOMES</t>
  </si>
  <si>
    <t>YATES OPERATOR, LLC</t>
  </si>
  <si>
    <t>CHETOPA MANOR</t>
  </si>
  <si>
    <t>ROSSVILLE HEALTHCARE &amp; REHAB CENTER</t>
  </si>
  <si>
    <t>CHENEY GOLDEN AGE HOME</t>
  </si>
  <si>
    <t>BONNER SPRINGS NURSING &amp; REHABILITATION CENTER</t>
  </si>
  <si>
    <t>BETHEL HEALTH CARE CENTRE</t>
  </si>
  <si>
    <t>BETHESDA HOME</t>
  </si>
  <si>
    <t>BUHLER SUNSHINE HOME</t>
  </si>
  <si>
    <t>RAY E DILLON LIVING CENTER</t>
  </si>
  <si>
    <t>LIFE CARE CENTER OF WICHITA</t>
  </si>
  <si>
    <t>CATHOLIC CARE CENTER, INC</t>
  </si>
  <si>
    <t>COUNTRY CARE, INC</t>
  </si>
  <si>
    <t>HIGHLAND HEALTHCARE &amp; REHAB CTR</t>
  </si>
  <si>
    <t>MEDICALODGES PAOLA</t>
  </si>
  <si>
    <t>PINE VILLAGE</t>
  </si>
  <si>
    <t>ELMHAVEN EAST</t>
  </si>
  <si>
    <t>ELMHAVEN WEST NURSING HOME</t>
  </si>
  <si>
    <t>FRANKFORT COMMUNITY CARE HOME</t>
  </si>
  <si>
    <t>LINCOLN PARK MANOR INC</t>
  </si>
  <si>
    <t>MOUNT JOSEPH SENIOR VILLAGE LLC</t>
  </si>
  <si>
    <t>SUNSET HOME INC</t>
  </si>
  <si>
    <t>HOLIDAY RESORT OF SALINA</t>
  </si>
  <si>
    <t>LAKEPOINT NURSING CENTER</t>
  </si>
  <si>
    <t>GOLDEN LIVINGCENTER - SPRINGHILL</t>
  </si>
  <si>
    <t>CRESTVIEW NURSING &amp; RESIDENTIAL LIVING</t>
  </si>
  <si>
    <t>THE HOMESTEAD HEALTH &amp; REHAB CENTER</t>
  </si>
  <si>
    <t>GOLDEN HEIGHTS LIVING CENTER</t>
  </si>
  <si>
    <t>OSWEGO OPERATOR, LLC</t>
  </si>
  <si>
    <t>MEDICALODGES JACKSON COUNTY</t>
  </si>
  <si>
    <t>HOWARD TWILIGHT MANOR</t>
  </si>
  <si>
    <t>MCPHERSON OPERATOR, LLC</t>
  </si>
  <si>
    <t>LIFE CARE CENTER OF SENECA</t>
  </si>
  <si>
    <t>MEDICALODGES GIRARD</t>
  </si>
  <si>
    <t>VILLAGE SHALOM INC</t>
  </si>
  <si>
    <t>RICHMOND HEALTHCARE &amp; REHAB CENTER</t>
  </si>
  <si>
    <t>PIONEER RIDGE RETIREMENT COMMUNITY</t>
  </si>
  <si>
    <t>HALSTEAD HEALTH AND REHABILITATION CENTER</t>
  </si>
  <si>
    <t>ABERDEEN VILLAGE</t>
  </si>
  <si>
    <t>ML-OP OXFORD, LLC</t>
  </si>
  <si>
    <t>WHEAT STATE MANOR</t>
  </si>
  <si>
    <t>WOODLAWN REHABILITATION &amp; HEALTH CARE CENTER</t>
  </si>
  <si>
    <t>CLEARWATER NURSING &amp; REHABILITATION CENTER</t>
  </si>
  <si>
    <t>GOLDEN LIVINGCENTER - ESKRIDGE</t>
  </si>
  <si>
    <t>VILLA MARIA</t>
  </si>
  <si>
    <t>PEABODY OPERATOR, LLC</t>
  </si>
  <si>
    <t>WHEATRIDGE PARK CARE CENTER</t>
  </si>
  <si>
    <t>EMERALD POINTE HEALTH &amp; REHABILITATION CENTER</t>
  </si>
  <si>
    <t>TANGLEWOOD NURSING &amp; REHABILITATION</t>
  </si>
  <si>
    <t>MEDICALODGES INDEPENDENCE</t>
  </si>
  <si>
    <t>VIA CHRISTI VILLAGE PITTSBURG INC</t>
  </si>
  <si>
    <t>LAKEPOINT RETIREMENT &amp; REHAB CENTER OF WICHITA</t>
  </si>
  <si>
    <t>KANSAS CHRISTIAN HOME</t>
  </si>
  <si>
    <t>PRAIRIE MISSION RETIREMENT VILLAGE</t>
  </si>
  <si>
    <t>QUAKER HILL MANOR</t>
  </si>
  <si>
    <t>WESTY COMMUNITY CARE HOME</t>
  </si>
  <si>
    <t>HILLSIDE VILLAGE OF DE SOTO</t>
  </si>
  <si>
    <t>THE NICOL HOME</t>
  </si>
  <si>
    <t>CHAPMAN VALLEY MANOR</t>
  </si>
  <si>
    <t>ENTERPRISE ESTATES NURSING CENTER</t>
  </si>
  <si>
    <t>LEONARDVILLE NURSING HOME</t>
  </si>
  <si>
    <t>BROOKDALE ROSEHILL</t>
  </si>
  <si>
    <t>LOGAN MANOR COMMUNITY HEALTH SERVICES</t>
  </si>
  <si>
    <t>MOUNT HOPE NURSING CENTER</t>
  </si>
  <si>
    <t>SALEM HOME</t>
  </si>
  <si>
    <t>HOMESTEAD HEALTH CENTER</t>
  </si>
  <si>
    <t>WINFIELD REST HAVEN II, LLC</t>
  </si>
  <si>
    <t>PRAIRIE SUNSET HOME INC</t>
  </si>
  <si>
    <t>LEGACY AT HERINGTON</t>
  </si>
  <si>
    <t>HOEGER HOUSE</t>
  </si>
  <si>
    <t>PARK VILLA</t>
  </si>
  <si>
    <t>LINN COMMUNITY NURSING HOME</t>
  </si>
  <si>
    <t>PRATT REHABILITATION AND RESIDENCE CENTER</t>
  </si>
  <si>
    <t>RIVERVIEW ESTATES</t>
  </si>
  <si>
    <t>VIA CHRISTI VILLAGE - HAYS INC</t>
  </si>
  <si>
    <t>BRIGHTON GARDENS OF PRAIRIE VILLAGE</t>
  </si>
  <si>
    <t>HILL TOP HOUSE</t>
  </si>
  <si>
    <t>FAMILY HEALTH &amp; REHABILITATION CENTER</t>
  </si>
  <si>
    <t>MEDICALODGES EUDORA</t>
  </si>
  <si>
    <t>THE PLAZA HEALTH SERVICES AT SANTA MARTA</t>
  </si>
  <si>
    <t>SPRING VIEW MANOR</t>
  </si>
  <si>
    <t>MITCHELL COUNTY HOSPITAL HEALTH SYSTEMS LTCU</t>
  </si>
  <si>
    <t>ANDBE HOME, INC</t>
  </si>
  <si>
    <t>BETHANY HOME ASSOCIATION</t>
  </si>
  <si>
    <t>MAPLE HEIGHTS NURSING &amp; REHABILITATION CENTER</t>
  </si>
  <si>
    <t>SANDSTONE HEIGHTS</t>
  </si>
  <si>
    <t>MONTGOMERY PLACE NURSING CENTER</t>
  </si>
  <si>
    <t>THE CENTENNIAL HOMESTEAD</t>
  </si>
  <si>
    <t>KANSAS SOLDIERS HOME</t>
  </si>
  <si>
    <t>DERBY HEALTH &amp; REHABILITATION, LLC</t>
  </si>
  <si>
    <t>TREGO MANOR</t>
  </si>
  <si>
    <t>KANSAS VETERANS HOME</t>
  </si>
  <si>
    <t>BROOKDALE OVERLAND PARK</t>
  </si>
  <si>
    <t>REPUBLIC COUNTY HOSPITAL LTCU</t>
  </si>
  <si>
    <t>PRESCOTT COUNTRY VIEW NURSING HOME</t>
  </si>
  <si>
    <t>VICTORIA FALLS</t>
  </si>
  <si>
    <t>THE WHEATLANDS HEALTH CARE CENTER</t>
  </si>
  <si>
    <t>CHERRY VILLAGE</t>
  </si>
  <si>
    <t>WASHBURN COMMUNITY CARE CENTER</t>
  </si>
  <si>
    <t>WALLACE COUNTY COMMUNITY CARE CENTER INC</t>
  </si>
  <si>
    <t>PARK LANE NURSING HOME</t>
  </si>
  <si>
    <t>FOWLER RESIDENTIAL CARE</t>
  </si>
  <si>
    <t>REGENT PARK REHABILITATION AND HEALTHCARE</t>
  </si>
  <si>
    <t>BETHEL HOME</t>
  </si>
  <si>
    <t>LEISURE HOMESTEAD AT ST JOHN</t>
  </si>
  <si>
    <t>LEISURE HOMESTEAD AT STAFFORD</t>
  </si>
  <si>
    <t>ATCHISON SENIOR VILLAGE</t>
  </si>
  <si>
    <t>AVITA HEALTH AND REHAB AT REEDS COVE</t>
  </si>
  <si>
    <t>TWIN OAKS HEALTH AND REHAB</t>
  </si>
  <si>
    <t>COVENANT PLACE OF LENEXA INC</t>
  </si>
  <si>
    <t>HAYS MEDICAL CENTER LTCU</t>
  </si>
  <si>
    <t>VIA CHRISTI VILLAGE RIDGE</t>
  </si>
  <si>
    <t>NOTTINGHAM HEALTH AND REHABILITATION</t>
  </si>
  <si>
    <t>TALLGRASS CREEK, INC</t>
  </si>
  <si>
    <t>ADVANCED HEALTH CARE OF OVERLAND PARK</t>
  </si>
  <si>
    <t>VIA CHRISTI VILLAGE MCLEAN, INC</t>
  </si>
  <si>
    <t>KANSAS CITY TRANSITIONAL CARE CENTER</t>
  </si>
  <si>
    <t>HILLTOP MANOR NURSING CENTER</t>
  </si>
  <si>
    <t>MISSION VILLAGE LIVING CENTER INC</t>
  </si>
  <si>
    <t>BRIGHTON PLACE WEST</t>
  </si>
  <si>
    <t>THE HEALTHCARE RESORT OF KANSAS CITY</t>
  </si>
  <si>
    <t>STRATFORD COMMONS REHAB &amp; HEALTH CARE CENTER</t>
  </si>
  <si>
    <t>THE HEALTHCARE RESORT OF SHAWNEE MISSION</t>
  </si>
  <si>
    <t>AZRIA HEALTH AT OLATHE</t>
  </si>
  <si>
    <t>WHITESBURG ARH HOSPITAL</t>
  </si>
  <si>
    <t>MEADOWVIEW REGIONAL MEDICAL CENTER</t>
  </si>
  <si>
    <t>MIDDLESBORO APPALACHIAN REGIONAL HEALTHCARE HOSPIT</t>
  </si>
  <si>
    <t>SPRING VIEW HOSPITAL</t>
  </si>
  <si>
    <t>BOURBON COMMUNITY HOSPITAL</t>
  </si>
  <si>
    <t>FLEMING COUNTY HOSPITAL</t>
  </si>
  <si>
    <t>LOGAN MEMORIAL HOSPITAL</t>
  </si>
  <si>
    <t>TWIN LAKES REGIONAL MEDICAL CENTER</t>
  </si>
  <si>
    <t>HARRISON MEMORIAL HOSPITAL</t>
  </si>
  <si>
    <t>BAPTIST HEALTH CORBIN</t>
  </si>
  <si>
    <t>CRITTENDEN HEALTH SYSTEM</t>
  </si>
  <si>
    <t>GEORGETOWN COMMUNITY HOSPITAL</t>
  </si>
  <si>
    <t>MONROE COUNTY MEDICAL CENTER</t>
  </si>
  <si>
    <t>THE MEDICAL CENTER AT ALBANY</t>
  </si>
  <si>
    <t>JACKSON PURCHASE MEDICAL CENTER</t>
  </si>
  <si>
    <t>PARKWAY REGIONAL HOSPITAL</t>
  </si>
  <si>
    <t>GREENVIEW REGIONAL HOSPITAL</t>
  </si>
  <si>
    <t>THREE RIVERS MEDICAL CENTER</t>
  </si>
  <si>
    <t>T J HEALTH COLUMBIA</t>
  </si>
  <si>
    <t>LAUREL HEIGHTS HOME FOR THE ELDERLY</t>
  </si>
  <si>
    <t>SPRING CREEK HEALTH CARE</t>
  </si>
  <si>
    <t>MORGANTOWN CARE &amp; REHABILITATION CENTER</t>
  </si>
  <si>
    <t>OWENSBORO HEALTH MUHLENBERG COMMUNITY HOSPITAL LTC</t>
  </si>
  <si>
    <t>BRIGHTON CORNERSTONE GROUP, LLC</t>
  </si>
  <si>
    <t>NHC HEALTHCARE, MADISONVILLE</t>
  </si>
  <si>
    <t>JOHNSON MATHERS NURSING HOME</t>
  </si>
  <si>
    <t>CHRISTIAN HEALTH CENTER</t>
  </si>
  <si>
    <t>PROVIDENCE PAVILION</t>
  </si>
  <si>
    <t>HIGHLANDS HEALTH AND REHABILITATION CENTER</t>
  </si>
  <si>
    <t>THE GRANDVIEW NURSING &amp; REHABILITATION FACILITY</t>
  </si>
  <si>
    <t>SALEM SPRINGLAKE HEALTH &amp; REHABILITATION CENTER</t>
  </si>
  <si>
    <t>DIVERSICARE OF FULTON</t>
  </si>
  <si>
    <t>COLONIAL CENTER</t>
  </si>
  <si>
    <t>AUBURN HEALTH CARE</t>
  </si>
  <si>
    <t>SIGNATURE HEALTHCARE AT SUMMIT MANOR REHAB &amp; WELLN</t>
  </si>
  <si>
    <t>SUNRISE MANOR NURSING HOME</t>
  </si>
  <si>
    <t>BAPTIST CONVALESCENT CENTER</t>
  </si>
  <si>
    <t>KENWOOD HEALTH AND REHABILITATION CENTER</t>
  </si>
  <si>
    <t>CHRISTIAN CARE CENTER OF LANCASTER</t>
  </si>
  <si>
    <t>MAYFAIR MANOR</t>
  </si>
  <si>
    <t>BRADFORD HEIGHTS HEALTH &amp; REHAB CENTER, INC</t>
  </si>
  <si>
    <t>TWIN RIVERS NURSING AND REHAB CENTER</t>
  </si>
  <si>
    <t>SIGNATURE HEALTHCARE OF BOWLING GREEN</t>
  </si>
  <si>
    <t>BRIDGE POINT CENTER</t>
  </si>
  <si>
    <t>NHC HEALTHCARE, GLASGOW</t>
  </si>
  <si>
    <t>SIGNATURE HEALTHCARE OF PIKEVILLE</t>
  </si>
  <si>
    <t>GOLDEN LIVINGCENTER - HILLCREEK</t>
  </si>
  <si>
    <t>GEORGETOWN MANOR</t>
  </si>
  <si>
    <t>THE TERRACE NURSING &amp; REHABILITATION CENTER</t>
  </si>
  <si>
    <t>NIM HENSON GERIATRIC CENTER</t>
  </si>
  <si>
    <t>SIGNATURE HEALTHCARE OF ELIZABETHTOWN</t>
  </si>
  <si>
    <t>SIGNATURE HEALTHCARE AT HILLCREST</t>
  </si>
  <si>
    <t>PARKWAY MEDICAL CENTER</t>
  </si>
  <si>
    <t>REDBANKS</t>
  </si>
  <si>
    <t>HILLCREST HEALTH &amp; REHABILITATION CENTER</t>
  </si>
  <si>
    <t>DANVILLE CENTRE FOR HEALTH AND REHABILITATION</t>
  </si>
  <si>
    <t>THE JORDAN CENTER</t>
  </si>
  <si>
    <t>FRANCISCAN HEALTH CARE CENTER</t>
  </si>
  <si>
    <t>TRADEWATER POINTE</t>
  </si>
  <si>
    <t>HAZARD HEALTH &amp; REHABILITATION CENTER</t>
  </si>
  <si>
    <t>WESLEY MANOR</t>
  </si>
  <si>
    <t>WESTMINSTER TERRACE</t>
  </si>
  <si>
    <t>NAZARETH HOME</t>
  </si>
  <si>
    <t>SIGNATURE HEALTHCARE OF GEORGETOWN</t>
  </si>
  <si>
    <t>HERITAGE MANOR HEALTH CARE CENTER</t>
  </si>
  <si>
    <t>PROVIDENCE HOMESTEAD</t>
  </si>
  <si>
    <t>CEDAR RIDGE HEALTH CAMPUS</t>
  </si>
  <si>
    <t>FOUNTAIN CIRCLE CARE &amp; REHABILITATION CENTER</t>
  </si>
  <si>
    <t>WILLIAMSBURG HEALTH AND REHABILITATION CENTER</t>
  </si>
  <si>
    <t>LIFE CARE CENTER OF BARDSTOWN</t>
  </si>
  <si>
    <t>KNOTT COUNTY HEALTH &amp; REHABILITATION CENTER</t>
  </si>
  <si>
    <t>RIVERVIEW HEALTH CARE CENTER</t>
  </si>
  <si>
    <t>SOMERWOODS NURSING AND REHABILITATION CENTER</t>
  </si>
  <si>
    <t>LIFE CARE CENTER OF MOREHEAD</t>
  </si>
  <si>
    <t>ROCKCASTLE REGIONAL HOSPITAL AND RESPIRATORY CARE</t>
  </si>
  <si>
    <t>GOLDEN LIVINGCENTER - FRANKFORT</t>
  </si>
  <si>
    <t>LEXINGTON COUNTRY PLACE</t>
  </si>
  <si>
    <t>BARBOURVILLE HEALTH AND REHABILITATION CENTER</t>
  </si>
  <si>
    <t>GOLDEN LIVINGCENTER - CAMELOT</t>
  </si>
  <si>
    <t>HARLAN HEALTH &amp; REHABILITATION CENTER</t>
  </si>
  <si>
    <t>HOPKINS CENTER</t>
  </si>
  <si>
    <t>SIGNATURE HEALTHCARE OF MONROE COUNTY REHAB &amp; WELL</t>
  </si>
  <si>
    <t>SIGNATURE HEALTHCARE AT JEFFERSON MANOR REHAB &amp; WE</t>
  </si>
  <si>
    <t>BRADFORD SQUARE GENESIS HEALTHCARE</t>
  </si>
  <si>
    <t>PARKVIEW NURSING &amp; REHABILITATION CENTER</t>
  </si>
  <si>
    <t>WILLIAMSON ARH</t>
  </si>
  <si>
    <t>CUMBERLAND NURSING AND REHABILITATION CENTER</t>
  </si>
  <si>
    <t>FLORENCE PARK CARE CENTER</t>
  </si>
  <si>
    <t>TREYTON OAK TOWERS</t>
  </si>
  <si>
    <t>GOLDEN LIVINGCENTER - MT HOLLY</t>
  </si>
  <si>
    <t>GRAYSON NURSING AND REHABILITATION</t>
  </si>
  <si>
    <t>PROVIDENCE LOUISVILLE EAST POST ACUTE</t>
  </si>
  <si>
    <t>SIGNATURE HEALTHCARE AT GLENVIEW</t>
  </si>
  <si>
    <t>SIGNATURE HEALTHCARE AT NORTH HARDIN REHAB &amp; WELLN</t>
  </si>
  <si>
    <t>PINEVILLE COMMUNITY HOSPITAL</t>
  </si>
  <si>
    <t>HELMWOOD HEALTHCARE CENTER</t>
  </si>
  <si>
    <t>GREENWOOD NURSING &amp; REHABILITATION CENTER</t>
  </si>
  <si>
    <t>BAPTIST HEALTH LA GRANGE</t>
  </si>
  <si>
    <t>GOLDEN LIVINGCENTER - ST MATTHEWS</t>
  </si>
  <si>
    <t>HYDEN HEALTH &amp; REHABILITATION CENTER</t>
  </si>
  <si>
    <t>THE FORUM AT BROOKSIDE</t>
  </si>
  <si>
    <t>OAKVIEW NURSING &amp; REHABILITATION CENTER</t>
  </si>
  <si>
    <t>KINDRED NURSING AND REHABILITATION-BASHFORD</t>
  </si>
  <si>
    <t>NORTHPOINT/LEXINGTON HEALTHCARE CENTER</t>
  </si>
  <si>
    <t>LETCHER MANOR</t>
  </si>
  <si>
    <t>SIGNATURE HEALTHCARE AT TANBARK REHAB &amp; WELLNESS C</t>
  </si>
  <si>
    <t>SIGNATURE HEALTHCARE OF CARROLLTON REHAB &amp; WELLNES</t>
  </si>
  <si>
    <t>MAYSVILLE NURSING AND REHABILITATION FACILITY</t>
  </si>
  <si>
    <t>CARMEL MANOR</t>
  </si>
  <si>
    <t>RIVERSIDE CARE &amp; REHABILITATION CENTER</t>
  </si>
  <si>
    <t>THE WILLOWS AT HARRODSBURG</t>
  </si>
  <si>
    <t>SIGNATURE HEALTHCARE OF MCCREARY COUNTY REHAB &amp; WE</t>
  </si>
  <si>
    <t>WOLFE COUNTY HEALTH &amp; REHABILITATION CENTER</t>
  </si>
  <si>
    <t>PROVIDENCE PINE MEADOWS</t>
  </si>
  <si>
    <t>METCALFE HEALTH CARE CENTER</t>
  </si>
  <si>
    <t>SOMERSET NURSING AND REHABILITATION FACILITY</t>
  </si>
  <si>
    <t>DIVERSICARE OF NICHOLASVILLE</t>
  </si>
  <si>
    <t>SALYERSVILLE NURSING AND REHABILITATION CENTER</t>
  </si>
  <si>
    <t>GOOD SHEPHERD COMMUNITY NURSING CENTER</t>
  </si>
  <si>
    <t>BOWLING GREEN NURSING AND REHABILITATION CENTER</t>
  </si>
  <si>
    <t>ROSEDALE GREEN</t>
  </si>
  <si>
    <t>CARMEL HOME</t>
  </si>
  <si>
    <t>SUPERIOR CARE HOME</t>
  </si>
  <si>
    <t>DIVERSICARE OF GLASGOW</t>
  </si>
  <si>
    <t>MOUNTAIN VIEW HEALTH CARE CENTER</t>
  </si>
  <si>
    <t>CALVERT CITY CONVALESCENT CENTER</t>
  </si>
  <si>
    <t>OWENSBORO CENTER</t>
  </si>
  <si>
    <t>SIGNATURE HEALTHCARE OF CHEROKEE PARK</t>
  </si>
  <si>
    <t>GOLDEN LIVINGCENTER - VANCEBURG</t>
  </si>
  <si>
    <t>MIDDLESBORO NURSING AND REHABILITATION FACILITY</t>
  </si>
  <si>
    <t>MADONNA MANOR</t>
  </si>
  <si>
    <t>WINDSOR CARE CENTER</t>
  </si>
  <si>
    <t>MOUNTAIN VIEW NURSING AND REHABILITATION CENTER</t>
  </si>
  <si>
    <t>GOLDEN LIVINGCENTER-STANFORD</t>
  </si>
  <si>
    <t>ROCKCASTLE HEALTH &amp; REHABILITATION CENTER</t>
  </si>
  <si>
    <t>SAYRE CHRISTIAN VILLAGE NURSING HOME</t>
  </si>
  <si>
    <t>SIGNATURE HEALTHCARE AT JACKSON MANOR REHA &amp; WELLN</t>
  </si>
  <si>
    <t>OAKMONT MANOR</t>
  </si>
  <si>
    <t>SHADY LAWN NURSING AND REHABILITATION CENTER</t>
  </si>
  <si>
    <t>CARTER NURSING &amp; REHABILITATION CENTER</t>
  </si>
  <si>
    <t>RIDGEWAY NURSING &amp; REHABILITATION FACILITY</t>
  </si>
  <si>
    <t>PARKVIEW NURSING AND REHABILITATION CENTER</t>
  </si>
  <si>
    <t>GOLDEN LIVINGCENTER-GREEN HILL</t>
  </si>
  <si>
    <t>LAKE WAY NURSING AND REHABILITATION CENTER</t>
  </si>
  <si>
    <t>RIVERS EDGE NURSING AND REHABILITATION CENTER</t>
  </si>
  <si>
    <t>LITTLE SISTERS OF THE POOR</t>
  </si>
  <si>
    <t>WURTLAND NURSING AND REHABILITATION CENTER</t>
  </si>
  <si>
    <t>DAWSON SPRINGS HEALTH AND REHABILITATION CENTER</t>
  </si>
  <si>
    <t>CHARLESTON HEALTH CARE CENTER</t>
  </si>
  <si>
    <t>GRANT CENTER</t>
  </si>
  <si>
    <t>ELIZABETHTOWN NURSING AND REHABILITATION CENTER</t>
  </si>
  <si>
    <t>CEDARS OF LEBANON NURSING CENTER</t>
  </si>
  <si>
    <t>THE GOOD SAMARITAN SOCIETY-JEFFERSONTOWN</t>
  </si>
  <si>
    <t>CRITTENDEN COUNTY HEALTH &amp; REHABILITATION CENTER</t>
  </si>
  <si>
    <t>CUMBERLAND VALLEY MANOR</t>
  </si>
  <si>
    <t>GLENVIEW HEALTH CARE FACILITY</t>
  </si>
  <si>
    <t>MCCRACKEN NURSING AND REHABILITATION CENTER</t>
  </si>
  <si>
    <t>OWSLEY COUNTY HEALTH CARE CENTER, INC</t>
  </si>
  <si>
    <t>WEST LIBERTY NURSING &amp; REHABILITATION CENTER</t>
  </si>
  <si>
    <t>SIGNATURE HEALTHCARE OF HARTFORD REHAB &amp; WELLNESS</t>
  </si>
  <si>
    <t>LORETTO MOTHERHOUSE INFIRMARY</t>
  </si>
  <si>
    <t>SIGNATURE HEALTHCARE AT HERITAGE HALL REHAB &amp; WELL</t>
  </si>
  <si>
    <t>SIGNATURE HEALTHCARE AT MEADOWVIEW REHAB &amp; WELLNES</t>
  </si>
  <si>
    <t>MILLS HEALTH &amp; REHAB CENTER, INC</t>
  </si>
  <si>
    <t>FRIENDSHIP HEALTH AND REHABILITATION, LLC</t>
  </si>
  <si>
    <t>SOUTH SHORE NURSING &amp; REHABILITATION CENTER</t>
  </si>
  <si>
    <t>BOURBON HEIGHTS NURSING HOME</t>
  </si>
  <si>
    <t>BRECKINRIDGE MEMORIAL NURSING FACILITY</t>
  </si>
  <si>
    <t>FAIR OAKS HEALTH SYSTEMS, LLC</t>
  </si>
  <si>
    <t>HARRODSBURG HEALTH &amp; REHABILITATION CENTER</t>
  </si>
  <si>
    <t>HURSTBOURNE CARE CENTRE AT STONY BROOK</t>
  </si>
  <si>
    <t>REGENCY CENTER</t>
  </si>
  <si>
    <t>REDBANKS COLONIAL TERRACE</t>
  </si>
  <si>
    <t>LAUREL CREEK HEALTH CARE CENTER</t>
  </si>
  <si>
    <t>KINDRED NURSING AND REHABILITATION-MAPLE</t>
  </si>
  <si>
    <t>DOVER MANOR</t>
  </si>
  <si>
    <t>SANSBURY CARE CENTER</t>
  </si>
  <si>
    <t>HICKS GOLDEN YEARS NURSING HOME</t>
  </si>
  <si>
    <t>SIGNATURE HEALTHCARE AT SUMMERFIELD REHAB &amp; WELLNE</t>
  </si>
  <si>
    <t>REGIS WOODS</t>
  </si>
  <si>
    <t>HARDINSBURG NURSING AND REHABILITATION CENTER</t>
  </si>
  <si>
    <t>PRESTONSBURG HEALTH CARE CENTER</t>
  </si>
  <si>
    <t>SPRINGHURST HEALTH AND REHAB</t>
  </si>
  <si>
    <t>RIDGEWOOD TERRACE NURSING HOME</t>
  </si>
  <si>
    <t>SPRING VIEW HEALTH &amp; REHAB CENTER, INC</t>
  </si>
  <si>
    <t>EPISCOPAL CHURCH HOME</t>
  </si>
  <si>
    <t>SIGNATURE HEALTHCARE AT ROCKFORD REHAB &amp; WELLNESS</t>
  </si>
  <si>
    <t>BARKLEY CENTER</t>
  </si>
  <si>
    <t>CREEKWOOD PLACE NURSING &amp; REHAB CENTER, INC</t>
  </si>
  <si>
    <t>PIONEER TRACE NURSING HOME</t>
  </si>
  <si>
    <t>CLINTON COUNTY CARE &amp; REHABILITATION CENTER</t>
  </si>
  <si>
    <t>PRINCETON HEALTH &amp; REHAB CENTER, INC</t>
  </si>
  <si>
    <t>DIVERSICARE OF GREENVILLE</t>
  </si>
  <si>
    <t>CHRISTIAN CARE CENTER OF KUTTAWA, LLC</t>
  </si>
  <si>
    <t>LIFE CARE CENTER OF LA CENTER</t>
  </si>
  <si>
    <t>ROSE MANOR HEALTH CARE</t>
  </si>
  <si>
    <t>CAL TURNER REHAB AND SPECIALTY CARE</t>
  </si>
  <si>
    <t>CLINTON-HICKMAN COUNTY NURSING FACILITY</t>
  </si>
  <si>
    <t>SIGNATURE HEALTHCARE OF SPENCER COUNTY</t>
  </si>
  <si>
    <t>ST ELIZABETH FT THOMAS SNF</t>
  </si>
  <si>
    <t>MORGANFIELD NURSING &amp; REHABILITATION CENTER</t>
  </si>
  <si>
    <t>CAMPBELLSVILLE NURSING AND REHABILITATION CENTER</t>
  </si>
  <si>
    <t>FRANKLIN-SIMPSON NURSING AND REHABILITATION CENTER</t>
  </si>
  <si>
    <t>GRAND HAVEN NURSING HOME</t>
  </si>
  <si>
    <t>KLONDIKE CENTER</t>
  </si>
  <si>
    <t>BEAVER DAM NURSING &amp; REHAB CENTER, INC</t>
  </si>
  <si>
    <t>SIGNATURE HEALTHCARE OF SOUTH LOUISVILLE</t>
  </si>
  <si>
    <t>SPRINGFIELD NURSING &amp; REHABILITATION CENTER</t>
  </si>
  <si>
    <t>LEE COUNTY CARE &amp; REHABILITATION CENTER</t>
  </si>
  <si>
    <t>CHRISTIAN HEIGHTS NURSING AND REHABILITATION CENTE</t>
  </si>
  <si>
    <t>IRVINE NURSING AND REHABILITATION CENTER</t>
  </si>
  <si>
    <t>SIGNATURE HEALTHCARE OF GLASGOW REHAB &amp; WELLNESS C</t>
  </si>
  <si>
    <t>GREEN ACRES HEALTH CARE</t>
  </si>
  <si>
    <t>SIGNATURE HEALTHCARE AT COLONIAL REHAB &amp; WELLNESS</t>
  </si>
  <si>
    <t>COVINGTON'S CONVALESCENT CENTER</t>
  </si>
  <si>
    <t>BRACKEN COUNTY NURSING &amp; REHABILITATION CENTER</t>
  </si>
  <si>
    <t>HERMITAGE CARE AND REHABILITATION CENTER</t>
  </si>
  <si>
    <t>BROWNSBORO HILLS HEALTH  CARE AND REHABILITATION C</t>
  </si>
  <si>
    <t>SIGNATURE HEALTHCARE AT JEFFERSON PLACE REHAB &amp; WE</t>
  </si>
  <si>
    <t>SIGNATURE HEALTHCARE OF EAST LOUISVILLE</t>
  </si>
  <si>
    <t>STANTON NURSING AND REHABILITATION CENTER</t>
  </si>
  <si>
    <t>BRANDENBURG NURSING AND REHABILITATION CENTER</t>
  </si>
  <si>
    <t>FORDSVILLE NURSING AND REHABILITATION CENTER</t>
  </si>
  <si>
    <t>RIVER VALLEY NURSING HOME</t>
  </si>
  <si>
    <t>SIGNATURE HEALTHCARE OF TRIMBLE COUNTY</t>
  </si>
  <si>
    <t>ROBERTSON COUNTY HEALTH CARE FACILITY</t>
  </si>
  <si>
    <t>PROVIDENCE GALLATIN</t>
  </si>
  <si>
    <t>KINDRED HOSPITAL - LOUISVILLE</t>
  </si>
  <si>
    <t>PROVIDENCE NEW CASTLE</t>
  </si>
  <si>
    <t>OWENTON CENTER</t>
  </si>
  <si>
    <t>CORBIN HEALTH &amp; REHABILITATION CENTER</t>
  </si>
  <si>
    <t>MASONIC HOME OF SHELBYVILLE</t>
  </si>
  <si>
    <t>MARTIN COUNTY HEALTH CARE FACILITY</t>
  </si>
  <si>
    <t>SIGNATURE HEALTHCARE OF HART COUNTY REHAB &amp; WELLNE</t>
  </si>
  <si>
    <t>COUNTRYSIDE CENTER</t>
  </si>
  <si>
    <t>HIGHLANDSPRING OF FT THOMAS</t>
  </si>
  <si>
    <t>BEREA HEALTH CARE CENTER</t>
  </si>
  <si>
    <t>T J SAMSON COMMUNITY HOSPITAL</t>
  </si>
  <si>
    <t>MASONIC HOME OF LOUISVILLE</t>
  </si>
  <si>
    <t>EDGEMONT HEALTHCARE</t>
  </si>
  <si>
    <t>WOODLAND OAKS</t>
  </si>
  <si>
    <t>ST ELIZABETH FLORENCE SNF</t>
  </si>
  <si>
    <t>BAPTIST HEALTH TRANSITIONAL CARE</t>
  </si>
  <si>
    <t>THE TRANSITIONAL CARE CENTER OF OWENSBORO</t>
  </si>
  <si>
    <t>HEARTLAND VILLA CENTER</t>
  </si>
  <si>
    <t>HEARTHSTONE PLACE</t>
  </si>
  <si>
    <t>EDMONSON CENTER</t>
  </si>
  <si>
    <t>HENDERSON NURSING AND REHABILITATION CENTER</t>
  </si>
  <si>
    <t>EPHRAIM MCDOWELL REGIONAL MEDICAL CENTER</t>
  </si>
  <si>
    <t>LAKE CUMBERLAND REGIONAL HOSPITAL SCU</t>
  </si>
  <si>
    <t>LIBERTY CARE AND REHABILITATION CENTER</t>
  </si>
  <si>
    <t>CRESTVIEW CENTER</t>
  </si>
  <si>
    <t>RIVER'S BEND RETIREMENT COMMUNITY</t>
  </si>
  <si>
    <t>MOUNTAIN MANOR OF PAINTSVILLE</t>
  </si>
  <si>
    <t>ELLIOTT NURSING AND REHABILITATION CENTER</t>
  </si>
  <si>
    <t>BAPTIST HEALTH PADUCAH</t>
  </si>
  <si>
    <t>BOYD NURSING &amp; REHABILITATION CENTER</t>
  </si>
  <si>
    <t>FLAGET MEMORIAL HOSPITAL NF</t>
  </si>
  <si>
    <t>EDGEWOOD ESTATES</t>
  </si>
  <si>
    <t>NURSING FACILITY OF HARDIN MEMORIAL HOSPITAL</t>
  </si>
  <si>
    <t>CLARK REGIONAL MEDICAL CENTER</t>
  </si>
  <si>
    <t>ST CLAIRE MEDICAL CENTER</t>
  </si>
  <si>
    <t>TRI-CITIES NURSING &amp; REHABILITATION CENTER</t>
  </si>
  <si>
    <t>THE HERITAGE</t>
  </si>
  <si>
    <t>MAGNOLIA VILLAGE</t>
  </si>
  <si>
    <t>WELLINGTON PARC OF OWENSBORO</t>
  </si>
  <si>
    <t>THE VILLAGE OF LEBANON II, LLC</t>
  </si>
  <si>
    <t>PROVIDENCE RICHWOOD</t>
  </si>
  <si>
    <t>VILLAGE CARE CENTER</t>
  </si>
  <si>
    <t>SACRED HEART HOME OF LOUISVILLE</t>
  </si>
  <si>
    <t>KENSINGTON CENTER</t>
  </si>
  <si>
    <t>WOODCREST NURSING &amp; REHABILITATION CENTER</t>
  </si>
  <si>
    <t>BLUEGRASS CARE &amp; REHABILITATION CENTER</t>
  </si>
  <si>
    <t>VILLASPRING OF ERLANGER</t>
  </si>
  <si>
    <t>KINGSBROOK LIFECARE CENTER</t>
  </si>
  <si>
    <t>TELFORD TERRACE</t>
  </si>
  <si>
    <t>OAKLAWN HEALTH &amp; REHABILITATION CENTER</t>
  </si>
  <si>
    <t>DIVERSICARE OF SENECA PLACE</t>
  </si>
  <si>
    <t>GLEN RIDGE HEALTH CAMPUS</t>
  </si>
  <si>
    <t>PARK TERRACE HEALTH CAMPUS</t>
  </si>
  <si>
    <t>BROOKDALE RICHMOND PLACE SNF</t>
  </si>
  <si>
    <t>GREEN MEADOWS HEALTH CARE CENTER 1</t>
  </si>
  <si>
    <t>BRECKINRIDGE PLACE</t>
  </si>
  <si>
    <t>WESTPORT PLACE HEALTH CAMPUS</t>
  </si>
  <si>
    <t>CARDINAL HILL SKILLED REHABILITATION UNIT</t>
  </si>
  <si>
    <t>CHRISTIAN HEALTH CENTER - WEST, INC</t>
  </si>
  <si>
    <t>CLINTON PLACE</t>
  </si>
  <si>
    <t>THE WILLOWS AT HAMBURG</t>
  </si>
  <si>
    <t>PAUL E PATTON EASTERN KY VETERANS CENTER</t>
  </si>
  <si>
    <t>JOSEPH EDDIE BALLARD WESTERN KENTUCKY VETERANS CEN</t>
  </si>
  <si>
    <t>THOMSON-HOOD VETERANS CENTER</t>
  </si>
  <si>
    <t>THE WILLOWS AT CITATION</t>
  </si>
  <si>
    <t>COLDSPRING TRANSITIONAL CARE CENTER</t>
  </si>
  <si>
    <t>SIGNATURE HEALTHCARE AT STS MARY &amp; ELIZABETH HOSPI</t>
  </si>
  <si>
    <t>FOREST SPRINGS HEALTH CAMPUS</t>
  </si>
  <si>
    <t>ABBEVILLE GENERAL HOSPITAL</t>
  </si>
  <si>
    <t>BEAUREGARD MEMORIAL HOSPITAL</t>
  </si>
  <si>
    <t>JENNINGS AMERICAN LEGION HOSPITAL</t>
  </si>
  <si>
    <t>WEST CARROLL MEMORIAL HOSPITAL</t>
  </si>
  <si>
    <t>SPRINGHILL MEDICAL CENTER</t>
  </si>
  <si>
    <t>WINN PARISH MEDICAL CENTER</t>
  </si>
  <si>
    <t>AVOYELLES HOSPITAL</t>
  </si>
  <si>
    <t>OAKDALE COMMUNITY HOSPITAL</t>
  </si>
  <si>
    <t>CLAIBORNE MEMORIAL MEDICAL CENTER</t>
  </si>
  <si>
    <t>MOREHOUSE GENERAL HOSPITAL</t>
  </si>
  <si>
    <t>DESOTO REGIONAL HEALTH SYSTEM</t>
  </si>
  <si>
    <t>ALLEN PARISH HOSPITAL</t>
  </si>
  <si>
    <t>FRANKLIN MEDICAL CENTER</t>
  </si>
  <si>
    <t>LASALLE GENERAL HOSPITAL</t>
  </si>
  <si>
    <t>RICHARDSON MEDICAL CENTER</t>
  </si>
  <si>
    <t>MERCY REGIONAL MEDICAL CENTER</t>
  </si>
  <si>
    <t>PROGRESSIVE CARE CENTER</t>
  </si>
  <si>
    <t>BATON ROUGE GEN MED CTR, SNF</t>
  </si>
  <si>
    <t>JOHN J HAINKEL JR HOME AND REHABILITATION CENTER</t>
  </si>
  <si>
    <t>VILLA FELICIANA CHRONIC DISEASE</t>
  </si>
  <si>
    <t>WILLOW WOOD AT WOLDENBERG VILLAGE</t>
  </si>
  <si>
    <t>ST FRANCIS MEDICAL CENTER SNF</t>
  </si>
  <si>
    <t>UPTOWN HEALTHCARE CENTER LLC</t>
  </si>
  <si>
    <t>BELLE VIE LIVING CENTER</t>
  </si>
  <si>
    <t>TRINITY NEUROLOGIC REHABILITATION CENTER</t>
  </si>
  <si>
    <t>OCHSNER FOUNDATION HOSP SNF</t>
  </si>
  <si>
    <t>GLENWOOD REGIONAL MED CTR SNF</t>
  </si>
  <si>
    <t>CHATEAU LIVING CENTER</t>
  </si>
  <si>
    <t>TERREBONNE GENERAL MED CTR SNF</t>
  </si>
  <si>
    <t>EAST JEFFERSON HOSPITAL SNF</t>
  </si>
  <si>
    <t>OAKS OF HOUMA (THE)</t>
  </si>
  <si>
    <t>WALDON HEALTH CARE CENTER</t>
  </si>
  <si>
    <t>JO ELLEN SMITH CONVALESCENT CENTER</t>
  </si>
  <si>
    <t>WYNHOVEN HEALTH CARE CENTER</t>
  </si>
  <si>
    <t>COURTYARD OF NATCHITOCHES</t>
  </si>
  <si>
    <t>FERNCREST MANOR LIVING CENTER</t>
  </si>
  <si>
    <t>HERITAGE MANOR OF SLIDELL</t>
  </si>
  <si>
    <t>ORMOND NURSING &amp; CARE CENTER</t>
  </si>
  <si>
    <t>GARDEN COURT HEALTH AND REHABILITATION CENTER</t>
  </si>
  <si>
    <t>GARDEN PARK NURSING &amp; REHAB CTR, LLC</t>
  </si>
  <si>
    <t>WOODS HAVEN SR CITIZENS HOME</t>
  </si>
  <si>
    <t>PLANTATION MANOR NURSING AND REHAB CENTER, LLC</t>
  </si>
  <si>
    <t>GRACE NURSING HOME</t>
  </si>
  <si>
    <t>HAVEN NURSING CENTER</t>
  </si>
  <si>
    <t>NORTHERN LOUISIANA MEDICAL CENTER</t>
  </si>
  <si>
    <t>JEFFERSON HEALTHCARE CENTER</t>
  </si>
  <si>
    <t>AUDUBON HEALTH AND REHAB</t>
  </si>
  <si>
    <t>METAIRIE HEALTH CARE CENTER</t>
  </si>
  <si>
    <t>HERITAGE MANOR OF MANDEVILLE</t>
  </si>
  <si>
    <t>MEADOWVIEW HEALTH &amp; REHAB CENTER</t>
  </si>
  <si>
    <t>HERITAGE MANOR HEALTH &amp; REHAB</t>
  </si>
  <si>
    <t>NATCHITOCHES NURSING AND REHABILITATION CENTER, LL</t>
  </si>
  <si>
    <t>PONTCHARTRAIN HEALTH CARE CENTER</t>
  </si>
  <si>
    <t>GREENBRIAR COMMUNITY CARE CENTER</t>
  </si>
  <si>
    <t>GUEST HOUSE OF SLIDELL</t>
  </si>
  <si>
    <t>TWIN OAKS NURSING HOME</t>
  </si>
  <si>
    <t>CHATEAU ST. JAMES REHAB AND RETIREMENT</t>
  </si>
  <si>
    <t>RACELAND MANOR NURSING HOME, INC</t>
  </si>
  <si>
    <t>MAISON DE'VILLE NURSING HOME</t>
  </si>
  <si>
    <t>BAYSIDE HEALTHCARE CENTER</t>
  </si>
  <si>
    <t>MANY HEALTHCARE NORTH</t>
  </si>
  <si>
    <t>PIERREMONT HEALTHCARE CENTER</t>
  </si>
  <si>
    <t>ST AGNES HEALTHCARE AND REHAB CENTER</t>
  </si>
  <si>
    <t>JEFF DAVIS LIVING CENTER, LLC</t>
  </si>
  <si>
    <t>KAPLAN HEALTHCARE CENTER</t>
  </si>
  <si>
    <t>CLAIBORNE HEALTHCARE CENTER</t>
  </si>
  <si>
    <t>SENIOR VILLAGE NURSING &amp; REHABILITATION CENTER</t>
  </si>
  <si>
    <t>THIBODAUX HEALTHCARE CENTER</t>
  </si>
  <si>
    <t>HERITAGE MANOR OF OPELOUSAS</t>
  </si>
  <si>
    <t>HERITAGE MANOR OF BOSSIER</t>
  </si>
  <si>
    <t>HERITAGE MANOR OF FRANKLINTON</t>
  </si>
  <si>
    <t>VIVIAN HEALTHCARE CENTER</t>
  </si>
  <si>
    <t>NEW IBERIA MANOR SOUTH</t>
  </si>
  <si>
    <t>GONZALES HEALTHCARE CENTER</t>
  </si>
  <si>
    <t>NEW IBERIA MANOR NORTH</t>
  </si>
  <si>
    <t>PLAQUEMINE MANOR NURSING HOME</t>
  </si>
  <si>
    <t>MARRERO HEALTHCARE CENTER</t>
  </si>
  <si>
    <t>CARRINGTON PLACE OF NEW ORLEANS</t>
  </si>
  <si>
    <t>PELICAN POINTE HEALTHCARE AND REHABILITATION</t>
  </si>
  <si>
    <t>PLAQUEMINE CARING LLC</t>
  </si>
  <si>
    <t>WILLOW RIDGE NURSING AND REHAB CENTER</t>
  </si>
  <si>
    <t>LACOMBE NURSING CENTER</t>
  </si>
  <si>
    <t>TANGI PINES NURSING CENTER</t>
  </si>
  <si>
    <t>HIGHLAND PLACE REHAB AND NURSING CENTER</t>
  </si>
  <si>
    <t>CARRINGTON PLACE OF SPRINGHILL</t>
  </si>
  <si>
    <t>GOOD SAMARITAN REHABILITATION AND NURSING CTR</t>
  </si>
  <si>
    <t>LULING LIVING CENTER</t>
  </si>
  <si>
    <t>CHRISTUS ST JOSEPH HOME</t>
  </si>
  <si>
    <t>BATON ROUGE HEALTH CARE CENTER</t>
  </si>
  <si>
    <t>ZACHARY MANOR NURSING AND REHABILITATION CENTER</t>
  </si>
  <si>
    <t>WHISPERING PINES NURSING HOME</t>
  </si>
  <si>
    <t>MAISON DE LAFAYETTE</t>
  </si>
  <si>
    <t>OUR LADY OF PROMPT SUCCOR NURSING FACILITY</t>
  </si>
  <si>
    <t>RAYVILLE NURSING &amp; REHABILITATION  CENTER INC</t>
  </si>
  <si>
    <t>ST JOSEPH OF HARAHAN</t>
  </si>
  <si>
    <t>GRAND COVE NURSING &amp; REHABILITATION CENTER</t>
  </si>
  <si>
    <t>GUEST HOUSE REHABILITATION CENTER (THE)</t>
  </si>
  <si>
    <t>CHRISTWOOD</t>
  </si>
  <si>
    <t>STERLING PLACE</t>
  </si>
  <si>
    <t>J. MICHAEL MORROW MEMORIAL NURSING  HOME</t>
  </si>
  <si>
    <t>MORGAN CITY HEALTH CARE CENTER</t>
  </si>
  <si>
    <t>FRANKLIN HEALTH CARE CENTER</t>
  </si>
  <si>
    <t>BATON ROUGE HERITAGE HOUSE I I</t>
  </si>
  <si>
    <t>HILLTOP NURSING &amp; REHABILITATION CENTER</t>
  </si>
  <si>
    <t>CHARLYN REHAB &amp; NURSING CENTER</t>
  </si>
  <si>
    <t>DEERFIELD NURSING &amp; REHABILITATION CENTER</t>
  </si>
  <si>
    <t>COLONIAL MANOR NURSING &amp; REHABILITATION CENTER LLC</t>
  </si>
  <si>
    <t>BERNICE NURSING AND REHABILITATION CENTER, LLC</t>
  </si>
  <si>
    <t>WEST CARROLL CARE CENTER, INC</t>
  </si>
  <si>
    <t>JENA NURSING AND REHABILITATION CENTER, LLC</t>
  </si>
  <si>
    <t>ASCENSION OAKS NURSING &amp; REHABILITATION CENTER</t>
  </si>
  <si>
    <t>MAISON DE'VILLE NURSING HOME OF HARVEY</t>
  </si>
  <si>
    <t>HARMONY HOUSE NURSING &amp; REHAB CTR, INC</t>
  </si>
  <si>
    <t>NATCHITOCHES COMMUNITY CARE CENTER</t>
  </si>
  <si>
    <t>MAGNOLIA MANOR NURSING AND REHAB CTR, LLC</t>
  </si>
  <si>
    <t>RINGGOLD NURSING AND REHABILITATION CENTER, LLC</t>
  </si>
  <si>
    <t>HERITAGE MANOR SOUTH</t>
  </si>
  <si>
    <t>ST JAMES PLACE NURSING CARE CENTER</t>
  </si>
  <si>
    <t>AUTUMN LEAVES NURSING AND REHAB CTR, LLC</t>
  </si>
  <si>
    <t>LAKE CHARLES CARE CENTER</t>
  </si>
  <si>
    <t>RESTHAVEN NURSING &amp; REHAB CENTER, LLC</t>
  </si>
  <si>
    <t>ROSEPINE RETIREMENT &amp; REHAB CENTER, LLC</t>
  </si>
  <si>
    <t>NAOMI HEIGHTS NURSING &amp; REHABILITATION CENTER</t>
  </si>
  <si>
    <t>ROSEWOOD NURSING CENTER</t>
  </si>
  <si>
    <t>CARROLL NURSING HOME</t>
  </si>
  <si>
    <t>LEXINGTON HOUSE</t>
  </si>
  <si>
    <t>PATTERSON HEALTHCARE CENTER</t>
  </si>
  <si>
    <t>ENCORE HEALTHCARE AND REHABILITATION CENTER (THE)</t>
  </si>
  <si>
    <t>COLFAX REUNION NURSING AND REHABILITATION CENTER</t>
  </si>
  <si>
    <t>HOLLY HILL HOUSE</t>
  </si>
  <si>
    <t>ST MARGARET'S DAUGHTERS HOME</t>
  </si>
  <si>
    <t>LANDMARK NURSING &amp; REHAB CTR</t>
  </si>
  <si>
    <t>FARMERVILLE NURSING AND REHABILITATION CENTER, LLC</t>
  </si>
  <si>
    <t>VERMILION HEALTH CARE CENTER</t>
  </si>
  <si>
    <t>OLIVE BRANCH SENIOR CARE CENTER (THE)</t>
  </si>
  <si>
    <t>LAKEVIEW MANOR NURSING HOME</t>
  </si>
  <si>
    <t>HERITAGE MANOR WEST</t>
  </si>
  <si>
    <t>LAFOURCHE HOME FOR AGED &amp; INFIRM</t>
  </si>
  <si>
    <t>MERRYVILLE REHABILITATION</t>
  </si>
  <si>
    <t>CYPRESS POINT NURSING &amp; REHABILITATION CENTER</t>
  </si>
  <si>
    <t>WINNFIELD NURSING AND REHABILITATION CENTER, LLC</t>
  </si>
  <si>
    <t>GUEYDAN MEMORIAL GUEST HOME</t>
  </si>
  <si>
    <t>ARBOR LAKE SKILLED NURSING &amp; REHABILITATION</t>
  </si>
  <si>
    <t>BELLE TECHE NURSING &amp; REHABILITATION CENTER</t>
  </si>
  <si>
    <t>FOREST HAVEN NURSING &amp; REHAB CTR, LLC</t>
  </si>
  <si>
    <t>RAYNE GUEST HOME</t>
  </si>
  <si>
    <t>LASALLE NURSING HOME</t>
  </si>
  <si>
    <t>ST MARTIN DE PORRES MULTI-CARE CENTER</t>
  </si>
  <si>
    <t>AMELIA MANOR NURSING HOME</t>
  </si>
  <si>
    <t>JEFFERSON MANOR NURSING AND RE</t>
  </si>
  <si>
    <t>REGENCY PLACE NURSING AND REHABILITATION CENTER</t>
  </si>
  <si>
    <t>GUEST HOUSE (THE)</t>
  </si>
  <si>
    <t>CAPITOL HOUSE NURSING AND REHAB CENTER</t>
  </si>
  <si>
    <t>FLANNERY OAKS GUEST HOUSE</t>
  </si>
  <si>
    <t>COLUMNS COMMUNITY CARE CENTER ( THE )</t>
  </si>
  <si>
    <t>HERITAGE MANOR OF BATON ROUGE</t>
  </si>
  <si>
    <t>RIVERBEND NURSING AND REHABILITATION CENTER, INC</t>
  </si>
  <si>
    <t>WOODLANDS HEALTHCARE CENTER, LLC (THE)</t>
  </si>
  <si>
    <t>CARRINGTON PLACE OF BATON ROUGE</t>
  </si>
  <si>
    <t>LANDMARK NURSING CENTER HAMMOND</t>
  </si>
  <si>
    <t>HERITAGE MANOR OF HOUMA</t>
  </si>
  <si>
    <t>HERITAGE MANOR OF STRATMORE NURSING &amp; REHAB CTR</t>
  </si>
  <si>
    <t>LANDMARK OF ACADIANA</t>
  </si>
  <si>
    <t>NOTTINGHAM REGIONAL REHAB CENTER</t>
  </si>
  <si>
    <t>RIVIERE DE SOLEIL COMMUNITY CARE CENTER</t>
  </si>
  <si>
    <t>FOREST MANOR NURSING AND REHABILITATION CENTER</t>
  </si>
  <si>
    <t>CHATEAU D'VILLE REHAB AND RETIREMENT</t>
  </si>
  <si>
    <t>AVALON PLACE</t>
  </si>
  <si>
    <t>KINDER RETIREMENT AND REHABILITATION CENTER</t>
  </si>
  <si>
    <t>LANDMARK OF BATON ROUGE</t>
  </si>
  <si>
    <t>ROSEVIEW NURSING AND REHABILITATION CENTER</t>
  </si>
  <si>
    <t>RIVERVIEW CARE CENTER</t>
  </si>
  <si>
    <t>ASSUMPTION HEALTHCARE AND REHABILITATION</t>
  </si>
  <si>
    <t>ST FRANCES NSG &amp; REHAB CENTER</t>
  </si>
  <si>
    <t>TIOGA COMMUNITY CARE CENTER</t>
  </si>
  <si>
    <t>HARVEST MANOR NURSING HOME</t>
  </si>
  <si>
    <t>RIVER OAKS RETIREMENT MANOR</t>
  </si>
  <si>
    <t>PLANTATION OAKS NURSING &amp; REHABILITATION CENTER</t>
  </si>
  <si>
    <t>AFFINITY NURSING &amp; REHAB CENTER</t>
  </si>
  <si>
    <t>TOLEDO RETIREMENT AND REHABILITATION CENTER</t>
  </si>
  <si>
    <t>HERITAGE MANOR OF VILLE PLATTE</t>
  </si>
  <si>
    <t>ST FRANCISVILLE COUNTRY MANOR, LLC</t>
  </si>
  <si>
    <t>OUR LADY OF WISDOM HEALTH CARE CENTER</t>
  </si>
  <si>
    <t>RUSTON NURSING AND REHABILITATION CENTER,LLC</t>
  </si>
  <si>
    <t>COLONIAL CARE RETIREMENT CENTER</t>
  </si>
  <si>
    <t>BRADFORD REHABILITATION CENTER (THE)</t>
  </si>
  <si>
    <t>S C C OF SHREVEPORT MANOR REHABILITATION CENTER</t>
  </si>
  <si>
    <t>CAMELOT LEISURE LIVING</t>
  </si>
  <si>
    <t>UNITY NURSING &amp; REHAB CENTER</t>
  </si>
  <si>
    <t>HERITAGE NURSING CENTER</t>
  </si>
  <si>
    <t>SOUTHERN HILLS HEALTHCARE AND REHABILITATION</t>
  </si>
  <si>
    <t>PRINCETON PLACE-RUSTON</t>
  </si>
  <si>
    <t>GOLDEN AGE OF WELSH, LLC</t>
  </si>
  <si>
    <t>BELLE MAISON NURSING HOME</t>
  </si>
  <si>
    <t>GOLDEN AGE NURSING HOME</t>
  </si>
  <si>
    <t>WESTWOOD MANOR NURSING HOME, INC</t>
  </si>
  <si>
    <t>HERITAGE HEALTHCARE  - HAMMOND</t>
  </si>
  <si>
    <t>CARE CENTER OF DEQUINCY (THE)</t>
  </si>
  <si>
    <t>RIDGECREST COMMUNITY CARE CENTER</t>
  </si>
  <si>
    <t>OAKS CARE CENTER (THE)</t>
  </si>
  <si>
    <t>DELTA GRANDE SKILLED NURSING AND REHABILITATION</t>
  </si>
  <si>
    <t>OUACHITA HEALTHCARE AND REHABILITATION CENTER</t>
  </si>
  <si>
    <t>TOWN AND COUNTRY HEALTH &amp; REHAB</t>
  </si>
  <si>
    <t>VILLAGE HEALTH CARE AT THE GLEN</t>
  </si>
  <si>
    <t>DERIDDER RETIREMENT &amp; REHABILITATION CENTER</t>
  </si>
  <si>
    <t>COLONIAL OAKS LIVING CENTER</t>
  </si>
  <si>
    <t>CARE CENTER THE</t>
  </si>
  <si>
    <t>S C C OF ALPINE REHABILITATION CENTER</t>
  </si>
  <si>
    <t>MANSFIELD NURSING CENTER</t>
  </si>
  <si>
    <t>CHERRY RIDGE</t>
  </si>
  <si>
    <t>OAKS (THE)</t>
  </si>
  <si>
    <t>KENTWOOD MANOR NURSING HOME</t>
  </si>
  <si>
    <t>CAMELOT PLACE</t>
  </si>
  <si>
    <t>CLAIBORNE REHABILITATION</t>
  </si>
  <si>
    <t>BAYOU CHATEAU NURSING CTR</t>
  </si>
  <si>
    <t>EUNICE MANOR</t>
  </si>
  <si>
    <t>CAMELOT BROOKSIDE</t>
  </si>
  <si>
    <t>GUEST HOUSE NURSING AND REHABILITATION</t>
  </si>
  <si>
    <t>TRI-COMMUNITY NURSING CENTER</t>
  </si>
  <si>
    <t>EASTRIDGE NURSING CENTER</t>
  </si>
  <si>
    <t>LEGRAND HEALTHCARE AND REHABILITATION CENTER</t>
  </si>
  <si>
    <t>SABINE RETIREMENT AND REHAB CENTER</t>
  </si>
  <si>
    <t>DESOTO RETIREMENT &amp; REHAB CTR, INC</t>
  </si>
  <si>
    <t>VALLEY VIEW HEALTH CARE</t>
  </si>
  <si>
    <t>SOUTHERN OAKS NURSING &amp; REHABILITATION CENTER</t>
  </si>
  <si>
    <t>HESSMER NURSING HOME</t>
  </si>
  <si>
    <t>SUMMIT (THE)</t>
  </si>
  <si>
    <t>GREEN MEADOW HAVEN</t>
  </si>
  <si>
    <t>SOUTHWIND NURSING &amp; REHABILITATION CENTER</t>
  </si>
  <si>
    <t>ACADIA ST. LANDRY GUEST HOUSE</t>
  </si>
  <si>
    <t>BETHANY MHS HEALTH CARE CENTER</t>
  </si>
  <si>
    <t>OLLIE STEELE BURDEN MANOR</t>
  </si>
  <si>
    <t>MAISON DU MONDE LIVING CENTER</t>
  </si>
  <si>
    <t>WYATT MANOR NURSING AND REHAB CTR, INC</t>
  </si>
  <si>
    <t>ST ANTHONY'S NURSING HOME</t>
  </si>
  <si>
    <t>OLD JEFFERSON COMMUNITY CARE CENTER</t>
  </si>
  <si>
    <t>LESLIE LAKES RETIREMENT CENTER</t>
  </si>
  <si>
    <t>MAGNOLIA ESTATES</t>
  </si>
  <si>
    <t>MAISON TECHE NURSING CENTER</t>
  </si>
  <si>
    <t>OAK HAVEN COMMUNITY CARE CENTER</t>
  </si>
  <si>
    <t>PRAIRIE MANOR NURSING HOME</t>
  </si>
  <si>
    <t>EVANGELINE OAKS GUEST HOUSE</t>
  </si>
  <si>
    <t>PRESBYTERIAN VILLAGE OF HOMER</t>
  </si>
  <si>
    <t>AVOYELLES MANOR NURSING HOME</t>
  </si>
  <si>
    <t>BASILE CARE CENTER</t>
  </si>
  <si>
    <t>BROADWAY NURSING AND REHABILITATION CTR (THE)</t>
  </si>
  <si>
    <t>ALLEN OAKS NURSING AND REHAB CENTER</t>
  </si>
  <si>
    <t>SHADY LAKE NURSING HOME</t>
  </si>
  <si>
    <t>OAK LANE WELLNESS &amp; REHABILITATIVE CENTER</t>
  </si>
  <si>
    <t>CHATEAU DE NOTRE DAME</t>
  </si>
  <si>
    <t>ST CLARE MANOR</t>
  </si>
  <si>
    <t>WEST JEFFERSON HEALTH CARE CENTER</t>
  </si>
  <si>
    <t>CAMELOT OF BROUSSARD</t>
  </si>
  <si>
    <t>LAGNIAPPE HEALTHCARE</t>
  </si>
  <si>
    <t>S C C OF PILGRIM MANOR REHABILITATION CENTER</t>
  </si>
  <si>
    <t>MARY GOSS NURSING HOME</t>
  </si>
  <si>
    <t>LIVE OAK</t>
  </si>
  <si>
    <t>OAK WOODS HOME FOR THE ELDERLY</t>
  </si>
  <si>
    <t>PORT ALLEN CARE CENTER, L.L.C.</t>
  </si>
  <si>
    <t>MATTHEWS MEMORIAL HEALTH CARE CENTER</t>
  </si>
  <si>
    <t>HIGH HOPE CARE CENTER</t>
  </si>
  <si>
    <t>CHATEAU TERREBONNE HEALTH CARE</t>
  </si>
  <si>
    <t>BAYOU VISTA COMMUNITY CARE CENTER</t>
  </si>
  <si>
    <t>S C C OF COLONIAL OAKS REHABILITATION CENTER</t>
  </si>
  <si>
    <t>MARY ANNA NURSING HOME</t>
  </si>
  <si>
    <t>COURTYARD MANOR NURSE CARE CENTER &amp; ASSISTED LIV</t>
  </si>
  <si>
    <t>SOUTHWEST LOUISIANA WAR VETERANS HOME</t>
  </si>
  <si>
    <t>ST HELENA PARISH NURSING HOME</t>
  </si>
  <si>
    <t>HAMMOND NURSING HOME</t>
  </si>
  <si>
    <t>GOOD SAMARITAN LIVING CENTER</t>
  </si>
  <si>
    <t>ST CHRISTINA NURSING AND REHABILITATION CENTER</t>
  </si>
  <si>
    <t>COVENANT HOME</t>
  </si>
  <si>
    <t>S C C OF BOOKER T WASHINGTON REHABILITATION CENTER</t>
  </si>
  <si>
    <t>LANE NSG HOME AN AFFILIATE OF LANE REG MEDICAL CTR</t>
  </si>
  <si>
    <t>CONSOLATA HOME</t>
  </si>
  <si>
    <t>SAVOY CARE CENTER</t>
  </si>
  <si>
    <t>POINTE COUPEE HEALTHCARE</t>
  </si>
  <si>
    <t>SAGE REHABILITATION HOSPITAL SNF</t>
  </si>
  <si>
    <t>WILLIS-KNIGHTON EXTENDED CARE CENTER</t>
  </si>
  <si>
    <t>NORTHWEST LOUISIANA WAR VETERANS HOME</t>
  </si>
  <si>
    <t>RESTHAVEN LIVING CENTER</t>
  </si>
  <si>
    <t>SOUTHEAST LOUISIANA WAR VETERANS HOME</t>
  </si>
  <si>
    <t>NORTHEAST LA WAR VETERANS HOME</t>
  </si>
  <si>
    <t>LOUISIANA WAR VETERANS HOME</t>
  </si>
  <si>
    <t>LANDMARK OF LAKE CHARLES</t>
  </si>
  <si>
    <t>ST LUKE'S LIVING CENTER</t>
  </si>
  <si>
    <t>LAFON NURSING FACILITY OF THE HOLY FAMILY</t>
  </si>
  <si>
    <t>LADY OF THE OAKS RETIREMENT MANOR</t>
  </si>
  <si>
    <t>CORNERSTONE VILLAGE SOUTH, INC</t>
  </si>
  <si>
    <t>NORTH POINT HEALTHCARE CENTER</t>
  </si>
  <si>
    <t>GUARDIAN HEALTHCARE AND REHABILITATION</t>
  </si>
  <si>
    <t>REGENCY HOUSE OF ALEXANDRIA</t>
  </si>
  <si>
    <t>MAINE COAST MEMORIAL HOSPITAL</t>
  </si>
  <si>
    <t>NORTHERN MAINE MEDICAL CENTER</t>
  </si>
  <si>
    <t>CEDARS NURSING CARE CENTER</t>
  </si>
  <si>
    <t>HIBBARD SKILLED NURSING &amp; REHABILITATION CENTER</t>
  </si>
  <si>
    <t>MONTELLO MANOR</t>
  </si>
  <si>
    <t>BARRON CENTER</t>
  </si>
  <si>
    <t>THE NEWTON CTR FOR REHAB &amp; NUR</t>
  </si>
  <si>
    <t>TAMC - AROOSTOOK MEDICAL CENTER</t>
  </si>
  <si>
    <t>BANGOR NURSING &amp; REHABILITATION</t>
  </si>
  <si>
    <t>ORONO COMMONS</t>
  </si>
  <si>
    <t>THE GARDENS</t>
  </si>
  <si>
    <t>RUSSELL PARK REHABILITATION &amp; LIVING CENTER</t>
  </si>
  <si>
    <t>ST MARY'S D'YOUVILLE PAVILION</t>
  </si>
  <si>
    <t>MAINEGENERAL REHAB &amp; LONG TERM CARE - GRAY BIRCH</t>
  </si>
  <si>
    <t>CEDAR RIDGE CENTER</t>
  </si>
  <si>
    <t>BREWER CENTER FOR HEALTH &amp; REHABILITATION, LLC</t>
  </si>
  <si>
    <t>CLOVER MANOR</t>
  </si>
  <si>
    <t>ROSS MANOR</t>
  </si>
  <si>
    <t>FRYEBURG HEALTH CARE CENTER</t>
  </si>
  <si>
    <t>COVE'S EDGE</t>
  </si>
  <si>
    <t>SPRINGBROOK CENTER</t>
  </si>
  <si>
    <t>SANDY RIVER CENTER</t>
  </si>
  <si>
    <t>PINE POINT CENTER</t>
  </si>
  <si>
    <t>MARSHWOOD CENTER</t>
  </si>
  <si>
    <t>BRIDGTON HEALTH CARE CENTER</t>
  </si>
  <si>
    <t>SEASIDE REHAB &amp; HEALTH CARE</t>
  </si>
  <si>
    <t>ISLAND NURSING HOME &amp; CARE CTR</t>
  </si>
  <si>
    <t>MARKET SQUARE HEALTH CARE CENTER, LLC</t>
  </si>
  <si>
    <t>AUGUSTA CENTER FOR HEALTH &amp; REHABILITATION, LLC</t>
  </si>
  <si>
    <t>WINSHIP GREEN CENTER FOR HEALTH &amp; REHAB, LLC</t>
  </si>
  <si>
    <t>BRENTWOOD CENTER FOR HEALTH &amp; REHABILITATION, LLC</t>
  </si>
  <si>
    <t>GARDINER HEALTH CARE FACILITY</t>
  </si>
  <si>
    <t>GREENWOOD CENTER</t>
  </si>
  <si>
    <t>MADIGAN ESTATES</t>
  </si>
  <si>
    <t>HORIZONS LIVING AND REHAB CENTER</t>
  </si>
  <si>
    <t>VARNEY CROSSING NURSING CARE CENTER</t>
  </si>
  <si>
    <t>BORDERVIEW REHAB &amp; LIVING CTR</t>
  </si>
  <si>
    <t>OAK GROVE CENTER</t>
  </si>
  <si>
    <t>FREEPORT NURSING &amp; REHAB CENTER</t>
  </si>
  <si>
    <t>KENNEBUNK CENTER FOR HEALTH &amp; REHABILITATION, LLC</t>
  </si>
  <si>
    <t>NORWAY CENTER FOR HEALTH &amp; REHABILITATION, LLC</t>
  </si>
  <si>
    <t>HAWTHORNE HOUSE</t>
  </si>
  <si>
    <t>RUMFORD COMMUNITY HOME</t>
  </si>
  <si>
    <t>PRESQUE ISLE REHAB AND NURSING CENTER</t>
  </si>
  <si>
    <t>PINNACLE HEALTH AND REHAB</t>
  </si>
  <si>
    <t>SEAL ROCK HEALTH CARE</t>
  </si>
  <si>
    <t>WESTGATE CENTER FOR REHAB &amp; ALZHEIMERS CARE</t>
  </si>
  <si>
    <t>EASTSIDE CENTER FOR HEALTH &amp; REHABILITATION, LLC</t>
  </si>
  <si>
    <t>ST ANDRE HEALTH CARE FACILITY</t>
  </si>
  <si>
    <t>MARSHALL HEALTH CARE AND REHAB</t>
  </si>
  <si>
    <t>COUNTRY MANOR NURSING HOME</t>
  </si>
  <si>
    <t>FALMOUTH BY THE SEA</t>
  </si>
  <si>
    <t>COLONIAL HEALTH CARE</t>
  </si>
  <si>
    <t>HIGH VIEW MANOR</t>
  </si>
  <si>
    <t>DEXTER HEALTH CARE</t>
  </si>
  <si>
    <t>STILLWATER HEALTH CARE</t>
  </si>
  <si>
    <t>CARIBOU REHAB AND NURSING CENTER</t>
  </si>
  <si>
    <t>NARRAGUAGUS BAY HEALTH CARE FACILITY</t>
  </si>
  <si>
    <t>MOUNT ST JOSEPH NURSING HOME</t>
  </si>
  <si>
    <t>SOUTH PORTLAND NURSING HOME</t>
  </si>
  <si>
    <t>HARBOR HILL CENTER</t>
  </si>
  <si>
    <t>COURTLAND REHAB &amp; LIVING CENTER</t>
  </si>
  <si>
    <t>KNOX CENTER FOR LONG TERM CARE</t>
  </si>
  <si>
    <t>LEDGEVIEW LIVING CENTER</t>
  </si>
  <si>
    <t>MAINE VETERANS HOME - AUGUSTA</t>
  </si>
  <si>
    <t>MAINE VETERANS HOME - SCARBOROUGH</t>
  </si>
  <si>
    <t>MAPLECREST REHAB &amp; LIVING CENTER</t>
  </si>
  <si>
    <t>MERCY HOME</t>
  </si>
  <si>
    <t>EDGEWOOD REHAB &amp; LIVING CTR</t>
  </si>
  <si>
    <t>DURGIN PINES</t>
  </si>
  <si>
    <t>HERITAGE REHAB &amp; LIVING CTR</t>
  </si>
  <si>
    <t>ST JOSEPH'S REHABILITATION AND RESIDENCE</t>
  </si>
  <si>
    <t>SONOGEE REHABILITATION &amp; LIVING CENTER</t>
  </si>
  <si>
    <t>SOUTHRIDGE REHAB &amp; LIVING CTR</t>
  </si>
  <si>
    <t>LEDGEWOOD MANOR</t>
  </si>
  <si>
    <t>LAKEWOOD A CONTINUING CARE CENTER</t>
  </si>
  <si>
    <t>MAINEGENERAL REHAB &amp; LONG TERM CARE - GLENRIDGE</t>
  </si>
  <si>
    <t>THE COMMONS AT TALL PINES</t>
  </si>
  <si>
    <t>CUMMINGS HEALTH CARE FACILITY</t>
  </si>
  <si>
    <t>SEAPORT VILLAGE HEALTHCARE</t>
  </si>
  <si>
    <t>KATAHDIN NURSING HOME</t>
  </si>
  <si>
    <t>MAINE VETERANS HOME - CARIBOU</t>
  </si>
  <si>
    <t>WOODLAWN REHABILITATION &amp; NURSING CENTER</t>
  </si>
  <si>
    <t>GREGORY WING OF ST ANDREWS VILLAGE</t>
  </si>
  <si>
    <t>SEDGEWOOD COMMONS</t>
  </si>
  <si>
    <t>EVERGREEN MANOR</t>
  </si>
  <si>
    <t>MID COAST SENIOR HEALTH CENTER</t>
  </si>
  <si>
    <t>SOMERSET REHABILITATION &amp; LIVING CENTER</t>
  </si>
  <si>
    <t>GORHAM HOUSE</t>
  </si>
  <si>
    <t>ORCHARD PARK REHAB &amp; LIVING</t>
  </si>
  <si>
    <t>WINTHROP MANOR LONG TERM CARE &amp; REHAB CTR</t>
  </si>
  <si>
    <t>SUNRISE CARE FACILITY</t>
  </si>
  <si>
    <t>SANFIELD REHAB &amp; LIVING CENTER</t>
  </si>
  <si>
    <t>FOREST HILL MANOR</t>
  </si>
  <si>
    <t>WINDWARD GARDENS</t>
  </si>
  <si>
    <t>MOUNTAIN HEIGHTS HEALTH CARE</t>
  </si>
  <si>
    <t>MAINE VETERANS HOME - SO PARIS</t>
  </si>
  <si>
    <t>MAINE VETERANS HOME - BANGOR</t>
  </si>
  <si>
    <t>PIPER SHORES</t>
  </si>
  <si>
    <t>BALLENGER CREEK CENTER</t>
  </si>
  <si>
    <t>BAY RIDGE HEALTH CARE CENTER</t>
  </si>
  <si>
    <t>WICOMICO NURSING HOME</t>
  </si>
  <si>
    <t>THE PINES GENESIS ELDERCARE</t>
  </si>
  <si>
    <t>ST. MARY'S NURSING CENTER INC</t>
  </si>
  <si>
    <t>ARCOLA HEALTH AND REHABILITATION CENTER</t>
  </si>
  <si>
    <t>FAIRLAND CENTER</t>
  </si>
  <si>
    <t>LONGVIEW HEALTHCARE CENTER, LLC</t>
  </si>
  <si>
    <t>FORESTVILLE HEALTH &amp; REHABILITATION CENTER</t>
  </si>
  <si>
    <t>MILFORD MANOR NURSING HOME</t>
  </si>
  <si>
    <t>MANOR CARE HEALTH SERVICES - HYATTSVILLE</t>
  </si>
  <si>
    <t>NMS HEALTHCARE OF SILVER SPRING</t>
  </si>
  <si>
    <t>POTOMAC VALLEY NSG &amp; WELLNESS</t>
  </si>
  <si>
    <t>MANOR CARE HEALTH SERVICES - CHEVY CHASE</t>
  </si>
  <si>
    <t>LONG GREEN CENTER</t>
  </si>
  <si>
    <t>LEVINDALE HEBREW GER CTR &amp; HSP</t>
  </si>
  <si>
    <t>KESWICK MULTI-CARE CENTER</t>
  </si>
  <si>
    <t>CITIZENS CARE CENTER</t>
  </si>
  <si>
    <t>KENSINGTON NURSING &amp; REHABILITATION CENTER</t>
  </si>
  <si>
    <t>ST. ELIZABETH REHAB. &amp; NSG. CE</t>
  </si>
  <si>
    <t>MANOR CARE HEALTH SERVICES - WHEATON</t>
  </si>
  <si>
    <t>NMS HEALTHCARE OF SPRINGBROOK, LLC</t>
  </si>
  <si>
    <t>MANORCARE HEALTH SERVICES -TOWSON</t>
  </si>
  <si>
    <t>GOLDEN LIVINGCENTER-CUMBERLAND</t>
  </si>
  <si>
    <t>ALICE BYRD TAWES NURSING HOME</t>
  </si>
  <si>
    <t>WOODSIDE CENTER</t>
  </si>
  <si>
    <t>MANORCARE HEALTH SYSTEM - ADELPHI</t>
  </si>
  <si>
    <t>BEL PRE HEALTH &amp; REHABILITATION CENTER</t>
  </si>
  <si>
    <t>SALISBURY CENTER</t>
  </si>
  <si>
    <t>MANORCARE HEALTH SERVICES - DULANEY</t>
  </si>
  <si>
    <t>HEBREW HOME OF GREATER WASHINGTON</t>
  </si>
  <si>
    <t>THE LIONS CENTER FOR REHAB AND EXT CARE</t>
  </si>
  <si>
    <t>HOMEWOOD CENTER</t>
  </si>
  <si>
    <t>MANORCARE HEALTH SERVICES - RUXTON</t>
  </si>
  <si>
    <t>PERRING PARKWAY CENTER</t>
  </si>
  <si>
    <t>ENVOY OF PIKESVILLE</t>
  </si>
  <si>
    <t>CAROLINE NURSING AND REHABILITATION CENTER, LLC</t>
  </si>
  <si>
    <t>PATAPSCO VALLEY CENTER</t>
  </si>
  <si>
    <t>CATON MANOR</t>
  </si>
  <si>
    <t>HAMMONDS LANE CENTER</t>
  </si>
  <si>
    <t>LOCH RAVEN CENTER</t>
  </si>
  <si>
    <t>COLLINGSWOOD NSG. &amp; REHAB. CEN</t>
  </si>
  <si>
    <t>GOLDEN LIVINGCENTER- WESTMINSTER</t>
  </si>
  <si>
    <t>MANORCARE HEALTH SERVICES - BETHESDA</t>
  </si>
  <si>
    <t>MULTI-MEDICAL CENTER</t>
  </si>
  <si>
    <t>CATONSVILLE COMMONS</t>
  </si>
  <si>
    <t>WILSON HEALTH CARE CENTER</t>
  </si>
  <si>
    <t>CITIZENS CARE AND REHABILITATION CENTER OF FREDERI</t>
  </si>
  <si>
    <t>SAGEPOINT NURSING AND REHABILITATION CENTER</t>
  </si>
  <si>
    <t>ROCKVILLE NURSING HOME</t>
  </si>
  <si>
    <t>DOCTORS COMMUNITY REHABILITATION AND PATIENT CARE</t>
  </si>
  <si>
    <t>MANORCARE HEALTH SERVICES - ROSSVILLE</t>
  </si>
  <si>
    <t>WESTERN MD HOSPITAL CENTER</t>
  </si>
  <si>
    <t>LAURELWOOD CARE CENTER AT ELKTON</t>
  </si>
  <si>
    <t>LORIEN HEALTH SYSTEMS - COLUMBIA</t>
  </si>
  <si>
    <t>RAVENWOOD NURSING CARE CENTER</t>
  </si>
  <si>
    <t>CORSICA HILLS CENTER</t>
  </si>
  <si>
    <t>FROSTBURG VILLAGE</t>
  </si>
  <si>
    <t>STELLA MARIS, INC.</t>
  </si>
  <si>
    <t>FUTURE CARE OLD COURT</t>
  </si>
  <si>
    <t>CROFTON CONVALESCENT CENTER</t>
  </si>
  <si>
    <t>SNOW HILL NURSING &amp; REHAB CTR</t>
  </si>
  <si>
    <t>BROADMEAD</t>
  </si>
  <si>
    <t>NATIONAL LUTHERAN HOME</t>
  </si>
  <si>
    <t>BERLIN NURSING AND REHABILITATION CENTER</t>
  </si>
  <si>
    <t>COURTLAND, LLC</t>
  </si>
  <si>
    <t>CROMWELL CENTER</t>
  </si>
  <si>
    <t>FAIRHAVEN, INC.</t>
  </si>
  <si>
    <t>DEER'S HEAD CENTER</t>
  </si>
  <si>
    <t>CARROLL LUTHERAN VILLAGE</t>
  </si>
  <si>
    <t>HARTLEY HALL NURSING AND REHABILITATION</t>
  </si>
  <si>
    <t>TRANSITIONS HEALTHCARE AT SYKESVILLE</t>
  </si>
  <si>
    <t>BAYLEIGH CHASE INC</t>
  </si>
  <si>
    <t>MARLEY NECK HEALTH AND REHABILITATION CENTER</t>
  </si>
  <si>
    <t>PATUXENT RIVER HEALTH AND REHABILITATION CENTER</t>
  </si>
  <si>
    <t>CHESAPEAKE SHORES</t>
  </si>
  <si>
    <t>SEVERNA PARK CENTER</t>
  </si>
  <si>
    <t>REEDERS MEMORIAL HOME</t>
  </si>
  <si>
    <t>ST THOMAS MORE MEDICAL COMPLEX</t>
  </si>
  <si>
    <t>FORT WASHINGTON HEALTH &amp; REHABILITATION CENTER</t>
  </si>
  <si>
    <t>FUTURE CARE NORTHPOINT</t>
  </si>
  <si>
    <t>WAUGH CHAPEL CENTER</t>
  </si>
  <si>
    <t>ENVOY OF DENTON</t>
  </si>
  <si>
    <t>LAPLATA CENTER</t>
  </si>
  <si>
    <t>ROLAND PARK PLACE</t>
  </si>
  <si>
    <t>ELLICOTT CITY HEALTH &amp; REHABILITATION CENTER</t>
  </si>
  <si>
    <t>CHARLOTTE HALL VETERANS HOME</t>
  </si>
  <si>
    <t>SHADY GROVE CENTER</t>
  </si>
  <si>
    <t>BRADFORD OAKS CENTER</t>
  </si>
  <si>
    <t>LAYHILL CENTER</t>
  </si>
  <si>
    <t>MANORCARE HEALTH SERVICES - POTOMAC</t>
  </si>
  <si>
    <t>GINGER COVE</t>
  </si>
  <si>
    <t>FUTURE CARE CANTON HARBOR</t>
  </si>
  <si>
    <t>CHERRY LANE</t>
  </si>
  <si>
    <t>FREDERICK VILLA NURSING &amp; REHAB CENTER</t>
  </si>
  <si>
    <t>AURORA SENIOR LIVING OF MANOKIN, LLC</t>
  </si>
  <si>
    <t>COLLINGTON EPISCOPAL LIFE CARE</t>
  </si>
  <si>
    <t>FAYETTE HEALTH AND REHABILITATION CENTER</t>
  </si>
  <si>
    <t>GOLDEN LIVING CENTER - FREDERICK</t>
  </si>
  <si>
    <t>FUTURE CARE CHESAPEAKE</t>
  </si>
  <si>
    <t>BETHESDA HEALTH AND REHABILITATION</t>
  </si>
  <si>
    <t>CALVERT COUNTY NURSING CTR.</t>
  </si>
  <si>
    <t>CALVERT MANOR HEALTH CARE CENT</t>
  </si>
  <si>
    <t>SIGNATURE HEALTHCARE AT MALLARD BAY</t>
  </si>
  <si>
    <t>FUTURE CARE CHERRYWOOD</t>
  </si>
  <si>
    <t>AUGSBURG LUTHERAN HOME</t>
  </si>
  <si>
    <t>FOREST HILL HEALTH AND REHABILITATION CENTER</t>
  </si>
  <si>
    <t>BRIDGEPARK HEALTHCARE CENTER</t>
  </si>
  <si>
    <t>FOX CHASE REHAB &amp; NURSING CENTER</t>
  </si>
  <si>
    <t>WILLIAMSPORT NURSING HOME</t>
  </si>
  <si>
    <t>VINDOBONA NURSING AND REHABILITATION CENTER</t>
  </si>
  <si>
    <t>BROOKE GROVE REHAB. &amp; NSG CTR</t>
  </si>
  <si>
    <t>RIVERVIEW REHABILITATION &amp; HEALTH CENTER</t>
  </si>
  <si>
    <t>HOLLY HILL NURSING AND REHABILITATION CENTER</t>
  </si>
  <si>
    <t>LOCHEARN NURSING HOME, LLC</t>
  </si>
  <si>
    <t>OVERLEA HEALTH AND REHABILITATION CENTER</t>
  </si>
  <si>
    <t>FRIENDS NURSING HOME</t>
  </si>
  <si>
    <t>HILLHAVEN NURSING CENTER</t>
  </si>
  <si>
    <t>AUTUMN LAKE HEALTHCARE AT ALICE MANOR</t>
  </si>
  <si>
    <t>DENNETT ROAD MANOR</t>
  </si>
  <si>
    <t>NORTHAMPTON MANOR NURSING AND REHABILITATION CENTE</t>
  </si>
  <si>
    <t>FUTURE CARE IRVINGTON</t>
  </si>
  <si>
    <t>MID-ATLANTIC OF CHAPEL HILL, LLC</t>
  </si>
  <si>
    <t>CHESAPEAKE WOODS CENTER</t>
  </si>
  <si>
    <t>CHARLESTOWN COMMUNITY INC</t>
  </si>
  <si>
    <t>MANORCARE HEALTH SERVICES  -SILVER SPRING</t>
  </si>
  <si>
    <t>HOMEWOOD AT WILLIAMSPORT MD</t>
  </si>
  <si>
    <t>POWERBACK REHABILITATION</t>
  </si>
  <si>
    <t>RIDGEWAY MANOR NURSING &amp; REHABILITATION CENTER</t>
  </si>
  <si>
    <t>ALTHEA WOODLAND NURSING HOME</t>
  </si>
  <si>
    <t>NORTH OAKS</t>
  </si>
  <si>
    <t>ALLEGANY HEALTH NURSING AND REHAB</t>
  </si>
  <si>
    <t>CLINTON NURSING &amp; REHABILITATION CENTER</t>
  </si>
  <si>
    <t>OAKLAND NURSING &amp; REHABILITATION CENTER</t>
  </si>
  <si>
    <t>LORIEN HEALTH SYSTEMS - RIVERSIDE</t>
  </si>
  <si>
    <t>CARRIAGE HILL BETHESDA</t>
  </si>
  <si>
    <t>HERON POINT OF CHESTERTOWN</t>
  </si>
  <si>
    <t>FAIRFIELD NURSING &amp; REHABILITATION CENTER</t>
  </si>
  <si>
    <t>MORAN MANOR NURSING AND REHABILITATION CENTER, LLC</t>
  </si>
  <si>
    <t>GSNH OPERATOR, LLC</t>
  </si>
  <si>
    <t>DEVLIN MANOR NURSING AND REHABILITATION CENTER</t>
  </si>
  <si>
    <t>HOMEWOOD AT CRUMLAND FARMS</t>
  </si>
  <si>
    <t>BEDFORD COURT HEALTHCARE CENT.</t>
  </si>
  <si>
    <t>BRINTON WOODS NURSING &amp; REHABILITATION CENTER</t>
  </si>
  <si>
    <t>FUTURE CARE HOMEWOOD</t>
  </si>
  <si>
    <t>GOODWILL MENNONITE HOME, INC.</t>
  </si>
  <si>
    <t>FOREST HAVEN NURSING HOME</t>
  </si>
  <si>
    <t>FUTURE CARE COLD SPRING</t>
  </si>
  <si>
    <t>CHESTNUT GRN HLTH CTR BLAKEHUR</t>
  </si>
  <si>
    <t>NMS HEALTHCARE OF HAGERSTOWN, LLC</t>
  </si>
  <si>
    <t>SPA CREEK CENTER</t>
  </si>
  <si>
    <t>PICKERSGILL RETIREMENT COMMUNITY</t>
  </si>
  <si>
    <t>AUTUMN LAKE HEALTHCARE AT CHESTERTOWN</t>
  </si>
  <si>
    <t>FRANKLIN WOODS CENTER</t>
  </si>
  <si>
    <t>UNIVERSITY OF MARYLAND SHORE NURSING AND REHAB</t>
  </si>
  <si>
    <t>LARKIN CHASE CENTER</t>
  </si>
  <si>
    <t>COPPER RIDGE</t>
  </si>
  <si>
    <t>GLEN BURNIE HEALTH AND REHABILITATION CENTER</t>
  </si>
  <si>
    <t>ST JOSEPH'S MINISTRIES</t>
  </si>
  <si>
    <t>PLEASANT VIEW NSG HOME</t>
  </si>
  <si>
    <t>ELKTON TRANSITIONAL CARE CENTER</t>
  </si>
  <si>
    <t>SOLOMONS NURSING CENTER</t>
  </si>
  <si>
    <t>FUTURE CARE SANDTOWN-WINCHESTER</t>
  </si>
  <si>
    <t>MONTGOMERY VILLAGE HEALTH CARE CENTER</t>
  </si>
  <si>
    <t>WALDORF  CENTER</t>
  </si>
  <si>
    <t>WEST MD HEALTH SYST FROSTBURG NRSG AND REHAB CTR</t>
  </si>
  <si>
    <t>GLEN MEADOWS RETIREMENT COM.</t>
  </si>
  <si>
    <t>TRANSITIONAL CARE AT GOOD SAMARITAN</t>
  </si>
  <si>
    <t>TRANSITIONAL CARE SERVICES AT MERCY MEDICAL CENTER</t>
  </si>
  <si>
    <t>MAPLEWOOD PARK PLACE</t>
  </si>
  <si>
    <t>CALVERT MEMORIAL HOSPITAL TRANSITIONAL CARE UNIT</t>
  </si>
  <si>
    <t>NORTHWEST HOSP. CTR. SUB. UNIT</t>
  </si>
  <si>
    <t>THE VILLA</t>
  </si>
  <si>
    <t>SOUTH RIVER HEALTH AND REHABILITATION CENTER</t>
  </si>
  <si>
    <t>WESTGATE HILLS REHAB &amp; HEALTHCARE CTR</t>
  </si>
  <si>
    <t>MARIA HEALTH CARE CENTER, INC.</t>
  </si>
  <si>
    <t>MANORCARE HEALTH SERVICES - ROLAND PARK</t>
  </si>
  <si>
    <t>ASBURY SOLOMONS ISLAND</t>
  </si>
  <si>
    <t>EGLE NURSING HOME</t>
  </si>
  <si>
    <t>OAK CREST VILLAGE</t>
  </si>
  <si>
    <t>GARRETT COUNTY SUBACUTE UNIT</t>
  </si>
  <si>
    <t>BEL AIR HEALTH AND REHABILITATION CENTER</t>
  </si>
  <si>
    <t>GLADE VALLEY CENTER</t>
  </si>
  <si>
    <t>GREATER BALTIMORE MEDICAL CENTER SUB ACUTE UNIT</t>
  </si>
  <si>
    <t>SANCTUARY AT HOLY CROSS</t>
  </si>
  <si>
    <t>NORTH ARUNDEL HEALTH AND REHABILITATION CENTER</t>
  </si>
  <si>
    <t>BRIGHTON GARDEN TUCKERMAN LANE</t>
  </si>
  <si>
    <t>JULIA MANOR NURSING AND REHABILITATION  CENTER</t>
  </si>
  <si>
    <t>CRESCENT CITIES CENTER</t>
  </si>
  <si>
    <t>FUTURE CARE CHARLES VILLAGE, LLC</t>
  </si>
  <si>
    <t>HERITAGE HARBOUR HEALTH AND REHABILITATION CENTER</t>
  </si>
  <si>
    <t>SUMMIT PARK HEALTH AND REHABILITATION CENTER</t>
  </si>
  <si>
    <t>SLIGO CREEK CENTER</t>
  </si>
  <si>
    <t>FUTURE CARE PINEVIEW</t>
  </si>
  <si>
    <t>BUCKINGHAM'S CHOICE</t>
  </si>
  <si>
    <t>BRINTON WOODS POST ACUTE CARE CENTER</t>
  </si>
  <si>
    <t>MANOR CARE HEALTH SERVICES - LARGO</t>
  </si>
  <si>
    <t>LORIEN HEALTH SYSTEMS MT AIRY</t>
  </si>
  <si>
    <t>GOLDEN LIVINGCENTER-HAGERSTOWN</t>
  </si>
  <si>
    <t>FAHRNEY-KEEDY MEMORIAL HOME</t>
  </si>
  <si>
    <t>OAKVIEW REHABILITATION AND NURSING CENTER</t>
  </si>
  <si>
    <t>ANCHORAGE NURSING AND REHABILITATION CENTER</t>
  </si>
  <si>
    <t>BLUE POINT NURSING  &amp; REHAB CENTER</t>
  </si>
  <si>
    <t>LORIEN NSG &amp; REHAB CTR BELAIR</t>
  </si>
  <si>
    <t>RIDERWOOD VILLAGE</t>
  </si>
  <si>
    <t>VANTAGE HOUSE</t>
  </si>
  <si>
    <t>THE ARBOR</t>
  </si>
  <si>
    <t>NORTHWEST NURSING AND REHAB CENTER</t>
  </si>
  <si>
    <t>MANORCARE HEALTH SERVICES - WOODBRIDGE VALLEY</t>
  </si>
  <si>
    <t>LORIEN TANEYTOWN, INC</t>
  </si>
  <si>
    <t>BRINTON WOODS HEALTH &amp; REHAB CTR AT ARLINGTON WEST</t>
  </si>
  <si>
    <t>VILLA ROSA NURSING AND REHABILITATION, LLC</t>
  </si>
  <si>
    <t>LORIEN MAYS CHAPEL</t>
  </si>
  <si>
    <t>COFFMAN NURSING HOME</t>
  </si>
  <si>
    <t>INGLESIDE AT KING FARM</t>
  </si>
  <si>
    <t>ENCORE AT TURF VALLEY</t>
  </si>
  <si>
    <t>THE GREEN HOUSE AT STADIUM PLACE</t>
  </si>
  <si>
    <t>LORIEN NURSING &amp; REHAB CTR - ELKRIDGE</t>
  </si>
  <si>
    <t>MEDSTAR SOUTHERN MARYLAND HOSPITAL CENTER</t>
  </si>
  <si>
    <t>LORIEN BULLE ROCK</t>
  </si>
  <si>
    <t>MARYLAND BAPTIST AGED HOME</t>
  </si>
  <si>
    <t>MARYLAND MASONIC HOMES</t>
  </si>
  <si>
    <t>RESTORE HEALTH REHABILITATION CENTER</t>
  </si>
  <si>
    <t>NANTUCKET COTTAGE HOSPITAL</t>
  </si>
  <si>
    <t>HOLDEN REHABILITATION &amp; NURSING CENTER</t>
  </si>
  <si>
    <t>WINGATE AT MELROSE</t>
  </si>
  <si>
    <t>GOLDEN LIVING CENTER-THE HERMITAGE</t>
  </si>
  <si>
    <t>SPAULDING NURSING &amp; THERAPY CENTER - WEST ROXBURY</t>
  </si>
  <si>
    <t>KNOLLWOOD NURSING CENTER</t>
  </si>
  <si>
    <t>BRAEMOOR HEALTH CENTER</t>
  </si>
  <si>
    <t>LIFE CARE CENTER OF LEOMINSTER</t>
  </si>
  <si>
    <t>JEWISH NURSING HOME OF WESTERN MASS</t>
  </si>
  <si>
    <t>PILGRIM REHABILITATION &amp; SKILLED NURSING CENTER</t>
  </si>
  <si>
    <t>PINE KNOLL NURSING CENTER</t>
  </si>
  <si>
    <t>WINGATE AT NORTON</t>
  </si>
  <si>
    <t>JOHN SCOTT HOUSE NURSING &amp; REHABILITATION CENTER</t>
  </si>
  <si>
    <t>ROYAL BRAINTREE NURSING AND REHABILITATION CENTER</t>
  </si>
  <si>
    <t>COLONIAL REHABILITATION AND NURSING CENTER</t>
  </si>
  <si>
    <t>MARLBOROUGH HILLS REHABILTIATION &amp; HLTH CARE CTR</t>
  </si>
  <si>
    <t>GOLDEN LIVING CENTER-WEDGEMERE</t>
  </si>
  <si>
    <t>RIVERCREST LONG TERM CARE</t>
  </si>
  <si>
    <t>ROYAL OF FAIRHAVEN NURSING CENTER</t>
  </si>
  <si>
    <t>BLUEBERRY HILL REHABILITATION AND HEALTHCARE CTR</t>
  </si>
  <si>
    <t>WINGATE AT SHARON</t>
  </si>
  <si>
    <t>GOLDEN LIVING CENTER-DEXTER HOUSE</t>
  </si>
  <si>
    <t>GOLDEN LIVING CENTER-OAK HILL</t>
  </si>
  <si>
    <t>SAUGUS CENTER</t>
  </si>
  <si>
    <t>HARBORVIEW CENTER FOR NURSING &amp; REHABILITATION (TH</t>
  </si>
  <si>
    <t>M I NURSING &amp; RESTORATIVE CENTER</t>
  </si>
  <si>
    <t>PARKWELL</t>
  </si>
  <si>
    <t>WALDEN HEALTH AND REHABILITATION CENTER LLC</t>
  </si>
  <si>
    <t>JEWISH HEALTHCARE CENTER</t>
  </si>
  <si>
    <t>HERITAGE HALL SOUTH</t>
  </si>
  <si>
    <t>KATHLEEN DANIEL NURSING AND REHABILITATION</t>
  </si>
  <si>
    <t>WEBSTER PARK REHABILITATION AND HEALTHCARE CENTER</t>
  </si>
  <si>
    <t>COUNTRY GARDENS SKILLED NRSG &amp; REHABILITATION CTR</t>
  </si>
  <si>
    <t>SWEET BROOK OF WILLIAMSTOWN REHABILITATION &amp; N CTR</t>
  </si>
  <si>
    <t>LIFE CARE CENTER OF ACTON</t>
  </si>
  <si>
    <t>KIMWELL NURSING AND REHABILITATION</t>
  </si>
  <si>
    <t>GARDNER REHABILITATION AND NURSING CENTER</t>
  </si>
  <si>
    <t>TWIN OAKS CENTER</t>
  </si>
  <si>
    <t>WORCESTER REHABILITATION &amp; HEALTH CARE CENTER</t>
  </si>
  <si>
    <t>SHERRILL HOUSE, INC</t>
  </si>
  <si>
    <t>PLYMOUTH REHABILITATION &amp; HEALTH CARE CENTER</t>
  </si>
  <si>
    <t>CHARLWELL HOUSE</t>
  </si>
  <si>
    <t>RIVER TERRACE REHABILITATION AND HEALTHCARE CTR</t>
  </si>
  <si>
    <t>ELLIS NURSING HOME (THE)</t>
  </si>
  <si>
    <t>EXCEL CENTER FOR NURSING AND REHAB AT LEXINGTON</t>
  </si>
  <si>
    <t>SOUTHSHORE HEALTH CARE CENTER</t>
  </si>
  <si>
    <t>GOLDEN LIVING CENTER-FITCHBURG</t>
  </si>
  <si>
    <t>OXFORD REHABILITATION &amp; HEALTH CARE CENTER, THE</t>
  </si>
  <si>
    <t>WINGATE AT WORCESTER</t>
  </si>
  <si>
    <t>BROCKTON HEALTH CENTER</t>
  </si>
  <si>
    <t>NEWTON WELLESLEY CENTER FOR ALZHEIMER'S CARE</t>
  </si>
  <si>
    <t>BRENTWOOD REHABILITATION AND HEALTHCARE CTR (THE)</t>
  </si>
  <si>
    <t>CARE ONE AT LOWELL</t>
  </si>
  <si>
    <t>SOUTHEAST HEALTH CARE CENTER</t>
  </si>
  <si>
    <t>VALLEY STREAM REHABILITATION AND HEALTHCARE CTR</t>
  </si>
  <si>
    <t>MAPLEWOOD CENTER</t>
  </si>
  <si>
    <t>TIMBERLYN EAST NURSING AND REHABILITATION</t>
  </si>
  <si>
    <t>HOLYOKE HEALTHCARE CENTER</t>
  </si>
  <si>
    <t>BRANDON WOODS OF DARTMOUTH</t>
  </si>
  <si>
    <t>CARE ONE AT HOLYOKE</t>
  </si>
  <si>
    <t>GOLDEN LIVING CENTER-ATTLEBORO</t>
  </si>
  <si>
    <t>KINDRED TRANSITIONAL CARE &amp; REHAB-WESTBOROUGH</t>
  </si>
  <si>
    <t>TRANSITIONAL CARE UNIT AT SPAULDING HOSP NORTH SHO</t>
  </si>
  <si>
    <t>BEAUMONT REHAB &amp; SKILLED NURSING CTR - NORTHBRIDGE</t>
  </si>
  <si>
    <t>WILLIMANSETT CENTER EAST</t>
  </si>
  <si>
    <t>FAIRVIEW COMMONS NURSING &amp; REHABILITATION CENTER</t>
  </si>
  <si>
    <t>HERITAGE HALL WEST</t>
  </si>
  <si>
    <t>QUEEN ANNE NURSING HOME, INC</t>
  </si>
  <si>
    <t>WILLIMANSETT CENTER WEST</t>
  </si>
  <si>
    <t>CARE ONE AT NORTHAMPTON</t>
  </si>
  <si>
    <t>WEST ACRES REHABILITATION &amp; NURSING CENTER</t>
  </si>
  <si>
    <t>BLAIRE HOUSE OF MILFORD</t>
  </si>
  <si>
    <t>WINGATE AT WEST SPRINGFIELD REHAB &amp; SKILL NUR RES</t>
  </si>
  <si>
    <t>QUINCY HEALTH AND REHABILITATION CENTER LLC</t>
  </si>
  <si>
    <t>BRANDON WOODS OF NEW BEDFORD</t>
  </si>
  <si>
    <t>WINGATE AT HAMPDEN REHABILITATIVE &amp; SKLD NURS RESI</t>
  </si>
  <si>
    <t>ELIZABETH SETON</t>
  </si>
  <si>
    <t>GOLDEN LIVING CENTER - GARDEN PLACE</t>
  </si>
  <si>
    <t>CARE ONE AT NEWTON</t>
  </si>
  <si>
    <t>LOOMIS HOUSE NURSING CENTER</t>
  </si>
  <si>
    <t>CARE ONE AT ESSEX PARK</t>
  </si>
  <si>
    <t>PORT HEALTHCARE CENTER</t>
  </si>
  <si>
    <t>BEAR HILL NURSING CENTER AT WAKEFIELD</t>
  </si>
  <si>
    <t>CARLETON-WILLARD VILLAGE RETIREMENT &amp; NURSING CTR</t>
  </si>
  <si>
    <t>BRUSH HILL CARE CENTER</t>
  </si>
  <si>
    <t>BEAUMONT REHAB &amp; SKILLED NURSING CTR - WESTBORO</t>
  </si>
  <si>
    <t>BAYPATH AT DUXBURY NURSING &amp; REHABILITATION CTR</t>
  </si>
  <si>
    <t>SKILLED NURSING FACILITY AT NORTH HILL (THE)</t>
  </si>
  <si>
    <t>LIFE CARE CENTER OF THE SOUTH SHORE</t>
  </si>
  <si>
    <t>WEBSTER MANOR REHABILITATION &amp; HEALTH CARE CENTER</t>
  </si>
  <si>
    <t>GOLDEN LIVING CENTER-PLYMOUTH</t>
  </si>
  <si>
    <t>HERITAGE HALL EAST</t>
  </si>
  <si>
    <t>HERITAGE SKILLED NURSING AND REHABILITATION</t>
  </si>
  <si>
    <t>CARE ONE AT LEXINGTON</t>
  </si>
  <si>
    <t>HANNAH DUSTON HEALTHCARE CENTER</t>
  </si>
  <si>
    <t>CHAPIN CENTER</t>
  </si>
  <si>
    <t>SOUTHBRIDGE REHABILITATION &amp; HEALTH CARE CENTER</t>
  </si>
  <si>
    <t>ACADEMY MANOR</t>
  </si>
  <si>
    <t>WINGATE AT WILBRAHAM REHAB &amp; SKILLED NURS RESID</t>
  </si>
  <si>
    <t>QUABBIN VALLEY HEALTHCARE</t>
  </si>
  <si>
    <t>LIGHTHOUSE NURSING CARE CENTER</t>
  </si>
  <si>
    <t>NORTHWOOD REHABILITATION &amp; HEALTHCARE CENTER</t>
  </si>
  <si>
    <t>CARE ONE AT REDSTONE</t>
  </si>
  <si>
    <t>REHABILITATION &amp; NURSING CENTER AT EVERETT (THE)</t>
  </si>
  <si>
    <t>WINGATE AT EAST LONGMEADOW REHAB &amp; SKILLED NUR RES</t>
  </si>
  <si>
    <t>CHARLENE MANOR EXTENDED CARE FACILITY</t>
  </si>
  <si>
    <t>ST MARY HEALTH CARE CENTER</t>
  </si>
  <si>
    <t>MT GREYLOCK EXTENDED CARE FACILITY</t>
  </si>
  <si>
    <t>LEDGEWOOD REHABILITATION &amp; SKILLED NURSING CENTER</t>
  </si>
  <si>
    <t>ST CAMILLUS HEALTH CENTER</t>
  </si>
  <si>
    <t>GOVERNORS CENTER</t>
  </si>
  <si>
    <t>SOUTHEAST MASS HEALTH &amp; REHABILITATION CENTER</t>
  </si>
  <si>
    <t>HIGHLANDS, THE</t>
  </si>
  <si>
    <t>FALL RIVER JEWISH HOME, INC</t>
  </si>
  <si>
    <t>MERRIMACK VALLEY HEALTH CENTER</t>
  </si>
  <si>
    <t>GOLDEN LIVING CENTER-CHETWYNDE</t>
  </si>
  <si>
    <t>KINDRED TRANSITIONAL CARE &amp; REHAB-EAGLE POND</t>
  </si>
  <si>
    <t>GOLDEN LIVING CENTER-DEDHAM</t>
  </si>
  <si>
    <t>SACHEM CENTER FOR HEALTH &amp; REHABILITATION</t>
  </si>
  <si>
    <t>CARE ONE AT PEABODY</t>
  </si>
  <si>
    <t>GOLDEN LIVING CENTER-WEST NEWTON</t>
  </si>
  <si>
    <t>RESERVOIR CENTER FOR HEALTH &amp; REHABILITATION, THE</t>
  </si>
  <si>
    <t>OAKS, THE</t>
  </si>
  <si>
    <t>GOLDEN LIVING CENTER-MELROSE</t>
  </si>
  <si>
    <t>LIBERTY COMMONS</t>
  </si>
  <si>
    <t>EAST LONGMEADOW SKILLED NURSING CENTER</t>
  </si>
  <si>
    <t>COUNTRY CENTER FOR HEALTH &amp; REHABILITATION</t>
  </si>
  <si>
    <t>METHUEN HEALTH &amp; REHABILITATION CENTER</t>
  </si>
  <si>
    <t>OAKDALE REHABILITATION &amp; SKILLED NURSING CENTER</t>
  </si>
  <si>
    <t>BUCKLEY-GREENFIELD HEALTHCARE CENTER</t>
  </si>
  <si>
    <t>CAPE HERITAGE REHABILITATION &amp; HEALTH CARE CENTER</t>
  </si>
  <si>
    <t>CAPE REGENCY REHABILITATION &amp; HEALTH CARE CENTER</t>
  </si>
  <si>
    <t>MEDFORD REHABILITATION AND NURSING CENTER</t>
  </si>
  <si>
    <t>WILLIAMSTOWN COMMONS NURSING &amp; REHAB</t>
  </si>
  <si>
    <t>NORTH ADAMS COMMONS NURSING &amp; REHABILITATION CENTE</t>
  </si>
  <si>
    <t>GOLDEN LIVING CENTER-NORWOOD</t>
  </si>
  <si>
    <t>ABBOTT HOUSE NURSING HOME</t>
  </si>
  <si>
    <t>BOURNE MANOR EXTENDED CARE FACILITY</t>
  </si>
  <si>
    <t>WINDSOR NURSING &amp; RETIREMENT HOME</t>
  </si>
  <si>
    <t>RENAISSANCE MANOR ON CABOT</t>
  </si>
  <si>
    <t>KEYSTONE CENTER</t>
  </si>
  <si>
    <t>CARE ONE AT RANDOLPH</t>
  </si>
  <si>
    <t>WINCHESTER NURSING CENTER, INC</t>
  </si>
  <si>
    <t>POET'S SEAT HEALTH CARE CENTER</t>
  </si>
  <si>
    <t>QUABOAG REHABILITATION &amp; SKILLED CARE FACILITY</t>
  </si>
  <si>
    <t>LINDA MANOR EXTENDED CARE FACILITY</t>
  </si>
  <si>
    <t>HATHAWAY MANOR EXTENDED CARE</t>
  </si>
  <si>
    <t>BROOKHAVEN AT LEXINGTON</t>
  </si>
  <si>
    <t>JML CARE CENTER  INC</t>
  </si>
  <si>
    <t>CHESTNUT WOODS REHABILITATION AND HEALTHCARE CTR</t>
  </si>
  <si>
    <t>MAYFLOWER PLACE NURSING &amp; REHABILITATION CENTER</t>
  </si>
  <si>
    <t>PARK PLACE REHABILITATION &amp; SKILLED CARE CENTER</t>
  </si>
  <si>
    <t>PENACOOK PLACE, INC</t>
  </si>
  <si>
    <t>NEVILLE CENTER AT FRESH POND FOR NURSING &amp; REHAB</t>
  </si>
  <si>
    <t>LUTHERAN REHABILITATION &amp; SKILLED CARE CENTER</t>
  </si>
  <si>
    <t>WESTFIELD CENTER</t>
  </si>
  <si>
    <t>GUARDIAN CENTER (THE)</t>
  </si>
  <si>
    <t>WESTFIELD GARDENS NURSING AND REHAB</t>
  </si>
  <si>
    <t>CHRISTOPHER HOUSE OF WORCESTER</t>
  </si>
  <si>
    <t>SPRINGSIDE REHABILITATION AND SKILLED CARE CENTER</t>
  </si>
  <si>
    <t>ALDEN COURT NURSING &amp; REHAB CENTER</t>
  </si>
  <si>
    <t>BALDWINVILLE SKILLED NURSING &amp; REHABILITATION CTR</t>
  </si>
  <si>
    <t>SACRED HEART NURSING HOME</t>
  </si>
  <si>
    <t>PARSONS HILL REHABILITATION &amp; HEALTH CARE CENTER</t>
  </si>
  <si>
    <t>WINGATE AT SPRINGFIELD REHAB &amp; SKILLED NURS RES</t>
  </si>
  <si>
    <t>WOBURN NURSING CENTER, INC</t>
  </si>
  <si>
    <t>LANESSA EXTENDED CARE</t>
  </si>
  <si>
    <t>DEVEREUX HOUSE SKILLED NURSING AND REHABILITATION</t>
  </si>
  <si>
    <t>WAKEFIELD CENTER</t>
  </si>
  <si>
    <t>LAKEVIEW HOUSE SKLD NRSG  AND RESIDENTIAL CARE FAC</t>
  </si>
  <si>
    <t>CLIFTON REHABILITATION NURSING CENTER</t>
  </si>
  <si>
    <t>COLEMAN HOUSE</t>
  </si>
  <si>
    <t>WINGATE AT HAVERHILL REHAB &amp; SKILLED NURSING RESID</t>
  </si>
  <si>
    <t>ISLAND TERRACE NURSING HOME</t>
  </si>
  <si>
    <t>MARISTHILL NURSING &amp; REHABILITATION CENTER</t>
  </si>
  <si>
    <t>NEVINS NURSING &amp; REHABILITATION CENTER</t>
  </si>
  <si>
    <t>LAFAYETTE REHABILITATION &amp; SKILLED NURSING FACILIT</t>
  </si>
  <si>
    <t>MEDWAY COUNTRY MANOR SKILLED NURSING &amp; REHAB CTR</t>
  </si>
  <si>
    <t>DON ORIONE NURSING HOME</t>
  </si>
  <si>
    <t>ST JOSEPH MANOR HEALTH CARE INC</t>
  </si>
  <si>
    <t>MARIAN MANOR</t>
  </si>
  <si>
    <t>ARMENIAN NURSING &amp; REHABILITATION CENTER</t>
  </si>
  <si>
    <t>HELLENIC NURSING &amp; REHABILITATION CENTER</t>
  </si>
  <si>
    <t>BELMONT MANOR NURSING HOME, IN</t>
  </si>
  <si>
    <t>CENTER FOR EXTENDED CARE AT AMHERST</t>
  </si>
  <si>
    <t>APPLE VALLEY CENTER</t>
  </si>
  <si>
    <t>SAVOY NURSING &amp; REHAB CTR</t>
  </si>
  <si>
    <t>WATERTOWN HEALTH CENTER</t>
  </si>
  <si>
    <t>WINGATE AT BREWSTER</t>
  </si>
  <si>
    <t>STONEHEDGE HEALTH CARE CENTER</t>
  </si>
  <si>
    <t>ST PATRICK'S MANOR</t>
  </si>
  <si>
    <t>WINGATE AT READING REHAB &amp; SKILLED NURS RESID</t>
  </si>
  <si>
    <t>WEST REVERE HEALTH CENTER</t>
  </si>
  <si>
    <t>ABERJONA NURSING CENTER, INC</t>
  </si>
  <si>
    <t>BOSTON HOME, INC (THE)</t>
  </si>
  <si>
    <t>COLONY CENTER FOR HEALTH &amp; REHABILITATION</t>
  </si>
  <si>
    <t>BOSTONIAN NURSING CARE &amp; REHABILITATION CTR, THE</t>
  </si>
  <si>
    <t>BRIARWOOD REHABILITATION &amp; HEALTHCARE CENTER</t>
  </si>
  <si>
    <t>ST FRANCIS REHABILITATION &amp; NURSING CENTER</t>
  </si>
  <si>
    <t>ODD FELLOWS HOME OF MASSACHUSETTS</t>
  </si>
  <si>
    <t>MEADOW GREEN NURSING AND REHABILITATION CENTER</t>
  </si>
  <si>
    <t>COLONIAL HEIGHTS</t>
  </si>
  <si>
    <t>BLAIRE HOUSE OF WORCESTER</t>
  </si>
  <si>
    <t>BLUE HILLS HEALTH AND REHABILITATION CENTER LLC</t>
  </si>
  <si>
    <t>KINDRED NURSING AND REHABILITATION-BRAINTREE</t>
  </si>
  <si>
    <t>CATHOLIC MEMORIAL HOME</t>
  </si>
  <si>
    <t>HATHORNE HILL</t>
  </si>
  <si>
    <t>CHELSEA JEWISH NURSING HOME</t>
  </si>
  <si>
    <t>STERLING VILLAGE</t>
  </si>
  <si>
    <t>CRAWFORD SKILLED NURSING AND REHABILITATION CENTER</t>
  </si>
  <si>
    <t>CRANEVILLE PLACE REHABILITATION &amp; SKILLED  CARE CT</t>
  </si>
  <si>
    <t>DEN-MAR REHABILITATION AND NURSING CENTER</t>
  </si>
  <si>
    <t>FAIRHAVEN HEALTHCARE CENTER</t>
  </si>
  <si>
    <t>ROYAL NURSING CENTER, LLC</t>
  </si>
  <si>
    <t>FRANKLIN HEALTH AND REHABILITATION CENTER LLC</t>
  </si>
  <si>
    <t>COUNTRYSIDE HEALTH CARE OF MILFORD</t>
  </si>
  <si>
    <t>GOLDEN LIVING CENTER-GLOUCESTER</t>
  </si>
  <si>
    <t>HALLMARK CARE AND REHABILITATION CENTER LLC</t>
  </si>
  <si>
    <t>HIGHVIEW OF NORTHAMPTON</t>
  </si>
  <si>
    <t>WORCESTER HEALTH CENTER</t>
  </si>
  <si>
    <t>LAUREL RIDGE REHAB AND SKILLED CARE CENTER</t>
  </si>
  <si>
    <t>JEANNE JUGAN RESIDENCE</t>
  </si>
  <si>
    <t>JESMOND NURSING HOME</t>
  </si>
  <si>
    <t>JEFFREY &amp; SUSAN BRUDNICK CENTER FOR LIVING</t>
  </si>
  <si>
    <t>LONGMEADOW OF TAUNTON</t>
  </si>
  <si>
    <t>MADONNA MANOR NURSING HOME</t>
  </si>
  <si>
    <t>MAPLES REHABILITATION &amp; NURSING CENTER</t>
  </si>
  <si>
    <t>MARIAN MANOR OF TAUNTON</t>
  </si>
  <si>
    <t>MEADOW VIEW CENTER</t>
  </si>
  <si>
    <t>MOUNT SAINT VINCENT CARE CENTER</t>
  </si>
  <si>
    <t>NEW BEDFORD JEWISH CONVALESCENT HOME, INC</t>
  </si>
  <si>
    <t>ROYAL NORWELL NURSING &amp; REHABILITATION CENTER LLC</t>
  </si>
  <si>
    <t>BROOKSIDE REHABILITATION AND HEALTHCARE CENTER</t>
  </si>
  <si>
    <t>OUR LADY'S HAVEN</t>
  </si>
  <si>
    <t>PRESENTATION REHAB AND SKILLED CARE CENTER</t>
  </si>
  <si>
    <t>TREMONT HEALTH CARE CENTER</t>
  </si>
  <si>
    <t>WINGATE AT BELVIDERE REHAB &amp; SKILLED NURSING RES</t>
  </si>
  <si>
    <t>SANDALWOOD CENTER</t>
  </si>
  <si>
    <t>SHREWSBURY NURSING &amp; REHABILITATION CENTER</t>
  </si>
  <si>
    <t>SPRING VALLEY CENTER</t>
  </si>
  <si>
    <t>ST JOSEPH REHAB &amp; NURSING CARE CENTER</t>
  </si>
  <si>
    <t>TIMBERLYN HEIGHTS NURSING AND REHABILITATION</t>
  </si>
  <si>
    <t>VERO HEALTH &amp; REHAB, PARKWAY</t>
  </si>
  <si>
    <t>VERO HEALTH &amp; REHAB OF WEST ROXBURY</t>
  </si>
  <si>
    <t>WEST SIDE HOUSE LTC FACILITY</t>
  </si>
  <si>
    <t>WINGATE AT WESTON</t>
  </si>
  <si>
    <t>PAVILION , THE</t>
  </si>
  <si>
    <t>CARE ONE AT WILMINGTON</t>
  </si>
  <si>
    <t>WOOD MILL CENTER</t>
  </si>
  <si>
    <t>SPAULDING NURSING &amp; THERAPY CENTER - NORTH END</t>
  </si>
  <si>
    <t>PALM SKILLED  NRSING CR &amp; CTR FOR REHAB EXCELLENCE</t>
  </si>
  <si>
    <t>CARE ONE AT BROOKLINE</t>
  </si>
  <si>
    <t>PRESCOTT HOUSE</t>
  </si>
  <si>
    <t>KINDRED TRANSITIONAL CARE &amp; REHABILITA-FORESTVIEW</t>
  </si>
  <si>
    <t>BEAUMONT REHAB &amp; SKILLED NURSING CTR - NORTHBORO</t>
  </si>
  <si>
    <t>SOUTH COVE MANOR NURSING &amp; REHABILITATION CENTER</t>
  </si>
  <si>
    <t>D'YOUVILLE SENIOR CARE</t>
  </si>
  <si>
    <t>ELIOT CENTER FOR HEALTH &amp; REHABILITATION</t>
  </si>
  <si>
    <t>SIPPICAN HEALTHCARE CENTER</t>
  </si>
  <si>
    <t>CAMBRIDGE REHABILITATION &amp; NURSING CENTER</t>
  </si>
  <si>
    <t>JOHN ADAMS HEALTHCARE CENTER</t>
  </si>
  <si>
    <t>GLEN RIDGE NURSING CARE CENTER</t>
  </si>
  <si>
    <t>WINGATE AT HARWICH</t>
  </si>
  <si>
    <t>FARREN CARE CENTER</t>
  </si>
  <si>
    <t>CLARK HOUSE NURSING CENTER AT FOX HILL</t>
  </si>
  <si>
    <t>LIFE CARE CENTER OF THE NORTH SHORE</t>
  </si>
  <si>
    <t>SUTTON HILL CENTER</t>
  </si>
  <si>
    <t>SUDBURY PINES EXTENDED CARE</t>
  </si>
  <si>
    <t>VERO HEALTH &amp; REHAB OF MATTAPAN</t>
  </si>
  <si>
    <t>WACHUSETT MANOR</t>
  </si>
  <si>
    <t>BETHANY SKILLED NURSING FACILITY</t>
  </si>
  <si>
    <t>KINDRED TRANSITIONAL CARE &amp; REHAB-HARRINGTON</t>
  </si>
  <si>
    <t>TOWN AND COUNTRY HEALTH CARE CENTER</t>
  </si>
  <si>
    <t>ROYAL CAPE COD NURSING &amp; REHABILITATION CENTER</t>
  </si>
  <si>
    <t>CHICOPEE GARDENS REHABILITATION AND CARE CENTER</t>
  </si>
  <si>
    <t>GERMAN CENTER FOR EXTENDED CARE</t>
  </si>
  <si>
    <t>CARLYLE HOUSE</t>
  </si>
  <si>
    <t>LIFE CARE CENTER OF WILBRAHAM</t>
  </si>
  <si>
    <t>WINGATE AT SILVER LAKE REHAB &amp; SKILLED NURSING RES</t>
  </si>
  <si>
    <t>COURTYARD NURSING CARE CENTER</t>
  </si>
  <si>
    <t>LIFE CARE CENTER OF MERRIMACK VALLEY</t>
  </si>
  <si>
    <t>HANNAH B G SHAW HOME FOR THE AGED</t>
  </si>
  <si>
    <t>BLAIRE HOUSE OF TEWKSBURY</t>
  </si>
  <si>
    <t>BRIGHAM HEALTH AND REHABILITATION CENTER LLC</t>
  </si>
  <si>
    <t>WABAN HEALTH CENTER</t>
  </si>
  <si>
    <t>MARY ANN MORSE NURSING &amp; REHABILITATION</t>
  </si>
  <si>
    <t>MONT MARIE REHABILITATION &amp; HEALTHCARE CENTER</t>
  </si>
  <si>
    <t>EASTPOINTE NURSING CARE CENTER</t>
  </si>
  <si>
    <t>WINGATE AT ANDOVER REHAB &amp; SKILLED NURSING RES</t>
  </si>
  <si>
    <t>LIFE CARE CENTER OF ATTLEBORO</t>
  </si>
  <si>
    <t>SEACOAST NURSING &amp; REHABILITATION CENTER INC</t>
  </si>
  <si>
    <t>WOODBRIAR HEALTH CENTER</t>
  </si>
  <si>
    <t>LIFE CARE CENTER OF NASHOBA VALLEY</t>
  </si>
  <si>
    <t>CHELSEA SKILLED NURSING AND REHABILITATION</t>
  </si>
  <si>
    <t>SANCTA MARIA NURSING FACILITY</t>
  </si>
  <si>
    <t>GOLDEN LIVING CENTER-HEATHWOOD</t>
  </si>
  <si>
    <t>NOTRE DAME LONG TERM CARE CENTER</t>
  </si>
  <si>
    <t>MOUNT CARMEL CARE CENTER</t>
  </si>
  <si>
    <t>PARK AVENUE HEALTH CENTER</t>
  </si>
  <si>
    <t>WESTFORD HOUSE</t>
  </si>
  <si>
    <t>KINDRED NURSING AND REHABILITATION-TOWER HILL</t>
  </si>
  <si>
    <t>SARAH BRAYTON NURSING CARE CTR</t>
  </si>
  <si>
    <t>ROYAL AT WAYLAND REHABILITATION &amp; NURSING CENTER</t>
  </si>
  <si>
    <t>BEAUMONT AT UNIVERSITY CAMPUS</t>
  </si>
  <si>
    <t>SOUTHWOOD AT NORWELL NURSING CTR</t>
  </si>
  <si>
    <t>WATERVIEW LODGE LLC, REHABILITATION &amp; HEALTHCARE</t>
  </si>
  <si>
    <t>BEDFORD VILLAGE CARE AND REHABILITATION CENTER LLC</t>
  </si>
  <si>
    <t>SOUTHPOINTE REHAB &amp; SKILLED NURSING</t>
  </si>
  <si>
    <t>VICTORIA HAVEN NURSING FACILITY</t>
  </si>
  <si>
    <t>COREY HILL NURSING HOME, INC</t>
  </si>
  <si>
    <t>DIGHTON CARE AND REHABILITATION CENTER LLC</t>
  </si>
  <si>
    <t>POPE NURSING HOME</t>
  </si>
  <si>
    <t>RIVERBEND OF SOUTH NATICK</t>
  </si>
  <si>
    <t>BRIDGEWATER NURSING HOME</t>
  </si>
  <si>
    <t>NEMASKET HEALTHCARE CENTER</t>
  </si>
  <si>
    <t>TAUNTON NURSING HOME</t>
  </si>
  <si>
    <t>WINDEMERE NURSING &amp; REHAB CTR ON MARTHAS VINEYARD</t>
  </si>
  <si>
    <t>CARE ONE AT WEYMOUTH</t>
  </si>
  <si>
    <t>SEASHORE POINT AND WELLNESS REHABILITATION</t>
  </si>
  <si>
    <t>BERKELEY RETIREMENT HOME,THE</t>
  </si>
  <si>
    <t>KINDRED TRANSITIONAL CARE &amp; REHAB-COUNTRY ESTATES</t>
  </si>
  <si>
    <t>OVERLOOK MASONIC HEALTH CENTER</t>
  </si>
  <si>
    <t>GROSVENOR PARK HEALTH CENTER</t>
  </si>
  <si>
    <t>THOMAS UPHAM HOUSE</t>
  </si>
  <si>
    <t>HOLY TRINITY EASTERN ORTHODOX N &amp; R CENTER</t>
  </si>
  <si>
    <t>WINGATE AT BOSTON</t>
  </si>
  <si>
    <t>CARE ONE AT NEW BEDFORD</t>
  </si>
  <si>
    <t>ROSEWOOD NURSING &amp; REHABILITATION CENTER</t>
  </si>
  <si>
    <t>COPLEY AT STOUGHTON NURSING CARE CENTER</t>
  </si>
  <si>
    <t>BENJAMIN HEALTHCARE CENTER</t>
  </si>
  <si>
    <t>LIFE CARE CENTER OF RAYNHAM</t>
  </si>
  <si>
    <t>CAMPION HEALTH CENTER INC</t>
  </si>
  <si>
    <t>GOLDEN LIVING CENTER-THE ELMHURST</t>
  </si>
  <si>
    <t>LIFE CARE CENTER OF AUBURN</t>
  </si>
  <si>
    <t>HARBOR HOUSE NURSING &amp; REHABILITATION CENTER</t>
  </si>
  <si>
    <t>CARE ONE AT CONCORD</t>
  </si>
  <si>
    <t>LIFE CARE CENTER OF PLYMOUTH</t>
  </si>
  <si>
    <t>PLEASANT BAY NURSING &amp; REHABILITATION</t>
  </si>
  <si>
    <t>MEADOWS OF CENTRAL MASSACHUSETTS (THE)</t>
  </si>
  <si>
    <t>COMMONS RESIDENCE AT ORCHARD COVE</t>
  </si>
  <si>
    <t>KINDRED TRANSITIONAL CARE &amp; REHABILITATION-AVERY</t>
  </si>
  <si>
    <t>ROYAL MEGANSETT NURSING &amp; REHABILITATION</t>
  </si>
  <si>
    <t>MARINA BAY SKILLED NURSING &amp; REHABILITATION CTR</t>
  </si>
  <si>
    <t>OAK KNOLL HEALTHCARE CENTER</t>
  </si>
  <si>
    <t>STONE REHABILITATION AND SENIOR LIVING</t>
  </si>
  <si>
    <t>HILLCREST COMMONS NURSING &amp; REHABILITATION CENTER</t>
  </si>
  <si>
    <t>SEA VIEW CONVALESCENT AND NURSING HOME</t>
  </si>
  <si>
    <t>ROYAL OF COTUIT</t>
  </si>
  <si>
    <t>BAYPOINTE REHABILITATION &amp; SKILLED CARE CENTER</t>
  </si>
  <si>
    <t>LOOMIS LAKESIDE AT REEDS LANDING</t>
  </si>
  <si>
    <t>EMERSON REHABILITATION &amp; TRANSITIONAL CARE UNIT</t>
  </si>
  <si>
    <t>ROYAL TABER STREET NURS &amp; REHAB CTR</t>
  </si>
  <si>
    <t>WINGATE AT NEEDHAM REHAB &amp; SKILLED NURS RES</t>
  </si>
  <si>
    <t>ELAINE CENTER AT HADLEY</t>
  </si>
  <si>
    <t>LIFE CARE CENTER OF WEST BRIDGEWATER</t>
  </si>
  <si>
    <t>TIMOTHY DANIELS HOUSE</t>
  </si>
  <si>
    <t>WINGATE AT SUDBURY REHAB &amp; SKILLED NURS RESIDENCE</t>
  </si>
  <si>
    <t>NEW ENGLAND HEALTH CENTER</t>
  </si>
  <si>
    <t>HANCOCK PARK REHABILITATION &amp; NURSING CENTER</t>
  </si>
  <si>
    <t>KINDRED TRANSITIONAL CARE &amp; REHAB-HIGHGATE</t>
  </si>
  <si>
    <t>CARE ONE AT MILLBURY</t>
  </si>
  <si>
    <t>TCU-BROCKTON HOSPITAL</t>
  </si>
  <si>
    <t>CARDIGAN NURSING &amp; REHABILITATION CENTER</t>
  </si>
  <si>
    <t>KINDRED TRANSITIONAL CARE AND REHAB-HIGHLANDER</t>
  </si>
  <si>
    <t>MEADOWS, THE</t>
  </si>
  <si>
    <t>BLACKSTONE NURSING HOME</t>
  </si>
  <si>
    <t>BEAUMONT REHAB &amp; SKILLED NURSING CTR - NATICK</t>
  </si>
  <si>
    <t>LIFE CARE CENTER OF STONEHAM</t>
  </si>
  <si>
    <t>TCU AT WEBSTER</t>
  </si>
  <si>
    <t>KINDRED NURSING &amp; REHABILITATION-HARBORLIGHTS</t>
  </si>
  <si>
    <t>MARY'S MEADOW AT PROVIDENCE PLACE</t>
  </si>
  <si>
    <t>WILLIAM B RICE EVENTIDE HOME</t>
  </si>
  <si>
    <t>HUNT NURSING &amp; REHAB CENTER</t>
  </si>
  <si>
    <t>BAKER-KATZ SKILLED NURSING AND REHABILITATION CTR</t>
  </si>
  <si>
    <t>SOMERSET RIDGE CENTER</t>
  </si>
  <si>
    <t>PHILLIPS MANOR NURSING HOME</t>
  </si>
  <si>
    <t>KINDRED NURSING &amp; REHABILITATION-LAUREL LAKE</t>
  </si>
  <si>
    <t>MASCONOMET HEALTHCARE CENTER</t>
  </si>
  <si>
    <t>SERENITY HILL NURSING CENTER</t>
  </si>
  <si>
    <t>LASELL HOUSE</t>
  </si>
  <si>
    <t>WINGATE AT CHESTNUT HILL</t>
  </si>
  <si>
    <t>WINGATE AT SOUTH HADLEY REHAB &amp; SKILLED NURSING</t>
  </si>
  <si>
    <t>RECUPERATIVE SERVICES UNIT-HEBREW REHAB CENTER</t>
  </si>
  <si>
    <t>LYDIA TAFT HOUSE</t>
  </si>
  <si>
    <t>BERKSHIRE PLACE</t>
  </si>
  <si>
    <t>PALMER HEALTHCARE CENTER</t>
  </si>
  <si>
    <t>KIMBALL FARMS NURSING CARE CENTER</t>
  </si>
  <si>
    <t>HERITAGE HALL NORTH</t>
  </si>
  <si>
    <t>CONTINUING CARE AT BROOKSBY VILLAGE</t>
  </si>
  <si>
    <t>NEW ENGLAND HOMES FOR THE DEAF, INC</t>
  </si>
  <si>
    <t>ALLIANCE HEALTHCARE CENTER AT BRAINTREE</t>
  </si>
  <si>
    <t>BRIGHTON HOUSE REHABILITATION &amp; NURSING CENTER</t>
  </si>
  <si>
    <t>BERKSHIRE HEALTH CARE CENTER</t>
  </si>
  <si>
    <t>OUR ISLAND HOME</t>
  </si>
  <si>
    <t>LINDEN PONDS</t>
  </si>
  <si>
    <t>NEWBRIDGE ON THE CHARLES SKILLED NURSING FACILITY</t>
  </si>
  <si>
    <t>LEONARD FLORENCE CENTER FOR LIVING</t>
  </si>
  <si>
    <t>DANIELS HOUSE NURSING HOME</t>
  </si>
  <si>
    <t>D'YOUVILLE TRANSITIONAL CARE, INC</t>
  </si>
  <si>
    <t>WHITTIER WESTBOROUGH TRANSITIONAL CARE UNIT</t>
  </si>
  <si>
    <t>ADAMS HOUSE</t>
  </si>
  <si>
    <t>HIGHLAND MANOR CARE AND REHABILITATION CENTER LLC</t>
  </si>
  <si>
    <t>THREE RIVERS HEALTH</t>
  </si>
  <si>
    <t>DICKINSON COUNTY MEMORIAL HOSPITAL</t>
  </si>
  <si>
    <t>UP HEALTH SYSTEM PORTAGE</t>
  </si>
  <si>
    <t>OCEANA CO MD CARE FACILITY</t>
  </si>
  <si>
    <t>MANISTEE COUNTY MEDICAL CARE FACILITY</t>
  </si>
  <si>
    <t>HEARTLAND HEALTH CARE CENTER-KNOLLVIEW</t>
  </si>
  <si>
    <t>MAPLES BENZIE CO MEDICAL CARE</t>
  </si>
  <si>
    <t>OTSEGO MEMORIAL HOSPITAL LTCU</t>
  </si>
  <si>
    <t>MAPLE LAWN MEDICAL CARE FACILI</t>
  </si>
  <si>
    <t>THORNAPPLE MANOR</t>
  </si>
  <si>
    <t>IOSCO CO MEDICAL CARE FACILITY</t>
  </si>
  <si>
    <t>FAIRVIEW NURSING AND REHABILITATION COMMUNITY</t>
  </si>
  <si>
    <t>ADVANTAGE LIVING CENTER - REDFORD</t>
  </si>
  <si>
    <t>INGHAM COUNTY MEDICAL CARE FAC</t>
  </si>
  <si>
    <t>HEARTLAND HEALTH CARE CENTER-JACKSON</t>
  </si>
  <si>
    <t>JACKSON COUNTY MEDICAL CARE FACILITY</t>
  </si>
  <si>
    <t>MICHIGAN MASONIC HOME</t>
  </si>
  <si>
    <t>CHELSEA RETIREMENT COMMUNITY</t>
  </si>
  <si>
    <t>MEDILODGE OF CLARE</t>
  </si>
  <si>
    <t>HEARTLAND HEALTH CARE CENTER-BATTLE CREEK</t>
  </si>
  <si>
    <t>MEADOW BROOK MEDICAL CARE FACILITY</t>
  </si>
  <si>
    <t>GOGEBIC MEDICAL CARE FACILITY</t>
  </si>
  <si>
    <t>EATON COUNTY MEDICAL CARE FACI</t>
  </si>
  <si>
    <t>HURON CO MED CARE FACILITY</t>
  </si>
  <si>
    <t>HOUGHTON CO MED CARE FACILITY</t>
  </si>
  <si>
    <t>HEARTLAND HEALTH CARE CENTER-IONIA</t>
  </si>
  <si>
    <t>BAY BLUFFS-EMMET CO MED CARE FAC</t>
  </si>
  <si>
    <t>SPECTRUM HEALTH REHAB AND NURSING CENTER</t>
  </si>
  <si>
    <t>MEDILODGE OF ROCHESTER HILLS, INC</t>
  </si>
  <si>
    <t>ISABELLA CO MEDICAL CARE FACIL</t>
  </si>
  <si>
    <t>BROOKCREST</t>
  </si>
  <si>
    <t>MACKINAC STRAITS LONG TERM CARE UNIT</t>
  </si>
  <si>
    <t>BAY COUNTY MEDICAL CARE FACILITY</t>
  </si>
  <si>
    <t>HAROLD AND GRACE UPJOHN COMMUN</t>
  </si>
  <si>
    <t>SPECTRUM HEALTH REHAB &amp; NSG CTRS-KELSEY HOSPITAL</t>
  </si>
  <si>
    <t>ABERDEEN REHABILITATION AND SKILLED NURSING CENTER</t>
  </si>
  <si>
    <t>EVERGREEN MANOR SENIOR CARE CE</t>
  </si>
  <si>
    <t>HOYT NURSING &amp; REHAB CENTRE</t>
  </si>
  <si>
    <t>HEARTLAND HEALTH CARE CENTER-LIVONIA</t>
  </si>
  <si>
    <t>LAPEER COUNTY MEDICAL CARE FAC</t>
  </si>
  <si>
    <t>GRANDVUE MEDICAL CARE FACILITY</t>
  </si>
  <si>
    <t>SOUTH LYON SENIOR CARE AND REHAB CENTER, L L C</t>
  </si>
  <si>
    <t>SHIAWASSEE COUNTY MED CARE FAC</t>
  </si>
  <si>
    <t>PINECREST MEDICAL CARE FACILITY</t>
  </si>
  <si>
    <t>OAKVIEW MEDICAL CARE FACILITY</t>
  </si>
  <si>
    <t>MARLETTE COMM HOSP LTCU</t>
  </si>
  <si>
    <t>SPECTRUM HEALTH REHAB &amp; NURSING CENTER-FULLER AVE</t>
  </si>
  <si>
    <t>NEWAYGO CO MEDICAL CARE FACILI</t>
  </si>
  <si>
    <t>HEARTLAND OF HOLLAND</t>
  </si>
  <si>
    <t>GRAND TRAVERSE PAVILIONS</t>
  </si>
  <si>
    <t>TUSCOLA COUNTY MEDICAL CARE FACILITY</t>
  </si>
  <si>
    <t>THE LAKEVIEW OF CADILLAC</t>
  </si>
  <si>
    <t>AMBASSADOR NURSING AND REHABILITATION CENTER</t>
  </si>
  <si>
    <t>HEARTLAND HEALTH CARE CENTER-GRAND RAPIDS</t>
  </si>
  <si>
    <t>HEARTLAND HEALTH CARE CENTER - GROSSE POINTE WOODS</t>
  </si>
  <si>
    <t>SAGINAW SENIOR CARE AND REHAB CENTER, L L C</t>
  </si>
  <si>
    <t>HEARTLAND HEALTH CARE CENTER-KALAMAZOO</t>
  </si>
  <si>
    <t>LAKE WOODS NURSING &amp; REHABILITATION CENTER</t>
  </si>
  <si>
    <t>DURAND SENIOR CARE AND REHAB CENTER, L L C</t>
  </si>
  <si>
    <t>HEARTLAND HEALTH CARE CENTER-FOSTRIAN</t>
  </si>
  <si>
    <t>HEARTLAND HEALTH CARE CENTER-SAGINAW</t>
  </si>
  <si>
    <t>SPECTRUM HEALTH REHAB &amp; NSG CTRS-UNITED HOSPITAL</t>
  </si>
  <si>
    <t>BAYSIDE VILLAGE</t>
  </si>
  <si>
    <t>SCHOOLCRAFT MEDICAL CARE FACILITY</t>
  </si>
  <si>
    <t>HEALTHSOURCE SAGINAW, INC</t>
  </si>
  <si>
    <t>MARTHA T BERRY MCF</t>
  </si>
  <si>
    <t>SANILAC MEDICAL CARE FACILITY</t>
  </si>
  <si>
    <t>ASPIRUS ONTONAGON HOSPITAL, INC</t>
  </si>
  <si>
    <t>PINE RIDGE - A REHABILITATION AND NURSING CENTER</t>
  </si>
  <si>
    <t>GENESEE CARE CENTER</t>
  </si>
  <si>
    <t>MARSHALL NURSING AND REHABILITATION COMMUNITY</t>
  </si>
  <si>
    <t>MEDILODGE OF FRANKENMUTH</t>
  </si>
  <si>
    <t>TRANSITIONAL HEALTH SERVICES OF FREMONT</t>
  </si>
  <si>
    <t>HARTFORD NURSING &amp; REHABILITATION CENTER</t>
  </si>
  <si>
    <t>CHRISTIAN PARK VILLAGE</t>
  </si>
  <si>
    <t>LYNWOOD MANOR HEALTHCARE CENTER</t>
  </si>
  <si>
    <t>HEARTLAND HEALTH CARE CENTER-BRIARWOOD</t>
  </si>
  <si>
    <t>CAMBRIDGE EAST HEALTHCARE CENT</t>
  </si>
  <si>
    <t>SAINT MARY'S STANDISH COMMUNITY HOSPITAL</t>
  </si>
  <si>
    <t>HILLSDALE CO MEDICAL CARE FACI</t>
  </si>
  <si>
    <t>MUNSON HEALTHCARE CRAWFORD CONTINUING CARE CENTER</t>
  </si>
  <si>
    <t>BROOKHAVEN MEDICAL CARE FACILI</t>
  </si>
  <si>
    <t>SPECTRUM HEALTH - REED CITY CA</t>
  </si>
  <si>
    <t>HEARTLAND HEALTH CARE CENTER-WHITEHALL</t>
  </si>
  <si>
    <t>OAKPOINTE SENIOR CARE AND REHAB CENTER</t>
  </si>
  <si>
    <t>TENDERCARE HEALTH CENTER OF LEELANAU</t>
  </si>
  <si>
    <t>ALLEGAN COUNTY MEDICAL CARE FA</t>
  </si>
  <si>
    <t>CAMBRIDGE NORTH HEALTHCARE CEN</t>
  </si>
  <si>
    <t>HEARTLAND HEALTH CARE CENTER-BLOOMFIELD HILLS</t>
  </si>
  <si>
    <t>CARE AND REHABILITATION CENTER AT GLACIER HILLS</t>
  </si>
  <si>
    <t>LENAWEE MEDICAL CARE FACILITY</t>
  </si>
  <si>
    <t>FOUNTAIN VIEW OF MONROE</t>
  </si>
  <si>
    <t>MEDILODGE OF GRAND BLANC</t>
  </si>
  <si>
    <t>HOPE HEALTHCARE CENTER</t>
  </si>
  <si>
    <t>MAGNUMCARE OF MONROE</t>
  </si>
  <si>
    <t>HERITAGE MANOR NURSING AND REHAB CENTER, LLC</t>
  </si>
  <si>
    <t>BURCHAM HILLS RETIREMENT CTR</t>
  </si>
  <si>
    <t>CALHOUN COUNTY MEDICAL CARE FACILITY</t>
  </si>
  <si>
    <t>EVANGELICAL HOME - SALINE</t>
  </si>
  <si>
    <t>BOULEVARD MANOR, LLC</t>
  </si>
  <si>
    <t>TENDERCARE HEALTH CENTER-BIRCHWOOD</t>
  </si>
  <si>
    <t>CHRISTIAN PARK HEALTH CARE CENTER</t>
  </si>
  <si>
    <t>BRITTANY MANOR</t>
  </si>
  <si>
    <t>FRIENDSHIP VILLAGE</t>
  </si>
  <si>
    <t>ST FRANCIS HOME</t>
  </si>
  <si>
    <t>LUTHER MANOR NURSING HOME</t>
  </si>
  <si>
    <t>LOURDES NURSING HOME</t>
  </si>
  <si>
    <t>LAURELS OF KENT (THE)</t>
  </si>
  <si>
    <t>VISTA GRANDE VILLA</t>
  </si>
  <si>
    <t>DIMONDALE NURSING CARE CENTER</t>
  </si>
  <si>
    <t>IRON CO MEDICAL CARE FACILITY</t>
  </si>
  <si>
    <t>WARREN WOODS HEALTH AND REHABILITATION CENTER</t>
  </si>
  <si>
    <t>REGENCY AT WATERFORD</t>
  </si>
  <si>
    <t>HEARTLAND HEALTH CARE CENTER-GREENVIEW</t>
  </si>
  <si>
    <t>WEST HICKORY HAVEN</t>
  </si>
  <si>
    <t>MEDILODGE OF STERLING HEIGHTS</t>
  </si>
  <si>
    <t>ELY MANOR</t>
  </si>
  <si>
    <t>ADVANTAGE LIVING CENTER - SOUTHGATE</t>
  </si>
  <si>
    <t>WELLSPRING LUTHERAN SERVICES</t>
  </si>
  <si>
    <t>SOUTH HAVEN NURSING AND REHABILITATION COMMUNITY</t>
  </si>
  <si>
    <t>WELLSPRING LUTHERAN  NURSING AND REHAB SERVICES</t>
  </si>
  <si>
    <t>HOLT SENIOR CARE AND REHAB CENTER, L L C</t>
  </si>
  <si>
    <t>TENDERCARE ALPENA</t>
  </si>
  <si>
    <t>MAGNUMCARE OF HASTINGS, LLC</t>
  </si>
  <si>
    <t>MEDILODGE OF KALAMAZOO</t>
  </si>
  <si>
    <t>MEDILODGE OF EAST LANSING</t>
  </si>
  <si>
    <t>MEDILODGE OF MIDLAND</t>
  </si>
  <si>
    <t>MEDILODGE OF LANSING</t>
  </si>
  <si>
    <t>MEDILODGE OF CASS CITY</t>
  </si>
  <si>
    <t>PROVINCIAL HOUSE OF ADRIAN</t>
  </si>
  <si>
    <t>MARVIN &amp; BETTY DANTO FAMILY HEALTH CARE CENTER</t>
  </si>
  <si>
    <t>BORGESS GARDENS</t>
  </si>
  <si>
    <t>METRON OF GREENVILLE</t>
  </si>
  <si>
    <t>TENDERCARE SAULT STE MARIE</t>
  </si>
  <si>
    <t>MEDILODGE OF FARMINGTON</t>
  </si>
  <si>
    <t>METRON OF CEDAR SPRINGS</t>
  </si>
  <si>
    <t>LAKEVIEW EXTENDED CARE AND REHAB</t>
  </si>
  <si>
    <t>MEDILODGE OF SOUTHFIELD</t>
  </si>
  <si>
    <t>RIVERGATE HEALTH CARE CENTER</t>
  </si>
  <si>
    <t>FATHER MURRAY NURSING AND REHABILITATION CENTRE</t>
  </si>
  <si>
    <t>LAURELS OF BEDFORD (THE)</t>
  </si>
  <si>
    <t>MEDILODGE OF TAYLOR</t>
  </si>
  <si>
    <t>SANCTUARY AT MCAULEY</t>
  </si>
  <si>
    <t>LAURELS OF COLDWATER,THE</t>
  </si>
  <si>
    <t>PORTER HILLS HEALTH CENTER</t>
  </si>
  <si>
    <t>ALAMO NURSING HOME INC</t>
  </si>
  <si>
    <t>METRON OF BIG RAPIDS</t>
  </si>
  <si>
    <t>LAURELS OF SANDY CREEK (THE)</t>
  </si>
  <si>
    <t>ST MARY'S NURSING &amp; REHAB CENTER</t>
  </si>
  <si>
    <t>LAHSER HILLS CARE CENTRE</t>
  </si>
  <si>
    <t>MARQUETTE COUNTY MEDICAL CARE FACILITY</t>
  </si>
  <si>
    <t>OAKRIDGE MANOR NURSING &amp; REHAB CENTER LLC</t>
  </si>
  <si>
    <t>PINE RIVER HEALTHCARE CENTER</t>
  </si>
  <si>
    <t>THE VILLA AT CITY CENTER</t>
  </si>
  <si>
    <t>LAURELS OF HUDSONVILLE (THE)</t>
  </si>
  <si>
    <t>MAGNUMCARE OF SAGINAW, LLC</t>
  </si>
  <si>
    <t>MEDILODGE OF LIVINGSTON</t>
  </si>
  <si>
    <t>MEDILODGE OF HOWELL</t>
  </si>
  <si>
    <t>WESTLAND CONVALESCENT &amp; REHAB CENTER</t>
  </si>
  <si>
    <t>REGENCY HEALTHCARE CENTRE</t>
  </si>
  <si>
    <t>GLADWIN NURSING AND REHABILITATION COMMUNITY</t>
  </si>
  <si>
    <t>TENDERCARE TRAVERSE CITY</t>
  </si>
  <si>
    <t>CHRISTIAN REST HOME ASSOC</t>
  </si>
  <si>
    <t>KITH HAVEN</t>
  </si>
  <si>
    <t>FROH COMMUNITY HOME</t>
  </si>
  <si>
    <t>PROVIDENCE CHRISTIAN HEALTHCARE &amp; REHAB CTR</t>
  </si>
  <si>
    <t>CRESTMONT NURSING CARE CENTER</t>
  </si>
  <si>
    <t>MATHER NURSING CENTER</t>
  </si>
  <si>
    <t>TENDERCARE GAYLORD</t>
  </si>
  <si>
    <t>HEARTLAND HEALTH CARE CENTER-PLYMOUTH</t>
  </si>
  <si>
    <t>CASS COUNTY MEDICAL CARE FACIL</t>
  </si>
  <si>
    <t>METRON OF LAMONT</t>
  </si>
  <si>
    <t>SANCTUARY AT THE SHORE</t>
  </si>
  <si>
    <t>METRON OF BELDING</t>
  </si>
  <si>
    <t>TENDERCARE OF LUDINGTON</t>
  </si>
  <si>
    <t>FAITH HAVEN SENIOR CARE CENTRE</t>
  </si>
  <si>
    <t>ARBOR MANOR CARE CENTER</t>
  </si>
  <si>
    <t>CHALET OF NILES, LLC</t>
  </si>
  <si>
    <t>HERITAGE MANOR HEALTHCARE CENT</t>
  </si>
  <si>
    <t>HEARTLAND HEALTH CARE CENTER - LIVONIA NE</t>
  </si>
  <si>
    <t>METRON OF FOREST HILLS</t>
  </si>
  <si>
    <t>NORLITE NURSING CENTER</t>
  </si>
  <si>
    <t>MARWOOD MANOR NURSING HOME</t>
  </si>
  <si>
    <t>MEDILODGE OF ST CLAIR</t>
  </si>
  <si>
    <t>MEDILODGE OF YALE, INC</t>
  </si>
  <si>
    <t>LAKESHORE HEALTHCARE CRANBROOK CAMPUS, INC</t>
  </si>
  <si>
    <t>NORTH OTTAWA CARE CENTER</t>
  </si>
  <si>
    <t>WEST OAKS SENIOR CARE &amp; REHAB CENTER</t>
  </si>
  <si>
    <t>APPLEWOOD NURSING CENTER INC</t>
  </si>
  <si>
    <t>BELLE FOUNTAIN NURSING &amp; REHABILITATION CENTER</t>
  </si>
  <si>
    <t>SANCTUARY AT ST MARY'S</t>
  </si>
  <si>
    <t>RESTHAVEN CARE CENTER</t>
  </si>
  <si>
    <t>TENDERCARE TAWAS CITY</t>
  </si>
  <si>
    <t>THE VILLA AT ROSE CITY</t>
  </si>
  <si>
    <t>CHIPPEWA COUNTY WAR MEM HOSP LTCU</t>
  </si>
  <si>
    <t>HAMILTON NURSING HOME</t>
  </si>
  <si>
    <t>ST JOSEPH'S HEALTHCARE CENTER</t>
  </si>
  <si>
    <t>SCHNEPP SENIOR CARE AND REHAB CENTER</t>
  </si>
  <si>
    <t>LAURELS OF MT. PLEASANT (THE)</t>
  </si>
  <si>
    <t>BAY SHORES SENIOR CARE AND REHAB CENTER</t>
  </si>
  <si>
    <t>HEARTLAND HEALTH CARE CENTER-THREE RIVERS</t>
  </si>
  <si>
    <t>THE VILLA AT SILVERBELL ESTATES</t>
  </si>
  <si>
    <t>MEDILODGE OF PORTAGE</t>
  </si>
  <si>
    <t>CLARK RETIREMENT COMMUNITY</t>
  </si>
  <si>
    <t>THE VILLA AT GREAT LAKES CROSSING</t>
  </si>
  <si>
    <t>CLINTON-AIRE HEALTHCARE CENTER</t>
  </si>
  <si>
    <t>KALKASKA MEMORIAL HEALTH CENTER</t>
  </si>
  <si>
    <t>ST ANTHONY HEALTHCARE CENTER</t>
  </si>
  <si>
    <t>TENDERCARE HEALTH CENTER-MUNISING</t>
  </si>
  <si>
    <t>HEARTLAND HEALTH CARE CENTER-HAMPTON</t>
  </si>
  <si>
    <t>THE VILLA AT TRAVERSE POINT</t>
  </si>
  <si>
    <t>THE VILLA AT WEST BRANCH</t>
  </si>
  <si>
    <t>PARKEAST HEALTHCARE CENTER</t>
  </si>
  <si>
    <t>MEDILODGE OF STERLING</t>
  </si>
  <si>
    <t>MEDILODGE OF PORT HURON</t>
  </si>
  <si>
    <t>EASTWOOD CONVALESCENT CENTER</t>
  </si>
  <si>
    <t>MEDILODGE OF HILLMAN</t>
  </si>
  <si>
    <t>AUTUMN WOODS RESIDENTIAL HLTH</t>
  </si>
  <si>
    <t>HEARTLAND HEALTH CARE CENTER-DEARBORN HEIGHTS</t>
  </si>
  <si>
    <t>THE VILLA AT THE BAY</t>
  </si>
  <si>
    <t>SANCTUARY AT WHITE LAKE</t>
  </si>
  <si>
    <t>SANCTUARY AT THE PARK</t>
  </si>
  <si>
    <t>GRAYLING NURSING &amp; REHAB COMMUNITY</t>
  </si>
  <si>
    <t>GREENFIELD REHAB AND NURSING CENTER</t>
  </si>
  <si>
    <t>BRONSON COMMONS</t>
  </si>
  <si>
    <t>HOLLAND HOME - FULTON MANOR</t>
  </si>
  <si>
    <t>AUTUMNWOOD OF MCBAIN</t>
  </si>
  <si>
    <t>HEARTLAND HEALTH CARE CENTER-ALLEN PARK</t>
  </si>
  <si>
    <t>HOLLAND HOME - RAYBROOK MANOR</t>
  </si>
  <si>
    <t>HEARTLAND HEALTH CARE CENTER-CRESTVIEW</t>
  </si>
  <si>
    <t>SAGINAW GERIATRICS HOME</t>
  </si>
  <si>
    <t>SHOREPOINTE NURSING CENTER</t>
  </si>
  <si>
    <t>FAIRLANE SENIOR CARE AND REHAB CENTER</t>
  </si>
  <si>
    <t>AUTUMNWOOD OF DECKERVILLE</t>
  </si>
  <si>
    <t>GRACE OF DOUGLAS</t>
  </si>
  <si>
    <t>ALLENDALE NURSING AND REHABILITATION COMMUNITY</t>
  </si>
  <si>
    <t>THE OAKS AT NORTHPOINTE WOODS</t>
  </si>
  <si>
    <t>REGENCY HEIGHTS-DETROIT</t>
  </si>
  <si>
    <t>SANCTUARY AT FRASER VILLA</t>
  </si>
  <si>
    <t>LAKESHORE HEALTHCARE ELMWOOD CAMPUS, INC</t>
  </si>
  <si>
    <t>COURTNEY MANOR</t>
  </si>
  <si>
    <t>THE LODGE AT MAPLECREEK</t>
  </si>
  <si>
    <t>ALTERCARE OF BIG RAPIDS CTR FOR REHAB &amp; NURSING CA</t>
  </si>
  <si>
    <t>PAUL OLIVER MEMORIAL HOSPITAL LTCU</t>
  </si>
  <si>
    <t>CLARKSTON SPECIALTY HEALTHCARE CENTER</t>
  </si>
  <si>
    <t>BOTSFORD CONTINUING HEALTH CENTER</t>
  </si>
  <si>
    <t>THE VILLA AT THE PARK</t>
  </si>
  <si>
    <t>NORTH WOODS NURSING CENTER</t>
  </si>
  <si>
    <t>FOUR CHAPLAINS NRSG CARE CTR</t>
  </si>
  <si>
    <t>LAKESHORE HEALTHCARE SKILLED NURSING &amp; SPECIALTY C</t>
  </si>
  <si>
    <t>SANCTUARY AT BELLBROOK</t>
  </si>
  <si>
    <t>LIFE CARE CENTER OF PLAINWELL</t>
  </si>
  <si>
    <t>MEMORIAL HEALTHCARE CENTER LTC</t>
  </si>
  <si>
    <t>EVANGELICAL HOME STERLING HEIGHTS</t>
  </si>
  <si>
    <t>BEACONSHIRE NURSING CENTRE</t>
  </si>
  <si>
    <t>RIVERVIEW HEALTH AND REHAB CENTER NORTH</t>
  </si>
  <si>
    <t>BOULEVARD HEALTH CENTER</t>
  </si>
  <si>
    <t>AUTUMNWOOD OF LIVONIA</t>
  </si>
  <si>
    <t>ADVANTAGE LIVING CENTER - HARPER WOODS</t>
  </si>
  <si>
    <t>LAKE ORION NURSING CENTER</t>
  </si>
  <si>
    <t>FENTON HEALTHCARE</t>
  </si>
  <si>
    <t>LAURELS OF GALESBURG (THE)</t>
  </si>
  <si>
    <t>CHERRYWOOD NURSING AND LIVING</t>
  </si>
  <si>
    <t>GLADWIN PINES NURSING AND REHABILITATION CENTER</t>
  </si>
  <si>
    <t>MEDILODGE OF RICHMOND</t>
  </si>
  <si>
    <t>HEARTLAND-WEST BLOOMFIELD</t>
  </si>
  <si>
    <t>WEST BLOOMFIELD NURSING &amp; CONV</t>
  </si>
  <si>
    <t>THE VILLA AT GREEN LAKE ESTATES</t>
  </si>
  <si>
    <t>MEDILODGE OF MT PLEASANT</t>
  </si>
  <si>
    <t>ADVANTAGE LIVING CENTER - ROSEVILLE</t>
  </si>
  <si>
    <t>SHEFFIELD MANOR NURSING &amp; REHAB CENTER</t>
  </si>
  <si>
    <t>MEDILODGE OF MARSHALL</t>
  </si>
  <si>
    <t>BOULEVARD TEMPLE CARE CENTER, LLC</t>
  </si>
  <si>
    <t>GRAND OAKS NURSING CENTER</t>
  </si>
  <si>
    <t>OMNI CONTINUING CARE</t>
  </si>
  <si>
    <t>BEAUMONT HEALTH &amp; REHAB CENTER - OAKWOOD COMMON</t>
  </si>
  <si>
    <t>THE VILLA AT PARKRIDGE</t>
  </si>
  <si>
    <t>MAGNUMCARE OF ADRIAN, LLC</t>
  </si>
  <si>
    <t>SHELBY NURSING CENTER</t>
  </si>
  <si>
    <t>MEDILODGE OF PLYMOUTH</t>
  </si>
  <si>
    <t>THE MANOR OF FARMINGTON HILLS</t>
  </si>
  <si>
    <t>SANCTUARY AT THE ABBEY</t>
  </si>
  <si>
    <t>HILLTOP MANOR HEALTH CARE CENTER</t>
  </si>
  <si>
    <t>LAURELS OF FULTON,THE</t>
  </si>
  <si>
    <t>IMPERIAL HEALTHCARE CENTRE</t>
  </si>
  <si>
    <t>LAKEVIEW MANOR HEALTHCARE CENTER</t>
  </si>
  <si>
    <t>RIVERGATE TERRACE</t>
  </si>
  <si>
    <t>MEDILODGE OF CAMPUS AREA</t>
  </si>
  <si>
    <t>MAPLE WOODS MANOR</t>
  </si>
  <si>
    <t>KING NURSING &amp; REHABILITATION COMMUNITY</t>
  </si>
  <si>
    <t>MERCY MEMORIAL NURSING CENTER</t>
  </si>
  <si>
    <t>ADVANTAGE LIVING CENTER - WAYNE</t>
  </si>
  <si>
    <t>HILLCREST NURSING AND REHABILITATION COMMUNITY</t>
  </si>
  <si>
    <t>OAKLAND NURSING CENTER</t>
  </si>
  <si>
    <t>THE SPRINGS AT THE FOUNTAINS</t>
  </si>
  <si>
    <t>HERITAGE NURSING AND REHABILITATION COMMUNITY</t>
  </si>
  <si>
    <t>BOULDER PARK TERRACE</t>
  </si>
  <si>
    <t>ST JAMES NURSING CENTER</t>
  </si>
  <si>
    <t>THE VILLAGE OF EAST HARBOR</t>
  </si>
  <si>
    <t>THE MANOR OF NOVI</t>
  </si>
  <si>
    <t>MARYWOOD NURSING CARE CENTER</t>
  </si>
  <si>
    <t>ALPHA MANOR NURSING HOME</t>
  </si>
  <si>
    <t>ASHLEY CARE CENTER</t>
  </si>
  <si>
    <t>RIVERSIDE NURSING CENTRE</t>
  </si>
  <si>
    <t>MANOR OF BATTLE CREEK SKILLED NURSING AND REHAB</t>
  </si>
  <si>
    <t>RIDGECREST HEALTH CAMPUS</t>
  </si>
  <si>
    <t>ADVANTAGE LIVING CENTER - NORTHWEST</t>
  </si>
  <si>
    <t>HOLLAND HOME BRETON REHABILITATION &amp; LIVING CENTRE</t>
  </si>
  <si>
    <t>THE LODGE AT TAYLOR</t>
  </si>
  <si>
    <t>MEDILODGE OF WESTWOOD</t>
  </si>
  <si>
    <t>LINCOLN HAVEN NURSING &amp; REHAB COMMUNITY</t>
  </si>
  <si>
    <t>ORCHARD GROVE NURSING &amp; REHAB CENTER</t>
  </si>
  <si>
    <t>REGENCY AT WHITMORE LAKE</t>
  </si>
  <si>
    <t>LAKEPOINTE SENIOR CARE AND REHAB CENTER, L L C</t>
  </si>
  <si>
    <t>INN AT FREEDOM VILLAGE, THE</t>
  </si>
  <si>
    <t>ROOSEVELT PARK NURSING AND REHABILITATION COMMUNIT</t>
  </si>
  <si>
    <t>WILLOWBROOK MANOR</t>
  </si>
  <si>
    <t>OUR LADY OF MERCY HEALTH AND REHAB</t>
  </si>
  <si>
    <t>CYPRESS MANOR HEALTH AND REHABILITATION CENTER</t>
  </si>
  <si>
    <t>TENDERCARE HEALTH CENTER-ROGERS CITY</t>
  </si>
  <si>
    <t>EASTWOOD NURSING CENTER</t>
  </si>
  <si>
    <t>CANTERBURY-ON-THE-LAKE</t>
  </si>
  <si>
    <t>WOODWARD HILLS NURSING CENTER</t>
  </si>
  <si>
    <t>ATRIUM POST ACUTE CARE OF MENOMINEE</t>
  </si>
  <si>
    <t>TRANSITIONAL HEALTH SERVICES OF WAYNE</t>
  </si>
  <si>
    <t>HERRICK MANOR</t>
  </si>
  <si>
    <t>PINES REHABILITATION &amp; HEALTH CARE CENTER, THE</t>
  </si>
  <si>
    <t>BLOOMFIELD ORCHARD VILLA</t>
  </si>
  <si>
    <t>MEDILODGE OF MONROE</t>
  </si>
  <si>
    <t>WESTGATE NURSING &amp; REHAB COMMUNITY</t>
  </si>
  <si>
    <t>TENDERCARE HEALTH CENTER OF CHEBOYGAN</t>
  </si>
  <si>
    <t>HILLSDALE COMMUNITY HEALTH CEN</t>
  </si>
  <si>
    <t>OVID HEALTHCARE CENTER</t>
  </si>
  <si>
    <t>WHITEHALL HEALTHCARE CENTER OF ANN ARBOR</t>
  </si>
  <si>
    <t>WHITEHALL HEALTHCARE CENTER OF NOVI</t>
  </si>
  <si>
    <t>COUNTRYSIDE NURSING AND REHABILITATION COMMUNITY</t>
  </si>
  <si>
    <t>COUNTRYSIDE CARE CENTER</t>
  </si>
  <si>
    <t>LAPEER REGIONAL EXTENDED CARE</t>
  </si>
  <si>
    <t>FOUR SEASONS NURSING CENTER OF WESTLAND</t>
  </si>
  <si>
    <t>HEARTLAND HEALTH CARE CENTER-ANN ARBOR</t>
  </si>
  <si>
    <t>EVERGREEN HEALTH &amp; LIVING CTR</t>
  </si>
  <si>
    <t>TENDERCARE GREEN VIEW</t>
  </si>
  <si>
    <t>ARGENTINE CARE CENTER</t>
  </si>
  <si>
    <t>COVENANT MEDICAL CENTER,  INC</t>
  </si>
  <si>
    <t>MAPLE VALLEY NURSING HOME</t>
  </si>
  <si>
    <t>LAKELAND CENTER (THE)</t>
  </si>
  <si>
    <t>LIVONIA WOODS NURSING AND REHABILITATION</t>
  </si>
  <si>
    <t>ROUBAL CARE AND REHAB CENTER</t>
  </si>
  <si>
    <t>HURON WOODS NURSING CENTER</t>
  </si>
  <si>
    <t>HENRY FORD VILLAGE, INC</t>
  </si>
  <si>
    <t>WEST WOODS OF NILES</t>
  </si>
  <si>
    <t>ST FRANCIS NURSING CENTER</t>
  </si>
  <si>
    <t>SUPERIOR WOODS HEALTHCARE CENTER</t>
  </si>
  <si>
    <t>RIVERIDGE REHABILITATION &amp; HEALTHCARE CENTER</t>
  </si>
  <si>
    <t>THE CARRIAGE HOUSE OF BAY CITY</t>
  </si>
  <si>
    <t>MEDILODGE OF MONTROSE INC</t>
  </si>
  <si>
    <t>IRON RIVER CARE CENTER</t>
  </si>
  <si>
    <t>HAZEL I FINDLAY COUNTRY MANOR</t>
  </si>
  <si>
    <t>WOODHAVEN RETIREMENT COMMUNITY</t>
  </si>
  <si>
    <t>COVENTRY HOUSE INN</t>
  </si>
  <si>
    <t>FISHER SENIOR CARE AND REHAB</t>
  </si>
  <si>
    <t>WARWICK LIVING CENTER</t>
  </si>
  <si>
    <t>STRATFORD PINES NURSING AND REHABILITATION CENTER</t>
  </si>
  <si>
    <t>ADVANTAGE LIVING CENTER - ARMADA</t>
  </si>
  <si>
    <t>ORCHARD CREEK SKILLED NURSING</t>
  </si>
  <si>
    <t>FREEMAN NURSING &amp; REHAB COMMUNITY</t>
  </si>
  <si>
    <t>MAPLE MANOR REHAB CENTER</t>
  </si>
  <si>
    <t>COVENANT VILLAGE OF THE GREAT LAKES</t>
  </si>
  <si>
    <t>CARETEL INNS OF BRIGHTON</t>
  </si>
  <si>
    <t>REGENCY MANOR NURSING &amp; REHABILITATION CENTER</t>
  </si>
  <si>
    <t>HEARTLAND HEALTH CARE CENTER-CANTON</t>
  </si>
  <si>
    <t>CHURCH OF CHRIST CARE CENTER</t>
  </si>
  <si>
    <t>ST JUDE NURSING CENTER</t>
  </si>
  <si>
    <t>REGENCY ON THE LAKE - FORT GRATIOT</t>
  </si>
  <si>
    <t>QUALICARE NURSING HOME</t>
  </si>
  <si>
    <t>ROYALTON MANOR, L L C</t>
  </si>
  <si>
    <t>PORTAGEPOINTE</t>
  </si>
  <si>
    <t>WEST WOODS OF BRIDGMAN</t>
  </si>
  <si>
    <t>HEARTLAND HEALTH CARE CENTER-OAKLAND</t>
  </si>
  <si>
    <t>JAMIESON NURSING HOME</t>
  </si>
  <si>
    <t>MEDILODGE OF WYOMING</t>
  </si>
  <si>
    <t>SAMARITAN MANOR</t>
  </si>
  <si>
    <t>MICHIGAN CHRISTIAN HOME</t>
  </si>
  <si>
    <t>FOX RUN VILLAGE</t>
  </si>
  <si>
    <t>CARETEL INNS OF TRI-CITIES</t>
  </si>
  <si>
    <t>LAURELS OF CARSON CITY</t>
  </si>
  <si>
    <t>PLAINWELL PINES NURSING AND REHABILITATION COMMUNI</t>
  </si>
  <si>
    <t>MEDILODGE OF HOLLAND</t>
  </si>
  <si>
    <t>HEATHER HILLS CARE CENTER</t>
  </si>
  <si>
    <t>MEADOW WOODS NURSING AND REHAB CENTER</t>
  </si>
  <si>
    <t>CHESANING NURSING AND REHABILITATION CENTER</t>
  </si>
  <si>
    <t>WESTLAKE HEALTH CAMPUS</t>
  </si>
  <si>
    <t>ST ANNS HOME</t>
  </si>
  <si>
    <t>HICKORY RIDGE OF TEMPERANCE</t>
  </si>
  <si>
    <t>CARETEL INNS OF LINDEN</t>
  </si>
  <si>
    <t>MEDILODGE OF OKEMOS</t>
  </si>
  <si>
    <t>SISTERS, SERVANTS OF THE IMMACULATE HEART OF MARY</t>
  </si>
  <si>
    <t>MEDILODGE OF MILFORD</t>
  </si>
  <si>
    <t>BISHOP NOA HOME FOR SENIOR CITIZENS</t>
  </si>
  <si>
    <t>THE TIMBERS OF CASS COUNTY</t>
  </si>
  <si>
    <t>MEDILODGE OF CAPITAL AREA</t>
  </si>
  <si>
    <t>FERGUSON CONVALESCENT HOME</t>
  </si>
  <si>
    <t>CAMELOT HALL CONVALESCENT CTR</t>
  </si>
  <si>
    <t>REGENCY AT CANTON</t>
  </si>
  <si>
    <t>REGENCY AT BLUFFS PARK</t>
  </si>
  <si>
    <t>RIVERVIEW HEALTH &amp; REHAB CENTER</t>
  </si>
  <si>
    <t>THE OAKS AT WOODFIELD</t>
  </si>
  <si>
    <t>STONEGATE HEALTH CAMPUS</t>
  </si>
  <si>
    <t>SHELBY CROSSING HEALTH CAMPUS</t>
  </si>
  <si>
    <t>NOTTING HILL OF WEST BLOOMFIELD</t>
  </si>
  <si>
    <t>CAMBRIDGE SOUTH HEALTHCARE CTR</t>
  </si>
  <si>
    <t>HEARTLAND HEALTH CARE CENTER - STERLING HEIGHTS</t>
  </si>
  <si>
    <t>REGENCY AT GRAND BLANC</t>
  </si>
  <si>
    <t>MARYWOOD HEALTH CENTER</t>
  </si>
  <si>
    <t>WELLBRIDGE OF BRIGHTON</t>
  </si>
  <si>
    <t>MAPLE MANOR REHAB CENTER OF NOVI INC</t>
  </si>
  <si>
    <t>THE WILLOWS AT EAST LANSING</t>
  </si>
  <si>
    <t>THE WILLOWS AT OKEMOS</t>
  </si>
  <si>
    <t>WELLBRIDGE OF NOVI, LLC</t>
  </si>
  <si>
    <t>OAKLAND MANOR NURSING &amp; REHAB CENTER LLC</t>
  </si>
  <si>
    <t>WELLBRIDGE OF ROMEO, LLC</t>
  </si>
  <si>
    <t>REGENCY AT LANSING WEST</t>
  </si>
  <si>
    <t>THE WILLOWS AT HOWELL</t>
  </si>
  <si>
    <t>THE RIVERS HEALTH &amp; REHAB CENTER OF GROSSE POINTE</t>
  </si>
  <si>
    <t>GENESYS SHORT-TERM REHABILITATION CENTER</t>
  </si>
  <si>
    <t>WINDEMERE PARK HEALTH AND REHAB CENTER</t>
  </si>
  <si>
    <t>SANFORD WORTHINGTON MEDICAL CENTER</t>
  </si>
  <si>
    <t>MAYO CLINIC HEALTH SYSTEM - FAIRMONT</t>
  </si>
  <si>
    <t>GUARDIAN ANGELS CARE CENTER</t>
  </si>
  <si>
    <t>CREST VIEW LUTHERAN HOME</t>
  </si>
  <si>
    <t>INTERFAITH CARE CENTER</t>
  </si>
  <si>
    <t>HIGHLAND CHATEAU HEALTH CARE CENTER</t>
  </si>
  <si>
    <t>NEILSON PLACE</t>
  </si>
  <si>
    <t>SUNNYSIDE HEALTH CARE CENTER</t>
  </si>
  <si>
    <t>GOLDEN LIVINGCENTER - MOORHEAD</t>
  </si>
  <si>
    <t>WALKER METHODIST HEALTH CENTER</t>
  </si>
  <si>
    <t>ST ANTHONY PARK HOME</t>
  </si>
  <si>
    <t>ST LUCAS CARE CENTER</t>
  </si>
  <si>
    <t>MOUNT OLIVET CAREVIEW HOME</t>
  </si>
  <si>
    <t>PARK HEALTH AND REHABILITATION CENTER</t>
  </si>
  <si>
    <t>GOLDEN LIVINGCENTER - HILLCREST OF WAYZATA</t>
  </si>
  <si>
    <t>PLEASANT MANOR INC</t>
  </si>
  <si>
    <t>FARIBAULT CARE CENTER</t>
  </si>
  <si>
    <t>SAUER HEALTH CARE</t>
  </si>
  <si>
    <t>GOLDEN LIVINGCENTER - LAKE RIDGE</t>
  </si>
  <si>
    <t>HARMONY RIVER LIVING CENTER</t>
  </si>
  <si>
    <t>AITKIN HEALTH SERVICES</t>
  </si>
  <si>
    <t>GRACEPOINTE CROSSING GABLES EAST</t>
  </si>
  <si>
    <t>FITZGERALD NH AND REHAB</t>
  </si>
  <si>
    <t>MILLE LACS HEALTH SYSTEM</t>
  </si>
  <si>
    <t>BOUNDARY WATERS CARE CENTER</t>
  </si>
  <si>
    <t>GOLDEN LIVINGCENTER - ST LOUIS PARK PLAZA</t>
  </si>
  <si>
    <t>GOOD SAMARITAN SOCIETY - AMBASSADOR</t>
  </si>
  <si>
    <t>MADONNA TOWERS OF ROCHESTER INC</t>
  </si>
  <si>
    <t>HEALTH AND REHABILITATION OF NEW BRIGHTON</t>
  </si>
  <si>
    <t>FAIRVIEW UNIVERSITY TRANS SERV</t>
  </si>
  <si>
    <t>THE VILLA AT ST LOUIS PARK</t>
  </si>
  <si>
    <t>NORTH RIDGE HEALTH AND REHAB</t>
  </si>
  <si>
    <t>GOLDEN LIVINGCENTER - ROCHESTER EAST</t>
  </si>
  <si>
    <t>GOLDEN VALLEY REHABILITATION AND CARE CENTER</t>
  </si>
  <si>
    <t>TEXAS TERRACE CARE CENTER</t>
  </si>
  <si>
    <t>SOUTHVIEW ACRES HEALTH CARE CENTER INC</t>
  </si>
  <si>
    <t>BIRCHWOOD HEALTH CARE CENTER</t>
  </si>
  <si>
    <t>GOLDEN LIVINGCENTER - LYNWOOD</t>
  </si>
  <si>
    <t>THE VILLA AT BRYN MAWR</t>
  </si>
  <si>
    <t>ANOKA REHABILITATION AND LIVING CENTER</t>
  </si>
  <si>
    <t>GOOD SAMARITAN SOCIETY - STILLWATER</t>
  </si>
  <si>
    <t>LAKE MINNETONKA SHORES</t>
  </si>
  <si>
    <t>ESSENTIA HEALTH OAK CROSSING</t>
  </si>
  <si>
    <t>EBENEZER RIDGES GERIATRIC CARE CENTER</t>
  </si>
  <si>
    <t>LAKESHORE INC</t>
  </si>
  <si>
    <t>MAYO CLINIC HEALTH SYSTEM - LAKE CITY</t>
  </si>
  <si>
    <t>GOOD SAMARITAN SOCIETY - MAPLEWOOD</t>
  </si>
  <si>
    <t>GOLDEN LIVINGCENTER - CHATEAU</t>
  </si>
  <si>
    <t>RED WING HEALTH CENTER</t>
  </si>
  <si>
    <t>AUGUSTANA HEALTH CARE CENTER OF HASTINGS</t>
  </si>
  <si>
    <t>SLEEPY EYE CARE CENTER</t>
  </si>
  <si>
    <t>BAYSHORE RESIDENCE &amp; REHAB CTR</t>
  </si>
  <si>
    <t>AVERA MORNINGSIDE HEIGHTS CARE CENTER</t>
  </si>
  <si>
    <t>FRIENDSHIP VILLAGE OF BLOOMINGTON</t>
  </si>
  <si>
    <t>APPLETON MUNICIPAL HOSPITAL</t>
  </si>
  <si>
    <t>CUYUNA REGIONAL MEDICAL CENTER</t>
  </si>
  <si>
    <t>SAINT ANNE EXTENDED HEALTHCARE</t>
  </si>
  <si>
    <t>GOOD SAMARITAN SOCIETY - WACONIA AND WESTVIEW ACRE</t>
  </si>
  <si>
    <t>WOODBURY HEALTH CARE CENTER</t>
  </si>
  <si>
    <t>BENEDICTINE HEALTH CENTER</t>
  </si>
  <si>
    <t>GOOD SAMARITAN SOCIETY - REDWOOD FALLS</t>
  </si>
  <si>
    <t>MAHNOMEN HEALTH CENTER</t>
  </si>
  <si>
    <t>GUARDIAN ANGELS HEALTH &amp; REHAB CENTER</t>
  </si>
  <si>
    <t>LAKE WINONA MANOR</t>
  </si>
  <si>
    <t>NORTHFIELD HOSPITAL LONG TERM CARE CENTER</t>
  </si>
  <si>
    <t>AUGUSTANA HEALTH CARE CENTER OF MINNEAPOLIS</t>
  </si>
  <si>
    <t>GRANITE MANOR</t>
  </si>
  <si>
    <t>CENTRACARE HEALTH SYSTEM - LONG PRAIRIE</t>
  </si>
  <si>
    <t>KITTSON MEMORIAL HEALTHCARE CENTER</t>
  </si>
  <si>
    <t>TRINITY CARE CENTER</t>
  </si>
  <si>
    <t>RIVERVIEW HOSPITAL &amp; NURSING HOME</t>
  </si>
  <si>
    <t>THIEF RIVER CARE CENTER</t>
  </si>
  <si>
    <t>CENTRACARE HEALTH PAYNESVILLE KORONIS MANOR CC</t>
  </si>
  <si>
    <t>REGINA SENIOR LIVING</t>
  </si>
  <si>
    <t>CERENITY CARE CENTER ON HUMBOLDT</t>
  </si>
  <si>
    <t>ST OTTOS CARE CENTER</t>
  </si>
  <si>
    <t>FRANCISCAN HEALTH CENTER</t>
  </si>
  <si>
    <t>LUTHER HAVEN</t>
  </si>
  <si>
    <t>WOOD DALE HOME INC</t>
  </si>
  <si>
    <t>WEST WIND VILLAGE</t>
  </si>
  <si>
    <t>GLENCOE REGIONAL HEALTH SERVICES</t>
  </si>
  <si>
    <t>AUGUSTANA HCC OF APPLE VALLEY</t>
  </si>
  <si>
    <t>BENEDICTINE HEALTH CENTER OF MINNEAPOLIS</t>
  </si>
  <si>
    <t>ST ANTHONY HEALTH CENTER</t>
  </si>
  <si>
    <t>GOOD SHEPHERD LUTHERAN HOME</t>
  </si>
  <si>
    <t>GOLDEN LIVINGCENTER - WHITEWATER</t>
  </si>
  <si>
    <t>MARTIN LUTHER CARE CENTER</t>
  </si>
  <si>
    <t>GOLDEN LIVINGCENTER - FRANKLIN</t>
  </si>
  <si>
    <t>EDINA CARE &amp; REHAB CENTER</t>
  </si>
  <si>
    <t>MAPLEWOOD CARE CENTER</t>
  </si>
  <si>
    <t>ST RAPHAELS HEALTH &amp; REHAB CENTER</t>
  </si>
  <si>
    <t>GOOD SAMARITAN SOCIETY - HOWARD LAKE</t>
  </si>
  <si>
    <t>GOOD SAMARITAN SOCIETY - SPECIALTY CARE COMMUNITY</t>
  </si>
  <si>
    <t>LAKEVIEW METHODIST HEALTH CARE CENTER</t>
  </si>
  <si>
    <t>VALLEY CARE AND REHAB LLC</t>
  </si>
  <si>
    <t>CHARTER HOUSE</t>
  </si>
  <si>
    <t>ST MICHAELS HEALTH &amp; REHAB CENTER</t>
  </si>
  <si>
    <t>GOOD SAMARITAN SOCIETY - INVER GROVE HEIGHTS</t>
  </si>
  <si>
    <t>PIERZ VILLA INC</t>
  </si>
  <si>
    <t>CENTENNIAL GARDENS FOR NURSING &amp; REHABILITATION</t>
  </si>
  <si>
    <t>GOLDEN LIVINGCENTER - OLIVIA</t>
  </si>
  <si>
    <t>ST CLARE LIVING COMMUNITY OF MORA</t>
  </si>
  <si>
    <t>GOLDEN LIVINGCENTER - HOPKINS</t>
  </si>
  <si>
    <t>GOOD SAMARITAN SOCIETY - WATERVILLE</t>
  </si>
  <si>
    <t>BETHEL CARE CENTER</t>
  </si>
  <si>
    <t>GOLDEN LIVINGCENTER - TWIN RIVERS</t>
  </si>
  <si>
    <t>FRAZEE CARE CENTER</t>
  </si>
  <si>
    <t>CERENITY CARE CENTER - WHITE BEAR LAKE</t>
  </si>
  <si>
    <t>PIONEER MEMORIAL CARE CENTER</t>
  </si>
  <si>
    <t>THE GARDENS AT CANNON FALLS</t>
  </si>
  <si>
    <t>GOLDEN LIVINGCENTER - ROCHESTER WEST</t>
  </si>
  <si>
    <t>CORNERSTONE NSG &amp; REHAB CENTER</t>
  </si>
  <si>
    <t>BENEDICTINE HEALTH CENTER INNSBRUCK</t>
  </si>
  <si>
    <t>CASTLE RIDGE CARE CENTER</t>
  </si>
  <si>
    <t>GOLDEN LIVINGCENTER - MEADOW LANE</t>
  </si>
  <si>
    <t>GOOD SAMARITAN SOCIETY - WINTHROP</t>
  </si>
  <si>
    <t>TRIMONT HEALTH CARE CENTER</t>
  </si>
  <si>
    <t>NEW RICHLAND CARE CENTER</t>
  </si>
  <si>
    <t>GOOD SAMARITAN SOCIETY - COMFORCARE</t>
  </si>
  <si>
    <t>GOOD SAMARITAN SOCIETY - INTERNATIONAL FALLS</t>
  </si>
  <si>
    <t>GOLDEN LIVINGCENTER - LA CRESCENT</t>
  </si>
  <si>
    <t>WOODLYN HEIGHTS HEALTHCARE CENTER</t>
  </si>
  <si>
    <t>COLONIAL ACRES HEALTH CARE CTR</t>
  </si>
  <si>
    <t>GOLDEN LIVINGCENTER - WALKER</t>
  </si>
  <si>
    <t>GOLDEN LIVINGCENTER - BLOOMINGTON</t>
  </si>
  <si>
    <t>FOLEY NURSING CENTER</t>
  </si>
  <si>
    <t>ROSE OF SHARON MANOR</t>
  </si>
  <si>
    <t>DIVINE PROVIDENCE HEALTH CENTER</t>
  </si>
  <si>
    <t>THE MARGARET S PARMLY RESIDENCE</t>
  </si>
  <si>
    <t>WARROAD CARE CENTER</t>
  </si>
  <si>
    <t>COUNTRY MANOR HEALTH &amp; REHAB CTR</t>
  </si>
  <si>
    <t>GOLDEN LIVINGCENTER - EXCELSIOR</t>
  </si>
  <si>
    <t>FAIRFAX COMMUNITY HOME</t>
  </si>
  <si>
    <t>GOLDEN LIVINGCENTER - DELANO</t>
  </si>
  <si>
    <t>GOLDEN LIVINGCENTER - LINDEN</t>
  </si>
  <si>
    <t>ST JOHNS LUTHERAN HOME</t>
  </si>
  <si>
    <t>MOTHER OF MERCY CAMPUS OF CARE</t>
  </si>
  <si>
    <t>GALTIER HEALTH CENTER</t>
  </si>
  <si>
    <t>CENTRACARE HEALTH SYSTEM-SAUK CENTRE NURSING HOME</t>
  </si>
  <si>
    <t>GOLDEN LIVINGCENTER - GREELEY</t>
  </si>
  <si>
    <t>MINNESOTA MASONIC HOME CARE CENTER</t>
  </si>
  <si>
    <t>FAIRVIEW CARE CENTER</t>
  </si>
  <si>
    <t>THE GREEN PRAIRIE REHABILITATION CENTER</t>
  </si>
  <si>
    <t>TRUMAN SENIOR LIVING</t>
  </si>
  <si>
    <t>LYNGBLOMSTEN CARE CENTER</t>
  </si>
  <si>
    <t>GOLDEN LIVINGCENTER - RUSH CITY</t>
  </si>
  <si>
    <t>STEWARTVILLE CARE CENTER</t>
  </si>
  <si>
    <t>ST BENEDICTS SENIOR COMMUNITY</t>
  </si>
  <si>
    <t>RAMSEY COUNTY CARE CENTER</t>
  </si>
  <si>
    <t>CAMILIA ROSE CARE CENTER LLC</t>
  </si>
  <si>
    <t>ST BRIGID'S AT HI-PARK</t>
  </si>
  <si>
    <t>MCINTOSH SENIOR LIVING</t>
  </si>
  <si>
    <t>AVERA SUNRISE MANOR</t>
  </si>
  <si>
    <t>PINE HAVEN CARE CENTER INC</t>
  </si>
  <si>
    <t>BENEDICTINE LIVING COMMUNITY OF NEW LONDON</t>
  </si>
  <si>
    <t>MEEKER MANOR REHABILITATION CENTER, LLC</t>
  </si>
  <si>
    <t>MAPLETON COMMUNITY HOME</t>
  </si>
  <si>
    <t>AICOTA HEALTH CARE CENTER</t>
  </si>
  <si>
    <t>ANNANDALE CARE CENTER</t>
  </si>
  <si>
    <t>CERENITY CARE CENTER - MARIAN</t>
  </si>
  <si>
    <t>CHRIS JENSEN HEALTH &amp; REHABILITATION CENTER</t>
  </si>
  <si>
    <t>MEADOW MANOR</t>
  </si>
  <si>
    <t>GRAND VILLAGE</t>
  </si>
  <si>
    <t>ST MARKS LUTHERAN HOME</t>
  </si>
  <si>
    <t>ECUMEN NORTH BRANCH</t>
  </si>
  <si>
    <t>PRAIRIE VIEW SENIOR LIVING</t>
  </si>
  <si>
    <t>ST LUKES LUTHERAN CARE CENTER</t>
  </si>
  <si>
    <t>PELICAN VALLEY HEALTH CENTER</t>
  </si>
  <si>
    <t>LAKESIDE MEDICAL CENTER</t>
  </si>
  <si>
    <t>STERLING PARK HEALTH CARE CENTER</t>
  </si>
  <si>
    <t>ZUMBROTA CARE CENTER</t>
  </si>
  <si>
    <t>VALLEY VIEW MANOR HCC</t>
  </si>
  <si>
    <t>KENYON SUNSET HOME</t>
  </si>
  <si>
    <t>NEW HARMONY CARE CENTER</t>
  </si>
  <si>
    <t>MADISON LUTHERAN HOME</t>
  </si>
  <si>
    <t>OWATONNA CARE CENTER</t>
  </si>
  <si>
    <t>COOK CO NORTHSHORE HOSP &amp; C&amp;NC</t>
  </si>
  <si>
    <t>GOLDEN LIVINGCENTER - SLAYTON</t>
  </si>
  <si>
    <t>ST OLAF RESIDENCE</t>
  </si>
  <si>
    <t>LAKESHORE INN NURSING HOME</t>
  </si>
  <si>
    <t>LANGTON PLACE</t>
  </si>
  <si>
    <t>PATHSTONE LIVING</t>
  </si>
  <si>
    <t>COOK COMMUNITY HOSPITAL C&amp;NC</t>
  </si>
  <si>
    <t>GOLDEN LIVINGCENTER - LYNNHURST</t>
  </si>
  <si>
    <t>CROSSROADS CARE CENTER</t>
  </si>
  <si>
    <t>CENTRACARE HEALTH SYSTEM - MELROSE PINE VILLA C C</t>
  </si>
  <si>
    <t>HAVENWOOD CARE CENTER</t>
  </si>
  <si>
    <t>LITTLE FALLS CARE CENTER</t>
  </si>
  <si>
    <t>GOLDEN LIVINGCENTER - WABASSO</t>
  </si>
  <si>
    <t>CENTRAL HEALTH CARE</t>
  </si>
  <si>
    <t>GLENWOOD VILLAGE CARE CENTER</t>
  </si>
  <si>
    <t>GOOD SAMARITAN SOCIETY - BATTLE LAKE</t>
  </si>
  <si>
    <t>ST JOHN LUTHERAN HOME</t>
  </si>
  <si>
    <t>MAPLE MANOR NURSING AND REHAB, LLC</t>
  </si>
  <si>
    <t>RICE CARE CENTER</t>
  </si>
  <si>
    <t>SHIRLEY CHAPMAN SHOLOM HOME EAST</t>
  </si>
  <si>
    <t>COKATO MANOR</t>
  </si>
  <si>
    <t>VIEWCREST HEALTH CENTER</t>
  </si>
  <si>
    <t>MINNESOTA VALLEY HLTH CTR-LONG</t>
  </si>
  <si>
    <t>ROBBINSDALE REHAB &amp; CARE CENTER</t>
  </si>
  <si>
    <t>BELGRADE NURSING HOME</t>
  </si>
  <si>
    <t>TWIN VALLEY LIVING CENTER</t>
  </si>
  <si>
    <t>LAKEWOOD HEALTH SYSTEM</t>
  </si>
  <si>
    <t>NEW BRIGHTON CARE CENTER</t>
  </si>
  <si>
    <t>ELIM HOME - MILACA</t>
  </si>
  <si>
    <t>CHOSEN VALLEY CARE CENTER</t>
  </si>
  <si>
    <t>PRESBYTERIAN HOMES OF ARDEN HILLS</t>
  </si>
  <si>
    <t>THORNE CREST RETIREMENT CENTER</t>
  </si>
  <si>
    <t>KODA LIVING COMMUNITY</t>
  </si>
  <si>
    <t>BETHESDA NH PLEASANTVIEW</t>
  </si>
  <si>
    <t>ESSENTIA HEALTH - HOMESTEAD</t>
  </si>
  <si>
    <t>TWEETEN LUTHERAN HEALTH CARE CENTER</t>
  </si>
  <si>
    <t>FIELD CREST CARE CENTER</t>
  </si>
  <si>
    <t>GRACEPOINTE CROSSING GABLES WEST</t>
  </si>
  <si>
    <t>SYLVAN COURT</t>
  </si>
  <si>
    <t>KNUTE NELSON</t>
  </si>
  <si>
    <t>PARKVIEW CARE CENTER WELLS INC</t>
  </si>
  <si>
    <t>ELIM HOME - WATERTOWN</t>
  </si>
  <si>
    <t>TALAHI NURSING AND REHAB CENTER</t>
  </si>
  <si>
    <t>CATHOLIC ELDERCARE ON MAIN</t>
  </si>
  <si>
    <t>JANESVILLE NURSING HOME</t>
  </si>
  <si>
    <t>GOOD SAMARITAN SOCIETY - ALBERT LEA</t>
  </si>
  <si>
    <t>SPRING VALLEY CARE CENTER</t>
  </si>
  <si>
    <t>SHAKOPEE FRIENDSHIP MANOR</t>
  </si>
  <si>
    <t>ASSUMPTION HOME</t>
  </si>
  <si>
    <t>SACRED HEART CARE CENTER</t>
  </si>
  <si>
    <t>PARK RIVER ESTATES CARE CENTER</t>
  </si>
  <si>
    <t>SEMINARY HOME</t>
  </si>
  <si>
    <t>THREE LINKS CARE CENTER</t>
  </si>
  <si>
    <t>NORTHRIDGE RESIDENCE</t>
  </si>
  <si>
    <t>EPISCOPAL CHURCH HOME OF MINNESOTA</t>
  </si>
  <si>
    <t>BROEN MEMORIAL HOME</t>
  </si>
  <si>
    <t>ESSENTIA HEALTH - SANDSTONE MEDICAL CENTER</t>
  </si>
  <si>
    <t>GOOD SAMARITAN SOCIETY - JACKSON</t>
  </si>
  <si>
    <t>ESSENTIA HEALTH VIRGINIA CARE CENT</t>
  </si>
  <si>
    <t>BENEDICTINE LIVING COMMUNITY WINSTED</t>
  </si>
  <si>
    <t>JONES HARRISON RESIDENCE</t>
  </si>
  <si>
    <t>EVENTIDE LUTHERAN HOME</t>
  </si>
  <si>
    <t>MARANATHA CARE CENTER</t>
  </si>
  <si>
    <t>PIONEER CARE CENTER</t>
  </si>
  <si>
    <t>OSTRANDER CARE AND REHAB</t>
  </si>
  <si>
    <t>COMMUNITY MEMORIAL HOME</t>
  </si>
  <si>
    <t>HENDRICKS COMMUNITY HOSPITAL</t>
  </si>
  <si>
    <t>KARLSTAD HEALTHCARE CENTER INC</t>
  </si>
  <si>
    <t>ESSENTIA HEALTH NORTHERN PINES MEDICAL CENTER</t>
  </si>
  <si>
    <t>LIFECARE ROSEAU MANOR</t>
  </si>
  <si>
    <t>ECUMEN SCENIC SHORES</t>
  </si>
  <si>
    <t>OAK TERRACE HEALTH CARE CENTER</t>
  </si>
  <si>
    <t>PARK VIEW CARE CENTER</t>
  </si>
  <si>
    <t>GOOD SAMARITAN SOCIETY - PINE RIVER</t>
  </si>
  <si>
    <t>CERENITY RESIDENCE ON HUMBOLDT</t>
  </si>
  <si>
    <t>PRAIRIE MANOR CARE CENTER</t>
  </si>
  <si>
    <t>THE NORTH SHORE ESTATES LLC</t>
  </si>
  <si>
    <t>VILLA ST VINCENT</t>
  </si>
  <si>
    <t>PERHAM LIVING</t>
  </si>
  <si>
    <t>ST ELIZABETH MEDICAL CENTER</t>
  </si>
  <si>
    <t>GOOD SAMARITAN SOCIETY - WOODLAND</t>
  </si>
  <si>
    <t>EMMANUEL NURSING HOME</t>
  </si>
  <si>
    <t>OAK HILLS LIVING CENTER</t>
  </si>
  <si>
    <t>AUGUSTANA MERCY CARE CENTER</t>
  </si>
  <si>
    <t>RICHFIELD HEALTH CENTER</t>
  </si>
  <si>
    <t>AUGUSTANA CHAPEL VIEW CARE CENTER</t>
  </si>
  <si>
    <t>ELIM HOME</t>
  </si>
  <si>
    <t>EVERGREEN TERRACE</t>
  </si>
  <si>
    <t>MINNEOTA MANOR HEALTH CARE CENTER</t>
  </si>
  <si>
    <t>HAVEN HOMES OF MAPLE PLAIN</t>
  </si>
  <si>
    <t>CALEDONIA CARE AND REHABILITATION CENTER</t>
  </si>
  <si>
    <t>GOOD SAMARITAN SOCIETY - BETHANY</t>
  </si>
  <si>
    <t>BENEDICTINE LIVING COMMUNITY</t>
  </si>
  <si>
    <t>BENEDICTINE CARE COMMUNITY</t>
  </si>
  <si>
    <t>HILLCREST CARE &amp; REHABILITATION CENTER</t>
  </si>
  <si>
    <t>ADAMS HEALTH CARE CENTER</t>
  </si>
  <si>
    <t>EVANSVILLE CARE CENTER</t>
  </si>
  <si>
    <t>CENTRACARE HEALTH - MONTICELLO</t>
  </si>
  <si>
    <t>ESSENTIA HEALTH FOSSTON</t>
  </si>
  <si>
    <t>LAKE RIDGE CARE CENTER OF BUFFALO</t>
  </si>
  <si>
    <t>MALA STRANA CARE &amp; REHABILITATION CENTER</t>
  </si>
  <si>
    <t>LAURELS PEAK CARE &amp; REHABILITATION CENTER</t>
  </si>
  <si>
    <t>OAKLAWN CARE &amp; REHABILITATION CENTER</t>
  </si>
  <si>
    <t>ST THERESE HOME</t>
  </si>
  <si>
    <t>COURAGE KENNY REHABILITATION INSTITUTE'S TRP</t>
  </si>
  <si>
    <t>REDEEMER RESIDENCE INC</t>
  </si>
  <si>
    <t>CENTRAL TODD COUNTY CARE CENTER</t>
  </si>
  <si>
    <t>LUTHER MEMORIAL HOME</t>
  </si>
  <si>
    <t>GOOD SAMARITAN SOCIETY - CLEARBROOK</t>
  </si>
  <si>
    <t>GUNDERSEN HARMONY CARE CENTER</t>
  </si>
  <si>
    <t>BIGFORK VALLEY COMMUNITIES</t>
  </si>
  <si>
    <t>SAMARITAN BETHANY HOME ON EIGHTH</t>
  </si>
  <si>
    <t>BETHESDA HERITAGE CENTER</t>
  </si>
  <si>
    <t>LAKESIDE HEALTH CARE CENTER</t>
  </si>
  <si>
    <t>CAPITOL VIEW TRANSITIONAL CARE CENTER</t>
  </si>
  <si>
    <t>JOURDAIN PERPICH EXT CARE FAC</t>
  </si>
  <si>
    <t>GREEN LEA SENIOR LIVING</t>
  </si>
  <si>
    <t>MINNEWASKA COMMUNITY HEALTH SERVICES</t>
  </si>
  <si>
    <t>GOLDEN LIVINGCENTER - HENNING</t>
  </si>
  <si>
    <t>LITTLEFORK MEDICAL CENTER</t>
  </si>
  <si>
    <t>CAMDEN CARE CENTER</t>
  </si>
  <si>
    <t>FAIR MEADOW NURSING HOME</t>
  </si>
  <si>
    <t>MISSION NURSING HOME</t>
  </si>
  <si>
    <t>ADRIAN CARE CENTER</t>
  </si>
  <si>
    <t>TUFF MEMORIAL HOME</t>
  </si>
  <si>
    <t>GOOD SAMARITAN SOCIETY - MOUNTAIN LAKE</t>
  </si>
  <si>
    <t>GOOD SAMARITAN SOCIETY - WARREN</t>
  </si>
  <si>
    <t>CLARKFIELD CARE CENTER</t>
  </si>
  <si>
    <t>COLONIAL MANOR OF BALATON</t>
  </si>
  <si>
    <t>PARKVIEW MANOR NURSING HOME</t>
  </si>
  <si>
    <t>RENVILLA HEALTH CENTER</t>
  </si>
  <si>
    <t>PRESBYTERIAN HOMES OF BLOOMINGTON</t>
  </si>
  <si>
    <t>GOOD SAMARITAN SOCIETY - WINDOM</t>
  </si>
  <si>
    <t>VIKING MANOR NURSING HOME</t>
  </si>
  <si>
    <t>EDGEBROOK CARE CENTER</t>
  </si>
  <si>
    <t>NORTHFIELD CARE CENTER INC</t>
  </si>
  <si>
    <t>ELDERS HOME INC</t>
  </si>
  <si>
    <t>GREEN PINE ACRES NURSING HOME</t>
  </si>
  <si>
    <t>BROWNS VALLEY HEALTH CENTER</t>
  </si>
  <si>
    <t>VALLEY VIEW HEALTHCARE &amp; REHAB</t>
  </si>
  <si>
    <t>GOOD SAMARITAN SOCIETY - MARY JANE BROWN</t>
  </si>
  <si>
    <t>HALSTAD LIVING CENTER</t>
  </si>
  <si>
    <t>MAPLE LAWN SENIOR CARE</t>
  </si>
  <si>
    <t>COLONIAL MANOR NURSING HOME</t>
  </si>
  <si>
    <t>CLARA CITY CARE CENTER</t>
  </si>
  <si>
    <t>SHOLOM HOME WEST</t>
  </si>
  <si>
    <t>BARRETT CARE CENTER INC</t>
  </si>
  <si>
    <t>BETHANY RESIDENCE AND REHABILITATION CENTER</t>
  </si>
  <si>
    <t>ESSENTIA HEALTH GRACE HOME</t>
  </si>
  <si>
    <t>LAKEWOOD CARE CENTER</t>
  </si>
  <si>
    <t>FAIR OAKS LODGE</t>
  </si>
  <si>
    <t>AUBURN HOME IN WACONIA</t>
  </si>
  <si>
    <t>TRAVERSE CARE CENTER</t>
  </si>
  <si>
    <t>EBENEZER CARE CENTER</t>
  </si>
  <si>
    <t>ST WILLIAMS LIVING CENTER</t>
  </si>
  <si>
    <t>BUFFALO LAKE HEALTH CARE CTR</t>
  </si>
  <si>
    <t>LUTHERAN HOME</t>
  </si>
  <si>
    <t>GOOD SAMARITAN SOCIETY - PIPESTONE</t>
  </si>
  <si>
    <t>OAKLAND PARK COMMUNITIES</t>
  </si>
  <si>
    <t>GOOD SAMARITAN SOCIETY - ST JAMES</t>
  </si>
  <si>
    <t>GIL-MOR MANOR</t>
  </si>
  <si>
    <t>GOOD SAMARITAN SOCIETY - WESTBROOK</t>
  </si>
  <si>
    <t>SOUTH SHORE CARE CENTER</t>
  </si>
  <si>
    <t>SUNNYSIDE CARE CENTER</t>
  </si>
  <si>
    <t>GOOD SAMARITAN SOCIETY - ARLINGTON</t>
  </si>
  <si>
    <t>DIVINE PROVIDENCE COMMUNITY HOME</t>
  </si>
  <si>
    <t>GOOD SAMARITAN SOCIETY - BLACKDUCK</t>
  </si>
  <si>
    <t>AUBURN MANOR</t>
  </si>
  <si>
    <t>ST GERTRUDES HEALTH &amp; REHABILITATION CENTER</t>
  </si>
  <si>
    <t>THE COLONY AT EDEN PRAIRIE</t>
  </si>
  <si>
    <t>CORNERSTONE VILLA</t>
  </si>
  <si>
    <t>PRESBYTERIAN HOMES OF NORTH OAKS</t>
  </si>
  <si>
    <t>GABLES OF BOUTWELLS LANDING</t>
  </si>
  <si>
    <t>CARONDELET VILLAGE CARE CENTER</t>
  </si>
  <si>
    <t>WALKER METHODIST WESTWOOD RIDGE II</t>
  </si>
  <si>
    <t>SAINT THERESE AT OXBOW LAKE</t>
  </si>
  <si>
    <t>FOLKESTONE</t>
  </si>
  <si>
    <t>MEADOWS ON FAIRVIEW</t>
  </si>
  <si>
    <t>BENEDICTINE LIVING CTR FRIDLEY</t>
  </si>
  <si>
    <t>INTERLUDE</t>
  </si>
  <si>
    <t>EPISCOPAL CHURCH HOME GARDENS</t>
  </si>
  <si>
    <t>ROCHESTER REHABILITATION AND LIVING CENTER</t>
  </si>
  <si>
    <t>TRILLIUM WOODS</t>
  </si>
  <si>
    <t>TISHOMINGO HEALTH SERVICES INC</t>
  </si>
  <si>
    <t>BAPTIST MEMORIAL HOSPITAL UNION COUNTY</t>
  </si>
  <si>
    <t>ALLIANCE HEALTHCARE SYSTEM</t>
  </si>
  <si>
    <t>TRACE REGIONAL HOSP AND SWING BED</t>
  </si>
  <si>
    <t>JASPER GENERAL HOSPITAL</t>
  </si>
  <si>
    <t>WEBSTER GENERAL HOSPITAL/ SWING BED</t>
  </si>
  <si>
    <t>MERIT HEALTH GILMORE MEMORIAL</t>
  </si>
  <si>
    <t>WINSTON MEDICAL CENTER &amp; SWINGBED</t>
  </si>
  <si>
    <t>NESHOBA COUNTY GENERAL HOSPITAL</t>
  </si>
  <si>
    <t>BAPTIST MEMORIAL HOSPITAL BOONEVILLE</t>
  </si>
  <si>
    <t>BEACHAM MEMORIAL HOSPITAL</t>
  </si>
  <si>
    <t>OCH REGIONAL MEDICAL CENTER</t>
  </si>
  <si>
    <t>YALOBUSHA GENERAL HOSPITAL</t>
  </si>
  <si>
    <t>CLAY COUNTY MEDICAL CENTER</t>
  </si>
  <si>
    <t>WAYNE GENERAL HOSPITAL</t>
  </si>
  <si>
    <t>SHARKEY ISSAQUENA COMMUNITY HOSPITAL</t>
  </si>
  <si>
    <t>ANDERSON RMC SOUTH</t>
  </si>
  <si>
    <t>MARION GENERAL HOSPITAL</t>
  </si>
  <si>
    <t>BOLIVAR MEDICAL CENTER</t>
  </si>
  <si>
    <t>SOUTH SUNFLOWER COUNTY HOSPITAL</t>
  </si>
  <si>
    <t>MAGEE GENERAL HOSPITAL</t>
  </si>
  <si>
    <t>JEFFERSON DAVIS COMMUNITY HOSPITAL ECF</t>
  </si>
  <si>
    <t>WINSTON CO NH</t>
  </si>
  <si>
    <t>LEXINGTON MANOR SENIOR CARE, LLC</t>
  </si>
  <si>
    <t>BOYINGTON HEALTH AND REHABILITATION</t>
  </si>
  <si>
    <t>THE PILLARS OF BILOXI</t>
  </si>
  <si>
    <t>CARE CENTER OF LAUREL</t>
  </si>
  <si>
    <t>LOUISVILLE HEALTHCARE LLC</t>
  </si>
  <si>
    <t>CARE CENTER OF ABERDEEN</t>
  </si>
  <si>
    <t>GOLDEN LIVINGCENTER TYLERTOWN</t>
  </si>
  <si>
    <t>MCCOMB NURSING AND REHABILITATION CENTER LLC</t>
  </si>
  <si>
    <t>GOLDEN LIVINGCENTER - RIPLEY</t>
  </si>
  <si>
    <t>HINDS COUNTY NURSING &amp; REHABILITATION CTR LLC</t>
  </si>
  <si>
    <t>GRENADA LIVING CENTER</t>
  </si>
  <si>
    <t>GOLDEN LIVINGCENTER - EASON BOULEVARD</t>
  </si>
  <si>
    <t>BRANDON NURSING AND REHABILITATION CENTER</t>
  </si>
  <si>
    <t>GOLDEN LIVING CENTER-CARTHAGE</t>
  </si>
  <si>
    <t>GOLDEN LIVINGCENTER - SOUTHAVEN</t>
  </si>
  <si>
    <t>MS CARE CENTER OF ALCORN COUNTY, INC-SNF</t>
  </si>
  <si>
    <t>WEST POINT COMMUNITY LIVING CENTER</t>
  </si>
  <si>
    <t>PLEASANT HILLS COM LIV CENTER</t>
  </si>
  <si>
    <t>RULEVILLE NURSING AND REHABILITATION CENTER LLC</t>
  </si>
  <si>
    <t>CLEVELAND NURSING AND REHABILITATION CENTER LLC</t>
  </si>
  <si>
    <t>MANHATTAN NURSING AND REHABILITATION CENTER LLC</t>
  </si>
  <si>
    <t>LAKELAND NURSING AND REHABILITATION CENTER LLC</t>
  </si>
  <si>
    <t>GOLDEN LIVINGCENTER - EUPORA</t>
  </si>
  <si>
    <t>GOLDEN LIVING CENTER-MERIDIAN</t>
  </si>
  <si>
    <t>GOLDEN LIVINGCENTER - AMORY</t>
  </si>
  <si>
    <t>CHADWICK NURSING AND REHABILITATION CENTER LLC</t>
  </si>
  <si>
    <t>WILKINSON COUNTY SENIOR CARE</t>
  </si>
  <si>
    <t>TISHOMINGO COMM LIVING CENTER</t>
  </si>
  <si>
    <t>WALTER B CROOK NURSING FACILITY</t>
  </si>
  <si>
    <t>TIPPAH COUNTY NURSING HOME</t>
  </si>
  <si>
    <t>TUPELO NURSING AND REHABILITATION CENTER</t>
  </si>
  <si>
    <t>NESHOBA COUNTY NURSING HOME</t>
  </si>
  <si>
    <t>ASHLAND HEALTH AND RAHABILITATION</t>
  </si>
  <si>
    <t>GOLDEN LIVINGCENTER BATESVILLE</t>
  </si>
  <si>
    <t>THE BLUFFS REHABILITATION AND HEALTHCARE CENTER, L</t>
  </si>
  <si>
    <t>COVENANT HEALTH &amp; REHAB OF PICAYUNE</t>
  </si>
  <si>
    <t>OCEAN SPRINGS HEALTH &amp; REHABILITATION CENTER</t>
  </si>
  <si>
    <t>COURTYARD REHABILITATION AND HEALTHCARE</t>
  </si>
  <si>
    <t>YAZOO CITY REHABILITATION AND HEALTHCARE CENTER LL</t>
  </si>
  <si>
    <t>WOODLANDS REHABILITATION AND HEALTHCARE CENTER, LL</t>
  </si>
  <si>
    <t>BEDFORD CARE CENTER OF PETAL</t>
  </si>
  <si>
    <t>BEDFORD CARE CENTER OF MENDENH</t>
  </si>
  <si>
    <t>BEDFORD CARE CENTER OF NEWTON</t>
  </si>
  <si>
    <t>CRYSTAL REHABILITATION AND HEALTHCARE CENTER, LLC</t>
  </si>
  <si>
    <t>GRENADA REHABILITATION AND HEALTHCARE CENTER LLC</t>
  </si>
  <si>
    <t>BEDFORD CARE CENTER OF HATTIES</t>
  </si>
  <si>
    <t>PERRY COUNTY NURSING CENTER</t>
  </si>
  <si>
    <t>DANIEL HEALTH CARE INC</t>
  </si>
  <si>
    <t>NMMC BALDWYN NURSING FACILITY</t>
  </si>
  <si>
    <t>COUNTRYBROOK LIVING CENTER</t>
  </si>
  <si>
    <t>WOODLAND VILLAGE NURSING CENTER</t>
  </si>
  <si>
    <t>JEFFERSON COUNTY NURSING HOME</t>
  </si>
  <si>
    <t>QUEEN CITY NURSING CENTER</t>
  </si>
  <si>
    <t>MERIT HEALTH WESLEY</t>
  </si>
  <si>
    <t>ADAMS COUNTY NURSING CENTER</t>
  </si>
  <si>
    <t>WINONA MANOR HEALTH CARE AND REHABILITATION CENTER</t>
  </si>
  <si>
    <t>STARKVILLE MANOR HEALTH CARE AND REHABILITATION CE</t>
  </si>
  <si>
    <t>GLENBURNEY HEALTH CARE AND REHABILITATION CENTER</t>
  </si>
  <si>
    <t>SINGING RIVER HEALTH AND REHABILITATION CENTER</t>
  </si>
  <si>
    <t>GOLDEN LIVINGCENTER - BROOK MANOR</t>
  </si>
  <si>
    <t>LEAKESVILLE REHABILITATION AND NURSING CENTER, INC</t>
  </si>
  <si>
    <t>GLEN OAKS NURSING CENTER</t>
  </si>
  <si>
    <t>LAKEVIEW NURSING CENTER</t>
  </si>
  <si>
    <t>LIBERTY HEALTH &amp; REHAB OF INDIANOLA, LLC</t>
  </si>
  <si>
    <t>ATTALA COUNTY NURSING CENTER</t>
  </si>
  <si>
    <t>CLAIBORNE COUNTY SENIOR CARE</t>
  </si>
  <si>
    <t>AURORA HEALTH AND REHABILITATION</t>
  </si>
  <si>
    <t>PLAZA COMMUNITY LIVING CENTER</t>
  </si>
  <si>
    <t>PINE CREST GUEST HOME INC</t>
  </si>
  <si>
    <t>COURTYARDS COMM LIVING CENTER</t>
  </si>
  <si>
    <t>MEADVILLE CONVALESCENT HOME</t>
  </si>
  <si>
    <t>LAWRENCE CO NURSING CENTER</t>
  </si>
  <si>
    <t>COVINGTON CO  NURSING CENTER</t>
  </si>
  <si>
    <t>RIVERVIEW NURSING &amp; REHABILITATION CENTER</t>
  </si>
  <si>
    <t>RIVER HEIGHTS HEALTHCARE CENTER</t>
  </si>
  <si>
    <t>TISHOMINGO MANOR</t>
  </si>
  <si>
    <t>ARBOR WALK HEALTHCARE CENTER</t>
  </si>
  <si>
    <t>SHARKEY-ISSAQUENA NURSING HOME</t>
  </si>
  <si>
    <t>HAVEN HALL HEALTH CARE CENTER</t>
  </si>
  <si>
    <t>TRINITY HEALTHCARE CENTER</t>
  </si>
  <si>
    <t>CROWN HEALTH &amp; REHAB OF NATCHEZ</t>
  </si>
  <si>
    <t>SONG HEALTH &amp; REHAB OF COLUMBIA, LLC</t>
  </si>
  <si>
    <t>JOY HEALTH &amp; REHAB OF CLEVELAND, LLC</t>
  </si>
  <si>
    <t>HOLLY SPRINGS REHABILITATION AND HEALTHCARE CENTER</t>
  </si>
  <si>
    <t>BAPTIST MEMORIAL HOSPITAL GT</t>
  </si>
  <si>
    <t>CORNERSTONE REHABILITATION AND HEALTHCARE CENTER,</t>
  </si>
  <si>
    <t>AZALEA GARDENS NURSING CENTER</t>
  </si>
  <si>
    <t>SHADY LAWN HEALTH AND REHABILITATION</t>
  </si>
  <si>
    <t>BILLDORA SENIOR CARE</t>
  </si>
  <si>
    <t>SUNPLEX SUB-ACUTE CENTER</t>
  </si>
  <si>
    <t>REST HAVEN HEALTH AND REHABILITATION</t>
  </si>
  <si>
    <t>COMPERE NH INC</t>
  </si>
  <si>
    <t>MS CARE CENTER OF MORTON</t>
  </si>
  <si>
    <t>MS CARE CENTER OF DEKALB</t>
  </si>
  <si>
    <t>MS CARE CENTER OF GREENVILLE</t>
  </si>
  <si>
    <t>VICKSBURG CONVALESCENT CENTER</t>
  </si>
  <si>
    <t>THE WINDSOR PLACE</t>
  </si>
  <si>
    <t>HUMPHREYS CO NURSING CENTER</t>
  </si>
  <si>
    <t>HILLTOP MANOR HEALTH AND REHABILITATION CENTER</t>
  </si>
  <si>
    <t>THE OAKS REHABILITATION AND HEALTHCARE CENTER</t>
  </si>
  <si>
    <t>LAURELWOOD COMM LIVING CENTER</t>
  </si>
  <si>
    <t>MERIDIAN COMM LIVING CENTER</t>
  </si>
  <si>
    <t>LONGWOOD COMM LIVING CENTER</t>
  </si>
  <si>
    <t>WINDHAM HOUSE OF HATTIESBURG</t>
  </si>
  <si>
    <t>BRANDON COURT</t>
  </si>
  <si>
    <t>CLARKSDALE NURSING CENTER</t>
  </si>
  <si>
    <t>NEW ALBANY HEALTH &amp; REHAB CENTER</t>
  </si>
  <si>
    <t>OXFORD HEALTH &amp; REHAB CENTER</t>
  </si>
  <si>
    <t>PONTOTOC HEALTH &amp; REHAB CENTER</t>
  </si>
  <si>
    <t>LIBERTY COMMUNITY LIVING CTR</t>
  </si>
  <si>
    <t>MYRTLES NURSING CENTER, LLC</t>
  </si>
  <si>
    <t>FOREST HILL NURSING CENTER</t>
  </si>
  <si>
    <t>HIGHLAND HOME</t>
  </si>
  <si>
    <t>MAGNOLIA SENIOR CARE, LLC</t>
  </si>
  <si>
    <t>BELHAVEN SENIOR CARE, LLC</t>
  </si>
  <si>
    <t>GREENE RURAL HEALTH CENTER</t>
  </si>
  <si>
    <t>HILLCREST NURSING CENTER, LLC</t>
  </si>
  <si>
    <t>SARDIS COMMUNITY  NH</t>
  </si>
  <si>
    <t>CAMELLIA ESTATES</t>
  </si>
  <si>
    <t>LANDMARK OF DESOTO</t>
  </si>
  <si>
    <t>CLINTON HEALTHCARE LLC - SNF</t>
  </si>
  <si>
    <t>VAIDEN COMMUNITY LIVING CENTER</t>
  </si>
  <si>
    <t>HERITAGE HOUSE NURSING CENTER</t>
  </si>
  <si>
    <t>COMMUNITY PLACE</t>
  </si>
  <si>
    <t>PINEVIEW HEALTH AND REHABILIATION CENTER</t>
  </si>
  <si>
    <t>DIXIE WHITE HOUSE HEALTH AND REHABILIATION CENTER</t>
  </si>
  <si>
    <t>LAKESIDE HEALTH AND REHABILITATION CENTER</t>
  </si>
  <si>
    <t>RIVER CHASE VILLAGE</t>
  </si>
  <si>
    <t>DRIFTWOOD NURSING CENTER</t>
  </si>
  <si>
    <t>COPIAH LIVING CENTER</t>
  </si>
  <si>
    <t>LEGACY MANOR NURSING AND REHABILITATION</t>
  </si>
  <si>
    <t>SHELBY HEALTH AND REHABILITATION CENTER</t>
  </si>
  <si>
    <t>GREENBOUGH HEALTH AND REHABILITATION CENTER</t>
  </si>
  <si>
    <t>DESOTO HEALTHCARE CENTER</t>
  </si>
  <si>
    <t>BEDFORD CARE CTR-MONROE HALL</t>
  </si>
  <si>
    <t>VINEYARD COURT NURSING CENTER</t>
  </si>
  <si>
    <t>WILLOW CREEK RETIREMENT CENTER</t>
  </si>
  <si>
    <t>CARRINGTON, LLC D/B/A THE CARRINGTON</t>
  </si>
  <si>
    <t>SENATOBIA CONVALESCENT CENTER &amp; REHAB</t>
  </si>
  <si>
    <t>BRIAR HILL REST HOME</t>
  </si>
  <si>
    <t>THE NICHOLS CENTER</t>
  </si>
  <si>
    <t>RIVER PLACE NURSING CENTER</t>
  </si>
  <si>
    <t>FLOY DYER NH</t>
  </si>
  <si>
    <t>GOLDEN AGE NH INC</t>
  </si>
  <si>
    <t>STONE COUNTY NURSING AND REHABILITATION CENTER,INC</t>
  </si>
  <si>
    <t>CEDARS HEALTH CENTER</t>
  </si>
  <si>
    <t>SILVER CROSS HEALTH &amp; REHAB</t>
  </si>
  <si>
    <t>GREAT OAKS REHABILITATION AND HEALTHCARE CENTER LL</t>
  </si>
  <si>
    <t>UNION CO HEALTH AND REHAB CENTER, INC</t>
  </si>
  <si>
    <t>DUGAN MEMORIAL HOME</t>
  </si>
  <si>
    <t>WASHINGTON CARE CENTER</t>
  </si>
  <si>
    <t>POPLAR SPRINGS NURSING CTR, LLC</t>
  </si>
  <si>
    <t>THE GROVE</t>
  </si>
  <si>
    <t>NORTH MISSISSIPPI MED CTR SUB-ACUTE</t>
  </si>
  <si>
    <t>J G ALEXANDER NURSING CENTER</t>
  </si>
  <si>
    <t>SUNSHINE HEALTH CARE, INC</t>
  </si>
  <si>
    <t>LANDMARK NURSING AND REHAB CENTER</t>
  </si>
  <si>
    <t>HATTIESBURG HEALTH &amp; REHAB CENTER</t>
  </si>
  <si>
    <t>DUNBAR VILLAGE TERRACE</t>
  </si>
  <si>
    <t>GREENBRIAR NURSING CENTER</t>
  </si>
  <si>
    <t>BRUCE COMMUNITY LIVING CENTER</t>
  </si>
  <si>
    <t>WISTERIA GARDENS</t>
  </si>
  <si>
    <t>COTTAGE GROVE NURSING HOME</t>
  </si>
  <si>
    <t>MARTHA COKER GREEN HOUSE HOME</t>
  </si>
  <si>
    <t>BEDFORD CARE CENTER OF MARION</t>
  </si>
  <si>
    <t>MADISON CO NH</t>
  </si>
  <si>
    <t>ARRINGTON LIVING CENTER</t>
  </si>
  <si>
    <t>HOLMES COUNTY LONG TERM CARE CENTER - DURANT</t>
  </si>
  <si>
    <t>GEORGE REGIONAL HEALTH &amp; REHAB CENTER</t>
  </si>
  <si>
    <t>TUNICA COUNTY HEALTH &amp; REHAB, LLC</t>
  </si>
  <si>
    <t>FORREST GENERAL HOSPITAL SKILLED NURSING UNIT</t>
  </si>
  <si>
    <t>JONES CO REST HOME</t>
  </si>
  <si>
    <t>LAMAR HEALTHCARE &amp; REHABILITATION CENTER</t>
  </si>
  <si>
    <t>CHOCTAW RESIDENTIAL CENTER</t>
  </si>
  <si>
    <t>NORTH POINTE HEALTH &amp; REHABILITATION</t>
  </si>
  <si>
    <t>GULFPORT CARE CENTER</t>
  </si>
  <si>
    <t>MS CARE CENTER OF RALEIGH</t>
  </si>
  <si>
    <t>COOPER COUNTY MEMORIAL HOSPITAL</t>
  </si>
  <si>
    <t>NORTHEAST REGIONAL MEDICAL CENTER</t>
  </si>
  <si>
    <t>TEXAS COUNTY MEMORIAL HOSPITAL</t>
  </si>
  <si>
    <t>BATES COUNTY MEMORIAL HOSPITAL</t>
  </si>
  <si>
    <t>SSM HEALTH ST FRANCIS HOSPITAL - MARYVILLE</t>
  </si>
  <si>
    <t>CAMERON REGIONAL MEDICAL CENTER</t>
  </si>
  <si>
    <t>PEMISCOT COUNTY MEMORIAL HOSPITAL</t>
  </si>
  <si>
    <t>MOBERLY REGIONAL MEDICAL CENTER</t>
  </si>
  <si>
    <t>WESTERN MISSOURI MEDICAL CENTER</t>
  </si>
  <si>
    <t>PARKLAND HEALTH CENTER - WEBER ROAD</t>
  </si>
  <si>
    <t>FITZGIBBON HOSPITAL</t>
  </si>
  <si>
    <t>SOUTHEASTHEALTH CENTER OF STODDARD COUNTY</t>
  </si>
  <si>
    <t>GOLDEN VALLEY MEMORIAL HOSPITAL</t>
  </si>
  <si>
    <t>CITIZENS MEMORIAL HOSPITAL</t>
  </si>
  <si>
    <t>NHC HEALTHCARE, TOWN &amp; COUNTRY</t>
  </si>
  <si>
    <t>KABUL NURSING HOMES INC</t>
  </si>
  <si>
    <t>MASON POINTE CARE CENTER</t>
  </si>
  <si>
    <t>CAMDENTON WINDSOR ESTATES</t>
  </si>
  <si>
    <t>JOHN KNOX VILLAGE CARE CENTER</t>
  </si>
  <si>
    <t>DELMAR GARDENS WEST</t>
  </si>
  <si>
    <t>BETH HAVEN NURSING HOME</t>
  </si>
  <si>
    <t>MOORE-FEW CARE CENTER</t>
  </si>
  <si>
    <t>FRONTIER HEALTH &amp; REHABILITATION</t>
  </si>
  <si>
    <t>ST SOPHIA HEALTH &amp; REHABILITATION CENTER</t>
  </si>
  <si>
    <t>FRIENDSHIP VILLAGE CHESTERFIELD</t>
  </si>
  <si>
    <t>LEBANON NORTH NURSING &amp; REHAB</t>
  </si>
  <si>
    <t>BIG BEND WOODS HEALTHCARE CENTER</t>
  </si>
  <si>
    <t>SUNSET VILLAGE OF THE OZARKS INC</t>
  </si>
  <si>
    <t>FRIENDSHIP VILLAGE SUNSET HILLS</t>
  </si>
  <si>
    <t>MARYMOUNT MANOR</t>
  </si>
  <si>
    <t>CHATEAU GIRARDEAU</t>
  </si>
  <si>
    <t>SWOPE RIDGE GERIATRIC CENTER</t>
  </si>
  <si>
    <t>FOUR SEASONS LIVING CENTER</t>
  </si>
  <si>
    <t>NHC HEALTHCARE, WEST PLAINS</t>
  </si>
  <si>
    <t>DELMAR GARDENS ON THE GREEN</t>
  </si>
  <si>
    <t>SPRINGFIELD REHABILITATION &amp; HEALTH CARE CENTER</t>
  </si>
  <si>
    <t>NHC HEALTHCARE, DESLOGE</t>
  </si>
  <si>
    <t>MARY, QUEEN AND MOTHER CENTER</t>
  </si>
  <si>
    <t>LEWIS &amp; CLARK GARDENS</t>
  </si>
  <si>
    <t>WILSON'S CREEK NURSING &amp; REHAB</t>
  </si>
  <si>
    <t>MACON HEALTH CARE CENTER</t>
  </si>
  <si>
    <t>WEST VUE NURSING AND REHABILITATION CENTER</t>
  </si>
  <si>
    <t>CHARLESTON MANOR</t>
  </si>
  <si>
    <t>NHC HEALTHCARE, ST CHARLES</t>
  </si>
  <si>
    <t>HIGHLAND REHABILITATION &amp; HEALTH CARE CENTER</t>
  </si>
  <si>
    <t>NHC HEALTHCARE, KENNETT</t>
  </si>
  <si>
    <t>PIONEER SKILLED NURSING CENTER</t>
  </si>
  <si>
    <t>DELMAR GARDENS OF CHESTERFIELD</t>
  </si>
  <si>
    <t>OSAGE BEACH REHABILITATION AND HEALTH CARE CENTER</t>
  </si>
  <si>
    <t>VILLAGE NORTH RETIREMENT AND HEALTH CENTER</t>
  </si>
  <si>
    <t>NHC HEALTHCARE, JOPLIN</t>
  </si>
  <si>
    <t>OZARK REHABILITATION &amp; HEALTH CARE CENTER</t>
  </si>
  <si>
    <t>WARRENTON MANOR</t>
  </si>
  <si>
    <t>AURORA NURSING CENTER</t>
  </si>
  <si>
    <t>LIFE CARE CENTER OF CAPE GIRARDEAU</t>
  </si>
  <si>
    <t>WESTWOOD HILLS HEALTH &amp; REHABILITATION CENTER</t>
  </si>
  <si>
    <t>ST ANDREW'S AT FRANCIS PLACE</t>
  </si>
  <si>
    <t>TWIN PINES ADULT CARE CENTER</t>
  </si>
  <si>
    <t>PLAZA REHABILITATION &amp; HEALTH CARE CENTER, THE</t>
  </si>
  <si>
    <t>LOCH HAVEN</t>
  </si>
  <si>
    <t>CEDARCREST MANOR</t>
  </si>
  <si>
    <t>CEDARGATE HEALTHCARE</t>
  </si>
  <si>
    <t>VILLA MARIE-A STONEBRIDGE COMMUNITY</t>
  </si>
  <si>
    <t>NEW MADRID LIVING CENTER</t>
  </si>
  <si>
    <t>RIVER OAKS CARE CENTER</t>
  </si>
  <si>
    <t>SCENIC NURSING AND REHABILITATION CENTER, LLC</t>
  </si>
  <si>
    <t>ST JAMES LIVING CENTER</t>
  </si>
  <si>
    <t>OZARK MOUNTAIN REGIONAL HEALTHCARE CENTER</t>
  </si>
  <si>
    <t>MARK TWAIN MANOR</t>
  </si>
  <si>
    <t>MAPLE LAWN NURSING HOME</t>
  </si>
  <si>
    <t>MILAN HEALTH CARE CENTER</t>
  </si>
  <si>
    <t>HERMITAGE NURSING &amp; REHAB</t>
  </si>
  <si>
    <t>COLONIAL SPRINGS HEALTHCARE CENTER</t>
  </si>
  <si>
    <t>SHADY OAKS HEALTHCARE CENTER</t>
  </si>
  <si>
    <t>KIRKSVILLE MANOR CARE CENTER</t>
  </si>
  <si>
    <t>MARIES MANOR</t>
  </si>
  <si>
    <t>TRUMAN HEALTHCARE &amp; REHABILITATION CENTER</t>
  </si>
  <si>
    <t>HEART OF THE OZARKS HEALTHCARE CENTER</t>
  </si>
  <si>
    <t>CLINTON HEALTHCARE AND REHABILITATION CENTER</t>
  </si>
  <si>
    <t>BELLEVIEW VALLEY NURSING HOME</t>
  </si>
  <si>
    <t>MEDICALODGES NEOSHO</t>
  </si>
  <si>
    <t>BREEZY MEADOWS</t>
  </si>
  <si>
    <t>ROLLA MANOR CARE CENTER</t>
  </si>
  <si>
    <t>JEFFERSON CITY MANOR CARE CENTER</t>
  </si>
  <si>
    <t>TABLEROCK HEALTHCARE</t>
  </si>
  <si>
    <t>COX MEDICAL CENTERS MEYER ORTHOPEDIC AND REHAB</t>
  </si>
  <si>
    <t>LIFE CARE CENTER OF CARROLLTON</t>
  </si>
  <si>
    <t>REACH SHORT STAY REHAB</t>
  </si>
  <si>
    <t>PARKSIDE MANOR</t>
  </si>
  <si>
    <t>CARONDELET MANOR</t>
  </si>
  <si>
    <t>WEBB CITY HEALTH AND REHABILITATION CENTER</t>
  </si>
  <si>
    <t>NEW MARK CARE CENTER</t>
  </si>
  <si>
    <t>JOPLIN HEALTH AND REHABILITATION CENTER</t>
  </si>
  <si>
    <t>DELMAR GARDENS SOUTH</t>
  </si>
  <si>
    <t>NHC HEALTHCARE, MARYLAND HEIGHTS</t>
  </si>
  <si>
    <t>PARKLANE CARE AND REHABILITATION CENTER</t>
  </si>
  <si>
    <t>CARTHAGE HEALTH AND REHABILITATION CENTER</t>
  </si>
  <si>
    <t>NIXA NURSING &amp; REHAB</t>
  </si>
  <si>
    <t>WOODLAND MANOR NURSING CENTER</t>
  </si>
  <si>
    <t>DELMAR GARDENS NORTH</t>
  </si>
  <si>
    <t>REPUBLIC NURSING &amp; REHAB</t>
  </si>
  <si>
    <t>PHELPS COUNTY REGIONAL MEDICAL CENTER</t>
  </si>
  <si>
    <t>NORTH VILLAGE PARK</t>
  </si>
  <si>
    <t>SUNSET HILLS HEALTH AND REHABILITATION CENTER</t>
  </si>
  <si>
    <t>JONESBURG NURSING &amp; REHAB</t>
  </si>
  <si>
    <t>WILLOW CARE NURSING HOME</t>
  </si>
  <si>
    <t>CARRIAGE SQUARE LIVING &amp; REHAB CENTER</t>
  </si>
  <si>
    <t>PACIFIC CARE CENTER, LLC</t>
  </si>
  <si>
    <t>WESTCHESTER HOUSE, THE</t>
  </si>
  <si>
    <t>AUTUMN TERRACE HEALTH &amp; REHABILITATION</t>
  </si>
  <si>
    <t>LIFE CARE CENTER OF SULLIVAN</t>
  </si>
  <si>
    <t>PILLARS OF NORTH COUNTY HEALTH &amp; REHAB CENTER, THE</t>
  </si>
  <si>
    <t>DELMAR GARDENS OF CREVE COEUR</t>
  </si>
  <si>
    <t>LIFE CARE CENTER OF BRIDGETON</t>
  </si>
  <si>
    <t>WESTWOOD LIVING CENTER</t>
  </si>
  <si>
    <t>CAMELOT NURSING AND REHABILITATION CENTER</t>
  </si>
  <si>
    <t>GOLDEN YEARS</t>
  </si>
  <si>
    <t>ALEXIAN BROS LANSDOWNE VILLAGE</t>
  </si>
  <si>
    <t>WEST COUNTY CARE CENTER</t>
  </si>
  <si>
    <t>QUAIL RUN HEALTH CARE CENTER</t>
  </si>
  <si>
    <t>MARYVILLE LIVING CENTER</t>
  </si>
  <si>
    <t>LIFE CARE CENTER OF GRANDVIEW</t>
  </si>
  <si>
    <t>VALLEY MANOR AND REHABILITATION CENTER</t>
  </si>
  <si>
    <t>RIVERBEND HEIGHTS HEALTH &amp; REHABILITATION</t>
  </si>
  <si>
    <t>LEWIS COUNTY NURSING HOME DISTRICT</t>
  </si>
  <si>
    <t>RIVERDELL CARE CENTER</t>
  </si>
  <si>
    <t>MEADOWVIEW OF HARRISONVILLE HEALTH &amp; REHABILITATIO</t>
  </si>
  <si>
    <t>RIVERWAYS MANOR</t>
  </si>
  <si>
    <t>LINN LIVING &amp; REHAB CENTER</t>
  </si>
  <si>
    <t>VALLEY-A STONEBRIDGE COMMUNITY, THE</t>
  </si>
  <si>
    <t>MAPLE WOOD CARE CENTER</t>
  </si>
  <si>
    <t>CYPRESS POINT-SKILLED NURSING BY AMERICARE</t>
  </si>
  <si>
    <t>BIRCH VIEW NURSING CENTER</t>
  </si>
  <si>
    <t>CRYSTAL OAKS</t>
  </si>
  <si>
    <t>LIFE CARE CENTER OF WAYNESVILLE</t>
  </si>
  <si>
    <t>JEFFERSON HEALTH CARE</t>
  </si>
  <si>
    <t>ROYAL OAK NURSING AND REHAB, LLC</t>
  </si>
  <si>
    <t>RIVERSIDE NURSING &amp; REHABILITATION CENTER, LLC</t>
  </si>
  <si>
    <t>NORTHWOOD HILLS CARE CENTER</t>
  </si>
  <si>
    <t>DEXTER LIVING CENTER</t>
  </si>
  <si>
    <t>FOUNTAINBLEAU LODGE</t>
  </si>
  <si>
    <t>RIDGEVIEW LIVING COMMUNITY</t>
  </si>
  <si>
    <t>HERITAGE HALL NURSING CENTER</t>
  </si>
  <si>
    <t>HUNTER ACRES CARING CENTER</t>
  </si>
  <si>
    <t>SENATH NURSING AND REHABILITATION, LLC</t>
  </si>
  <si>
    <t>SOUTHBROOK-SKILLED NURSING BY AMERICARE</t>
  </si>
  <si>
    <t>SUNSET HEALTH CARE CENTER</t>
  </si>
  <si>
    <t>DELHAVEN MANOR</t>
  </si>
  <si>
    <t>SHEPHERD OF THE HILLS LIVING CENTER</t>
  </si>
  <si>
    <t>JORDAN CREEK NURSING &amp; REHAB</t>
  </si>
  <si>
    <t>CORI MANOR HEALTHCARE &amp; REHABILITATION CENTER</t>
  </si>
  <si>
    <t>CALIFORNIA CARE CENTER</t>
  </si>
  <si>
    <t>GAMMA ROAD LODGE</t>
  </si>
  <si>
    <t>BROOKE HAVEN HEALTHCARE</t>
  </si>
  <si>
    <t>FESTUS MANOR</t>
  </si>
  <si>
    <t>RANCHO MANOR HEALTHCARE AND REHABILITATION CENTER</t>
  </si>
  <si>
    <t>MAYWOOD TERRACE LIVING CENTER</t>
  </si>
  <si>
    <t>LIFE CARE CENTER OF BROOKFIELD</t>
  </si>
  <si>
    <t>AUTUMN OAKS CARING CENTER</t>
  </si>
  <si>
    <t>MOBERLY NURSING &amp; REHAB</t>
  </si>
  <si>
    <t>GIDEON CARE CENTER</t>
  </si>
  <si>
    <t>BENTONVIEW PARK HEALTH &amp; REHABILITATION</t>
  </si>
  <si>
    <t>POINT LOOKOUT NURSING &amp; REHAB</t>
  </si>
  <si>
    <t>MOUNTAIN VIEW HEALTHCARE</t>
  </si>
  <si>
    <t>SURREY PLACE ST LUKES HOSP SKILLED NURSING AND RCF</t>
  </si>
  <si>
    <t>NEW HAVEN CARE CENTER</t>
  </si>
  <si>
    <t>CLARK'S MOUNTAIN NURSING CENTER</t>
  </si>
  <si>
    <t>ALEXIAN BROS SHERBROOKE VILLAGE</t>
  </si>
  <si>
    <t>DIXON NURSING &amp; REHAB</t>
  </si>
  <si>
    <t>COUNTRY VIEW NURSING FACILITY, INC</t>
  </si>
  <si>
    <t>APPLE RIDGE CARE CENTER</t>
  </si>
  <si>
    <t>WESTVIEW NURSING HOME</t>
  </si>
  <si>
    <t>EDGEWOOD MANOR NURSING HOME</t>
  </si>
  <si>
    <t>OAK PARK CARE CENTER</t>
  </si>
  <si>
    <t>LEBANON SOUTH NURSING &amp; REHAB</t>
  </si>
  <si>
    <t>LAKE REGIONAL HEALTH SYSTEMS</t>
  </si>
  <si>
    <t>BIG RIVER NURSING &amp; REHABILITATION CENTER</t>
  </si>
  <si>
    <t>TRUMAN LAKE MANOR INC</t>
  </si>
  <si>
    <t>LINCOLN COUNTY NURSING &amp; REHAB</t>
  </si>
  <si>
    <t>RIVERVIEW NURSING CENTER</t>
  </si>
  <si>
    <t>ASHTON COURT CARE AND REHABILITATION CENTRE</t>
  </si>
  <si>
    <t>JACKSON MANOR NURSING HOME</t>
  </si>
  <si>
    <t>BARNES-JEWISH EXTENDED CARE</t>
  </si>
  <si>
    <t>GERALD NURSING AND REHAB</t>
  </si>
  <si>
    <t>MANOR, THE</t>
  </si>
  <si>
    <t>BETHANY CARE CENTER</t>
  </si>
  <si>
    <t>WESTRIDGE GARDENS REHAB &amp; HEALTH CARE CENTER</t>
  </si>
  <si>
    <t>COMMUNITY SPRINGS HEALTHCARE FACILITY</t>
  </si>
  <si>
    <t>MCDONALD COUNTY LIVING CENTER</t>
  </si>
  <si>
    <t>MARK TWAIN CARING CENTER</t>
  </si>
  <si>
    <t>BLOOMFIELD LIVING CENTER</t>
  </si>
  <si>
    <t>MT VERNON PLACE CARE CENTER, INC</t>
  </si>
  <si>
    <t>SMITHVILLE LIVING CENTER</t>
  </si>
  <si>
    <t>WILLARD CARE CENTER</t>
  </si>
  <si>
    <t>TRUMAN GARDENS</t>
  </si>
  <si>
    <t>ROSEWOOD CARE CENTER OF ST LOUIS</t>
  </si>
  <si>
    <t>CASSVILLE HEALTH CARE AND REHAB</t>
  </si>
  <si>
    <t>WILLOW CARE REHABILITATION &amp; HEALTH CARE CENTER</t>
  </si>
  <si>
    <t>GLENNON PLACE NURSING CENTER</t>
  </si>
  <si>
    <t>OZARK RIVERVIEW MANOR</t>
  </si>
  <si>
    <t>LAKE STOCKTON HEALTHCARE FACILITY</t>
  </si>
  <si>
    <t>GRANBY HOUSE</t>
  </si>
  <si>
    <t>LEVERING REGIONAL HEALTH CARE CENTER</t>
  </si>
  <si>
    <t>HOUSTON HOUSE</t>
  </si>
  <si>
    <t>BUFFALO PRAIRIE CARE CENTER</t>
  </si>
  <si>
    <t>BRENT B TINNIN MANOR</t>
  </si>
  <si>
    <t>GLENDALE GARDENS NURSING &amp; REHAB</t>
  </si>
  <si>
    <t>COUNTRY AIRE RETIREMENT ESTATES</t>
  </si>
  <si>
    <t>MARANATHA VILLAGE, INC</t>
  </si>
  <si>
    <t>REHABILITATION CENTER OF RAYMORE, THE</t>
  </si>
  <si>
    <t>SPRINGFIELD SKILLED CARE CENTER</t>
  </si>
  <si>
    <t>SIKESTON CONVALESCENT CENTER</t>
  </si>
  <si>
    <t>GRAND RIVER HEALTH CARE</t>
  </si>
  <si>
    <t>PIN OAKS LIVING CENTER</t>
  </si>
  <si>
    <t>RIVER CITY LIVING COMMUNITY</t>
  </si>
  <si>
    <t>CLARK COUNTY NURSING HOME</t>
  </si>
  <si>
    <t>STONEBRIDGE MARYLAND HEIGHTS</t>
  </si>
  <si>
    <t>ST GENEVIEVE CARE CENTER INC</t>
  </si>
  <si>
    <t>LIBERTY TERRACE HEALTHCARE AND REHABILITATION CTR</t>
  </si>
  <si>
    <t>SENECA HOUSE</t>
  </si>
  <si>
    <t>CHAFFEE NURSING CENTER</t>
  </si>
  <si>
    <t>MEDICALODGES NEVADA</t>
  </si>
  <si>
    <t>ROCKY RIDGE MANOR</t>
  </si>
  <si>
    <t>ST CLAIR NURSING CENTER</t>
  </si>
  <si>
    <t>PUXICO NURSING AND REHABILITATION CENTER</t>
  </si>
  <si>
    <t>BLUFFS, THE</t>
  </si>
  <si>
    <t>BERNARD CARE CENTER</t>
  </si>
  <si>
    <t>NEW HAVEN LIVING CENTER</t>
  </si>
  <si>
    <t>HEARTLAND CARE AND REHABILITATION CENTER</t>
  </si>
  <si>
    <t>CURRENT RIVER NURSING CENTER, INC</t>
  </si>
  <si>
    <t>PINE VIEW MANOR INC</t>
  </si>
  <si>
    <t>MAR-SALINE MANOR CARE CENTER</t>
  </si>
  <si>
    <t>SOUTH COUNTY NURSING HOME INC</t>
  </si>
  <si>
    <t>HIDDEN LAKE CARE CENTER</t>
  </si>
  <si>
    <t>LEE'S SUMMIT POINTE HEALTH &amp; REHABILITATION</t>
  </si>
  <si>
    <t>ABC HEALTH CARE</t>
  </si>
  <si>
    <t>CLARU DEVILLE NURSING CENTER</t>
  </si>
  <si>
    <t>GEORGIAN GARDENS</t>
  </si>
  <si>
    <t>FAYETTE CARING CENTER</t>
  </si>
  <si>
    <t>WINDSOR ESTATES OF ST CHARLES SNAL, LLC</t>
  </si>
  <si>
    <t>PARKVIEW HEALTH CARE FACILITY</t>
  </si>
  <si>
    <t>WEBCO MANOR</t>
  </si>
  <si>
    <t>SEVILLE CARE CENTER</t>
  </si>
  <si>
    <t>LAKEVIEW HEALTH CARE &amp; REHABILITATION CENTER</t>
  </si>
  <si>
    <t>PARKWOOD SKILLED NURSING AND REHABILITATION CENTER</t>
  </si>
  <si>
    <t>NORTHVIEW VILLAGE</t>
  </si>
  <si>
    <t>CHARITON PARK HEALTH CARE CENTER</t>
  </si>
  <si>
    <t>GOOD SHEPHERD CARE CENTER</t>
  </si>
  <si>
    <t>CHRISTIAN CARE HOME</t>
  </si>
  <si>
    <t>JEFFERSON CITY NURSING AND REHABILITATION CTR, LLC</t>
  </si>
  <si>
    <t>HERITAGE NURSING CENTER-SKILLED NURS BY AMERICARE</t>
  </si>
  <si>
    <t>PARKWAY HEALTH CARE CENTER</t>
  </si>
  <si>
    <t>GLASGOW GARDENS</t>
  </si>
  <si>
    <t>VALLEY VIEW HEALTH &amp; REHABILITATION</t>
  </si>
  <si>
    <t>TARKIO REHABILITATION &amp; HEALTH CARE</t>
  </si>
  <si>
    <t>ROARING RIVER HEALTH AND REHABILITATION</t>
  </si>
  <si>
    <t>BALLWIN RIDGE HEALTH &amp; REHABILITATION</t>
  </si>
  <si>
    <t>CITIZENS MEMORIAL HEALTHCARE FACILITY</t>
  </si>
  <si>
    <t>GASCONADE MANOR NURSING HOME</t>
  </si>
  <si>
    <t>GREENVILLE NURSING AND REHABILITATION, LLC</t>
  </si>
  <si>
    <t>MINER NURSING CENTER</t>
  </si>
  <si>
    <t>PORTAGEVILLE NURSING AND REHABILITATION, LLC</t>
  </si>
  <si>
    <t>ADVANCE NURSING CENTER</t>
  </si>
  <si>
    <t>EAST PRAIRIE NURSING CENTER</t>
  </si>
  <si>
    <t>CROWLEY RIDGE CARE CENTER</t>
  </si>
  <si>
    <t>WOODLAND HILLS-A STONEBRIDGE COMMUNITY</t>
  </si>
  <si>
    <t>MERAMEC NURSING CENTER</t>
  </si>
  <si>
    <t>ELDON NURSING &amp; REHAB</t>
  </si>
  <si>
    <t>OAKDALE CARE CENTER</t>
  </si>
  <si>
    <t>HERITAGE GARDENS OF SIKESTON</t>
  </si>
  <si>
    <t>NEVADA NURSING &amp; REHAB</t>
  </si>
  <si>
    <t>MAPLES HEALTH AND REHABILITATION, THE</t>
  </si>
  <si>
    <t>MEDICALODGES BUTLER</t>
  </si>
  <si>
    <t>PLEASANT HILL HEALTH AND REHABILITATION CENTER</t>
  </si>
  <si>
    <t>WARSAW HEALTH AND REHABILITATION CENTER</t>
  </si>
  <si>
    <t>ASH GROVE HEALTHCARE FACILITY</t>
  </si>
  <si>
    <t>DADE COUNTY NURSING HOME DISTRICT</t>
  </si>
  <si>
    <t>BIG SPRING CARE CENTER</t>
  </si>
  <si>
    <t>MONROE CITY MANOR CARE CENTER</t>
  </si>
  <si>
    <t>MARSHFIELD CARE CENTER</t>
  </si>
  <si>
    <t>NORMANDY NURSING CENTER</t>
  </si>
  <si>
    <t>MONTEREY PARK REHABILITATION &amp; HEALTH CARE CENTER</t>
  </si>
  <si>
    <t>PRESBYTERIAN MANOR OF ROLLA</t>
  </si>
  <si>
    <t>FULTON PRESBYTERIAN MANOR</t>
  </si>
  <si>
    <t>STONECREST HEALTHCARE</t>
  </si>
  <si>
    <t>FARMINGTON PRESBYTERIAN MANOR</t>
  </si>
  <si>
    <t>HILLSIDE MANOR HEALTHCARE AND REHAB CENTER</t>
  </si>
  <si>
    <t>ST LOUIS PLACE HEALTH &amp; REHABILITATION</t>
  </si>
  <si>
    <t>ST PETERS MANOR CARE CENTER</t>
  </si>
  <si>
    <t>MONROE MANOR</t>
  </si>
  <si>
    <t>PARKDALE MANOR CARE CENTER</t>
  </si>
  <si>
    <t>HARTVILLE CARE CENTER</t>
  </si>
  <si>
    <t>OZARKS METHODIST MANOR, THE</t>
  </si>
  <si>
    <t>SHANGRI LA REHAB &amp; LIVING CENTER</t>
  </si>
  <si>
    <t>BLUE RIVER REHABILITATION CENTER</t>
  </si>
  <si>
    <t>BRUNSWICK NURSING HOME</t>
  </si>
  <si>
    <t>CLARENCE CARE CENTER</t>
  </si>
  <si>
    <t>LUTHERAN CONVALESCENT HOME</t>
  </si>
  <si>
    <t>FORSYTH CARE CENTER</t>
  </si>
  <si>
    <t>SWEET SPRINGS VILLA</t>
  </si>
  <si>
    <t>CRYSTAL CREEK HEALTH AND REHABILITATION CENTER</t>
  </si>
  <si>
    <t>MALDEN NURSING &amp; REHAB</t>
  </si>
  <si>
    <t>LIFE CARE CENTER OF ST LOUIS</t>
  </si>
  <si>
    <t>SILEX COMMUNITY CARE</t>
  </si>
  <si>
    <t>CLEARVIEW NURSING CENTER</t>
  </si>
  <si>
    <t>SPRING RIVER CHRISTIAN VILLAGE INC</t>
  </si>
  <si>
    <t>SOUTH HAMPTON PLACE</t>
  </si>
  <si>
    <t>HILLCREST CARE CENTER INC</t>
  </si>
  <si>
    <t>LIVINGSTON MANOR CARE CENTER</t>
  </si>
  <si>
    <t>NEW FLORENCE NURSING AND CARE CENTER</t>
  </si>
  <si>
    <t>GARDEN VIEW CARE CENTER OF CHESTERFIELD</t>
  </si>
  <si>
    <t>OREGON CARE CENTER</t>
  </si>
  <si>
    <t>LICKING PARK MANOR</t>
  </si>
  <si>
    <t>CAMERON NURSING AND REHABILITATION CENTER</t>
  </si>
  <si>
    <t>LACOBA HOMES INC</t>
  </si>
  <si>
    <t>NAZARETH LIVING CENTER</t>
  </si>
  <si>
    <t>TIMBERLAKE CARE CENTER</t>
  </si>
  <si>
    <t>TRI-COUNTY CARE CENTER</t>
  </si>
  <si>
    <t>LENOIR HEALTH CARE CENTER</t>
  </si>
  <si>
    <t>VILLAGE CARE CENTER INC</t>
  </si>
  <si>
    <t>MCLARNEY MANOR</t>
  </si>
  <si>
    <t>COUNTRY CLUB CARE CENTER OF WARRENSBURG</t>
  </si>
  <si>
    <t>LA BELLE MANOR CARE CENTER</t>
  </si>
  <si>
    <t>CROWN CARE CENTER</t>
  </si>
  <si>
    <t>MONITEAU CARE CENTER</t>
  </si>
  <si>
    <t>SARCOXIE NURSING CENTER</t>
  </si>
  <si>
    <t>FRENE VALLEY OF HERMANN-A STONEBRIDGE COMMUNITY</t>
  </si>
  <si>
    <t>CUBA MANOR INC</t>
  </si>
  <si>
    <t>FOUNTAINBLEAU NURSING CENTER</t>
  </si>
  <si>
    <t>GOLDEN AGE LIVING CENTER</t>
  </si>
  <si>
    <t>STRAFFORD CARE CENTER</t>
  </si>
  <si>
    <t>ABBEY WOOD'S</t>
  </si>
  <si>
    <t>ST LUKE'S NURSING CENTER INC</t>
  </si>
  <si>
    <t>FULTON NURSING &amp; REHAB</t>
  </si>
  <si>
    <t>JAMES RIVER CARE AND REHABILITATION CENTER, INC</t>
  </si>
  <si>
    <t>HILL CREST MANOR</t>
  </si>
  <si>
    <t>LAWSON MANOR &amp; REHAB</t>
  </si>
  <si>
    <t>MEYER CARE CENTER</t>
  </si>
  <si>
    <t>CARRIE ELLIGSON GIETNER HOME</t>
  </si>
  <si>
    <t>WARRENSBURG MANOR CARE CENTER</t>
  </si>
  <si>
    <t>FRENE VALLEY OF OWENSVILLE-A STONEBRIDGE COMMUNITY</t>
  </si>
  <si>
    <t>DUTCHTOWN CARE CENTER</t>
  </si>
  <si>
    <t>GIBBS CARE CENTER</t>
  </si>
  <si>
    <t>ST FRANCOIS MANOR</t>
  </si>
  <si>
    <t>ST ELIZABETH CARE CENTER</t>
  </si>
  <si>
    <t>GENERAL BAPTIST NURSING HOME</t>
  </si>
  <si>
    <t>BERTRAND NURSING AND REHAB CENTER</t>
  </si>
  <si>
    <t>PLEASANT VALLEY MANOR CARE CENTER</t>
  </si>
  <si>
    <t>POTOSI MANOR, INC</t>
  </si>
  <si>
    <t>INDEPENDENCE MANOR CARE CENTER</t>
  </si>
  <si>
    <t>WINDSOR HEALTHCARE &amp; REHAB CENTER</t>
  </si>
  <si>
    <t>LIVING CENTER, THE</t>
  </si>
  <si>
    <t>LUTHER MANOR RETIREMENT &amp; NURSING CENTER</t>
  </si>
  <si>
    <t>REHABILITATION CENTER OF INDEPENDENCE, THE</t>
  </si>
  <si>
    <t>SALT RIVER COMMUNITY CARE</t>
  </si>
  <si>
    <t>HILLVIEW NURSING &amp; REHAB</t>
  </si>
  <si>
    <t>GARDEN VALLEY NURSING &amp; REHABILITATION CENTER</t>
  </si>
  <si>
    <t>NICK'S HEALTH CARE CENTER, LLC</t>
  </si>
  <si>
    <t>BEAUVAIS MANOR HEALTHCARE &amp; REHAB CENTER</t>
  </si>
  <si>
    <t>WILSHIRE AT LAKEWOOD</t>
  </si>
  <si>
    <t>ST JOE MANOR</t>
  </si>
  <si>
    <t>TROY MANOR</t>
  </si>
  <si>
    <t>GREEN PARK SENIOR LIVING COMMUNITY</t>
  </si>
  <si>
    <t>ESTATES OF PERRYVILLE, LLC, THE</t>
  </si>
  <si>
    <t>GOOD SHEPHERD COMMUNITY CARE AND REHABILITATION</t>
  </si>
  <si>
    <t>CARROLL HOUSE</t>
  </si>
  <si>
    <t>ASHLAND HEALTHCARE</t>
  </si>
  <si>
    <t>SHIRKEY NURSING AND REHABILITATION CENTER</t>
  </si>
  <si>
    <t>BELLEFONTAINE GARDENS NURSING &amp; REHAB</t>
  </si>
  <si>
    <t>OAK GROVE NURSING &amp; REHAB</t>
  </si>
  <si>
    <t>DELMAR GARDENS OF MERAMEC VALLEY</t>
  </si>
  <si>
    <t>ESTATES OF ST LOUIS, LLC, THE</t>
  </si>
  <si>
    <t>MILLER COUNTY CARE AND REHABILITATION CENTER</t>
  </si>
  <si>
    <t>BAISCH NURSING CENTER</t>
  </si>
  <si>
    <t>SUNNYVIEW NURSING HOME &amp; APARTMENTS</t>
  </si>
  <si>
    <t>MONTICELLO HOUSE</t>
  </si>
  <si>
    <t>GRAND MANOR NURSING &amp; REHABILITATION CENTER</t>
  </si>
  <si>
    <t>OAKWOOD ESTATE NURSING AND REHABILITATION CENTER</t>
  </si>
  <si>
    <t>CREVE COEUR MANOR</t>
  </si>
  <si>
    <t>GREGORY RIDGE HEALTH CARE CENTER</t>
  </si>
  <si>
    <t>BOTHWELL REGIONAL HEALTH CENTER</t>
  </si>
  <si>
    <t>CARMEL HILLS HEALTHCARE AND REHABILITATION CENTER</t>
  </si>
  <si>
    <t>KING CITY MANOR</t>
  </si>
  <si>
    <t>DAVIESS COUNTY NURSING AND REHABILITATION</t>
  </si>
  <si>
    <t>EASTVIEW MANOR CARE CENTER</t>
  </si>
  <si>
    <t>MAGNOLIA SQUARE NURSING AND REHABILITATION CENTER</t>
  </si>
  <si>
    <t>BENTLEYS EXTENDED CARE</t>
  </si>
  <si>
    <t>ST JOHNS PLACE</t>
  </si>
  <si>
    <t>COUNTRY MEADOWS</t>
  </si>
  <si>
    <t>APERION CARE HIDDEN LAKE</t>
  </si>
  <si>
    <t>U-CITY FOREST MANOR</t>
  </si>
  <si>
    <t>LAURIE CARE CENTER</t>
  </si>
  <si>
    <t>ASHLEY MANOR CARE CENTER</t>
  </si>
  <si>
    <t>HOLDEN MANOR CARE CENTER</t>
  </si>
  <si>
    <t>MAPLE GROVE LODGE</t>
  </si>
  <si>
    <t>OAKRIDGE OF PLATTSBURG</t>
  </si>
  <si>
    <t>RIVERVIEW AT THE PARK CARE AND REHABILITATION CTR</t>
  </si>
  <si>
    <t>PLEASANT VIEW</t>
  </si>
  <si>
    <t>TIFFANY HEIGHTS</t>
  </si>
  <si>
    <t>RATLIFF CARE CENTER</t>
  </si>
  <si>
    <t>TIPTON OAK MANOR</t>
  </si>
  <si>
    <t>BENCHMARK HEALTHCARE OF FESTUS</t>
  </si>
  <si>
    <t>RIVERVIEW, THE</t>
  </si>
  <si>
    <t>LAWRENCE COUNTY MANOR</t>
  </si>
  <si>
    <t>OZARK NURSING AND CARE CENTER</t>
  </si>
  <si>
    <t>DIVERSICARE OF ST JOSEPH</t>
  </si>
  <si>
    <t>RICHLAND CARE CENTER INC</t>
  </si>
  <si>
    <t>BETHESDA SOUTHGATE</t>
  </si>
  <si>
    <t>BENTWOOD NURSING &amp; REHAB</t>
  </si>
  <si>
    <t>HOLMESDALE HEALTHCARE AND REHABILITATION CENTER</t>
  </si>
  <si>
    <t>ST MARYS MANOR</t>
  </si>
  <si>
    <t>FULTON MANOR CARE CENTER</t>
  </si>
  <si>
    <t>LINCOLN COMMUNITY CARE CENTER</t>
  </si>
  <si>
    <t>LAVERNA VILLAGE OF ST JOSEPH</t>
  </si>
  <si>
    <t>KNOX COUNTY NURSING HOME DISTRICT</t>
  </si>
  <si>
    <t>BETHESDA DILWORTH</t>
  </si>
  <si>
    <t>LUTHERAN NURSING HOME</t>
  </si>
  <si>
    <t>BETHESDA MEADOW</t>
  </si>
  <si>
    <t>LUTHERAN SENIOR SERVICES AT BREEZE PARK</t>
  </si>
  <si>
    <t>BISHOP SPENCER PLACE, INC, THE</t>
  </si>
  <si>
    <t>SUMMIT, THE</t>
  </si>
  <si>
    <t>GOOD SAMARITAN CARE CENTER</t>
  </si>
  <si>
    <t>SOUTHGATE LIVING CENTER</t>
  </si>
  <si>
    <t>VILLAS-A STONEBRIDGE COMMUNITY, THE</t>
  </si>
  <si>
    <t>WORTH COUNTY CONVALESCENT CENTER</t>
  </si>
  <si>
    <t>COTTON POINT LIVING CENTER</t>
  </si>
  <si>
    <t>COMMUNITY CARE CENTER OF LEMAY INC</t>
  </si>
  <si>
    <t>ESTATES OF SPANISH LAKE, THE</t>
  </si>
  <si>
    <t>WESTPHALIA HILLS-A STONEBRIDGE COMMUNITY</t>
  </si>
  <si>
    <t>COLUMBIA MANOR CARE CENTER</t>
  </si>
  <si>
    <t>LAKESIDE MEADOWS-A STONEBRIDGE COMMUNITY</t>
  </si>
  <si>
    <t>ADRIAN MANOR HEALTH &amp; REHABILITATION CENTER</t>
  </si>
  <si>
    <t>MOORE-PIKE NURSING HOME</t>
  </si>
  <si>
    <t>BEAUTIFUL SAVIOR HOME</t>
  </si>
  <si>
    <t>MOUNT CARMEL SENIOR LIVING - ST CHARLES, LLC</t>
  </si>
  <si>
    <t>LIVING COMMUNITY OF ST JOSEPH</t>
  </si>
  <si>
    <t>INDIAN HILLS-A STONEBRIDGE COMMUNITY</t>
  </si>
  <si>
    <t>ROSEWOOD HEALTH AND REHAB CENTER</t>
  </si>
  <si>
    <t>LA VERNA VILLAGE NURSING HOME</t>
  </si>
  <si>
    <t>SCOTLAND COUNTY CARE CENTER</t>
  </si>
  <si>
    <t>BROOKING PARK</t>
  </si>
  <si>
    <t>DELMAR GARDENS OF O'FALLON</t>
  </si>
  <si>
    <t>LA PLATA NURSING HOME</t>
  </si>
  <si>
    <t>KINGSWOOD</t>
  </si>
  <si>
    <t>PEARL'S II EDEN FOR ELDERS</t>
  </si>
  <si>
    <t>RIDGE CREST NURSING CENTER</t>
  </si>
  <si>
    <t>COMMUNITY MANOR</t>
  </si>
  <si>
    <t>NEIGHBORHOODS AT QUAIL CREEK, THE</t>
  </si>
  <si>
    <t>GOWER CONVALESCENT CENTER, INC</t>
  </si>
  <si>
    <t>KATY MANOR</t>
  </si>
  <si>
    <t>ARMOUR OAKS SENIOR LIVING COMMUNITY</t>
  </si>
  <si>
    <t>FOXWOOD SPRINGS LIVING CENTER</t>
  </si>
  <si>
    <t>MANOR AT ELFINDALE, THE</t>
  </si>
  <si>
    <t>LUTHERAN SENIOR SERVICES AT MERAMEC BLUFFS</t>
  </si>
  <si>
    <t>CRESTVIEW HOME</t>
  </si>
  <si>
    <t>GARDEN VIEW CARE CENTER AT DOUGHERTY FERRY</t>
  </si>
  <si>
    <t>ADAMS STREET -A STONEBRIDGE COMMUNITY</t>
  </si>
  <si>
    <t>MORNINGSIDE CENTER</t>
  </si>
  <si>
    <t>MERCY VILLA</t>
  </si>
  <si>
    <t>SCHUYLER COUNTY NURSING HOME</t>
  </si>
  <si>
    <t>GARRISON CARE CENTER</t>
  </si>
  <si>
    <t>OAK TREE VILLAS-A STONEBRIDGE COMMUNITY</t>
  </si>
  <si>
    <t>VILLAGES OF JACKSON CREEK, THE</t>
  </si>
  <si>
    <t>EXCELSIOR SPRINGS NURSING &amp; REHAB</t>
  </si>
  <si>
    <t>BRIDGEWOOD HEALTH CARE CENTER</t>
  </si>
  <si>
    <t>CRESTWOOD HEALTH CARE CENTER, LLC</t>
  </si>
  <si>
    <t>VILLAGES OF ST PETERS, THE</t>
  </si>
  <si>
    <t>ELSBERRY MISSOURI HEALTH CARE CENTER</t>
  </si>
  <si>
    <t>PUTNAM COUNTY CARE CENTER</t>
  </si>
  <si>
    <t>RIVERSIDE PLACE</t>
  </si>
  <si>
    <t>AVALON GARDEN</t>
  </si>
  <si>
    <t>INDEPENDENCE CARE CENTER OF PERRY COUNTY</t>
  </si>
  <si>
    <t>BROOK CHATEAU LLC</t>
  </si>
  <si>
    <t>ACKERT PARK SKILLED NURSING &amp; REHABILITATION CENTE</t>
  </si>
  <si>
    <t>SENATH SOUTH NURSING AND REHABILITATION, LLC</t>
  </si>
  <si>
    <t>MANOR GROVE, INCORPORATED</t>
  </si>
  <si>
    <t>QUARTERS AT DES PERES, THE</t>
  </si>
  <si>
    <t>BROOKHAVEN NURSING &amp; REHAB</t>
  </si>
  <si>
    <t>NODAWAY NURSING HOME</t>
  </si>
  <si>
    <t>ST JOSEPH'S BLUFFS</t>
  </si>
  <si>
    <t>LIFE CARE CENTER OF FLORISSANT</t>
  </si>
  <si>
    <t>MOUNT CARMEL SENIOR LIVING - O'FALLON, LLC</t>
  </si>
  <si>
    <t>NEIGHBORHOODS REHAB &amp; SKILLED NURSING BY TIGERPLAC</t>
  </si>
  <si>
    <t>ABERDEEN HEIGHTS</t>
  </si>
  <si>
    <t>SSM HEALTH DEPAUL HOSPITAL - ANNA HOUSE</t>
  </si>
  <si>
    <t>APPLETON CITY MANOR</t>
  </si>
  <si>
    <t>ROLLA HEALTH &amp; REHABILITATION SUITES</t>
  </si>
  <si>
    <t>TRUMAN MEDICAL CENTER LAKEWOOD CARE CENTER</t>
  </si>
  <si>
    <t>SHADY LAWN LIVING CENTER</t>
  </si>
  <si>
    <t>SONSHINE MANOR</t>
  </si>
  <si>
    <t>COMMUNITIES OF WILDWOOD RANCH</t>
  </si>
  <si>
    <t>MCKNIGHT PLACE EXTENDED CARE</t>
  </si>
  <si>
    <t>SEASONS CARE CENTER</t>
  </si>
  <si>
    <t>SILVERSTONE PLACE</t>
  </si>
  <si>
    <t>ST JOSEPH CHATEAU</t>
  </si>
  <si>
    <t>JOPLIN GARDENS</t>
  </si>
  <si>
    <t>ST PETER'S HOSPITAL</t>
  </si>
  <si>
    <t>NORTHERN MONTANA HOSPITAL</t>
  </si>
  <si>
    <t>BENEFIS EXTENDED CARE CENTER</t>
  </si>
  <si>
    <t>VALLEY HEALTH CARE CENTER</t>
  </si>
  <si>
    <t>VALLE VISTA HEALTHCARE COMMUNITY</t>
  </si>
  <si>
    <t>ST JOHN'S LUTHERAN HOME</t>
  </si>
  <si>
    <t>HERITAGE PLACE HEALTHCARE COMMUNITY</t>
  </si>
  <si>
    <t>MISSOURI RIVER CENTER</t>
  </si>
  <si>
    <t>HILLSIDE HEALTH CARE CENTER</t>
  </si>
  <si>
    <t>BILLINGS HEALTH &amp; REHAB COMMUNITY</t>
  </si>
  <si>
    <t>KINDRED TRANSITIONAL CARE &amp; REHAB - PARK PLACE</t>
  </si>
  <si>
    <t>MISSOULA HEALTH &amp; REHABILITATION CENTER</t>
  </si>
  <si>
    <t>MOUNTAIN VIEW HEALTHCARE COMMUNITY</t>
  </si>
  <si>
    <t>LIBBY CARE CENTER</t>
  </si>
  <si>
    <t>VILLAGE HEALTH CARE CENTER</t>
  </si>
  <si>
    <t>BIG SKY HEALTHCARE COMMUNITY</t>
  </si>
  <si>
    <t>LIVINGSTON HEALTH &amp; REHABILITATION CENTER</t>
  </si>
  <si>
    <t>POLSON HEALTH &amp; REHABILITATION CENTER</t>
  </si>
  <si>
    <t>CEDAR WOOD HEALTHCARE COMMUNITY</t>
  </si>
  <si>
    <t>ELKHORN HEALTHCARE &amp; REHABILITATION</t>
  </si>
  <si>
    <t>COPPER RIDGE HEALTH &amp; REHABILITATION CENTER</t>
  </si>
  <si>
    <t>MISSOURI RIVER MEDICAL CENTER N H</t>
  </si>
  <si>
    <t>CENTRAL MONTANA NURSING &amp; REHABILITATION CENTER</t>
  </si>
  <si>
    <t>COMMUNITY NURSING HOME OF ANACONDA</t>
  </si>
  <si>
    <t>GALLATIN REST HOME</t>
  </si>
  <si>
    <t>GLENDIVE MEDICAL CENTER N H</t>
  </si>
  <si>
    <t>HOT SPRINGS HEALTH &amp; REHABILITATION CENTER</t>
  </si>
  <si>
    <t>SHERIDAN MEMORIAL NURSING HOME</t>
  </si>
  <si>
    <t>WIBAUX COUNTY NURSING HOME</t>
  </si>
  <si>
    <t>APPLE REHAB COONEY</t>
  </si>
  <si>
    <t>FRIENDSHIP VILLA HEALTHCARE COMMUNITY</t>
  </si>
  <si>
    <t>GARFIELD COUNTY HEALTH CENTER</t>
  </si>
  <si>
    <t>GOOD SAMARITAN SOCIETY - MOUNTAIN VIEW MANOR</t>
  </si>
  <si>
    <t>POWDER RIVER MANOR</t>
  </si>
  <si>
    <t>BEARTOOTH HEALTHCARE COMMUNITY</t>
  </si>
  <si>
    <t>VALLEY VIEW HOME</t>
  </si>
  <si>
    <t>LAKE VIEW HEALTHCARE COMMUNITY</t>
  </si>
  <si>
    <t>PONDEROSA PINES HEALTH CARE</t>
  </si>
  <si>
    <t>MONTANA VETERANS HOME N H</t>
  </si>
  <si>
    <t>VALLEY VIEW ESTATES HEALTH CARE CENTER</t>
  </si>
  <si>
    <t>BUTTE CENTER</t>
  </si>
  <si>
    <t>GLACIER CARE CENTER</t>
  </si>
  <si>
    <t>DAHL MEMORIAL NURSING HOME</t>
  </si>
  <si>
    <t>HOLY ROSARY EXTENDED CARE UNIT</t>
  </si>
  <si>
    <t>BRENDAN HOUSE</t>
  </si>
  <si>
    <t>LAUREL HEALTH &amp; REHABILITATION CENTER</t>
  </si>
  <si>
    <t>NORTHERN MONTANA CARE CENTER</t>
  </si>
  <si>
    <t>ROCKY MOUNTAIN HEALTHCARE COMMUNITY</t>
  </si>
  <si>
    <t>BRIDGER REHAB AND CARE COMMUNITY</t>
  </si>
  <si>
    <t>PONDERA MEDICAL CENTER LTC</t>
  </si>
  <si>
    <t>PARKVIEW HEALTHCARE COMMUNITY</t>
  </si>
  <si>
    <t>SIDNEY HEALTH CENTER EXTENDED CARE</t>
  </si>
  <si>
    <t>CREST NURSING HOME</t>
  </si>
  <si>
    <t>EAGLE CLIFF HEALTHCARE COMMUNITY</t>
  </si>
  <si>
    <t>KINDRED NURSING AND REHABILITATION - PARKVIEW</t>
  </si>
  <si>
    <t>THE LIVING CENTRE</t>
  </si>
  <si>
    <t>SWEET MEMORIAL NURSING HOME</t>
  </si>
  <si>
    <t>IMMANUEL SKILLED CARE CENTER</t>
  </si>
  <si>
    <t>HI-LINE RETIREMENT CENTER</t>
  </si>
  <si>
    <t>WHITEFISH CENTER</t>
  </si>
  <si>
    <t>DEER LODGE</t>
  </si>
  <si>
    <t>DISCOVERY CARE CENTRE LTD</t>
  </si>
  <si>
    <t>MADISON VALLEY MANOR</t>
  </si>
  <si>
    <t>ASPEN MEADOWS RETIREMENT COMMUNITY</t>
  </si>
  <si>
    <t>EASTERN MONTANA VETERANS HOME</t>
  </si>
  <si>
    <t>TOBACCO ROOT MOUNTAINS CARE CENTER</t>
  </si>
  <si>
    <t>BILLINGS CLINIC TCU</t>
  </si>
  <si>
    <t>COLUMBUS COMMUNITY HOSPITAL</t>
  </si>
  <si>
    <t>SUMNER PLACE</t>
  </si>
  <si>
    <t>ST JANE DE CHANTAL LONG TERM CARE SERVICES</t>
  </si>
  <si>
    <t>DOUGLAS COUNTY HEALTH CENTER</t>
  </si>
  <si>
    <t>EASTMONT TOWERS</t>
  </si>
  <si>
    <t>HOMESTEAD NURSING &amp; REHABILITATION CENTER</t>
  </si>
  <si>
    <t>AZRIA HEALTH AT MONTCLAIR</t>
  </si>
  <si>
    <t>FALLS CITY NURSING AND REHABILITATION CENTER</t>
  </si>
  <si>
    <t>TABITHA NURSING HOME</t>
  </si>
  <si>
    <t>NEBRASKA SKILLED NURSING &amp; REHAB</t>
  </si>
  <si>
    <t>ROSE BLUMKIN JEWISH HOME</t>
  </si>
  <si>
    <t>MIDWEST COVENANT HOME</t>
  </si>
  <si>
    <t>HIGHLAND PARK CARE CENTER</t>
  </si>
  <si>
    <t>GOLD CREST RETIREMENT CENTER</t>
  </si>
  <si>
    <t>THE AMBASSADOR LINCOLN</t>
  </si>
  <si>
    <t>HOLDREGE MEMORIAL HOMES, INC</t>
  </si>
  <si>
    <t>THE LODGE AT HERITAGE ESTATES</t>
  </si>
  <si>
    <t>GOOD SAMARITAN SOCIETY - HASTINGS VILLAGE</t>
  </si>
  <si>
    <t>PARK VIEW HAVEN NURSING HOME</t>
  </si>
  <si>
    <t>DAVID PLACE</t>
  </si>
  <si>
    <t>REGENCY SQUARE CARE CENTER</t>
  </si>
  <si>
    <t>ST. JOSEPH VILLA NURSING CENTER</t>
  </si>
  <si>
    <t>HILLCREST NURSING HOME</t>
  </si>
  <si>
    <t>CHI HEALTH ST FRANCIS</t>
  </si>
  <si>
    <t>MATNEY'S COLONIAL MANOR</t>
  </si>
  <si>
    <t>LINDEN COURT</t>
  </si>
  <si>
    <t>CHI HEALTH GOOD SAMARITAN</t>
  </si>
  <si>
    <t>IMMANUEL FONTENELLE</t>
  </si>
  <si>
    <t>TIFFANY SQUARE CARE CENTER</t>
  </si>
  <si>
    <t>GOLDEN LIVINGCENTER - HARTINGTON</t>
  </si>
  <si>
    <t>HERITAGE OF BEL AIR</t>
  </si>
  <si>
    <t>LOGAN VALLEY MANOR</t>
  </si>
  <si>
    <t>INDIAN HILLS HEALTHCARE COMMUNITY</t>
  </si>
  <si>
    <t>GOLDEN LIVINGCENTER - COLUMBUS</t>
  </si>
  <si>
    <t>GOLDEN LIVINGCENTER - COZAD</t>
  </si>
  <si>
    <t>CENTENNIAL PARK RETIREMENT VILLAGE</t>
  </si>
  <si>
    <t>GOLDEN LIVINGCENTER - SCOTTSBLUFF</t>
  </si>
  <si>
    <t>GOLDEN LIVINGCENTER - OMAHA</t>
  </si>
  <si>
    <t>GOOD SAMARITAN SOCIETY - MILLARD</t>
  </si>
  <si>
    <t>GOLDEN LIVINGCENTER - NORFOLK</t>
  </si>
  <si>
    <t>STANTON HEALTH CENTER</t>
  </si>
  <si>
    <t>PREMIER ESTATES OF FREMONT, LLC</t>
  </si>
  <si>
    <t>GOLDEN LIVINGCENTER - PLATTSMOUTH</t>
  </si>
  <si>
    <t>GOLDEN LIVINGCENTER - GRAND ISLAND PARK PLACE</t>
  </si>
  <si>
    <t>GOLDEN LIVINGCENTER - GRAND ISLAND LAKEVIEW</t>
  </si>
  <si>
    <t>GOLDEN LIVINGCENTER - SORENSEN</t>
  </si>
  <si>
    <t>GOLDEN LIVINGCENTER - O'NEILL</t>
  </si>
  <si>
    <t>GOLDEN LIVINGCENTER - NEBRASKA CITY</t>
  </si>
  <si>
    <t>GOLDEN LIVINGCENTER - SCHUYLER</t>
  </si>
  <si>
    <t>GOLDEN LIVINGCENTER - WAUSA</t>
  </si>
  <si>
    <t>GOOD SAMARITAN SOCIETY - AUBURN</t>
  </si>
  <si>
    <t>GOLDEN LIVINGCENTER - SIDNEY</t>
  </si>
  <si>
    <t>FALLS CITY HEALTHCARE COMMUNITY</t>
  </si>
  <si>
    <t>GOLDEN LIVINGCENTER - FULLERTON</t>
  </si>
  <si>
    <t>GOLDEN LIVINGCENTER - CLARKSON</t>
  </si>
  <si>
    <t>GOLDEN LIVINGCENTER - VALHAVEN</t>
  </si>
  <si>
    <t>GOLDEN LIVINGCENTER - TEKAMAH</t>
  </si>
  <si>
    <t>DUNKLAU GARDENS</t>
  </si>
  <si>
    <t>GOLDEN LIVINGCENTER - BROKEN BOW</t>
  </si>
  <si>
    <t>GOLDEN LIVINGCENTER - NELIGH</t>
  </si>
  <si>
    <t>THE AMBASSADOR NEBRASKA CITY</t>
  </si>
  <si>
    <t>THE AMBASSADOR OMAHA</t>
  </si>
  <si>
    <t>BEATRICE HEALTH AND REHABILITATION</t>
  </si>
  <si>
    <t>YORK GENERAL HEARTHSTONE</t>
  </si>
  <si>
    <t>CRESTVIEW CARE CENTER</t>
  </si>
  <si>
    <t>HILLCREST HEALTH &amp; REHAB</t>
  </si>
  <si>
    <t>LIFE CARE CENTER OF ELKHORN</t>
  </si>
  <si>
    <t>CAREAGE CAMPUS OF CARE</t>
  </si>
  <si>
    <t>LIFE CARE CENTER OF OMAHA</t>
  </si>
  <si>
    <t>GOOD SAMARITAN SOCIETY - SYRACUSE</t>
  </si>
  <si>
    <t>PREMIER ESTATES OF PIERCE, LLC</t>
  </si>
  <si>
    <t>ASHLAND CARE CENTER</t>
  </si>
  <si>
    <t>AINSWORTH CARE CENTER, LLC</t>
  </si>
  <si>
    <t>WAVERLY CARE CENTER</t>
  </si>
  <si>
    <t>BLUE HILL CARE CENTER</t>
  </si>
  <si>
    <t>GRETNA CARE CENTER</t>
  </si>
  <si>
    <t>CENTRAL CITY CARE CENTER</t>
  </si>
  <si>
    <t>MAPLE CREST HEALTH CENTER</t>
  </si>
  <si>
    <t>CREST VIEW HEALTHCARE COMMUNITY</t>
  </si>
  <si>
    <t>WISNER CARE CENTER</t>
  </si>
  <si>
    <t>MORYS HAVEN</t>
  </si>
  <si>
    <t>ROSE BROOK CARE CENTER</t>
  </si>
  <si>
    <t>GOOD SAMARITAN SOCIETY - BLOOMFIELD</t>
  </si>
  <si>
    <t>PREMIER ESTATES OF PAWNEE, LLC</t>
  </si>
  <si>
    <t>PREMIER ESTATES OF WEST POINT, LLC</t>
  </si>
  <si>
    <t>PLUM CREEK HEALTHCARE COMMUNITY</t>
  </si>
  <si>
    <t>ST. JOSEPH'S REHABILITATION &amp; CARE CENTER</t>
  </si>
  <si>
    <t>UTICA COMMUNITY CARE CENTER</t>
  </si>
  <si>
    <t>HILLTOP ESTATES</t>
  </si>
  <si>
    <t>HOLMES LAKE REHABILITATION &amp; CARE CENTER</t>
  </si>
  <si>
    <t>NORTH PLATTE CARE CENTER, LLC</t>
  </si>
  <si>
    <t>PREMIER ESTATES OF KENESAW, LLC</t>
  </si>
  <si>
    <t>MARY LANNING HEALTHCARE LONG TERM CARE</t>
  </si>
  <si>
    <t>PREMIER ESTATES OF CRETE, LLC</t>
  </si>
  <si>
    <t>WILBER CARE CENTER</t>
  </si>
  <si>
    <t>FLORENCE HOME</t>
  </si>
  <si>
    <t>GOOD SAMARITAN SOCIETY - ALLIANCE</t>
  </si>
  <si>
    <t>GOOD SAMARITAN SOCIETY - ARAPAHOE</t>
  </si>
  <si>
    <t>GOOD SAMARITAN SOCIETY - VALENTINE</t>
  </si>
  <si>
    <t>GOOD SAMARITAN SOCIETY - ATKINSON</t>
  </si>
  <si>
    <t>BUTTE SENIOR LIVING</t>
  </si>
  <si>
    <t>COLONIAL MANOR OF RANDOLPH</t>
  </si>
  <si>
    <t>GOOD SAMARITAN SOCIETY - COLONIAL VILLA</t>
  </si>
  <si>
    <t>LEGACY GARDEN REHABILITATION &amp; LIVING CENTER</t>
  </si>
  <si>
    <t>GOOD SAMARITAN SOCIETY - SUPERIOR</t>
  </si>
  <si>
    <t>GOOD SAMARITAN SOCIETY - ST JOHNS</t>
  </si>
  <si>
    <t>ALPINE VILLAGE RETIREMENT CENTER</t>
  </si>
  <si>
    <t>ELMS HEALTH CARE CENTER</t>
  </si>
  <si>
    <t>GOOD SAMARITAN SOCIETY - ST LUKE'S VILLAGE</t>
  </si>
  <si>
    <t>GOOD SAMARITAN SOCIETY - OSCEOLA</t>
  </si>
  <si>
    <t>GOOD SAMARITAN SOCIETY - WYMORE</t>
  </si>
  <si>
    <t>GOOD SAMARITAN SOCIETY - SCRIBNER</t>
  </si>
  <si>
    <t>GOOD SAMARITAN SOCIETY - ALBION</t>
  </si>
  <si>
    <t>GOOD SAMARITAN SOCIETY - WOOD RIVER</t>
  </si>
  <si>
    <t>CALLAWAY GOOD LIFE CENTER, INC</t>
  </si>
  <si>
    <t>CLOVERLODGE CARE CENTER</t>
  </si>
  <si>
    <t>GOOD SAMARITAN SOCIETY - RAVENNA</t>
  </si>
  <si>
    <t>GOOD SAMARITAN SOCIETY - BEATRICE</t>
  </si>
  <si>
    <t>COLONIAL HAVEN</t>
  </si>
  <si>
    <t>FAIRVIEW MANOR</t>
  </si>
  <si>
    <t>COUNTRYSIDE HOME</t>
  </si>
  <si>
    <t>COMMUNITY PRIDE CARE CENTER</t>
  </si>
  <si>
    <t>WAKEFIELD HEALTH CARE CENTER</t>
  </si>
  <si>
    <t>CROWELL MEMORIAL HOME</t>
  </si>
  <si>
    <t>PIONEER MANOR NURSING HOME</t>
  </si>
  <si>
    <t>MID-NEBRASKA LUTHERAN HOME</t>
  </si>
  <si>
    <t>ELWOOD CARE CENTER</t>
  </si>
  <si>
    <t>MT CARMEL HOME- KEENS MEMORIAL</t>
  </si>
  <si>
    <t>DUFF MEMORIAL NURSING HOME</t>
  </si>
  <si>
    <t>THE REHABILITATION CENTER OF OMAHA LLC</t>
  </si>
  <si>
    <t>SOUTHLAKE VILLAGE REHABILITATION &amp; CARE CENTER</t>
  </si>
  <si>
    <t>SUNRISE HEIGHTS OF WAUNETA</t>
  </si>
  <si>
    <t>WEDGEWOOD CARE CENTER</t>
  </si>
  <si>
    <t>HERITAGE OF EMERSON, INC.</t>
  </si>
  <si>
    <t>SKYVIEW AT BRIDGEPORT</t>
  </si>
  <si>
    <t>HERITAGE OF RED CLOUD</t>
  </si>
  <si>
    <t>BROOKEFIELD PARK</t>
  </si>
  <si>
    <t>ROSE LANE HOME</t>
  </si>
  <si>
    <t>HOOPER CARE CENTER</t>
  </si>
  <si>
    <t>HERITAGE CROSSINGS</t>
  </si>
  <si>
    <t>SOUTH HAVEN LIVING CENTER</t>
  </si>
  <si>
    <t>SUNRISE COUNTRY MANOR</t>
  </si>
  <si>
    <t>NYE POINTE HEALTH &amp; REHAB CTR</t>
  </si>
  <si>
    <t>BELLE TERRACE</t>
  </si>
  <si>
    <t>SKYLINE NURSING AND REHABILITATION</t>
  </si>
  <si>
    <t>RIDGECREST REHABILITATION CENTER</t>
  </si>
  <si>
    <t>OMAHA NURSING AND REHABILITATION CENTER</t>
  </si>
  <si>
    <t>SARAH ANN HESTER MEMORIAL HOME</t>
  </si>
  <si>
    <t>BROOKESTONE VILLAGE REHABILITATION AND CARE CENTER</t>
  </si>
  <si>
    <t>PARKVIEW HOME, INC.</t>
  </si>
  <si>
    <t>CHRISTIAN HOMES HEALTH CARE CENTER</t>
  </si>
  <si>
    <t>BIRCHWOOD MANOR</t>
  </si>
  <si>
    <t>COLONIAL ACRES NURSING HOME</t>
  </si>
  <si>
    <t>ST. JOSEPH'S VILLA, INC.</t>
  </si>
  <si>
    <t>PONDEROSA VILLA</t>
  </si>
  <si>
    <t>HUNTINGTON PARK CARE CENTER</t>
  </si>
  <si>
    <t>IMPERIAL MANOR NURSING HOME</t>
  </si>
  <si>
    <t>EL DORADO MANOR NURSING HOME</t>
  </si>
  <si>
    <t>MOTHER HULL HOME</t>
  </si>
  <si>
    <t>KIMBALL COUNTY MANOR</t>
  </si>
  <si>
    <t>COMMUNITY MEMORIAL HEALTH CENTER LTC</t>
  </si>
  <si>
    <t>BERTRAND NURSING HOME</t>
  </si>
  <si>
    <t>BLUE VALLEY LUTHERAN NURSING HOME</t>
  </si>
  <si>
    <t>CHIMNEY ROCK VILLA</t>
  </si>
  <si>
    <t>PARKVIEW HAVEN NURSING HOME</t>
  </si>
  <si>
    <t>HAMILTON MANOR</t>
  </si>
  <si>
    <t>GATEWAY SENIOR LIVING</t>
  </si>
  <si>
    <t>LOUISVILLE CARE CENTER</t>
  </si>
  <si>
    <t>PAPILLION MANOR</t>
  </si>
  <si>
    <t>BEAVER CITY MANOR</t>
  </si>
  <si>
    <t>BETHANY HOME, INC.</t>
  </si>
  <si>
    <t>NORTHFIELD RETIREMENT COMMUNITIES CARE CENTER</t>
  </si>
  <si>
    <t>HARVARD REST HAVEN</t>
  </si>
  <si>
    <t>PLAINVIEW MANOR</t>
  </si>
  <si>
    <t>BRIGHTON GARDENS OF OMAHA</t>
  </si>
  <si>
    <t>LANCASTER REHABILITATION CENTER, LLC</t>
  </si>
  <si>
    <t>BROOKESTONE MEADOWS REHABILITATION AND CARE CENTER</t>
  </si>
  <si>
    <t>SUTTON COMMUNITY HOME, INC.</t>
  </si>
  <si>
    <t>NYE LEGACY HEALTH &amp; REHABILITATION CENTER</t>
  </si>
  <si>
    <t>RIDGEWOOD REHABILITATION &amp; CARE CENTER</t>
  </si>
  <si>
    <t>THE LIGHTHOUSE AT LAKESIDE VILLAGE</t>
  </si>
  <si>
    <t>OAKLAND HEIGHTS</t>
  </si>
  <si>
    <t>GARDENSIDE LTC-JCHC</t>
  </si>
  <si>
    <t>TABITHA NURSING CENTER AT CRETE</t>
  </si>
  <si>
    <t>AVERA CREIGHTON CARE CENTRE</t>
  </si>
  <si>
    <t>GOOD SAMARITAN SOCIETY - GRAND ISLAND VILLAGE</t>
  </si>
  <si>
    <t>GREELEY CARE HOME</t>
  </si>
  <si>
    <t>MITCHELL CARE CENTER</t>
  </si>
  <si>
    <t>TABITHA AT THE LANDING</t>
  </si>
  <si>
    <t>OLD MILL REHABILITATION (OMAHA TCU)</t>
  </si>
  <si>
    <t>SIDNEY REGIONAL MEDICAL CENTER-EXTENDED CARE</t>
  </si>
  <si>
    <t>BROOKESTONE ACRES</t>
  </si>
  <si>
    <t>LITZENBERG MEMORIAL COUNTY HOSPITAL</t>
  </si>
  <si>
    <t>HILLCREST COUNTRY ESTATES</t>
  </si>
  <si>
    <t>LEFA SERAN SNF</t>
  </si>
  <si>
    <t>LAS VEGAS POST ACUTE &amp; REHABILITATION</t>
  </si>
  <si>
    <t>EL JEN CONVALESCENT HOSPITAL AND RETIREMENT CENTER</t>
  </si>
  <si>
    <t>SOUTH LYON MEDICAL CENTER</t>
  </si>
  <si>
    <t>HORIZON HEALTH AND REHABILITATION CENTER</t>
  </si>
  <si>
    <t>ROSEWOOD REHABILITATION CENTER</t>
  </si>
  <si>
    <t>PREMIER HEALTH &amp; REHABILITATION CENTER OF LV, LP</t>
  </si>
  <si>
    <t>CARSON NURSING AND REHABILITATION CENTER</t>
  </si>
  <si>
    <t>HARMONY MANOR SKILLED NURSING FACILITY</t>
  </si>
  <si>
    <t>WHITE PINE CARE CENTER</t>
  </si>
  <si>
    <t>RENOWN SKILLED NURSING</t>
  </si>
  <si>
    <t>NORTH LAS VEGAS CARE CENTER</t>
  </si>
  <si>
    <t>LAKE MEAD HEALTH AND REHABILITATION CENTER</t>
  </si>
  <si>
    <t>ST JOSEPH TRANSITIONAL REHABILITATION CENTER</t>
  </si>
  <si>
    <t>DELMAR GARDENS OF GREEN VALLEY</t>
  </si>
  <si>
    <t>MANOR CARE HEALTH SERVICES</t>
  </si>
  <si>
    <t>HEARTHSTONE OF NORTHERN NEVADA</t>
  </si>
  <si>
    <t>TORREY PINES POST ACUTE AND REHABILITATION</t>
  </si>
  <si>
    <t>BOULDER CITY HOSPITAL SNF</t>
  </si>
  <si>
    <t>LIFE CARE CENTER OF RENO</t>
  </si>
  <si>
    <t>LIFE CARE CENTER OF LAS VEGAS</t>
  </si>
  <si>
    <t>COLLEGE PARK REHABILITATION CENTER</t>
  </si>
  <si>
    <t>SILVER HILLS HEALTH CARE CENTER</t>
  </si>
  <si>
    <t>ORMSBY POST ACUTE REHAB</t>
  </si>
  <si>
    <t>HIGHLAND MANOR OF MESQUITE</t>
  </si>
  <si>
    <t>MARQUIS CARE PLAZA REGENCY</t>
  </si>
  <si>
    <t>TLC CARE CENTER</t>
  </si>
  <si>
    <t>SILVER RIDGE HEALTHCARE CENTER</t>
  </si>
  <si>
    <t>ROYAL SPRINGS HEALTHCARE AND REHAB</t>
  </si>
  <si>
    <t>PAHRUMP HEALTH AND REHABILITATION CENTER</t>
  </si>
  <si>
    <t>LIFE CARE CENTER OF SOUTH LAS VEGAS</t>
  </si>
  <si>
    <t>REGENT CARE CENTER OF RENO</t>
  </si>
  <si>
    <t>HIGHLAND MANOR OF ELKO</t>
  </si>
  <si>
    <t>MOUNTAIN VIEW HEALTH &amp; REHAB</t>
  </si>
  <si>
    <t>NEVADA STATE VETERANS HOME - BOULDER CITY</t>
  </si>
  <si>
    <t>GARDNERVILLE  HEALTH &amp; REHAB  CENTER</t>
  </si>
  <si>
    <t>THE HEIGHTS OF SUMMERLIN, LLC</t>
  </si>
  <si>
    <t>HIGHLAND MANOR OF FALLON</t>
  </si>
  <si>
    <t>LAS VENTANAS RETIREMENT COMM SNF</t>
  </si>
  <si>
    <t>KINDRED HOSPITAL - LAS VEGAS (FLAMINGO) - SNF/DP</t>
  </si>
  <si>
    <t>MANOR CARE HEALTH SERVICES WINGFIELD HILLS</t>
  </si>
  <si>
    <t>MARQUIS CARE AT CENTENNIAL HILLS</t>
  </si>
  <si>
    <t>ADVANCED HEALTH CARE OF LAS VEGAS</t>
  </si>
  <si>
    <t>ADVANCED HEALTH CARE OF SUMMERLIN</t>
  </si>
  <si>
    <t>CANYON VISTA POST ACUTE</t>
  </si>
  <si>
    <t>LAKES REGION GENERAL HOSPITAL</t>
  </si>
  <si>
    <t>CHESHIRE MEDICAL CENTER</t>
  </si>
  <si>
    <t>KINDRED TRANSITIONAL CARE &amp; REHABILITATION-GREENBR</t>
  </si>
  <si>
    <t>HANOVER HILL HEALTH CARE CENTER</t>
  </si>
  <si>
    <t>HAVENWOOD-HERITAGE HEIGHTS</t>
  </si>
  <si>
    <t>DOVER CENTER FOR HEALTH &amp; REHABILITATION</t>
  </si>
  <si>
    <t>HANOVER TERRACE HEALTH &amp; REHABILITATION CENTER</t>
  </si>
  <si>
    <t>WILLIAM P CLOUGH EXTENDED CARE CENTER</t>
  </si>
  <si>
    <t>EDGEWOOD CENTRE (THE)</t>
  </si>
  <si>
    <t>ROCHESTER MANOR</t>
  </si>
  <si>
    <t>CROTCHED MOUNTAIN REHABILITATION CENTER</t>
  </si>
  <si>
    <t>MAPLE LEAF HEALTH CARE CENTER</t>
  </si>
  <si>
    <t>COURVILLE AT NASHUA</t>
  </si>
  <si>
    <t>HACKETT HILL HEALTHCARE CENTER</t>
  </si>
  <si>
    <t>PLEASANT VALLEY NURSING CENTER</t>
  </si>
  <si>
    <t>LACONIA CENTER, GENESIS HEALTHCARE</t>
  </si>
  <si>
    <t>ELM WOOD CENTER AT CLAREMONT</t>
  </si>
  <si>
    <t>KENDAL AT HANOVER</t>
  </si>
  <si>
    <t>WARDE HEALTH CENTER</t>
  </si>
  <si>
    <t>GOLDEN VIEW HEALTH CARE CENTER</t>
  </si>
  <si>
    <t>PLEASANT VIEW CENTER, GENESIS HEALTHCARE</t>
  </si>
  <si>
    <t>ROCKINGHAM COUNTY NURSING HOME</t>
  </si>
  <si>
    <t>RIVERSIDE REST HOME</t>
  </si>
  <si>
    <t>HILLSBOROUGH COUNTY NURSING HOME</t>
  </si>
  <si>
    <t>RIVERWOODS AT EXETER</t>
  </si>
  <si>
    <t>LEBANON CENTER, GENESIS HEALTHCARE</t>
  </si>
  <si>
    <t>KEENE  CENTER, GENESIS HEALTHCARE</t>
  </si>
  <si>
    <t>RIDGEWOOD CENTER, GENESIS HEALTHCARE</t>
  </si>
  <si>
    <t>GRAFTON COUNTY NURSING HOME</t>
  </si>
  <si>
    <t>CHESHIRE COUNTY HOME</t>
  </si>
  <si>
    <t>OCEANSIDE SKILLED NURSING AND REHABILITATION</t>
  </si>
  <si>
    <t>MERRIMACK COUNTY NURSING HOME</t>
  </si>
  <si>
    <t>COURVILLE AT MANCHESTER</t>
  </si>
  <si>
    <t>SALEMHAVEN</t>
  </si>
  <si>
    <t>PHEASANT WOOD CENTER</t>
  </si>
  <si>
    <t>BEDFORD HILLS CENTER</t>
  </si>
  <si>
    <t>CRESTWOOD CENTER</t>
  </si>
  <si>
    <t>WESTWOOD CENTER</t>
  </si>
  <si>
    <t>PRESIDENTIAL OAKS</t>
  </si>
  <si>
    <t>EXETER CENTER</t>
  </si>
  <si>
    <t>APPLEWOOD CENTER</t>
  </si>
  <si>
    <t>SAINT VINCENT DE PAUL REHABILITATION &amp; NURSING CTR</t>
  </si>
  <si>
    <t>MOUNT CARMEL REHABILITATION AND NURSING CENTER</t>
  </si>
  <si>
    <t>THE ELMS CENTER</t>
  </si>
  <si>
    <t>SAINT ANN REHABILITATION AND NURSING CENTER</t>
  </si>
  <si>
    <t>SAINT FRANCIS REHABILITATION AND NURSING CENTER</t>
  </si>
  <si>
    <t>SAINT TERESA REHABILITATION AND NURSING CENTER</t>
  </si>
  <si>
    <t>GOOD SHEPHERD REHABILITATION AND NURSING CENTER</t>
  </si>
  <si>
    <t>HOLY CROSS HEALTH CENTER</t>
  </si>
  <si>
    <t>MOUNTAIN RIDGE CENTER, GENESIS HEALTHCARE</t>
  </si>
  <si>
    <t>COUNTRY VILLAGE CENTER, GENESIS HEALTHCARE</t>
  </si>
  <si>
    <t>LAFAYETTE CENTER, GENESIS HEALTHCARE</t>
  </si>
  <si>
    <t>HARRIS HILL CENTER, GENESIS HEALTHCARE</t>
  </si>
  <si>
    <t>VILLA CREST</t>
  </si>
  <si>
    <t>EPSOM HEALTHCARE CENTER</t>
  </si>
  <si>
    <t>COLONIAL HILL CENTER</t>
  </si>
  <si>
    <t>CLIPPER HARBOR</t>
  </si>
  <si>
    <t>WOLFEBORO BAY CENTER</t>
  </si>
  <si>
    <t>MINERAL SPRINGS</t>
  </si>
  <si>
    <t>LANGDON PLACE OF KEENE</t>
  </si>
  <si>
    <t>BEDFORD NURSING &amp; REHABILITATION CENTER</t>
  </si>
  <si>
    <t>MOUNTAIN VIEW COMMUNITY</t>
  </si>
  <si>
    <t>ST JOSEPH RESIDENCE</t>
  </si>
  <si>
    <t>LANGDON PLACE OF DOVER</t>
  </si>
  <si>
    <t>COLONIAL POPLIN NURSING HOME</t>
  </si>
  <si>
    <t>HILLSBORO HOUSE NURSING HOME</t>
  </si>
  <si>
    <t>SULLIVAN COUNTY HEALTH CARE</t>
  </si>
  <si>
    <t>MORRISON NURSING HOME</t>
  </si>
  <si>
    <t>AURORA SENIOR LIVING OF DERRY, LLC</t>
  </si>
  <si>
    <t>BEL-AIR NURSING AND REHAB CENTER INC</t>
  </si>
  <si>
    <t>WOODLAWN CARE CENTER</t>
  </si>
  <si>
    <t>WEBSTER AT RYE</t>
  </si>
  <si>
    <t>FAIRVIEW NURSING HOME</t>
  </si>
  <si>
    <t>BELKNAP COUNTY NURSING HOME</t>
  </si>
  <si>
    <t>MERWICK CARE &amp; REHABILITATION CENTER</t>
  </si>
  <si>
    <t>CARE ONE AT SOMERSET VALLEY</t>
  </si>
  <si>
    <t>MANORCARE HEALTH SERVICES-NEW PROVIDENCE</t>
  </si>
  <si>
    <t>LAUREL MANOR HEALTHCARE AND REHABILITATION CENTER</t>
  </si>
  <si>
    <t>RUNNELLS CENTER FOR REHABILITATION &amp; HEALTHCARE</t>
  </si>
  <si>
    <t>ELMORA HILLS HEALTH &amp; REHABILITATION CENTER</t>
  </si>
  <si>
    <t>BARCLAYS REHABILITATION AND HEALTHCARE CENTER</t>
  </si>
  <si>
    <t>EAGLEVIEW HEALTH AND REHABILITATION</t>
  </si>
  <si>
    <t>MADISON CENTER</t>
  </si>
  <si>
    <t>BERGEN REGIONAL MEDICAL CENTER</t>
  </si>
  <si>
    <t>DAUGHTERS OF MIRIAM CENTER</t>
  </si>
  <si>
    <t>PRESBYTERIAN HOME - MEADOW  LAKES</t>
  </si>
  <si>
    <t>DAUGHTERS OF ISRAEL PLEASANT VALLEY HOME</t>
  </si>
  <si>
    <t>MOUNT LAUREL CENTER FOR REHAB AND HEALTHCARE</t>
  </si>
  <si>
    <t>ARBOR GLEN CENTER</t>
  </si>
  <si>
    <t>TEANECK NURSING CENTER</t>
  </si>
  <si>
    <t>SUMMIT RIDGE CENTER</t>
  </si>
  <si>
    <t>ROOSEVELT CARE CENTER</t>
  </si>
  <si>
    <t>LINCOLN PARK RENAISSANCE REHAB &amp; NURSING</t>
  </si>
  <si>
    <t>ANDOVER SUBACUTE AND REHAB I</t>
  </si>
  <si>
    <t>CINNAMINSON CENTER</t>
  </si>
  <si>
    <t>BURLINGTON WOODS</t>
  </si>
  <si>
    <t>PINE ACRES CONVALESCENT CENTER</t>
  </si>
  <si>
    <t>OUR LADY'S CENTER FOR REHABILITATION &amp; HC</t>
  </si>
  <si>
    <t>NEPTUNE GARDENS NURSING AND REHAB LLC</t>
  </si>
  <si>
    <t>MERRY HEART NURSING HOME</t>
  </si>
  <si>
    <t>GOLDEN REHABILITATION AND NURSING CENTER</t>
  </si>
  <si>
    <t>ST MARY'S CENTER FOR REHABILITATION &amp; HEALTHCARE</t>
  </si>
  <si>
    <t>SOUTH JERSEY EXTENDED CARE</t>
  </si>
  <si>
    <t>ASHBROOK CARE &amp; REHABILITATION CENTER</t>
  </si>
  <si>
    <t>STRATFORD MANOR REHABILITATION AND CARE CENTER</t>
  </si>
  <si>
    <t>AVISTA HEALTHCARE</t>
  </si>
  <si>
    <t>TOWER LODGE CARE CENTER</t>
  </si>
  <si>
    <t>HEATH VILLAGE</t>
  </si>
  <si>
    <t>EVERGREENS, THE</t>
  </si>
  <si>
    <t>ALARIS HEALTH AT JERSEY CITY</t>
  </si>
  <si>
    <t>CHESTNUT HILL CONV CENTER</t>
  </si>
  <si>
    <t>CARE ONE AT KING JAMES</t>
  </si>
  <si>
    <t>CRANFORD REHAB &amp; NURSING CENTER</t>
  </si>
  <si>
    <t>CARE ONE AT HOLMDEL</t>
  </si>
  <si>
    <t>MERCERVILLE CENTER</t>
  </si>
  <si>
    <t>DOCTORS SUBACUTE CARE</t>
  </si>
  <si>
    <t>JFK HARTWYCK AT CEDAR BROOK</t>
  </si>
  <si>
    <t>REGENCY GARDENS NURSING CENTER</t>
  </si>
  <si>
    <t>CORNELL HALL CARE &amp; REHABILITATION CENTER</t>
  </si>
  <si>
    <t>CORAL HARBOR REHABILITATION AND HEALTHCARE CENTER</t>
  </si>
  <si>
    <t>ELIZABETH NURSING AND REHAB</t>
  </si>
  <si>
    <t>PRINCETON CARE CENTER</t>
  </si>
  <si>
    <t>LAKEVIEW REHABILITATION AND CARE CENTER</t>
  </si>
  <si>
    <t>ARCADIA NURSING AND REHAB</t>
  </si>
  <si>
    <t>HUDSONVIEW HEALTH CARE CENTER</t>
  </si>
  <si>
    <t>ATRIUM POST ACUTE CARE OF LAWRENCEVILLE</t>
  </si>
  <si>
    <t>ATLANTIC COAST REHAB &amp; HEALTH</t>
  </si>
  <si>
    <t>ARNOLD WALTER NURSING HOME</t>
  </si>
  <si>
    <t>CHATHAM HILLS SUBACUTE CARE CENTER</t>
  </si>
  <si>
    <t>PROVIDENCE NURSING AND REHABILITATION CENTER</t>
  </si>
  <si>
    <t>CRYSTAL LAKE HLTHCARE &amp; REHAB</t>
  </si>
  <si>
    <t>BISHOP MCCARTHY CENTER FOR REHABILITATION &amp; HC</t>
  </si>
  <si>
    <t>ST LAWRENCE REHAB CENTER</t>
  </si>
  <si>
    <t>VIRTUA HEALTH &amp; REHAB MT HOLLY</t>
  </si>
  <si>
    <t>DELLRIDGE HEALTH &amp; REHABILITATION CENTER</t>
  </si>
  <si>
    <t>ATLANTIC REHABILITATION INSTITUTE</t>
  </si>
  <si>
    <t>WILLOW CREEK REHAB AND CARE CE</t>
  </si>
  <si>
    <t>CARE ONE AT THE HIGHLANDS</t>
  </si>
  <si>
    <t>WOODCLIFF LAKE HEALTH &amp; REHABILITATION CENTER</t>
  </si>
  <si>
    <t>GREEN KNOLL CENTER</t>
  </si>
  <si>
    <t>CLAREMONT CENTER</t>
  </si>
  <si>
    <t>MERIDIAN NURSING &amp; REHAB AT SHREWSBURY</t>
  </si>
  <si>
    <t>BARN HILL CARE CENTER</t>
  </si>
  <si>
    <t>TROY HILLS CENTER</t>
  </si>
  <si>
    <t>REHAB AT RIVER'S EDGE</t>
  </si>
  <si>
    <t>ABINGDON CARE &amp; REHABILITATION CENTER</t>
  </si>
  <si>
    <t>LLANFAIR HOUSE CARE &amp; REHABILITATION CENTER</t>
  </si>
  <si>
    <t>HOLLY MANOR CENTER</t>
  </si>
  <si>
    <t>MEDFORD LEAS</t>
  </si>
  <si>
    <t>CARE CONNECTION RAHWAY</t>
  </si>
  <si>
    <t>NEW GROVE MANOR</t>
  </si>
  <si>
    <t>STERLING MANOR</t>
  </si>
  <si>
    <t>FRANKLIN CARE CENTER</t>
  </si>
  <si>
    <t>CARE ONE AT WELLINGTON</t>
  </si>
  <si>
    <t>MORRIS HILLS CENTER</t>
  </si>
  <si>
    <t>RIDGEWOOD CENTER</t>
  </si>
  <si>
    <t>ELMWOOD HILLS HEALTHCARE CENTER LLC</t>
  </si>
  <si>
    <t>FRIENDS VILLAGE AT WOODSTOWN</t>
  </si>
  <si>
    <t>COUNTY MANOR REHABILITATION &amp; HCC</t>
  </si>
  <si>
    <t>MASONIC VILLAGE AT BURLINGTON</t>
  </si>
  <si>
    <t>OAKLAND REHABILITATION AND HEALTHCARE  CENTER</t>
  </si>
  <si>
    <t>DEPTFORD CENTER FOR REHABILITATION AND HEALTHCARE</t>
  </si>
  <si>
    <t>MEDFORD CARE CENTER</t>
  </si>
  <si>
    <t>GATEWAY CARE CENTER</t>
  </si>
  <si>
    <t>WINDSOR GARDENS CARE CENTER</t>
  </si>
  <si>
    <t>AUTUMN LAKE HEALTHCARE AT OCEANVIEW</t>
  </si>
  <si>
    <t>ALAMEDA CENTER FOR REHABILITATION AND HEALTHCARE</t>
  </si>
  <si>
    <t>BRIDGEWAY CARE AND REHAB CENTER AT BRIDGEWATER</t>
  </si>
  <si>
    <t>PREMIER CADBURY OF CHERRY HILL</t>
  </si>
  <si>
    <t>LINWOOD CARE CENTER</t>
  </si>
  <si>
    <t>VOORHEES CARE &amp; REHABILITATION CENTER, THE</t>
  </si>
  <si>
    <t>BRIARWOOD CARE &amp; REHABILITATION CENTER, THE</t>
  </si>
  <si>
    <t>LEISURE CHATEAU REHABILITATION</t>
  </si>
  <si>
    <t>ALARIS HEALTH AT KEARNY</t>
  </si>
  <si>
    <t>OCEANA REHABILITATION AND NC</t>
  </si>
  <si>
    <t>ST VINCENT'S HEALTHCARE AND REHAB CENTER</t>
  </si>
  <si>
    <t>AUTUMN LAKE HEALTHCARE AT BERKELEY HEIGHTS</t>
  </si>
  <si>
    <t>ARISTACARE AT MANCHESTER</t>
  </si>
  <si>
    <t>ALARIS HEALTH AT RIVERTON</t>
  </si>
  <si>
    <t>IMPERIAL CARE CENTER</t>
  </si>
  <si>
    <t>DELAIRE NURSING &amp; CONV CENTER</t>
  </si>
  <si>
    <t>LUTHERAN CROSSINGS ENHANCED LIVING AT MOORESTOWN</t>
  </si>
  <si>
    <t>LOPATCONG CENTER</t>
  </si>
  <si>
    <t>CANTERBURY AT CEDAR GROVE</t>
  </si>
  <si>
    <t>MAJESTIC CENTER FOR REHAB &amp; SUB-ACUTE CARE</t>
  </si>
  <si>
    <t>MANAHAWKIN CONV CTR</t>
  </si>
  <si>
    <t>KRESSON VIEW CENTER</t>
  </si>
  <si>
    <t>HAMMONTON CENTER FOR REHABILITATION AND HEALTHCARE</t>
  </si>
  <si>
    <t>HEALTH CENTER AT GALLOWAY, THE</t>
  </si>
  <si>
    <t>MAINLAND MANOR NRS &amp; REHAB CTR</t>
  </si>
  <si>
    <t>WILLOW SPRINGS REHABILITATION AND HEALTHCARE CTR</t>
  </si>
  <si>
    <t>ARISTACARE AT CEDAR OAKS</t>
  </si>
  <si>
    <t>GREENWOOD HOUSE HOME FOR THE JEWISH AGED</t>
  </si>
  <si>
    <t>WATERVIEW CENTER</t>
  </si>
  <si>
    <t>ARISTACARE AT NORWOOD TERRACE</t>
  </si>
  <si>
    <t>SEACREST VILLAGE</t>
  </si>
  <si>
    <t>VOORHEES CENTER</t>
  </si>
  <si>
    <t>HAMILTON PLAZA NURSING &amp; REHABILITATION CENTER</t>
  </si>
  <si>
    <t>BARNEGAT REHABILITATION AND NURSING CENTER</t>
  </si>
  <si>
    <t>HAMILTON CONTINUING CARE</t>
  </si>
  <si>
    <t>FOREST MANOR HCC</t>
  </si>
  <si>
    <t>COOPER RIVER WEST</t>
  </si>
  <si>
    <t>HUNTERDON CARE CENTER</t>
  </si>
  <si>
    <t>COURT HOUSE CENTER</t>
  </si>
  <si>
    <t>WANAQUE CENTER FOR NURSING &amp; REHABILITATION, THE</t>
  </si>
  <si>
    <t>KENNEDY HEALTH CARE CENTER</t>
  </si>
  <si>
    <t>LINCOLN SPECIALTY CARE CENTER</t>
  </si>
  <si>
    <t>OAK RIDGE REHABILITATION &amp; NC</t>
  </si>
  <si>
    <t>RIVERSIDE NURSING AND REHABILITATION CENTER</t>
  </si>
  <si>
    <t>SINAI POST ACUTE NURSING AND REHAB CENTER</t>
  </si>
  <si>
    <t>SOUTHGATE HEALTH CARE CTR</t>
  </si>
  <si>
    <t>CARE ONE AT JACKSON</t>
  </si>
  <si>
    <t>MILLVILLE CENTER</t>
  </si>
  <si>
    <t>ABSECON MANOR NURS/REHAB CNTR</t>
  </si>
  <si>
    <t>ARISTACARE AT CHERRY HILL</t>
  </si>
  <si>
    <t>MANORCARE HEALTH SERVICES-WEST DEPTFORD</t>
  </si>
  <si>
    <t>WEST CALDWELL CC</t>
  </si>
  <si>
    <t>ANDOVER SUBACUTE AND REHAB II</t>
  </si>
  <si>
    <t>LINCOLN PARK CARE CENTER</t>
  </si>
  <si>
    <t>HARTWYCK AT OAK TREE</t>
  </si>
  <si>
    <t>BAYSHORE HEALTH CARE CENTER</t>
  </si>
  <si>
    <t>PARKER AT MCCARRICK</t>
  </si>
  <si>
    <t>ALARIS HEALTH AT BOULEVARD EAST</t>
  </si>
  <si>
    <t>MAJESTIC REHABILITATION AND NURSING CENTER INC</t>
  </si>
  <si>
    <t>LEISURE PARK HEALTH CENTER</t>
  </si>
  <si>
    <t>MEADOWVIEW NURSING &amp; RESPIRATORY CARE</t>
  </si>
  <si>
    <t>MANOR CARE MOUNTAINSIDE</t>
  </si>
  <si>
    <t>ASPEN HILLS HEALTHCARE CENTER</t>
  </si>
  <si>
    <t>LAKELAND HEALTH CARE CENTER</t>
  </si>
  <si>
    <t>HARROGATE</t>
  </si>
  <si>
    <t>PALACE REHABILITATION AND CARE CENTER, THE</t>
  </si>
  <si>
    <t>BEY LEA VILLAGE CARE CENTER</t>
  </si>
  <si>
    <t>GREEN ACRES MANOR</t>
  </si>
  <si>
    <t>PARK CRESCENT HEALTHCARE &amp; REHABILITATION CENTER</t>
  </si>
  <si>
    <t>ABIGAIL HOUSE FOR NURSING &amp; REHABILITATION LLC</t>
  </si>
  <si>
    <t>BROOKHAVEN HEALTH CARE CENTER</t>
  </si>
  <si>
    <t>MONROE VILLAGE HEALTH CARE CENTER</t>
  </si>
  <si>
    <t>CARNEYS POINT REHABILITATION AND NURSING CENTER</t>
  </si>
  <si>
    <t>WOODLANDS, THE</t>
  </si>
  <si>
    <t>LAURELTON VILLAGE CARE CENTER</t>
  </si>
  <si>
    <t>CONCORD HEALTHCARE &amp; REHABILITATION CENTER</t>
  </si>
  <si>
    <t>MILFORD MANOR</t>
  </si>
  <si>
    <t>JFK HARTWYCK AT EDISON ESTATES</t>
  </si>
  <si>
    <t>ALARIS HEALTH AT CHERRY HILL</t>
  </si>
  <si>
    <t>PINE BROOK CARE CENTER</t>
  </si>
  <si>
    <t>SOUTH MOUNTAIN HC</t>
  </si>
  <si>
    <t>MONMOUTH CARE CENTER</t>
  </si>
  <si>
    <t>MAJESTIC REHAB AND NURSING CENTER AT RED BANK</t>
  </si>
  <si>
    <t>BARTLEY HEALTHCARE NURSING &amp; REHABILITATION</t>
  </si>
  <si>
    <t>BUCKINGHAM AT NORWOOD, THE</t>
  </si>
  <si>
    <t>ATRIUM POST ACUTE CARE OF WAYNEVIEW</t>
  </si>
  <si>
    <t>APPLEWOOD ESTATES</t>
  </si>
  <si>
    <t>WHITING HEALTH CARE</t>
  </si>
  <si>
    <t>CREST HAVEN NURSING AND REHABILITATION CENTER</t>
  </si>
  <si>
    <t>REGENT CARE CENTER</t>
  </si>
  <si>
    <t>FOUNTAINS AT CEDAR PARKE, THE</t>
  </si>
  <si>
    <t>CRESTWOOD MANOR</t>
  </si>
  <si>
    <t>KING MANOR CARE AND REHABILITATION CENTER</t>
  </si>
  <si>
    <t>ALARIS HEALTH AT HAMILTON PARK</t>
  </si>
  <si>
    <t>ROLLING HILLS CARE CENTER</t>
  </si>
  <si>
    <t>MORRIS VIEW HEALTHCARE CENTER</t>
  </si>
  <si>
    <t>WARREN HAVEN REHAB AND NURSING CENTER</t>
  </si>
  <si>
    <t>AMBOY CARE CENTER</t>
  </si>
  <si>
    <t>WOODCREST HEALTH CARE CENTER</t>
  </si>
  <si>
    <t>HARBORAGE</t>
  </si>
  <si>
    <t>ALARIS HEALTH AT ROCHELLE PARK</t>
  </si>
  <si>
    <t>ARISTACARE AT WHITING</t>
  </si>
  <si>
    <t>ALARIS HEALTH AT HARBOR VIEW</t>
  </si>
  <si>
    <t>PHILLIPSBURG CENTER</t>
  </si>
  <si>
    <t>HAMPTON RIDGE HEALTHCARE AND REHABILITATION</t>
  </si>
  <si>
    <t>CARE ONE AT CRESSKILL</t>
  </si>
  <si>
    <t>REGENCY PARK NURSING CENTER</t>
  </si>
  <si>
    <t>BRAKELEY PARK CENTER</t>
  </si>
  <si>
    <t>EASTERN PINES CONV CTR</t>
  </si>
  <si>
    <t>ST JOSEPH'S HOME AL &amp; NC, INC</t>
  </si>
  <si>
    <t>HOLIDAY CARE CENTER</t>
  </si>
  <si>
    <t>GOLDEN LIVINGCENTER - OLD BRIDGE</t>
  </si>
  <si>
    <t>INGLEMOOR REHABILITATION AND CARE CENTER OF LIVING</t>
  </si>
  <si>
    <t>WATERS EDGE HEALTHCARE &amp; REHAB</t>
  </si>
  <si>
    <t>FOUNTAIN VIEW CARE CENTER</t>
  </si>
  <si>
    <t>MAPLE GLEN CENTER</t>
  </si>
  <si>
    <t>OAKS AT DENVILLE, THE</t>
  </si>
  <si>
    <t>MARCELLA CENTER</t>
  </si>
  <si>
    <t>ALARIS HEALTH AT PASSAIC COUNTY</t>
  </si>
  <si>
    <t>SOUTHERN OCEAN CENTER</t>
  </si>
  <si>
    <t>ARBORS CARE CENTER</t>
  </si>
  <si>
    <t>ATRIUM POST ACUTE CARE OF WAYNE</t>
  </si>
  <si>
    <t>GARDENS AT MONROE HEALTHCARE AND REHABILITATION, T</t>
  </si>
  <si>
    <t>MCAULEY HALL HEALTH CARE CENTE</t>
  </si>
  <si>
    <t>MORRIS HALL/ST JOSEPH'S NURSING CENTER</t>
  </si>
  <si>
    <t>ORADELL HEALTH CARE CENTER</t>
  </si>
  <si>
    <t>SEASHORE GARDENS LIVING CENTER</t>
  </si>
  <si>
    <t>CLARK NURSING AND REHAB CNTR</t>
  </si>
  <si>
    <t>MERIDIAN NURSING AND REHABILITATION AT BRICK</t>
  </si>
  <si>
    <t>BROADWAY HOUSE FOR CONTINUING</t>
  </si>
  <si>
    <t>ALARIS HEALTH AT CASTLE HILL</t>
  </si>
  <si>
    <t>N J VETERANS MEM HOME PARAMUS</t>
  </si>
  <si>
    <t>HAMILTON PLACE AT THE PINES AT WHITING</t>
  </si>
  <si>
    <t>HEALTH CENTER AT BLOOMINGDALE</t>
  </si>
  <si>
    <t>INGLEMOOR CENTER</t>
  </si>
  <si>
    <t>NORTH CAPE CENTER</t>
  </si>
  <si>
    <t>BRIGHTON GARDENS OF EDISON</t>
  </si>
  <si>
    <t>ALARIS HEALTH AT ST MARY'S</t>
  </si>
  <si>
    <t>CRANBURY CENTER</t>
  </si>
  <si>
    <t>SUNNYSIDE MANOR</t>
  </si>
  <si>
    <t>REGENCY GRANDE NURS &amp; REHAB CE</t>
  </si>
  <si>
    <t>SKILLED NURSING AT FELLOWSHIP VILLAGE</t>
  </si>
  <si>
    <t>ALARIS HEALTH AT CEDAR GROVE</t>
  </si>
  <si>
    <t>MEADOWVIEW NURSING AND REHABILITATION CENTER</t>
  </si>
  <si>
    <t>ALARIS HEALTH AT ESSEX</t>
  </si>
  <si>
    <t>EMERSON HEALTH CARE CENTER</t>
  </si>
  <si>
    <t>PREAKNESS HEALTHCARE CENTER</t>
  </si>
  <si>
    <t>PARK PLACE CENTER</t>
  </si>
  <si>
    <t>GATES MANOR</t>
  </si>
  <si>
    <t>JERSEY SHORE CENTER</t>
  </si>
  <si>
    <t>MERIDIAN NURSING AND REHABILITATION AT OCEAN GROVE</t>
  </si>
  <si>
    <t>ALARIS HEALTH AT BELGROVE</t>
  </si>
  <si>
    <t>REGENCY HERITAGE NURSING AND REHABILITATION CENTER</t>
  </si>
  <si>
    <t>VALLEY VIEW HEALTH CARE CTR</t>
  </si>
  <si>
    <t>CARE ONE AT VALLEY</t>
  </si>
  <si>
    <t>ATRIUM POST ACUTE CARE OF PRINCETON</t>
  </si>
  <si>
    <t>WHITE HOUSE HLTHCR &amp; REHAB CTR</t>
  </si>
  <si>
    <t>DE LA SALLE HALL</t>
  </si>
  <si>
    <t>FOREST HILL HEALTHCARE CENTER</t>
  </si>
  <si>
    <t>CHRISTIAN HEALTH CARE CENTER</t>
  </si>
  <si>
    <t>ACTORS FUND HOME, THE</t>
  </si>
  <si>
    <t>HOMESTEAD REHABILITATION &amp; HEALTH CARE CENTER</t>
  </si>
  <si>
    <t>SUMMER HILL NURSING HOME</t>
  </si>
  <si>
    <t>CHESHIRE HOME</t>
  </si>
  <si>
    <t>ROSE MOUNTAIN CARE CENTER</t>
  </si>
  <si>
    <t>MAYWOOD CENTER FOR HEALTH AND REHABILITATION</t>
  </si>
  <si>
    <t>ALLAIRE REHAB &amp; NURSING</t>
  </si>
  <si>
    <t>ST JOSEPH'S HOME FOR ELDERLY</t>
  </si>
  <si>
    <t>HACKENSACK-UMC MOUNTAINSIDE</t>
  </si>
  <si>
    <t>CRANFORD PARK REHABILITATION &amp; HEALTHCARE CENTER</t>
  </si>
  <si>
    <t>JOB HAINES HOME FOR AGED PEOPL</t>
  </si>
  <si>
    <t>NEW COMMUNITY EXTENDED CARE FACILITY</t>
  </si>
  <si>
    <t>UNITED METHODIST COMMUNITIES AT THE SHORES</t>
  </si>
  <si>
    <t>CUMBERLAND MANOR NURSING AND REHABILITATION CENTER</t>
  </si>
  <si>
    <t>PREFERRED CARE AT WALL</t>
  </si>
  <si>
    <t>ARMENIAN NURSING AND REHABILITATION CENTER</t>
  </si>
  <si>
    <t>UNITED METHODIST COMMUNITIES AT COLLINGSWOOD</t>
  </si>
  <si>
    <t>SHADY LANE GLOUCESTER CO HOME</t>
  </si>
  <si>
    <t>VALLEY VIEW REHABILITATION AND HEALTHCARE CTR</t>
  </si>
  <si>
    <t>ST ANN'S HOME FOR AGED</t>
  </si>
  <si>
    <t>WARDELL GARDENS AT TINTON FALLS</t>
  </si>
  <si>
    <t>GREEN HILL</t>
  </si>
  <si>
    <t>REFORMED CHURCH HOME</t>
  </si>
  <si>
    <t>WILEY MISSION</t>
  </si>
  <si>
    <t>N J EASTERN STAR HOME</t>
  </si>
  <si>
    <t>ROSE GARDEN NURSING AND REHABILITATION CENTER</t>
  </si>
  <si>
    <t>HOUSE OF THE GOOD SHEPHERD</t>
  </si>
  <si>
    <t>HAMILTON GROVE HEALTHCARE AND REHABILITATION, LLC</t>
  </si>
  <si>
    <t>FOOTHILL ACRES REHABILITATION &amp; NURSING CENTER</t>
  </si>
  <si>
    <t>CARE ONE AT RIDGEWOOD AVENUE</t>
  </si>
  <si>
    <t>UNITED METHODIST COMMUNITIES AT PITMAN</t>
  </si>
  <si>
    <t>CLOVER REST HOME</t>
  </si>
  <si>
    <t>BAYONNE HOSPITAL CENTER TCU</t>
  </si>
  <si>
    <t>COUNTRY ARCH CARE CENTER</t>
  </si>
  <si>
    <t>VAN DYK MANOR OF RIDGEWOOD</t>
  </si>
  <si>
    <t>VAN DYK MANOR MONTCLAIR</t>
  </si>
  <si>
    <t>BERGEN COUNTY HEALTH CARE CTR</t>
  </si>
  <si>
    <t>LAUREL BAY HEALTH &amp; REHABILITATION CENTER</t>
  </si>
  <si>
    <t>ATRIUM POST ACUTE CARE OF PARK RIDGE</t>
  </si>
  <si>
    <t>UNITED METHODIST COMMUNITIES AT BRISTOL GLEN</t>
  </si>
  <si>
    <t>HOLY NAME FRIARY</t>
  </si>
  <si>
    <t>TRINITAS HOSPITAL</t>
  </si>
  <si>
    <t>FRIENDS RETIREMENT CONCEPTS</t>
  </si>
  <si>
    <t>INSPIRA TRANSITIONAL CARE UNIT WOODBURY</t>
  </si>
  <si>
    <t>BAPTIST HOME OF SOUTH JERSEY</t>
  </si>
  <si>
    <t>ALARIS HEALTH AT WEST ORANGE</t>
  </si>
  <si>
    <t>ELMS OF CRANBURY, THE</t>
  </si>
  <si>
    <t>MARGARET ANNA CUSACK CARE CENTER</t>
  </si>
  <si>
    <t>SHORROCK GARDENS CARE CENTER</t>
  </si>
  <si>
    <t>SHORE MEADOWS REHAB &amp; NURSING CENTER</t>
  </si>
  <si>
    <t>ROYAL HEALTH GATE NRSG REHAB</t>
  </si>
  <si>
    <t>MYSTIC MEADOWS REHAB &amp; NURSING CENTER</t>
  </si>
  <si>
    <t>LUTHERAN SOCIAL MINISTRIES CRA</t>
  </si>
  <si>
    <t>NEW VISTA</t>
  </si>
  <si>
    <t>NEW JERSEY VETERANS MEMORIAL HOME MENLO</t>
  </si>
  <si>
    <t>PROSPECT HEIGHTS CC</t>
  </si>
  <si>
    <t>VIRTUA H &amp; R C AT BERLIN</t>
  </si>
  <si>
    <t>TALLWOODS CARE CENTER</t>
  </si>
  <si>
    <t>ATRIUM POST ACUTE CARE OF MATAWAN</t>
  </si>
  <si>
    <t>CARE ONE AT EVESHAM</t>
  </si>
  <si>
    <t>MANHATTANVIEW NURSING HOME</t>
  </si>
  <si>
    <t>BRANDYWINE SENIOR CARE AT MOORESTOWN</t>
  </si>
  <si>
    <t>CARE ONE AT MORRIS</t>
  </si>
  <si>
    <t>CONTINUING CARE AT SEABROOK</t>
  </si>
  <si>
    <t>ST CATHERINE OF SIENA</t>
  </si>
  <si>
    <t>CARE ONE AT EAST BRUNSWICK</t>
  </si>
  <si>
    <t>JEWISH HOME AT ROCKLEIGH</t>
  </si>
  <si>
    <t>CARE ONE AT HAMILTON</t>
  </si>
  <si>
    <t>ALARIS HEALTH AT THE FOUNTAINS</t>
  </si>
  <si>
    <t>CARE ONE AT WAYNE - SNF</t>
  </si>
  <si>
    <t>SOUTHERN OCEAN MEDICAL CENTER</t>
  </si>
  <si>
    <t>CARE ONE AT LIVINGSTON</t>
  </si>
  <si>
    <t>SAINT ANNE VILLA</t>
  </si>
  <si>
    <t>CARE ONE AT MOORESTOWN</t>
  </si>
  <si>
    <t>PLAZA HEALTHCARE &amp; REHABILITATION CENTER</t>
  </si>
  <si>
    <t>CARE ONE AT WALL</t>
  </si>
  <si>
    <t>STONEBRIDGE AT MONTGOMERY HEALTH CARE CENTER</t>
  </si>
  <si>
    <t>PREFERRED CARE AT MERCER</t>
  </si>
  <si>
    <t>CARE ONE AT MADISON AVENUE</t>
  </si>
  <si>
    <t>COMMUNITY MEDICAL CENTER TCU</t>
  </si>
  <si>
    <t>CEDAR CREST/MOUNTAINVIEW GARDENS</t>
  </si>
  <si>
    <t>MERRY HEART OF BOONTON TOWNSHIP</t>
  </si>
  <si>
    <t>ALARIS HEALTH AT THE CHATEAU</t>
  </si>
  <si>
    <t>RENAISSANCE PAVILION</t>
  </si>
  <si>
    <t>NEW JERSEY VETERANS MEMORIAL VINELAND</t>
  </si>
  <si>
    <t>ALLENDALE NURSING HOME</t>
  </si>
  <si>
    <t>LIONS GATE</t>
  </si>
  <si>
    <t>MANORCARE HEALTH SERVICES - VOORHEES</t>
  </si>
  <si>
    <t>MERIDIAN SUBACUTE REHABILITATION</t>
  </si>
  <si>
    <t>CARE ONE AT TEANECK</t>
  </si>
  <si>
    <t>ROYAL SUITES HEALTH CARE &amp; REHABILITATION</t>
  </si>
  <si>
    <t>WEDGWOOD GARDENS CARE CENTER</t>
  </si>
  <si>
    <t>CLARA MAASS MEDICAL CENTER</t>
  </si>
  <si>
    <t>MANORCARE HEALTH SERVICES-WASHINGTON TOWNSHIP</t>
  </si>
  <si>
    <t>BARNERT SUBACUTE REHABILITATION CENTER, LLC</t>
  </si>
  <si>
    <t>VICTORIA MANOR</t>
  </si>
  <si>
    <t>ROOSEVELT CARE CENTER AT OLD BRIDGE</t>
  </si>
  <si>
    <t>BRIDGEWAY CARE AND REHAB CENTER AT HILLSBOROUGH</t>
  </si>
  <si>
    <t>CARE ONE AT HANOVER TOWNSHIP</t>
  </si>
  <si>
    <t>HOBOKEN UNIVERSITY MEDICAL CENTER TCU</t>
  </si>
  <si>
    <t>POWERBACK REHABILITATION, ROUTE 73</t>
  </si>
  <si>
    <t>EGG HARBOR CARE CENTER</t>
  </si>
  <si>
    <t>ATRIUM AT NAVESINK HARBOR, THE</t>
  </si>
  <si>
    <t>ADVANCED SUBACUTE REHABILITATION CENTER AT SEWELL</t>
  </si>
  <si>
    <t>POWERBACK REHABILITATION MOORESTOWN</t>
  </si>
  <si>
    <t>VENETIAN CARE &amp; REHABILITATION CENTER, THE</t>
  </si>
  <si>
    <t>ATRIUM POST ACUTE CARE OF HAMILTON</t>
  </si>
  <si>
    <t>ARTESIA GENERAL HOSPITAL</t>
  </si>
  <si>
    <t>SANTA FE CARE CENTER</t>
  </si>
  <si>
    <t>SANDIA RIDGE CENTER</t>
  </si>
  <si>
    <t>RIO RANCHO CENTER</t>
  </si>
  <si>
    <t>REHABILITATION CENTER OF ALBUQUERQUE, LLC  (THE)</t>
  </si>
  <si>
    <t>LA VIDA LLENA</t>
  </si>
  <si>
    <t>LAS PALOMAS CENTER</t>
  </si>
  <si>
    <t>LADERA CENTER</t>
  </si>
  <si>
    <t>CASA REAL</t>
  </si>
  <si>
    <t>SAGECREST NURSING AND REHABILITATION</t>
  </si>
  <si>
    <t>HOBBS OPERATING COMP DBA HOBBS HEALTHCARE CENTER</t>
  </si>
  <si>
    <t>UPTOWN REHABILITATION CENTER</t>
  </si>
  <si>
    <t>CASA ARENA BLANCA NURSING CENTER</t>
  </si>
  <si>
    <t>MISSION ARCH CENTER</t>
  </si>
  <si>
    <t>PRINCETON PLACE</t>
  </si>
  <si>
    <t>CASA DE ORO CENTER</t>
  </si>
  <si>
    <t>MONTEBELLO ON ACADEMY (THE)</t>
  </si>
  <si>
    <t>CANYON TRANSITIONAL REHABILITATION CENTER, LLC</t>
  </si>
  <si>
    <t>SOMBRILLO NURSING FACILITY</t>
  </si>
  <si>
    <t>GOOD SAMARITAN  - LOVINGTON</t>
  </si>
  <si>
    <t>GOOD SAMARITAN SOCIETY -  GRANTS</t>
  </si>
  <si>
    <t>ESPANOLA VALLEY NURSING AND REHAB</t>
  </si>
  <si>
    <t>PALOMA BLANCA HEALTH AND REHABILITATION</t>
  </si>
  <si>
    <t>GOOD SAMARITAN SOCIETY BETTY DARE</t>
  </si>
  <si>
    <t>SIERRA HEALTH CARE CENTER</t>
  </si>
  <si>
    <t>SKIES HEALTHCARE &amp; REHABILITATION CENTER, LLC</t>
  </si>
  <si>
    <t>VIDA ENCANTADA NURSING &amp; REHAB</t>
  </si>
  <si>
    <t>BLOOMFIELD NURSING AND REHAB</t>
  </si>
  <si>
    <t>GOOD SAMARITAN SOCIETY LAS CRUCES VILLAGE</t>
  </si>
  <si>
    <t>BELEN MEADOWS HEALTHCARE AND REHABILITATION CENTER</t>
  </si>
  <si>
    <t>ALBUQUERQUE HEIGHTS HEALTHCARE AND REHABILITATION</t>
  </si>
  <si>
    <t>RED ROCKS CARE CENTER</t>
  </si>
  <si>
    <t>GOOD SAMARITAN SOCIETY - FOUR CORNERS VILLAGE</t>
  </si>
  <si>
    <t>GOOD SAMARITAN SOCIETY- SOCORRO</t>
  </si>
  <si>
    <t>GOOD SAMARITAN SOCIETY - MANZANO DEL SOL</t>
  </si>
  <si>
    <t>ST ANTHONY HEALTHCARE AND REHAB CENTER, L</t>
  </si>
  <si>
    <t>CLOVIS HEALTHCARE AND REHABILITATION CENTER</t>
  </si>
  <si>
    <t>RETIREMENT RANCHES INC.</t>
  </si>
  <si>
    <t>MIMBRES MEMORIAL NURSING HOME</t>
  </si>
  <si>
    <t>RATON NURSING AND REHAB CENTER</t>
  </si>
  <si>
    <t>SAN JUAN CENTER</t>
  </si>
  <si>
    <t>CASA MARIA HEALTHCARE CENTER AND PECOS VALLEY REHA</t>
  </si>
  <si>
    <t>NORTHGATE UNIT OF LAKEVIEW CHRISTIAN HOME NURSING</t>
  </si>
  <si>
    <t>SILVER CITY CARE CENTER</t>
  </si>
  <si>
    <t>KASEMAN SUBACUTE AND REHABILITATION</t>
  </si>
  <si>
    <t>CLAYTON NURSING AND REHAB</t>
  </si>
  <si>
    <t>CARLSBAD MEDICAL CENTER - TCU</t>
  </si>
  <si>
    <t>LEA REGIONAL MEDICAL CENTER - TRANSITIONAL CARE UN</t>
  </si>
  <si>
    <t>LIFE CARE CENTER OF FARMINGTON</t>
  </si>
  <si>
    <t>NM BEHAVIORAL HEALTH INSTITUTE AT LAS VEGAS(THE)</t>
  </si>
  <si>
    <t>TAOS LIVING CENTER</t>
  </si>
  <si>
    <t>CASA DEL SOL CENTER</t>
  </si>
  <si>
    <t>VILLAGE AT NORTHRISE (THE) - DESERT WILLOW I</t>
  </si>
  <si>
    <t>COUNTRY COTTAGE CARE AND REHAB</t>
  </si>
  <si>
    <t>CEDAR RIDGE INN</t>
  </si>
  <si>
    <t>HEARTLAND CONTINUING CARE CENTER</t>
  </si>
  <si>
    <t>MESCALERO CARE CENTER</t>
  </si>
  <si>
    <t>SUNSET VILLA CARE CENTER</t>
  </si>
  <si>
    <t>MCKINLEY CENTER</t>
  </si>
  <si>
    <t>ADVANCED HEALTH CARE OF ALBUQUERQUE</t>
  </si>
  <si>
    <t>FORT BAYARD MEDICAL CENTER</t>
  </si>
  <si>
    <t>SUNSHINE HAVEN AT LORDSBURG</t>
  </si>
  <si>
    <t>TAOS RETIREMENT VILLAGE</t>
  </si>
  <si>
    <t>MEDICAL RESORT AT FIESTA PARK (THE)</t>
  </si>
  <si>
    <t>BEAR CANYON REHABILITATION CENTER</t>
  </si>
  <si>
    <t>THE RIO AT LAS ESTANCIAS</t>
  </si>
  <si>
    <t>THE RIO AT CABEZON</t>
  </si>
  <si>
    <t>SAN PEDRO NURSING AND REHABILITATION CENTER</t>
  </si>
  <si>
    <t>JONES MEMORIAL HOSPITAL</t>
  </si>
  <si>
    <t>OLEAN GENERAL HOSPITAL</t>
  </si>
  <si>
    <t>IRA DAVENPORT MEMORIAL HOSPITAL, INC</t>
  </si>
  <si>
    <t>CORTLAND REGIONAL MEDICAL CENTER, INC</t>
  </si>
  <si>
    <t>CANTON-POTSDAM HOSPITAL</t>
  </si>
  <si>
    <t>CLAXTON-HEPBURN MEDICAL CENTER</t>
  </si>
  <si>
    <t>COBLESKILL REGIONAL HOSPITAL</t>
  </si>
  <si>
    <t>CAYUGA MEDICAL CENTER AT ITHACA</t>
  </si>
  <si>
    <t>THE EMERALD PEEK REHAB AND NURSING CENTER</t>
  </si>
  <si>
    <t>AUBURN NURSING HOME</t>
  </si>
  <si>
    <t>BRIARCLIFF MANOR CENTER FOR REHAB AND NURSING CARE</t>
  </si>
  <si>
    <t>KATHERINE LUTHER RESIDENTIAL HLTH CARE &amp; REHAB</t>
  </si>
  <si>
    <t>ST JOHNS HEALTH CARE CORPORATION</t>
  </si>
  <si>
    <t>ST PATRICKS HOME</t>
  </si>
  <si>
    <t>THE CAPITAL LIVING NURSING &amp; REHABILITATION CENTRE</t>
  </si>
  <si>
    <t>SCHERVIER NURSING CARE CENTER</t>
  </si>
  <si>
    <t>BEECHTREE CENTER FOR REHABILITATION AND NURSING</t>
  </si>
  <si>
    <t>REGEIS CARE CENTER</t>
  </si>
  <si>
    <t>HEBREW HOME FOR THE AGED AT RIVERDALE</t>
  </si>
  <si>
    <t>SANDS POINT CENTER FOR H &amp; R</t>
  </si>
  <si>
    <t>A HOLLY PATTERSON EXTENDED CARE FACILITY</t>
  </si>
  <si>
    <t>BEACH TERRACE CARE CENTER</t>
  </si>
  <si>
    <t>VILLAGE CARE REHAB AND NURSING CTR</t>
  </si>
  <si>
    <t>THE CITADEL REHAB &amp; NURSING CTR AT KINGSBRIDGE</t>
  </si>
  <si>
    <t>MOSHOLU PARKWAY NURSING AND REHAB</t>
  </si>
  <si>
    <t>WYOMING COUNTY COMMUNITY HOSPITAL S N F</t>
  </si>
  <si>
    <t>HILAIRE REHAB &amp; NURSING</t>
  </si>
  <si>
    <t>FAR ROCKAWAY NURSING HOME</t>
  </si>
  <si>
    <t>NORTHERN MANOR GERIATRIC CTR INC</t>
  </si>
  <si>
    <t>WILLIAMSBRIDGE MANOR N H</t>
  </si>
  <si>
    <t>MARY MANNING WALSH NURSING HOME</t>
  </si>
  <si>
    <t>ELCOR NURSING  AND REHABILITATION CENTER</t>
  </si>
  <si>
    <t>ELDERWOOD AT AMHERST</t>
  </si>
  <si>
    <t>UNIVERSITY NURSING HOME</t>
  </si>
  <si>
    <t>COLER REHABILITATION AND NURSING CARE CENTER</t>
  </si>
  <si>
    <t>APEX REHABILITATION &amp; CARE CENTER</t>
  </si>
  <si>
    <t>CROUSE COMMUNITY CENTER INC</t>
  </si>
  <si>
    <t>CONESUS LAKE NURSING HOME</t>
  </si>
  <si>
    <t>BROOKLYN GARDENS NURSING &amp; REHABILITATION CENTER</t>
  </si>
  <si>
    <t>ST JOSEPHS HOSP  S N F</t>
  </si>
  <si>
    <t>PARKVIEW CARE AND REHAB CENTER INC</t>
  </si>
  <si>
    <t>NORTHWOODS REHAB AND E C F AT MORAVIA</t>
  </si>
  <si>
    <t>FIELD HOME - HOLY COMFORTER</t>
  </si>
  <si>
    <t>GOLD CREST CARE CENTER</t>
  </si>
  <si>
    <t>REGENCY EXTENDED CARE CENTER</t>
  </si>
  <si>
    <t>ST ANNS HOME FOR THE AGED</t>
  </si>
  <si>
    <t>THE SHORE WINDS</t>
  </si>
  <si>
    <t>BERKSHIRE NURSING AND REHAB</t>
  </si>
  <si>
    <t>ST JOSEPHS HOME</t>
  </si>
  <si>
    <t>ELIZABETH CHURCH MANOR NURSING HOME</t>
  </si>
  <si>
    <t>FULTON CENTER FOR REHABILITATION AND HEALTHCARE</t>
  </si>
  <si>
    <t>HENRY J CARTER SKILLED NURSING FACILITY</t>
  </si>
  <si>
    <t>PARK NURSING HOME</t>
  </si>
  <si>
    <t>RIVERDALE NURSING HOME</t>
  </si>
  <si>
    <t>N Y S VETS HOME AT OXFORD</t>
  </si>
  <si>
    <t>FINGER LAKES HEALTH</t>
  </si>
  <si>
    <t>ISABELLA GERIATRIC CENTER INC</t>
  </si>
  <si>
    <t>RIVERVIEW MANOR HEALTH CARE CENTER</t>
  </si>
  <si>
    <t>THE HERITAGE REHABILITATION AND HEALTH CARE CENTER</t>
  </si>
  <si>
    <t>JEWISH HOME OF ROCHESTER</t>
  </si>
  <si>
    <t>SEA VIEW HOSPITAL REHABILITATION CENTER AND HOME</t>
  </si>
  <si>
    <t>EVERGREEN COMMONS REHAB &amp; NURSING CENTER</t>
  </si>
  <si>
    <t>BROTHERS OF MERCY NURSING &amp; REHABILITATION CENTER</t>
  </si>
  <si>
    <t>SPRING CREEK REHABILITATION AND NURSING CARE CTR</t>
  </si>
  <si>
    <t>ALICE HYDE MEDICAL CENTER S N F</t>
  </si>
  <si>
    <t>ST PETERS NURSING AND REHABILITATION CENTER</t>
  </si>
  <si>
    <t>THE GRAND REHABILITATION &amp; NURSING AT QUEENS</t>
  </si>
  <si>
    <t>NEW CARLTON REHAB &amp; NURSING CENTER</t>
  </si>
  <si>
    <t>PARKER JEWISH INSTITUTE FOR H C &amp; REHAB</t>
  </si>
  <si>
    <t>SAPPHIRE CTR FOR REHAB &amp; NURSING OF CENTRAL QUEENS</t>
  </si>
  <si>
    <t>LORETTO HEALTH AND REHABILITATION CENTER</t>
  </si>
  <si>
    <t>FOREST HILLS CARE CENTER</t>
  </si>
  <si>
    <t>BELAIR CARE CENTER INC</t>
  </si>
  <si>
    <t>MARQUIS REHABILITATION &amp; NURSING CENTER</t>
  </si>
  <si>
    <t>HERITAGE PARK HEALTH CARE CENTER</t>
  </si>
  <si>
    <t>MEADOW PARK REHAB HLTH CTR L L C</t>
  </si>
  <si>
    <t>FAIRVIEW NURSING CARE CTR INC</t>
  </si>
  <si>
    <t>RAMAPO MANOR CTR FOR REHAB &amp; NURSING</t>
  </si>
  <si>
    <t>WATERVIEW NURSING CARE CENTER</t>
  </si>
  <si>
    <t>WINDSOR PARK NURSING HOME</t>
  </si>
  <si>
    <t>SOUTH SHORE REHABILITATION AND NURSING CENTER</t>
  </si>
  <si>
    <t>OCEANSIDE CARE CENTER INC</t>
  </si>
  <si>
    <t>ROSS CENTER FOR NURSING AND REHABILITATION</t>
  </si>
  <si>
    <t>LYNBROOK RESTORATIVE THERAPY AND NURSING</t>
  </si>
  <si>
    <t>DALEVIEW CARE CENTER</t>
  </si>
  <si>
    <t>SOUTH POINT PLAZA NURSING &amp; REHABILITATION CENTER</t>
  </si>
  <si>
    <t>OXFORD NURSING HOME</t>
  </si>
  <si>
    <t>HUMBOLDT HOUSE REHABILITATION AND NURSING CENTER</t>
  </si>
  <si>
    <t>NEW SURFSIDE NURSING HOME</t>
  </si>
  <si>
    <t>OCEANVIEW NURSING AND REHABILITATION CENTER L L C</t>
  </si>
  <si>
    <t>COMPREHENSIVE REHAB &amp; NURSING CTR AT WILLIAMSVILLE</t>
  </si>
  <si>
    <t>COBBLE HILL HEALTH CENTER INC</t>
  </si>
  <si>
    <t>BROOKSIDE MULTICARE NURSING CENTER</t>
  </si>
  <si>
    <t>ROSA COPLON JEWISH HOME AND INFIRMARY</t>
  </si>
  <si>
    <t>BROOKLYN CTR FOR REHAB AND RESIDENTIAL HLTH CARE</t>
  </si>
  <si>
    <t>SAFIRE REHABILITATION OF NORTHTOWNS, L L C</t>
  </si>
  <si>
    <t>GREENFIELD HEALTH AND REHABILITATION CENTER</t>
  </si>
  <si>
    <t>VAN DUYN CENTER FOR REHABILITATION AND NURSING</t>
  </si>
  <si>
    <t>CEDAR MANOR NURSING &amp; REHABILITATION CENTER</t>
  </si>
  <si>
    <t>HUDSON POINTE AT RIVERDALE CTR FOR NRSG AND REHAB</t>
  </si>
  <si>
    <t>THE MOUNTAIN VIEW NURSING AND REHAB CENTRE</t>
  </si>
  <si>
    <t>JEWISH HOME OF CENTRAL NEW YORK</t>
  </si>
  <si>
    <t>SILVER LAKE SPECIALIZED REHAB AND CARE CENTER</t>
  </si>
  <si>
    <t>MONROE COMMUNITY HOSPITAL</t>
  </si>
  <si>
    <t>RESORT NURSING HOME</t>
  </si>
  <si>
    <t>BETH ABRAHAM HEALTH SERVICES</t>
  </si>
  <si>
    <t>BATAVIA HEALTH CARE CENTER, LLC</t>
  </si>
  <si>
    <t>AURELIA OSBORN FOX MEMORIAL HO</t>
  </si>
  <si>
    <t>VALLEY VIEW MANOR NURSING HOME</t>
  </si>
  <si>
    <t>HIGHLAND PARK REHABILITATION AND NURSING CENTER</t>
  </si>
  <si>
    <t>GLENGARIFF HEALTH CARE CENTER</t>
  </si>
  <si>
    <t>THE VILLAGES OF ORLEANS HEALTH AND REHAB CTR</t>
  </si>
  <si>
    <t>BROADLAWN MANOR NURSING &amp; REHAB CTR</t>
  </si>
  <si>
    <t>EASTCHESTER REHAB AND HEALTH CARE CENTER, L L C</t>
  </si>
  <si>
    <t>AVON NURSING HOME</t>
  </si>
  <si>
    <t>CORTLAND PARK REHABILITATION AND NURSING CENTER</t>
  </si>
  <si>
    <t>NEWARK MANOR NURSING HOME</t>
  </si>
  <si>
    <t>MERCY LIVING CENTER</t>
  </si>
  <si>
    <t>WHITE PLAINS CENTER FOR NURSING CARE L L C</t>
  </si>
  <si>
    <t>OAK HILL MANOR NURSING HOME</t>
  </si>
  <si>
    <t>VESTAL PARK REHABILITATION AND NURSING CENTER</t>
  </si>
  <si>
    <t>WORKMENS CIRCLE MULTICARE CENTER</t>
  </si>
  <si>
    <t>BRIDGEWATER CENTER FOR REHAB &amp; NURSING L L C</t>
  </si>
  <si>
    <t>PUTNAM NURSING AND REHABILITATION CENTER</t>
  </si>
  <si>
    <t>EXCEL AT WOODBURY FOR REHAB AND NURSING, L L C</t>
  </si>
  <si>
    <t>UPPER EAST SIDE REHABILITATION AND NURSING CENTER</t>
  </si>
  <si>
    <t>COLONIAL PARK REHABILITATION AND NURSING CENTER</t>
  </si>
  <si>
    <t>ROBINSON TERRACE</t>
  </si>
  <si>
    <t>THE VALLEY VIEW CENTER FOR NRSG  CARE &amp; REHAB</t>
  </si>
  <si>
    <t>CLOVE LAKES HEALTH CARE AND REHABILITATION CENTER</t>
  </si>
  <si>
    <t>CHESTNUT PARK AND REHABILITATION NURSING CENTER</t>
  </si>
  <si>
    <t>CATON PARK NURSING HOME</t>
  </si>
  <si>
    <t>FIELDSTON LODGE CARE CENTER</t>
  </si>
  <si>
    <t>CAYUGA RIDGE EXTENDED CARE</t>
  </si>
  <si>
    <t>HIGHFIELD GARDENS CARE CENTER OF GREAT NECK</t>
  </si>
  <si>
    <t>GLENDALE HOME SCHDY CNTY DEPT</t>
  </si>
  <si>
    <t>CENTRAL PARK REHABILITATION AND NURSING CENTER</t>
  </si>
  <si>
    <t>ACADIA CENTER FOR NURSING AND REHABILITATION</t>
  </si>
  <si>
    <t>ELM MANOR NURSING HOME</t>
  </si>
  <si>
    <t>THE PINES AT CATSKILL CTR FOR NRSG &amp; REHAB</t>
  </si>
  <si>
    <t>FORT TRYON REHAB &amp; HEALTH CARE FAC L T H H C P</t>
  </si>
  <si>
    <t>WATERVIEW HILLS REHABILITATION AND NRSG CTR</t>
  </si>
  <si>
    <t>SUMMIT PARK NURSING CARE CENTER</t>
  </si>
  <si>
    <t>SOMERS MANOR REHABILITATION &amp; NURSING CENTER</t>
  </si>
  <si>
    <t>CHURCH HOME OF THE PROTESTANT EPISCOPAL CHURCH</t>
  </si>
  <si>
    <t>VAN RENSSELAER MANOR</t>
  </si>
  <si>
    <t>WOODCREST REHAB &amp; RESIDENTIAL H C CENTER L L C</t>
  </si>
  <si>
    <t>UIHLEIN LIVING CENTER</t>
  </si>
  <si>
    <t>THE WARTBURG HOME</t>
  </si>
  <si>
    <t>DUMONT CENTER FOR REHABILATION AND NURSING</t>
  </si>
  <si>
    <t>VERRAZANO NURSING HOME</t>
  </si>
  <si>
    <t>SAN SIMEON BY THE SOUND CTR FOR NRSG &amp; REHAB</t>
  </si>
  <si>
    <t>ELANT AT WAPPINGERS FALLS</t>
  </si>
  <si>
    <t>MAYFAIR CARE CENTER INC</t>
  </si>
  <si>
    <t>THE SPRINGS NURSING AND REHABILITATION CENTRE</t>
  </si>
  <si>
    <t>ABSOLUT CTR FOR NURSING &amp; REHAB AURORA PARK L L C</t>
  </si>
  <si>
    <t>ST CAMILLUS RESIDENTIAL HEALTH CARE FACILITY</t>
  </si>
  <si>
    <t>CENTRAL ISLAND HEALTHCARE</t>
  </si>
  <si>
    <t>PINE VALLEY CENTER FOR REHAB AND NURSING</t>
  </si>
  <si>
    <t>CARILLON NURSING &amp; REHAB CENTER</t>
  </si>
  <si>
    <t>PARK GARDENS REHAB AND N C</t>
  </si>
  <si>
    <t>SHORE VIEW NURSING  &amp; REHABILITATION CENTER</t>
  </si>
  <si>
    <t>SOLDIERS AND SAILORS MEMORIAL HOSPITAL E C U</t>
  </si>
  <si>
    <t>THE CHATEAU AT BROOKLYN REHAB &amp; NURSING CTR</t>
  </si>
  <si>
    <t>WILLOW POINT REHABILITATION AND NURSING CENTER</t>
  </si>
  <si>
    <t>PROMENADE REHAB AND HEALTH CARE CENTER</t>
  </si>
  <si>
    <t>FRANKLIN COUNTY NURSING HOME</t>
  </si>
  <si>
    <t>LONG ISLAND CARE CENTER INC</t>
  </si>
  <si>
    <t>THE NEW JEWISH HOME, SARAH NEUMAN</t>
  </si>
  <si>
    <t>THE GRAND PAVILION FOR R &amp; N AT ROCKVILLE CENTRE</t>
  </si>
  <si>
    <t>NEW GLEN OAKS N H</t>
  </si>
  <si>
    <t>FORT HUDSON NURSING CENTER INC</t>
  </si>
  <si>
    <t>ST JAMES REHAB &amp; HEALTH CARE CENTER</t>
  </si>
  <si>
    <t>THE STANTON NURSING AND REHAB CENTRE</t>
  </si>
  <si>
    <t>STEUBEN CENTER FOR REHABILITATION AND HEALTHCARE</t>
  </si>
  <si>
    <t>FOREST VIEW CTR  REHAB NURSING</t>
  </si>
  <si>
    <t>TOLSTOY FOUNDATION REHABILITATION &amp; NURSING CENTER</t>
  </si>
  <si>
    <t>THE ENCLAVE AT PORT CHESTER REHAB AND NURSING CTR</t>
  </si>
  <si>
    <t>MEDINA MEMORIAL HOSPITAL S N F</t>
  </si>
  <si>
    <t>WELLS NURSING HOME INC</t>
  </si>
  <si>
    <t>ROSCOE REGIONAL REHAB &amp; RESIDENTIAL H C F</t>
  </si>
  <si>
    <t>PARK TERRACE CARE CENTER</t>
  </si>
  <si>
    <t>SPRAIN BROOK MANOR REHAB</t>
  </si>
  <si>
    <t>SPLIT ROCK REHAB AND HEALTH CARE CENTER</t>
  </si>
  <si>
    <t>HORNELL GARDENS</t>
  </si>
  <si>
    <t>THE PINES AT GLENS FALLS CTR FOR NRSG &amp; REHAB</t>
  </si>
  <si>
    <t>ELDERWOOD  AT WILLIAMSVILLE</t>
  </si>
  <si>
    <t>BRIDGE VIEW NURSING HOME INC</t>
  </si>
  <si>
    <t>PALM GARDENS CARE CENTER L L C</t>
  </si>
  <si>
    <t>CORNING CENTER FOR REHABILITATION AND HEALTHCARE</t>
  </si>
  <si>
    <t>INDIAN RIVER REHAB AND NURSING CENTER</t>
  </si>
  <si>
    <t>EGER HEALTH CARE AND REHABILITATION CENTER</t>
  </si>
  <si>
    <t>HOLLIS PARK MANOR NURSING HOME</t>
  </si>
  <si>
    <t>THE RIVERSIDE</t>
  </si>
  <si>
    <t>MARGARET TIETZ CENTER FOR NURSING</t>
  </si>
  <si>
    <t>SCHAFFER EXTENDED CARE CENTER, INC</t>
  </si>
  <si>
    <t>JAMES SQUARE NURSING AND  REHAB CENTRE</t>
  </si>
  <si>
    <t>MOUNTAINSIDE RESIDENTIAL CARE</t>
  </si>
  <si>
    <t>THE COTTAGES AT GARDEN GROVE, A  S N COMMUNITY</t>
  </si>
  <si>
    <t>THE HURLBUT</t>
  </si>
  <si>
    <t>NORTH WESTCHESTER RESTORATIVE THERAPY &amp; N C</t>
  </si>
  <si>
    <t>CHASEHEALTH REHAB &amp; RESIDENTIAL CARE</t>
  </si>
  <si>
    <t>M M EWING CONTINUING CARE CTR</t>
  </si>
  <si>
    <t>ELDERWOOD AT WAVERLY</t>
  </si>
  <si>
    <t>MORRIS PARK NURSING AND REHAB CENTER</t>
  </si>
  <si>
    <t>NORTHERN DUTCHESS R H C F INC</t>
  </si>
  <si>
    <t>CLIFFSIDE REHAB &amp; H C C</t>
  </si>
  <si>
    <t>SUTTON PARK CTR NURSING REHAB</t>
  </si>
  <si>
    <t>NATHAN LITTAUER HOSPITAL NURSING</t>
  </si>
  <si>
    <t>HERITAGE VILLAGE REHAB AND SKILLED NURSING INC.</t>
  </si>
  <si>
    <t>CHENANGO MEMORIAL HOSPITAL</t>
  </si>
  <si>
    <t>THE PINES HEALTHCARE &amp; REHABILITATION CTR OLEAN</t>
  </si>
  <si>
    <t>BRONX PARK REHABILITATION &amp; NURSING CENTER</t>
  </si>
  <si>
    <t>SARATOGA HOSPITAL NURSING HOME</t>
  </si>
  <si>
    <t>CLIFTON SPRINGS HOSPITAL &amp; CLINIC EXTENDED CARE</t>
  </si>
  <si>
    <t>OZANAM HALL OF QUEENS NURSING</t>
  </si>
  <si>
    <t>CUBA MEMORIAL HOSPITAL INC S N F</t>
  </si>
  <si>
    <t>NYACK MANOR NURSING HOME</t>
  </si>
  <si>
    <t>WOODSIDE MANOR NURSING HOME</t>
  </si>
  <si>
    <t>PARK RIDGE NURSING HOME</t>
  </si>
  <si>
    <t>ABSOLUT CTR FOR NURSING &amp; REHAB ENDICOTT L L C</t>
  </si>
  <si>
    <t>NEW VANDERBILT REHAB AND CARE CENTER</t>
  </si>
  <si>
    <t>BAINBRIDGE NURSING AND REHAB CENTER</t>
  </si>
  <si>
    <t>THE PINES AT UTICA CENTER FOR NRSG AND REHAB</t>
  </si>
  <si>
    <t>SCHUYLER HOSPITAL INC &amp; LONG TERM CARE UNIT S N F</t>
  </si>
  <si>
    <t>SCHOELLKOPF HEALTH CENTER</t>
  </si>
  <si>
    <t>DIAMOND HILL NURSING &amp; REHABILITATION CENTER</t>
  </si>
  <si>
    <t>SODUS REHABILITATION &amp; NURSING CENTER</t>
  </si>
  <si>
    <t>REGO PARK NURSING HOME</t>
  </si>
  <si>
    <t>NORTHERN METROPOLITAN R H C F INC</t>
  </si>
  <si>
    <t>SCHULMAN AND SCHACHNE INST FOR NURSING &amp; REHAB</t>
  </si>
  <si>
    <t>THE COMMONS ON ST ANTHONY STREET, A LORETTO S N F</t>
  </si>
  <si>
    <t>ST CABRINI NURSING HOME</t>
  </si>
  <si>
    <t>MOHAWK VALLEY HEALTH CARE CENTER</t>
  </si>
  <si>
    <t>PENINSULA NURSING AND REHABILITATION CENTER</t>
  </si>
  <si>
    <t>LACONIA NURSING HOME</t>
  </si>
  <si>
    <t>LIVINGSTON HILLS NURSING &amp; REHABILITATION  CTR</t>
  </si>
  <si>
    <t>OAK HOLLOW NURSING CENTER</t>
  </si>
  <si>
    <t>ELDERWOOD AT GRAND ISLAND</t>
  </si>
  <si>
    <t>CROWN PARK REHABILITATION AND NURSING CENTER</t>
  </si>
  <si>
    <t>SUSQUEHANNA NURSING AND REHAB CENTER L L C</t>
  </si>
  <si>
    <t>WESLEY HEALTH CARE CENTER</t>
  </si>
  <si>
    <t>MONTGOMERY NURSING AND REHABILITATION CENTER</t>
  </si>
  <si>
    <t>ORCHARD MANOR REHABILITATION AND NURSING CENTER</t>
  </si>
  <si>
    <t>SANS SOUCI REHABILITATION AND NURSING CENTER</t>
  </si>
  <si>
    <t>HUDSON VALLEY REHAB AND EXT CARE FACILITY</t>
  </si>
  <si>
    <t>SENECA NURSING AND REHABILITATION CENTER</t>
  </si>
  <si>
    <t>MOMENTUM AT SOUTH BAY FOR REHABILATION AND NURSING</t>
  </si>
  <si>
    <t>OASIS REHABILITATION AND NURSING, LLC</t>
  </si>
  <si>
    <t>WAYNE HEALTH CARE</t>
  </si>
  <si>
    <t>RENAISSANCE REHABILITATION AND NURSING CARE CENTER</t>
  </si>
  <si>
    <t>FERNCLIFF NURSING HOME CO INC</t>
  </si>
  <si>
    <t>WAYNE COUNTY NURSING HOME</t>
  </si>
  <si>
    <t>PENFIELD PLACE</t>
  </si>
  <si>
    <t>WEDGEWOOD NURSING HOME</t>
  </si>
  <si>
    <t>WATERS EDGE AT PORT JEFFERSON FOR REHAB &amp; NURSING</t>
  </si>
  <si>
    <t>SEA CREST NURSING AND REHABILITATION CENTER</t>
  </si>
  <si>
    <t>FOCUS REHABILITATION AND NURSING CENTER AT OTSEGO</t>
  </si>
  <si>
    <t>WASHINGTON CENTER FOR REHABILITATION &amp; HEALTHCARE</t>
  </si>
  <si>
    <t>LAWRENCE NURSING CARE CENTER</t>
  </si>
  <si>
    <t>DRY HARBOR NURSING HOME</t>
  </si>
  <si>
    <t>NORTHERN RIVERVIEW HEALTH CARE</t>
  </si>
  <si>
    <t>ST CATHERINE LABOURE HEALTH CARE CENTER</t>
  </si>
  <si>
    <t>TARRYTOWN HALL CARE CENTER</t>
  </si>
  <si>
    <t>RIVER RIDGE LIVING CENTER</t>
  </si>
  <si>
    <t>GENESEE COUNTY NURSING HOME</t>
  </si>
  <si>
    <t>SCHNURMACHER CENTER FOR REHAB &amp; NURSING</t>
  </si>
  <si>
    <t>ALBANY COUNTY NURSING HOME</t>
  </si>
  <si>
    <t>FRANKLIN CENTER FOR REHAB AND NURSING</t>
  </si>
  <si>
    <t>ONEIDA HEALTHCARE</t>
  </si>
  <si>
    <t>LEWIS COUNTY R H C F</t>
  </si>
  <si>
    <t>ADIRONDACK TRI COUNTY NURSING &amp; REHABILITATION CTR</t>
  </si>
  <si>
    <t>SAMARITAN KEEP NURSING HOME INC</t>
  </si>
  <si>
    <t>KOMANOFF CTR FOR GERIATRIC &amp; REHAB MEDICINE</t>
  </si>
  <si>
    <t>MCAULEY RESIDENCE</t>
  </si>
  <si>
    <t>LITTLE NECK CARE CENTER</t>
  </si>
  <si>
    <t>JENNIE B RICHMOND CHAFFEE NURSING HOME CO., INC.</t>
  </si>
  <si>
    <t>JAMAICA HOSPITAL NURSING HOME</t>
  </si>
  <si>
    <t>WATERFRONT CENTER FOR REHABILITATION &amp; HEALTHCARE</t>
  </si>
  <si>
    <t>MEADOWBROOK HEALTHCARE</t>
  </si>
  <si>
    <t>NEW ROC NURSING AND REHABILITATION CENTER</t>
  </si>
  <si>
    <t>THE PINES AT POUGHKEEPSIE CTR FOR NRSG &amp; REHAB</t>
  </si>
  <si>
    <t>CORTLANDT HEALTHCARE L L C</t>
  </si>
  <si>
    <t>CHAMPLAIN VALLEY PHYSICIANS HOSPITAL S N F</t>
  </si>
  <si>
    <t>DAUGHTERS OF JACOB NURSING HOME CO, INC</t>
  </si>
  <si>
    <t>CYPRESS GARDEN CENTER FOR NURSING &amp; REHABILITATION</t>
  </si>
  <si>
    <t>KING STREET HOME INC</t>
  </si>
  <si>
    <t>QUEENS NASSAU REHABILITATION AND NURSING CENTER</t>
  </si>
  <si>
    <t>ACHIEVE REHAB AND NURSING FACILITY</t>
  </si>
  <si>
    <t>GOLDEN HILL HEALTH CARE CENTER</t>
  </si>
  <si>
    <t>CARTHAGE AREA HOSPITAL S N F</t>
  </si>
  <si>
    <t>RIVER LEDGE HEALTH CARE AND REHABILITATION CENTER</t>
  </si>
  <si>
    <t>CARMEL RICHMOND HEALTHCARE AND REHAB CENTER</t>
  </si>
  <si>
    <t>FIDDLERS GREEN MANOR REHABILITATION &amp; NURSING CTR</t>
  </si>
  <si>
    <t>THE GRAND REHABILITATION &amp; NURSING AT PAWLING</t>
  </si>
  <si>
    <t>WESTCHESTER CENTER FOR REHABILITATION &amp; NURSING</t>
  </si>
  <si>
    <t>MICHAUD RESIDENTIAL HEALTH SERVICES INC</t>
  </si>
  <si>
    <t>NEW GOUVERNEUR HOSPITAL S N F</t>
  </si>
  <si>
    <t>THE NEW JEWISH HOME, HARRY &amp; JEANETTE WEINBERG</t>
  </si>
  <si>
    <t>ELANT AT MEADOW HILL</t>
  </si>
  <si>
    <t>DAUGHTERS OF SARAH NURSING CENTER</t>
  </si>
  <si>
    <t>KINGSWAY ARMS NURSING CENTER INC</t>
  </si>
  <si>
    <t>CREST MANOR LIVING AND REHABILITATION CENTER</t>
  </si>
  <si>
    <t>BEECHWOOD HOMES</t>
  </si>
  <si>
    <t>BORO PARK CENTER FOR NURSING AND REHAB CENTER</t>
  </si>
  <si>
    <t>UTICA REHABILITATION &amp; NURSING CENTER</t>
  </si>
  <si>
    <t>MIDWAY NURSING HOME INC</t>
  </si>
  <si>
    <t>BRIGHTON MANOR</t>
  </si>
  <si>
    <t>CHARLES T SITRIN HEALTH CARE S N F</t>
  </si>
  <si>
    <t>THE FRIENDLY HOME</t>
  </si>
  <si>
    <t>ESSEX CENTER FOR REHABILITATION AND HEALTHCARE</t>
  </si>
  <si>
    <t>CHEMUNG COUNTY HEALTH CENTER</t>
  </si>
  <si>
    <t>NEWFANE REHAB AND HEALTH CARE CENTER</t>
  </si>
  <si>
    <t>HERITAGE COMMONS RESIDENTIAL HEALTH CARE</t>
  </si>
  <si>
    <t>GRACE PLAZA NURSING AND REHABILITATION CENTER</t>
  </si>
  <si>
    <t>MORNINGSIDE NURSING AND REHABILITATION CENTER</t>
  </si>
  <si>
    <t>CHAUTAUQUA COUNTY HOME</t>
  </si>
  <si>
    <t>PELHAM PARKWAY NURSING CENTER AND REHAB FACILITY</t>
  </si>
  <si>
    <t>ST JOHNLAND NURSING CENTER INC</t>
  </si>
  <si>
    <t>WESLEY GARDENS CORPORATION</t>
  </si>
  <si>
    <t>MORNINGSTAR RESIDENTIAL CARE CENTER</t>
  </si>
  <si>
    <t>BETHEL NURSING HOME CO INC</t>
  </si>
  <si>
    <t>THE NEW JEWISH HOME, MANHATTAN</t>
  </si>
  <si>
    <t>CONCOURSE REHABILITATION AND NURSING CENTER INC</t>
  </si>
  <si>
    <t>PENN YAN MANOR NURSING HOME IN</t>
  </si>
  <si>
    <t>WAYNE CENTER FOR NURSING &amp; REHABILITATION</t>
  </si>
  <si>
    <t>TRUSTEES OF EASTERN STAR HALL &amp; HOME OF  N Y S</t>
  </si>
  <si>
    <t>GRANDELL REHABILITATION AND NURSING CENTER</t>
  </si>
  <si>
    <t>ODD FELLOW AND REBEKAH REHAB &amp; HLTH CARE CTR INC</t>
  </si>
  <si>
    <t>GOLDEN GATE REHAB AND H C C</t>
  </si>
  <si>
    <t>HOLLISWOOD CENTER FOR REHABILITATION &amp; HEALTHCARE</t>
  </si>
  <si>
    <t>SENECA HEALTH CARE CENTER</t>
  </si>
  <si>
    <t>HIGHLAND CARE CENTER INC</t>
  </si>
  <si>
    <t>BRONX CENTER FOR REHAB HEALTH</t>
  </si>
  <si>
    <t>ABSOLUT CTR FOR NURSING &amp; REHAB ORCHARD PARK L L C</t>
  </si>
  <si>
    <t>SKY VIEW REHABILITATION &amp; HEALTH CARE CENTER L L C</t>
  </si>
  <si>
    <t>FOLTS HOME</t>
  </si>
  <si>
    <t>EAST SIDE NURSING HOME</t>
  </si>
  <si>
    <t>SEAGATE REHABILITATION AND NURSING CENTER</t>
  </si>
  <si>
    <t>WOODHAVEN NURSING HOME</t>
  </si>
  <si>
    <t>ST JOSEPHS HOSP NURSING HOME OF YONKERS N Y</t>
  </si>
  <si>
    <t>THE PHOENIX REHABILITATION AND NURSING CENTER</t>
  </si>
  <si>
    <t>NEW EAST SIDE NURSING HOME</t>
  </si>
  <si>
    <t>SARATOGA CENTER FOR REHAB &amp; SKILLED NURSING CARE</t>
  </si>
  <si>
    <t>IDEAL SENIOR LIVING CENTER</t>
  </si>
  <si>
    <t>LUTHERAN AUGUSTANA CTR FOR EXTENDED CARE &amp; REHAB</t>
  </si>
  <si>
    <t>HARLEM CENTER FOR NURSING &amp; REHABILITATION, L L C</t>
  </si>
  <si>
    <t>NORWEGIAN CHRISTIAN HOME &amp; HEALTH CENTER</t>
  </si>
  <si>
    <t>METHODIST HOME FOR NURSING AND REHABILITATION</t>
  </si>
  <si>
    <t>RIVERSIDE CENTER FOR REHABILITATION AND NURSING</t>
  </si>
  <si>
    <t>HIGHLAND REHABILITATION AND NURSING CENTER</t>
  </si>
  <si>
    <t>GOOD SHEPHERD FAIRVIEW HOME</t>
  </si>
  <si>
    <t>PLATTSBURGH REHABILITATION AND NURSING CENTER</t>
  </si>
  <si>
    <t>HILLSIDE MANOR REHAB AND EXTENDED CARE CENTER</t>
  </si>
  <si>
    <t>AARON MANOR REHABILITATION &amp; NURSING CENTER</t>
  </si>
  <si>
    <t>ABSOLUT CTR FOR NURSING &amp; REHAB GASPORT L L C</t>
  </si>
  <si>
    <t>ABSOLUT CTR FOR NURSING &amp; REHAB SALAMANCA L L C</t>
  </si>
  <si>
    <t>RUTLAND NURSING HOME CO INC</t>
  </si>
  <si>
    <t>CONCORD NURSING HOME INC</t>
  </si>
  <si>
    <t>OUR LADY OF CONSOLATION GERIATRIC CARE CENTER</t>
  </si>
  <si>
    <t>GUILDERLAND CENTER REHABILITATION AND E C F</t>
  </si>
  <si>
    <t>MASONIC CARE COMMUNITY OF NEW YORK</t>
  </si>
  <si>
    <t>CAPSTONE CENTER FOR REHABILITATION AND NURSING</t>
  </si>
  <si>
    <t>KING DAVID CENTER FOR NURSING AND REHABILITATION</t>
  </si>
  <si>
    <t>PRESBYTERIAN HOME FOR CENTRAL NEW YORK INC</t>
  </si>
  <si>
    <t>THE CROSSINGS NURSING AND REHAB CENTRE</t>
  </si>
  <si>
    <t>WARREN CENTER FOR REHABILITATION AND NURSING</t>
  </si>
  <si>
    <t>NOSTRAND CENTER FOR NURSING &amp; REHABILITATION</t>
  </si>
  <si>
    <t>THE BRIGHTONIAN</t>
  </si>
  <si>
    <t>COLD SPRINGS HILLS CTR FOR NURSING AND REHAB</t>
  </si>
  <si>
    <t>CREEKVIEW NURSING AND REHAB CENTER</t>
  </si>
  <si>
    <t>REBEKAH REHAB AND EXTENDED CARE CENTER</t>
  </si>
  <si>
    <t>BENSONHURST CENTER FOR REHAB AND HEALTHCARE</t>
  </si>
  <si>
    <t>SUNHARBOR MANOR</t>
  </si>
  <si>
    <t>N Y CONGREGATIONAL NURSING CTR</t>
  </si>
  <si>
    <t>STATEN ISLAND CARE CENTER</t>
  </si>
  <si>
    <t>LIVINGSTON COUNTY CENTER FOR NURSING AND REHAB</t>
  </si>
  <si>
    <t>ROME MEMORIAL HOSPITAL R H C F</t>
  </si>
  <si>
    <t>ONTARIO CENTER FOR REHABILITATION AND HEALTHCARE</t>
  </si>
  <si>
    <t>BARNWELL NURSING AND REHABILITATION CENTER</t>
  </si>
  <si>
    <t>MAPLEWOOD HEALTH CARE AND REHABILITATION CENTER</t>
  </si>
  <si>
    <t>SUNRISE MANOR CTR FOR NURSING</t>
  </si>
  <si>
    <t>LAKESIDE BEIKIRCH CARE CTR</t>
  </si>
  <si>
    <t>AMSTERDAM NURSING HOME CORP (1992)</t>
  </si>
  <si>
    <t>ROCKAWAY CARE CENTER L L C</t>
  </si>
  <si>
    <t>MAPLEWOOD NURSING HOME INC</t>
  </si>
  <si>
    <t>BRIODY HEALTH CARE FACILITY</t>
  </si>
  <si>
    <t>GREENE MEADOWS NURSING &amp; REHABILITATION CENTER</t>
  </si>
  <si>
    <t>FAIRPORT BAPTIST HOMES</t>
  </si>
  <si>
    <t>ELDERWOOD AT LANCASTER</t>
  </si>
  <si>
    <t>THE PINES HEALTHCARE &amp; REHABILITATION CTR MACHIAS</t>
  </si>
  <si>
    <t>THE COUNTRY MANOR NURSING AND REHAB CTR</t>
  </si>
  <si>
    <t>BAY PARK CENTER FOR NRSG AND REHAB L L C</t>
  </si>
  <si>
    <t>BROOKHAVEN REHAB AND HEALTH CARE CENTER L L C</t>
  </si>
  <si>
    <t>PROVIDENCE REST INC</t>
  </si>
  <si>
    <t>WATERVILLE RESIDENTIAL CARE CENTER</t>
  </si>
  <si>
    <t>ALPINE REHABILITATION AND NURSING CENTER</t>
  </si>
  <si>
    <t>SUNSET NURSING HOME INC</t>
  </si>
  <si>
    <t>THE GRAND REHABILITATION &amp; NURSING  AT CHITTENANGO</t>
  </si>
  <si>
    <t>THE GRAND REHABILITATION AND NURSING AT ROME</t>
  </si>
  <si>
    <t>PONTIAC NURSING HOME</t>
  </si>
  <si>
    <t>ST REGIS NURSING HOME  INC</t>
  </si>
  <si>
    <t>EMERALD SOUTH NURSING AND REHABILITATION CENTER</t>
  </si>
  <si>
    <t>ABSOLUT CTR FOR NURSING &amp; REHAB DUNKIRK L L C</t>
  </si>
  <si>
    <t>SUFFOLK CENTER FOR REHABILITATION AND NRSG</t>
  </si>
  <si>
    <t>CLINTON COUNTY NURSING HOME</t>
  </si>
  <si>
    <t>THE CENTER FOR NURSING AND REHAB AT HOOSICK FALLS</t>
  </si>
  <si>
    <t>SCHOFIELD RESIDENCE</t>
  </si>
  <si>
    <t>BROOKLYN UNITED METHODIST CHURCH HOME</t>
  </si>
  <si>
    <t>QUEEN OF PEACE RESIDENCE</t>
  </si>
  <si>
    <t>ABSOLUT CTR FOR NURSING &amp; REHAB EDEN L L C</t>
  </si>
  <si>
    <t>CROWN HEIGHTS CENTER FOR NURSING &amp; REHABILITATION</t>
  </si>
  <si>
    <t>ABSOLUT CTR FOR NURSING &amp; REHAB ALLEGANY L L C</t>
  </si>
  <si>
    <t>GLEN ISLAND  CENTER FOR NURSING AND REHAB</t>
  </si>
  <si>
    <t>BAPTIST HEALTH N  &amp;  R</t>
  </si>
  <si>
    <t>THE BAPTIST HOME AT BROOKMEADE</t>
  </si>
  <si>
    <t>BAYBERRY NURSING HOME</t>
  </si>
  <si>
    <t>HIGHLAND NURSING HOME INC</t>
  </si>
  <si>
    <t>UNITY LIVING CENTER</t>
  </si>
  <si>
    <t>UNITED HEBREW GERIATRIC CENTER</t>
  </si>
  <si>
    <t>CENTER FOR NURSING AND REHABILITATION S N F</t>
  </si>
  <si>
    <t>BEDFORD CENTER FOR NURSING AND REHABILITATION</t>
  </si>
  <si>
    <t>TERESIAN HOUSE NURSING HOME CO</t>
  </si>
  <si>
    <t>SULLIVAN COUNTY ADULT CARE CENTER</t>
  </si>
  <si>
    <t>PALISADE NURSING HOME COMPANY</t>
  </si>
  <si>
    <t>CHAPIN HOME FOR THE AGING</t>
  </si>
  <si>
    <t>PINE HAVEN HOME</t>
  </si>
  <si>
    <t>GARDEN GATE HEALTH CARE FACILITY</t>
  </si>
  <si>
    <t>LEROY VILLAGE GREEN R H C F INC</t>
  </si>
  <si>
    <t>GOOD SAMARITAN NURSING HOME</t>
  </si>
  <si>
    <t>BROOKLYN QUEENS NURSING HOME</t>
  </si>
  <si>
    <t>BUFFALO CENTER FOR REHABILITATION AND NURSING</t>
  </si>
  <si>
    <t>CATSKILL REGIONAL MEDICAL CENTER S N F</t>
  </si>
  <si>
    <t>EMERALD NORTH NURSING AND REHABILITATION CENTER</t>
  </si>
  <si>
    <t>ABSOLUT CTR FOR NURSING &amp; REHAB HOUGHTON  L L C</t>
  </si>
  <si>
    <t>GOWANDA REHABILITATION AND NURSING CENTER</t>
  </si>
  <si>
    <t>KINGS HARBOR MULTICARE CENTER</t>
  </si>
  <si>
    <t>BETHANY NURSING HOME</t>
  </si>
  <si>
    <t>WILLIAMSVILLE SUBURBAN L L C</t>
  </si>
  <si>
    <t>DITMAS PARK CARE CENTER</t>
  </si>
  <si>
    <t>NORTH GATE HEALTH CARE FACILITY</t>
  </si>
  <si>
    <t>TERRACE VIEW LONG TERM CARE FACILITY</t>
  </si>
  <si>
    <t>ABSOLUT CTR FOR NURSING &amp; REHAB THREE RIVERS L L C</t>
  </si>
  <si>
    <t>MENORAH HOME &amp; HOSPITAL FOR AGED AND INFIRM</t>
  </si>
  <si>
    <t>MIDDLETOWN PARK REHABILITATION &amp; H C C</t>
  </si>
  <si>
    <t>HAYM SALOMON HOME FOR THE AGED</t>
  </si>
  <si>
    <t>CAMPBELL HALL REHAB CENTER</t>
  </si>
  <si>
    <t>GROTON COMMUNITY HEALTH CARE CTR R C F</t>
  </si>
  <si>
    <t>TERRACE HEALTH CARE CENTER</t>
  </si>
  <si>
    <t>WELLSVILLE MANOR CARE CENTER</t>
  </si>
  <si>
    <t>AUTUMN VIEW HEALTH CARE FACILITY L L C</t>
  </si>
  <si>
    <t>SAFIRE REHABILITATION OF SOUTHTOWN, L L C</t>
  </si>
  <si>
    <t>TERENCE CARDINAL COOKE H C C</t>
  </si>
  <si>
    <t>BEZALEL REHABILITATION AND NURSING CENTER</t>
  </si>
  <si>
    <t>KIRKHAVEN</t>
  </si>
  <si>
    <t>KALEIDA HEALTH DEGRAFF MEMORIAL HOSPITAL S N F</t>
  </si>
  <si>
    <t>AUBURN SENIOR SERVICES INC</t>
  </si>
  <si>
    <t>VALLEY HEALTH SERVICES INC</t>
  </si>
  <si>
    <t>FOUR SEASONS NURSING AND REHAB</t>
  </si>
  <si>
    <t>NESCONSET CENTER FOR NURSING AND REHABILITATION</t>
  </si>
  <si>
    <t>JAMES G JOHNSTON MEMORIAL NURSING HOME</t>
  </si>
  <si>
    <t>HAVEN MANOR HEALTH CARE CENTER L L C</t>
  </si>
  <si>
    <t>SHEEPSHEAD NURSING AND REHAB CTR</t>
  </si>
  <si>
    <t>ELDERWOOD AT LIVERPOOL</t>
  </si>
  <si>
    <t>ELDERWOOD AT HAMBURG</t>
  </si>
  <si>
    <t>JAMES A EDDY MEMORIAL GERIATRIC CENTER</t>
  </si>
  <si>
    <t>EAST NECK NURSING &amp; REHAB CENTER</t>
  </si>
  <si>
    <t>BEACH GARDENS REHAB AND NURSING CENTER</t>
  </si>
  <si>
    <t>ABSOLUT CTR FOR NURSING &amp; REHAB WESTFIELD L L C</t>
  </si>
  <si>
    <t>ELANT AT GOSHEN INC</t>
  </si>
  <si>
    <t>PALATINE NURSING HOME</t>
  </si>
  <si>
    <t>SALEM HILLS REHABILITATION AND NURSING CTR</t>
  </si>
  <si>
    <t>PECONIC BAY SKILLED NURSING FACILITY</t>
  </si>
  <si>
    <t>WHITE OAKS NURSING HOME</t>
  </si>
  <si>
    <t>ELDERWOOD AT HORNELL</t>
  </si>
  <si>
    <t>ST JOSEPHS PLACE</t>
  </si>
  <si>
    <t>ROSEWOOD  REHABILITATION &amp; NURSING CENTER</t>
  </si>
  <si>
    <t>BROOKHAVEN HEALTH CARE FACILITY L L C</t>
  </si>
  <si>
    <t>MANHATTANVILLE HEALTH CARE CENTER L L C</t>
  </si>
  <si>
    <t>GURWIN JEWISH NURSING AND REHABILITATION CENTER</t>
  </si>
  <si>
    <t>EDDY VILLAGE GREEN</t>
  </si>
  <si>
    <t>NORTH SHORE - L I J ORZAC CENTER FOR REHAB</t>
  </si>
  <si>
    <t>PATHWAYS NURSING &amp; REHABILITATION CENTER</t>
  </si>
  <si>
    <t>NORTHWELL HEALTH STERN FAMILY CTR FOR REHAB</t>
  </si>
  <si>
    <t>BUSHWICK CENTER FOR REHAB AND HEALTH CARE</t>
  </si>
  <si>
    <t>ST JOHNSVILLE REHAB &amp; NURSING</t>
  </si>
  <si>
    <t>ELLIS RESIDENTIAL &amp; REHABILITATION CENTER</t>
  </si>
  <si>
    <t>IRA DAVENPORT MEMORIAL HOSPITAL S N F</t>
  </si>
  <si>
    <t>HAMILTON PARK NURSING AND REHABILITATION CENTER</t>
  </si>
  <si>
    <t>THE ORCHARD NURSING AND REHABILITATION CENTRE</t>
  </si>
  <si>
    <t>SYRACUSE HOME ASSOCIATION</t>
  </si>
  <si>
    <t>VICTORIA HOME</t>
  </si>
  <si>
    <t>GLEN COVE CENTER FOR NURSING</t>
  </si>
  <si>
    <t>WOODMERE REHABILITATION AND HEALTH CARE CENTER</t>
  </si>
  <si>
    <t>ATRIUM CENTER FOR REHABILITATION AND NURSING</t>
  </si>
  <si>
    <t>HERITAGE GREEN NURSING HOME</t>
  </si>
  <si>
    <t>EAST HAVEN NURSING AND REHAB CENTER</t>
  </si>
  <si>
    <t>SILVERCREST CENTER FOR NURSING AND REHABILITATION</t>
  </si>
  <si>
    <t>HOPE CENTER FOR H I V AND NURSING CARE</t>
  </si>
  <si>
    <t>BEACON REHABILITATION AND NURSING CENTER</t>
  </si>
  <si>
    <t>BETSY ROSS REHABILITATION CTR</t>
  </si>
  <si>
    <t>ST ANNS NURSING HOME CO INC ( THE HERITAGE)</t>
  </si>
  <si>
    <t>BETHANY GARDENS SKILLED LIVING CENTER</t>
  </si>
  <si>
    <t>FRIEDWALD CENTER FOR REHAB AND NURSING L L C</t>
  </si>
  <si>
    <t>BETHLEHEM COMMONS CARE CENTER</t>
  </si>
  <si>
    <t>WEST LAWRENCE CARE CENTER L L C</t>
  </si>
  <si>
    <t>HORIZON CARE CENTER</t>
  </si>
  <si>
    <t>MILLS POND NURSING AND REHABILITATION CENTER</t>
  </si>
  <si>
    <t>NIAGARA REHABILITATION AND NURSING CENTER</t>
  </si>
  <si>
    <t>GRAND MANOR NURSING AND REHAB</t>
  </si>
  <si>
    <t>T L C HEALTH NETWORK LAKE SHORE HOSP NURSING FAC</t>
  </si>
  <si>
    <t>ST LUKE HEALTH SERVICES</t>
  </si>
  <si>
    <t>ROCKVILLE SKILLED NURSING &amp; REHABILITATION CENTER</t>
  </si>
  <si>
    <t>SAINTS JOACHIM &amp; ANNE NURSING AND REHAB CTR</t>
  </si>
  <si>
    <t>ELANT AT FISHKILL INC</t>
  </si>
  <si>
    <t>THE BRONX-LEBANON HIGHBRIDGE WOODYCREST CENTER</t>
  </si>
  <si>
    <t>ELDERWOOD AT CHEEKTOWAGA</t>
  </si>
  <si>
    <t>BRONX LEBANON SPECIAL CARE CENTER</t>
  </si>
  <si>
    <t>BELLHAVEN NURSING &amp; REHAB CENTER</t>
  </si>
  <si>
    <t>SMITHTOWN CENTER FOR REHAB &amp; NURSING CARE</t>
  </si>
  <si>
    <t>HARRIS HILL NURSING FACILITY L L C</t>
  </si>
  <si>
    <t>LONG ISLAND STATE VETERANS HOME</t>
  </si>
  <si>
    <t>NORWICH REHABILITATION &amp; NURSING CENTER</t>
  </si>
  <si>
    <t>EDDY HERITAGE HOUSE NURSING AND REHAB CTR</t>
  </si>
  <si>
    <t>SAYVILLE NURSING AND REHABILITATION CENTER</t>
  </si>
  <si>
    <t>ST MARYS CENTER INC</t>
  </si>
  <si>
    <t>ST VINCENT DE PAUL RESIDENCE</t>
  </si>
  <si>
    <t>IROQUOIS NURSING HOME INC</t>
  </si>
  <si>
    <t>TEN BROECK COMMONS</t>
  </si>
  <si>
    <t>WHITTIER REHAB &amp; SKILLED NURSING CENTER</t>
  </si>
  <si>
    <t>OUR LADY OF MERCY LIFE CENTER</t>
  </si>
  <si>
    <t>CORTLAND REGIONAL MEDICAL CENTER INC</t>
  </si>
  <si>
    <t>EDNA TINA WILSON LIVING CENTER</t>
  </si>
  <si>
    <t>N Y S VETS HOME IN N Y C</t>
  </si>
  <si>
    <t>THROGS NECK REHABILITATION &amp; NURSING CENTER</t>
  </si>
  <si>
    <t>RICHMOND CENTER FOR REHAB AND SPECIALTY  H C</t>
  </si>
  <si>
    <t>SETON HEALTH AT SCHUYLER RIDGE RESIDENTIAL H C</t>
  </si>
  <si>
    <t>ST BARNABAS REHABILITATION &amp; CONTINUING CARE CTR</t>
  </si>
  <si>
    <t>FATHER BAKER MANOR</t>
  </si>
  <si>
    <t>THE HIGHLANDS AT BRIGHTON</t>
  </si>
  <si>
    <t>CASA PROMESA</t>
  </si>
  <si>
    <t>MANHATTAN CENTER FOR NURSING &amp; REHABILITATION</t>
  </si>
  <si>
    <t>WESTHAMPTON CARE CENTER</t>
  </si>
  <si>
    <t>SCHERVIER PAVILION</t>
  </si>
  <si>
    <t>FINGER LAKES CENTER FOR LIVING</t>
  </si>
  <si>
    <t>HIGHLANDS LIVING CENTER</t>
  </si>
  <si>
    <t>NASSAU REHABILITATION &amp; NURSING CENTER</t>
  </si>
  <si>
    <t>WESTERN N Y S VETERANS HOME</t>
  </si>
  <si>
    <t>WINGATE AT DUTCHESS</t>
  </si>
  <si>
    <t>ELDERWOOD AT WHEATFIELD</t>
  </si>
  <si>
    <t>QUEENS BLVD EXT CARE FACILITY</t>
  </si>
  <si>
    <t>NORTHERN MANHATTAN REHAB AND NURSING CENTER</t>
  </si>
  <si>
    <t>KENDAL AT ITHACA</t>
  </si>
  <si>
    <t>FOCUS REHABILITATION AND NURSING CENTER AT UTICA</t>
  </si>
  <si>
    <t>ANDRUS ON HUDSON</t>
  </si>
  <si>
    <t>MEADOWBROOK CARE CENTER</t>
  </si>
  <si>
    <t>THE OSBORN</t>
  </si>
  <si>
    <t>TOWNHOUSE CENTER FOR REHABILITATION &amp;  NRSG</t>
  </si>
  <si>
    <t>UNION PLAZA CARE CENTER</t>
  </si>
  <si>
    <t>NOTTINGHAM R H C F</t>
  </si>
  <si>
    <t>ST LUKES HOME</t>
  </si>
  <si>
    <t>GLEN ARDEN INC</t>
  </si>
  <si>
    <t>WINGATE AT ULSTER</t>
  </si>
  <si>
    <t>THE PAVILION AT QUEENS FOR REHABILITATION &amp; NRSING</t>
  </si>
  <si>
    <t>DR SUSAN SMITH MCKINNEY NRSG &amp; REHAB CTR</t>
  </si>
  <si>
    <t>BETHEL NURSING AND REHAB CENTER</t>
  </si>
  <si>
    <t>HEMPSTEAD PARK NURSING HOME</t>
  </si>
  <si>
    <t>THE GROVE AT VALHALLA REHAB AND NURSING CENTER</t>
  </si>
  <si>
    <t>LUTHERAN CENTER AT POUGHKEEPSIE INC</t>
  </si>
  <si>
    <t>LINDEN CENTER FOR NURSING AND REHABILITATION</t>
  </si>
  <si>
    <t>HUDSON PARK REHABILITATION AND NURSING CENTER</t>
  </si>
  <si>
    <t>ELMHURST CARE CENTER INC</t>
  </si>
  <si>
    <t>SENECA HILL MANOR INC</t>
  </si>
  <si>
    <t>GARDEN CARE CENTER</t>
  </si>
  <si>
    <t>HUNTINGTON HILLS CENTER FOR HEALTH AND REHAB</t>
  </si>
  <si>
    <t>PARK AVENUE EXTENDED CARE FACILITY</t>
  </si>
  <si>
    <t>REGAL HEIGHTS REHABILITATION AND HEALTH CARE CTR</t>
  </si>
  <si>
    <t>HELEN HAYES HOSPITAL RESIDENTIAL HEALTH CARE FAC</t>
  </si>
  <si>
    <t>PUTNAM RIDGE</t>
  </si>
  <si>
    <t>BAIRD NURSING HOME</t>
  </si>
  <si>
    <t>BUENA VIDA CONTINUING CARE</t>
  </si>
  <si>
    <t>RIVER VALLEY CARE CENTER INC</t>
  </si>
  <si>
    <t>WINGATE AT BEACON</t>
  </si>
  <si>
    <t>ADIRA AT RIVERSIDE REHABILITATION &amp; NURSING</t>
  </si>
  <si>
    <t>FULTON COMMONS CARE INC</t>
  </si>
  <si>
    <t>N Y S VETS HOME AT MONTROSE</t>
  </si>
  <si>
    <t>JEFFERSONS FERRY LIFE CARE CO</t>
  </si>
  <si>
    <t>HIGHPOINTE ON MICHIGAN HEALTH CARE FACILITY</t>
  </si>
  <si>
    <t>ISLAND NURSING AND REHABILITATION CENTER INC</t>
  </si>
  <si>
    <t>MARIA REGINA RESIDENCE INC</t>
  </si>
  <si>
    <t>NEW YORK CENTER FOR REHAB AND NURSING</t>
  </si>
  <si>
    <t>AFFINITY SKILLED LIVING AND REHABILITATION CTR</t>
  </si>
  <si>
    <t>MEDFORD MULTICARE CENTER FOR LIVING</t>
  </si>
  <si>
    <t>PECONIC LANDING AT SOUTHOLD INC</t>
  </si>
  <si>
    <t>OUR LADY OF PEACE NURSING CARE RESIDENCE</t>
  </si>
  <si>
    <t>WESTCHESTER MEADOWS</t>
  </si>
  <si>
    <t>NORTHEAST CENTER FOR REHABILITATION &amp; BRAIN INJURY</t>
  </si>
  <si>
    <t>HOPKINS CENTER FOR REHABILITATION AND HEALTHCARE</t>
  </si>
  <si>
    <t>KENDAL ON HUDSON</t>
  </si>
  <si>
    <t>THE HAMPTONS CENTER FOR REHABILITATION AND NURSING</t>
  </si>
  <si>
    <t>UNITED HEALTH SVS HOSP BINGHAMTON GEN T C U</t>
  </si>
  <si>
    <t>JOHN T MATHER MEMORIAL HOSPITAL T C U</t>
  </si>
  <si>
    <t>FOX RUN AT ORCHARD PARK</t>
  </si>
  <si>
    <t>JAMAICA HOSPITAL T C U</t>
  </si>
  <si>
    <t>WILKINSON RESIDENTIAL HEALTH CARE FACILITY</t>
  </si>
  <si>
    <t>WOODLAND POND AT NEW PALTZ</t>
  </si>
  <si>
    <t>GOOD SHEPHERD VILLAGE AT ENDWELL</t>
  </si>
  <si>
    <t>EDDY VILLAGE GREEN AT BEVERWYCK</t>
  </si>
  <si>
    <t>THE AMSTERDAM AT HARBORSIDE</t>
  </si>
  <si>
    <t>NEW YORK-PRESBYTERIAN / QUEENS T C U</t>
  </si>
  <si>
    <t>FLUSHING HOSPITAL MEDICAL CENTER T C U</t>
  </si>
  <si>
    <t>SAMARITAN SENIOR VILLAGE, INC</t>
  </si>
  <si>
    <t>E C M C TRANSITIONAL CARE UNIT</t>
  </si>
  <si>
    <t>ST JOSEPHS HOSPITAL  T C U</t>
  </si>
  <si>
    <t>NORTHERN WESTCHESTER HOSPITAL T C U</t>
  </si>
  <si>
    <t>UPSTATE UNIVERSITY HOSP AT COMM GENERAL T C U</t>
  </si>
  <si>
    <t>SOUTH NASSAU COMMUNITIES HOSPITAL T C U</t>
  </si>
  <si>
    <t>SAMPSON REGIONAL MEDICAL CENTER</t>
  </si>
  <si>
    <t>MARTIN GENERAL HOSPITAL</t>
  </si>
  <si>
    <t>DAVIE MEDICAL CENTER</t>
  </si>
  <si>
    <t>AUTUMN CARE OF BISCOE</t>
  </si>
  <si>
    <t>HILLCREST CONVALESCENT CENTER</t>
  </si>
  <si>
    <t>CYPRESS POINTE REHABILITATION CENTER</t>
  </si>
  <si>
    <t>SILAS CREEK REHABILITATION CENTER</t>
  </si>
  <si>
    <t>PERSON MEMORIAL HOSPITAL</t>
  </si>
  <si>
    <t>BLUMENTHAL NURSING &amp; REHABILITATION CENTER</t>
  </si>
  <si>
    <t>GOLDEN LIVINGCENTER - DARTMOUTH</t>
  </si>
  <si>
    <t>THE OAKS AT WHITAKER GLEN-MAYVIEW</t>
  </si>
  <si>
    <t>GOLDEN LIVINGCENTER - ASHEVILLE</t>
  </si>
  <si>
    <t>BRIAN CENTER NURSING CARE/LEXI</t>
  </si>
  <si>
    <t>PEAK RESOURCES - CHARLOTTE</t>
  </si>
  <si>
    <t>GOLDEN LIVINGCENTER - GREENSBORO</t>
  </si>
  <si>
    <t>CLAPPS CONVALESCENT NH</t>
  </si>
  <si>
    <t>CLAPPS NURSING CENTER INC</t>
  </si>
  <si>
    <t>ROYAL PARK REHAB &amp; HEALTH CTR OF MATTHEWS</t>
  </si>
  <si>
    <t>ELIZABETH CITY HEALTH AND REHABILITATION</t>
  </si>
  <si>
    <t>LIBERTY COMMONS NSG &amp; REHAB CTR OF SPRINGWOOD</t>
  </si>
  <si>
    <t>ST JOSEPH OF THE PINES HEALTH</t>
  </si>
  <si>
    <t>BLOWING ROCK REHAB DAVANT EXTENDED CARE CTR</t>
  </si>
  <si>
    <t>MOUNTAIN RIDGE HEALTH AND REHAB</t>
  </si>
  <si>
    <t>RALEIGH REHABILITATION CENTER</t>
  </si>
  <si>
    <t>JACOB'S CREEK NURSING AND REHABILITATION CENTER</t>
  </si>
  <si>
    <t>ANSON HEALTH AND REHABILITATION</t>
  </si>
  <si>
    <t>PETTIGREW REHABILITATION CENTER</t>
  </si>
  <si>
    <t>WOODHAVEN NURS &amp; ALZHEIMER'S C</t>
  </si>
  <si>
    <t>PRUITTHEALTH-DURHAM</t>
  </si>
  <si>
    <t>AVANTE AT WILSON</t>
  </si>
  <si>
    <t>ALSTON BROOK</t>
  </si>
  <si>
    <t>DURHAM NURSING &amp; REHABILITATION CENTER</t>
  </si>
  <si>
    <t>CAROLINA RIVERS NURSING AND REHABILITATION CENTER</t>
  </si>
  <si>
    <t>SUNNYBROOK REHABILITATION CENTER</t>
  </si>
  <si>
    <t>HIGHLAND FARMS</t>
  </si>
  <si>
    <t>BRIAN CENTER HEALTH &amp; REHAB HICKORY VIEWMONT</t>
  </si>
  <si>
    <t>KINDRED TRANSITIONAL CARE &amp; REHAB-ROSE MANOR</t>
  </si>
  <si>
    <t>WHITE OAK MANOR - RUTHERFORDTO</t>
  </si>
  <si>
    <t>TRINITY GLEN</t>
  </si>
  <si>
    <t>WALNUT COVE HEALTH AND REHABILITATION CENTER</t>
  </si>
  <si>
    <t>WESTCHESTER MANOR AT PROVIDENCE PLACE</t>
  </si>
  <si>
    <t>EDGEWOOD PLACE AT THE VILLAGE AT BROOKWOOD</t>
  </si>
  <si>
    <t>WINSTON SALEM NURSING &amp; REHABILITATION CENTER</t>
  </si>
  <si>
    <t>MARYFIELD NURSING HOME</t>
  </si>
  <si>
    <t>CHATHAM NURSING &amp; REHABILITATION</t>
  </si>
  <si>
    <t>HUNTERSVILLE OAKS</t>
  </si>
  <si>
    <t>JESSE HELMS NURSING CENTER</t>
  </si>
  <si>
    <t>ENFIELD OAKS NURSING AND REHABILITATION CENTER</t>
  </si>
  <si>
    <t>MAGGIE VALLEY NURSING AND REHABILITATION</t>
  </si>
  <si>
    <t>CARRINGTON PLACE</t>
  </si>
  <si>
    <t>ZEBULON REHABILITATION CENTER</t>
  </si>
  <si>
    <t>PRUITTHEALTH-HIGH POINT</t>
  </si>
  <si>
    <t>TRINITY RIDGE</t>
  </si>
  <si>
    <t>TRINITY PLACE</t>
  </si>
  <si>
    <t>AUTUMN CARE OF WAYNESVILLE</t>
  </si>
  <si>
    <t>PENICK VILLAGE</t>
  </si>
  <si>
    <t>WILLOW CREEK NURSING AND REHABILITATION CENTER</t>
  </si>
  <si>
    <t>BRIAN CTR HEALTH &amp; REHAB/SALISBURY</t>
  </si>
  <si>
    <t>GOLDEN LIVINGCENTER - STARMOUNT</t>
  </si>
  <si>
    <t>NORTHCHASE NURSING AND REHABILITATION CENTER</t>
  </si>
  <si>
    <t>CAROLINA VILLAGE INC</t>
  </si>
  <si>
    <t>PRUITTHEALTH-ELKIN</t>
  </si>
  <si>
    <t>MOUNT OLIVE CENTER</t>
  </si>
  <si>
    <t>WHITE OAK MANOR - TRYON</t>
  </si>
  <si>
    <t>BRIAN CENTER HEALTH &amp; REHABILITATION/STATESVILLE</t>
  </si>
  <si>
    <t>AUTUMN CARE OF MOCKSVILLE</t>
  </si>
  <si>
    <t>AVANTE AT CONCORD</t>
  </si>
  <si>
    <t>REGENCY CARE OF CLEMMONS</t>
  </si>
  <si>
    <t>GREENHAVEN HEALTH AND REHABILITATION CENTER</t>
  </si>
  <si>
    <t>AVANTE AT WILKESBORO</t>
  </si>
  <si>
    <t>AVANTE AT CHARLOTTE</t>
  </si>
  <si>
    <t>SOUTH VILLAGE</t>
  </si>
  <si>
    <t>LENOIR HEALTHCARE CENTER</t>
  </si>
  <si>
    <t>BRIGHTMOOR NURSING CENTER</t>
  </si>
  <si>
    <t>UNIVERSITY PLACE NURSING AND REHABILITATION CENTER</t>
  </si>
  <si>
    <t>SILER CITY CENTER</t>
  </si>
  <si>
    <t>PINE RIDGE HEALTH AND REHABILITATION CENTER</t>
  </si>
  <si>
    <t>ROANOKE RIVER NURSING AND REHABILITATION CENTER</t>
  </si>
  <si>
    <t>BETHANY WOODS NURSING AND REHABILITATION CENTER</t>
  </si>
  <si>
    <t>FRIENDS HOMES AT GUILFORD</t>
  </si>
  <si>
    <t>BRIAN CTR HEALTH &amp; RETIREMENT</t>
  </si>
  <si>
    <t>KENANSVILLE HEALTH &amp; REHABILITATION CENTER</t>
  </si>
  <si>
    <t>WHITE OAK MANOR - KINGS MOUNTAIN</t>
  </si>
  <si>
    <t>TRINITY VILLAGE</t>
  </si>
  <si>
    <t>TRINITY OAKS</t>
  </si>
  <si>
    <t>RANDOLPH HEALTH AND REHABILITATION CENTER</t>
  </si>
  <si>
    <t>HARMONY HALL NURSING AND REHABILITATION CENTER</t>
  </si>
  <si>
    <t>LINCOLNTON REHABILITATION CENTER</t>
  </si>
  <si>
    <t>DAVIS HEALTH CARE CENTER</t>
  </si>
  <si>
    <t>ABERNETHY LAURELS</t>
  </si>
  <si>
    <t>GASTONIA CARE AND REHABILITATION</t>
  </si>
  <si>
    <t>GLENBRIDGE HEALTH AND REHABILTATION CENTER</t>
  </si>
  <si>
    <t>CHOWAN RIVER NURSING AND REHABILITATION CENTER</t>
  </si>
  <si>
    <t>AUTUMN CARE OF MARION</t>
  </si>
  <si>
    <t>YADKIN NURSING CARE CENTER</t>
  </si>
  <si>
    <t>GOLDEN LIVINGCENTER - GREENVILLE</t>
  </si>
  <si>
    <t>BRIAN CTR HEALTH &amp; REHAB/GASTO</t>
  </si>
  <si>
    <t>CRYSTAL BLUFFS REHABILITATION AND HEALTH CARE CENT</t>
  </si>
  <si>
    <t>WHITE OAK MANOR - SHELBY</t>
  </si>
  <si>
    <t>MERIDIAN CENTER</t>
  </si>
  <si>
    <t>EMERALD HEALTH &amp; REHAB CENTER</t>
  </si>
  <si>
    <t>ASHEVILLE NURSING &amp; REHABILITATION CENTER</t>
  </si>
  <si>
    <t>SMITHFIELD MANOR NURSING AND REHAB</t>
  </si>
  <si>
    <t>MANOR CARE HEALTH SVCS PINEHURST</t>
  </si>
  <si>
    <t>BRIAN CENTER HEALTH AND RETIREMENT</t>
  </si>
  <si>
    <t>WESLEY PINES RETIREMENT COMM</t>
  </si>
  <si>
    <t>UNIVERSAL HEALTH CARE / GREENVILLE</t>
  </si>
  <si>
    <t>PRUITTHEALTH-SEALEVEL</t>
  </si>
  <si>
    <t>UNIVERSAL HEALTH CARE &amp; REHAB</t>
  </si>
  <si>
    <t>KINDRED TRANSITIONAL CARE &amp; REHAB-ELIZABETH CITY</t>
  </si>
  <si>
    <t>PREMIER LIVING AND REHAB CENTER</t>
  </si>
  <si>
    <t>FIVE OAKS MANOR</t>
  </si>
  <si>
    <t>GRACE HEIGHTS HEALTH &amp; REHAB CTR</t>
  </si>
  <si>
    <t>MURPHY MEDICAL CENTER</t>
  </si>
  <si>
    <t>GOLDEN LIVINGCENTER - SURRY COMMUNITY</t>
  </si>
  <si>
    <t>MOUNTAIN VIEW MANOR NURSING CE</t>
  </si>
  <si>
    <t>GLENFLORA</t>
  </si>
  <si>
    <t>GOLDEN LIVINGCENTER - TARBORO</t>
  </si>
  <si>
    <t>MOUNTAIN VISTA HEALTH PARK</t>
  </si>
  <si>
    <t>WILLOW RIDGE OF NC</t>
  </si>
  <si>
    <t>ASTON PARK HEALTH CARE CENTER</t>
  </si>
  <si>
    <t>CAROL WOODS</t>
  </si>
  <si>
    <t>GOLDEN LIVINGCENTER - CHARLOTTE</t>
  </si>
  <si>
    <t>CAPITAL NURSING AND REHABILITATION CENTER</t>
  </si>
  <si>
    <t>LIFE CARE CENTER OF BANNER ELK</t>
  </si>
  <si>
    <t>STONECREEK HEALTH AND REHABILITATION</t>
  </si>
  <si>
    <t>WESTWOOD HILLS NURSING AND REHABILITATION CENTER</t>
  </si>
  <si>
    <t>MADISON HEALTH AND REHABILITATION</t>
  </si>
  <si>
    <t>LIBERTY COMMONS N&amp;R CTR OF COLUMBUS CTY</t>
  </si>
  <si>
    <t>BRIAN CTR HLTH &amp; REHAB  BREVARD</t>
  </si>
  <si>
    <t>BROOKRIDGE RETIREMENT COMMUNITY</t>
  </si>
  <si>
    <t>ELIZABETHTOWN HEALTHCARE &amp; REHAB CENTER</t>
  </si>
  <si>
    <t>RIVERPOINT CREST NURSING AND REHABILITATION CENTER</t>
  </si>
  <si>
    <t>BETHESDA HEALTH CARE FACILITY</t>
  </si>
  <si>
    <t>UNIVERSAL HEALTH CARE LILLINGTON</t>
  </si>
  <si>
    <t>RIVER TRACE NURSING AND REHABILITATION CENTER</t>
  </si>
  <si>
    <t>WESTFIELD REHABILITATION AND HEALTH CENTER</t>
  </si>
  <si>
    <t>PREMIER NURSING AND REHABILITATION CENTER</t>
  </si>
  <si>
    <t>MARY GRAN NURSING CENTER</t>
  </si>
  <si>
    <t>MAGNOLIA LANE NURSING AND REHABILITATION CENTER</t>
  </si>
  <si>
    <t>BRIAN CENTER H &amp; REHAB WEAVERV</t>
  </si>
  <si>
    <t>AUTUMN CARE OF DREXEL</t>
  </si>
  <si>
    <t>GOLDEN LIVINGCENTER - HENDERSONVILLE</t>
  </si>
  <si>
    <t>SIGNATURE HEALTHCARE OF CHAPEL HILL</t>
  </si>
  <si>
    <t>PEAK RESOURCES-OUTER BANKS</t>
  </si>
  <si>
    <t>AVANTE AT REIDSVILLE</t>
  </si>
  <si>
    <t>RIDGEWOOD LIVING &amp; REHAB CENTER</t>
  </si>
  <si>
    <t>PEAK RESOURCES - SHELBY</t>
  </si>
  <si>
    <t>BRIAN CTR HEALTH &amp; REHABI HICK</t>
  </si>
  <si>
    <t>SUNRISE REHABILITATION &amp; CARE</t>
  </si>
  <si>
    <t>GOLDEN LIVINGCENTER - LUMBERTON</t>
  </si>
  <si>
    <t>TWIN LAKES COMMUNITY</t>
  </si>
  <si>
    <t>WILMINGTON HEALTH AND REHABILITATION CENTER</t>
  </si>
  <si>
    <t>BARBOUR COURT NURSING AND REHABILITATION CENTER</t>
  </si>
  <si>
    <t>WHITE OAK MANOR - CHARLOTTE</t>
  </si>
  <si>
    <t>WARREN HILLS A PERSONAL CARE</t>
  </si>
  <si>
    <t>BRIAN CENTER HEALTH &amp; REHAB/EDEN</t>
  </si>
  <si>
    <t>THE FOUNTAINS AT THE ALBEMARLE</t>
  </si>
  <si>
    <t>BRIAN CENTER HEALTH &amp; REHAB/CH</t>
  </si>
  <si>
    <t>HARBORVIEW HEALTH CARE CENTER</t>
  </si>
  <si>
    <t>PENDER MEMORIAL HOSP SNF</t>
  </si>
  <si>
    <t>HICKORY FALLS HEALTH AND REHABILITATION</t>
  </si>
  <si>
    <t>VALLEY NURSING CENTER</t>
  </si>
  <si>
    <t>MOREHEAD NURSING CENTER</t>
  </si>
  <si>
    <t>BRIAN CTR HLTH &amp; RET/LINCOLNTON</t>
  </si>
  <si>
    <t>WARSAW HEALTH &amp; REHABILITATION CENTER</t>
  </si>
  <si>
    <t>THE LODGE AT MILLS RIVER</t>
  </si>
  <si>
    <t>MONROE REHABILITATION CENTER</t>
  </si>
  <si>
    <t>CAROLINA CARE CENTER</t>
  </si>
  <si>
    <t>TRANSITIONAL HEALTH SERVICES OF KANNAPOLIS</t>
  </si>
  <si>
    <t>ROCKY MOUNT REHABILITATION CENTER</t>
  </si>
  <si>
    <t>ALLEGHANY CENTER</t>
  </si>
  <si>
    <t>BRIAN CENTER HEALTH &amp; REHAB/HE</t>
  </si>
  <si>
    <t>MACON VALLEY NURSING AND REHABILITATION CENTER</t>
  </si>
  <si>
    <t>STANLEY TOTAL LIVING CENTER</t>
  </si>
  <si>
    <t>BRIAN CENTER HEALTH &amp; REHAB/YA</t>
  </si>
  <si>
    <t>ROANOKE LANDING NURSING AND REHABILITATION CENTER</t>
  </si>
  <si>
    <t>POPLAR HEIGHTS CENTER</t>
  </si>
  <si>
    <t>AUTUMN CARE OF MARSHVILLE</t>
  </si>
  <si>
    <t>AUTUMN CARE OF SALISBURY</t>
  </si>
  <si>
    <t>BRIAN CTR HEALTH &amp; REHAB/SPRUC</t>
  </si>
  <si>
    <t>KINDRED HOSPITAL EAST GREENSBORO</t>
  </si>
  <si>
    <t>WOODLAND HILL CENTER</t>
  </si>
  <si>
    <t>NORTHERN SURRY SNF</t>
  </si>
  <si>
    <t>HUNTER HILLS NURSING AND REHABILITATION CENTER</t>
  </si>
  <si>
    <t>AUTUMN CARE OF RAEFORD</t>
  </si>
  <si>
    <t>STANLY MANOR</t>
  </si>
  <si>
    <t>CLEVELAND PINES</t>
  </si>
  <si>
    <t>MOORESVILLE CENTER</t>
  </si>
  <si>
    <t>THE OAKS</t>
  </si>
  <si>
    <t>MOUNTAIN HOME HEALTH AND REHAB</t>
  </si>
  <si>
    <t>MAGNOLIA ESTATES SKILLED CARE</t>
  </si>
  <si>
    <t>SENTARA NURSING CENTER</t>
  </si>
  <si>
    <t>UNIVERSAL HEALTH CARE / OXFORD</t>
  </si>
  <si>
    <t>GRANTSBROOK NURSING AND REHABILITATION CENTER</t>
  </si>
  <si>
    <t>RICHMOND PINES HEALTHCARE AND REHABILITATION CENTE</t>
  </si>
  <si>
    <t>AUTUMN CARE OF SHALLOTTE</t>
  </si>
  <si>
    <t>MARGATE HEALTH AND REHAB CENTER</t>
  </si>
  <si>
    <t>SCOTIA VILLAGE-SNF</t>
  </si>
  <si>
    <t>HUNTINGTON HEALTH CARE</t>
  </si>
  <si>
    <t>WHITE OAK MANOR - BURLINGTON</t>
  </si>
  <si>
    <t>BLUE RIDGE ON THE MOUNTAIN</t>
  </si>
  <si>
    <t>THE LAURELS OF GREENTREE RIDGE</t>
  </si>
  <si>
    <t>BRIAN CENTER NURSING CARE/SHAM</t>
  </si>
  <si>
    <t>BROOKSIDE REHABILITATION AND CARE</t>
  </si>
  <si>
    <t>IREDELL MEMORIAL HOSPITAL INC</t>
  </si>
  <si>
    <t>MEADOWWOOD NURSING CENTER</t>
  </si>
  <si>
    <t>LIBERTY COMMONS NSG AND REHAB CTR OF HALIFAX CTY</t>
  </si>
  <si>
    <t>PIEDMONT CROSSING</t>
  </si>
  <si>
    <t>ROXBORO HEALTHCARE &amp; REHAB CENTER</t>
  </si>
  <si>
    <t>BRIAN CTR HEALTH &amp; REHAB/HENDERSONVILLE</t>
  </si>
  <si>
    <t>NORTHAMPTON NURSING AND REHABILITATION CENTER</t>
  </si>
  <si>
    <t>FAIR HAVEN OF FOREST CITY, LLC</t>
  </si>
  <si>
    <t>HIGHLAND ACRES NURSING AND REHABILITATION CENTER</t>
  </si>
  <si>
    <t>SENIOR CITIZENS HOME</t>
  </si>
  <si>
    <t>BRIAN CENTER HLTH &amp; RETIREMENT</t>
  </si>
  <si>
    <t>BRUNSWICK COVE NURSING CENTER</t>
  </si>
  <si>
    <t>ELDERBERRY HEALTH CARE</t>
  </si>
  <si>
    <t>KERR LAKE NURSING AND REHABILITATION CENTER</t>
  </si>
  <si>
    <t>THE LAURELS OF HENDERSONVILLE</t>
  </si>
  <si>
    <t>BRIAN CTR HLTH &amp; REHABILITATIO</t>
  </si>
  <si>
    <t>CORNERSTONE NURSING AND REHABILITATION CENTER</t>
  </si>
  <si>
    <t>WILLOWBROOKE COURT SC CTR AT PLANTATION ESTATES</t>
  </si>
  <si>
    <t>GIVENS HEALTH CENTER</t>
  </si>
  <si>
    <t>GATEWAY REHABILITATION AND HEALTHCARE</t>
  </si>
  <si>
    <t>THE GRAYBRIER NURS &amp; RETIREMENT CT</t>
  </si>
  <si>
    <t>SARDIS OAKS</t>
  </si>
  <si>
    <t>BRIAN CENTER HEALTH AND REHAB</t>
  </si>
  <si>
    <t>ABBOTTS CREEK CENTER</t>
  </si>
  <si>
    <t>FRANKLIN OAKS NURSING AND REHABILITATION CENTER</t>
  </si>
  <si>
    <t>SIGNATURE HEALTHCARE OF ROANOKE RAPIDS</t>
  </si>
  <si>
    <t>PEAK RESOURCES - ALAMANCE, INC</t>
  </si>
  <si>
    <t>BRIAN CENTER HLTH &amp; REHAB</t>
  </si>
  <si>
    <t>MAPLE LEAF HEALTH CARE</t>
  </si>
  <si>
    <t>SILVER BLUFF INC</t>
  </si>
  <si>
    <t>BIG ELM RETIREMENT AND NURSING CENTERS</t>
  </si>
  <si>
    <t>BRIAN CENTER HEALTH AND REHABILITATION/GOLDSBORO</t>
  </si>
  <si>
    <t>KINDRED NURSING &amp; REHABILITATION-HENDERSON</t>
  </si>
  <si>
    <t>BRIAN CENTER HEALTH &amp; RETIREMENT/MONROE</t>
  </si>
  <si>
    <t>WHISPERING PINES NURSING &amp; REHAB CENTER</t>
  </si>
  <si>
    <t>WOODBURY WELLNESS CENTER INC</t>
  </si>
  <si>
    <t>COURTLAND TERRACE</t>
  </si>
  <si>
    <t>AUTUMN CARE OF SALUDA</t>
  </si>
  <si>
    <t>HIGHLAND HOUSE REHABILITATION AND HEALTHCARE</t>
  </si>
  <si>
    <t>PINEY GROVE NURSING AND REHABILITATION CENTER</t>
  </si>
  <si>
    <t>GRAHAM HEALTHCARE AND REHABILITATION CENTER</t>
  </si>
  <si>
    <t>RICH SQUARE HEALTH CARE CENTER</t>
  </si>
  <si>
    <t>PRUITTHEALTH-NEUSE</t>
  </si>
  <si>
    <t>LOUISBURG HEALTHCARE &amp; REHABILITATION CENTER</t>
  </si>
  <si>
    <t>CREEKSIDE CARE &amp; REHABILITATION CENTER</t>
  </si>
  <si>
    <t>BRIAN CENTER HEALTH &amp; RETIREMENT/CABARRUS</t>
  </si>
  <si>
    <t>THE PRESBYTERIAN HOME OF HAWFIELDS</t>
  </si>
  <si>
    <t>SIGNATURE HEALTHCARE OF KINSTON</t>
  </si>
  <si>
    <t>GREENDALE FOREST NURSING AND REHABILITATION CENTER</t>
  </si>
  <si>
    <t>GOLDEN YEARS NURSING HOME</t>
  </si>
  <si>
    <t>REX REHAB &amp; NSG CARE CENTER</t>
  </si>
  <si>
    <t>PINEHURST HEALTHCARE &amp; REHAB</t>
  </si>
  <si>
    <t>PRUITTHEALTH-TRENT</t>
  </si>
  <si>
    <t>WILSON PINES NURSING AND REHABILITATION CENTER</t>
  </si>
  <si>
    <t>OCEAN TRAIL HEALTHCARE &amp; REHAB CENTER</t>
  </si>
  <si>
    <t>UNIVERSAL HEALTH CARE/NASHVILLE</t>
  </si>
  <si>
    <t>SCOTLAND MANOR HEALTH CARE CENTER</t>
  </si>
  <si>
    <t>EAST CAROLINA REHAB AND WELLNESS</t>
  </si>
  <si>
    <t>PRUITTHEALTH-ROCKINGHAM</t>
  </si>
  <si>
    <t>THE REHAB AND HC CTR AT VILLAGE GR</t>
  </si>
  <si>
    <t>VILLAGE CARE OF KING</t>
  </si>
  <si>
    <t>SCOTTISH PINES REHABILITATION AND NURSING CENTER</t>
  </si>
  <si>
    <t>PRUITTHEATH-FARMVILLE</t>
  </si>
  <si>
    <t>CARDINAL HEALTHCARE AND REHAB</t>
  </si>
  <si>
    <t>WILKES REGIONAL MEDICAL CTR SN</t>
  </si>
  <si>
    <t>HUNTER WOODS NURSING AND REHAB</t>
  </si>
  <si>
    <t>THE LAURELS OF FOREST GLENN</t>
  </si>
  <si>
    <t>COUNTRYSIDE MANOR</t>
  </si>
  <si>
    <t>HEARTLAND LIVING &amp; REHAB AT THE MOSES H CONE MEM H</t>
  </si>
  <si>
    <t>AMBASSADOR REHAB &amp; HEALTHCARE CENTER</t>
  </si>
  <si>
    <t>PISGAH MANOR HEALTH CARE CENTER</t>
  </si>
  <si>
    <t>BROOK STONE LIVING CENTER</t>
  </si>
  <si>
    <t>PEAK RESOURCES-CHERRYVILLE</t>
  </si>
  <si>
    <t>SMOKY MOUNTAIN HEALTH AND REHABILITATION CENTER</t>
  </si>
  <si>
    <t>SHORELAND HLTH CARE &amp; RETIREME</t>
  </si>
  <si>
    <t>SKYLAND CARE CENTER</t>
  </si>
  <si>
    <t>WILKES SENIOR VILLAGE</t>
  </si>
  <si>
    <t>CARY HEALTH AND REHABILITATION</t>
  </si>
  <si>
    <t>THREE RIVERS HEALTH AND REHAB</t>
  </si>
  <si>
    <t>CHARLOTTE HEALTH &amp; REHABILITATION CENTER</t>
  </si>
  <si>
    <t>DOWN EAST HEALTH AND REHAB CEN</t>
  </si>
  <si>
    <t>CROSS CREEK HEALTH CARE</t>
  </si>
  <si>
    <t>BRIAN CENTER HEALTH AND REHABILITATION/DURHAM</t>
  </si>
  <si>
    <t>PEMBROKE CENTER</t>
  </si>
  <si>
    <t>CENTRAL CONTINUING CARE</t>
  </si>
  <si>
    <t>BRIAN CENTER HEALTH AND REHAB/WAYNESVILLE</t>
  </si>
  <si>
    <t>BRANTWOOD NH &amp; RETIREMENT CENT</t>
  </si>
  <si>
    <t>FLESHERS FAIRVIEW HEALTH CARE</t>
  </si>
  <si>
    <t>HAYMOUNT REHABILITATION &amp; NURSING CENTER, INC</t>
  </si>
  <si>
    <t>PINEVILLE REHABILITATION AND LIVING CTR</t>
  </si>
  <si>
    <t>BERMUDA VILLAGE RETIREMENT CEN</t>
  </si>
  <si>
    <t>HILLSIDE NURSING CENTER OF WAK</t>
  </si>
  <si>
    <t>ASHEVILLE HEALTH CARE CENTER</t>
  </si>
  <si>
    <t>LEXINGTON HEALTH CARE CENTER</t>
  </si>
  <si>
    <t>ALAMANCE HEALTH CARE CENTER</t>
  </si>
  <si>
    <t>THE LAURELS OF CHATHAM</t>
  </si>
  <si>
    <t>WILSON REHABILITATION AND NURSING CENTER</t>
  </si>
  <si>
    <t>FAIR HAVEN HOME INC</t>
  </si>
  <si>
    <t>VALLEY VIEW CARE &amp; REHAB CENTER</t>
  </si>
  <si>
    <t>THE LAURELS OF SALISBURY</t>
  </si>
  <si>
    <t>PEAK RESOURCES - PINELAKE</t>
  </si>
  <si>
    <t>WESTERN NORTH CAROLINA BAPTIST HOME</t>
  </si>
  <si>
    <t>CLAY COUNTY CARE CENTER</t>
  </si>
  <si>
    <t>CARVER LIVING CENTER</t>
  </si>
  <si>
    <t>WELLINGTON REHABILITATION AND HEALTHCARE</t>
  </si>
  <si>
    <t>ECKERD LIVING CENTER</t>
  </si>
  <si>
    <t>THE LAURELS OF SUMMIT RIDGE</t>
  </si>
  <si>
    <t>BROOKSHIRE NURSING CENTER</t>
  </si>
  <si>
    <t>ALEXANDRIA PLACE</t>
  </si>
  <si>
    <t>FORREST OAKES HEALTHCARE CENTER</t>
  </si>
  <si>
    <t>OAK FOREST HEALTH AND REHABILITATION</t>
  </si>
  <si>
    <t>GLENAIRE</t>
  </si>
  <si>
    <t>COLLEGE PINES HEALTH AND REHAB CENTER</t>
  </si>
  <si>
    <t>EMERALD RIDGE REHAB AND CARE CENTER</t>
  </si>
  <si>
    <t>MAPLE GROVE HEALTH AND REHABILITATION CENTER</t>
  </si>
  <si>
    <t>UNIVERSAL HEALTH CARE/KING</t>
  </si>
  <si>
    <t>WESTWOOD HEALTH AND REHABILITA</t>
  </si>
  <si>
    <t>BELAIRE HEALTH CARE CENTER</t>
  </si>
  <si>
    <t>PEAK RESOURCES - TREYBURN</t>
  </si>
  <si>
    <t>WILLOWBROOKE COURT SC CTR AT TRYON ESTATES</t>
  </si>
  <si>
    <t>GUILFORD HEALTH CARE CENTER</t>
  </si>
  <si>
    <t>THE OAKS-BREVARD</t>
  </si>
  <si>
    <t>LIFE CARE CENTER OF HENDERSONV</t>
  </si>
  <si>
    <t>OAK GROVE HEALTH CARE CENTER</t>
  </si>
  <si>
    <t>BAYVIEW NURSING &amp; REHAB CENTER</t>
  </si>
  <si>
    <t>WILLOWBROOK REHABILITATION AND CARE CENTER</t>
  </si>
  <si>
    <t>PRESBYTERIAN ORTHOPAEDIC HOSP-TRANSITIONAL CARE</t>
  </si>
  <si>
    <t>LIBERTY COMMONS REHABILITATION CENTER</t>
  </si>
  <si>
    <t>MECKLENBURG HEALTH &amp; REHABILITATION CENTER</t>
  </si>
  <si>
    <t>SOUTHWOOD NURSING AND RETIREME</t>
  </si>
  <si>
    <t>WILORA LAKE HEALTHCARE CENTER</t>
  </si>
  <si>
    <t>FRIENDS HOMES WEST</t>
  </si>
  <si>
    <t>TSALI CARE CENTER</t>
  </si>
  <si>
    <t>THE OAKS AT SWEETEN CREEK</t>
  </si>
  <si>
    <t>HARNETT WOODS NURSING AND REHABILITATION CENTER</t>
  </si>
  <si>
    <t>SALEMTOWNE</t>
  </si>
  <si>
    <t>WOODLANDS NURSING &amp; REHABILITATION CENTER</t>
  </si>
  <si>
    <t>BROOKDALE CARRIAGE CLUB PROVIDENCE</t>
  </si>
  <si>
    <t>SHAIRE NURSING CENTER</t>
  </si>
  <si>
    <t>TRANSYLVANIA REGIONAL HOSPITAL INC</t>
  </si>
  <si>
    <t>CHERRY POINT BAY NURSING AND REHABILITATION CENTER</t>
  </si>
  <si>
    <t>SATURN NURSING AND REHABILITATION CENTER</t>
  </si>
  <si>
    <t>AYDEN COURT NURSING AND REHABILITATION CENTER</t>
  </si>
  <si>
    <t>CROATAN RIDGE NURSING AND REHABILITATION CENTER</t>
  </si>
  <si>
    <t>NC STATE VETERANS HOME - FAYETTEVILLE</t>
  </si>
  <si>
    <t>HENDERSONVILLE HEALTH AND REHABILITATION</t>
  </si>
  <si>
    <t>PEAK RESOURCES -  GASTONIA</t>
  </si>
  <si>
    <t>THE STEWART HEALTH CENTER</t>
  </si>
  <si>
    <t>LIBERTY COMMONS N&amp;R ALAMANCE</t>
  </si>
  <si>
    <t>LITCHFORD FALLS HEALTHCARE</t>
  </si>
  <si>
    <t>WINDSOR POINT CONTINUING CARE</t>
  </si>
  <si>
    <t>CROASDAILE VILLAGE</t>
  </si>
  <si>
    <t>LAKE PARK NURSING AND REHABILITATION CENTER</t>
  </si>
  <si>
    <t>LIBERTY COMMONS NSG &amp; REH ROWA</t>
  </si>
  <si>
    <t>J ARTHUR DOSHER MEM HOSP</t>
  </si>
  <si>
    <t>CAROLINA REHAB CENTER OF CUMBERLAND</t>
  </si>
  <si>
    <t>WHITESTONE  A MASONIC AND EASTERN STAR COMMUNITY</t>
  </si>
  <si>
    <t>AUTUMN CARE OF MYRTLE GROVE</t>
  </si>
  <si>
    <t>REX REHAB &amp; NURSING CARE CENTER OF APEX</t>
  </si>
  <si>
    <t>KINGSWOOD NURSING CENTER</t>
  </si>
  <si>
    <t>TARBORO NURSING CENTER</t>
  </si>
  <si>
    <t>AUTUMN CARE OF STATESVILLE</t>
  </si>
  <si>
    <t>CYPRESS GLEN RETIREMENT COMMUN</t>
  </si>
  <si>
    <t>TOWER NURSING AND REHABILITATION CENTER</t>
  </si>
  <si>
    <t>AUTUMN CARE OF NASH</t>
  </si>
  <si>
    <t>PRUITTHEALTH-TOWN CENTER</t>
  </si>
  <si>
    <t>CONOVER NURSING AND REHAB CTR</t>
  </si>
  <si>
    <t>INN AT QUAIL HAVEN VILLAGE</t>
  </si>
  <si>
    <t>LIBERTY COMMONS NSG &amp; REH JOHN</t>
  </si>
  <si>
    <t>AVANTE AT THOMASVILLE</t>
  </si>
  <si>
    <t>SNUG HARBOR ON NELSON BAY</t>
  </si>
  <si>
    <t>UNIVERSAL HEALTH CARE/FLETCHER</t>
  </si>
  <si>
    <t>UNIVERSAL HEALTH CARE/RAMSEUR</t>
  </si>
  <si>
    <t>THE GARDENS OF TAYLOR GLEN RET COM</t>
  </si>
  <si>
    <t>CAROLINA REHAB CENTER OF BURKE</t>
  </si>
  <si>
    <t>RIVER LANDING AT SANDY RIDGE</t>
  </si>
  <si>
    <t>UNIVERSAL HEALTH CARE/NORTH RALEIGH</t>
  </si>
  <si>
    <t>PENN NURSING CENTER</t>
  </si>
  <si>
    <t>NORTH CAROLINA STATE VETERANS NURSING HOME SALISBU</t>
  </si>
  <si>
    <t>LIBERTY COMMONS NSG AND REHAB CTR OF LEE COUNTY</t>
  </si>
  <si>
    <t>THE CEDARS OF CHAPEL HILL</t>
  </si>
  <si>
    <t>SANFORD HEALTH &amp; REHABILITATION CO</t>
  </si>
  <si>
    <t>ADAMS FARM LIVING &amp; REHABILITATION</t>
  </si>
  <si>
    <t>SILVER STREAM HEALTH AND REHABILITATION CENTER</t>
  </si>
  <si>
    <t>PRUITTHEALTH-RALEIGH</t>
  </si>
  <si>
    <t>OLDE KNOX COMMONS AT THE VILLAGES OF MECKLENBURG</t>
  </si>
  <si>
    <t>THE FOREST AT DUKE INC</t>
  </si>
  <si>
    <t>BERMUDA COMMONS NURSING AND REHABILITATION CENTER</t>
  </si>
  <si>
    <t>ASBURY CARE CENTER</t>
  </si>
  <si>
    <t>TWIN LAKES COMMUNITY MEMORY CARE</t>
  </si>
  <si>
    <t>THE ROSEWOOD HEALTH CENTER</t>
  </si>
  <si>
    <t>CAMDEN PLACE HEALTH AND REHAB, LLC</t>
  </si>
  <si>
    <t>ASHTON PLACE HEALTH AND REHAB</t>
  </si>
  <si>
    <t>UNIVERSAL HEALTH CARE / BRUNSWICK</t>
  </si>
  <si>
    <t>WHITE OAK OF WAXHAW</t>
  </si>
  <si>
    <t>PRUITTHEALTH-CAROLINA POINT</t>
  </si>
  <si>
    <t>THE SHANNON GRAY REHABILITATION &amp; RECOVERY CENTER</t>
  </si>
  <si>
    <t>AUTUMN CARE OF FAYETTEVILLE</t>
  </si>
  <si>
    <t>TRINITY GROVE</t>
  </si>
  <si>
    <t>HILLCREST RALEIGH AT CRABTREE VALLEY</t>
  </si>
  <si>
    <t>DEERFIELD EPISCOPAL  RETIREMENT</t>
  </si>
  <si>
    <t>AZALEA HEALTH &amp; REHAB CENTER</t>
  </si>
  <si>
    <t>NC STATE VETERANS HOME-BLACK MOUNTAIN</t>
  </si>
  <si>
    <t>HOMESTEAD HILLS</t>
  </si>
  <si>
    <t>NC STATE VETERANS HOME-KINSTON</t>
  </si>
  <si>
    <t>UNIVERSAL HEALTH CARE/FUQUAY-VARINA</t>
  </si>
  <si>
    <t>CLEAR CREEK NURSING &amp; REHABILITATION CENTER</t>
  </si>
  <si>
    <t>PAVILION HEALTH CENTER AT BRIGHTMORE</t>
  </si>
  <si>
    <t>SHARON TOWERS</t>
  </si>
  <si>
    <t>TRINITY ELMS</t>
  </si>
  <si>
    <t>PRUITTHEALTH-UNION POINTE</t>
  </si>
  <si>
    <t>AUTUMN CARE OF CORNELIUS</t>
  </si>
  <si>
    <t>DAVIS HEALTH &amp; WELLNESS CTR AT CAMBRIDGE VILLAG</t>
  </si>
  <si>
    <t>SPRINGBROOK NURSING &amp; REHABILITATION  CENTER</t>
  </si>
  <si>
    <t>MINOT HEALTH AND REHAB, LLC</t>
  </si>
  <si>
    <t>HEART OF AMERICA CARE CENTER</t>
  </si>
  <si>
    <t>ST CATHERINES LIVING CENTER</t>
  </si>
  <si>
    <t>TIOGA MEDICAL CENTER LTC</t>
  </si>
  <si>
    <t>MARIAN MANOR HEALTHCARE CENTER</t>
  </si>
  <si>
    <t>ST ALOISIUS MEDICAL CENTER NURSING HOME</t>
  </si>
  <si>
    <t>ST GERARD'S COMMUNITY OF CARE</t>
  </si>
  <si>
    <t>GRIGGS COUNTY CARE CENTER</t>
  </si>
  <si>
    <t>LUTHERAN HOME OF THE GOOD SHEPHERD</t>
  </si>
  <si>
    <t>WESTERN HORIZONS CARE CENTER</t>
  </si>
  <si>
    <t>MOUNTRAIL BETHEL HOME</t>
  </si>
  <si>
    <t>GOLDEN ACRES MANOR</t>
  </si>
  <si>
    <t>ROSEWOOD ON BROADWAY</t>
  </si>
  <si>
    <t>PRINCE OF PEACE CARE CENTER</t>
  </si>
  <si>
    <t>STRASBURG NURSING HOME</t>
  </si>
  <si>
    <t>MAPLE MANOR CARE CENTER</t>
  </si>
  <si>
    <t>HATTON PRAIRIE VILLAGE</t>
  </si>
  <si>
    <t>NELSON COUNTY HEALTH SYSTEM CARE CENTER</t>
  </si>
  <si>
    <t>KNIFE RIVER CARE CENTER</t>
  </si>
  <si>
    <t>SOUTHWEST HEALTHCARE SERVS</t>
  </si>
  <si>
    <t>PEMBILIER NURSING CENTER</t>
  </si>
  <si>
    <t>BAPTIST HEALTH CARE CENTER</t>
  </si>
  <si>
    <t>MISSOURI SLOPE LUTH CARE CTR</t>
  </si>
  <si>
    <t>SANFORD HEALTH ST VINCENT'S LIVING CENTER</t>
  </si>
  <si>
    <t>SANFORD HILLSBORO CARE CENTER</t>
  </si>
  <si>
    <t>BENEDICTINE LIVING CENTER OF GARRISON</t>
  </si>
  <si>
    <t>SANFORD HEALTH SUNSET DRIVE CONTINUING CARE CENTER</t>
  </si>
  <si>
    <t>WISHEK LIVING CENTER</t>
  </si>
  <si>
    <t>VALLEY ELDERCARE CENTER</t>
  </si>
  <si>
    <t>TOWNER COUNTY LIVING CTR</t>
  </si>
  <si>
    <t>EVENTIDE HEARTLAND</t>
  </si>
  <si>
    <t>BETHEL LUTHERAN NURSING &amp; REHABILITATION CENTER</t>
  </si>
  <si>
    <t>MCKENZIE COUNTY HEALTHCARE SYSTEMS LONG TERM CARE</t>
  </si>
  <si>
    <t>TRINITY HOMES</t>
  </si>
  <si>
    <t>NORTHWOOD DEACONESS HEALTH CNT</t>
  </si>
  <si>
    <t>SHEYENNE CARE CENTER</t>
  </si>
  <si>
    <t>EVENTIDE JAMESTOWN</t>
  </si>
  <si>
    <t>AVE MARIA VILLAGE</t>
  </si>
  <si>
    <t>LUTHERAN SUNSET HOME</t>
  </si>
  <si>
    <t>ELIM CARE CENTER</t>
  </si>
  <si>
    <t>BETHANY ON UNIVERSITY</t>
  </si>
  <si>
    <t>WEDGEWOOD MANOR</t>
  </si>
  <si>
    <t>GOOD SAMARITAN SOCIETY - PARK RIVER</t>
  </si>
  <si>
    <t>ST BENEDICTS HEALTH CENTER</t>
  </si>
  <si>
    <t>ASHLEY MEDICAL CENTER NURSING HOME</t>
  </si>
  <si>
    <t>HILL TOP HOME OF COMFORT INC</t>
  </si>
  <si>
    <t>GOOD SAMARITAN SOCIETY - BOTTINEAU</t>
  </si>
  <si>
    <t>GOOD SAMARITAN SOCIETY - MOHALL</t>
  </si>
  <si>
    <t>GOOD SAMARITAN SOCIETY - OAKES</t>
  </si>
  <si>
    <t>ANETA PARKVIEW HEALTH CTR</t>
  </si>
  <si>
    <t>GOOD SAMARITAN SOCIETY - LARIMORE</t>
  </si>
  <si>
    <t>GOOD SAMARITAN SOCIETY - MOTT</t>
  </si>
  <si>
    <t>GOOD SAMARITAN SOCIETY - DEVILS LAKE</t>
  </si>
  <si>
    <t>DAKOTA  ALPHA</t>
  </si>
  <si>
    <t>NAPOLEON CARE CENTER</t>
  </si>
  <si>
    <t>FOUR SEASONS HEALTH CARE INC</t>
  </si>
  <si>
    <t>GOOD SAMARITAN SOCIETY - LAKOTA</t>
  </si>
  <si>
    <t>SANFORD HEALTH CONTINUING CARE CENTER OFF COLLINS</t>
  </si>
  <si>
    <t>ST ROSE CARE CENTER</t>
  </si>
  <si>
    <t>MARYHILL MANOR</t>
  </si>
  <si>
    <t>SOURIS VALLEY CARE CENTER</t>
  </si>
  <si>
    <t>ELM CREST MANOR</t>
  </si>
  <si>
    <t>ST LUKES SUNRISE CARE CENTER</t>
  </si>
  <si>
    <t>WOODSIDE VILLAGE</t>
  </si>
  <si>
    <t>GOOD SAMARITAN SOCIETY - ARTHUR</t>
  </si>
  <si>
    <t>NORTH DAKOTA VETERANS HOME</t>
  </si>
  <si>
    <t>GARRISON MEM HOSP NSG FAC</t>
  </si>
  <si>
    <t>PARKSIDE LUTHERAN HOME</t>
  </si>
  <si>
    <t>ST ALEXIUS MEDICAL CTR TCU</t>
  </si>
  <si>
    <t>RICHARDTON HEALTH CENTER INC</t>
  </si>
  <si>
    <t>BETHANY ON 42ND</t>
  </si>
  <si>
    <t>SHEYENNE CROSSINGS CARE CENTER/TCU</t>
  </si>
  <si>
    <t>GOOD SAMARITAN SOCIETY - BISMARCK</t>
  </si>
  <si>
    <t>ST GABRIEL'S COMMUNITY</t>
  </si>
  <si>
    <t>MERCER COUNTY JOINT TOWNSHIP COMMUNITY HOSPITAL</t>
  </si>
  <si>
    <t>MERCY TIFFIN HOSPITAL</t>
  </si>
  <si>
    <t>BELLEVUE HOSPITAL</t>
  </si>
  <si>
    <t>THE CHATEAU AT MOUNTAIN CREST NURSING &amp; REHAB CTR</t>
  </si>
  <si>
    <t>HILLSIDE PLAZA</t>
  </si>
  <si>
    <t>BRETHREN RETIREMENT COMMUNITY</t>
  </si>
  <si>
    <t>HOSPITALITY CENTER FOR REHABILITATION AND HEALING</t>
  </si>
  <si>
    <t>WEXNER HERITAGE HOUSE</t>
  </si>
  <si>
    <t>CONCORD CARE CENTER OF TOLEDO</t>
  </si>
  <si>
    <t>CEDARWOOD PLAZA</t>
  </si>
  <si>
    <t>CEDARCREEK HEALTH &amp; REHAB</t>
  </si>
  <si>
    <t>HYDE PARK HEALTH CENTER</t>
  </si>
  <si>
    <t>HILLEBRAND NURSING AND REHABILITATION CENTER</t>
  </si>
  <si>
    <t>MONTEFIORE HOME THE</t>
  </si>
  <si>
    <t>FIRST COMMUNITY VILLAGE HEALTHCARE CTR</t>
  </si>
  <si>
    <t>LIFE CARE CENTER OF WESTLAKE</t>
  </si>
  <si>
    <t>ROCKYNOL RETIREMENT COMMUNITY</t>
  </si>
  <si>
    <t>HARRISON PAVILION CARE CENTER</t>
  </si>
  <si>
    <t>LAKE PARK NURSING FACILITY</t>
  </si>
  <si>
    <t>BEACHWOOD POINTE CARE CENTER</t>
  </si>
  <si>
    <t>ANNA MARIA OF AURORA</t>
  </si>
  <si>
    <t>BOWLING GREEN CARE CENTER</t>
  </si>
  <si>
    <t>MONTEREY CARE CENTER</t>
  </si>
  <si>
    <t>PRISTINE SENIOR LIVING AND POST-ACUTE CARE OF CINC</t>
  </si>
  <si>
    <t>METROHEALTH SYSTEM</t>
  </si>
  <si>
    <t>PLEASANTVIEW CARE CENTER</t>
  </si>
  <si>
    <t>LIFE CARE CENTER OF MEDINA</t>
  </si>
  <si>
    <t>PRISTINE SENIOR LIVING &amp; POST-ACUTE CARE OF ENGLEW</t>
  </si>
  <si>
    <t>WALNUT GROVE HEALTH AND REHABILITATION CENTER</t>
  </si>
  <si>
    <t>GOOD SHEPHERD THE</t>
  </si>
  <si>
    <t>MENORAH PARK CENTER FOR SENIOR</t>
  </si>
  <si>
    <t>ELMWOOD HEALTHCARE CENTER AT THE SPRINGS</t>
  </si>
  <si>
    <t>UNIVERSITY PARK NURSING &amp; REHA</t>
  </si>
  <si>
    <t>ALTENHEIM</t>
  </si>
  <si>
    <t>HERITAGE MANOR  JEWISH HM FOR</t>
  </si>
  <si>
    <t>RAE-ANN WESTLAKE</t>
  </si>
  <si>
    <t>GERIATRIC CENTER OF MANSFIELD</t>
  </si>
  <si>
    <t>RUDWICK MANOR SPECIAL CARE CEN</t>
  </si>
  <si>
    <t>HICKORY RIDGE NURSING &amp; REHAB CENTER</t>
  </si>
  <si>
    <t>HIGHLAND OAKS HEALTH CENTER</t>
  </si>
  <si>
    <t>OAK PAVILION NURSING CENTER</t>
  </si>
  <si>
    <t>SCHOENBRUNN HEALTHCARE</t>
  </si>
  <si>
    <t>AVON PLACE</t>
  </si>
  <si>
    <t>WESLEYAN VILLAGE</t>
  </si>
  <si>
    <t>NORTHCREST REHAB AND NURSING CENTER</t>
  </si>
  <si>
    <t>KENWOOD TERRACE CARE CENTER</t>
  </si>
  <si>
    <t>MARION MANOR NURSING HOME INC</t>
  </si>
  <si>
    <t>PARK CENTER HEALTH CARE AND REHABILITATION CENTER</t>
  </si>
  <si>
    <t>HEARTLAND OF MADEIRA</t>
  </si>
  <si>
    <t>PRISTINE SENIOR LIVING &amp; POST-ACUTE CARE OF XENIA</t>
  </si>
  <si>
    <t>GREENBRIER HEALTH CENTER</t>
  </si>
  <si>
    <t>MCNAUGHTEN POINTE NURSING AND REHAB</t>
  </si>
  <si>
    <t>PLEASANT RIDGE CARE CENTER</t>
  </si>
  <si>
    <t>LIMA REHAB AND NURSING CENTER</t>
  </si>
  <si>
    <t>MCHS-WESTERVILLE</t>
  </si>
  <si>
    <t>GARDEN MANOR EXTENDED CARE CENTER, INC</t>
  </si>
  <si>
    <t>SUBURBAN PAVILION</t>
  </si>
  <si>
    <t>BLUE ASH NURSING AND REHABILITATION CENTER</t>
  </si>
  <si>
    <t>EDGEWOOD MANOR OF GREENFIELD I</t>
  </si>
  <si>
    <t>LAURELS OF NORWORTH THE</t>
  </si>
  <si>
    <t>WILMINGTON NURSING &amp; REHAB</t>
  </si>
  <si>
    <t>VANCREST OF ST MARY'S</t>
  </si>
  <si>
    <t>HOMESTEAD II</t>
  </si>
  <si>
    <t>WAPAKONETA MANOR</t>
  </si>
  <si>
    <t>LONDON HEALTH &amp; REHAB CENTER</t>
  </si>
  <si>
    <t>VAN WERT MANOR</t>
  </si>
  <si>
    <t>HOMESTEAD CENTER</t>
  </si>
  <si>
    <t>VANCREST HEALTH CARE CENTER</t>
  </si>
  <si>
    <t>LAURELS OF WORTHINGTON, THE</t>
  </si>
  <si>
    <t>PRISTINE SENIOR LIVING &amp; POST-ACUTE CARE OF OXFORD</t>
  </si>
  <si>
    <t>CANAL POINTE NURSING &amp; REHAB CENTER</t>
  </si>
  <si>
    <t>O'NEILL HEALTHCARE BAY VILLAGE</t>
  </si>
  <si>
    <t>PIQUA MANOR</t>
  </si>
  <si>
    <t>O'NEILL HEALTHCARE LAKEWOOD</t>
  </si>
  <si>
    <t>ALTERCARE OF WADSWORTH</t>
  </si>
  <si>
    <t>COUNTRY COURT</t>
  </si>
  <si>
    <t>FIRELANDS TRANSITIONAL CARE</t>
  </si>
  <si>
    <t>CARRIAGE INN OF STEUBENVILLE</t>
  </si>
  <si>
    <t>WHETSTONE GARDENS AND CARE CENTER</t>
  </si>
  <si>
    <t>PARK VISTA RETIREMENT COMMUNIT</t>
  </si>
  <si>
    <t>DIVERSICARE OF BRADFORD PLACE</t>
  </si>
  <si>
    <t>TROY CENTER</t>
  </si>
  <si>
    <t>MERIT HOUSE LLC</t>
  </si>
  <si>
    <t>CRESTWOOD CARE CENTER</t>
  </si>
  <si>
    <t>CARINGTON PARK</t>
  </si>
  <si>
    <t>ALTERCARE OF CUYAHOGA FALLS CTR FOR REHAB &amp; NURSIN</t>
  </si>
  <si>
    <t>ROSE LANE NURSING AND REHABILITATION</t>
  </si>
  <si>
    <t>GOLDEN LIVINGCENTER-KIRTLAND</t>
  </si>
  <si>
    <t>LAURELS OF CANTON, THE</t>
  </si>
  <si>
    <t>HANOVER HOUSE</t>
  </si>
  <si>
    <t>HEARTLAND OF MT AIRY</t>
  </si>
  <si>
    <t>LOGAN ELM HEALTH CARE CENTER</t>
  </si>
  <si>
    <t>FAIRLAWN REHAB AND NURSING CENTER</t>
  </si>
  <si>
    <t>PAVILION THE</t>
  </si>
  <si>
    <t>SHEPHERD OF THE VALLEY - NILES</t>
  </si>
  <si>
    <t>ALTERCARE POST-ACUTE REHAB CENTER</t>
  </si>
  <si>
    <t>LIMA MANOR</t>
  </si>
  <si>
    <t>CLIFTON CARE CENTER</t>
  </si>
  <si>
    <t>MANORCARE HEALTH SERVICES-WILLOUGHBY</t>
  </si>
  <si>
    <t>MADISON HEALTH CARE</t>
  </si>
  <si>
    <t>MANORCARE HEALTH SERVICES - NORTH OLMSTED</t>
  </si>
  <si>
    <t>HEARTLAND VICTORIAN VILLAGE</t>
  </si>
  <si>
    <t>MANORCARE HEALTH SERVICES-AKRON</t>
  </si>
  <si>
    <t>SMITHVILLE WESTERN CARE CENTER</t>
  </si>
  <si>
    <t>ST CATHERINES MANOR OF WASHINGTON COURT HOUSE</t>
  </si>
  <si>
    <t>SAPPHIRE HEALTH AND REHAB</t>
  </si>
  <si>
    <t>OAKS OF WEST KETTERING THE</t>
  </si>
  <si>
    <t>MARIA JOSEPH LIVING CARE CENTER</t>
  </si>
  <si>
    <t>MARION POINTE</t>
  </si>
  <si>
    <t>MANORCARE HEALTH SVCS-BELDEN VILLAGE</t>
  </si>
  <si>
    <t>MONTGOMERY CARE CENTER</t>
  </si>
  <si>
    <t>KINDRED NURSING AND REHABILITATION-COMMUNITY</t>
  </si>
  <si>
    <t>HEARTLAND OF WAUSEON</t>
  </si>
  <si>
    <t>SHELBY POINTE, INC</t>
  </si>
  <si>
    <t>BOWLING GREEN MANOR</t>
  </si>
  <si>
    <t>LOCUST RIDGE NURSING HOME INC</t>
  </si>
  <si>
    <t>ST CATHERINE'S MANOR OF FINDLAY</t>
  </si>
  <si>
    <t>DARLINGTON NURSING &amp; REHAB CEN</t>
  </si>
  <si>
    <t>MANORCARE HEALTH SERVICES-BARBERTON</t>
  </si>
  <si>
    <t>BRIARWOOD VILLAGE</t>
  </si>
  <si>
    <t>CARRIAGE INN OF CADIZ INC</t>
  </si>
  <si>
    <t>PRISTINE SENIOR LIVING &amp; POST-ACUTE CARE OF WILLAR</t>
  </si>
  <si>
    <t>CRESTVIEW REHAB &amp; SKILLED NRSG SRVCS</t>
  </si>
  <si>
    <t>OTTERBEIN LEBANON RETIREMENT COMMUNITY</t>
  </si>
  <si>
    <t>ARBORS AT GALLIPOLIS</t>
  </si>
  <si>
    <t>MAPLE KNOLL VILLAGE</t>
  </si>
  <si>
    <t>SIGNATURE HEALTHCARE OF GALION</t>
  </si>
  <si>
    <t>CANDLEWOOD PARK HEALTHCARE CEN</t>
  </si>
  <si>
    <t>LONGMEADOW CARE CENTER</t>
  </si>
  <si>
    <t>MANORCARE HEALTH SERVICES-MAYFIELD HTS</t>
  </si>
  <si>
    <t>MOUNT PLEASANT RETIREMENT VILLAGE</t>
  </si>
  <si>
    <t>SHAWNEE MANOR</t>
  </si>
  <si>
    <t>GREEN HILLS CENTER</t>
  </si>
  <si>
    <t>PARKSIDE NURSING AND REHABILITATION  CENTER</t>
  </si>
  <si>
    <t>GARDEN COURT NURSING AND REHABILITATION CENTER</t>
  </si>
  <si>
    <t>HEARTLAND OF URBANA</t>
  </si>
  <si>
    <t>PRISTINE SENIOR LIVING &amp; POST-ACUTE CARE OF JAMEST</t>
  </si>
  <si>
    <t>PINE VALLEY CARE CENTER</t>
  </si>
  <si>
    <t>HEARTLAND OF BEAVERCREEK</t>
  </si>
  <si>
    <t>OHIO VALLEY MANOR NSG AND REHA</t>
  </si>
  <si>
    <t>CELINA MANOR</t>
  </si>
  <si>
    <t>VILLA ANGELA CARE CENTER</t>
  </si>
  <si>
    <t>AUTUMNWOOD CARE CENTER</t>
  </si>
  <si>
    <t>WICKLIFFE COUNTRY PLACE</t>
  </si>
  <si>
    <t>GALION POINTE, INC</t>
  </si>
  <si>
    <t>BRIAR HILL HEALTH CAMPUS</t>
  </si>
  <si>
    <t>FRANKLIN PLAZA EXTENDED CARE</t>
  </si>
  <si>
    <t>LAURELS OF DEFIANCE  THE</t>
  </si>
  <si>
    <t>HUSTON NURSING HOME INC</t>
  </si>
  <si>
    <t>MANORCARE HEALTH SERVICES-ROCKY RIVER</t>
  </si>
  <si>
    <t>HEARTLAND OF JACKSON</t>
  </si>
  <si>
    <t>ADAMS LANE CARE CENTER</t>
  </si>
  <si>
    <t>TRI COUNTY EXTENDED CARE CENTER</t>
  </si>
  <si>
    <t>BEST CARE NURSING &amp; REHAB CTR</t>
  </si>
  <si>
    <t>FRIENDSHIP VILLAGE HEALTH CENTER</t>
  </si>
  <si>
    <t>ALTERCARE OF ALLIANCE CTR FOR REHAB &amp; NC INC</t>
  </si>
  <si>
    <t>LAURELS OF MT VERNON THE</t>
  </si>
  <si>
    <t>RICHLAND MANOR NURSING HOME</t>
  </si>
  <si>
    <t>PLEASANT VIEW HEALTH CARE CENTER</t>
  </si>
  <si>
    <t>MEADOWS OF KALIDA</t>
  </si>
  <si>
    <t>ARBORS AT DELAWARE</t>
  </si>
  <si>
    <t>MAYFAIR VILLAGE NURSING CARE C</t>
  </si>
  <si>
    <t>ANDOVER VILLAGE RETIREMENT COMMUNITY</t>
  </si>
  <si>
    <t>COMMUNITY SKILLED HEALTH CARE</t>
  </si>
  <si>
    <t>WESTMINSTER THURBER COMMUNITY</t>
  </si>
  <si>
    <t>COUNTRY CLUB CENTER I</t>
  </si>
  <si>
    <t>PRISTINE SENIOR LIVING &amp; POST-ACUTE CARE OF FREMON</t>
  </si>
  <si>
    <t>ESSEX OF SPRINGFIELD</t>
  </si>
  <si>
    <t>COLUMBUS COLONY ELDERLY CARE</t>
  </si>
  <si>
    <t>BROOKHAVEN NURSING &amp; REHABILITATION CENTER</t>
  </si>
  <si>
    <t>MOUNT WASHINGTON CARE CENTER</t>
  </si>
  <si>
    <t>SOUTHBROOK CARE CENTER</t>
  </si>
  <si>
    <t>KINDRED TRANSITIONAL CARE &amp; REHAB-NEWARK</t>
  </si>
  <si>
    <t>ARBORS WEST</t>
  </si>
  <si>
    <t>LOVELAND HEALTH CARE CENTER</t>
  </si>
  <si>
    <t>SANCTUARY WADSWORTH</t>
  </si>
  <si>
    <t>RIVERSIDE MANOR NRSG &amp; REHAB CTR</t>
  </si>
  <si>
    <t>GAYMONT NURSING CENTER</t>
  </si>
  <si>
    <t>JENKINS MEMORIAL HEALTH FACILITY</t>
  </si>
  <si>
    <t>DIPLOMAT HEALTHCARE</t>
  </si>
  <si>
    <t>OMNI MANOR NURSING HOME</t>
  </si>
  <si>
    <t>LOGAN HEALTH CARE CENTER</t>
  </si>
  <si>
    <t>MOTHER ANGELINE MCCRORY MANOR</t>
  </si>
  <si>
    <t>VANCREST OF URBANA, INC</t>
  </si>
  <si>
    <t>ARLINGTON CARE CENTER</t>
  </si>
  <si>
    <t>LAKE POINTE REHABILITATION AND NURSING CENTER</t>
  </si>
  <si>
    <t>CLERMONT NURSING CARE CENTER, INC</t>
  </si>
  <si>
    <t>HILL VIEW RETIREMENT CENTER</t>
  </si>
  <si>
    <t>BEECHWOOD HOME FOR INCURABLES</t>
  </si>
  <si>
    <t>PLEASANT HILL MANOR</t>
  </si>
  <si>
    <t>BROOKVIEW HEALTHCARE CENTER</t>
  </si>
  <si>
    <t>REST HAVEN NURSING HOME INC</t>
  </si>
  <si>
    <t>ARBORS AT POMEROY</t>
  </si>
  <si>
    <t>WEST BAY CARE AND REHAB CENTER</t>
  </si>
  <si>
    <t>PEARLVIEW REHAB &amp; WELLNESS CTR</t>
  </si>
  <si>
    <t>HEARTLAND OF OREGON</t>
  </si>
  <si>
    <t>GREENEWOOD MANOR</t>
  </si>
  <si>
    <t>IVY WOODS CARE CENTER</t>
  </si>
  <si>
    <t>CIRCLEVILLE  CENTER</t>
  </si>
  <si>
    <t>RESIDENCE AT KENSINGTON PLACE</t>
  </si>
  <si>
    <t>WOOD HAVEN HEALTH CARE SENIOR LIVING &amp; REHAB</t>
  </si>
  <si>
    <t>MUSKINGUM SKILLED NURSING &amp; REHABILITATION</t>
  </si>
  <si>
    <t>OAK HILLS NURSING AND REHAB</t>
  </si>
  <si>
    <t>HEATH NURSING CARE CENTER</t>
  </si>
  <si>
    <t>BATAVIA NURSING CARE CENTER</t>
  </si>
  <si>
    <t>LLANFAIR RETIREMENT COMMUNITY</t>
  </si>
  <si>
    <t>ARBORS AT CARROLL</t>
  </si>
  <si>
    <t>LIBERTY NURSING CENTER OF MANSFIELD</t>
  </si>
  <si>
    <t>SILVERTON POINTE NURSING &amp; REHABILITATION</t>
  </si>
  <si>
    <t>FAIRHAVEN COMMUNITY</t>
  </si>
  <si>
    <t>RESIDENCE AT SALEM WOODS, THE</t>
  </si>
  <si>
    <t>PRICE ROAD HEALTH AND REHABILITATION CENTER</t>
  </si>
  <si>
    <t>ALTERCARE OF NAVARRE CTR FOR REHAB &amp; NRSG CARE</t>
  </si>
  <si>
    <t>COVINGTON CARE CENTER</t>
  </si>
  <si>
    <t>REGENCY MANOR REHAB &amp; SUBACUTE CTR</t>
  </si>
  <si>
    <t>FLINT RIDGE NRSG &amp; REHAB CTR</t>
  </si>
  <si>
    <t>MOUNT SAINT JOSEPH REHAB CENTER</t>
  </si>
  <si>
    <t>FAIRVIEW SKILLED NURSING AND R</t>
  </si>
  <si>
    <t>EDGEWOOD MANOR NURSING CENTER</t>
  </si>
  <si>
    <t>VICTORY PARK NURSING HOME</t>
  </si>
  <si>
    <t>HOMESTEAD I</t>
  </si>
  <si>
    <t>CHAPEL HILL COMMUNITY</t>
  </si>
  <si>
    <t>EVERGREEN MANOR NURSING HOME</t>
  </si>
  <si>
    <t>ARBORS AT WOODSFIELD</t>
  </si>
  <si>
    <t>VILLAGE AT THE GREENE</t>
  </si>
  <si>
    <t>OTTAWA CO RIVERVIEW NURSING HO</t>
  </si>
  <si>
    <t>SUMMIT'S TRACE HEALTHCARE CENTER</t>
  </si>
  <si>
    <t>WESLEY GLEN HEALTH SERVICES CORP</t>
  </si>
  <si>
    <t>VILLAGE GREEN HEALTH CAMPUS</t>
  </si>
  <si>
    <t>DOROTHY LOVE RETIREMENT COMMUN</t>
  </si>
  <si>
    <t>TWIN RIVERS CENTER</t>
  </si>
  <si>
    <t>WELCOME NURSING HOME</t>
  </si>
  <si>
    <t>BETHESDA CARE CENTER</t>
  </si>
  <si>
    <t>HEARTLAND OF SPRINGFIELD</t>
  </si>
  <si>
    <t>PINNACLE POINTE NURSING &amp; REHABILITATION CENTER</t>
  </si>
  <si>
    <t>TWILIGHT GARDENS HOME</t>
  </si>
  <si>
    <t>BELLE MANOR NURSING HOME</t>
  </si>
  <si>
    <t>SUNRISE POINTE CARE &amp; REHABILITATION CENTER</t>
  </si>
  <si>
    <t>SAINT LUKE LUTHERAN HOME</t>
  </si>
  <si>
    <t>ARBORS AT OREGON</t>
  </si>
  <si>
    <t>HEARTLAND OF CENTERBURG</t>
  </si>
  <si>
    <t>ARBORS AT SPRINGFIELD</t>
  </si>
  <si>
    <t>GARDEN PARK HEALTH CARE CENTER</t>
  </si>
  <si>
    <t>PRISTINE SENIOR LIVING &amp; POST-ACUTE CARE OF CINCIN</t>
  </si>
  <si>
    <t>LANCIA VILLA ROYALE</t>
  </si>
  <si>
    <t>HEARTLAND OF GREENVILLE</t>
  </si>
  <si>
    <t>JOSHUA TREE CARE CENTER</t>
  </si>
  <si>
    <t>HEARTLAND OF PERRYSBURG</t>
  </si>
  <si>
    <t>FRIENDS EXTENDED CARE CENTER</t>
  </si>
  <si>
    <t>SIGNATURE HEALTHCARE OF WARREN</t>
  </si>
  <si>
    <t>HERITAGE THE</t>
  </si>
  <si>
    <t>BRIARFIELD AT ASHLEY CIRCLE</t>
  </si>
  <si>
    <t>OAK HILLS NURSING CENTER</t>
  </si>
  <si>
    <t>CLOVERNOOK HEALTH CARE PAVILION</t>
  </si>
  <si>
    <t>LAURELS OF BLANCHESTER, THE</t>
  </si>
  <si>
    <t>GLEN MEADOWS</t>
  </si>
  <si>
    <t>O'BRIEN MEMORIAL HEALTH CARE C</t>
  </si>
  <si>
    <t>PICKAWAY MANOR CARE CENTER</t>
  </si>
  <si>
    <t>HEARTLAND OF EATON</t>
  </si>
  <si>
    <t>WELLINGTON MANOR</t>
  </si>
  <si>
    <t>HEARTLAND-LANSING</t>
  </si>
  <si>
    <t>FRIENDSHIP VILLAGE OF DUBLIN</t>
  </si>
  <si>
    <t>MADEIRA HEALTH CARE CENTER</t>
  </si>
  <si>
    <t>AUTUMNWOOD NURSING &amp; REHAB CENTER</t>
  </si>
  <si>
    <t>JO-LIN HEALTH CENTER INC</t>
  </si>
  <si>
    <t>MEADOWVIEW  CARE CENTER</t>
  </si>
  <si>
    <t>HERITAGE CENTER FOR REHAB AND SPECIALITY CARE</t>
  </si>
  <si>
    <t>SLOVENE HOME FOR THE AGED</t>
  </si>
  <si>
    <t>EAST OHIO REGIONAL HOSPITAL</t>
  </si>
  <si>
    <t>PARK VIEW NURSING CENTER</t>
  </si>
  <si>
    <t>OTTERBEIN PORTAGE VALLEY</t>
  </si>
  <si>
    <t>EASTLAND HEALTH  CARE AND REHABILITATION CENTER</t>
  </si>
  <si>
    <t>CRANDALL MEDICAL CENTER</t>
  </si>
  <si>
    <t>ST CATHERINE'S C C OF FOSTORIA</t>
  </si>
  <si>
    <t>HEARTLAND OF CHILLICOTHE</t>
  </si>
  <si>
    <t>HEARTLAND OF MARYSVILLE</t>
  </si>
  <si>
    <t>NEW LEXINGTON CENTER</t>
  </si>
  <si>
    <t>CARROLL HEALTHCARE CENTER INC</t>
  </si>
  <si>
    <t>SHEPHERD OF THE VALLEY-BOARDMAN</t>
  </si>
  <si>
    <t>FAIRMOUNT HEALTH CENTER</t>
  </si>
  <si>
    <t>VILLA CAMILLUS  THE</t>
  </si>
  <si>
    <t>HEARTLAND OF PORTSMOUTH</t>
  </si>
  <si>
    <t>EDGEWOOD MANOR OF LUCASVILLE I</t>
  </si>
  <si>
    <t>EAGLE CREEK NURSING CENTER</t>
  </si>
  <si>
    <t>ABBYSHIRE PLACE SKILLED NSG &amp; REHAB CTR</t>
  </si>
  <si>
    <t>ARCADIA VALLEY SKILLED NURSING AND REHABILITATION</t>
  </si>
  <si>
    <t>HICKORY CREEK OF ATHENS</t>
  </si>
  <si>
    <t>SHADY LAWN NURSING HOME</t>
  </si>
  <si>
    <t>CONTINENTAL MANOR NURS AND REHABILITATION CENTER</t>
  </si>
  <si>
    <t>MANORCARE HEALTH SERVICES-EUCLID BEACH</t>
  </si>
  <si>
    <t>FRANKLIN RIDGE HEALTHCARE CENTER</t>
  </si>
  <si>
    <t>WESTMORELAND PLACE</t>
  </si>
  <si>
    <t>LAURELS OF WEST CARROLLTON THE</t>
  </si>
  <si>
    <t>LOST CREEK HEALTH CARE AND REHABILITATION CENTER</t>
  </si>
  <si>
    <t>GREENE OAKS</t>
  </si>
  <si>
    <t>MERCY FRANCISCAN AT WEST PARK</t>
  </si>
  <si>
    <t>GREEN MEADOWS HLTH &amp; WELLNESS CTR</t>
  </si>
  <si>
    <t>MILCREST NURSING CENTER</t>
  </si>
  <si>
    <t>SPRING MEADOWS CARE CENTER</t>
  </si>
  <si>
    <t>HEARTLAND OF PIQUA</t>
  </si>
  <si>
    <t>ARISTOCRAT BEREA NURSING HOME</t>
  </si>
  <si>
    <t>HEARTLAND OF WESTERVILLE</t>
  </si>
  <si>
    <t>SUMMIT ACRES NURSING HOME</t>
  </si>
  <si>
    <t>HEARTLAND OF BELLEFONTAINE</t>
  </si>
  <si>
    <t>HEARTLAND OF KETTERING</t>
  </si>
  <si>
    <t>HEARTLAND OF WATERVILLE</t>
  </si>
  <si>
    <t>PRESIDENTIAL CENTER</t>
  </si>
  <si>
    <t>HEARTLAND OF BUCYRUS</t>
  </si>
  <si>
    <t>HEARTLAND OF HILLSBORO</t>
  </si>
  <si>
    <t>LAKE POINTE HEALTH CARE</t>
  </si>
  <si>
    <t>PERRYSBURG CARE AND REHABILITATION CENTER</t>
  </si>
  <si>
    <t>ALTERCARE OF BUCYRUS CENTER FO</t>
  </si>
  <si>
    <t>PRISTINE SENIOR LIVING &amp; POST-ACUTE CARE OF BELLBR</t>
  </si>
  <si>
    <t>LAURELS OF HUBER HEIGHTS THE</t>
  </si>
  <si>
    <t>S.E.M. HAVEN HEALTH CARE CENTER</t>
  </si>
  <si>
    <t>DIXON HEALTH CARE CENTER</t>
  </si>
  <si>
    <t>MAJORA LANE CTR FOR REHAB &amp; NSG CARE INC</t>
  </si>
  <si>
    <t>ESSEX HEALTHCARE OF TALLMADGE</t>
  </si>
  <si>
    <t>MCCREA MANOR NSNG AND REHAB CTR LLC</t>
  </si>
  <si>
    <t>PICKERINGTON NURSING &amp; REHABILITATION CENTER</t>
  </si>
  <si>
    <t>KINGSTON OF VERMILION</t>
  </si>
  <si>
    <t>HEARTLAND OF MIAMISBURG</t>
  </si>
  <si>
    <t>COUNTRY CLUB RET CENTER I I I</t>
  </si>
  <si>
    <t>PRISTINE SENIOR LIVING &amp; POST ACUTE CARE OF PORTSM</t>
  </si>
  <si>
    <t>WINCHESTER PLACE NURSING &amp; REHABILITATION CENTER</t>
  </si>
  <si>
    <t>NORTHRIDGE HEALTH CENTER, INC</t>
  </si>
  <si>
    <t>KINGSTON OF ASHLAND</t>
  </si>
  <si>
    <t>PRISTINE SENIOR LIVING &amp; POST-ACUTE CARE OF MIDDLE</t>
  </si>
  <si>
    <t>MERCY - MCAULEY CENTER</t>
  </si>
  <si>
    <t>LIVINGSTON CARE CENTER</t>
  </si>
  <si>
    <t>COTTINGHAM RETIREMENT COMMUNITY</t>
  </si>
  <si>
    <t>AUSTINWOODS REHAB HEALTH CARE</t>
  </si>
  <si>
    <t>MCKINLEY HEALTH CARE CTR  LLC</t>
  </si>
  <si>
    <t>LAURELS OF NEW LONDON THE</t>
  </si>
  <si>
    <t>CARDINAL WOODS SKILLED NURSING &amp; REHAB CTR</t>
  </si>
  <si>
    <t>HEIGHTS CARE AND REHAB CENTER, THE</t>
  </si>
  <si>
    <t>GENOA RETIREMENT VILLAGE</t>
  </si>
  <si>
    <t>MEADOW WIND HEALTH CARE CTR INC</t>
  </si>
  <si>
    <t>HEARTLAND OF INDIAN LAKE REHAB</t>
  </si>
  <si>
    <t>SANCTUARY MEDINA LLC</t>
  </si>
  <si>
    <t>NORWALK MEMORIAL HOME</t>
  </si>
  <si>
    <t>FOUR WINDS NURSING FACILITY</t>
  </si>
  <si>
    <t>WILLOWS HEALTH AND REHAB CTR</t>
  </si>
  <si>
    <t>WORTHINGTON CHRISTIAN VILLAGE</t>
  </si>
  <si>
    <t>AUTUMN HILLS CARE CENTER</t>
  </si>
  <si>
    <t>FRANKLIN WOODS NURSING AND REHAB</t>
  </si>
  <si>
    <t>ARBORS AT MINERVA</t>
  </si>
  <si>
    <t>ARBORS AT MILFORD</t>
  </si>
  <si>
    <t>DELAWARE COURT HEALTH CARE CENTER</t>
  </si>
  <si>
    <t>SIGNATURE HEALTHCARE OF FAYETTE COUNTY</t>
  </si>
  <si>
    <t>HICKORY CREEK AT HICKSVILLE</t>
  </si>
  <si>
    <t>WINDSOR LANE HEALTHCARE CENTER</t>
  </si>
  <si>
    <t>SALEM REGIONAL MEDICAL CENTER-SNF</t>
  </si>
  <si>
    <t>EAGLEWOOD CARE CENTER</t>
  </si>
  <si>
    <t>O'NEILL HEALTHCARE NORTH RIDGEVILLE</t>
  </si>
  <si>
    <t>COLUMBUS HEALTHCARE CENTER</t>
  </si>
  <si>
    <t>ARBORS AT MARIETTA</t>
  </si>
  <si>
    <t>SABER SKILLED NURSING UNIT AT BARBERTON</t>
  </si>
  <si>
    <t>ARBORS AT FAIRLAWN THE</t>
  </si>
  <si>
    <t>CEDARVIEW CARE CENTER</t>
  </si>
  <si>
    <t>HEARTLAND OF MENTOR</t>
  </si>
  <si>
    <t>WESTERN HILLS RETIREMENT VILLAGE</t>
  </si>
  <si>
    <t>SIGNATURE HEALTHCARE OF CHILLICOTHE</t>
  </si>
  <si>
    <t>DOYLESTOWN HEALTH CARE CENTER</t>
  </si>
  <si>
    <t>FOREST HILL RETIREMENT COMMUNITY</t>
  </si>
  <si>
    <t>COUNTRY CLUB RETIREMENT CTR IV</t>
  </si>
  <si>
    <t>BROADWAY CARE CENTER OF MAPLE HEIGHTS</t>
  </si>
  <si>
    <t>CENTURY OAK CARE CENTER</t>
  </si>
  <si>
    <t>ADVANCED HEALTHCARE CENTER</t>
  </si>
  <si>
    <t>WALTON MANOR HEALTH CARE CENTER</t>
  </si>
  <si>
    <t>PLEASANT LAKE VILLA</t>
  </si>
  <si>
    <t>WINDSONG CARE CENTER</t>
  </si>
  <si>
    <t>IVY WOODS MANOR</t>
  </si>
  <si>
    <t>CHARDON CENTER</t>
  </si>
  <si>
    <t>BROOKWOOD RETIREMENT COMMUNITY</t>
  </si>
  <si>
    <t>KINDRED TRANSITIONAL CARE &amp; REHAB-LAKEMED</t>
  </si>
  <si>
    <t>ST LEONARD HCC</t>
  </si>
  <si>
    <t>ST MARY'S ALZHEIMER'S CENTER</t>
  </si>
  <si>
    <t>GRAFTON OAKS NURSING AND REHABILITATION CENTER</t>
  </si>
  <si>
    <t>CONVALARIUM AT INDIAN RUN THE</t>
  </si>
  <si>
    <t>ARBORS AT STREETSBORO</t>
  </si>
  <si>
    <t>ARBORS AT STOW</t>
  </si>
  <si>
    <t>OVERBROOK CENTER</t>
  </si>
  <si>
    <t>WOOD GLEN ALZHEIMER'S COMMUNITY</t>
  </si>
  <si>
    <t>DRAKE CENTER INC</t>
  </si>
  <si>
    <t>TRINITY SKILLED CARE CENTER</t>
  </si>
  <si>
    <t>LAURELS  OF HILLIARD THE</t>
  </si>
  <si>
    <t>PEBBLE CREEK</t>
  </si>
  <si>
    <t>BRAEVIEW MANOR</t>
  </si>
  <si>
    <t>GATEWAY HEALTH CARE CENTER</t>
  </si>
  <si>
    <t>EAST PARK CARE CENTER</t>
  </si>
  <si>
    <t>MERIDIAN ARMS LIVING CENTER</t>
  </si>
  <si>
    <t>ST MARGARET HALL INC</t>
  </si>
  <si>
    <t>HORIZON POST ACUTE CARE</t>
  </si>
  <si>
    <t>KOESTER PAVILION</t>
  </si>
  <si>
    <t>HEATHERDOWNS REHAB &amp; RESIDENTI</t>
  </si>
  <si>
    <t>HEARTLAND OF WOODRIDGE</t>
  </si>
  <si>
    <t>HEATHER KNOLL RETIREMENT VILLAGE</t>
  </si>
  <si>
    <t>ASTORIA PLACE OF CLYDE, LLC</t>
  </si>
  <si>
    <t>ASHTABULA COUNTY NURSING HOME</t>
  </si>
  <si>
    <t>NATIONAL CHURCH RESIDENCES BRISTOL VILLAGE</t>
  </si>
  <si>
    <t>WRIGHT NURSING AND REHAB CTR</t>
  </si>
  <si>
    <t>ROSELAWN MANOR</t>
  </si>
  <si>
    <t>SWANTON VALLEY CENTER</t>
  </si>
  <si>
    <t>ASTORIA PLACE OF WATERVILLE</t>
  </si>
  <si>
    <t>WHITE OAK MANOR</t>
  </si>
  <si>
    <t>LAKEWOOD HOSPITAL SKILLED NURS</t>
  </si>
  <si>
    <t>SOMERSET HEALTH AND REHABILITATION CTR</t>
  </si>
  <si>
    <t>FOUNDATION PARK CARE CENTER</t>
  </si>
  <si>
    <t>ROYAL OAK NURSING &amp; REHAB CTR</t>
  </si>
  <si>
    <t>ASTORIA PLACE OF COLUMBUS</t>
  </si>
  <si>
    <t>COLONIAL MANOR HEALTH CARE CEN</t>
  </si>
  <si>
    <t>WHITEHOUSE COUNTRY MANOR</t>
  </si>
  <si>
    <t>BROADVIEW MULTI CARE CENTER</t>
  </si>
  <si>
    <t>PARMA CARE CENTER</t>
  </si>
  <si>
    <t>HEALTH CENTER AT THE RENAISSAN</t>
  </si>
  <si>
    <t>VISTA CENTER OF BOARDMAN</t>
  </si>
  <si>
    <t>AVON OAKS NURSING HOME</t>
  </si>
  <si>
    <t>ARBORS AT MIFFLIN</t>
  </si>
  <si>
    <t>PRISTINE SENIOR LIVING &amp; POST-ACUTE CARE OF DAYTON</t>
  </si>
  <si>
    <t>PARKSIDE HEALTH CARE CENTER</t>
  </si>
  <si>
    <t>LOGAN ACRES</t>
  </si>
  <si>
    <t>WILLOWS AT WILLARD THE</t>
  </si>
  <si>
    <t>COPLEY HEALTH CENTER</t>
  </si>
  <si>
    <t>EASTGATE HEALTH CARE CENTER</t>
  </si>
  <si>
    <t>LINCOLN PARK MANOR</t>
  </si>
  <si>
    <t>MEDINA MEADOWS REHAB AND NURSING CENTRE</t>
  </si>
  <si>
    <t>HEALTHCARE CENTER AT THE FORUM</t>
  </si>
  <si>
    <t>COUNTRY VIEW OF SUNBURY</t>
  </si>
  <si>
    <t>TRINITY COMMUNITY</t>
  </si>
  <si>
    <t>WYANT WOODS CARE CENTER</t>
  </si>
  <si>
    <t>HEARTLAND OF MARIETTA</t>
  </si>
  <si>
    <t>ASSUMPTION VILLAGE THE</t>
  </si>
  <si>
    <t>WASHINGTON SQUARE HEALTHCARE CENTER</t>
  </si>
  <si>
    <t>WILLOWOOD CARE CENTER OF BRUNSWICK</t>
  </si>
  <si>
    <t>VILLA GEORGETOWN SKILLED NURSING &amp; REHAB CENTER</t>
  </si>
  <si>
    <t>ELISABETH SEV PRENTISS CTR FOR</t>
  </si>
  <si>
    <t>SANCTUARY AT WILMINGTON PLACE</t>
  </si>
  <si>
    <t>SANCTUARY AT  OHIO VALLEY</t>
  </si>
  <si>
    <t>MARIETTA  CENTER</t>
  </si>
  <si>
    <t>CROWN CENTER AT LAUREL LAKE</t>
  </si>
  <si>
    <t>PATASKALA OAKS CARE CENTER</t>
  </si>
  <si>
    <t>OASIS CENTER FOR REHAB AND HEALING</t>
  </si>
  <si>
    <t>WESTPARK NEUROLOGY AND REHABILITATION CENTER</t>
  </si>
  <si>
    <t>COURTYARD AT SEASONS</t>
  </si>
  <si>
    <t>COLUMBUS WEST PARK NSG &amp; REHAB</t>
  </si>
  <si>
    <t>HEATHER HILL CARE COMMUNITIES</t>
  </si>
  <si>
    <t>REHABILITATION AND HEALTH  CENTER OF GAHANNA THE</t>
  </si>
  <si>
    <t>MARJORIE P LEE RETIREMENT COMMUNITY</t>
  </si>
  <si>
    <t>MINERVA PARK HEALTHCARE AND REHABILITATION CENTER</t>
  </si>
  <si>
    <t>TRANSITIONAL CARE UNIT</t>
  </si>
  <si>
    <t>WESTLAKE REHAB AND NURSING CENTER</t>
  </si>
  <si>
    <t>ST MARYS LIVING CENTER</t>
  </si>
  <si>
    <t>PARK EAST CARE AND REHAB CENTER</t>
  </si>
  <si>
    <t>NORTHWESTERN CENTER</t>
  </si>
  <si>
    <t>WELLSPRING HEALTH CENTER</t>
  </si>
  <si>
    <t>HAWTHORN GLEN NURSING CENTER</t>
  </si>
  <si>
    <t>CORTLAND CENTER</t>
  </si>
  <si>
    <t>COUNTRY CLUB RETIREMENT CENTER</t>
  </si>
  <si>
    <t>SAMARITAN CARE CENTER</t>
  </si>
  <si>
    <t>BAYLEY PLACE</t>
  </si>
  <si>
    <t>DIVERSICARE OF SIENA WOODS</t>
  </si>
  <si>
    <t>WALNUT CREEK NURSING CENTER</t>
  </si>
  <si>
    <t>BRIARFIELD MANOR</t>
  </si>
  <si>
    <t>VISTA CENTER AT THE RIDGE</t>
  </si>
  <si>
    <t>HERITAGE NURSING AND REHAB CTR</t>
  </si>
  <si>
    <t>NATIONAL CHURCH RESIDENCES BATH ROAD</t>
  </si>
  <si>
    <t>WILLOW PARK CONVALESCENT HOME</t>
  </si>
  <si>
    <t>VILLA SPRINGFIELD</t>
  </si>
  <si>
    <t>BRYAN CENTER</t>
  </si>
  <si>
    <t>DANRIDGES BURGUNDI MANOR</t>
  </si>
  <si>
    <t>UNIVERSITY MANOR HEALTH &amp; REHA</t>
  </si>
  <si>
    <t>JUDSON CARE CENTER, INC</t>
  </si>
  <si>
    <t>KENT CENTER</t>
  </si>
  <si>
    <t>MORROW MANOR NURSING CENTER</t>
  </si>
  <si>
    <t>VILLAGE AT ST EDWARD NRSG CARE</t>
  </si>
  <si>
    <t>OAK GROVE MANOR</t>
  </si>
  <si>
    <t>HENNIS CARE CENTRE OF DOVER</t>
  </si>
  <si>
    <t>COLUMBUS ALZHEIMER'S CARE CTR</t>
  </si>
  <si>
    <t>VALLEY VIEW HEALTHCARE CENTER</t>
  </si>
  <si>
    <t>KENTON NURSING AND REHABILITATION CENTER</t>
  </si>
  <si>
    <t>AURORA MANOR SPECIAL CARE CENT</t>
  </si>
  <si>
    <t>RAE ANN SUBURBAN</t>
  </si>
  <si>
    <t>BATH MANOR SPECIAL CARE CENTRE</t>
  </si>
  <si>
    <t>HEARTLAND - HOLLY GLEN</t>
  </si>
  <si>
    <t>ARBORS EAST SUBACUTE AND REHAB CTR</t>
  </si>
  <si>
    <t>GREENBRIAR CENTER</t>
  </si>
  <si>
    <t>GREENBRIAR NURSING CENTER THE</t>
  </si>
  <si>
    <t>LAURIE ANN NURSING HOME</t>
  </si>
  <si>
    <t>BRIARWOOD THE</t>
  </si>
  <si>
    <t>MERRIMAN OF AKRON, THE</t>
  </si>
  <si>
    <t>INDEPENDENCE HOUSE</t>
  </si>
  <si>
    <t>PINES, THE</t>
  </si>
  <si>
    <t>MEMORIAL GABLES</t>
  </si>
  <si>
    <t>MAIN STREET CARE CENTER</t>
  </si>
  <si>
    <t>CRYSTAL CARE CENTER OF PORTSMOUTH</t>
  </si>
  <si>
    <t>BRYDEN PLACE</t>
  </si>
  <si>
    <t>JUDSON PARK</t>
  </si>
  <si>
    <t>HUDSON ELMS NURSING HOME</t>
  </si>
  <si>
    <t>CRESTMONT NORTH NURSING HOME</t>
  </si>
  <si>
    <t>CARRIAGE INN OF DAYTON</t>
  </si>
  <si>
    <t>PINE RIDGE SKILLED NURSING AND REHAB</t>
  </si>
  <si>
    <t>CITYVIEW NURSING &amp; REHAB CTR</t>
  </si>
  <si>
    <t>SIGNATURE HEALTHCARE OF COSHOCTON</t>
  </si>
  <si>
    <t>ECHO MANOR EXTENDED CARE CTR</t>
  </si>
  <si>
    <t>SPRINGMEADE HEALTHCENTER</t>
  </si>
  <si>
    <t>ST AUGUSTINE MANOR</t>
  </si>
  <si>
    <t>CONCORD CARE AND REHABILITATION CENTER</t>
  </si>
  <si>
    <t>PRISTINE SENIOR LIVING &amp; POST-ACUTE CARE OF TOLEDO</t>
  </si>
  <si>
    <t>ARLINGTON GOOD SAMARITAN CENTE</t>
  </si>
  <si>
    <t>LODGE CARE CENTER INC THE</t>
  </si>
  <si>
    <t>COSHOCTON SPRINGS HEALTH AND REHAB CENTER</t>
  </si>
  <si>
    <t>LAFAYETTE POINTE NURSING &amp; REHAB CTR</t>
  </si>
  <si>
    <t>BURLINGTON HOUSE NURSING HOME</t>
  </si>
  <si>
    <t>BEREA CENTER</t>
  </si>
  <si>
    <t>MCV HEALTH CARE FACILITIES, INC</t>
  </si>
  <si>
    <t>FOX RUN MANOR</t>
  </si>
  <si>
    <t>NEW LEBANON CARE AND REHABILITATION CENTER</t>
  </si>
  <si>
    <t>SYLVANIA  CENTER</t>
  </si>
  <si>
    <t>OAK CREEK TERRACE INC</t>
  </si>
  <si>
    <t>VERSAILLES HEALTH CARE CENTER</t>
  </si>
  <si>
    <t>LIMA MEMORIAL TRANSITIONAL CAR</t>
  </si>
  <si>
    <t>SAINT JOSEPH CARE CENTER</t>
  </si>
  <si>
    <t>HILLSIDE SKILLED NURSING AND REHABILITATION</t>
  </si>
  <si>
    <t>FRANCISCAN CARE CTR SYLVANIA</t>
  </si>
  <si>
    <t>WINCHESTER TERRACE</t>
  </si>
  <si>
    <t>OAKWOOD VILLAGE</t>
  </si>
  <si>
    <t>SOUTHWEST GENERAL ORTHOPEDIC JOINT &amp; SPINE SKILLED</t>
  </si>
  <si>
    <t>LEBANON COUNTRY MANOR</t>
  </si>
  <si>
    <t>SIENNA HILLS NURSING &amp; REHABILITATION</t>
  </si>
  <si>
    <t>AMHERST MANOR NURSING HOME</t>
  </si>
  <si>
    <t>NORMANDY MANOR OF ROCKY RIVER</t>
  </si>
  <si>
    <t>REGINA HEALTH CENTER</t>
  </si>
  <si>
    <t>COURT HOUSE MANOR</t>
  </si>
  <si>
    <t>CROWN POINTE CARE CENTER</t>
  </si>
  <si>
    <t>EDGEWOOD MANOR OF LUCASVILLE II</t>
  </si>
  <si>
    <t>EDGEWOOD MANOR OF WESTERVILLE</t>
  </si>
  <si>
    <t>CRESTWOOD RIDGE SKILLED NURSING AND REHAB</t>
  </si>
  <si>
    <t>MORNINGVIEW POINTE</t>
  </si>
  <si>
    <t>BATON ROUGE MEDICAL &amp; REHAB CENTER OF LIMA</t>
  </si>
  <si>
    <t>BRIAR HILL HEALTH CARE RESIDEN</t>
  </si>
  <si>
    <t>EDGEWOOD MANOR OF WELLSTON</t>
  </si>
  <si>
    <t>AUTUMN AEGIS NURSING HOME</t>
  </si>
  <si>
    <t>DUAL MANOR HEALTH CARE CENTER</t>
  </si>
  <si>
    <t>EUCLID SUBACUTE CARE CENTER</t>
  </si>
  <si>
    <t>CRYSTAL CARE CENTER OF MANSFIE</t>
  </si>
  <si>
    <t>DIVERSICARE OF ST THERESA</t>
  </si>
  <si>
    <t>HOLLY HILL NURSING HOME</t>
  </si>
  <si>
    <t>CONCORD CARE CENTER OF CORTLAND</t>
  </si>
  <si>
    <t>ARLINGTON COURT NURSING &amp; REHABILITATION CENTER</t>
  </si>
  <si>
    <t>RIDGEWOOD MANOR</t>
  </si>
  <si>
    <t>OTTERBEIN ST MARYS RETIREMENT COMMUNITY</t>
  </si>
  <si>
    <t>KENDAL AT OBERLIN</t>
  </si>
  <si>
    <t>PIKETON NURSING CENTER</t>
  </si>
  <si>
    <t>GENEVA SHORES NURSING AND REHAB</t>
  </si>
  <si>
    <t>GOOD SHEPHERD HOME</t>
  </si>
  <si>
    <t>PARMA COMMUNITY SKILLED NURSING FACILITY</t>
  </si>
  <si>
    <t>ST RITA'S TRANSITIONAL CARE UN</t>
  </si>
  <si>
    <t>ADMIRAL'S POINTE NURSING AND REHABILITATION</t>
  </si>
  <si>
    <t>ANCHOR LODGE NURSING HOME INC</t>
  </si>
  <si>
    <t>UNION CITY CARE CENTER</t>
  </si>
  <si>
    <t>CAMELOT ARMS CARE CENTER</t>
  </si>
  <si>
    <t>BIRCHAVEN RETIREMENT VILLAGE</t>
  </si>
  <si>
    <t>QUAKER HEIGHTS NURSING HOME</t>
  </si>
  <si>
    <t>PARK HEALTH CENTER</t>
  </si>
  <si>
    <t>PROVIDENCE CARE CENTER</t>
  </si>
  <si>
    <t>CIRCLE OF CARE</t>
  </si>
  <si>
    <t>SCARLET OAKS NURSING AND REHABILITATION CENTER</t>
  </si>
  <si>
    <t>PATRIOT RIDGE COMMUNITY</t>
  </si>
  <si>
    <t>FOREST HILLS CENTER</t>
  </si>
  <si>
    <t>FOREST VIEW CARE &amp; REHABILITATION CENTER</t>
  </si>
  <si>
    <t>RUFFING FAMILY CARE CTR OF BLO</t>
  </si>
  <si>
    <t>KINGSTON OF MIAMISBURG</t>
  </si>
  <si>
    <t>CALCUTTA HEALTH CARE CENTER</t>
  </si>
  <si>
    <t>WILLOW BROOK CHRISTIAN HOME</t>
  </si>
  <si>
    <t>NEW DAWN HEALTH CARE CENTER, INC</t>
  </si>
  <si>
    <t>ORANGE VILLAGE CARE CENTER</t>
  </si>
  <si>
    <t>ALTERCARE OF LOUISVILLE CTR FOR REHAB &amp; NSG CARE</t>
  </si>
  <si>
    <t>LAURELS OF HILLSBORO</t>
  </si>
  <si>
    <t>COUNTRY LAWN CTR FOR REHAB</t>
  </si>
  <si>
    <t>SWAN CREEK HEALTH CARE CENTER</t>
  </si>
  <si>
    <t>PARKVUE HEALTH CARE CENTER</t>
  </si>
  <si>
    <t>HOLZER SENIOR CARE CENTER</t>
  </si>
  <si>
    <t>SYCAMORE GLEN HEALTH CENTER</t>
  </si>
  <si>
    <t>HARMAR PLACE REHAB &amp; EXTENDED CARE</t>
  </si>
  <si>
    <t>CRESTLINE NURSING CENTER</t>
  </si>
  <si>
    <t>CRYSTAL CARE CENTER OF FRANKLIN FURNACE</t>
  </si>
  <si>
    <t>KENSINGTON AT ANNA MARIA</t>
  </si>
  <si>
    <t>GRANDE POINTE HEALTHCARE COMMU</t>
  </si>
  <si>
    <t>SUMMIT VILLA CARE CENTER</t>
  </si>
  <si>
    <t>ALTERCARE OF MENTOR</t>
  </si>
  <si>
    <t>COUNTRY MEADOWS CARE CENTER</t>
  </si>
  <si>
    <t>LEXINGTON COURT CARE CENTER</t>
  </si>
  <si>
    <t>WHISPERING HILLS CARE CENTER</t>
  </si>
  <si>
    <t>MENTOR WOODS SKILLED NURSING AND REHABILITATION</t>
  </si>
  <si>
    <t>MAIN STREET TERRACE CARE CENTER</t>
  </si>
  <si>
    <t>ARCADIA ACRES INC</t>
  </si>
  <si>
    <t>SHAKER GARDENS NURSING &amp; REHAB CTR</t>
  </si>
  <si>
    <t>MANOR AT PERRYSBURG</t>
  </si>
  <si>
    <t>TWIN TOWERS</t>
  </si>
  <si>
    <t>SYCAMORE RUN NURSING AND REHAB CTR</t>
  </si>
  <si>
    <t>MT HEALTHY CHRISTIAN HOME</t>
  </si>
  <si>
    <t>COUNTRY CLUB CENTER V, INC</t>
  </si>
  <si>
    <t>ALTERCARE OF HARTVILLE CTR FOR</t>
  </si>
  <si>
    <t>WOODSIDE VILLAGE CARE CENTER</t>
  </si>
  <si>
    <t>MILL MANOR CARE CENTER</t>
  </si>
  <si>
    <t>HILTY MEMORIAL HOME INC</t>
  </si>
  <si>
    <t>SIDNEY CARE CENTER</t>
  </si>
  <si>
    <t>ESSEX OF SALEM III</t>
  </si>
  <si>
    <t>CROSSROADS REHABILITATION &amp; NURSING</t>
  </si>
  <si>
    <t>GLENDORA HEALTH CARE CENTER</t>
  </si>
  <si>
    <t>BOWERSTON HILLS  NURSING &amp; REHABILITATION</t>
  </si>
  <si>
    <t>HEARTH &amp; CARE OF GREENFIELD</t>
  </si>
  <si>
    <t>POINT PLACE CARE AND REHABILITATION CENTER</t>
  </si>
  <si>
    <t>HILLANDALE HEALTH CARE</t>
  </si>
  <si>
    <t>ADDISON HEIGHTS HEALTH AND REHABILITATION CENTER</t>
  </si>
  <si>
    <t>SPRING MEADOWS EXTENDED CARE F</t>
  </si>
  <si>
    <t>CARLISLE MANOR HEALTH CARE INC</t>
  </si>
  <si>
    <t>GARDENS OF PAULDING THE</t>
  </si>
  <si>
    <t>JENNINGS HALL</t>
  </si>
  <si>
    <t>RAE ANN GENEVA</t>
  </si>
  <si>
    <t>ASHTABULA COUNTY MEDICAL CENTE</t>
  </si>
  <si>
    <t>HANNA HOUSE SKILLED NURSING CE</t>
  </si>
  <si>
    <t>OTTERBEIN-CRIDERSVILLE</t>
  </si>
  <si>
    <t>OAKS AT NORTHPOINTE</t>
  </si>
  <si>
    <t>GABLES CARE CENTER INC</t>
  </si>
  <si>
    <t>BERKELEY SQUARE RETIREMENT CEN</t>
  </si>
  <si>
    <t>SOUTHERN HILLS HEALTH AND REHA</t>
  </si>
  <si>
    <t>RAE-ANN WEST PARK</t>
  </si>
  <si>
    <t>ARBORS AT SYLVANIA</t>
  </si>
  <si>
    <t>CAPRICE HEALTH CARE CENTER</t>
  </si>
  <si>
    <t>MONROE COUNTY CARE CENTER</t>
  </si>
  <si>
    <t>VANCREST OF CONVOY</t>
  </si>
  <si>
    <t>VISTA CARE CENTER OF MILAN</t>
  </si>
  <si>
    <t>ORCHARD VILLA</t>
  </si>
  <si>
    <t>MT ALVERNA HOME INC</t>
  </si>
  <si>
    <t>THE MEADOWS AT OSBORN PARK</t>
  </si>
  <si>
    <t>SWANTON HEALTH CARE RETIREMENT</t>
  </si>
  <si>
    <t>AULTMAN TRANSITIONAL CARE CENTER</t>
  </si>
  <si>
    <t>VALLEY VIEW ALZHEIMER'S CARE CTR</t>
  </si>
  <si>
    <t>OHIO EASTERN STAR HLTH CARE CTR THE</t>
  </si>
  <si>
    <t>CANTON HEALTH CARE CENTER</t>
  </si>
  <si>
    <t>LAURELS OF MASSILLON, THE</t>
  </si>
  <si>
    <t>ELIZA JENNINGS HOME</t>
  </si>
  <si>
    <t>CHESTERWOOD VILLAGE</t>
  </si>
  <si>
    <t>PARKVIEW CARE CTR</t>
  </si>
  <si>
    <t>VANCREST HEALTH CARE CENTER OF EATON</t>
  </si>
  <si>
    <t>LEGENDS CARE CENTER</t>
  </si>
  <si>
    <t>VISTA CENTER, THE</t>
  </si>
  <si>
    <t>AUSTINBURG NSG AND  REHAB CTR</t>
  </si>
  <si>
    <t>AUTUMN YEARS NURSING CENTER</t>
  </si>
  <si>
    <t>BURTON HEALTH CARE CENTER</t>
  </si>
  <si>
    <t>PARK VILLAGE HEALTH CARE CENTER INC</t>
  </si>
  <si>
    <t>TRADITIONS AT STYGLER ROAD</t>
  </si>
  <si>
    <t>STONE CROSSING CARE CTR BY LAMPLIGHT COMMUNITIES</t>
  </si>
  <si>
    <t>ESSEX OF SALEM I</t>
  </si>
  <si>
    <t>FULTON MANOR NURSING &amp; REHAB C</t>
  </si>
  <si>
    <t>CATHERINE'S CARE CENTER, INC</t>
  </si>
  <si>
    <t>SPRINGFIELD NURSING &amp; INDEPENDENT LIVING</t>
  </si>
  <si>
    <t>HEARTLAND OF CENTERVILLE</t>
  </si>
  <si>
    <t>ELIZA BRYANT CENTER</t>
  </si>
  <si>
    <t>ST FRANCIS HOME INC</t>
  </si>
  <si>
    <t>WELSH HOME THE</t>
  </si>
  <si>
    <t>ESSEX OF SALEM II</t>
  </si>
  <si>
    <t>FAIRFAX HEALTH CARE CENTER</t>
  </si>
  <si>
    <t>REST HAVEN NURSING HOME</t>
  </si>
  <si>
    <t>DAYVIEW CARE CENTER INC</t>
  </si>
  <si>
    <t>WOODLAND COUNTRY MANOR INC</t>
  </si>
  <si>
    <t>CRAWFORD MANOR HEALTHCARE CENTER</t>
  </si>
  <si>
    <t>FALLING WATER HEALTHCARE CENTER</t>
  </si>
  <si>
    <t>BROWN MEMORIAL HOME INC</t>
  </si>
  <si>
    <t>LIBERTY HEALTH CARE CENTER INC</t>
  </si>
  <si>
    <t>KINDRED TRANSITIONAL CARE AND REHAB-THE GREENS</t>
  </si>
  <si>
    <t>SPRINGFIELD MASONIC COMMUNITY</t>
  </si>
  <si>
    <t>RUFFING FAMILY CARE CTR OF TIF</t>
  </si>
  <si>
    <t>ELMS RETIREMENT VILLAGE INC</t>
  </si>
  <si>
    <t>CEDAR VILLAGE</t>
  </si>
  <si>
    <t>MARY SCOTT NURSING CENTER</t>
  </si>
  <si>
    <t>BRENN-FIELD NURSING CENTER</t>
  </si>
  <si>
    <t>BLOSSOM HILL CARE CENTER</t>
  </si>
  <si>
    <t>LAURELS OF SHANE HILL</t>
  </si>
  <si>
    <t>WOODLANDS AT ROBINSON,THE</t>
  </si>
  <si>
    <t>GREYSTONE HEALTH AND REHAB OF CAMBRIDGE</t>
  </si>
  <si>
    <t>GILLETTE NURSING HOME</t>
  </si>
  <si>
    <t>RIVERSIDE LANDING NURSING AND REHABILITATION</t>
  </si>
  <si>
    <t>BELLEVUE CARE CENTER</t>
  </si>
  <si>
    <t>HARDIN HILLS HEALTH CENTER</t>
  </si>
  <si>
    <t>MOHUN HEALTH CARE CENTER</t>
  </si>
  <si>
    <t>MAPLE HILLS SKILLED NURSING &amp; REHABILITATION</t>
  </si>
  <si>
    <t>ADENA HEALTH AND REHABILITATION CENTER</t>
  </si>
  <si>
    <t>OAKHILL MANOR CARE CENTER</t>
  </si>
  <si>
    <t>MILL RUN CARE CENTER</t>
  </si>
  <si>
    <t>ADAMS COUNTY MANOR</t>
  </si>
  <si>
    <t>MENNONITE MEMORIAL HOME</t>
  </si>
  <si>
    <t>LAKERIDGE VILLA HEALTH CARE CENTER</t>
  </si>
  <si>
    <t>SUNSET HOUSE</t>
  </si>
  <si>
    <t>WILLIAMS CO HILLSIDE COUNTRY L</t>
  </si>
  <si>
    <t>GLENCARE CENTER</t>
  </si>
  <si>
    <t>DAYSPRING OF MIAMI VALLEY HLTH CARE CENTER &amp; REHAB</t>
  </si>
  <si>
    <t>WEST VIEW HEALTHY LIVING</t>
  </si>
  <si>
    <t>TERRACE VIEW GARDENS</t>
  </si>
  <si>
    <t>NEW ALBANY CARE CENTER</t>
  </si>
  <si>
    <t>LINCOLN CRAWFORD CARE CENTER</t>
  </si>
  <si>
    <t>DUNBAR HEALTH &amp; REHAB CENTER</t>
  </si>
  <si>
    <t>MOUNT ROYAL VILLA</t>
  </si>
  <si>
    <t>BIRCHWOOD CARE CENTER</t>
  </si>
  <si>
    <t>UTICA CARE CENTER</t>
  </si>
  <si>
    <t>BRETHREN CARE VILLAGE HEALTH CARE CENTER</t>
  </si>
  <si>
    <t>ANDERSON, THE</t>
  </si>
  <si>
    <t>BLOSSOM NURSING AND REHAB CENTER</t>
  </si>
  <si>
    <t>THE SANCTUARY AT TUTTLE CROSSING</t>
  </si>
  <si>
    <t>CRIDERSVILLE HEALTHCARE CENTER</t>
  </si>
  <si>
    <t>TOLEDO HOSPITAL TCU</t>
  </si>
  <si>
    <t>BECKETT HOUSE AT NEW CONCORD</t>
  </si>
  <si>
    <t>MEADOWS HEALTH CARE CENTER</t>
  </si>
  <si>
    <t>LIFE CARE CENTER OF ELYRIA</t>
  </si>
  <si>
    <t>CUMBERLAND POINTE CARE CENTER</t>
  </si>
  <si>
    <t>WIDOWS HOME OF DAYTON</t>
  </si>
  <si>
    <t>SOLON POINTE AT EMERALD RIDGE</t>
  </si>
  <si>
    <t>RIVERVIEW POINTE CARE CENTER</t>
  </si>
  <si>
    <t>GRAND RAPIDS CARE CENTER</t>
  </si>
  <si>
    <t>BUTLER COUNTY CARE FACILITY</t>
  </si>
  <si>
    <t>SEASONS NURSING AND REHAB</t>
  </si>
  <si>
    <t>ELIZABETH SCOTT COMMUNITY</t>
  </si>
  <si>
    <t>HILLSPRING HEALTH CARE &amp; REHAB</t>
  </si>
  <si>
    <t>HUMILITY HOUSE</t>
  </si>
  <si>
    <t>MINERVA ELDERCARE CENTER</t>
  </si>
  <si>
    <t>LUTHERAN HOME AT TOLEDO</t>
  </si>
  <si>
    <t>VANCREST OF DELPHOS</t>
  </si>
  <si>
    <t>BELMONT MANOR</t>
  </si>
  <si>
    <t>MAPLECREST NURSING AND HTA</t>
  </si>
  <si>
    <t>LUTHERAN VILLAGE AT WOLFCREEK</t>
  </si>
  <si>
    <t>BENNINGTON GLEN NURSING &amp; REHA</t>
  </si>
  <si>
    <t>BEEGHLY OAKS CENTER FOR REHABILITATION &amp; HEALING</t>
  </si>
  <si>
    <t>NEWARK HILLS HEALTH AND REHABILITATION CENTER</t>
  </si>
  <si>
    <t>GARDENS AT ST HENRY</t>
  </si>
  <si>
    <t>GOLDEN YEARS NURSING CENTER</t>
  </si>
  <si>
    <t>HEARTLAND-FAIRFIELD NURSING CENTER</t>
  </si>
  <si>
    <t>HENNIS CARE CENTRE OF BOLIVAR</t>
  </si>
  <si>
    <t>MANOR AT WHITEHALL THE</t>
  </si>
  <si>
    <t>CRYSTAL CARE OF COAL GROVE</t>
  </si>
  <si>
    <t>ORRVILLE POINTE</t>
  </si>
  <si>
    <t>ISABELLE RIDGWAY POST ACUTE  CARE CAMPUS LLC</t>
  </si>
  <si>
    <t>RESIDENCE AT HUNTINGTON COURT</t>
  </si>
  <si>
    <t>WOODS EDGE POINTE</t>
  </si>
  <si>
    <t>SARAH JANE LIVING CENTER</t>
  </si>
  <si>
    <t>CANTERBURY VILLA OF ALLIANCE</t>
  </si>
  <si>
    <t>LANFAIR CENTER FOR REHAB &amp; NSG CARE INC</t>
  </si>
  <si>
    <t>AUTUMN COURT</t>
  </si>
  <si>
    <t>AUBURN SKILLED NURSING AND REHAB</t>
  </si>
  <si>
    <t>LUTHERAN MEMORIAL HOME, INC</t>
  </si>
  <si>
    <t>HARMONY COURT</t>
  </si>
  <si>
    <t>SPRINGVIEW MANOR</t>
  </si>
  <si>
    <t>FALLS VILLAGE RETIREMENT COMMUNITY</t>
  </si>
  <si>
    <t>MOUNT NOTRE DAME HEALTH CENTER</t>
  </si>
  <si>
    <t>GARDENS AT CELINA</t>
  </si>
  <si>
    <t>KINDRED NURSING &amp; REHAB - STRATFORD</t>
  </si>
  <si>
    <t>PARKSIDE VILLA</t>
  </si>
  <si>
    <t>ROSELAWN GARDENS NURSING &amp; REHABILITATION</t>
  </si>
  <si>
    <t>WESTOVER RETIREMENT COMMUNITY</t>
  </si>
  <si>
    <t>MORRIS NURSING HOME</t>
  </si>
  <si>
    <t>COLONIAL NURSING CENTER OF ROCKFORD</t>
  </si>
  <si>
    <t>FAIR HAVEN SHELBY COUNTY</t>
  </si>
  <si>
    <t>GOOD SHEPHERD VILLAGE</t>
  </si>
  <si>
    <t>WADSWORTH POINTE</t>
  </si>
  <si>
    <t>VICTORIA RETIREMENT HOME</t>
  </si>
  <si>
    <t>CRYSTAL CARE CENTER OF ASHLAND</t>
  </si>
  <si>
    <t>WESTERN RESERVE MASONIC COMM</t>
  </si>
  <si>
    <t>STEUBENVILLE COUNTRY CLUB MANOR</t>
  </si>
  <si>
    <t>SUNSET VILLAGE</t>
  </si>
  <si>
    <t>WILLOW HAVEN CARE CENTER</t>
  </si>
  <si>
    <t>FOREST GLEN HEALTH CAMPUS</t>
  </si>
  <si>
    <t>CHERITH CARE CENTER AT WILLOW BROOK</t>
  </si>
  <si>
    <t>AUGLAIZE ACRES</t>
  </si>
  <si>
    <t>APOSTOLIC CHRISTIAN HOME INC</t>
  </si>
  <si>
    <t>SUNNYSLOPE NURSING HOME</t>
  </si>
  <si>
    <t>KIMES NURSING &amp; REHAB CTR</t>
  </si>
  <si>
    <t>HOME AT HEARTHSTONE, THE</t>
  </si>
  <si>
    <t>MEADOWS OF LEIPSIC</t>
  </si>
  <si>
    <t>AMBERWOOD MANOR</t>
  </si>
  <si>
    <t>OAK POINTE NURSING &amp; REHAB CENTER</t>
  </si>
  <si>
    <t>VANCREST HEALTH CARE CTR OF HO</t>
  </si>
  <si>
    <t>HORIZON NURSING AND REHABILITATION</t>
  </si>
  <si>
    <t>SHEPHERD OF THE VALLEY HOWLAND</t>
  </si>
  <si>
    <t>SCIOTO COMMUNITY</t>
  </si>
  <si>
    <t>BEACON POINTE REHAB CENTER</t>
  </si>
  <si>
    <t>ASTORIA PLACE OF BARNESVILLE</t>
  </si>
  <si>
    <t>GRACE BRETHREN VILLAGE</t>
  </si>
  <si>
    <t>BREWSTER CONVALESCENT CENTER</t>
  </si>
  <si>
    <t>RIVER'S BEND HEALTH CARE LLC</t>
  </si>
  <si>
    <t>ENNISCOURT NURSING CARE</t>
  </si>
  <si>
    <t>ALTERCARE OF MAYFIELD VILLAGE, INC</t>
  </si>
  <si>
    <t>WALNUT HILLS NURSING HOME</t>
  </si>
  <si>
    <t>WYANDOT COUNTY SKILLED NURSING AND REHABILITATION</t>
  </si>
  <si>
    <t>EAGLE POINTE SKILLED NURSING &amp; REHAB</t>
  </si>
  <si>
    <t>JACKSON RIDGE REHABILITATION AND CARE CENTER</t>
  </si>
  <si>
    <t>O'NEILL HEALTHCARE NORTH OLMSTED</t>
  </si>
  <si>
    <t>ASTORIA PLACE OF CAMBRIDGE</t>
  </si>
  <si>
    <t>MANOR AT HAMLET VILLAGE THE</t>
  </si>
  <si>
    <t>NORTHFIELD VILLAGE RETIREMENT COMMUNITY</t>
  </si>
  <si>
    <t>BEL AIR CARE CENTER</t>
  </si>
  <si>
    <t>STOW GLEN HEALTH CARE CENTER</t>
  </si>
  <si>
    <t>ROSARY CARE CENTER</t>
  </si>
  <si>
    <t>ST LUKE LUTHERAN COMMUNITY-PORTAGE LAKES</t>
  </si>
  <si>
    <t>WINDSOR HOUSE AT CHAMPION</t>
  </si>
  <si>
    <t>KNOLLS OF OXFORD</t>
  </si>
  <si>
    <t>AMHERST MEADOWS</t>
  </si>
  <si>
    <t>SHADYSIDE CARE CENTER</t>
  </si>
  <si>
    <t>CEDAR HILL CARE CENTER</t>
  </si>
  <si>
    <t>SUNRISE MANOR AND CONVALESCENT CENTER, INC</t>
  </si>
  <si>
    <t>CONCORDIA AT SUMNER</t>
  </si>
  <si>
    <t>FAIRLAWN HAVEN</t>
  </si>
  <si>
    <t>ASTORIA HEALTH &amp; REHAB CENTER</t>
  </si>
  <si>
    <t>URSULINE CENTER</t>
  </si>
  <si>
    <t>HOSPITALITY HOUSE</t>
  </si>
  <si>
    <t>CAMPUS HEALTH &amp; REHAB</t>
  </si>
  <si>
    <t>CEDARS OF LEBANON CARE CENTER</t>
  </si>
  <si>
    <t>LIMA CONVALESCENT HOME</t>
  </si>
  <si>
    <t>ALTERCARE OF NOBLES POND, INC</t>
  </si>
  <si>
    <t>CENTERBURG POINTE</t>
  </si>
  <si>
    <t>CANTON CHRISTIAN HOME</t>
  </si>
  <si>
    <t>HERITAGESPRING HEALTHCARE CENTER OF WEST CHESTER</t>
  </si>
  <si>
    <t>SHILOH SPRINGS CARE CENTER INC</t>
  </si>
  <si>
    <t>HIGHBANKS CARE CENTER</t>
  </si>
  <si>
    <t>HEARTLAND OF MARION</t>
  </si>
  <si>
    <t>KINGSTON CARE CENTER OF SYLVANIA</t>
  </si>
  <si>
    <t>VALLEY OAKS CARE CENTER</t>
  </si>
  <si>
    <t>ALGART HEALTH CARE</t>
  </si>
  <si>
    <t>ORCHARDS OF EAST LIVERPOOL, THE</t>
  </si>
  <si>
    <t>SARAH MOORE HEALTH CARE CENTER</t>
  </si>
  <si>
    <t>SCIOTO POINTE</t>
  </si>
  <si>
    <t>KENDAL AT GRANVILLE</t>
  </si>
  <si>
    <t>GOLDEN ACRES LORAIN CO NURSING</t>
  </si>
  <si>
    <t>ARCHBISHOP LEIBOLD HOME</t>
  </si>
  <si>
    <t>GOERLICH CENTER</t>
  </si>
  <si>
    <t>ALTERCARE AT SAINT JOSEPH CENTER INC</t>
  </si>
  <si>
    <t>TWIN LAKES</t>
  </si>
  <si>
    <t>SHAWNEESPRING HEALTH CARE CENTER</t>
  </si>
  <si>
    <t>WAYSIDE FARM INC</t>
  </si>
  <si>
    <t>PINE KIRK CARE CENTER</t>
  </si>
  <si>
    <t>OHIO VETERANS HOME</t>
  </si>
  <si>
    <t>GENEVA VILLAGE RETIREMENT COMMUNITY, LTD</t>
  </si>
  <si>
    <t>GLENDALE PLACE CARE CENTER</t>
  </si>
  <si>
    <t>LAURELS OF TOLEDO SKILLED NURSING AND REHABILITATI</t>
  </si>
  <si>
    <t>HAMPTON WOODS NURSING CENTER, INC</t>
  </si>
  <si>
    <t>SIENNA SKILLED NURSING &amp; REHABILITATION</t>
  </si>
  <si>
    <t>HOME AT TAYLOR'S POINTE</t>
  </si>
  <si>
    <t>SCENIC POINTE NURSING AND REHAB CTR</t>
  </si>
  <si>
    <t>BETHANY NURSING HOME, INC</t>
  </si>
  <si>
    <t>ELMWOOD NURSING HOME</t>
  </si>
  <si>
    <t>KINDRED HOSPITAL CLEVELAND SUBACUTE UNIT</t>
  </si>
  <si>
    <t>NATIONAL CHURCH RESIDENCES CHILLICOTHE</t>
  </si>
  <si>
    <t>LAKE VISTA OF CORTLAND</t>
  </si>
  <si>
    <t>HARDING POINTE</t>
  </si>
  <si>
    <t>WAYNE COUNTY CARE CENTER</t>
  </si>
  <si>
    <t>ST MARY OF THE WOODS</t>
  </si>
  <si>
    <t>MANORCARE HEALTH SERVICES -  PARMA</t>
  </si>
  <si>
    <t>MANOR OF GRANDE VILLAGE</t>
  </si>
  <si>
    <t>VERANDA GARDENS &amp; ASSISTED LIVING</t>
  </si>
  <si>
    <t>VENETIAN GARDENS</t>
  </si>
  <si>
    <t>GARDENS OF MCGREGOR AND AMASA STONE</t>
  </si>
  <si>
    <t>OHIO VETERANS HOME - GEORGETOWN</t>
  </si>
  <si>
    <t>EMERALD POINTE HEALTH AND REHAB CTR</t>
  </si>
  <si>
    <t>TUSCANY GARDENS</t>
  </si>
  <si>
    <t>OTTERBEIN PERRYSBURG</t>
  </si>
  <si>
    <t>SINGLETON HEALTH CARE CENTER</t>
  </si>
  <si>
    <t>OTTERBEIN NORTH SHORE</t>
  </si>
  <si>
    <t>LARCHWOOD VILLAGE RETIREMENT COMMUNITY</t>
  </si>
  <si>
    <t>VINEYARDS AT CONCORD, THE</t>
  </si>
  <si>
    <t>OTTERBEIN MONCLOVA</t>
  </si>
  <si>
    <t>HUNTINGTON WOODS CARE &amp; REHAB CENTER</t>
  </si>
  <si>
    <t>LAURELS OF STEUBENVILLE THE</t>
  </si>
  <si>
    <t>TRIPLE CREEK RETIREMENT COMMUNITY</t>
  </si>
  <si>
    <t>WILLOWS AT BELLEVUE</t>
  </si>
  <si>
    <t>PINE GROVE HEALTHCARE CENTER</t>
  </si>
  <si>
    <t>ALTERCARE OF CANAL WINCHESTER POST-ACUTE RC</t>
  </si>
  <si>
    <t>OTTERBEIN SPRINGBORO</t>
  </si>
  <si>
    <t>THORNVILLE HEALTH AND REHABILITATION CENTER</t>
  </si>
  <si>
    <t>MILL CREEK NURSING &amp; REHABILITATION</t>
  </si>
  <si>
    <t>SUMMIT TRANSITIONAL CARE UNIT</t>
  </si>
  <si>
    <t>KEYSTONE POINTE HEALTH AND REHABILITATION</t>
  </si>
  <si>
    <t>WESTLAKE VILLAGE CARE CENTER</t>
  </si>
  <si>
    <t>ALTERCARE OF HILLIARD POST-ACUTE CENTER</t>
  </si>
  <si>
    <t>MASTERNICK MEMORIAL HEALTH CARE CENTER</t>
  </si>
  <si>
    <t>OTTERBEIN MIDDLETOWN</t>
  </si>
  <si>
    <t>BROOKDALE RICHMOND HEIGHTS</t>
  </si>
  <si>
    <t>COVINGTON SKILLED NURSING &amp; REHAB CENTER</t>
  </si>
  <si>
    <t>REHAB PAVILION AT THE WEILS</t>
  </si>
  <si>
    <t>INDIANSPRING OF OAKLEY</t>
  </si>
  <si>
    <t>CONCORD HEALTH &amp; REHAB CTR</t>
  </si>
  <si>
    <t>SAYBROOK LANDING</t>
  </si>
  <si>
    <t>MCGREGOR AT OVERLOOK</t>
  </si>
  <si>
    <t>CYPRESS POINTE HEALTH CAMPUS</t>
  </si>
  <si>
    <t>LEGACY PLACE TWINSBURG</t>
  </si>
  <si>
    <t>DEUPREE COTTAGES</t>
  </si>
  <si>
    <t>DARBY GLENN NURSING AND REHABILITATION CENTER</t>
  </si>
  <si>
    <t>STONESPRING OF VANDALIA</t>
  </si>
  <si>
    <t>NORTH PARK CARE CENTER</t>
  </si>
  <si>
    <t>ASTORIA SKILLED NURSING AND REHABILITATION</t>
  </si>
  <si>
    <t>BURBANK PARKE CARE CENTER</t>
  </si>
  <si>
    <t>OTTERBEIN AT MAINEVILLE</t>
  </si>
  <si>
    <t>AVENUE CARE AND REHABILITATION CENTER, THE</t>
  </si>
  <si>
    <t>OAKS OF BRECKSVILLE</t>
  </si>
  <si>
    <t>LAURELS OF ATHENS, THE</t>
  </si>
  <si>
    <t>STERLING TRANSITIONAL SUITES</t>
  </si>
  <si>
    <t>COVENANT VILLAGE OF GREEN TOWNSHIP</t>
  </si>
  <si>
    <t>PRISTINE SENIOR LIVING &amp; POST-ACUTE CARE OF BEAVER</t>
  </si>
  <si>
    <t>HERITAGE CORNER NURSING HOME</t>
  </si>
  <si>
    <t>WILLOW RIDGE OF MENNONITE HOME COMMUNITIES OF OHIO</t>
  </si>
  <si>
    <t>BATH CREEK ESTATES</t>
  </si>
  <si>
    <t>HERITAGE OF HUDSON</t>
  </si>
  <si>
    <t>WOOSTER COMMUNITY HOSPITAL SNF</t>
  </si>
  <si>
    <t>LAKES OF MONCLOVA HEALTH CAMPUS THE</t>
  </si>
  <si>
    <t>AVENUE AT MEDINA</t>
  </si>
  <si>
    <t>ATLANTES THE</t>
  </si>
  <si>
    <t>KINGSTON REHABILITATION OF PERRYSBURG</t>
  </si>
  <si>
    <t>ST CLARE COMMONS</t>
  </si>
  <si>
    <t>ROBERT A  BARNES CENTER</t>
  </si>
  <si>
    <t>MOUNT VERNON HEALTH AND REHABILITATION CENTER</t>
  </si>
  <si>
    <t>OAKS AT BETHESDA THE</t>
  </si>
  <si>
    <t>COTTAGES OF CLAYTON INC THE</t>
  </si>
  <si>
    <t>CAPE MAY RETIREMENT VILLAGE</t>
  </si>
  <si>
    <t>VILLA VISTA ROYALE LLC</t>
  </si>
  <si>
    <t>FOUR SEASONS OF WASHINGTON NURSING AND REHAB</t>
  </si>
  <si>
    <t>HEARTLAND OF DUBLIN</t>
  </si>
  <si>
    <t>HEARTLAND OF TWINSBURG</t>
  </si>
  <si>
    <t>NATIONAL CHURCH RESIDENCES LEGACY VILLAGE</t>
  </si>
  <si>
    <t>FLORENTINE GARDENS</t>
  </si>
  <si>
    <t>ELMWOOD ASSISTED LIVING &amp; SKILLED NURSING OF FREMO</t>
  </si>
  <si>
    <t>MEADOWS OF OTTAWA THE</t>
  </si>
  <si>
    <t>OTTERBEIN NEW ALBANY</t>
  </si>
  <si>
    <t>GREEN VILLAGE SKILLED NURSING &amp; REHABILITATION LTD</t>
  </si>
  <si>
    <t>WOODS ON FRENCH CREEK NURSING &amp; REHAB CENTER THE</t>
  </si>
  <si>
    <t>LIBERTY NURSING CENTER OF COLERAIN INC</t>
  </si>
  <si>
    <t>O'NEILL HEALTHCARE FAIRVIEW PARK</t>
  </si>
  <si>
    <t>OTTERBEIN GAHANNA</t>
  </si>
  <si>
    <t>AVENUE AT AURORA</t>
  </si>
  <si>
    <t>SANCTUARY POINTE NURSING &amp; REHABILITATION CENTER</t>
  </si>
  <si>
    <t>MAPLEVIEW COUNTRY VILLA</t>
  </si>
  <si>
    <t>ALTERCARE TRANSITIONAL CARE OF THE WESTERN RESERVE</t>
  </si>
  <si>
    <t>GRAND THE</t>
  </si>
  <si>
    <t>ALLIANCEHEALTH WOODWARD</t>
  </si>
  <si>
    <t>ALLIANCEHEALTH PONCA CITY</t>
  </si>
  <si>
    <t>NEWMAN MEMORIAL HOSPITAL</t>
  </si>
  <si>
    <t>MERCY HOSPITAL ADA</t>
  </si>
  <si>
    <t>JACKSON COUNTY MEMORIAL HOSPITAL AUTHORITY</t>
  </si>
  <si>
    <t>ALLIANCEHEALTH CLINTON</t>
  </si>
  <si>
    <t>HARMON MEMORIAL HOSPITAL</t>
  </si>
  <si>
    <t>HILLCREST HOSPITAL CLAREMORE</t>
  </si>
  <si>
    <t>EASTERN OKLAHOMA MEDICAL CENTER</t>
  </si>
  <si>
    <t>BRISTOW MEDICAL CENTER</t>
  </si>
  <si>
    <t>MEMORIAL HOSPITAL &amp; PHYSICIAN GROUP</t>
  </si>
  <si>
    <t>GRADY MEMORIAL HOSPITAL</t>
  </si>
  <si>
    <t>MUSCOGEE (CREEK) NATION MEDICAL CENTER</t>
  </si>
  <si>
    <t>CRAIG GENERAL HOSPITAL</t>
  </si>
  <si>
    <t>SHARE MEDICAL CENTER</t>
  </si>
  <si>
    <t>PUSHMATAHA COUNTY TOWN OF ANTLERS HOSPITAL</t>
  </si>
  <si>
    <t>SOUTHWESTERN MEDICAL CENTER</t>
  </si>
  <si>
    <t>SAYRE MEMORIAL HOSPITAL, INC</t>
  </si>
  <si>
    <t>SEQUOYAH COUNTY-CITY OF SALLISAW HOSPITAL AUTHORIT</t>
  </si>
  <si>
    <t>PERRY MEMORIAL HOSPITAL AUTHORITY</t>
  </si>
  <si>
    <t>ELKVIEW GENERAL HOSPITAL</t>
  </si>
  <si>
    <t>PAULS VALLEY HOSPITAL AUTHORITY</t>
  </si>
  <si>
    <t>PURCELL MUNICIPAL HOSPITAL</t>
  </si>
  <si>
    <t>MEMORIAL HOSPITAL</t>
  </si>
  <si>
    <t>HILLCREST HOSPITAL HENRYETTA</t>
  </si>
  <si>
    <t>ALLIANCEHEALTH SEMINOLE</t>
  </si>
  <si>
    <t>MCALESTER REGIONAL HOSPITAL, SNF</t>
  </si>
  <si>
    <t>INTEGRIS BASS BAPTIST HEALTH CENTER</t>
  </si>
  <si>
    <t>DUNCAN REGIONAL HOSPITAL, INC.</t>
  </si>
  <si>
    <t>MANORCARE HEALTH SERVICES-TULSA</t>
  </si>
  <si>
    <t>MANORCARE HEALTH SERVICES-MIDWEST CITY</t>
  </si>
  <si>
    <t>CIMARRON NURSING CENTER</t>
  </si>
  <si>
    <t>GRACE LIVING CENTER-BROOKWOOD</t>
  </si>
  <si>
    <t>GRACE LIVING CENTER-BETHANY</t>
  </si>
  <si>
    <t>HERITAGE VILLA NURSING CENTER</t>
  </si>
  <si>
    <t>BARTLESVILLE HEALTH AND REHABILITATION COMMUNITY</t>
  </si>
  <si>
    <t>GRACE LIVING CENTER-EL RENO</t>
  </si>
  <si>
    <t>GRAND LAKE VILLA</t>
  </si>
  <si>
    <t>OAK HILL CARE CENTER</t>
  </si>
  <si>
    <t>QUAIL CREEK NURSING AND REHABILITATION CENTER</t>
  </si>
  <si>
    <t>GRACE LIVING CENTER-NORMAN</t>
  </si>
  <si>
    <t>MEMORIAL HEIGHTS NURSING CENTER</t>
  </si>
  <si>
    <t>GRACE LIVING CENTER-TAHLEQUAH EAST SHAWNEE</t>
  </si>
  <si>
    <t>COMANCHE COUNTY MEMORIAL HOSPITAL SKILLED NURSING</t>
  </si>
  <si>
    <t>YORK MANOR NURSING HOME</t>
  </si>
  <si>
    <t>MCCURTAIN MANOR NURSING HOME</t>
  </si>
  <si>
    <t>MANORCARE HEALTH SERVICES-SOUTHWEST</t>
  </si>
  <si>
    <t>CHECOTAH NURSING CENTER</t>
  </si>
  <si>
    <t>GRACE LIVING CENTER-CLINTON</t>
  </si>
  <si>
    <t>GRACE LIVING CENTER-CHICKASHA</t>
  </si>
  <si>
    <t>BROADWAY MANOR NURSING HOME</t>
  </si>
  <si>
    <t>GLENNWOOD HEALTHCARE</t>
  </si>
  <si>
    <t>MEDICALODGES DEWEY</t>
  </si>
  <si>
    <t>GRACE LIVING CENTER-SOUTHWEST O K C</t>
  </si>
  <si>
    <t>GRACE LIVING CENTER-NORTHEAST O K C</t>
  </si>
  <si>
    <t>GRACE LIVING CENTER-EDMOND</t>
  </si>
  <si>
    <t>THE SPRINGS, A GRACE LIVING CENTER COMMUNITY</t>
  </si>
  <si>
    <t>ELMBROOK HOME</t>
  </si>
  <si>
    <t>BROKEN BOW NURSING HOME</t>
  </si>
  <si>
    <t>THE OAKS HEALTHCARE CENTER</t>
  </si>
  <si>
    <t>AMBASSADOR MANOR NURSING CENTER</t>
  </si>
  <si>
    <t>SOUTHERN HILLS REHABILITATION CENTER</t>
  </si>
  <si>
    <t>SEQUOYAH MANOR, LLC</t>
  </si>
  <si>
    <t>BRENTWOOD EXTENDED CARE &amp; REHAB</t>
  </si>
  <si>
    <t>WYNNEWOOD CARE CENTER</t>
  </si>
  <si>
    <t>GRACE LIVING CENTER-STILLWATER</t>
  </si>
  <si>
    <t>ENID SENIOR CARE</t>
  </si>
  <si>
    <t>THE FOUNTAINS AT CANTERBURY HEALTH CENTER</t>
  </si>
  <si>
    <t>GRACE LIVING CENTER-TAHLEQUAH UNIVERSITY NORTHWEST</t>
  </si>
  <si>
    <t>GRACE LIVING CENTER-DEL CITY</t>
  </si>
  <si>
    <t>POCOLA HEALTH AND REHAB</t>
  </si>
  <si>
    <t>GRACE LIVING CENTER-WILSHIRE &amp; BROADWAY</t>
  </si>
  <si>
    <t>EASTGATE VILLAGE RETIREMENT CENTER</t>
  </si>
  <si>
    <t>WESTBROOK HEALTHCARE, INC</t>
  </si>
  <si>
    <t>SHAWN MANOR NURSING HOME</t>
  </si>
  <si>
    <t>GRACE LIVING CENTER-WOODWARD</t>
  </si>
  <si>
    <t>HERITAGE VILLAGE NURSING HOME</t>
  </si>
  <si>
    <t>LINDSAY MANOR NURSING HOME</t>
  </si>
  <si>
    <t>GRACE LIVING CENTER-MANGUM</t>
  </si>
  <si>
    <t>GRACE LIVING CENTER-NORTHWEST O K C</t>
  </si>
  <si>
    <t>CEDAR CREEK NURSING CENTER</t>
  </si>
  <si>
    <t>RANCHWOOD NURSING CENTER</t>
  </si>
  <si>
    <t>LEISURE VILLAGE HEALTH CARE CENTER</t>
  </si>
  <si>
    <t>CEDARCREST CARE CENTER</t>
  </si>
  <si>
    <t>HILL NURSING HOME, INC.</t>
  </si>
  <si>
    <t>BROOKSIDE NURSING CENTER</t>
  </si>
  <si>
    <t>FOUR SEASONS REHABILITATION &amp; CARE</t>
  </si>
  <si>
    <t>JAN FRANCES CARE CENTER</t>
  </si>
  <si>
    <t>NOBLE HEALTH CARE CENTER</t>
  </si>
  <si>
    <t>SHAWNEE CARE CENTER</t>
  </si>
  <si>
    <t>MIDWEST CITY HEALTHCARE RESIDENCE</t>
  </si>
  <si>
    <t>UNITED METHODIST HEALTH CARE CENTER, INC</t>
  </si>
  <si>
    <t>SOUTHBROOK HEALTHCARE, INC</t>
  </si>
  <si>
    <t>MEADOWLAKE ESTATES</t>
  </si>
  <si>
    <t>SPIRO NURSING HOME, INC.</t>
  </si>
  <si>
    <t>GRACE LIVING CENTER-BUFFALO</t>
  </si>
  <si>
    <t>BALLARD NURSING CENTER</t>
  </si>
  <si>
    <t>WARR ACRES NURSING CENTER</t>
  </si>
  <si>
    <t>MEADOWBROOK NURSING CENTER</t>
  </si>
  <si>
    <t>HOBART NURSING &amp; REHAB</t>
  </si>
  <si>
    <t>ARBOR VILLAGE</t>
  </si>
  <si>
    <t>SAND SPRINGS NURSING AND REHABILITATION</t>
  </si>
  <si>
    <t>PURCELL CARE CENTER, LLC</t>
  </si>
  <si>
    <t>ARTESIAN HOME</t>
  </si>
  <si>
    <t>COMMUNITY HEALTH CENTER</t>
  </si>
  <si>
    <t>SKIATOOK NURSING HOME,LLC</t>
  </si>
  <si>
    <t>COMMUNITY HEALTH CARE OF GORE</t>
  </si>
  <si>
    <t>COLONIAL TERRACE CARE CENTER</t>
  </si>
  <si>
    <t>WEWOKA HEALTHCARE CENTER</t>
  </si>
  <si>
    <t>COWETA MANOR NURSING HOME</t>
  </si>
  <si>
    <t>CORDELL CHRISTIAN HOME</t>
  </si>
  <si>
    <t>LAKE COUNTRY NURSING CENTER</t>
  </si>
  <si>
    <t>RUTH WILSON HURLEY MANOR</t>
  </si>
  <si>
    <t>ANTLERS MANOR, LLC</t>
  </si>
  <si>
    <t>MUSCOGEE (CREEK) NATION SKILLED NURSING FACILITY</t>
  </si>
  <si>
    <t>WELLINGTON HILLS LIVING &amp; REHABILITATION CENTER</t>
  </si>
  <si>
    <t>HERITAGE HILLS LIVING &amp; REHABILITATION CENTER</t>
  </si>
  <si>
    <t>RAINBOW HEALTH CARE COMMUNITY</t>
  </si>
  <si>
    <t>PARKHILL NORTH NURSING HOME</t>
  </si>
  <si>
    <t>CHEROKEE COUNTY NURSING CENTER</t>
  </si>
  <si>
    <t>BURFORD MANOR</t>
  </si>
  <si>
    <t>MEEKER NURSING CENTER</t>
  </si>
  <si>
    <t>COLONIAL PARK MANOR, LLC</t>
  </si>
  <si>
    <t>TALIHINA MANOR, LLC</t>
  </si>
  <si>
    <t>FORT GIBSON NURSING HOME</t>
  </si>
  <si>
    <t>HILLCREST NURSING CENTER</t>
  </si>
  <si>
    <t>WEATHERFORD LIVING CENTER</t>
  </si>
  <si>
    <t>STILWELL NURSING HOME, LLC</t>
  </si>
  <si>
    <t>WINDRIDGE NURSING AND REHABILITATION CENTER</t>
  </si>
  <si>
    <t>EDWARDS REDEEMER HEALTH &amp; REHAB</t>
  </si>
  <si>
    <t>WALNUT GROVE LIVING CENTER</t>
  </si>
  <si>
    <t>COUNTRYSIDE ESTATES</t>
  </si>
  <si>
    <t>WASHITA VALLEY LIVING CENTER</t>
  </si>
  <si>
    <t>SEQUOYAH POINTE LIVING CENTER</t>
  </si>
  <si>
    <t>CIMARRON POINTE CARE CENTER</t>
  </si>
  <si>
    <t>MCLOUD NURSING CENTER</t>
  </si>
  <si>
    <t>BELLEVUE HEALTH &amp; REHABILITATION CENTER</t>
  </si>
  <si>
    <t>SEMINOLE PIONEER NURSING HOME</t>
  </si>
  <si>
    <t>PARKS EDGE NURSING AND REHABILITATION CENTER</t>
  </si>
  <si>
    <t>GREENBRIER NURSING HOME</t>
  </si>
  <si>
    <t>NOWATA NURSING CENTER</t>
  </si>
  <si>
    <t>GRACE LIVING CENTER-JENKS</t>
  </si>
  <si>
    <t>GLENHAVEN RETIREMENT VILLAGE</t>
  </si>
  <si>
    <t>OAKRIDGE NURSING CENTER</t>
  </si>
  <si>
    <t>SHANOAN SPRINGS NURSING AND REHABILITATION</t>
  </si>
  <si>
    <t>SOUTH POINTE REHABILITATION AND CARE CENTER</t>
  </si>
  <si>
    <t>GROVE NURSING CENTER</t>
  </si>
  <si>
    <t>STROUD HEALTH CARE CENTER SOUTH</t>
  </si>
  <si>
    <t>WAGONER HEALTH &amp; REEHAB</t>
  </si>
  <si>
    <t>MEDI-HOME OF ARKOMA, INC.</t>
  </si>
  <si>
    <t>CHOCTAW NATION NURSING HOME</t>
  </si>
  <si>
    <t>PERRY GREEN VALLEY NURSING CENTER, LLC</t>
  </si>
  <si>
    <t>GOLDEN AGE NURSING HOME OF GUTHRIE, LLC</t>
  </si>
  <si>
    <t>CLAREMORE NURSING HOME</t>
  </si>
  <si>
    <t>MUSKOGEE NURSING CENTER</t>
  </si>
  <si>
    <t>LAKELAND MANOR, INC</t>
  </si>
  <si>
    <t>BAPTIST VILLAGE OF OKLAHOMA CITY</t>
  </si>
  <si>
    <t>BAPTIST VILLAGE OF OWASSO</t>
  </si>
  <si>
    <t>GRACE LIVING CENTER-WILDEWOOD</t>
  </si>
  <si>
    <t>NEW HOPE RETIREMENT &amp; CARE CENTER</t>
  </si>
  <si>
    <t>PARKLAND MANOR LIVING CENTER</t>
  </si>
  <si>
    <t>QUAIL RIDGE LIVING CENTER, INC</t>
  </si>
  <si>
    <t>BEARE MANOR</t>
  </si>
  <si>
    <t>MIAMI NURSING CENTER, LLC</t>
  </si>
  <si>
    <t>TULSA NURSING CENTER</t>
  </si>
  <si>
    <t>BAPTIST VILLAGE OF HUGO</t>
  </si>
  <si>
    <t>FOREST HILLS  CARE AND REHABILITATION CENTER</t>
  </si>
  <si>
    <t>WOODVIEW HOME, INC.</t>
  </si>
  <si>
    <t>SEQUOYAH EAST NURSING CENTER,  LLC</t>
  </si>
  <si>
    <t>EUFAULA MANOR NURSING AND REHABILITATION CENTER</t>
  </si>
  <si>
    <t>THE LAKES</t>
  </si>
  <si>
    <t>THE KING'S DAUGHTERS &amp; SONS NURSING HOME</t>
  </si>
  <si>
    <t>BINGER NURSING AND REHABILITATION</t>
  </si>
  <si>
    <t>BELL AVENUE NURSING CENTER</t>
  </si>
  <si>
    <t>WINDSOR HILLS NURSING CENTER</t>
  </si>
  <si>
    <t>CALLAWAY NURSING HOME</t>
  </si>
  <si>
    <t>HILLCREST MANOR</t>
  </si>
  <si>
    <t>WOODLAND HILLS NURSING CENTER</t>
  </si>
  <si>
    <t>ENGLISH VILLAGE MANOR</t>
  </si>
  <si>
    <t>HARRAH NURSING CENTER</t>
  </si>
  <si>
    <t>GOLDEN OAKS SENIOR LIVING</t>
  </si>
  <si>
    <t>CORN HERITAGE VILLAGE AND REHAB</t>
  </si>
  <si>
    <t>GRAN GRANS PLACE</t>
  </si>
  <si>
    <t>PARCWAY</t>
  </si>
  <si>
    <t>HASKELL CARE CENTER</t>
  </si>
  <si>
    <t>FIRST SHAMROCK CARE CENTER</t>
  </si>
  <si>
    <t>WESTHAVEN NURSING HOME</t>
  </si>
  <si>
    <t>SEMINOLE CARE AND REHABILITATION CENTER</t>
  </si>
  <si>
    <t>SOUTHTOWN NURSING AND VENTILATOR CARE</t>
  </si>
  <si>
    <t>OKEMAH CARE CENTER</t>
  </si>
  <si>
    <t>GREEN COUNTRY CARE CENTER</t>
  </si>
  <si>
    <t>SKYVIEW NURSING CENTER</t>
  </si>
  <si>
    <t>ELMWOOD MANOR NURSING HOME</t>
  </si>
  <si>
    <t>WILKINS HEALTH &amp; REHABILITATION COMMUNITY</t>
  </si>
  <si>
    <t>GREGSTON NURSING HOME, INC.</t>
  </si>
  <si>
    <t>MERIDIAN NURSING HOME</t>
  </si>
  <si>
    <t>FAIRVIEW FELLOWSHIP HOME FOR SENIOR CITIZENS, INC</t>
  </si>
  <si>
    <t>TUTTLE CARE CENTER</t>
  </si>
  <si>
    <t>TEMPLE MANOR NURSING HOME</t>
  </si>
  <si>
    <t>WILLOW PARK HEALTH CARE CENTER</t>
  </si>
  <si>
    <t>SHAWNEE COLONIAL ESTATES NURSING HOME</t>
  </si>
  <si>
    <t>VIAN NURSING &amp; REHAB, LLC</t>
  </si>
  <si>
    <t>HEAVENER MANOR</t>
  </si>
  <si>
    <t>WILLOW CREEK HEALTH CARE</t>
  </si>
  <si>
    <t>FAMILY CARE CENTER OF KINGSTON</t>
  </si>
  <si>
    <t>GRACEWOOD HEALTH &amp; REHAB</t>
  </si>
  <si>
    <t>PONCA CITY NURSING &amp; REHABILITATION CENTER</t>
  </si>
  <si>
    <t>SUNSET ESTATES OF PURCELL</t>
  </si>
  <si>
    <t>CLEVELAND MANOR NURSING &amp; REHAB</t>
  </si>
  <si>
    <t>SUNSET ESTATES</t>
  </si>
  <si>
    <t>EL RENO POST-ACUTE REHABILITATION CENTER, MEMORY &amp;</t>
  </si>
  <si>
    <t>INOLA HEALTH &amp; REHABILITATION</t>
  </si>
  <si>
    <t>PLEASANT VALLEY HEALTH CARE CENTER</t>
  </si>
  <si>
    <t>SOUTH PARK EAST</t>
  </si>
  <si>
    <t>OKLAHOMA METHODIST MANOR, INC.</t>
  </si>
  <si>
    <t>BETTY ANN NURSING CENTER</t>
  </si>
  <si>
    <t>THE LIVING CENTER</t>
  </si>
  <si>
    <t>KENWOOD MANOR</t>
  </si>
  <si>
    <t>MONTEREAU, INC</t>
  </si>
  <si>
    <t>BROOKHAVEN EXTENSIVE CARE</t>
  </si>
  <si>
    <t>FOUNTAIN VIEW MANOR, INC</t>
  </si>
  <si>
    <t>PAULS VALLEY CARE CENTER</t>
  </si>
  <si>
    <t>ADA CARE CENTER</t>
  </si>
  <si>
    <t>COLONIAL MANOR NURSING HOME, INC</t>
  </si>
  <si>
    <t>DRUMRIGHT NURSING HOME</t>
  </si>
  <si>
    <t>FAIRFAX MANOR</t>
  </si>
  <si>
    <t>WILDWOOD CARE CENTER, INC</t>
  </si>
  <si>
    <t>SOUTHERN POINTE LIVING CENTER</t>
  </si>
  <si>
    <t>CHANDLER NURSING CENTER</t>
  </si>
  <si>
    <t>LINWOOD VILLAGE NURSING &amp; RETIREMENT APTS</t>
  </si>
  <si>
    <t>THE WOLFE LIVING CENTER AT SUMMIT RIDGE</t>
  </si>
  <si>
    <t>EPWORTH VILLA HEALTH SERVICES</t>
  </si>
  <si>
    <t>OSAGE NURSING HOME, LLC</t>
  </si>
  <si>
    <t>CHEROKEE MANOR</t>
  </si>
  <si>
    <t>INVERNESS VILLAGE</t>
  </si>
  <si>
    <t>SILVERCREST MANOR NURSING HOME</t>
  </si>
  <si>
    <t>ELK CITY NURSING CENTER</t>
  </si>
  <si>
    <t>CRESCENT CARE CENTER</t>
  </si>
  <si>
    <t>PAWHUSKA NURSING HOME, LLC</t>
  </si>
  <si>
    <t>BARNSDALL NURSING HOME</t>
  </si>
  <si>
    <t>EDMOND HEALTH CARE CENTER</t>
  </si>
  <si>
    <t>HENNESSEY MANOR NURSING HOME</t>
  </si>
  <si>
    <t>HIGHLAND PARK MANOR</t>
  </si>
  <si>
    <t>MCALESTER MANOR</t>
  </si>
  <si>
    <t>THE COMMONS</t>
  </si>
  <si>
    <t>THE COTTAGE EXTENDED CARE</t>
  </si>
  <si>
    <t>MARLOW MANOR</t>
  </si>
  <si>
    <t>BROADWAY LIVING CENTER</t>
  </si>
  <si>
    <t>HOMESTEAD OF HUGO</t>
  </si>
  <si>
    <t>HEARTSWORTH CENTER FOR NURSING &amp; REHABILITATION</t>
  </si>
  <si>
    <t>REBOLD MANOR</t>
  </si>
  <si>
    <t>COUNTRY CLUB CARE</t>
  </si>
  <si>
    <t>MAPLE LAWN NURSING AND REHABILITATION</t>
  </si>
  <si>
    <t>HASKELL COUNTY NURSING CENTER, INC</t>
  </si>
  <si>
    <t>BRADFORD VILLAGE</t>
  </si>
  <si>
    <t>WOOD MANOR NURSING CENTER</t>
  </si>
  <si>
    <t>FORREST MANOR NURSING CENTER</t>
  </si>
  <si>
    <t>NORTH COUNTY CENTER FOR NURSING AND REHABILITATION</t>
  </si>
  <si>
    <t>PLANTATION VILLAGE NURSING CENTER</t>
  </si>
  <si>
    <t>QUINTON MANOR</t>
  </si>
  <si>
    <t>ROSE MANOR NURSING CENTER</t>
  </si>
  <si>
    <t>CEDAR CREST MANOR</t>
  </si>
  <si>
    <t>MITCHELL MANOR CONVALESCENT HOME LLC</t>
  </si>
  <si>
    <t>THE GOLDEN RULE HOME</t>
  </si>
  <si>
    <t>LEXINGTON NURSING HOME, INC.</t>
  </si>
  <si>
    <t>FAMILY CARE CENTER OF FAIRLAND</t>
  </si>
  <si>
    <t>THE HEALTH CENTER AT CONCORDIA</t>
  </si>
  <si>
    <t>CALERA MANOR, LLC</t>
  </si>
  <si>
    <t>NORTHWEST NURSING CENTER</t>
  </si>
  <si>
    <t>VIA CHRISTI VILLAGE PONCA CITY, INC.</t>
  </si>
  <si>
    <t>NORTHSIDE NURSING HOME</t>
  </si>
  <si>
    <t>BEADLES NURSING HOME</t>
  </si>
  <si>
    <t>FRANCISCAN VILLA</t>
  </si>
  <si>
    <t>DR W F &amp; MADA DUNAWAY MANOR</t>
  </si>
  <si>
    <t>GARLAND ROAD NURSING &amp; REHAB CENTER</t>
  </si>
  <si>
    <t>SENIOR SUITES HEALTHCARE</t>
  </si>
  <si>
    <t>EASTWOOD MANOR</t>
  </si>
  <si>
    <t>CORN HERITAGE VILLAGE OF WEATHERFORD AND REHAB</t>
  </si>
  <si>
    <t>UNIVERSITY VILLAGE RETIREMENT COMMUNITY</t>
  </si>
  <si>
    <t>HENSLEY NURSING HOME</t>
  </si>
  <si>
    <t>GEARY COMMUNITY NURSING HOME</t>
  </si>
  <si>
    <t>SIENNA EXTENDED CARE &amp; REHAB</t>
  </si>
  <si>
    <t>LATIMER NURSING HOME</t>
  </si>
  <si>
    <t>TUSCANY VILLAGE NURSING CENTER</t>
  </si>
  <si>
    <t>RANCH TERRACE NURSING HOME</t>
  </si>
  <si>
    <t>MONTEVISTA REHABILITATION AND SKILLED CARE</t>
  </si>
  <si>
    <t>CHICKASHA NURSING CENTER, INC</t>
  </si>
  <si>
    <t>ATOKA MANOR</t>
  </si>
  <si>
    <t>MOORELAND HERITAGE MANOR</t>
  </si>
  <si>
    <t>TOWN OF VICI NURSING HOME</t>
  </si>
  <si>
    <t>THE VILLAGES AT SOUTHERN HILLS</t>
  </si>
  <si>
    <t>TULSA JEWISH RETIREMENT COMMUNITY AND HC CENTER</t>
  </si>
  <si>
    <t>AYERS NURSING HOME</t>
  </si>
  <si>
    <t>ADAMS PARC</t>
  </si>
  <si>
    <t>MEDICAL PARK WEST REHABILITATION &amp; SKILLED CARE</t>
  </si>
  <si>
    <t>EDMOND HEALTH AND REHABILITATION</t>
  </si>
  <si>
    <t>AUTUMN WOOD MEMORY CARE</t>
  </si>
  <si>
    <t>SAINT SIMEONS EPISCOPAL HOME</t>
  </si>
  <si>
    <t>WILLOW HAVEN NURSING HOME</t>
  </si>
  <si>
    <t>SHERWOOD MANOR NURSING HOME</t>
  </si>
  <si>
    <t>BOYCE MANOR NURSING HOME</t>
  </si>
  <si>
    <t>THE HIGHLANDS AT OWASSO</t>
  </si>
  <si>
    <t>BEAVER COUNTY NURSING HOME</t>
  </si>
  <si>
    <t>SPANISH COVE HOUSING AUTHORITY</t>
  </si>
  <si>
    <t>ST ANN'S HOME</t>
  </si>
  <si>
    <t>MCMAHON-TOMLINSON NURSING CENTER</t>
  </si>
  <si>
    <t>PRESBYTERIAN COMMUNITY CARE CE</t>
  </si>
  <si>
    <t>LAURELHURST VILLAGE REHABILITATION CENTER</t>
  </si>
  <si>
    <t>REGENCY GRESHAM NURSING &amp; REHAB CENTER</t>
  </si>
  <si>
    <t>PROVIDENCE BENEDICTINE NURSING CENTER</t>
  </si>
  <si>
    <t>AVAMERE HEALTH SERVICES OF ROGUE VALLEY</t>
  </si>
  <si>
    <t>AVAMERE CRESTVIEW OF PORTLAND</t>
  </si>
  <si>
    <t>BAYCREST HEALTH CENTER</t>
  </si>
  <si>
    <t>PRESTIGE CARE AND REHABILITATION - MENLO PARK</t>
  </si>
  <si>
    <t>PORTHAVEN HEALTHCARE CENTER</t>
  </si>
  <si>
    <t>HILLSIDE HEIGHTS REHAB CT</t>
  </si>
  <si>
    <t>COLUMBIA BASIN CARE FACILITY</t>
  </si>
  <si>
    <t>AVAMERE REHABILITATION OF EUGENE</t>
  </si>
  <si>
    <t>PRESTIGE CARE AND REHABILITATION OF REEDWOOD</t>
  </si>
  <si>
    <t>REGENCY CARE OF ROGUE VALLEY</t>
  </si>
  <si>
    <t>VILLAGE HEALTH CARE</t>
  </si>
  <si>
    <t>CORVALLIS MANOR</t>
  </si>
  <si>
    <t>MARQUIS SPRINGFIELD</t>
  </si>
  <si>
    <t>HEARTHSTONE NURSING AND REHABILITATION CENTER</t>
  </si>
  <si>
    <t>HOOD RIVER CARE CENTER</t>
  </si>
  <si>
    <t>TIMBERVIEW CARE CENTER</t>
  </si>
  <si>
    <t>WEST HILLS HEALTH &amp; REHABILITATION CENTER</t>
  </si>
  <si>
    <t>LAKEVIEW GARDENS</t>
  </si>
  <si>
    <t>FRENCH PRAIRIE NURSING AND REHABILITATION CENTER</t>
  </si>
  <si>
    <t>VALLEY WEST HEALTH CARE</t>
  </si>
  <si>
    <t>FRIENDSHIP HEALTH CENTER</t>
  </si>
  <si>
    <t>AVAMERE REHABILITATION OF OREGON CITY</t>
  </si>
  <si>
    <t>AVAMERE AT THREE FOUNTAINS</t>
  </si>
  <si>
    <t>AVAMERE REHABILITATION OF KING CITY</t>
  </si>
  <si>
    <t>GOOD SAMARITAN SOCIETY - FAIRLAWN VILLAGE</t>
  </si>
  <si>
    <t>GLISAN CARE CENTER</t>
  </si>
  <si>
    <t>MARQUIS PLUM RIDGE</t>
  </si>
  <si>
    <t>PILOT BUTTE REHABILITATION CENTER</t>
  </si>
  <si>
    <t>MARQUIS MT TABOR</t>
  </si>
  <si>
    <t>REGENCY FLORENCE</t>
  </si>
  <si>
    <t>UMPQUA VALLEY NURSING &amp; REHABILITATION CENTER</t>
  </si>
  <si>
    <t>CLATSOP CARE CENTER</t>
  </si>
  <si>
    <t>ROBISON JEWISH HEALTH CENTER</t>
  </si>
  <si>
    <t>GOOD SAMARITAN SOCIETY - EUGENE VILLAGE</t>
  </si>
  <si>
    <t>ROYALE GARDENS HEALTH AND REHABILITATION CENTER</t>
  </si>
  <si>
    <t>HIGHLAND HOUSE</t>
  </si>
  <si>
    <t>MOLALLA MANOR CARE CENTER</t>
  </si>
  <si>
    <t>ROSE HAVEN NURSING CENTER</t>
  </si>
  <si>
    <t>COAST FORK NURSING CENTER</t>
  </si>
  <si>
    <t>FOREST GROVE REHABILITATION AND CARE CENTER</t>
  </si>
  <si>
    <t>GREEN VALLEY REHABILITATION HEALTH CENTER</t>
  </si>
  <si>
    <t>LIFE CARE CTR OF COOS BAY</t>
  </si>
  <si>
    <t>MILTON FREEWATER HEALTH AND REHABILITATION CENTER</t>
  </si>
  <si>
    <t>AVAMERE REHABILITATION OF NEWPORT</t>
  </si>
  <si>
    <t>AIDAN SENIOR LIVING AT REEDSPORT</t>
  </si>
  <si>
    <t>GOOD SAMARITAN SOCIETY - CURRY VILLAGE</t>
  </si>
  <si>
    <t>MARYVILLE NURSING HOME</t>
  </si>
  <si>
    <t>SOUTH HILLS REHABILITATION CEN</t>
  </si>
  <si>
    <t>AVAMERE REHABILITATION OF LEBANON</t>
  </si>
  <si>
    <t>LIFE CARE CENTER OF MCMINNVILLE</t>
  </si>
  <si>
    <t>THE DALLES HEALTH AND REHABILITATION CENTER</t>
  </si>
  <si>
    <t>MARQUIS NEWBERG</t>
  </si>
  <si>
    <t>EAST CASCADE RETIREMENT COMMUNITY, LLC</t>
  </si>
  <si>
    <t>CRESWELL HEALTH AND REHABILITATION CENTER</t>
  </si>
  <si>
    <t>MARQUIS CENTENNIAL POST ACUTE REHAB</t>
  </si>
  <si>
    <t>AVAMERE RIVERPARK OF EUGENE</t>
  </si>
  <si>
    <t>CASCADE TERRACE</t>
  </si>
  <si>
    <t>INDEPENDENCE HEALTH AND REHABILITATION CENTER</t>
  </si>
  <si>
    <t>AVAMERE TRANSITIONAL CARE AT SUNNYSIDE</t>
  </si>
  <si>
    <t>PRESTIGE POST-ACUTE &amp; REHABILITATION CTR-GRESHAM</t>
  </si>
  <si>
    <t>AVAMERE REHABILITATION OF BEAVERTON</t>
  </si>
  <si>
    <t>LINDA VISTA NURSING &amp; REHAB CENTER</t>
  </si>
  <si>
    <t>CHEHALEM HEALTH &amp; REHAB</t>
  </si>
  <si>
    <t>WILLAMETTE VIEW HEALTH CENTER</t>
  </si>
  <si>
    <t>WILLOWBROOK TERRACE</t>
  </si>
  <si>
    <t>AVAMERE REHABILITATION OF CLACKAMAS</t>
  </si>
  <si>
    <t>MARQUIS FOREST GROVE POST ACUTE REHAB</t>
  </si>
  <si>
    <t>MENNONITE HOME</t>
  </si>
  <si>
    <t>DALLAS RET VILLAGE HEALTH CENTER</t>
  </si>
  <si>
    <t>MARQUIS PIEDMONT POST ACUTE REHAB</t>
  </si>
  <si>
    <t>LAGRANDE POST ACUTE REHAB</t>
  </si>
  <si>
    <t>MARQUIS MILL PARK</t>
  </si>
  <si>
    <t>EMPRES HILLSBORO HEALTH AND REHABILITATION CENTER</t>
  </si>
  <si>
    <t>MARQUIS VERMONT HILLS</t>
  </si>
  <si>
    <t>CARE CENTER EAST HLTH</t>
  </si>
  <si>
    <t>REGENCY ALBANY</t>
  </si>
  <si>
    <t>MARQUIS OREGON CITY POST ACUTE REHAB</t>
  </si>
  <si>
    <t>MEADOW PARK HEALTH AND SPECIALTY</t>
  </si>
  <si>
    <t>WINDSOR HEALTH &amp; REHABILITATION CENTER</t>
  </si>
  <si>
    <t>PRESTIGE POST-ACUTE &amp; REHAB CENTER - MCMINNVILLE</t>
  </si>
  <si>
    <t>PORTLAND HEALTH &amp; REHABILITATION  CENTER</t>
  </si>
  <si>
    <t>AVAMERE REHABILITATION OF JUNCTION CITY</t>
  </si>
  <si>
    <t>REGENCY REDMOND REHABILITATION AND NURSING CENTER</t>
  </si>
  <si>
    <t>LAUREL HILL NURSING CENTER</t>
  </si>
  <si>
    <t>AVAMERE COURT AT KEIZER</t>
  </si>
  <si>
    <t>SALEM TRANSITIONAL CARE</t>
  </si>
  <si>
    <t>TOWN CENTER VILLAGE</t>
  </si>
  <si>
    <t>FERNHILL ESTATES</t>
  </si>
  <si>
    <t>AVAMERE REHABILITATION OF COOS BAY</t>
  </si>
  <si>
    <t>MARIAN ESTATES</t>
  </si>
  <si>
    <t>SHERWOOD PARK NURSING &amp; REHAB CENTER</t>
  </si>
  <si>
    <t>AVAMERE TWIN OAKS OF SWEET HOME</t>
  </si>
  <si>
    <t>NEHALEM VALLEY CARE CENTER</t>
  </si>
  <si>
    <t>OREGON CITY HEALTH CARE CENTER</t>
  </si>
  <si>
    <t>ROGUE VALLEY MANOR</t>
  </si>
  <si>
    <t>AVAMERE REHABILITATION OF HILLSBORO</t>
  </si>
  <si>
    <t>BEND TRANSITIONAL CARE</t>
  </si>
  <si>
    <t>MYRTLE POINT CARE CENTER</t>
  </si>
  <si>
    <t>OREGON VETERANS HOME</t>
  </si>
  <si>
    <t>PARK FOREST CARE CENTER</t>
  </si>
  <si>
    <t>HOLLADAY PARK PLAZA</t>
  </si>
  <si>
    <t>MARQUIS HOPE VILLAGE</t>
  </si>
  <si>
    <t>REGENCY PRINEVILLE REHABILITATION &amp; NURSING CENTER</t>
  </si>
  <si>
    <t>MARQUIS SILVER GARDENS</t>
  </si>
  <si>
    <t>REGENCY HERMISTON NURSING &amp; REHAB CENTER</t>
  </si>
  <si>
    <t>MOUNTAIN VIEW REHABILITATION AND HEALTHCARE CENTER</t>
  </si>
  <si>
    <t>MARY'S WOODS AT MARYLHURST</t>
  </si>
  <si>
    <t>MARQUIS WILSONVILLE POST ACUTE REHAB</t>
  </si>
  <si>
    <t>GATEWAY CARE AND RETIREMENT</t>
  </si>
  <si>
    <t>VILLAGE AT HILLSIDE</t>
  </si>
  <si>
    <t>PRESTIGE POST-ACUTE &amp; REHAB CENTER - MILWAUKIE</t>
  </si>
  <si>
    <t>PEARL AT KRUSE WAY, THE</t>
  </si>
  <si>
    <t>PACIFIC HEALTH AND REHABILITATION</t>
  </si>
  <si>
    <t>PIONEER NURSING HOME</t>
  </si>
  <si>
    <t>MIRABELLA PORTLAND</t>
  </si>
  <si>
    <t>SHERIDAN CARE CENTER</t>
  </si>
  <si>
    <t>CASCADE MANOR</t>
  </si>
  <si>
    <t>LAWRENCE CONVALESCENT CTR</t>
  </si>
  <si>
    <t>ROSE LINN CARE CENTER</t>
  </si>
  <si>
    <t>MARQUIS TUALATIN POST ACUTE REHAB</t>
  </si>
  <si>
    <t>LEBANON VETERANS HOME</t>
  </si>
  <si>
    <t>ELLWOOD CITY HOSPITAL</t>
  </si>
  <si>
    <t>SOMERSET HOSPITAL</t>
  </si>
  <si>
    <t>CLEARFIELD HOSPITAL</t>
  </si>
  <si>
    <t>J C BLAIR MEMORIAL HOSPITAL</t>
  </si>
  <si>
    <t>PENN HIGHLANDS DUBOIS</t>
  </si>
  <si>
    <t>CLARION HOSPITAL</t>
  </si>
  <si>
    <t>KANE COMMUNITY HOSPITAL</t>
  </si>
  <si>
    <t>CONEMAUGH MINERS MEDICAL CENTER</t>
  </si>
  <si>
    <t>WAYNESBORO HOSPITAL</t>
  </si>
  <si>
    <t>WARREN GENERAL HOSPITAL</t>
  </si>
  <si>
    <t>WASHINGTON HEALTH SYSTEM GREENE</t>
  </si>
  <si>
    <t>PENN HIGHLANDS ELK</t>
  </si>
  <si>
    <t>PUNXSUTAWNEY AREA HOSPITAL</t>
  </si>
  <si>
    <t>GUTHRIE TOWANDA MEMORIAL HOSPITAL</t>
  </si>
  <si>
    <t>PASSAVANT RETIREMENT AND HEALT</t>
  </si>
  <si>
    <t>GOLDEN HILL NURSING AND REHAB</t>
  </si>
  <si>
    <t>ST JOSEPH'S MANOR (DBA ENTITY OF HRHS)</t>
  </si>
  <si>
    <t>NESHAMINY MANOR HOME</t>
  </si>
  <si>
    <t>PLATINUM RIDGE CTR FOR REHAB &amp; HEALING</t>
  </si>
  <si>
    <t>MENNO-HAVEN, INC.</t>
  </si>
  <si>
    <t>ELDERCREST NURSING CENTER</t>
  </si>
  <si>
    <t>BRIGHTON REHABILITATION AND WELLNESS CENTER</t>
  </si>
  <si>
    <t>HANOVER HALL</t>
  </si>
  <si>
    <t>GOOD SHEPHERD HOME RAKER CENTER</t>
  </si>
  <si>
    <t>ARISTACARE AT MEADOW SPRINGS</t>
  </si>
  <si>
    <t>BAPTIST HOMES OF WESTERN PENNSYLVANIA</t>
  </si>
  <si>
    <t>PHOEBE RICHLAND HCC</t>
  </si>
  <si>
    <t>SQUIRREL HILL CTR FOR REHABILITATION AND HEALING</t>
  </si>
  <si>
    <t>HAVEN SKILLED REHABILITATION AND NURSING</t>
  </si>
  <si>
    <t>MCMURRAY HILLS MANOR</t>
  </si>
  <si>
    <t>VINCENTIAN HOME</t>
  </si>
  <si>
    <t>MANORCARE HEALTH SERVICES-KINGSTON COURT</t>
  </si>
  <si>
    <t>MANORCARE HEALTH SERVICES-ERIE</t>
  </si>
  <si>
    <t>SAINT MARY'S EAST</t>
  </si>
  <si>
    <t>OAKMONT CENTER FOR NURSING &amp; REHABILITATION</t>
  </si>
  <si>
    <t>MOUNTAIN VIEW, A NURSING AND REHABILITATION CENTE</t>
  </si>
  <si>
    <t>GREENLEAF NURSING HOME AND CON</t>
  </si>
  <si>
    <t>GARVEY MANOR</t>
  </si>
  <si>
    <t>BROOMALL PRESBYTERIAN VILLAGE</t>
  </si>
  <si>
    <t>REST HAVEN-YORK</t>
  </si>
  <si>
    <t>JEFFERSON HILLS HEALTHCARE AND REHABILITATION CENT</t>
  </si>
  <si>
    <t>GREEN RIDGE CARE CENTER</t>
  </si>
  <si>
    <t>MANORCARE HEALTH SERVICES-PITTSBURGH</t>
  </si>
  <si>
    <t>SPRING CREEK REHABILITATION AND NURSING CENTER</t>
  </si>
  <si>
    <t>NEW EASTWOOD HEALTHCARE AND REHABILITATION CENTER</t>
  </si>
  <si>
    <t>GARDEN SPRING CENTER</t>
  </si>
  <si>
    <t>BROOMALL REHABILITATION AND NURSING CENTER</t>
  </si>
  <si>
    <t>PHOEBE ALLENTOWN HEALTH CARE CENTER</t>
  </si>
  <si>
    <t>SOMERTON CENTER</t>
  </si>
  <si>
    <t>CHURCH OF THE BRETHREN HOME</t>
  </si>
  <si>
    <t>MEADOW VIEW HEALTHCARE AND REHABILITATION CENTER</t>
  </si>
  <si>
    <t>BERKS HEIM NURSING &amp; REHABILITATION</t>
  </si>
  <si>
    <t>BRYN MAWR TERRACE, THE</t>
  </si>
  <si>
    <t>SAYRE HEALTH CARE CENTER</t>
  </si>
  <si>
    <t>MALTA HOME</t>
  </si>
  <si>
    <t>JEWISH HOME OF EASTERN PENNSYL</t>
  </si>
  <si>
    <t>SAINT MARY'S VILLA NURSING HOM</t>
  </si>
  <si>
    <t>MOSSER NURSING HOME</t>
  </si>
  <si>
    <t>CROSS KEYS VILLAGE-BRETHREN HOME COMMUNITY, THE</t>
  </si>
  <si>
    <t>BEAVER HEALTHCARE AND REHABILITATION CENTER</t>
  </si>
  <si>
    <t>OAKWOOD HEALTHCARE &amp; REHABILITATION CENTER</t>
  </si>
  <si>
    <t>LUTHERAN HOME AT TOPTON, THE</t>
  </si>
  <si>
    <t>CHICORA MEDICAL CENTER</t>
  </si>
  <si>
    <t>SIMPSON HOUSE INC</t>
  </si>
  <si>
    <t>GOLDEN LIVINGCENTER-CAMP HILL</t>
  </si>
  <si>
    <t>INGLIS HOUSE</t>
  </si>
  <si>
    <t>PENNYPACK CENTER</t>
  </si>
  <si>
    <t>MIFFLIN CENTER</t>
  </si>
  <si>
    <t>GOLDEN LIVINGCENTER-BLUE RIDGE MOUNTAIN</t>
  </si>
  <si>
    <t>CANTERBURY PLACE</t>
  </si>
  <si>
    <t>TIMBER RIDGE HEALTH CENTER</t>
  </si>
  <si>
    <t>THE GROVE AT GREENVILLE</t>
  </si>
  <si>
    <t>SAXONY HEALTH CENTER</t>
  </si>
  <si>
    <t>ST JOHN SPECIALTY CARE CENTER</t>
  </si>
  <si>
    <t>PEMBROOKE HEALTH AND REHABILITATION CENTER</t>
  </si>
  <si>
    <t>VALLEY MANOR HEALTH AND REHABILITATION CENTER</t>
  </si>
  <si>
    <t>MANOR AT PENN VILLAGE, THE</t>
  </si>
  <si>
    <t>WESTGATE HILLS REHABILITATION AND NURSING CTR</t>
  </si>
  <si>
    <t>ABINGTON CREST HEALTH AND REHABILITATION CENTER</t>
  </si>
  <si>
    <t>AMBLER EXTENDED CARE CENTER</t>
  </si>
  <si>
    <t>GOLDEN LIVINGCENTER-LANCASTER</t>
  </si>
  <si>
    <t>CORNWALL MANOR</t>
  </si>
  <si>
    <t>ST JOHN NEUMANN CTR FOR REHAB &amp; HEALTHCARE</t>
  </si>
  <si>
    <t>BUCKINGHAM VALLEY REHAB &amp; NURSING CENTER</t>
  </si>
  <si>
    <t>GOLDEN LIVINGCENTER-ROSEMONT</t>
  </si>
  <si>
    <t>FOX SUBACUTE CENTER</t>
  </si>
  <si>
    <t>THE GROVE AT NEW WILMINGTON</t>
  </si>
  <si>
    <t>MANORCARE HEALTH SERVICES-LANCASTER</t>
  </si>
  <si>
    <t>GOLDEN LIVINGCENTER-WALNUT CREEK</t>
  </si>
  <si>
    <t>BROOMALL MANOR</t>
  </si>
  <si>
    <t>PROSPECT PARK HEALTH AND REHABILITATION CENTER</t>
  </si>
  <si>
    <t>LANCASHIRE HALL</t>
  </si>
  <si>
    <t>SARAH REED SENIOR LIVING</t>
  </si>
  <si>
    <t>BELAIR HEALTH AND REHABILITATION CENTER</t>
  </si>
  <si>
    <t>RICHBORO REHABILITATION AND NURSING CENTER</t>
  </si>
  <si>
    <t>DONAHOE MANOR</t>
  </si>
  <si>
    <t>GOLDEN LIVINGCENTER-WEST SHORE</t>
  </si>
  <si>
    <t>HAMILTON ARMS CENTER</t>
  </si>
  <si>
    <t>SPRUCE MANOR NURSING AND REHAB</t>
  </si>
  <si>
    <t>BROOKSIDE HEALTHCARE &amp; REHABILITATION CENTER</t>
  </si>
  <si>
    <t>CHARLES COLE MEMORIAL HOSPITAL</t>
  </si>
  <si>
    <t>NUGENT CONVALESCENT HOME</t>
  </si>
  <si>
    <t>HOSPITALITY CARE CENTER OF HER</t>
  </si>
  <si>
    <t>FOULKEWAYS AT GWYNEDD</t>
  </si>
  <si>
    <t>WYOMISSING HEALTH AND REHABILITATION CENTER</t>
  </si>
  <si>
    <t>GOLDEN LIVINGCENTER-HILLVIEW</t>
  </si>
  <si>
    <t>LAUREL RIDGE CENTER</t>
  </si>
  <si>
    <t>SAINT PAUL HOMES</t>
  </si>
  <si>
    <t>GOLDEN LIVINGCENTER-GETTYSBURG</t>
  </si>
  <si>
    <t>TRANSITIONS HEALTHCARE AUTUMN GROVE CARE CENTER</t>
  </si>
  <si>
    <t>HAMPTON HOUSE</t>
  </si>
  <si>
    <t>HOLY FAMILY MANOR</t>
  </si>
  <si>
    <t>MANORCARE HEALTH SERVICES-SHADYSIDE</t>
  </si>
  <si>
    <t>GOLDEN LIVINGCENTER-YORK TERRACE</t>
  </si>
  <si>
    <t>GOLDEN LIVINGCENTER-LANSDALE</t>
  </si>
  <si>
    <t>STATESMAN HEALTH AND REHAB CEN</t>
  </si>
  <si>
    <t>CARBONDALE NURSING AND REHABILITATION CENTER</t>
  </si>
  <si>
    <t>BUFFALO VALLEY LUTHERAN VILLAG</t>
  </si>
  <si>
    <t>GOLDEN LIVINGCENTER-WESTERN RESERVE</t>
  </si>
  <si>
    <t>MANORCARE HEALTH SERVICES-WEST ALLEN</t>
  </si>
  <si>
    <t>PAVILION AT ST LUKE VILLAGE, THE</t>
  </si>
  <si>
    <t>BEAVER VALLEY HEALTH AND REHABILITATION CENTER</t>
  </si>
  <si>
    <t>FOREST PARK HEALTHCARE AND REHABILITATION CENTER</t>
  </si>
  <si>
    <t>GOLDEN LIVINGCENTER-SCRANTON</t>
  </si>
  <si>
    <t>SUMMIT AT BLUE MOUNTAIN NURSING &amp; REHAB CTR, THE</t>
  </si>
  <si>
    <t>GOLDEN LIVINGCENTER-DOYLESTOWN</t>
  </si>
  <si>
    <t>SAINT JOSEPH VILLA</t>
  </si>
  <si>
    <t>ST FRANCIS CENTER FOR REHABILITATION &amp; HEALTHCARE</t>
  </si>
  <si>
    <t>RIVERWOODS</t>
  </si>
  <si>
    <t>GOLDEN LIVINGCENTER-PHOENIXVILLE</t>
  </si>
  <si>
    <t>BARNES-KASSON COUNTY HOSPITAL</t>
  </si>
  <si>
    <t>BROAD MOUNTAIN HEALTH AND REHABILITATION CENTER</t>
  </si>
  <si>
    <t>GOLDEN LIVINGCENTER-STROUD</t>
  </si>
  <si>
    <t>GOLDEN LIVINGCENTER-SOUTH HILLS</t>
  </si>
  <si>
    <t>PLEASANT ACRES NURSING AND REHAB CENTER</t>
  </si>
  <si>
    <t>WESBURY UNITED METHODIST COMMU</t>
  </si>
  <si>
    <t>GOLDEN LIVINGCENTER-MURRYSVILLE</t>
  </si>
  <si>
    <t>MEADOWVIEW REHABILITATION AND NURSING CENTER</t>
  </si>
  <si>
    <t>HUNTINGDON HILLS REHABILITATION AND NURSING CENTER</t>
  </si>
  <si>
    <t>GUARDIAN HEALTHCARE AND REHABILITATION CENTER</t>
  </si>
  <si>
    <t>WEXFORD HEALTHCARE CENTER</t>
  </si>
  <si>
    <t>CHANDLER HALL HEALTH SERVICES</t>
  </si>
  <si>
    <t>KENDAL AT LONGWOOD</t>
  </si>
  <si>
    <t>MANORCARE HEALTH SERVICES-YORK SOUTH</t>
  </si>
  <si>
    <t>BRYN MAWR EXTENDED CARE CENTER</t>
  </si>
  <si>
    <t>SCENERY HEALTHCARE AND REHABILITATION CENTER</t>
  </si>
  <si>
    <t>ST LUKE'S REHABILITATION AND NURSING CENTER</t>
  </si>
  <si>
    <t>SUNBURY COMMUNITY HEALTH AND REHABILITATION CENTER</t>
  </si>
  <si>
    <t>GREEN HOME, INC, THE</t>
  </si>
  <si>
    <t>MANATAWNY MANOR</t>
  </si>
  <si>
    <t>RYDAL PARK OF PHILADELPHIA PRS</t>
  </si>
  <si>
    <t>LITTLE FLOWER MANOR OF DIOCESE</t>
  </si>
  <si>
    <t>MORAVIAN MANOR</t>
  </si>
  <si>
    <t>ZERBE SISTERS NURSING CENTER,</t>
  </si>
  <si>
    <t>BRETHREN VILLAGE</t>
  </si>
  <si>
    <t>WILLIAM HOOD DUNWOODY CARE CTR</t>
  </si>
  <si>
    <t>CHELTENHAM NURSING AND REHAB C</t>
  </si>
  <si>
    <t>MOUNTAIN LAUREL NRC</t>
  </si>
  <si>
    <t>WAYNE CENTER</t>
  </si>
  <si>
    <t>GUTHRIE TOWANDA MEMORIAL HOSPITAL SKILLED NURSING</t>
  </si>
  <si>
    <t>CHESTNUT HILL LODGE HEALTH AND REHAB CTR</t>
  </si>
  <si>
    <t>GOLDEN LIVINGCENTER-WILLIAM PENN</t>
  </si>
  <si>
    <t>QUARRYVILLE PRESBYTERIAN RETIREMENT COMMUNITY</t>
  </si>
  <si>
    <t>IMMACULATEMARYCENTER FOR REHABILITATION&amp;HEALTHCARE</t>
  </si>
  <si>
    <t>ELK HAVEN NURSING HOME</t>
  </si>
  <si>
    <t>STONERIDGE TOWNE CENTRE</t>
  </si>
  <si>
    <t>MANORCARE HEALTH SERVICES-POTTSVILLE</t>
  </si>
  <si>
    <t>RIVER RUN REHABILITATION AND NURSING CENTER</t>
  </si>
  <si>
    <t>TOWNE MANOR WEST</t>
  </si>
  <si>
    <t>FREY VILLAGE</t>
  </si>
  <si>
    <t>MANORCARE HEALTH SERVICES-CHAMBERSBURG</t>
  </si>
  <si>
    <t>CALVARY FELLOWSHIP HOMES INC</t>
  </si>
  <si>
    <t>LOCUST GROVE RETIREMENT VILLAGE</t>
  </si>
  <si>
    <t>MANORCARE HEALTH SERVICES-WEST READING NORTH</t>
  </si>
  <si>
    <t>BROAD ACRES HEALTH AND REHAB</t>
  </si>
  <si>
    <t>SILVER STREAM CENTER</t>
  </si>
  <si>
    <t>PAVILION AT BRMC, THE</t>
  </si>
  <si>
    <t>GUY AND MARY FELT MANOR, INC</t>
  </si>
  <si>
    <t>ELLEN MEMORIAL HEALTH CARE CENTER</t>
  </si>
  <si>
    <t>MANORCARE HEALTH SERVICES-JERSEY SHORE</t>
  </si>
  <si>
    <t>GERMANTOWN HOME</t>
  </si>
  <si>
    <t>PLEASANT RIDGE MANOR EAST/WEST</t>
  </si>
  <si>
    <t>GOLDEN LIVINGCENTER-KINZUA</t>
  </si>
  <si>
    <t>MANORCARE HEALTH SERVICES-WILLIAMSPORT NORTH</t>
  </si>
  <si>
    <t>SPANG CREST MANOR</t>
  </si>
  <si>
    <t>PINE RUN HEALTH CENTER</t>
  </si>
  <si>
    <t>OXFORD MANOR HEALTH CENTER</t>
  </si>
  <si>
    <t>LUTHER WOODS NURSING AND REHABILITATION CENTER</t>
  </si>
  <si>
    <t>WEST HAVEN MANOR</t>
  </si>
  <si>
    <t>JEWISH HOME OF GREATER HARRISB</t>
  </si>
  <si>
    <t>OHESSON MANOR</t>
  </si>
  <si>
    <t>MANORCARE HEALTH SERVICES-YEADON</t>
  </si>
  <si>
    <t>SWAIM HEALTH CENTER</t>
  </si>
  <si>
    <t>QUINCY RETIREMENT COMMUNITY</t>
  </si>
  <si>
    <t>LOYALSOCK CREEK REHABILITATION AND NURSING CENTER</t>
  </si>
  <si>
    <t>SAUNDERS HOUSE</t>
  </si>
  <si>
    <t>VALENCIA WOODS AT ST BARNABAS</t>
  </si>
  <si>
    <t>THE GROVE AT IRWIN</t>
  </si>
  <si>
    <t>POCOPSON HOME</t>
  </si>
  <si>
    <t>BETHANY VILLAGE RETIREMENT CENTER</t>
  </si>
  <si>
    <t>FULTON COUNTY MEDICAL CENTER</t>
  </si>
  <si>
    <t>CROSSLANDS</t>
  </si>
  <si>
    <t>NOTTINGHAM VILLAGE</t>
  </si>
  <si>
    <t>ASBURY HEALTH CENTER</t>
  </si>
  <si>
    <t>EPWORTH HEALTHCARE AND REHABILITATION CENTER</t>
  </si>
  <si>
    <t>DEVON MANOR</t>
  </si>
  <si>
    <t>COLONIAL PARK CARE CENTER</t>
  </si>
  <si>
    <t>MANORCARE HEALTH SERVICES-WILLIAMSPORT SOUTH</t>
  </si>
  <si>
    <t>MANORCARE HEALTH SERVICES-KINGSTON</t>
  </si>
  <si>
    <t>SIEMONS' LAKEVIEW MANOR NURSING AND REHAB CTR</t>
  </si>
  <si>
    <t>SUSQUEHANNA VALLEY NURSING &amp; REHABILITATION CENTER</t>
  </si>
  <si>
    <t>BALL PAVILION, THE</t>
  </si>
  <si>
    <t>MANORCARE HEALTH SERVICES-POTTSTOWN</t>
  </si>
  <si>
    <t>HARRISON SENIOR LIVING OF CHRISTIANA</t>
  </si>
  <si>
    <t>LECOM AT PRESQUE ISLE, INC</t>
  </si>
  <si>
    <t>QUAKERTOWN CENTER</t>
  </si>
  <si>
    <t>LUTHER ACRES MANOR</t>
  </si>
  <si>
    <t>LAUREL CENTER</t>
  </si>
  <si>
    <t>BRIARLEAF NURSING AND CONVAL C</t>
  </si>
  <si>
    <t>SUGAR CREEK REST</t>
  </si>
  <si>
    <t>WESLEY ENHANCED LIVING PENNYPACK PARK</t>
  </si>
  <si>
    <t>LACKAWANNA HEALTH AND REHAB CENTER</t>
  </si>
  <si>
    <t>ROSEWOOD REHABILITATION &amp; NURSING CENTER</t>
  </si>
  <si>
    <t>BROOKLINE MANOR AND REHABILITATIVE SERVICES</t>
  </si>
  <si>
    <t>BERWICK RETIREMENT VILLAGE NRS</t>
  </si>
  <si>
    <t>PENNKNOLL VILLAGE</t>
  </si>
  <si>
    <t>FORBES CENTER FOR REHAB AND HEALTHCARE LLC</t>
  </si>
  <si>
    <t>DEER MEADOWS REHABILITATION CENTER</t>
  </si>
  <si>
    <t>MANOR AT PERRY VILLAGE, THE</t>
  </si>
  <si>
    <t>LUTHERAN HOME AT HOLLIDAYSBURG</t>
  </si>
  <si>
    <t>MANOR AT SUSQUEHANNA VILLAGE,THE</t>
  </si>
  <si>
    <t>MANORCARE HEALTH SERVICES-BETHLEHEM (2021)</t>
  </si>
  <si>
    <t>DUBOIS NURSING HOME</t>
  </si>
  <si>
    <t>MAJESTIC OAKS REHABILITATION AND NURSING CENTER</t>
  </si>
  <si>
    <t>TWINING HALL</t>
  </si>
  <si>
    <t>GOLDEN LIVINGCENTER-TUNKHANNOCK</t>
  </si>
  <si>
    <t>GOLDEN LIVINGCENTER-MT LEBANON</t>
  </si>
  <si>
    <t>WESTMORELAND MANOR</t>
  </si>
  <si>
    <t>HICKORY HOUSE NURSING HOME</t>
  </si>
  <si>
    <t>LEBANON VALLEY BRETHREN HOME</t>
  </si>
  <si>
    <t>SPIRITRUST LUTHERAN THE VILLAGE AT SHREWSBURY</t>
  </si>
  <si>
    <t>LUTHERAN HOME AT JOHNSTOWN, THE</t>
  </si>
  <si>
    <t>MANORCARE HEALTH SERVICES-CAMP HILL</t>
  </si>
  <si>
    <t>MANORCARE HEALTH SERVICES-YORK NORTH</t>
  </si>
  <si>
    <t>MESSIAH LIFEWAYS AT MESSIAH VILLAGE</t>
  </si>
  <si>
    <t>TOWNE MANOR EAST</t>
  </si>
  <si>
    <t>BUCKTAIL MEDICAL CENTER</t>
  </si>
  <si>
    <t>CHAPEL MANOR</t>
  </si>
  <si>
    <t>MANORCARE HEALTH SERVICES-DALLASTOWN</t>
  </si>
  <si>
    <t>PARKHOUSE NURSING AND REHABILITATION CENTER</t>
  </si>
  <si>
    <t>GOLDEN LIVINGCENTER-SUMMIT</t>
  </si>
  <si>
    <t>CLARVIEW NURSING AND REHAB CEN</t>
  </si>
  <si>
    <t>CHRIST THE KING MANOR</t>
  </si>
  <si>
    <t>TUCKER HOUSE NURSING AND REHABILITATION CENTER</t>
  </si>
  <si>
    <t>BROOKMONT HEALTHCARE CENTER LLC</t>
  </si>
  <si>
    <t>WEATHERWOOD HEALTHCARE AND REHABILITATION  CENTER</t>
  </si>
  <si>
    <t>CEDARBROOK NURSING HOMES</t>
  </si>
  <si>
    <t>MILFORD HEALTHCARE AND REHABILITATION CENTER</t>
  </si>
  <si>
    <t>CATHEDRAL VILLAGE</t>
  </si>
  <si>
    <t>MANORCARE HEALTH SERVICES-ELIZABETHTOWN</t>
  </si>
  <si>
    <t>ARMSTRONG COUNTY HEALTH CENTER</t>
  </si>
  <si>
    <t>MANORCARE HEALTH SERVICES-LEBANON</t>
  </si>
  <si>
    <t>PENNSWOOD VILLAGE</t>
  </si>
  <si>
    <t>ELMWOOD GARDENS</t>
  </si>
  <si>
    <t>HOMELAND CENTER</t>
  </si>
  <si>
    <t>GRACEDALE - NORTHAMPTON COUNTY</t>
  </si>
  <si>
    <t>MANORCARE HEALTH SERVICES-LAURELDALE</t>
  </si>
  <si>
    <t>PHILADELPHIA NURSING HOME</t>
  </si>
  <si>
    <t>GWYNEDD SQUARE CTR FOR NSG &amp; C</t>
  </si>
  <si>
    <t>MAHONING VALLEY NURSING AND RE</t>
  </si>
  <si>
    <t>HILLCREST CENTER</t>
  </si>
  <si>
    <t>GOLDEN LIVINGCENTER-MANSION</t>
  </si>
  <si>
    <t>REGINA COMMUNITY NURSING CENTE</t>
  </si>
  <si>
    <t>GARDENS AT DRUMS, THE</t>
  </si>
  <si>
    <t>POWERBACK REHABILITATION 1526 LOMBARD STREET</t>
  </si>
  <si>
    <t>CORRY MANOR</t>
  </si>
  <si>
    <t>WILLOWBROOKE COURT-SOUTHAMPTON</t>
  </si>
  <si>
    <t>PLEASANT VALLEY MANOR, INC</t>
  </si>
  <si>
    <t>WILLOWBROOKE COURT-LIMA ESTATE</t>
  </si>
  <si>
    <t>JULIA RIBAUDO EXTENDED CARE CENTER</t>
  </si>
  <si>
    <t>SLATE BELT HEALTH AND REHABILITATION CENTER</t>
  </si>
  <si>
    <t>WILLOWBROOKE COURT-SPRING HOUS</t>
  </si>
  <si>
    <t>WILLOWBROOKE COURT-FORT WASH</t>
  </si>
  <si>
    <t>COMMUNITY AT ROCKHILL, THE</t>
  </si>
  <si>
    <t>WESLEY ENHANCED LIVING MAIN LINE REHAB AND SKD NSG</t>
  </si>
  <si>
    <t>TREMONT HEALTH AND REHABILITATION CENTER</t>
  </si>
  <si>
    <t>MOUNTAINVIEW SPECIALTY CARE CENTER</t>
  </si>
  <si>
    <t>OAKWOOD HEIGHTS</t>
  </si>
  <si>
    <t>GARDENS AT PALMYRA, THE</t>
  </si>
  <si>
    <t>ELM TERRACE GARDENS</t>
  </si>
  <si>
    <t>DRESHER HILL HEALTH AND REHAB</t>
  </si>
  <si>
    <t>GROVE MANOR</t>
  </si>
  <si>
    <t>MANORCARE HEALTH SERVICES-SUNBURY</t>
  </si>
  <si>
    <t>MAYBROOK HILLS REHABILITATION AND HEALTHCARE CENTE</t>
  </si>
  <si>
    <t>WILLOWCREST</t>
  </si>
  <si>
    <t>COURTYARD GARDENS NURSING AND REHAB CTR</t>
  </si>
  <si>
    <t>CHESTER VALLEY REHAB AND NURSING CENTER</t>
  </si>
  <si>
    <t>WESLEY ENHANCED LIVING - DOYLESTOWN</t>
  </si>
  <si>
    <t>LANGHORNE GARDENS HEALTH AND REHABILITATION CENTER</t>
  </si>
  <si>
    <t>THE GROVE AT NEW CASTLE</t>
  </si>
  <si>
    <t>IVY HILL REHABILITATION AND NURSING CENTER</t>
  </si>
  <si>
    <t>CHARLES M. MORRIS NURSING AND</t>
  </si>
  <si>
    <t>MANORCARE HEALTH SERVICES-BETHLEHEM (2029)</t>
  </si>
  <si>
    <t>PRESBYTERIAN HOMES-PRESBY</t>
  </si>
  <si>
    <t>WINDY HILL VILLAGE OF PRESBYTERIAN HOMES</t>
  </si>
  <si>
    <t>FAIR WINDS MANOR</t>
  </si>
  <si>
    <t>LAUREL SQUARE HEALTHCARE AND REHABILITATION CENTER</t>
  </si>
  <si>
    <t>EDISON MANOR NURSING &amp; REHABILITATION CENTER</t>
  </si>
  <si>
    <t>GLENDALE UPTOWN HOME</t>
  </si>
  <si>
    <t>CONSULATE HEALTH CARE OF CHESWICK</t>
  </si>
  <si>
    <t>MANORCARE HEALTH SERVICES-EASTON</t>
  </si>
  <si>
    <t>MANORCARE HEALTH SERVICES-SINKING SPRING</t>
  </si>
  <si>
    <t>MOUNTAIN TOP HEALTHCARE AND REHABILITATION  CENTER</t>
  </si>
  <si>
    <t>FAIRVIEW CARE CENTER OF PAPERMILL ROAD</t>
  </si>
  <si>
    <t>SHERWOOD OAKS</t>
  </si>
  <si>
    <t>DR ARTHUR CLIFTON MCKINLEY CTR</t>
  </si>
  <si>
    <t>BETHLEN HM OF THE HUNGARIAN RF</t>
  </si>
  <si>
    <t>FOREST CITY NURSING AND REHAB CENTER</t>
  </si>
  <si>
    <t>PENNSBURG MANOR</t>
  </si>
  <si>
    <t>SHENANDOAH MANOR NURSING CENTE</t>
  </si>
  <si>
    <t>DOCK TERRACE</t>
  </si>
  <si>
    <t>ST MONICA CENTER FOR REHABILITATION &amp; HEALTHCARE</t>
  </si>
  <si>
    <t>MENNONITE HOME, THE</t>
  </si>
  <si>
    <t>MASONIC VILLAGE AT ELIZABETHTOWN</t>
  </si>
  <si>
    <t>REFORMED PRESBYTERIAN HOME</t>
  </si>
  <si>
    <t>TEL HAI RETIREMENT COMMUNITY</t>
  </si>
  <si>
    <t>MORRISONS COVE HOME</t>
  </si>
  <si>
    <t>RIVERSIDE REHABILITATION AND NURSING CENTER</t>
  </si>
  <si>
    <t>HIGHLAND MANOR REHABILITATION AND NURSING CENTER</t>
  </si>
  <si>
    <t>DUNMORE HEALTH CARE CENTER</t>
  </si>
  <si>
    <t>JULIA POUND CARE CENTER</t>
  </si>
  <si>
    <t>HILLSDALE REHABILITATION AND NURSING CENTER</t>
  </si>
  <si>
    <t>MILTON NURSING AND REHABILITATION CENTER</t>
  </si>
  <si>
    <t>SUSQUEHANNA HEALTH SKILLED NURSING &amp; REHABILITATIO</t>
  </si>
  <si>
    <t>BELLE HAVEN HEALTHCARE AND REHABILITATION CEN</t>
  </si>
  <si>
    <t>THE GARDENS AT STEVENS</t>
  </si>
  <si>
    <t>WASHINGTON COUNTY HEALTH CENTE</t>
  </si>
  <si>
    <t>ST LUKES VILLA</t>
  </si>
  <si>
    <t>MOUNTAIN CITY NURSING AND REHABILITATION CENTER</t>
  </si>
  <si>
    <t>SOUTH MOUNTAIN RESTORATION CEN</t>
  </si>
  <si>
    <t>TRANSITIONS HEALTHCARE NORTH HUNTINGDON</t>
  </si>
  <si>
    <t>BRADFORD COUNTY MANOR</t>
  </si>
  <si>
    <t>MEADOWS NURSING AND REHABILITATION CENTER</t>
  </si>
  <si>
    <t>PARK AVENUE REHABILITATION AND NURSING CENTER</t>
  </si>
  <si>
    <t>MOUNT CARMEL NURSING AND REHAB</t>
  </si>
  <si>
    <t>THE GARDENS AT LITITZ</t>
  </si>
  <si>
    <t>LUTHER CREST NURSING FACILITY</t>
  </si>
  <si>
    <t>GOLDEN LIVINGCENTER-HAIDA</t>
  </si>
  <si>
    <t>TRINITY LIVING CENTER</t>
  </si>
  <si>
    <t>GOLDEN LIVINGCENTER-OIL CITY</t>
  </si>
  <si>
    <t>THE BELVEDERE CENTER, GENESIS HEALTHCARE</t>
  </si>
  <si>
    <t>BRIDGEVILLE REHABILITATION &amp; CARE CENTER</t>
  </si>
  <si>
    <t>PICKERING MANOR HOME</t>
  </si>
  <si>
    <t>BLOUGH HEALTH CARE CENTER INC</t>
  </si>
  <si>
    <t>CARING HEIGHTS COMMUNITY CARE &amp; REHAB CTR</t>
  </si>
  <si>
    <t>GREENSBURG CARE CENTER</t>
  </si>
  <si>
    <t>ST BARNABAS NURSING HOME</t>
  </si>
  <si>
    <t>JOHN J KANE REGIONAL CENTER-RO</t>
  </si>
  <si>
    <t>GOLDEN LIVINGCENTER-SHIPPENVILLE</t>
  </si>
  <si>
    <t>ROUSE WARREN COUNTY HOME</t>
  </si>
  <si>
    <t>GOLDEN LIVINGCENTER-RICHLAND</t>
  </si>
  <si>
    <t>SPIRITRUST LUTHERAN THE VILLAGE AT SPRENKLE DRIVE</t>
  </si>
  <si>
    <t>FALLING SPRING NURSING AND REH</t>
  </si>
  <si>
    <t>ROLLING HILLS HEALTHCARE AND REHABILITATION CENTER</t>
  </si>
  <si>
    <t>SUSQUE VIEW HOME, INC</t>
  </si>
  <si>
    <t>JOHN J KANE REGIONAL CENTER-SC</t>
  </si>
  <si>
    <t>MULBERRY HEALTHCARE AND REHABILITATION CENT</t>
  </si>
  <si>
    <t>ROLLING FIELDS, INC</t>
  </si>
  <si>
    <t>WEST HILLS HEALTH AND REHABILITATION CENTER</t>
  </si>
  <si>
    <t>ST MARY CENTER FOR REHABILITATION &amp; HEALTHCARE</t>
  </si>
  <si>
    <t>GRANDVIEW HEALTH HOMES, INC</t>
  </si>
  <si>
    <t>ROLLING MEADOWS</t>
  </si>
  <si>
    <t>HOLY FAMILY RESIDENCE</t>
  </si>
  <si>
    <t>JEFFERSON MANOR HEALTH CENTER</t>
  </si>
  <si>
    <t>GOLDEN LIVINGCENTER-READING</t>
  </si>
  <si>
    <t>RENAISSANCE HEALTHCARE &amp; REHABILITATION CENTER</t>
  </si>
  <si>
    <t>MT MACRINA MANOR</t>
  </si>
  <si>
    <t>UNITED ZION RETIREMENT COMMUNI</t>
  </si>
  <si>
    <t>HAVENCREST NURSING CENTER</t>
  </si>
  <si>
    <t>SOUDERTON MENNONITE HOMES</t>
  </si>
  <si>
    <t>MANOR AT ST LUKE VILLAGE,THE</t>
  </si>
  <si>
    <t>HOLY FAMILY HOME</t>
  </si>
  <si>
    <t>MASONIC VILLAGE AT SEWICKLEY</t>
  </si>
  <si>
    <t>JOHN J KANE REGIONAL CENTER-MC</t>
  </si>
  <si>
    <t>JOHN J KANE REGIONAL CENTER-GL</t>
  </si>
  <si>
    <t>MID-VALLEY HEALTH CARE CENTER</t>
  </si>
  <si>
    <t>EDINBORO MANOR</t>
  </si>
  <si>
    <t>OAK HILL NURSING AND REHAB CEN</t>
  </si>
  <si>
    <t>SPIRITRUST LUTHERAN THE VILLAGE AT GETTYSBURG</t>
  </si>
  <si>
    <t>PETER BECKER COMMUNITY</t>
  </si>
  <si>
    <t>WARREN MANOR</t>
  </si>
  <si>
    <t>BIRCHWOOD NURSING AND REHABILITATION CENTER</t>
  </si>
  <si>
    <t>RIDGEVIEW HEALTHCARE AND REHABILITATION CENTER</t>
  </si>
  <si>
    <t>BONHAM NURSING CENTER</t>
  </si>
  <si>
    <t>FREDERICK LIVING - CEDARWOOD</t>
  </si>
  <si>
    <t>CLAREMONT NRC OF CUMBERLAND CO</t>
  </si>
  <si>
    <t>GOLDEN LIVINGCENTER-MEYERSDALE</t>
  </si>
  <si>
    <t>SPRINGS AT THE WATERMARK, THE</t>
  </si>
  <si>
    <t>WILLOWBROOKE COURT-NORMANDY</t>
  </si>
  <si>
    <t>MANORCARE HEALTH SERVICES-NORTHSIDE</t>
  </si>
  <si>
    <t>GOLDEN LIVINGCENTER-MONROEVILLE</t>
  </si>
  <si>
    <t>SOUTHMONT OF PRESBYTERIAN SENIORCARE</t>
  </si>
  <si>
    <t>VILLAGE AT LUTHER SQUARE, THE</t>
  </si>
  <si>
    <t>GOLDEN LIVINGCENTER-UNIONTOWN</t>
  </si>
  <si>
    <t>GOLDEN LIVINGCENTER-WAYNESBURG</t>
  </si>
  <si>
    <t>SARAH A TODD MEMORIAL HOME</t>
  </si>
  <si>
    <t>WILLIAMSPORT HOME, THE</t>
  </si>
  <si>
    <t>THE GROVE AT WASHINGTON</t>
  </si>
  <si>
    <t>KUTZTOWN MANOR</t>
  </si>
  <si>
    <t>COUNTRYSIDE CHRISTIAN COMMUNITY</t>
  </si>
  <si>
    <t>HIGHLANDS HEALTHCARE AND REHABILITATION CENTER</t>
  </si>
  <si>
    <t>CONCORDIA LUTHERAN HEALTH AND HUMAN CARE</t>
  </si>
  <si>
    <t>MANORCARE HEALTH SERVICES - WALLINGFORD</t>
  </si>
  <si>
    <t>ST IGNATIUS NURSING &amp; REHAB CENTER</t>
  </si>
  <si>
    <t>YORK NURSING AND REHABILITATION CENTER</t>
  </si>
  <si>
    <t>FRIENDSHIP VILLAGE OF SOUTH HI</t>
  </si>
  <si>
    <t>HARLEE MANOR</t>
  </si>
  <si>
    <t>RIVERSTREET MANOR</t>
  </si>
  <si>
    <t>TRANSITIONS HEALTHCARE WASHINGTON PA</t>
  </si>
  <si>
    <t>GREENERY CENTER FOR REHAB AND NURSING</t>
  </si>
  <si>
    <t>WOODLAND REHABILITATION AND NURSING CENTER</t>
  </si>
  <si>
    <t>MEADOWCREST NURSING CENTER</t>
  </si>
  <si>
    <t>SWEDEN VALLEY MANOR</t>
  </si>
  <si>
    <t>BRADFORD MANOR</t>
  </si>
  <si>
    <t>ABINGTON MANOR</t>
  </si>
  <si>
    <t>BEACON RIDGE, A CHOICE COMM</t>
  </si>
  <si>
    <t>LAFAYETTE-REDEEMER, THE</t>
  </si>
  <si>
    <t>HEMPFIELD MANOR</t>
  </si>
  <si>
    <t>GOLDEN LIVINGCENTER-EAST MOUNTAIN</t>
  </si>
  <si>
    <t>GOLDEN LIVINGCENTER-CLARION</t>
  </si>
  <si>
    <t>GARDENS FOR MEMORY CARE AT EASTON, THE</t>
  </si>
  <si>
    <t>ATTLEBORO NURSING AND REHAB CE</t>
  </si>
  <si>
    <t>ELKINS CREST HEALTH AND REHABILITATION CENTER</t>
  </si>
  <si>
    <t>CARLETON HEALTHCARE AND REHABILITATION CENTER</t>
  </si>
  <si>
    <t>WILLOWS OF PRESBYTERIAN SENIOR</t>
  </si>
  <si>
    <t>WESLEY  ENHANCED LIVING AT STAPELEY</t>
  </si>
  <si>
    <t>SMITH HEALTH CARE LTD</t>
  </si>
  <si>
    <t>LINWOOD NURSING AND REHABILITATION CENTER</t>
  </si>
  <si>
    <t>WAVERLY HEIGHTS</t>
  </si>
  <si>
    <t>HOMESTEAD VILLAGE, INC</t>
  </si>
  <si>
    <t>LAUREL CARE NURSING AND REHAB</t>
  </si>
  <si>
    <t>PENN CENTER FOR REHABILITATION</t>
  </si>
  <si>
    <t>HARMON HOUSE CARE CENTER</t>
  </si>
  <si>
    <t>SNYDER MEMORIAL HEALTH CARE CE</t>
  </si>
  <si>
    <t>GARDENS AT EASTON, THE</t>
  </si>
  <si>
    <t>GARDENS AT DALLAS, THE</t>
  </si>
  <si>
    <t>MANORCARE HEALTH SERVICES-BETHEL PARK</t>
  </si>
  <si>
    <t>UPMC HERITAGE PLACE</t>
  </si>
  <si>
    <t>GETTYSBURG CENTER</t>
  </si>
  <si>
    <t>LIFEQUEST NURSING CENTER</t>
  </si>
  <si>
    <t>WILLOWBROOKE COURT-GRANITE</t>
  </si>
  <si>
    <t>PAUL'S RUN</t>
  </si>
  <si>
    <t>BRANDYWINE HALL</t>
  </si>
  <si>
    <t>RIDDLE MEMORIAL HOSP HB SNF</t>
  </si>
  <si>
    <t>SOUTHWESTERN NURSING CARE CENTER</t>
  </si>
  <si>
    <t>MANORCARE HEALTH SERVICES-GREEN TREE</t>
  </si>
  <si>
    <t>BALDWIN HEALTH CENTER</t>
  </si>
  <si>
    <t>MANORCARE HEALTH SERVICES-CARLISLE</t>
  </si>
  <si>
    <t>PRESBYTERIAN CTR FOR CONT CARE</t>
  </si>
  <si>
    <t>MORAVIAN HALL SQUARE HEALTH AND WELLNESS CENTER</t>
  </si>
  <si>
    <t>BEAUMONT AT BRYN MAWR</t>
  </si>
  <si>
    <t>SHARON REGIONAL HEALTH SYSTEM TCU</t>
  </si>
  <si>
    <t>JUNIPER VILLAGE AT BROOKLINE-REHABILITATION AND SK</t>
  </si>
  <si>
    <t>EDGEHILL NURSING AND REHAB CEN</t>
  </si>
  <si>
    <t>THE GROVE AT HARMONY</t>
  </si>
  <si>
    <t>MANORCARE HEALTH SERVICES-ALLENTOWN</t>
  </si>
  <si>
    <t>WILLOWBROOKE COURT AT BRITTANY</t>
  </si>
  <si>
    <t>FELLOWSHIP MANOR</t>
  </si>
  <si>
    <t>GOLDEN LIVINGCENTER-STENTON</t>
  </si>
  <si>
    <t>MARIAN MANOR CORPORATION</t>
  </si>
  <si>
    <t>ROSE VIEW CENTER</t>
  </si>
  <si>
    <t>CEDAR HAVEN HEALTHCARE CENTER</t>
  </si>
  <si>
    <t>LAKESIDE AT WILLOW VALLEY</t>
  </si>
  <si>
    <t>CONESTOGA VIEW</t>
  </si>
  <si>
    <t>SENA KEAN MANOR</t>
  </si>
  <si>
    <t>SUGAR CREEK STATION SKILLED NURSING AND REHABILITA</t>
  </si>
  <si>
    <t>COMMUNITIES AT INDIAN HAVEN,</t>
  </si>
  <si>
    <t>CENTRE CREST</t>
  </si>
  <si>
    <t>FAIR ACRES GERIATRIC CENTER</t>
  </si>
  <si>
    <t>FAIRVIEW CARE CENTER OF BETHLEHEM PIKE</t>
  </si>
  <si>
    <t>MANORCARE HEALTH SERVICES-PETERS TOWNSHIP</t>
  </si>
  <si>
    <t>CHURCH OF GOD HOME, INC</t>
  </si>
  <si>
    <t>STONEBRIDGE HEALTH AND REHAB CENTER</t>
  </si>
  <si>
    <t>PLEASANT VIEW RETIREMENT COMMUNITY</t>
  </si>
  <si>
    <t>VALLEY VIEW HAVEN, INC</t>
  </si>
  <si>
    <t>SUNNYVIEW NURSING AND REHABILITATION CENTER</t>
  </si>
  <si>
    <t>SENECA PLACE</t>
  </si>
  <si>
    <t>HARSTON HALL</t>
  </si>
  <si>
    <t>ORCHARD MANOR, INC</t>
  </si>
  <si>
    <t>SAINT JOHN XXIII HOME</t>
  </si>
  <si>
    <t>LAFAYETTE MANOR, INC</t>
  </si>
  <si>
    <t>MANORCARE HEALTH SERVICES-MONTGOMERYVILLE</t>
  </si>
  <si>
    <t>LANDIS HOMES</t>
  </si>
  <si>
    <t>TRANSITIONS HEALTHCARE GETTYSBURG</t>
  </si>
  <si>
    <t>HIGHLANDS AT WYOMISSING</t>
  </si>
  <si>
    <t>QUADRANGLE</t>
  </si>
  <si>
    <t>THORNWALD HOME</t>
  </si>
  <si>
    <t>LUTHERAN COMMUNITY AT TELFORD</t>
  </si>
  <si>
    <t>FAIRMOUNT HOMES</t>
  </si>
  <si>
    <t>ST ANNE'S RETIREMENT COMMUNITY</t>
  </si>
  <si>
    <t>LAURELWOOD CARE CENTER</t>
  </si>
  <si>
    <t>ST MARTHA CENTER FOR REHABILITATION &amp; HEALTHCARE</t>
  </si>
  <si>
    <t>LUTHERAN HOME AT KANE, THE</t>
  </si>
  <si>
    <t>MANORCARE HEALTH SERVICES-OXFORD VALLEY</t>
  </si>
  <si>
    <t>MASONIC VILLAGE AT LAFAYETTE HILL</t>
  </si>
  <si>
    <t>CARING HEART REHABILITATION AND NURSING CENTER</t>
  </si>
  <si>
    <t>LITTLE FLOWER MANOR</t>
  </si>
  <si>
    <t>TOWNVIEW HEALTH AND REHABILITATION CENTER</t>
  </si>
  <si>
    <t>EMMANUEL CENTER FOR NURSING</t>
  </si>
  <si>
    <t>WATSONTOWN NURSING AND REHABILITATION CENTER</t>
  </si>
  <si>
    <t>MANORCARE HEALTH SERVICES-NORTH HILLS</t>
  </si>
  <si>
    <t>THE GARDENS AT POTTSTOWN</t>
  </si>
  <si>
    <t>CAMBRIA CARE CENTER</t>
  </si>
  <si>
    <t>MEADOW VIEW NURSING CENTER</t>
  </si>
  <si>
    <t>SCHUYLKILL CENTER</t>
  </si>
  <si>
    <t>LEBANON VALLEY HOME THE</t>
  </si>
  <si>
    <t>HCC AT WHITE HORSE VILLAGE</t>
  </si>
  <si>
    <t>MANORCARE HEALTH SERVICES-KING OF PRUSSIA</t>
  </si>
  <si>
    <t>FOXDALE VILLAGE</t>
  </si>
  <si>
    <t>PATRIOT, A CHOICE COMMUNITY THE</t>
  </si>
  <si>
    <t>VINCENTIAN DE MARILLAC</t>
  </si>
  <si>
    <t>RIVER'S EDGE NURSING AND REHAB</t>
  </si>
  <si>
    <t>CRANBERRY PLACE</t>
  </si>
  <si>
    <t>GARDENS AT CAMPBELLTOWN, THE</t>
  </si>
  <si>
    <t>FOX SUBACUTE AT CLARA BURKE</t>
  </si>
  <si>
    <t>BARCLAY FRIENDS</t>
  </si>
  <si>
    <t>MERCY CENTER NURSING UNIT INC</t>
  </si>
  <si>
    <t>REHAB &amp; NURSING CTR GREATER PITTSBURG</t>
  </si>
  <si>
    <t>CLIVEDEN NURSING AND REHABILITATION CENTER</t>
  </si>
  <si>
    <t>CRAWFORD COUNTY CARE CENTER</t>
  </si>
  <si>
    <t>EPHRATA MANOR</t>
  </si>
  <si>
    <t>LOYALHANNA CARE CENTER</t>
  </si>
  <si>
    <t>HRH TRANSITIONAL CARE UNIT(A D/B/A ENTITY OF HRHS)</t>
  </si>
  <si>
    <t>WOOD RIVER VILLAGE</t>
  </si>
  <si>
    <t>MAPLEWOOD NURSING AND REHAB  CENTER</t>
  </si>
  <si>
    <t>LAKEVIEW HEALTHCARE AND REHABILITATION CENTER</t>
  </si>
  <si>
    <t>HEARTHSIDE REHABILITATION AND NURSING CENTER, THE</t>
  </si>
  <si>
    <t>BUTLER MEMORIAL HOSP TCF</t>
  </si>
  <si>
    <t>SOUTH FAYETTE NURSING CENTER</t>
  </si>
  <si>
    <t>GARDENS AT MILLVILLE, THE</t>
  </si>
  <si>
    <t>LGAR HEALTH AND REHABILITATION</t>
  </si>
  <si>
    <t>HOMETOWN NURSING AND REHAB CEN</t>
  </si>
  <si>
    <t>CUMBERLAND CROSSINGS RETIREMENT COMMUNITY</t>
  </si>
  <si>
    <t>HIGHLAND VIEW HEALTHCARE AND REHABILITATION CENTER</t>
  </si>
  <si>
    <t>ORWIGSBURG CENTER</t>
  </si>
  <si>
    <t>COUNTRYSIDE CONVAL HOME LTD PA</t>
  </si>
  <si>
    <t>PHOEBE BERKS HEALTH CARE CENTE</t>
  </si>
  <si>
    <t>LONGWOOD AT OAKMONT</t>
  </si>
  <si>
    <t>VILLAGE AT PENNWOOD</t>
  </si>
  <si>
    <t>UPMC JAMESON TRANSITIONAL CARE UNTI</t>
  </si>
  <si>
    <t>SNU ARMSTRONG CO MEMORIAL HOSP</t>
  </si>
  <si>
    <t>LAUREL VIEW VILLAGE</t>
  </si>
  <si>
    <t>LATROBE HEALTH AND REHABILITATION CENTER</t>
  </si>
  <si>
    <t>CARE PAVILION NURSING AND REHABILITATION CENTER</t>
  </si>
  <si>
    <t>MEADVILLE MEDICAL CTR TCU</t>
  </si>
  <si>
    <t>VALLEY VIEW NURSING CENTER</t>
  </si>
  <si>
    <t>HOMEWOOD AT MARTINSBURG PA INC</t>
  </si>
  <si>
    <t>HOMEWOOD AT PLUM CREEK</t>
  </si>
  <si>
    <t>GARDENS AT ORANGEVILLE, THE</t>
  </si>
  <si>
    <t>GOLDEN LIVINGCENTER-TITUSVILLE</t>
  </si>
  <si>
    <t>NORMANDIE RIDGE</t>
  </si>
  <si>
    <t>NORTH HILLS HEALTH AND REHABILITATION CENTER</t>
  </si>
  <si>
    <t>SANATOGA CENTER</t>
  </si>
  <si>
    <t>KINGSTON HEALTH CARE CENTER</t>
  </si>
  <si>
    <t>HENRY CLAY VILLA, LP</t>
  </si>
  <si>
    <t>FORESTVIEW</t>
  </si>
  <si>
    <t>BRADFORD ECUMENICAL HOME, INC</t>
  </si>
  <si>
    <t>DARWAY HEALTHCARE AND  REHABILITATION CENTER</t>
  </si>
  <si>
    <t>SUBURBAN WOODS HEALTH AND REHA</t>
  </si>
  <si>
    <t>MANORCARE HEALTH SERVICES-HUNTINGDON VALLEY</t>
  </si>
  <si>
    <t>KINKORA PYTHIAN HOME</t>
  </si>
  <si>
    <t>KIRKLAND VILLAGE</t>
  </si>
  <si>
    <t>BRINTON MANOR</t>
  </si>
  <si>
    <t>SHOOK HOME THE</t>
  </si>
  <si>
    <t>ARTMAN LUTHERAN HOME</t>
  </si>
  <si>
    <t>CHAPEL POINTE AT CARLISLE</t>
  </si>
  <si>
    <t>UPMC MCKEESPORT LONG TERM CARE</t>
  </si>
  <si>
    <t>SACRED HEART HOSPITAL TCF</t>
  </si>
  <si>
    <t>STONERIDGE POPLAR RUN</t>
  </si>
  <si>
    <t>RIDGEVIEW HEALTHCARE &amp; REHAB CENTER</t>
  </si>
  <si>
    <t>SPIRIT OF MERCY SKILLED NURSING CENTER</t>
  </si>
  <si>
    <t>ROTHERMEL L CAPLAN TCU</t>
  </si>
  <si>
    <t>WAYNE WOODLANDS MANOR</t>
  </si>
  <si>
    <t>BERKSHIRE CENTER</t>
  </si>
  <si>
    <t>LEHIGH CENTER</t>
  </si>
  <si>
    <t>TRANSITIONAL SUB-ACUTE UNIT</t>
  </si>
  <si>
    <t>PENN HALL AT MENNO-HAVEN</t>
  </si>
  <si>
    <t>LAWSON NURSING HOME, INC.</t>
  </si>
  <si>
    <t>CENTENNIAL HEALTHCARE AND REHABILITATION CENTER</t>
  </si>
  <si>
    <t>LEHIGH VALLEY HOSPITAL TSU</t>
  </si>
  <si>
    <t>NAAMANS CREEK COUNTRY MANOR</t>
  </si>
  <si>
    <t>SIGNATURE HEALTHCARE OF BLOOMSBURG REHAB &amp; WELLNES</t>
  </si>
  <si>
    <t>GLEN AT WILLOW VALLEY</t>
  </si>
  <si>
    <t>THE CARING PLACE NURSING REHAB &amp; PERSONAL CARE</t>
  </si>
  <si>
    <t>PHILADELPHIA PROTESTANT HOME</t>
  </si>
  <si>
    <t>SHIPPENSBURG HEALTH CARE CENTE</t>
  </si>
  <si>
    <t>UPMC NORTHWEST TRANSITIONAL CARE UNIT</t>
  </si>
  <si>
    <t>CHERRY TREE NURSING CENTER</t>
  </si>
  <si>
    <t>KEARSLEY REHABILITATION AND NURSING CENTER</t>
  </si>
  <si>
    <t>CREEKSIDE HEALTH AND REHABILITATION CENTER</t>
  </si>
  <si>
    <t>ALTOONA CENTER FOR NURSING CARE</t>
  </si>
  <si>
    <t>KITTANNING CARE CENTER</t>
  </si>
  <si>
    <t>GEISINGER-SHAMOKIN AREA COMMUNITY HOSPITAL SNF</t>
  </si>
  <si>
    <t>MANORCARE HEALTH SERVICES-MERCY FI</t>
  </si>
  <si>
    <t>GROVE CITY MEDICAL CENTER TCC</t>
  </si>
  <si>
    <t>MANCHESTER COMMONS</t>
  </si>
  <si>
    <t>MISERICORDIA NURSING &amp; REHABILITATION CENTER</t>
  </si>
  <si>
    <t>LANKENAU HOSPITAL TCC</t>
  </si>
  <si>
    <t>TCU AT NAZARETH HOSPITAL, THE</t>
  </si>
  <si>
    <t>MANORCARE HEALTH SERVICES-MONROEVILLE</t>
  </si>
  <si>
    <t>NORRITON SQUARE NURSING AND REHABILITATION CENTER</t>
  </si>
  <si>
    <t>WESTMINSTER WOODS AT HUNTINGDO</t>
  </si>
  <si>
    <t>POWERBACK REHABILITATION 3485 DAVISVILLE ROAD</t>
  </si>
  <si>
    <t>REDSTONE HIGHLANDS HEALTH CARE</t>
  </si>
  <si>
    <t>WESTON REHABILITATION &amp; NURSING CENTER</t>
  </si>
  <si>
    <t>VILLA SAINT JOSEPH OF BADEN IN</t>
  </si>
  <si>
    <t>SCOTTDALE HEALTHCARE AND REHABILITATION CENTER</t>
  </si>
  <si>
    <t>UPMC TCU</t>
  </si>
  <si>
    <t>HARMAR VILLAGE CARE CENTER</t>
  </si>
  <si>
    <t>JAMESON CARE CENTER</t>
  </si>
  <si>
    <t>COUNTRY MEADOWS NURSING CENTER OF BETHLEHEM</t>
  </si>
  <si>
    <t>MASONIC VILLAGE AT WARMINSTER</t>
  </si>
  <si>
    <t>WILLIAM PENN CARE CENTER</t>
  </si>
  <si>
    <t>AVALON SPRINGS NURSING CENTER</t>
  </si>
  <si>
    <t>CONCORDIA AT THE CEDARS</t>
  </si>
  <si>
    <t>INN AT FREEDOM VILLAGE,THE</t>
  </si>
  <si>
    <t>SETON MANOR INC</t>
  </si>
  <si>
    <t>MARGARET E. MOUL HOME</t>
  </si>
  <si>
    <t>GEISINGER-BLOOMSBURG HEALTH CARE CENTER</t>
  </si>
  <si>
    <t>MANORCARE HEALTH SERVICES-WHITEHALL BOROUGH</t>
  </si>
  <si>
    <t>CONCORDIA AT REBECCA RESIDENCE</t>
  </si>
  <si>
    <t>ARBUTUS PARK MANOR</t>
  </si>
  <si>
    <t>ANGELA JANE PAVILION</t>
  </si>
  <si>
    <t>CLEPPER MANOR</t>
  </si>
  <si>
    <t>MILLCREEK MANOR</t>
  </si>
  <si>
    <t>CONSULATE HEALTH CARE OF NORTH STRABANE</t>
  </si>
  <si>
    <t>ALLIED SERVICES SKILLED NURSING CENTER</t>
  </si>
  <si>
    <t>AVALON NURSING CENTER</t>
  </si>
  <si>
    <t>BALA NURSING AND RETIREMENT CE</t>
  </si>
  <si>
    <t>OLD ORCHARD HEALTH CARE CENTER</t>
  </si>
  <si>
    <t>ABRAMSON RESIDENCE</t>
  </si>
  <si>
    <t>GARDEN SPOT VILLAGE</t>
  </si>
  <si>
    <t>BELLE REVE HEALTH CARE CENTER</t>
  </si>
  <si>
    <t>SAINT MARY'S AT ASBURY RIDGE</t>
  </si>
  <si>
    <t>BELLINGHAM PARK LANE</t>
  </si>
  <si>
    <t>STERLING HEALTH CARE AND REHAB CENTER</t>
  </si>
  <si>
    <t>MON VALLEY CARE CENTER</t>
  </si>
  <si>
    <t>GREEN VALLEY SKILLED NURSING AND REHABILITATION CE</t>
  </si>
  <si>
    <t>MAPLE WINDS CARE CENTER</t>
  </si>
  <si>
    <t>CONCORDIA OF THE SOUTH HILLS</t>
  </si>
  <si>
    <t>PRESTON RESIDENCE</t>
  </si>
  <si>
    <t>VILLAGE AT PENN STATE,  THE</t>
  </si>
  <si>
    <t>RICHFIELD HEALTHCARE AND REHABILITATION CENTER</t>
  </si>
  <si>
    <t>SCRANTON HEALTH CARE CENTER</t>
  </si>
  <si>
    <t>MORAVIAN VILLAGE OF BETHLEHEM</t>
  </si>
  <si>
    <t>UPMC MAGEE-WOMENS HOSPITAL TCU</t>
  </si>
  <si>
    <t>CONNER-WILLIAMS NURSING HOME</t>
  </si>
  <si>
    <t>REHAB AT SHANNONDELL</t>
  </si>
  <si>
    <t>CONEMAUGH MEMORIAL MEDICAL CENTER TCU</t>
  </si>
  <si>
    <t>SHENANGO PRESBYTERIAN SENIORCARE</t>
  </si>
  <si>
    <t>HAVEN CONVALESCENT HOME, INC</t>
  </si>
  <si>
    <t>ANN'S CHOICE</t>
  </si>
  <si>
    <t>GOOD SHEPHERD HOME-BETHLEHEM</t>
  </si>
  <si>
    <t>HEINZ TRANSITIONAL REHABILITATION UNIT</t>
  </si>
  <si>
    <t>SPIRITRUST LUTHERAN THE VILLAGE AT UTZ TERRACE</t>
  </si>
  <si>
    <t>KEPLER CENTER FOR NURSING AND REHABILITATION</t>
  </si>
  <si>
    <t>HEALTH CENTER AT THE HILL AT WHITEMARSH, THE</t>
  </si>
  <si>
    <t>TWIN PINES HEALTH CARE CENTER</t>
  </si>
  <si>
    <t>WYNDMOOR HILLS HEALTH CARE &amp; REHAB CENTER</t>
  </si>
  <si>
    <t>WELLINGTON TERRACE</t>
  </si>
  <si>
    <t>MT HOPE NAZARENE RETIREMENT COMMUNITY</t>
  </si>
  <si>
    <t>PHOEBE WYNCOTE</t>
  </si>
  <si>
    <t>MILLCREEK COMMUNITY HOSPITAL TRANSITIONAL CARE</t>
  </si>
  <si>
    <t>FOX SUBACUTE AT MECHANICSBURG</t>
  </si>
  <si>
    <t>CONTINUING CARE  AT MARIS GROVE</t>
  </si>
  <si>
    <t>PROVIDENCE POINT HEALTHCARE RESIDENCE</t>
  </si>
  <si>
    <t>CHRIST'S HOME RETIREMENT COMMUNITY</t>
  </si>
  <si>
    <t>POWERBACK REHABILITATION PHOENIXVILLE</t>
  </si>
  <si>
    <t>SCHUYLKILL MEDICAL CENTER-SOUTH JACKSON STREET TCU</t>
  </si>
  <si>
    <t>MAPLE FARM</t>
  </si>
  <si>
    <t>WILLOW TERRACE</t>
  </si>
  <si>
    <t>WHITESTONE CARE CENTER</t>
  </si>
  <si>
    <t>LIFECARE HOSPITALS OF PITTSBURGH SNF UNIT</t>
  </si>
  <si>
    <t>WESTMONT WOODS</t>
  </si>
  <si>
    <t>VIBRA REHABILITATION CENTER</t>
  </si>
  <si>
    <t>PENN STATE HERSHEY TRANSITIONAL CARE</t>
  </si>
  <si>
    <t>ALLIED SERVICES TRANSITIONAL REHAB UNIT</t>
  </si>
  <si>
    <t>CH SKILLED NURSING FACILITY OF ALLENTOWN</t>
  </si>
  <si>
    <t>ATHENS HEALTH AND REHABILITATION CENTER</t>
  </si>
  <si>
    <t>HARMONY PHYSICAL REHABILITATION</t>
  </si>
  <si>
    <t>RYDER MEMORIAL HOSPITAL INC</t>
  </si>
  <si>
    <t>DAMAS HOSPITAL SNF</t>
  </si>
  <si>
    <t>CENTRO MEDICO WILMA N VAZQUEZ SNF</t>
  </si>
  <si>
    <t>SERVICIOS INTEGRADOS DE REHABILITACION (SIRO) INC</t>
  </si>
  <si>
    <t>MILLENNIUM INSTITUTE FOR ADVANCE NURSING CARE INC</t>
  </si>
  <si>
    <t>HATTIE IDE CHAFFEE HOME</t>
  </si>
  <si>
    <t>ROYAL OF WESTERLY NURSING CENTER</t>
  </si>
  <si>
    <t>ELDERWOOD AT RIVERSIDE</t>
  </si>
  <si>
    <t>KENT REGENCY CENTER</t>
  </si>
  <si>
    <t>SAINT ELIZABETH HOME, EAST GREENWICH</t>
  </si>
  <si>
    <t>BRIARCLIFFE MANOR</t>
  </si>
  <si>
    <t>GRACE BARKER NURSING CENTER INC.</t>
  </si>
  <si>
    <t>APPLE REHAB WATCH HILL</t>
  </si>
  <si>
    <t>GRANDVIEW CENTER</t>
  </si>
  <si>
    <t>SUNNY VIEW NURSING HOME</t>
  </si>
  <si>
    <t>HALLWORTH HOUSE</t>
  </si>
  <si>
    <t>OAK HILL HEALTH &amp; REHABILITATION CENTER</t>
  </si>
  <si>
    <t>WEST SHORE HEALTH CENTER</t>
  </si>
  <si>
    <t>GOLDEN CREST NURSING CENTRE</t>
  </si>
  <si>
    <t>SILVER CREEK MANOR</t>
  </si>
  <si>
    <t>CEDAR CREST NURSING CENTRE INC</t>
  </si>
  <si>
    <t>HEATHERWOOD REHABILITATION &amp; HEALTH CARE CENTER</t>
  </si>
  <si>
    <t>GRAND ISLANDER CENTER</t>
  </si>
  <si>
    <t>HOPKINS MANOR LTD</t>
  </si>
  <si>
    <t>PARK VIEW CTR FOR REHABILITATION AND HEALTH CARE</t>
  </si>
  <si>
    <t>BANNISTER CTR FOR REHABILITATION AND HEALTH CARE</t>
  </si>
  <si>
    <t>HERITAGE HILLS NURSING &amp; REHABILITATION CENTER</t>
  </si>
  <si>
    <t>FOREST FARM HEALTH CARE CENTER</t>
  </si>
  <si>
    <t>WOONSOCKET HEALTH CENTRE</t>
  </si>
  <si>
    <t>WATERVIEW VILLA REHABILITATION &amp; HEALTH CARE CENTE</t>
  </si>
  <si>
    <t>FRIENDLY HOME INC, THE</t>
  </si>
  <si>
    <t>OVERLOOK NURSING &amp; REHABILITATION CENTER</t>
  </si>
  <si>
    <t>HEBERT NURSING HOME</t>
  </si>
  <si>
    <t>SAINT ELIZABETH MANOR, EAST BAY</t>
  </si>
  <si>
    <t>SCANDINAVIAN HOME INC</t>
  </si>
  <si>
    <t>CHARLESGATE NURSING CENTER</t>
  </si>
  <si>
    <t>CHERRY HILL MANOR</t>
  </si>
  <si>
    <t>SOUTH KINGSTOWN  NURSING &amp; REHABILITATION CENTER</t>
  </si>
  <si>
    <t>EVERGREEN HOUSE HEALTH CENTER</t>
  </si>
  <si>
    <t>ELDERWOOD OF SCALLOP SHELL AT WAKEFIELD</t>
  </si>
  <si>
    <t>ORCHARD VIEW MANOR NURSING &amp; REHABILITATION CENTER</t>
  </si>
  <si>
    <t>AVALON NURSING HOME</t>
  </si>
  <si>
    <t>BRENTWOOD NURSING HOME</t>
  </si>
  <si>
    <t>MORGAN HEALTH CENTER</t>
  </si>
  <si>
    <t>SCALABRINI VILLA</t>
  </si>
  <si>
    <t>PAWTUCKET SKILLED NURSING &amp; REHABILITATION</t>
  </si>
  <si>
    <t>CRA-MAR MEADOWS</t>
  </si>
  <si>
    <t>WEST VIEW HEALTH CARE CENTER</t>
  </si>
  <si>
    <t>WARREN SKILLED NURSING &amp; REHABILITATION</t>
  </si>
  <si>
    <t>CRESTWOOD NURSING &amp; REHABILITATION CENTER</t>
  </si>
  <si>
    <t>SOUTH COUNTY NURSING &amp; REHABILITATION CENTER</t>
  </si>
  <si>
    <t>ELMWOOD NURISNG AND REHABILITATION CENTER</t>
  </si>
  <si>
    <t>JEANNE JUGAN RESIDENCE- LITTLE SISTERS OF THE POOR</t>
  </si>
  <si>
    <t>VILLAGE HOUSE CONVALESCENT HOME INC</t>
  </si>
  <si>
    <t>HOLIDAY RETIREMENT HOME INC</t>
  </si>
  <si>
    <t>JOHN CLARKE RETIREMENT CTR, THE</t>
  </si>
  <si>
    <t>COVENTRY SKILLED NURSING &amp; REHABILITATION</t>
  </si>
  <si>
    <t>TRINITY HEALTH AND REHABILITATION CENTER</t>
  </si>
  <si>
    <t>BAYBERRY COMMONS</t>
  </si>
  <si>
    <t>WESTERLY HEALTH CENTER</t>
  </si>
  <si>
    <t>RIVERVIEW HEALTHCARE COMMUNITY</t>
  </si>
  <si>
    <t>EASTGATE NURSING &amp; REHABILITATION CENTER</t>
  </si>
  <si>
    <t>ELMHURST EXTENDED CARE FACILITY</t>
  </si>
  <si>
    <t>MOUNT ST RITA HEALTH CENTRE</t>
  </si>
  <si>
    <t>BROOKDALE - SMITHFIELD</t>
  </si>
  <si>
    <t>GREENVILLE SKILLED NURSING &amp; REHABILITATION</t>
  </si>
  <si>
    <t>ALPINE NURSING HOME INC</t>
  </si>
  <si>
    <t>LINN HEALTH CARE CENTER</t>
  </si>
  <si>
    <t>STEERE HOUSE NURSING &amp; REHABILITATION CENTER</t>
  </si>
  <si>
    <t>BALLOU HOME FOR THE AGED</t>
  </si>
  <si>
    <t>BETHANY HOME OF RHODE ISLAND</t>
  </si>
  <si>
    <t>MANSION NURSING AND REHABILITATION CENTER</t>
  </si>
  <si>
    <t>HARRIS HEALTH CENTER, LLC</t>
  </si>
  <si>
    <t>PINE GROVE HEALTH CENTER</t>
  </si>
  <si>
    <t>ROBERTS HEALTH CENTRE INC</t>
  </si>
  <si>
    <t>WOODPECKER HILL HEALTH CENTER</t>
  </si>
  <si>
    <t>ST ANTOINE RESIDENCE</t>
  </si>
  <si>
    <t>SHADY ACRES INC</t>
  </si>
  <si>
    <t>HARRIS HEALTH CARE CENTER-NORTH</t>
  </si>
  <si>
    <t>OAKLAND GROVE HEALTH CARE CENTER</t>
  </si>
  <si>
    <t>ST CLARE HOME</t>
  </si>
  <si>
    <t>TOCKWOTTON ON THE WATERFRONT</t>
  </si>
  <si>
    <t>NANCY ANN NURSING HOME, INC.</t>
  </si>
  <si>
    <t>APPLE REHAB CLIPPER</t>
  </si>
  <si>
    <t>CORTLAND PLACE</t>
  </si>
  <si>
    <t>WINGATE AT BLACKSTONE</t>
  </si>
  <si>
    <t>SUMMIT COMMONS REHABILITATION &amp; HEALTH CARE CENTER</t>
  </si>
  <si>
    <t>SOUTHERN PALMETTO HOSPITAL</t>
  </si>
  <si>
    <t>NEWBERRY COUNTY MEMORIAL HOSPITAL</t>
  </si>
  <si>
    <t>MARLBORO PARK HOSPITAL</t>
  </si>
  <si>
    <t>CAROLINAS HOSPITAL SYSTEM MARION</t>
  </si>
  <si>
    <t>MCLEOD MEDICAL CENTER - DARLINGTON</t>
  </si>
  <si>
    <t>CHESTERFIELD GENERAL HOSPITAL</t>
  </si>
  <si>
    <t>CLARENDON MEMORIAL HOSPITAL</t>
  </si>
  <si>
    <t>HAMPTON REGIONAL MEDICAL CENTER</t>
  </si>
  <si>
    <t>THE COTTAGES AT BRUSHY CREEK</t>
  </si>
  <si>
    <t>CHERAW HEALTHCARE</t>
  </si>
  <si>
    <t>HEARTLAND OF COLUMBIA REHAB AND NURSING CENTER</t>
  </si>
  <si>
    <t>FAITH HEALTHCARE CENTER</t>
  </si>
  <si>
    <t>ELLEN SAGAR NURSING CENTER</t>
  </si>
  <si>
    <t>PRUITTHEALTH- COLUMBIA</t>
  </si>
  <si>
    <t>AZALEAWOODS REHAB &amp; NURSING CENTER</t>
  </si>
  <si>
    <t>FELLOWSHIP HEALTH &amp; REHAB OF ANDERSON, LLC</t>
  </si>
  <si>
    <t>WHITE OAK MANOR - LANCASTER</t>
  </si>
  <si>
    <t>MAJESTY HEALTH &amp; REHAB OF EASLEY, LLC</t>
  </si>
  <si>
    <t>WHITE OAK MANOR - SPARTANBURG</t>
  </si>
  <si>
    <t>MOUNTAINVIEW NURSING HOME</t>
  </si>
  <si>
    <t>MAGNOLIA MANOR - INMAN</t>
  </si>
  <si>
    <t>J F HAWKINS NURSING HOME</t>
  </si>
  <si>
    <t>LAUREL BAYE HEALTHCARE OF GREENVILLE</t>
  </si>
  <si>
    <t>ELLENBURG NURSING CENTER, INC</t>
  </si>
  <si>
    <t>BLUE RIDGE IN GEORGETOWN</t>
  </si>
  <si>
    <t>NHC HEALTHCARE -  ANDERSON</t>
  </si>
  <si>
    <t>PRUITTHEALTH-WALTERBORO</t>
  </si>
  <si>
    <t>NHC HEALTHCARE - LAURENS</t>
  </si>
  <si>
    <t>JOLLEY ACRES HEALTHCARE CENTER</t>
  </si>
  <si>
    <t>ABBEVILLE NURSING HOME, INC.</t>
  </si>
  <si>
    <t>CHESTER NURSING CENTER</t>
  </si>
  <si>
    <t>BLUE RIDGE IN BROOKVIEW HOUSE, LLC</t>
  </si>
  <si>
    <t>NHC HEALTHCARE - GREENWOOD</t>
  </si>
  <si>
    <t>OAKHAVEN NURSING CENTER</t>
  </si>
  <si>
    <t>BAYVIEW MANOR</t>
  </si>
  <si>
    <t>WHITE OAK MANOR - COLUMBIA</t>
  </si>
  <si>
    <t>MYRTLE BEACH MANOR</t>
  </si>
  <si>
    <t>NHC HEALTHCARE - CLINTON</t>
  </si>
  <si>
    <t>C M TUCKER JR NURSING CARE</t>
  </si>
  <si>
    <t>GHS LILA DOYLE</t>
  </si>
  <si>
    <t>WHITE OAK MANOR - NEWBERRY</t>
  </si>
  <si>
    <t>HEALTHCARE CENTER OF WESLEY COMMONS</t>
  </si>
  <si>
    <t>KERSHAWHEALTH KARESH LONG TERM CARE</t>
  </si>
  <si>
    <t>SALUDA NURSING CENTER</t>
  </si>
  <si>
    <t>RIVERSIDE HEALTH AND REHAB</t>
  </si>
  <si>
    <t>MANNA REHABILITATION &amp; HEALTHCARE CENTER, LLC</t>
  </si>
  <si>
    <t>PRUITTHEALTH-ORANGEBURG</t>
  </si>
  <si>
    <t>LORIS REHAB AND NURSING CENTER, LLC</t>
  </si>
  <si>
    <t>WHITE OAK MANOR - ROCK HILL</t>
  </si>
  <si>
    <t>WHITE OAK MANOR - YORK</t>
  </si>
  <si>
    <t>MAGNOLIA MANOR - GREENVILLE</t>
  </si>
  <si>
    <t>MAGNOLIA MANOR - SPARTANBURG</t>
  </si>
  <si>
    <t>PEACHTREE CENTRE</t>
  </si>
  <si>
    <t>VALLEY FALLS TERRACE</t>
  </si>
  <si>
    <t>PRUITTHEALTH-BARNWELL</t>
  </si>
  <si>
    <t>THE HERITAGE AT LOWMAN REHAB AND HEALTHCARE</t>
  </si>
  <si>
    <t>POINSETT REHABILITATION AND HEALTHCARE CENTER, LLC</t>
  </si>
  <si>
    <t>PRUITTHEALTH BAMBERG</t>
  </si>
  <si>
    <t>MILLENNIUM POST ACUTE REHABILITATION</t>
  </si>
  <si>
    <t>HEARTLAND HEALTH CARE CENTER - GREENVILLE EAST</t>
  </si>
  <si>
    <t>SUMTER EAST HEALTH &amp; REHABILITATION CENTER</t>
  </si>
  <si>
    <t>NHC HEALTHCARE - SUMTER</t>
  </si>
  <si>
    <t>MOUNT PLEASANT MANOR</t>
  </si>
  <si>
    <t>MORRELL NURSING CENTER</t>
  </si>
  <si>
    <t>DIAMOND HEALTH &amp; REHAB OF SIMPSONVILLE, LLC</t>
  </si>
  <si>
    <t>PRUITTHEALTH-DILLON</t>
  </si>
  <si>
    <t>WINDSOR MANOR</t>
  </si>
  <si>
    <t>HONORAGE NURSING CENTER</t>
  </si>
  <si>
    <t>ORANGEBURG REHABILITATION AND HEALTHCARE CENTER</t>
  </si>
  <si>
    <t>KINGSTREE NURSING FACILITY</t>
  </si>
  <si>
    <t>DUNDEE MANOR, LLC</t>
  </si>
  <si>
    <t>COMMANDER NURSING CENTER</t>
  </si>
  <si>
    <t>CONWAY MANOR</t>
  </si>
  <si>
    <t>INMAN HEALTHCARE</t>
  </si>
  <si>
    <t>PRUITTHEALTH- ROCK HILL</t>
  </si>
  <si>
    <t>WHITE OAK MANOR - CHARLESTON</t>
  </si>
  <si>
    <t>BRIAN CENTER NURSING CARE - ST ANDREWS</t>
  </si>
  <si>
    <t>THE METHODIST OAKS</t>
  </si>
  <si>
    <t>RIDGELAND NURSING CENTER INC</t>
  </si>
  <si>
    <t>ALPHA HEALTH &amp; REHAB OF GREER, LLC</t>
  </si>
  <si>
    <t>SENECA HEALTH &amp; REHABILITATION CENTER</t>
  </si>
  <si>
    <t>UNIHEALTH POST ACUTE CARE OF MONCKS CORNER</t>
  </si>
  <si>
    <t>HEARTLAND HEALTH CARE CENTER - UNION</t>
  </si>
  <si>
    <t>ST GEORGE HEALTHCARE CENTER</t>
  </si>
  <si>
    <t>PRUITTHEALTH-AIKEN</t>
  </si>
  <si>
    <t>SANDPIPER REHAB &amp; NURSING</t>
  </si>
  <si>
    <t>LIFE CARE CENTER OF HILTON HEAD</t>
  </si>
  <si>
    <t>LAKE CITY SCRANTON HEALTHCARE CENTER</t>
  </si>
  <si>
    <t>FRASER HEALTH CENTER</t>
  </si>
  <si>
    <t>HERITAGE HOME OF FLORENCE INC</t>
  </si>
  <si>
    <t>LANCASTER CONVALESCENT CENTER</t>
  </si>
  <si>
    <t>OAKBROOK HEALTH AND REHABILITATION CENTER</t>
  </si>
  <si>
    <t>SOUTHLAND HEALTH CARE CENTER</t>
  </si>
  <si>
    <t>FAIRFIELD HEALTH CARE CENTER</t>
  </si>
  <si>
    <t>AGAPE REHABILITATION OF ROCK HILL</t>
  </si>
  <si>
    <t>ROLLING GREEN VILLAGE</t>
  </si>
  <si>
    <t>FLORENCE REHAB &amp; NURSING CENTER</t>
  </si>
  <si>
    <t>MAGNOLIA MANOR - ROCK HILL</t>
  </si>
  <si>
    <t>FOUNTAIN INN CONVALESCENT CENTER</t>
  </si>
  <si>
    <t>SPRINGDALE HEALTHCARE CENTER</t>
  </si>
  <si>
    <t>SAINT MATTHEWS HEALTH CARE, LLC</t>
  </si>
  <si>
    <t>PETRA HEALTH &amp; REHAB OF MCCORMICK</t>
  </si>
  <si>
    <t>MAGNOLIA MANOR - GREENWOOD</t>
  </si>
  <si>
    <t>KINGSTON NURSING CENTER</t>
  </si>
  <si>
    <t>MCCOY MEMORIAL NURSING CENTER</t>
  </si>
  <si>
    <t>MAGNOLIA PLACE - SPARTANBURG</t>
  </si>
  <si>
    <t>MEDFORD NURSING CENTER</t>
  </si>
  <si>
    <t>WOODRUFF MANOR, LLC</t>
  </si>
  <si>
    <t>MAGNOLIA MANOR - COLUMBIA</t>
  </si>
  <si>
    <t>PRUITTHEALTH RIDGEWAY</t>
  </si>
  <si>
    <t>HEARTLAND HEALTH AND REHABILITATION CARE CENTER-HA</t>
  </si>
  <si>
    <t>WHITE OAK ESTATES</t>
  </si>
  <si>
    <t>WESTMINSTER HEALTH &amp; REHAB CENTER</t>
  </si>
  <si>
    <t>TRINITY MISSION HEALTH &amp; REHAB OF EDGEFIELD</t>
  </si>
  <si>
    <t>HEARTLAND HEALTH CARE CENTER - GREENVILLE WEST</t>
  </si>
  <si>
    <t>PRINCE GEORGE HEALTHCARE CENTER</t>
  </si>
  <si>
    <t>PRUITTHEALTH NORTH AUGUSTA</t>
  </si>
  <si>
    <t>LAUREL BAYE HEALTHCARE  OF WILLISTON LLC</t>
  </si>
  <si>
    <t>CAPSTONE HEALTH &amp; REHAB OF EASLEY</t>
  </si>
  <si>
    <t>LAKE MARION NURSING FACILITY</t>
  </si>
  <si>
    <t>RICHARD M CAMPBELL VETERANS NURSING HOME</t>
  </si>
  <si>
    <t>CHESTERFIELD CONVALESCENT CENTER</t>
  </si>
  <si>
    <t>LAKE EMORY POST ACUTE CARE</t>
  </si>
  <si>
    <t>PATEWOOD REHABILITATION &amp; HEALTHCARE CENTER</t>
  </si>
  <si>
    <t>HERITAGE HEALTHCARE OF PICKENS</t>
  </si>
  <si>
    <t>HOPE HEALTH &amp; REHAB OF MARIETTA,</t>
  </si>
  <si>
    <t>PEPPER HILL NURSING &amp; REHAB CENTER, LLC</t>
  </si>
  <si>
    <t>DR RONALD E MCNAIR NURSING &amp; REHABILITATION CENTER</t>
  </si>
  <si>
    <t>BLUE RIDGE OF SUMTER</t>
  </si>
  <si>
    <t>ANCHOR HEALTH &amp; REHAB OF AIKEN</t>
  </si>
  <si>
    <t>MULLINS NURSING CENTER</t>
  </si>
  <si>
    <t>HOSANNA HEALTH AND REHAB OF PIEDMONT</t>
  </si>
  <si>
    <t>PRUITTHEALTH ESTILL</t>
  </si>
  <si>
    <t>GOLDEN AGE - INMAN</t>
  </si>
  <si>
    <t>IVA REHABILITATION AND HEALTHCARE CENTER, LLC</t>
  </si>
  <si>
    <t>LAUREL BAYE HEALTHCARE BLACKVILLE</t>
  </si>
  <si>
    <t>NHC HEALTHCARE - NORTH AUGUSTA</t>
  </si>
  <si>
    <t>L.M.C.- EXTENDED CARE</t>
  </si>
  <si>
    <t>NHC HEALTHCARE - GREENVILLE</t>
  </si>
  <si>
    <t>GRAND STRAND HEALTHCARE</t>
  </si>
  <si>
    <t>NHC HEALTHCARE - GARDEN CITY</t>
  </si>
  <si>
    <t>THE PRESTON HEALTH CENTER</t>
  </si>
  <si>
    <t>HALLMARK HEALTHCARE CENTER</t>
  </si>
  <si>
    <t>LIFE CARE CENTER OF CHARLESTON</t>
  </si>
  <si>
    <t>NHC HEALTHCARE - LEXINGTON</t>
  </si>
  <si>
    <t>MARTHA FRANKS BAPTIST RETIREMENT CENTER</t>
  </si>
  <si>
    <t>LIFE CARE CENTER OF COLUMBIA</t>
  </si>
  <si>
    <t>BMC SUBACUTE REHAB CENTER</t>
  </si>
  <si>
    <t>LAKE MOULTRIE NURSING HOME</t>
  </si>
  <si>
    <t>PALMETTO HEALTH TUOMEY SUBACUTE SKILLED CARE</t>
  </si>
  <si>
    <t>BROAD CREEK CARE CENTER</t>
  </si>
  <si>
    <t>NHC HEALTHCARE - PARKLANE</t>
  </si>
  <si>
    <t>SPRINGS MEMORIAL HOSPITAL TCU</t>
  </si>
  <si>
    <t>NHC HEALTHCARE - MAULDIN</t>
  </si>
  <si>
    <t>C M TUCKER NURSING CARE CENTER / RODDEY</t>
  </si>
  <si>
    <t>MAGNOLIA PLACE - GREENVILLE</t>
  </si>
  <si>
    <t>HEARTLAND OF WEST ASHLEY REHAB AND NURSING CENTER</t>
  </si>
  <si>
    <t>HARVEST HEALTH &amp; REHAB OF JOHNS ISLAND</t>
  </si>
  <si>
    <t>GHS LAURENS COUNTY MEMORIAL SUBACUTE UNIT</t>
  </si>
  <si>
    <t>COUNTRYWOOD NURSING CENTER, LLC</t>
  </si>
  <si>
    <t>BETHEA BAPTIST HEALTHCARE CENTER</t>
  </si>
  <si>
    <t>EMERITUS AT GREENVILLE</t>
  </si>
  <si>
    <t>FRANKE HEALTH CARE CENTER</t>
  </si>
  <si>
    <t>WILLOW BROOK COURT AT PARK POINTE VILLAGE</t>
  </si>
  <si>
    <t>ROSECREST REHABILITATION AND HEALTHCARE CENTER</t>
  </si>
  <si>
    <t>AGAPE NURSING &amp; REHAB CENTER</t>
  </si>
  <si>
    <t>THE LAKES AT LITCHFIELD SNF</t>
  </si>
  <si>
    <t>NHC HEALTH CARE,  CHARLESTON</t>
  </si>
  <si>
    <t>COVENANT TOWERS HEALTHCARE CENTER</t>
  </si>
  <si>
    <t>GHS GREENVILLE  MEDICAL CENTER SUBACUTE UNIT</t>
  </si>
  <si>
    <t>SPARTANBURG HOSPITAL FOR RESTORATIVE CARE SNF</t>
  </si>
  <si>
    <t>WILDEWOOD DOWNS NURSING AND REHABILITATION CENTER</t>
  </si>
  <si>
    <t>VETERANS VICTORY HOUSE</t>
  </si>
  <si>
    <t>RICE NURSING HOME</t>
  </si>
  <si>
    <t>GREENWOOD TRANSITIONAL REHABILITATION UNIT</t>
  </si>
  <si>
    <t>PRESBYTERIAN HOME OF SC - SUMMERVILLE</t>
  </si>
  <si>
    <t>SUMMIT HILLS SKILLED NURSING FACILITY</t>
  </si>
  <si>
    <t>AGAPE REHABILITATION OF CONWAY</t>
  </si>
  <si>
    <t>LINVILLE COURT AT THE CASCADES VERDAE</t>
  </si>
  <si>
    <t>PRESBYTERIAN HOME OF SC - CLINTON</t>
  </si>
  <si>
    <t>THE ARBORETUM AT THE WOODLANDS</t>
  </si>
  <si>
    <t>THE RETREAT AT BRIGHTWATER</t>
  </si>
  <si>
    <t>PRESBYTERIAN HOME OF SC - COLUMBIA</t>
  </si>
  <si>
    <t>NHC HEALTHCARE - BLUFFTON</t>
  </si>
  <si>
    <t>BROOKDALE ANDERSON</t>
  </si>
  <si>
    <t>PRUITTHEALTH-BLYTHEWOOD</t>
  </si>
  <si>
    <t>STILL HOPES EPISCOPAL RETIREMENT COMMUNITY</t>
  </si>
  <si>
    <t>COVENANT PLACE NURSING CENTER</t>
  </si>
  <si>
    <t>PRESBYTERIAN HOME OF SC - FOOTHILLS</t>
  </si>
  <si>
    <t>SAVANNAH GRACE AT THE PALMS OF MT PLEASANT</t>
  </si>
  <si>
    <t>VIBRA HOSPITAL OF CHARLESTON -TCU</t>
  </si>
  <si>
    <t>PRAIRIE LAKES HOSPITAL</t>
  </si>
  <si>
    <t>BROOKINGS HEALTH SYSTEM</t>
  </si>
  <si>
    <t>AVERA SACRED HEART HOSPITAL</t>
  </si>
  <si>
    <t>AVERA QUEEN OF PEACE</t>
  </si>
  <si>
    <t>AVERA ST LUKES</t>
  </si>
  <si>
    <t>AVERA ST MARY'S HOSPITAL</t>
  </si>
  <si>
    <t>GOLDEN LIVINGCENTER - MILBANK</t>
  </si>
  <si>
    <t>SUNQUEST HEALTHCARE CENTER</t>
  </si>
  <si>
    <t>AVERA ROSEBUD COUNTRY CARE CENTER</t>
  </si>
  <si>
    <t>GOLDEN LIVINGCENTER - COVINGTON HEIGHTS</t>
  </si>
  <si>
    <t>CUSTER REGIONAL SENIOR CARE</t>
  </si>
  <si>
    <t>WESTHILLS VILLAGE HEALTH CARE FACILITY</t>
  </si>
  <si>
    <t>AVERA MARYHOUSE LONG TERM CARE</t>
  </si>
  <si>
    <t>BELLE FOURCHE HEALTHCARE COMMUNITY</t>
  </si>
  <si>
    <t>JENKINS LIVING CENTER</t>
  </si>
  <si>
    <t>CLARKSON HEALTH CARE</t>
  </si>
  <si>
    <t>TEKAKWITHA LIVING CENTER</t>
  </si>
  <si>
    <t>SOUTHRIDGE HEALTH CARE CENTER</t>
  </si>
  <si>
    <t>GOLDEN LIVINGCENTER - PRAIRIE HILLS</t>
  </si>
  <si>
    <t>ABERDEEN HEALTH AND REHAB</t>
  </si>
  <si>
    <t>AVERA MOTHER JOSEPH MANOR RETIREMENT COMMUNITY</t>
  </si>
  <si>
    <t>DAVID M DORSETT HEALTHCARE COMMUNITY</t>
  </si>
  <si>
    <t>GOOD SAMARITAN SOCIETY LUTHER MANOR</t>
  </si>
  <si>
    <t>GOOD SAMARITAN SOCIETY SIOUX FALLS VILLAGE</t>
  </si>
  <si>
    <t>GOOD SAMARITAN SOCIETY SIOUX FALLS CENTER</t>
  </si>
  <si>
    <t>GOLDEN LIVINGCENTER - PIERRE</t>
  </si>
  <si>
    <t>GOLDEN LIVINGCENTER - GROTON</t>
  </si>
  <si>
    <t>GOLDEN LIVINGCENTER - SALEM</t>
  </si>
  <si>
    <t>GOLDEN LIVINGCENTER - ARLINGTON</t>
  </si>
  <si>
    <t>GOLDEN LIVINGCENTER - MEADOWBROOK</t>
  </si>
  <si>
    <t>GOLDEN LIVINGCENTER - MOBRIDGE</t>
  </si>
  <si>
    <t>GOLDEN LIVINGCENTER - MADISON</t>
  </si>
  <si>
    <t>GOLDEN LIVINGCENTER - REDFIELD</t>
  </si>
  <si>
    <t>GOLDEN LIVINGCENTER - IPSWICH</t>
  </si>
  <si>
    <t>WINNER REGIONAL HEALTHCARE CENTER</t>
  </si>
  <si>
    <t>GOLDEN LIVINGCENTER - ARMOUR</t>
  </si>
  <si>
    <t>GOLDEN LIVINGCENTER - CLARK</t>
  </si>
  <si>
    <t>GOLDEN LIVINGCENTER - LAKE NORDEN</t>
  </si>
  <si>
    <t>GOLDEN LIVINGCENTER - BELLA VISTA</t>
  </si>
  <si>
    <t>AVERA BRADY HEALTH AND REHAB</t>
  </si>
  <si>
    <t>ALCESTER CARE AND REHAB CENTER, INC</t>
  </si>
  <si>
    <t>GOLDEN LIVINGCENTER - BLACK HILLS</t>
  </si>
  <si>
    <t>PRAIRIE ESTATES HEALTHCARE COMMUNITY</t>
  </si>
  <si>
    <t>AVERA PRINCE OF PEACE</t>
  </si>
  <si>
    <t>GOLDEN LIVINGCENTER - WATERTOWN</t>
  </si>
  <si>
    <t>TIESZEN MEMORIAL HOME</t>
  </si>
  <si>
    <t>AVERA SR JAMES CARE CENTER/AVERA YANKTON CARE CENT</t>
  </si>
  <si>
    <t>SEVEN SISTERS LIVING CENTER</t>
  </si>
  <si>
    <t>BETHESDA HOME OF ABERDEEN</t>
  </si>
  <si>
    <t>GOOD SAMARITAN SOCIETY DE SMET</t>
  </si>
  <si>
    <t>GOOD SAMARITAN SOCIETY HOWARD</t>
  </si>
  <si>
    <t>BETHEL LUTHERAN HOME</t>
  </si>
  <si>
    <t>BRYANT PARKVIEW CARE CENTER</t>
  </si>
  <si>
    <t>AVERA EUREKA HEALTH CARE CENTER</t>
  </si>
  <si>
    <t>UNITED LIVING COMMUNITY</t>
  </si>
  <si>
    <t>BETHESDA OF BERESFORD</t>
  </si>
  <si>
    <t>GOOD SAMARITAN SOCIETY LENNOX</t>
  </si>
  <si>
    <t>THE NEIGHBORHOODS AT BROOKVIEW</t>
  </si>
  <si>
    <t>FAULKTON SENIOR LIVING</t>
  </si>
  <si>
    <t>GOOD SAMARITAN SOCIETY CANISTOTA</t>
  </si>
  <si>
    <t>CENTERVILLE CARE AND REHAB CENTER</t>
  </si>
  <si>
    <t>GOOD SAMARITAN SOCIETY CORSICA</t>
  </si>
  <si>
    <t>FIVE COUNTIES NURSING HOME</t>
  </si>
  <si>
    <t>GOOD SAMARITAN SOCIETY TRIPP</t>
  </si>
  <si>
    <t>HIGHMORE HEALTH</t>
  </si>
  <si>
    <t>SUN DIAL MANOR</t>
  </si>
  <si>
    <t>WAKONDA HERITAGE MANOR</t>
  </si>
  <si>
    <t>GOOD SAMARITAN SOCIETY SCOTLAND</t>
  </si>
  <si>
    <t>BETHANY HOME SIOUX FALLS</t>
  </si>
  <si>
    <t>LAKE ANDES SENIOR LIVING</t>
  </si>
  <si>
    <t>GOOD SAMARITAN SOCIETY TYNDALL</t>
  </si>
  <si>
    <t>ESTELLINE NURSING AND CARE CENTER</t>
  </si>
  <si>
    <t>SUNSET MANOR AVERA HEALTH</t>
  </si>
  <si>
    <t>GOOD SAMARITAN SOCIETY CANTON</t>
  </si>
  <si>
    <t>STURGIS REGIONAL SENIOR CARE</t>
  </si>
  <si>
    <t>GOOD SAMARITAN SOCIETY NEW UNDERWOOD</t>
  </si>
  <si>
    <t>WHEATCREST HILLS HEALTHCARE COMMUNITY</t>
  </si>
  <si>
    <t>GOOD SAMARITAN SOCIETY WAGNER</t>
  </si>
  <si>
    <t>BOWDLE NURSING HOME</t>
  </si>
  <si>
    <t>FIRESTEEL HEALTHCARE COMMUNITY</t>
  </si>
  <si>
    <t>FOUNTAIN SPRINGS HEALTHCARE</t>
  </si>
  <si>
    <t>WHITE SENIOR LIVING</t>
  </si>
  <si>
    <t>OAKVIEW TERRACE</t>
  </si>
  <si>
    <t>MENNO-OLIVET CARE CENTER</t>
  </si>
  <si>
    <t>DIAMOND CARE CENTER</t>
  </si>
  <si>
    <t>PALISADE HEALTHCARE COMMUNITY</t>
  </si>
  <si>
    <t>GOOD SAMARITAN SOCIETY DEUEL COUNTY</t>
  </si>
  <si>
    <t>PRAIRIE VIEW HEALTHCARE COMMUNITY</t>
  </si>
  <si>
    <t>WILMOT CARE CENTER INC</t>
  </si>
  <si>
    <t>PIONEER MEMORIAL NURSING HOME</t>
  </si>
  <si>
    <t>NORTHEAST CARE CENTER</t>
  </si>
  <si>
    <t>ST WILLIAM'S CARE CENTER</t>
  </si>
  <si>
    <t>GOOD SAMARITAN SOCIETY SELBY</t>
  </si>
  <si>
    <t>GOOD SAMARITAN SOCIETY MILLER</t>
  </si>
  <si>
    <t>STRAND-KJORSVIG COMMUNITY REST HOME</t>
  </si>
  <si>
    <t>VIOLET TSCHETTER MEMORIAL HOME</t>
  </si>
  <si>
    <t>DOW RUMMEL VILLAGE</t>
  </si>
  <si>
    <t>DELLS NURSING AND REHAB CENTER INC</t>
  </si>
  <si>
    <t>BETHANY HOME - BRANDON</t>
  </si>
  <si>
    <t>HUDSON CARE AND REHAB CENTER</t>
  </si>
  <si>
    <t>AURORA BRULE NURSING HOME INC</t>
  </si>
  <si>
    <t>UNITY MEDICAL CENTER</t>
  </si>
  <si>
    <t>WAYNE MEDICAL CENTER</t>
  </si>
  <si>
    <t>BAPTIST MEMORIAL HOSPITAL HUNTINGDON</t>
  </si>
  <si>
    <t>SOUTHERN TENNESSEE REGIONAL HEALTH SYSTEM PULASKI</t>
  </si>
  <si>
    <t>WELLMONT HAWKINS COUNTY MEMORIAL HOSPITAL</t>
  </si>
  <si>
    <t>PERRY COMMUNITY HOSPITAL</t>
  </si>
  <si>
    <t>TENNOVA HEALTHCARE-MCNAIRY REGIONAL</t>
  </si>
  <si>
    <t>MILAN GENERAL HOSPITAL</t>
  </si>
  <si>
    <t>LAKEWAY REGIONAL HOSPITAL</t>
  </si>
  <si>
    <t>DECATUR COUNTY GENERAL HOSPITAL</t>
  </si>
  <si>
    <t>TENNOVA HEALTHCARE-DYERSBURG REGIONAL</t>
  </si>
  <si>
    <t>HARDIN MEDICAL CENTER</t>
  </si>
  <si>
    <t>CUMBERLAND RIVER HOSPITAL</t>
  </si>
  <si>
    <t>SAINT THOMAS DEKALB HOSPITAL</t>
  </si>
  <si>
    <t>SOUTHERN TENNESSEE REGIONAL HEALTH SYSTEM LAWRENCE</t>
  </si>
  <si>
    <t>BOLIVAR GENERAL HOSPITAL</t>
  </si>
  <si>
    <t>LIVINGSTON REGIONAL HOSPITAL</t>
  </si>
  <si>
    <t>HOUSTON COUNTY COMMUNITY HOSPITAL</t>
  </si>
  <si>
    <t>NHC HEALTHCARE, OAKWOOD</t>
  </si>
  <si>
    <t>NHC HEALTHCARE, DICKSON</t>
  </si>
  <si>
    <t>ST BARNABAS AT SISKIN HOSPITAL</t>
  </si>
  <si>
    <t>NHC HEALTHCARE, CHATTANOOGA</t>
  </si>
  <si>
    <t>ASBURY PLACE AT MARYVILLE</t>
  </si>
  <si>
    <t>NHC HEALTHCARE, JOHNSON CITY</t>
  </si>
  <si>
    <t>NHC HEALTHCARE, HILLVIEW</t>
  </si>
  <si>
    <t>NASHVILLE COMMUNITY CARE &amp; REHABILITATION AT BORDE</t>
  </si>
  <si>
    <t>NHC HEALTHCARE, MILAN</t>
  </si>
  <si>
    <t>CLAIBORNE COUNTY NURSING HOME</t>
  </si>
  <si>
    <t>SIGNATURE HEALTHCARE OF MADISON</t>
  </si>
  <si>
    <t>NHC HEALTHCARE, MCMINNVILLE</t>
  </si>
  <si>
    <t>UNICOI CO NURSING HOME</t>
  </si>
  <si>
    <t>NHC HEALTHCARE, SPRINGFIELD</t>
  </si>
  <si>
    <t>NHC HEALTHCARE, LEWISBURG</t>
  </si>
  <si>
    <t>NHC HEALTHCARE, KNOXVILLE</t>
  </si>
  <si>
    <t>NHC HEALTHCARE, ATHENS</t>
  </si>
  <si>
    <t>NHC HEALTHCARE, PULASKI</t>
  </si>
  <si>
    <t>SHANNONDALE HEALTH CARE CENTER</t>
  </si>
  <si>
    <t>NHC HEALTHCARE, FT SANDERS</t>
  </si>
  <si>
    <t>NHC HEALTHCARE, MURFREESBORO</t>
  </si>
  <si>
    <t>NHC HEALTHCARE, COLUMBIA</t>
  </si>
  <si>
    <t>NHC HEALTHCARE, COOKEVILLE</t>
  </si>
  <si>
    <t>HEALTH CENTER AT STANDIFER PLACE, THE</t>
  </si>
  <si>
    <t>TREVECCA HEALTH CARE CENTER</t>
  </si>
  <si>
    <t>WESTMORELAND HEALTH AND REHABILITATION CENTER</t>
  </si>
  <si>
    <t>TENNOVA LAFOLLETTE HEALTH AND REHAB CENTER</t>
  </si>
  <si>
    <t>NHC HEALTHCARE, SMITHVILLE</t>
  </si>
  <si>
    <t>NHC HEALTHCARE, SCOTT</t>
  </si>
  <si>
    <t>ASHTON PLACE HEALTH &amp; REHAB CENTER</t>
  </si>
  <si>
    <t>NHC HEALTHCARE, SOMERVILLE</t>
  </si>
  <si>
    <t>ALEXIAN VILLAGE OF TENNESSEE</t>
  </si>
  <si>
    <t>GOLDEN LIVINGCENTER - BRANDYWOOD</t>
  </si>
  <si>
    <t>NHC HEALTHCARE, SEQUATCHIE</t>
  </si>
  <si>
    <t>NHC HEALTHCARE, FRANKLIN</t>
  </si>
  <si>
    <t>NHC HEALTHCARE, OAK RIDGE</t>
  </si>
  <si>
    <t>FORT SANDERS SEVIER NURSING HOME</t>
  </si>
  <si>
    <t>NHC HEALTHCARE, SPARTA</t>
  </si>
  <si>
    <t>BEVERLY PARK PLACE HEALTH AND REHAB</t>
  </si>
  <si>
    <t>SEVIERVILLE HEALTH AND REHABILITATION CENTER</t>
  </si>
  <si>
    <t>ALLEN MORGAN HEALTH AND REHABILITATION CENTER</t>
  </si>
  <si>
    <t>GOLDEN LIVINGCENTER - WINDWOOD</t>
  </si>
  <si>
    <t>SIGNATURE HEALTHCARE OF PUTNAM COUNTY</t>
  </si>
  <si>
    <t>GOLDEN LIVINGCENTER - SPRINGFIELD</t>
  </si>
  <si>
    <t>GOLDEN LIVING CENTER - UNION CITY</t>
  </si>
  <si>
    <t>SIGNATURE HEALTHCARE AT ST PETER VILLA</t>
  </si>
  <si>
    <t>SIGNATURE HEALTHCARE OF PRIMACY</t>
  </si>
  <si>
    <t>BRADLEY HEALTH CARE &amp; REHAB</t>
  </si>
  <si>
    <t>BRIDGE AT ROCKWOOD, THE</t>
  </si>
  <si>
    <t>GOLDEN LIVINGCENTER - MOUNTAIN VIEW</t>
  </si>
  <si>
    <t>GRACE HEALTHCARE OF FRANKLIN</t>
  </si>
  <si>
    <t>DONELSON PLACE CARE &amp; REHABILITATION CENTER</t>
  </si>
  <si>
    <t>SIGNATURE HEALTHCARE AT SAINT FRANCIS</t>
  </si>
  <si>
    <t>POPLAR POINT HEALTH &amp; REHABILITATION</t>
  </si>
  <si>
    <t>QUALITY CARE HEALTH CENTER</t>
  </si>
  <si>
    <t>DIVERSICARE OF DOVER</t>
  </si>
  <si>
    <t>LAUREL MANOR HEALTH CARE</t>
  </si>
  <si>
    <t>CLAIBORNE AND HUGHES HLTH CNTR</t>
  </si>
  <si>
    <t>BETHANY HEALTH CARE CENTER</t>
  </si>
  <si>
    <t>MAYFIELD REHABILITATION CENTER</t>
  </si>
  <si>
    <t>AGAPE NURSING AND REHABILIATION CENTER, LLC</t>
  </si>
  <si>
    <t>HIGHLANDS OF MEMPHIS HEALTH &amp; REHAB</t>
  </si>
  <si>
    <t>THE HEALTH CENTER AT RICHLAND PLACE</t>
  </si>
  <si>
    <t>LIFE CARE CENTER OF CROSSVILLE</t>
  </si>
  <si>
    <t>GOOD SAMARITAN HEALTH AND REHAB CENTER</t>
  </si>
  <si>
    <t>CHRISTIAN CARE CENTER OF BEDFORD COUNTY, LLC</t>
  </si>
  <si>
    <t>KINDRED NURSING AND REHABILITATION-SMITH COUNTY</t>
  </si>
  <si>
    <t>LINCOLN DONALSON CARE CENTERS</t>
  </si>
  <si>
    <t>BROOKHAVEN MANOR</t>
  </si>
  <si>
    <t>NHC HEALTHCARE, LAWRENCEBURG</t>
  </si>
  <si>
    <t>GALLATIN HEALTH CARE CENTER, LLC</t>
  </si>
  <si>
    <t>PALMYRA HEALTH CARE CENTER</t>
  </si>
  <si>
    <t>WEST TN TRANSITIONAL CARE</t>
  </si>
  <si>
    <t>KIRBY PINES MANOR</t>
  </si>
  <si>
    <t>CAMBRIDGE HOUSE, THE</t>
  </si>
  <si>
    <t>NHC HEALTHCARE, HENDERSONVILLE</t>
  </si>
  <si>
    <t>QUINCE NURSING AND REHABILITATION CENTER</t>
  </si>
  <si>
    <t>WEST MEADE PLACE</t>
  </si>
  <si>
    <t>CONSULATE HEALTH CARE OF CHATTANOOGA</t>
  </si>
  <si>
    <t>WEXFORD HOUSE, THE</t>
  </si>
  <si>
    <t>SPRING CITY CARE AND REHABILITATION CENTER</t>
  </si>
  <si>
    <t>HUNTINGDON HEALTH &amp; REHAB CENTER</t>
  </si>
  <si>
    <t>MOUNTAIN CITY CARE &amp; REHABILITATION CENTER</t>
  </si>
  <si>
    <t>HERITAGE CENTER, THE</t>
  </si>
  <si>
    <t>RAINTREE MANOR</t>
  </si>
  <si>
    <t>PINE RIDGE CARE &amp; REHABILITATION CENTER</t>
  </si>
  <si>
    <t>GRACE HEALTHCARE OF CORDOVA</t>
  </si>
  <si>
    <t>SPRING GATE REHAB &amp; HEALTHCARE CENTER</t>
  </si>
  <si>
    <t>THE KINGS DAUGHTERS AND SONS</t>
  </si>
  <si>
    <t>SOUTHERN TENN MEDICAL CENTER SNF</t>
  </si>
  <si>
    <t>RENAISSANCE TERRACE</t>
  </si>
  <si>
    <t>HENRY COUNTY HEALTHCARE CTR</t>
  </si>
  <si>
    <t>SIGNATURE HEALTHCARE AT METHODIST</t>
  </si>
  <si>
    <t>LIFE CARE CENTER OF GREENEVILLE</t>
  </si>
  <si>
    <t>PINE MEADOWS HEALTH CARE AND REHABILITATION CENTER</t>
  </si>
  <si>
    <t>WHITEHAVEN COMMUNITY LIVING</t>
  </si>
  <si>
    <t>GLEN OAKS HEALTH AND REHABILITATION</t>
  </si>
  <si>
    <t>BOULEVARD TERRACE REHABILITATION AND NURSING HOME</t>
  </si>
  <si>
    <t>CHURCH HILL CARE &amp; REHAB CTR</t>
  </si>
  <si>
    <t>LIFE CARE CENTER OF TULLAHOMA</t>
  </si>
  <si>
    <t>LIFE CARE CENTER OF MORGAN COUNTY</t>
  </si>
  <si>
    <t>LIFE CARE CENTER OF RED BANK</t>
  </si>
  <si>
    <t>SIGNATURE HEALTHCARE OF MEMPHIS</t>
  </si>
  <si>
    <t>GREYSTONE HEALTH CARE CENTER</t>
  </si>
  <si>
    <t>LIFE CARE CENTER OF CLEVELAND</t>
  </si>
  <si>
    <t>KINDRED NURSING AND REHABILITATION-MARYVILLE</t>
  </si>
  <si>
    <t>JEFFERSON CITY HEALTH AND REHAB CENTER</t>
  </si>
  <si>
    <t>DIVERSICARE OF MARTIN</t>
  </si>
  <si>
    <t>WAVERLY HEALTH CARE &amp; REHABILITATION CENTER</t>
  </si>
  <si>
    <t>LIFE CARE CENTER OF CENTERVILLE</t>
  </si>
  <si>
    <t>KINDRED NURSING AND REHABILITATION -LOUDON</t>
  </si>
  <si>
    <t>ONEIDA NURSING AND REHAB CENTER</t>
  </si>
  <si>
    <t>HARTSVILLE CONVALESCENT CENTER</t>
  </si>
  <si>
    <t>SUMMIT VIEW OF FARRAGUT, LLC</t>
  </si>
  <si>
    <t>SUMMIT VIEW OF ROCKY TOP</t>
  </si>
  <si>
    <t>BRIARCLIFF HEALTH CARE CENTER</t>
  </si>
  <si>
    <t>CUMBERLAND HEALTH CARE AND REHABILITATION INC</t>
  </si>
  <si>
    <t>TRI STATE HEALTH AND REHABILITATION CENTER</t>
  </si>
  <si>
    <t>LAUGHLIN HEALTH CARE CENTER</t>
  </si>
  <si>
    <t>GREENHILLS HEALTH AND REHABILITATION CENTER</t>
  </si>
  <si>
    <t>LEBANON HEALTH AND REHABILITATION CENTER</t>
  </si>
  <si>
    <t>TENNESSEE VETERANS HOME</t>
  </si>
  <si>
    <t>MABRY HEALTH CARE</t>
  </si>
  <si>
    <t>BELCOURT TERRACE NURSING HOME</t>
  </si>
  <si>
    <t>CAMDEN HEALTHCARE &amp; REHAB CENTER</t>
  </si>
  <si>
    <t>LIFE CARE CENTER OF JEFFERSON CITY</t>
  </si>
  <si>
    <t>CUMBERLAND VILLAGE GENESIS HEALTHCARE</t>
  </si>
  <si>
    <t>MCMINN MEMORIAL NURSING HOME &amp; REHAB CENTER</t>
  </si>
  <si>
    <t>BROOKEWOOD NURSING CENTER, INC</t>
  </si>
  <si>
    <t>LYNCHBURG NURSING CENTER</t>
  </si>
  <si>
    <t>COUNTRYSIDE HEALTHCARE AND REHABILITATION</t>
  </si>
  <si>
    <t>GRACE HEALTHCARE OF WHITES CREEK</t>
  </si>
  <si>
    <t>RAINBOW HEALTH &amp; REHAB OF MEMPHIS, LLC</t>
  </si>
  <si>
    <t>WILLOW RIDGE CENTER</t>
  </si>
  <si>
    <t>REELFOOT MANOR HEALTH AND REHAB</t>
  </si>
  <si>
    <t>KINDRED NURSING AND REHABILITATION- FAIRPARK</t>
  </si>
  <si>
    <t>HUNTSVILLE MANOR</t>
  </si>
  <si>
    <t>ERWIN HEALTH CARE CENTER</t>
  </si>
  <si>
    <t>BEECH TREE MANOR</t>
  </si>
  <si>
    <t>MEMPHIS JEWISH HOME</t>
  </si>
  <si>
    <t>LIFE CARE CENTER OF COLLEGEDALE</t>
  </si>
  <si>
    <t>HOLSTON MANOR</t>
  </si>
  <si>
    <t>LIFE CARE CENTER OF EAST RIDGE</t>
  </si>
  <si>
    <t>KINDRED HEALTH AND REHABILITATION-NORTHHAVEN</t>
  </si>
  <si>
    <t>LIFE CARE CENTER OF ATHENS</t>
  </si>
  <si>
    <t>RIDGEVIEW TERRACE OF LIFE CARE</t>
  </si>
  <si>
    <t>LIFE CARE CENTER OF ELIZABETHTON</t>
  </si>
  <si>
    <t>NORRIS HEALTH AND REHABILITATION CENTER</t>
  </si>
  <si>
    <t>WYNDRIDGE HEALTH AND REHAB CTR</t>
  </si>
  <si>
    <t>THE BRIDGE AT HIGHLAND</t>
  </si>
  <si>
    <t>TRENTON CENTER</t>
  </si>
  <si>
    <t>LIFE CARE CENTER OF COPPER BASIN</t>
  </si>
  <si>
    <t>LIFE CARE CENTER OF MORRISTOWN</t>
  </si>
  <si>
    <t>HILLCREST HEALTHCARE CENTER</t>
  </si>
  <si>
    <t>CHRISTIAN CARE CENTER OF CHEATHAM COUNTY, INC</t>
  </si>
  <si>
    <t>WILLOWS AT WINCHESTER CARE &amp; REHABILITATION CENTER</t>
  </si>
  <si>
    <t>ARDMORE HEALTH AND REHABILITATION CENTER</t>
  </si>
  <si>
    <t>WOOD PRESBYTERIAN HOME</t>
  </si>
  <si>
    <t>LIFE CARE CENTER OF BRUCETON-HOLLOW ROCK</t>
  </si>
  <si>
    <t>THE BRIDGE AT RIDGELY</t>
  </si>
  <si>
    <t>FORT SANDERS TCU</t>
  </si>
  <si>
    <t>THE PALACE HEALTH CARE AND REHABILITATION CENTER</t>
  </si>
  <si>
    <t>COVINGTON CARE NURSING &amp; REHABILITATION CENTER INC</t>
  </si>
  <si>
    <t>GRACELAND NURSING CENTER</t>
  </si>
  <si>
    <t>BRIARWOOD COMMUNITY LIVING CTR</t>
  </si>
  <si>
    <t>OAKWOOD COMMUNITY LIVING CENTER</t>
  </si>
  <si>
    <t>BAILEY PARK CLC</t>
  </si>
  <si>
    <t>WESTMORELAND CARE &amp; REHAB CTR</t>
  </si>
  <si>
    <t>BRIDGE AT SOUTH PITTSBURG, THE</t>
  </si>
  <si>
    <t>HOLSTON HEALTH &amp; REHABILITATION CENTER</t>
  </si>
  <si>
    <t>SIGNATURE HEALTHCARE OF GREENEVILLE</t>
  </si>
  <si>
    <t>LAUDERDALE COMMUNITY LIVING CENTER</t>
  </si>
  <si>
    <t>PRINCETON TRANS CARE AT NORTH</t>
  </si>
  <si>
    <t>OAK MANOR HEALTH CARE CENTER</t>
  </si>
  <si>
    <t>LAKEBRIDGE HEALTH CARE CENTER</t>
  </si>
  <si>
    <t>ROGERSVILLE CARE &amp; REHABILITATION CENTER</t>
  </si>
  <si>
    <t>TENNOVA HEALTH CARE-TENNOVA TCU</t>
  </si>
  <si>
    <t>SIGNATURE HEALTHCARE OF FENTRESS COUNTY</t>
  </si>
  <si>
    <t>STANDING STONE CARE AND REHAB</t>
  </si>
  <si>
    <t>W D BILL MANNING TENNESSEE STATE VETERANS HOME</t>
  </si>
  <si>
    <t>HILLVIEW COMMUNITY LIVING CENTER</t>
  </si>
  <si>
    <t>HARRIMAN CARE &amp; REHAB CENTER</t>
  </si>
  <si>
    <t>SIGNATURE HEALTHCARE OF CLEVELAND</t>
  </si>
  <si>
    <t>HARDIN CO NURSING HOME</t>
  </si>
  <si>
    <t>NORTHSIDE HEALTH CARE NURSING AND REHABILITATION C</t>
  </si>
  <si>
    <t>MT PLEASANT HEALTHCARE AND REHABILITATION</t>
  </si>
  <si>
    <t>SIGNATURE HEALTHCARE OF ERIN</t>
  </si>
  <si>
    <t>WOODCREST AT BLAKEFORD</t>
  </si>
  <si>
    <t>LIFE CARE CENTER OF HIXSON</t>
  </si>
  <si>
    <t>UNION CITY NURSING AND REHABILITATION CENTER INC</t>
  </si>
  <si>
    <t>PIGEON FORGE CARE &amp; REHAB CENTER</t>
  </si>
  <si>
    <t>HORIZON HEALTH AND REHAB CENTER</t>
  </si>
  <si>
    <t>PARKWAY HEALTH AND REHABILITATION CENTER</t>
  </si>
  <si>
    <t>PICKETT CARE AND REHABILITATION CENTER</t>
  </si>
  <si>
    <t>MANCHESTER HEALTH CARE CENTER</t>
  </si>
  <si>
    <t>ADAMSPLACE, LLC</t>
  </si>
  <si>
    <t>BRIDGE AT MONTEAGLE (THE)</t>
  </si>
  <si>
    <t>ROAN HIGHLANDS NURSING CENTER</t>
  </si>
  <si>
    <t>ADAMSVILLE HEALTHCARE AND REHABILITATION CENTER</t>
  </si>
  <si>
    <t>MAURY REGIONAL HOSPITAL SNU</t>
  </si>
  <si>
    <t>NORTHBROOKE HEALTH CARE CENTER</t>
  </si>
  <si>
    <t>SPRING MEADOWS HEALTH CARE CENTER</t>
  </si>
  <si>
    <t>BLOUNT MEMORIAL TRANS CARE CTR</t>
  </si>
  <si>
    <t>COMMUNITY CARE OF RUTHERFORD</t>
  </si>
  <si>
    <t>SODDY-DAISY HEALTH CARE CENTER</t>
  </si>
  <si>
    <t>CRESTVIEW HEALTH AND REHABILITATION</t>
  </si>
  <si>
    <t>KNOLLWOOD MANOR</t>
  </si>
  <si>
    <t>APPLINGWOOD HEALTH CARE CENTER</t>
  </si>
  <si>
    <t>MAPLEWOOD HEALTH CARE CENTER</t>
  </si>
  <si>
    <t>LAURELWOOD HEALTHCARE CENTER</t>
  </si>
  <si>
    <t>NHC HEALTHCARE, FARRAGUT</t>
  </si>
  <si>
    <t>OVERTON COUNTY HEALTH AND REHAB CENTER</t>
  </si>
  <si>
    <t>SISKIN HOSPITAL SUBACUTE REHAB</t>
  </si>
  <si>
    <t>LIFE CARE CENTER OF SPARTA</t>
  </si>
  <si>
    <t>ETOWAH HEALTH CARE CENTER</t>
  </si>
  <si>
    <t>VANAYER HEALTHCARE AND REHAB CENTER, INC</t>
  </si>
  <si>
    <t>CENTER ON AGING AND HEALTH</t>
  </si>
  <si>
    <t>MILLINGTON HEALTHCARE CENTER</t>
  </si>
  <si>
    <t>BRIGHT GLADE HEALTH AND REHABILITATION CENTER INC</t>
  </si>
  <si>
    <t>BETHESDA HEALTH CARE CENTER</t>
  </si>
  <si>
    <t>HARBOR VIEW NURSING AND REHABILITATION CENTER, INC</t>
  </si>
  <si>
    <t>MCKENZIE HEALTH CARE CENTER</t>
  </si>
  <si>
    <t>LEWIS COUNTY NURSING AND REHABILITATION CENTER</t>
  </si>
  <si>
    <t>LEXINGTON HEALTH CARE AND REHABILITATION, INC</t>
  </si>
  <si>
    <t>GRACE HEALTHCARE OF CLARKSVILLE</t>
  </si>
  <si>
    <t>DOUGLAS NURSING HOME</t>
  </si>
  <si>
    <t>WOODBURY HEALTH AND REHABILITATION CENTER</t>
  </si>
  <si>
    <t>MIDSOUTH HEALTH AND REHABILITATION CENTER</t>
  </si>
  <si>
    <t>WEAKLEY COUNTY NURSING HOME</t>
  </si>
  <si>
    <t>MT JULIET HEALTH CARE CENTER</t>
  </si>
  <si>
    <t>GALLAWAY HEALTH AND REHAB</t>
  </si>
  <si>
    <t>HUMBOLDT NURSING AND REHABILITATION CENTER</t>
  </si>
  <si>
    <t>CRESTVIEW HEALTH CARE CENTER OF BROWNSVILLE, INC</t>
  </si>
  <si>
    <t>SAVANNAH HEALTH CARE AND REHABILITATION CENTER, IN</t>
  </si>
  <si>
    <t>CELINA HEALTH AND REHABILITATION CENTER</t>
  </si>
  <si>
    <t>DYERSBURG NURSING AND REHABILITATION, INC</t>
  </si>
  <si>
    <t>MISSION CONVALESCENT HOME</t>
  </si>
  <si>
    <t>SIGNATURE HEALTHCARE OF CLARKSVILLE</t>
  </si>
  <si>
    <t>WESTWOOD HEALTH CARE AND REHABILITATION CENTER</t>
  </si>
  <si>
    <t>DECATUR COUNTY HEALTH CARE AND REHABILITATION, INC</t>
  </si>
  <si>
    <t>MCNAIRY COUNTY HEALTH CARE CENTER</t>
  </si>
  <si>
    <t>FOREST COVE NURSING AND REHAB CENTER</t>
  </si>
  <si>
    <t>HUMBOLDT HEALTHCARE REHAB CENTER, INC</t>
  </si>
  <si>
    <t>CLARKSVILLE MANOR NURSING CENTER</t>
  </si>
  <si>
    <t>SWEETWATER NURSING CENTER</t>
  </si>
  <si>
    <t>MADISONVILLE HEALTH AND REHAB CENTER</t>
  </si>
  <si>
    <t>FOUR OAKS HEALTH CARE CENTER</t>
  </si>
  <si>
    <t>HANCOCK MANOR NURSING HOME</t>
  </si>
  <si>
    <t>VANCO MANOR NURSING AND REHABILITATION CENTER, INC</t>
  </si>
  <si>
    <t>RIVER TERRACE HEALTH AND REHAB CENTER</t>
  </si>
  <si>
    <t>PARIS HEALTH CARE NURSING &amp; REHABILITATION CTR</t>
  </si>
  <si>
    <t>BELLS NURSING AND REHABILITATION CENTER</t>
  </si>
  <si>
    <t>HILLVIEW HEALTH CENTER</t>
  </si>
  <si>
    <t>SIGNATURE HEALTHCARE OF COLUMBIA</t>
  </si>
  <si>
    <t>ALAMO NURSING AND REHABILITATION CENTER</t>
  </si>
  <si>
    <t>IVY HALL NURSING HOME</t>
  </si>
  <si>
    <t>BENCHMARK HEALTHCARE OF PURYEAR INC</t>
  </si>
  <si>
    <t>HENDERSON HEALTH AND REHABILITATION CENTER</t>
  </si>
  <si>
    <t>SHANNONDALE OF MARYVILLE HEALTH CARE CENTER</t>
  </si>
  <si>
    <t>HERMITAGE HEALTH CENTER</t>
  </si>
  <si>
    <t>NHC PLACE AT COOL SPRINGS</t>
  </si>
  <si>
    <t>ISLAND HOME PARK HEALTH AND REHAB</t>
  </si>
  <si>
    <t>DICKSON HEALTH AND REHAB</t>
  </si>
  <si>
    <t>DURHAM-HENSLEY HEALTH AND REHABILITATION</t>
  </si>
  <si>
    <t>LIFE CARE CENTER OF GRAY</t>
  </si>
  <si>
    <t>CHRISTIAN CARE CENTER OF SPRINGFIELD, LLC</t>
  </si>
  <si>
    <t>ASBURY PLACE AT KINGSPORT</t>
  </si>
  <si>
    <t>THE VILLAGE AT GERMANTOWN</t>
  </si>
  <si>
    <t>APPALACHIAN CHRISTIAN VILLAGE</t>
  </si>
  <si>
    <t>SENATOR BEN ATCHLEY STATE VETERANS' HOME</t>
  </si>
  <si>
    <t>ALLENBROOKE NURSING AND REHABILITATION CENTER</t>
  </si>
  <si>
    <t>RIDGETOP HAVEN HEALTH CARE CENTER</t>
  </si>
  <si>
    <t>CHRISTIAN CARE CENTER OF JOHNSON CITY, INC</t>
  </si>
  <si>
    <t>SOMERFIELD AT THE HERITAGE</t>
  </si>
  <si>
    <t>HUMPHREYS CO NURSING HOME</t>
  </si>
  <si>
    <t>AVE MARIA HOME</t>
  </si>
  <si>
    <t>MCKENDREE VILLAGE INC</t>
  </si>
  <si>
    <t>RIPLEY HEALTHCARE AND REHAB CENTER</t>
  </si>
  <si>
    <t>QUALITY CARE CTR OF MEMPHIS</t>
  </si>
  <si>
    <t>LIFE CARE CENTER OF RHEA COUNTY</t>
  </si>
  <si>
    <t>DOVE HEALTH &amp; REHAB OF COLLIERVILLE, LLC</t>
  </si>
  <si>
    <t>THE MEADOWS</t>
  </si>
  <si>
    <t>HIGHLANDS OF DYERSBURG HEALTH &amp; REHAB</t>
  </si>
  <si>
    <t>PAVILION-THS, LLC</t>
  </si>
  <si>
    <t>WEST HILLS HEALTH AND REHAB</t>
  </si>
  <si>
    <t>CHRISTIAN CARE CENTER OF RUTHERFORD COUNTY LLC</t>
  </si>
  <si>
    <t>NEWPORT HEALTH AND REHABILITATION CENTER</t>
  </si>
  <si>
    <t>GOOD SAMARITAN SOCIETY - FAIRFIELD GLADE</t>
  </si>
  <si>
    <t>LIFE CARE CENTER OF HICKORY WOODS</t>
  </si>
  <si>
    <t>OBION COUNTY NURSING HOME</t>
  </si>
  <si>
    <t>LIFE CARE CENTER OF OLD HICKORY VILLAGE</t>
  </si>
  <si>
    <t>WHARTON NURSING HOME</t>
  </si>
  <si>
    <t>LIFE CARE CENTER OF OOLTEWAH</t>
  </si>
  <si>
    <t>SIGNATURE HEALTHCARE OF NASHVILLE REHAB &amp; WELLNESS</t>
  </si>
  <si>
    <t>WHITE HOUSE HEALTH CARE INC</t>
  </si>
  <si>
    <t>JOHN M REED HEALTH AND REHAB</t>
  </si>
  <si>
    <t>NHC HEALTHCARE, TULLAHOMA</t>
  </si>
  <si>
    <t>NHC HEALTHCARE, KINGSPORT</t>
  </si>
  <si>
    <t>WAYNESBORO HEALTH AND REHABILITATION CENTER</t>
  </si>
  <si>
    <t>NHC PLACE SUMNER</t>
  </si>
  <si>
    <t>GOODALL WITCHER HOSPITAL</t>
  </si>
  <si>
    <t>ROLLING PLAINS MEMORIAL HOSPITAL</t>
  </si>
  <si>
    <t>ANSON  HOSPITAL DISTRICT</t>
  </si>
  <si>
    <t>GRAHAM REGIONAL MEDICAL CENTER</t>
  </si>
  <si>
    <t>NORTH TEXAS MEDICAL CENTER</t>
  </si>
  <si>
    <t>CONNALLY MEMORIAL MEDICAL CENTER</t>
  </si>
  <si>
    <t>PERMIAN REGIONAL MEDICAL CENTER ANDREWS COUNTY HO</t>
  </si>
  <si>
    <t>VAL VERDE REGIONAL MEDICAL CENTER</t>
  </si>
  <si>
    <t>HEREFORD REGIONAL MEDICAL CENTER</t>
  </si>
  <si>
    <t>SOUTH TEXAS REGIONAL MEDICAL CENTER</t>
  </si>
  <si>
    <t>UVALDE MEMORIAL HOSPITAL</t>
  </si>
  <si>
    <t>SCOTT &amp; WHITE HOSPITAL BRENHAM</t>
  </si>
  <si>
    <t>HILL REGIONAL HOSPITAL</t>
  </si>
  <si>
    <t>FAITH COMMUNITY HOSPITAL</t>
  </si>
  <si>
    <t>HAMLIN MEMORIAL HOSPITAL</t>
  </si>
  <si>
    <t>BELLVILLE GENERAL HOSPITAL</t>
  </si>
  <si>
    <t>FRIO REGIONAL HOSPITAL</t>
  </si>
  <si>
    <t>STAMFORD MEMORIAL HOSPITAL</t>
  </si>
  <si>
    <t>CHILDRESS REGIONAL MEDICAL CENTER</t>
  </si>
  <si>
    <t>PARKVIEW REGIONAL HOSPITAL</t>
  </si>
  <si>
    <t>EASTLAND MEMORIAL HOSPITAL</t>
  </si>
  <si>
    <t>GLEN ROSE MEDICAL CENTER</t>
  </si>
  <si>
    <t>ETMC HENDERSON</t>
  </si>
  <si>
    <t>MEDICAL ARTS HOSPITAL</t>
  </si>
  <si>
    <t>BOWIE MEMORIAL HOSPITAL</t>
  </si>
  <si>
    <t>STEPHENS MEMORIAL HOSPITAL</t>
  </si>
  <si>
    <t>HEMPHILL COUNTY HOSPITAL</t>
  </si>
  <si>
    <t>WILBARGER GENERAL HOSPITAL</t>
  </si>
  <si>
    <t>SEYMOUR HOSPITAL</t>
  </si>
  <si>
    <t>NOCONA GENERAL HOSPITAL</t>
  </si>
  <si>
    <t>EL CAMPO MEMORIAL HOSPITAL</t>
  </si>
  <si>
    <t>LAMB HEALTHCARE CENTER</t>
  </si>
  <si>
    <t>KNOX COUNTY HOSPITAL</t>
  </si>
  <si>
    <t>COVENANT HOSPITAL LEVELLAND</t>
  </si>
  <si>
    <t>WARM SPRING SPECIALITY HOSPTIAL AT LULING</t>
  </si>
  <si>
    <t>PHP THE OAKS AT BEAUMONT</t>
  </si>
  <si>
    <t>COLONIAL MANOR CARE CENTER</t>
  </si>
  <si>
    <t>ELSIE GAYER HEALTH CARE CENTER</t>
  </si>
  <si>
    <t>SCOTT AND WHITE MEMORIAL HOSPITAL</t>
  </si>
  <si>
    <t>KNOPP HEALTHCARE AND REHAB CENTER INC</t>
  </si>
  <si>
    <t>SHARPVIEW RESIDENCE AND REHABILITATION CENTER</t>
  </si>
  <si>
    <t>SHERWOOD HEALTH CARE INC</t>
  </si>
  <si>
    <t>VISTA DEL MAR HEALTH &amp; REHABILITATION</t>
  </si>
  <si>
    <t>BUENA VIDA NURSING AND REHAB-SAN ANTONIO</t>
  </si>
  <si>
    <t>BROOKHAVEN NURSING AND REHABILITATION CENTER</t>
  </si>
  <si>
    <t>TRINITY HEALTHCARE RESIDENCE</t>
  </si>
  <si>
    <t>SCC AT VALLEY GRANDE</t>
  </si>
  <si>
    <t>COLONIAL TYLER CARE CENTER</t>
  </si>
  <si>
    <t>MESA VISTA INN HEALTH CENTER</t>
  </si>
  <si>
    <t>MERIDIAN CARE MONTE VISTA</t>
  </si>
  <si>
    <t>MERIDIAN CARE OF ALICE</t>
  </si>
  <si>
    <t>BIVINS MEMORIAL NURSING HOME</t>
  </si>
  <si>
    <t>THE MEADOWS HEALTH AND REHABILITATION CENTER</t>
  </si>
  <si>
    <t>ALAMO HEIGHTS HEALTH AND REHABILITATION CENTER</t>
  </si>
  <si>
    <t>MOUNTAIN VIEW HEALTH &amp; REHABILITATION</t>
  </si>
  <si>
    <t>WEBSTER RESIDENCE AND REHABILITATION CENTER</t>
  </si>
  <si>
    <t>WHITE SETTLEMENT NURSING CENTER</t>
  </si>
  <si>
    <t>LAKE JACKSON HEALTHCARE CENTER</t>
  </si>
  <si>
    <t>QUALITY CARE OF WACO</t>
  </si>
  <si>
    <t>HERITAGE CONVALESCENT CENTER</t>
  </si>
  <si>
    <t>SAN JUAN NURSING HOME INC</t>
  </si>
  <si>
    <t>THE CLAIRMONT TYLER</t>
  </si>
  <si>
    <t>ENNIS CARE CENTER</t>
  </si>
  <si>
    <t>JEFFREY PLACE HEALTHCARE CENTER</t>
  </si>
  <si>
    <t>BAY OAKS HEALTH CARE CENTER</t>
  </si>
  <si>
    <t>VISTA HILLS HEALTH CARE CENTER</t>
  </si>
  <si>
    <t>CREEKSIDE TERRACE REHABILITATION</t>
  </si>
  <si>
    <t>THE ROSEWOOD RETIREMENT COMMUNITY</t>
  </si>
  <si>
    <t>PINEHURST NURSING AND REHABILITATION LP</t>
  </si>
  <si>
    <t>LAKE WORTH NURSING HOME</t>
  </si>
  <si>
    <t>NOLAN NURSING AND REHABILITATION LP</t>
  </si>
  <si>
    <t>BLANCO VILLA NURSING AND REHABILITATION LP</t>
  </si>
  <si>
    <t>LAMPASAS NURSING AND REHABILITATION CENTER</t>
  </si>
  <si>
    <t>COPPERAS COVE LTC PARTNERS INC</t>
  </si>
  <si>
    <t>LAKEWOOD VILLAGE HEALTH CARE CENTER</t>
  </si>
  <si>
    <t>GARDENDALE REHABILITATION AND NURSING CENTER</t>
  </si>
  <si>
    <t>SENIOR CARE OF MARLANDWOOD WEST</t>
  </si>
  <si>
    <t>MORNINGSIDE MANOR</t>
  </si>
  <si>
    <t>RETAMA MANOR NURSING CENTER/LAREDO-WEST</t>
  </si>
  <si>
    <t>PLEASANT SPRINGS HEALTHCARE CENTER</t>
  </si>
  <si>
    <t>SENIOR CARE OF WINDCREST</t>
  </si>
  <si>
    <t>HONDO NURSING AND REHABILITATION LP</t>
  </si>
  <si>
    <t>AMISTAD NURSING AND REHABILITATION CENTER</t>
  </si>
  <si>
    <t>MAGNOLIA MANOR</t>
  </si>
  <si>
    <t>STEVENS HEALTH CARE AND REHAB CENTER</t>
  </si>
  <si>
    <t>RETAMA MANOR NURSING CENTER/JOURDANTON</t>
  </si>
  <si>
    <t>HOLIDAY NURSING CENTER</t>
  </si>
  <si>
    <t>PLAINVIEW HEALTHCARE CENTER</t>
  </si>
  <si>
    <t>WESTVIEW MANOR AND REHABILITATION CENTER</t>
  </si>
  <si>
    <t>GARDEN TERRACE HEALTHCARE CENTER</t>
  </si>
  <si>
    <t>THE PALMS NURSING AND REHABILITATION LP</t>
  </si>
  <si>
    <t>MCALLEN NURSING CENTER</t>
  </si>
  <si>
    <t>BEAUMONT HEALTH CARE CENTER</t>
  </si>
  <si>
    <t>DENISON NURSING AND REHABILITATION LP</t>
  </si>
  <si>
    <t>PALESTINE HEALTHCARE CENTER</t>
  </si>
  <si>
    <t>HERITAGE AT LONGVIEW HEALTHCARE CENTER</t>
  </si>
  <si>
    <t>MINERAL WELLS NURSING &amp; REHABILITATION</t>
  </si>
  <si>
    <t>TEXOMA HEALTHCARE CENTER</t>
  </si>
  <si>
    <t>WEATHERFORD HEALTH CARE CENTER</t>
  </si>
  <si>
    <t>RETAMA MANOR NURSING CENTER</t>
  </si>
  <si>
    <t>RICHLAND HILLS REHABILITATION AND HEALTHCARE CENTE</t>
  </si>
  <si>
    <t>COMMUNITY CARE CENTER OF CROCKETT</t>
  </si>
  <si>
    <t>SULPHUR SPRINGS HEALTH AND REHABILITATION</t>
  </si>
  <si>
    <t>BAY VILLA HEALTHCARE CENTER</t>
  </si>
  <si>
    <t>GRAND TERRACE REHABILITATION AND HEALTHCARE</t>
  </si>
  <si>
    <t>FORTRESS NURSING AND REHABILITATION LP</t>
  </si>
  <si>
    <t>RENFRO HEALTHCARE CENTER</t>
  </si>
  <si>
    <t>WEST SIDE CAMPUS OF CARE</t>
  </si>
  <si>
    <t>KOUNTZE NURSING CENTER</t>
  </si>
  <si>
    <t>MEMORIAL MEDICAL NURSING CENTER</t>
  </si>
  <si>
    <t>HERITAGE PARK REHABILITATION AND SKILLED NURSING C</t>
  </si>
  <si>
    <t>ALVARADO LTC PARTNERS INC</t>
  </si>
  <si>
    <t>WESTERN HILLS HEALTHCARE RESIDENCE</t>
  </si>
  <si>
    <t>HACIENDA OAKS AT BEEVILLE</t>
  </si>
  <si>
    <t>GRACE CARE CENTER OF OLNEY</t>
  </si>
  <si>
    <t>COURTYARD CONVALESCENT CENTER</t>
  </si>
  <si>
    <t>CHRISTIAN CARE CENTER</t>
  </si>
  <si>
    <t>EDEN HOME INC</t>
  </si>
  <si>
    <t>VALLEY GRANDE MANOR</t>
  </si>
  <si>
    <t>ALTA VISTA REHABILITATION AND HEALTHCARE</t>
  </si>
  <si>
    <t>BISHOP DAVIES NURSING CENTER</t>
  </si>
  <si>
    <t>GOOD SAMARITAN SOCIETY-DENTON VILLAGE</t>
  </si>
  <si>
    <t>HILLTOP VILLAGE NURSING AND REHABILITATION CENTER</t>
  </si>
  <si>
    <t>COLONIAL MANOR NURSING CENTER</t>
  </si>
  <si>
    <t>GREENVIEW MANOR</t>
  </si>
  <si>
    <t>PALO DURO NURSING HOME</t>
  </si>
  <si>
    <t>HERITAGE VILLA NURSING AND REHABILITATION LP</t>
  </si>
  <si>
    <t>MATAGORDA HOUSE HEALTHCARE CENTER</t>
  </si>
  <si>
    <t>MARSHALL MANOR NURSING &amp; REHABILITATION CENTER</t>
  </si>
  <si>
    <t>DOWNTOWN HEALTH AND REHABILITATION CENTER</t>
  </si>
  <si>
    <t>SKYLINE NURSING CENTER</t>
  </si>
  <si>
    <t>RETAMA MANOR NURSING CENTER/MCALLEN</t>
  </si>
  <si>
    <t>EDEN SPECIALTY CARE</t>
  </si>
  <si>
    <t>RIDGECREST RETIREMENT AND HEALTHCARE COMMUNITY</t>
  </si>
  <si>
    <t>GOLDEN PALMS RETIREMENT &amp; HEALTH CENTER</t>
  </si>
  <si>
    <t>PARKWOOD PLACE HEALTHCARE CENTER</t>
  </si>
  <si>
    <t>WELLINGTON OAKS NURSING AND REHABILITATION LP</t>
  </si>
  <si>
    <t>PLUM CREEK HEALTHCARE RESIDENCE</t>
  </si>
  <si>
    <t>SUMMER MEADOWS</t>
  </si>
  <si>
    <t>AFTON OAKS NURSING CENTER</t>
  </si>
  <si>
    <t>HENDRICK SKILLED NURSING FACILITY</t>
  </si>
  <si>
    <t>CLAIRMONT LONGVIEW</t>
  </si>
  <si>
    <t>GOOD SAMARITAN SOCIETY -- LAKE FOREST VILLAGE</t>
  </si>
  <si>
    <t>ALAMEDA OAKS NURSING CENTER</t>
  </si>
  <si>
    <t>SAN PEDRO MANOR</t>
  </si>
  <si>
    <t>PARKS HEALTH CENTER</t>
  </si>
  <si>
    <t>SHANNON MEDICAL CENTER</t>
  </si>
  <si>
    <t>SENIOR CARE OF CORPUS CHRISTI</t>
  </si>
  <si>
    <t>AVALON PLACE WHARTON</t>
  </si>
  <si>
    <t>WILLOWBROOK NURSING CENTER</t>
  </si>
  <si>
    <t>KARNES CITY HEALTH AND REHABILITATION CENTER</t>
  </si>
  <si>
    <t>OAKMONT HEALTHCARE AND REHABILITATION CENTER OF KA</t>
  </si>
  <si>
    <t>THE MONTEVISTA AT CORONADO</t>
  </si>
  <si>
    <t>POTEET MANOR</t>
  </si>
  <si>
    <t>GOLDEN AGE MANOR NURSING CENTER</t>
  </si>
  <si>
    <t>SUNRISE NURSING AND REHABILITATION CENTER</t>
  </si>
  <si>
    <t>NORTHWEST HEALTH AND REHABILITATION CENTER</t>
  </si>
  <si>
    <t>MONUMENT REHABILITATION AND NURSING CENTER</t>
  </si>
  <si>
    <t>PEBBLE CREEK NURSING CENTER</t>
  </si>
  <si>
    <t>EDGEWATER CARE CENTER</t>
  </si>
  <si>
    <t>OAKMONT HEALTHCARE AND REHABILITATION CENTER OF HU</t>
  </si>
  <si>
    <t>RETAMA MANOR NURSING CENTER/VICTORIA SOUTH</t>
  </si>
  <si>
    <t>PARK MANOR HEALTH CARE &amp; REHABILITATION</t>
  </si>
  <si>
    <t>LEXINGTON PLACE NURSING &amp; REHABILITATION</t>
  </si>
  <si>
    <t>ADVANCED HEALTH &amp; REHAB CENTER OF GARLAND</t>
  </si>
  <si>
    <t>KIRKWOOD MANOR</t>
  </si>
  <si>
    <t>HERITAGE AT TURNER PARK HEALTH &amp; REHAB</t>
  </si>
  <si>
    <t>SAN JACINTO METHODIST HOSPITAL</t>
  </si>
  <si>
    <t>CONCHO HEALTH &amp; REHABILITATION CENTER</t>
  </si>
  <si>
    <t>SAN ANTONIO RESIDENCE AND REHABILITATION CENTER</t>
  </si>
  <si>
    <t>MULBERRY MANOR</t>
  </si>
  <si>
    <t>TIMBERWOOD NURSING AND REHABILITATION CENTER</t>
  </si>
  <si>
    <t>ASHFORD HALL</t>
  </si>
  <si>
    <t>OAK BROOK HEALTH CARE CENTER</t>
  </si>
  <si>
    <t>NORTHEAST REHABILITATION AND HEALTHCARE CENTER</t>
  </si>
  <si>
    <t>ROYAL OAKS RESIDENCE AND REHABILITATION CENTER</t>
  </si>
  <si>
    <t>CLAIRMONT BEAUMONT</t>
  </si>
  <si>
    <t>MISSION NURSING &amp; REHABILITATION CENTER</t>
  </si>
  <si>
    <t>HEARTLAND OF SAN ANTONIO</t>
  </si>
  <si>
    <t>HUGULEY NURSING &amp; REHAB CENTER</t>
  </si>
  <si>
    <t>OAK BEND MEDICAL CENTER</t>
  </si>
  <si>
    <t>HEARTHSTONE SN HEALTH CENTER</t>
  </si>
  <si>
    <t>SENIOR CARE OF WESTERN HILLS</t>
  </si>
  <si>
    <t>OAK PARK NURSING AND REHABILITATION CENTER</t>
  </si>
  <si>
    <t>WILLOWBROOK RESIDENCE AND REHABILITATION CENTER</t>
  </si>
  <si>
    <t>TOWN AND COUNTRY MANOR</t>
  </si>
  <si>
    <t>PEARSALL NURSING AND REHABILITATION CENTER - NORTH</t>
  </si>
  <si>
    <t>HEARTLAND HEALTH CARE CENTER</t>
  </si>
  <si>
    <t>HEARTLAND HEALTHCARE CENTER</t>
  </si>
  <si>
    <t>WESTCHASE HEALTH AND REHABILITATION CENTER</t>
  </si>
  <si>
    <t>SPANISH MEADOWS</t>
  </si>
  <si>
    <t>NORTHGATE HEALTH AND REHABILITATION CENTER</t>
  </si>
  <si>
    <t>ST JOSEPH MEDICAL CENTER</t>
  </si>
  <si>
    <t>THE TERRACE AT DENISON</t>
  </si>
  <si>
    <t>JACKSBORO HEALTHCARE CENTER</t>
  </si>
  <si>
    <t>BROOKDALE BROADWAY CITYVIEW</t>
  </si>
  <si>
    <t>FIRST COLONY HEALTH AND REHABILITATION CENTER</t>
  </si>
  <si>
    <t>CYPRESSWOOD HEALTH AND REHABILITATION CENTER</t>
  </si>
  <si>
    <t>RETAMA MANOR NURSING CENTER/SAN ANTONIO NORTH</t>
  </si>
  <si>
    <t>ARLINGTON HEIGHTS HEALTH AND REHABILITATION CENTER</t>
  </si>
  <si>
    <t>RETAMA MANOR NURSING CENTER/HARLINGEN</t>
  </si>
  <si>
    <t>TREEMONT HEALTHCARE AND REHABILITATION CENTER</t>
  </si>
  <si>
    <t>SENIOR CARE OF WURZBACH</t>
  </si>
  <si>
    <t>PARIS HEALTHCARE CENTER</t>
  </si>
  <si>
    <t>WINDSOR GARDENS</t>
  </si>
  <si>
    <t>SOUTH PLACE NURSING CENTER</t>
  </si>
  <si>
    <t>INTERLOCHEN HEALTH AND REHABILITATION CENTER</t>
  </si>
  <si>
    <t>RETAMA MANOR NURSING CENTER/ROBSTOWN</t>
  </si>
  <si>
    <t>THE ARBORS HEALTHCARE AND REHABILITATION CENTER</t>
  </si>
  <si>
    <t>BROWNWOOD REGIONAL MEDICAL CENTER SNF</t>
  </si>
  <si>
    <t>ADVANCED REHABILITATION AND HEALTHCARE OF BOWIE</t>
  </si>
  <si>
    <t>HURST PLAZA NURSING &amp; REHAB</t>
  </si>
  <si>
    <t>THE FORUM AT MEMORIAL WOODS HEALTHCARE CENTER</t>
  </si>
  <si>
    <t>THE GRACE CARE CENTER LUFKIN</t>
  </si>
  <si>
    <t>VAN HEALTHCARE LLC</t>
  </si>
  <si>
    <t>HERITAGE MANOR HEALTHCARE RESIDENCE</t>
  </si>
  <si>
    <t>RETIREMENT AND NURSING CENTER AUSTIN</t>
  </si>
  <si>
    <t>LIFE CARE CENTER OF PLANO</t>
  </si>
  <si>
    <t>BROOKDALE WESTLAKE HILLS</t>
  </si>
  <si>
    <t>GUADALUPE VALLEY NURSING CENTER</t>
  </si>
  <si>
    <t>THE FORUM AT LINCOLN HEIGHTS</t>
  </si>
  <si>
    <t>LYNWOOD NURSING AND REHABILITATION LP</t>
  </si>
  <si>
    <t>ARLINGTON RESIDENCE AND REHABILITATION CENTER</t>
  </si>
  <si>
    <t>THE WOODLANDS HEALTHCARE CENTER</t>
  </si>
  <si>
    <t>MARSHALL MANOR WEST</t>
  </si>
  <si>
    <t>DFW NURSING &amp; REHAB</t>
  </si>
  <si>
    <t>SOUTHWOOD CARE CENTER</t>
  </si>
  <si>
    <t>SPRING OAKS NURSING AND REHABILITATION LP</t>
  </si>
  <si>
    <t>RENAISSANCE PARK MULTI CARE CENTER</t>
  </si>
  <si>
    <t>HARBOURVIEW CARE CENTER INC</t>
  </si>
  <si>
    <t>GRACE CARE CENTER OF HENRIETTA</t>
  </si>
  <si>
    <t>DIVERSICARE OF LAKE HIGHLANDS</t>
  </si>
  <si>
    <t>MOUNT PLEASANT HEALTHCARE CENTER</t>
  </si>
  <si>
    <t>PROMISE SKILLED NURSING FACILITY OF WICHITA FALLS</t>
  </si>
  <si>
    <t>LAKE LODGE NURSING AND REHABILITATION LP</t>
  </si>
  <si>
    <t>ROWLETT HEALTH AND REHABILITATION CENTER</t>
  </si>
  <si>
    <t>SENIOR CARE AT STEPHENVILLE</t>
  </si>
  <si>
    <t>SCHULENBURG REGENCY NURSING CENTER</t>
  </si>
  <si>
    <t>HEALTHCARE CENTER AT THE FORUM AT PARK LANE</t>
  </si>
  <si>
    <t>GRANBURY CARE CENTER</t>
  </si>
  <si>
    <t>UNIVERSITY PARK NURSING AND REHABILITATION LP</t>
  </si>
  <si>
    <t>DEER CREEK OF WIMBERLEY</t>
  </si>
  <si>
    <t>WOODRIDGE NURSING &amp; REHABILITATION</t>
  </si>
  <si>
    <t>VERANDA REHABILITATION AND HEALTHCARE</t>
  </si>
  <si>
    <t>GRANBURY REHAB &amp; NURSING</t>
  </si>
  <si>
    <t>COUNTRYSIDE NURSING AND REHABILITATION LP</t>
  </si>
  <si>
    <t>ADVANCED REHABILITATION AND HEALTHCARE OF VERNON</t>
  </si>
  <si>
    <t>OLNEY HEALTHCARE CENTER</t>
  </si>
  <si>
    <t>EL PASO HEALTH &amp; REHABILITATION CENTER</t>
  </si>
  <si>
    <t>SAGE HEALTHCARE CENTER</t>
  </si>
  <si>
    <t>LUBBOCK HOSPITALITY NURSING AND REHABILITATION CEN</t>
  </si>
  <si>
    <t>WINDCREST NURSING AND REHABILITATION CENTER</t>
  </si>
  <si>
    <t>LUBBOCK HEALTH CARE CENTER</t>
  </si>
  <si>
    <t>REGENCY HEALTHCARE AND REHABILITATION CENTER AT RE</t>
  </si>
  <si>
    <t>SWEETWATER HEALTHCARE CENTER</t>
  </si>
  <si>
    <t>REGAL HEALTHCARE RESIDENCE</t>
  </si>
  <si>
    <t>CLEVELAND HEALTH CARE CENTER</t>
  </si>
  <si>
    <t>HAMILTON HEALTHCARE CENTER</t>
  </si>
  <si>
    <t>SANTA FE HEALTH &amp; REHABILITATION CENTER</t>
  </si>
  <si>
    <t>HILL COUNTRY HEALTHCARE CENTER</t>
  </si>
  <si>
    <t>WESTWARD TRAILS NURSING AND REHABILITATION</t>
  </si>
  <si>
    <t>HAYS NURSING &amp; REHAB CENTER</t>
  </si>
  <si>
    <t>PALO PINTO NURSING CENTER</t>
  </si>
  <si>
    <t>KAUFMAN HEALTHCARE CENTER</t>
  </si>
  <si>
    <t>CARTHAGE HEALTHCARE CENTER</t>
  </si>
  <si>
    <t>TEXHOMA CHRISTIAN CARE CENTER INC</t>
  </si>
  <si>
    <t>GRAHAM OAKS CARE CENTER</t>
  </si>
  <si>
    <t>PATRIOT HEIGHTS HEALTH CARE CENTER</t>
  </si>
  <si>
    <t>RIVER VALLEY HEALTH &amp; REHABILITATION CENTER</t>
  </si>
  <si>
    <t>LINDALE HEALTHCARE CENTER</t>
  </si>
  <si>
    <t>WOODLAND HEIGHTS MEDICAL CENTER SKILLED NURSING UN</t>
  </si>
  <si>
    <t>OAK CREST NURSING CENTER</t>
  </si>
  <si>
    <t>THE GARDENS OF BELLAIRE</t>
  </si>
  <si>
    <t>HERMANN HOSPITAL</t>
  </si>
  <si>
    <t>ST. CATHERINE CENTER</t>
  </si>
  <si>
    <t>CLARKSVILLE NURSING CENTER</t>
  </si>
  <si>
    <t>HENDERSON HEALTH &amp; REHABILITATION CENTER</t>
  </si>
  <si>
    <t>CANTON HEALTHCARE CENTER</t>
  </si>
  <si>
    <t>BORGER HEALTHCARE CENTER</t>
  </si>
  <si>
    <t>DESOTO NURSING &amp; REHABILITATION CENTER</t>
  </si>
  <si>
    <t>THE RENAISSANCE AT KESSLER PARK</t>
  </si>
  <si>
    <t>PORT LAVACA NURSING AND REHABILITATION CENTER</t>
  </si>
  <si>
    <t>CASTLEVIEW HOSPITAL</t>
  </si>
  <si>
    <t>GARFIELD MEMORIAL HOSPITAL</t>
  </si>
  <si>
    <t>BEAVER VALLEY HOSPITAL</t>
  </si>
  <si>
    <t>MT OLYMPUS REHABILITATION CENTER</t>
  </si>
  <si>
    <t>HARRISON POINTE HEALTHCARE AND REHABILITATION</t>
  </si>
  <si>
    <t>SPRING CREEK HEALTHCARE CENTER</t>
  </si>
  <si>
    <t>DESERET HEALTH AND REHAB AT FEDERAL HEIGHTS</t>
  </si>
  <si>
    <t>FOUR CORNERS REGIONAL CARE CENTER</t>
  </si>
  <si>
    <t>RICHFIELD REHABILITATION AND CARE CENTER</t>
  </si>
  <si>
    <t>SOUTH DAVIS COMMUNITY CARE CENTER</t>
  </si>
  <si>
    <t>ST GEORGE REHABILITATION</t>
  </si>
  <si>
    <t>LOMOND PEAK NURSING REHABILITATION, LLC</t>
  </si>
  <si>
    <t>AVALON WEST HEALTH &amp; REHABILITATION</t>
  </si>
  <si>
    <t>ROCKY MOUNTAIN CARE - CLEARFIELD</t>
  </si>
  <si>
    <t>MT OGDEN HEALTH AND REHABILITATION CENTER</t>
  </si>
  <si>
    <t>CITY CREEK POST ACUTE</t>
  </si>
  <si>
    <t>WILLOW WOOD CARE CENTER</t>
  </si>
  <si>
    <t>ROCKY MOUNTAIN CARE - HUNTER HOLLOW</t>
  </si>
  <si>
    <t>HIGHLAND CARE CENTER</t>
  </si>
  <si>
    <t>SUNSHINE TERRACE FOUNDATION</t>
  </si>
  <si>
    <t>UTAH VALLEY REHABILITATION AND HEALTHCARE OF PROVO</t>
  </si>
  <si>
    <t>CRESTWOOD REHABILITATION AND NURSING</t>
  </si>
  <si>
    <t>UINTAH BASIN REHABILITATION AND SENIOR VILLA</t>
  </si>
  <si>
    <t>EMERY COUNTY CARE AND REHABILITATION CENTER</t>
  </si>
  <si>
    <t>MOUNTAIN VIEW HEALTH SERVICES</t>
  </si>
  <si>
    <t>ALPINE VALLEY CARE CENTER</t>
  </si>
  <si>
    <t>ROCKY MOUNTAIN CARE - WILLOW SPRINGS</t>
  </si>
  <si>
    <t>ORCHARD PARK POST - ACUTE REHAB</t>
  </si>
  <si>
    <t>DRAPER REHABILITATION AND CARE CENTER</t>
  </si>
  <si>
    <t>UINTAH CARE CENTER</t>
  </si>
  <si>
    <t>WILLOW GLEN HEALTH AND REHAB</t>
  </si>
  <si>
    <t>WOODLAND PARK REHABILITATION AND CARE CENTER</t>
  </si>
  <si>
    <t>ST JOSEPH VILLA</t>
  </si>
  <si>
    <t>CANYON RIM CARE CENTER</t>
  </si>
  <si>
    <t>PINNACLE NURSING AND REHABILITATION CENTER</t>
  </si>
  <si>
    <t>PARAMOUNT HEALTH AND REHABILITATION</t>
  </si>
  <si>
    <t>HURRICANE HEALTH AND REHABILITATION</t>
  </si>
  <si>
    <t>PARKDALE HEALTH AND REHAB</t>
  </si>
  <si>
    <t>OREM REHABILITATION AND NURSING CENTER</t>
  </si>
  <si>
    <t>HERITAGE HILLS REHABILITATION AND CARE CENTER</t>
  </si>
  <si>
    <t>COPPER RIDGE HEALTH CARE</t>
  </si>
  <si>
    <t>HOLLADAY HEALTHCARE CENTER</t>
  </si>
  <si>
    <t>DESERET HEALTH AND REHAB AT CROSSLANDS</t>
  </si>
  <si>
    <t>SANDY HEALTH AND REHAB</t>
  </si>
  <si>
    <t>LIFE CARE CENTER OF BOUNTIFUL</t>
  </si>
  <si>
    <t>WASHINGTON TERRACE CENTER</t>
  </si>
  <si>
    <t>ROCKY MOUNTAIN CARE- LOGAN</t>
  </si>
  <si>
    <t>SOUTH OGDEN POST ACUTE</t>
  </si>
  <si>
    <t>PROVO REHABILITATION AND NURSING</t>
  </si>
  <si>
    <t>LOGAN REGIONAL HOSPITAL TRANSITIONAL CARE UNIT</t>
  </si>
  <si>
    <t>MIDTOWN MANOR</t>
  </si>
  <si>
    <t>ROCKY MOUNTAIN CARE - COTTAGE ON VINE</t>
  </si>
  <si>
    <t>HILLSIDE REHABILITATION CENTER</t>
  </si>
  <si>
    <t>PARKWAY HEALTH CENTER</t>
  </si>
  <si>
    <t>STONEHENGE OF SPRINGVILLE UT INC</t>
  </si>
  <si>
    <t>RED CLIFFS HEALTH AND REHAB</t>
  </si>
  <si>
    <t>LIFE CARE CENTER OF SALT LAKE CITY</t>
  </si>
  <si>
    <t>ST MARKS HOSPITAL TRANSITIONAL CARE</t>
  </si>
  <si>
    <t>DESERET CARE CENTER</t>
  </si>
  <si>
    <t>BELLA TERRA CEDAR CITY</t>
  </si>
  <si>
    <t>SEASONS HEALTH AND REHABILITATION</t>
  </si>
  <si>
    <t>AVALON VALLEY REHABILITATION</t>
  </si>
  <si>
    <t>ROCKY MOUNTAIN CARE - MOUNTAIN VIEW</t>
  </si>
  <si>
    <t>EMERITUS AT SALT LAKE CITY</t>
  </si>
  <si>
    <t>WILLIAM E CHRISTOFFERSEN SALT LAKE VETERANS HOME</t>
  </si>
  <si>
    <t>BELLA TERRA ST GEORGE</t>
  </si>
  <si>
    <t>IRON COUNTY NURSING HOME</t>
  </si>
  <si>
    <t>PINE VIEW TRANSITIONAL REHAB</t>
  </si>
  <si>
    <t>AVALON CARE CENTER-BOUNTIFUL</t>
  </si>
  <si>
    <t>MILLARD COUNTY CARE AND REHABILITATION</t>
  </si>
  <si>
    <t>MEADOW BROOK REHABILITATION AND NURSING</t>
  </si>
  <si>
    <t>ASPEN RIDGE TRANSITIONAL REHAB</t>
  </si>
  <si>
    <t>CORAL DESERT REHABILITATION AND CARE</t>
  </si>
  <si>
    <t>ASPEN PARK REHABILITATION</t>
  </si>
  <si>
    <t>NORTH CANYON CARE CENTER</t>
  </si>
  <si>
    <t>MISSION AT BEAR RIVER REHABILITATION CENTER</t>
  </si>
  <si>
    <t>ASPEN RIDGE WEST TRANSITIONAL REHAB</t>
  </si>
  <si>
    <t>STONEHENGE OF OREM</t>
  </si>
  <si>
    <t>ROCKY MOUNTAIN CARE - RIVERTON</t>
  </si>
  <si>
    <t>THATCHER BROOK REHABILITATION &amp; CARE</t>
  </si>
  <si>
    <t>ASPEN RIDGE OF UTAH VALLEY</t>
  </si>
  <si>
    <t>LEGACY VILLAGE REHABILITATION</t>
  </si>
  <si>
    <t>GEORGE E WAHLEN OGDEN VETERANS HOME</t>
  </si>
  <si>
    <t>STONEHENGE OF RICHFIELD</t>
  </si>
  <si>
    <t>FAIRFIELD VILLAGE REHABILITATION</t>
  </si>
  <si>
    <t>MISSION AT COMMUNITY LIVING REHABILITATION CENTER</t>
  </si>
  <si>
    <t>STONEHENGE OF SOUTH JORDAN, LLC</t>
  </si>
  <si>
    <t>THE PEAKS CARE AND REHAB</t>
  </si>
  <si>
    <t>STONEHENGE OF AMERICAN FORK</t>
  </si>
  <si>
    <t>COUNTRY LIFE CARE CENTER</t>
  </si>
  <si>
    <t>SOUTHERN UTAH VETERANS HOME - IVINS</t>
  </si>
  <si>
    <t>CENTRAL UTAH VETERANS HOME - PAYSON</t>
  </si>
  <si>
    <t>STONEHENGE OF OGDEN, LLC</t>
  </si>
  <si>
    <t>SPANISH FORK REHABILITATION AND NURSING</t>
  </si>
  <si>
    <t>CASCADES AT RIVERWALK,</t>
  </si>
  <si>
    <t>RUTLAND REGIONAL MEDICAL CENTER</t>
  </si>
  <si>
    <t>KINDRED TRANSITIONAL CARE &amp; REHAB BIRCHWOOD TER</t>
  </si>
  <si>
    <t>VERNON GREEN NURSING HOME</t>
  </si>
  <si>
    <t>BROOKSIDE HEALTH AND REHABILITATION</t>
  </si>
  <si>
    <t>MOUNTAIN VIEW CENTER GENESIS HEALTHCARE</t>
  </si>
  <si>
    <t>BURLINGTON HEALTH &amp; REHAB</t>
  </si>
  <si>
    <t>HELEN PORTER HEALTHCARE &amp; REHAB</t>
  </si>
  <si>
    <t>THE PINES AT RUTLAND CENTER FOR NURSING AND REHABI</t>
  </si>
  <si>
    <t>ST JOHNSBURY HEALTH &amp; REHAB</t>
  </si>
  <si>
    <t>BERLIN HEALTH &amp; REHAB CTR</t>
  </si>
  <si>
    <t>SAINT ALBANS HEALTHCARE AND REHABILITATION CENTER</t>
  </si>
  <si>
    <t>PINE HEIGHTS AT BRATTLEBORO CENTER FOR NURSING &amp; R</t>
  </si>
  <si>
    <t>SPRINGFIELD HEALTH &amp; REHAB</t>
  </si>
  <si>
    <t>NEWPORT HEALTH CARE CENTER</t>
  </si>
  <si>
    <t>BENNINGTON HEALTH &amp; REHAB</t>
  </si>
  <si>
    <t>CENTERS FOR LIVING AND REHAB</t>
  </si>
  <si>
    <t>STARR FARM NURSING CENTER</t>
  </si>
  <si>
    <t>VERMONT VETERANS' HOME</t>
  </si>
  <si>
    <t>CRESCENT MANOR CARE CTRS</t>
  </si>
  <si>
    <t>UNION HOUSE NURSING HOME</t>
  </si>
  <si>
    <t>ROWAN COURT HEALTH &amp; REHAB</t>
  </si>
  <si>
    <t>RUTLAND HEALTHCARE AND REHABILITATION CENTER</t>
  </si>
  <si>
    <t>GREEN MOUNTAIN NURSING AND REHABILITATION</t>
  </si>
  <si>
    <t>MAPLE LANE NURSING HOME</t>
  </si>
  <si>
    <t>GREENSBORO NURSING HOME</t>
  </si>
  <si>
    <t>PINES REHAB &amp; HEALTH CTR</t>
  </si>
  <si>
    <t>WOODRIDGE NURSING HOME</t>
  </si>
  <si>
    <t>CEDAR HILL HEALTH CARE CENTER</t>
  </si>
  <si>
    <t>FRANKLIN COUNTY REHAB CENTER LLC</t>
  </si>
  <si>
    <t>DERBY GREEN NURSING HOME</t>
  </si>
  <si>
    <t>BELAIRE QUALITY CENTER</t>
  </si>
  <si>
    <t>THOMPSON HOUSE NURSING HOME</t>
  </si>
  <si>
    <t>GILL ODD FELLOWS HOME</t>
  </si>
  <si>
    <t>MAYO HEALTHCARE INC.</t>
  </si>
  <si>
    <t>THE VILLA REHAB</t>
  </si>
  <si>
    <t>WAKE ROBIN-LINDEN NURSING HOME</t>
  </si>
  <si>
    <t>THE MANOR, INC</t>
  </si>
  <si>
    <t>NORTON COMMUNITY HOSPITAL</t>
  </si>
  <si>
    <t>RUSSELL COUNTY MEDICAL CENTER</t>
  </si>
  <si>
    <t>SMYTH COUNTY COMMUNITY HOSPITAL</t>
  </si>
  <si>
    <t>SOUTHAMPTON MEMORIAL HOSPITAL</t>
  </si>
  <si>
    <t>SOUTHERN VIRGINIA REGIONAL MEDICAL CENTER</t>
  </si>
  <si>
    <t>WYTHE COUNTY COMMUNITY HOSPITAL</t>
  </si>
  <si>
    <t>TWIN COUNTY REGIONAL HOSPITAL</t>
  </si>
  <si>
    <t>CARILION TAZEWELL COMMUNITY HOSPITAL</t>
  </si>
  <si>
    <t>SOUTH ROANOKE NURSING HOME INC</t>
  </si>
  <si>
    <t>MANORCARE HEALTH SERVICES-ALEXANDRIA</t>
  </si>
  <si>
    <t>RICHFIELD RECOVERY &amp;  CARE CENT</t>
  </si>
  <si>
    <t>ROMAN EAGLE REHABILITATION AND HEALTH CARE CENTER</t>
  </si>
  <si>
    <t>WOODBINE REHABILITATION &amp; HEALTHCARE CENTER</t>
  </si>
  <si>
    <t>KENDAL  AT LEXINGTON</t>
  </si>
  <si>
    <t>MANASSAS HEALTH AND REHAB CENTER</t>
  </si>
  <si>
    <t>MANORCARE HEALTH SERVICES-RICHMOND</t>
  </si>
  <si>
    <t>OAKWOOD MANOR BEDFORD MEM</t>
  </si>
  <si>
    <t>GOODWIN HOUSE ALEXANDRIA</t>
  </si>
  <si>
    <t>SIGNATURE HEALTHCARE OF NORFOLK</t>
  </si>
  <si>
    <t>THE GARDENS AT WARWICK FOREST</t>
  </si>
  <si>
    <t>HEARTLAND HEALTH CARE CENTER - LYNCHBURG</t>
  </si>
  <si>
    <t>HEALTH CARE CENTER LUCY CORR</t>
  </si>
  <si>
    <t>RIVER VIEW ON THE APPOMATTOX HEALTH &amp; REHAB CENTER</t>
  </si>
  <si>
    <t>KINDRED TCC AND REHABILITATION-BAY POINTE</t>
  </si>
  <si>
    <t>SALEM HEALTH &amp; REHABILITATION</t>
  </si>
  <si>
    <t>FRIENDSHIP HEALTH AND REHAB CENTER</t>
  </si>
  <si>
    <t>HARRISONBURG HLTH &amp; REHAB CNTR</t>
  </si>
  <si>
    <t>WESTMINSTER-CANTERBURY HOUSE</t>
  </si>
  <si>
    <t>PARHAM HEALTH CARE &amp; REHAB CEN</t>
  </si>
  <si>
    <t>FAIRFAX REHABILITATION AND NURSING CENTER</t>
  </si>
  <si>
    <t>MANORCARE HEALTH SERVICES-ARLINGTON</t>
  </si>
  <si>
    <t>LYNCHBURG HLTH &amp; REHAB CNTR</t>
  </si>
  <si>
    <t>PINEY FOREST HEALTH AND REHABILITATION CENTER</t>
  </si>
  <si>
    <t>CHESAPEAKE HEALTH AND REHABILITATION CENTER</t>
  </si>
  <si>
    <t>THE LAURELS OF UNIVERSITY PARK</t>
  </si>
  <si>
    <t>VA BAP HOSP DIV CEN</t>
  </si>
  <si>
    <t>HIRAM W DAVIS MEDICAL CTR</t>
  </si>
  <si>
    <t>REGENCY CARE OF ARLINGTON, LLC</t>
  </si>
  <si>
    <t>COLONIAL HEIGHTS HEALTH CARE C</t>
  </si>
  <si>
    <t>LAKE TAYLOR HOSP</t>
  </si>
  <si>
    <t>ROCKY MOUNT REHABILITATION &amp; HEALTHCARE CENTER LLC</t>
  </si>
  <si>
    <t>WESTMINSTER-CANTERBURY -LYNCHB</t>
  </si>
  <si>
    <t>CHERRYDALE HEALTH AND REHABILITATION CENTER</t>
  </si>
  <si>
    <t>HOPEWELL HEALTH CARE CENTER</t>
  </si>
  <si>
    <t>WADDELL NURSING AND REHAB CENTER</t>
  </si>
  <si>
    <t>WESTMINSTER CANTERBURY  CHESAP</t>
  </si>
  <si>
    <t>NHC HEALTHCARE,BRISTOL</t>
  </si>
  <si>
    <t>RIDGECREST MANOR NURSING &amp; REHABILITATION</t>
  </si>
  <si>
    <t>HERITAGE HALL BIG STONE GAP</t>
  </si>
  <si>
    <t>LIFE CARE CENTER OF NEW MARKET</t>
  </si>
  <si>
    <t>GOLDEN LIVINGCENTER-ROSE HILL</t>
  </si>
  <si>
    <t>GOLDEN LIVINGCENTER-ALLEGHANY</t>
  </si>
  <si>
    <t>EVERGREEN HEALTH AND REHAB</t>
  </si>
  <si>
    <t>GOLDEN LIVINGCENTER- MARTINSVLLE</t>
  </si>
  <si>
    <t>GOLDEN LIVINGCENTER-PETERSBURG</t>
  </si>
  <si>
    <t>AVANTE AT HARRISONBURG</t>
  </si>
  <si>
    <t>AVANTE AT WAYNESBORO</t>
  </si>
  <si>
    <t>GOLDEN LIVINGCENTER- PORTSMOUTH</t>
  </si>
  <si>
    <t>BEACON SHORES NURSING &amp; REHABILITATION</t>
  </si>
  <si>
    <t>AVANTE AT LYNCHBURG</t>
  </si>
  <si>
    <t>HERITAGE HALL TAZEWELL</t>
  </si>
  <si>
    <t>GOLDEN LIVINGCENTER -CHARLOTTESVILLE</t>
  </si>
  <si>
    <t>GOLDEN LIVINGCENTER-SLEEPY HOLLOW</t>
  </si>
  <si>
    <t>AVANTE AT ROANOKE</t>
  </si>
  <si>
    <t>SOUTHAMPTON MEMORIAL HOSP</t>
  </si>
  <si>
    <t>RAPPAHANNOCK WESTMINSTER CANTE</t>
  </si>
  <si>
    <t>SHENANDOAH VLY WESTMINSTER-CANTERBURY</t>
  </si>
  <si>
    <t>STRATFORD HEALTHCARE CENTER</t>
  </si>
  <si>
    <t>WYTHE CNTY COMMUNITY HOSP ECU</t>
  </si>
  <si>
    <t>GOLDEN LIVINGCENTER-SHENANDOAH VALLEY</t>
  </si>
  <si>
    <t>GOODWIN HOUSE BAILEY'S CROSSROADS</t>
  </si>
  <si>
    <t>SENTARA NURSING CENTER NORFOLK</t>
  </si>
  <si>
    <t>DULLES HEALTH &amp; REHAB CENTER</t>
  </si>
  <si>
    <t>EDGEMONT CENTER,INC</t>
  </si>
  <si>
    <t>COMMUNITY MEMORIAL</t>
  </si>
  <si>
    <t>CHARLOTTESVILLE HEALTH &amp; REHABILITATION CENTER</t>
  </si>
  <si>
    <t>POTOMAC FALLS HEALTH &amp; REHAB CENTER</t>
  </si>
  <si>
    <t>CLINCH VALLEY MEDICAL CENTER</t>
  </si>
  <si>
    <t>HEALTH CARE CENTER AT BRANDERM</t>
  </si>
  <si>
    <t>WOODHAVEN HALL AT WILLIAMSBURG LANDING</t>
  </si>
  <si>
    <t>WAVERLY HEALTH AND REHABILITATION CENTER</t>
  </si>
  <si>
    <t>BETH SHOLOM HOME OF EASTERN VI</t>
  </si>
  <si>
    <t>HILLSVILLE REHABILITATION &amp; HEALTHCARE CENTER LLC</t>
  </si>
  <si>
    <t>APPOMATTOX HEALTH AND REHABILITATON CENTER</t>
  </si>
  <si>
    <t>REGENCY HEALTH AND REHABILITATION CENTER</t>
  </si>
  <si>
    <t>CONSULATE HEALTHCARE OF WILLIAMSBURG</t>
  </si>
  <si>
    <t>AFS OF BASTIAN, INC</t>
  </si>
  <si>
    <t>ENVOY OF LAWRENCEVILLE, LLC</t>
  </si>
  <si>
    <t>HENRICO HEALTH &amp; REHABILITATION CENTER</t>
  </si>
  <si>
    <t>AUTUMN CARE OF PORTSMOUTH</t>
  </si>
  <si>
    <t>AUTUMN CARE OF ALTAVISTA</t>
  </si>
  <si>
    <t>BELVOIR WOODS HEALTH CARE CENTER AT THE FAIRFAX</t>
  </si>
  <si>
    <t>GREENSVILLE HEALTH AND REHABILITATION CENTER</t>
  </si>
  <si>
    <t>SENTARA NURSING CENTER PORTSMOUTH</t>
  </si>
  <si>
    <t>GRETNA HEALTH AND REHABILITATION CENTER</t>
  </si>
  <si>
    <t>ENVOY OF ALEXANDRIA, LLC</t>
  </si>
  <si>
    <t>ST FRANCIS NURSING CTR</t>
  </si>
  <si>
    <t>ILIFF NURSING AND REHAB CENTER</t>
  </si>
  <si>
    <t>BON SECOURS-MARYVIEW NURSING C</t>
  </si>
  <si>
    <t>FRANKLIN HEALTH AND REHABILITATION CENTER</t>
  </si>
  <si>
    <t>RALEIGH COURT HEALTH AND REHABILITATION CENTER</t>
  </si>
  <si>
    <t>NORFOLK HEALTH AND REHABILITATION CENTER</t>
  </si>
  <si>
    <t>MOUNT VERNON NURSING AND REHABILITATION CENTER</t>
  </si>
  <si>
    <t>BAYSIDE HEALTH &amp; REHABILITATION CENTER</t>
  </si>
  <si>
    <t>AUGUSTA MEDICAL CTR SKILLED CA</t>
  </si>
  <si>
    <t>SENTARA NSG CNTR CHESAPEAKE</t>
  </si>
  <si>
    <t>STANLEYTOWN HEALTH AND REHABILITATION CENTER</t>
  </si>
  <si>
    <t>MANORCARE HEALTH SERVICES-FAIR OAKS</t>
  </si>
  <si>
    <t>BRIAN CENTER HEALTH AND REHABILITATION</t>
  </si>
  <si>
    <t>THE SPRINGS NURSING CENTER</t>
  </si>
  <si>
    <t>BRIAN CENTER REHABILITATION AND NURSING CARE</t>
  </si>
  <si>
    <t>ENVOY OF STRATFORD HILLS</t>
  </si>
  <si>
    <t>WESTMINSTER CANTERBURY BLUE RI</t>
  </si>
  <si>
    <t>WAYLAND NURSING AND REHABILITATION CENTER</t>
  </si>
  <si>
    <t>WESTPORT REHABILITATION AND NURSING CENTER</t>
  </si>
  <si>
    <t>ENVOY AT THE VILLAGE</t>
  </si>
  <si>
    <t>KEMPSVILLE HEALTH &amp; REHAB CENTER</t>
  </si>
  <si>
    <t>FAUQUIER HEALTH REHABILITATION &amp; NURSING CENTER</t>
  </si>
  <si>
    <t>HERITAGE HALL VIRGINIA BEACH</t>
  </si>
  <si>
    <t>ENVOY OF WILLIAMSBURG, LLC</t>
  </si>
  <si>
    <t>ENVOY AT THE MEADOWS</t>
  </si>
  <si>
    <t>VA BEACH HEALTHCARE AND REHAB</t>
  </si>
  <si>
    <t>GOLDEN LIVINGCENTER-FREDERICKSBURG</t>
  </si>
  <si>
    <t>KINDRED NURSING AND REHABILITATION-RIVER POINTE</t>
  </si>
  <si>
    <t>HERITAGE HALL - BROOKNEAL</t>
  </si>
  <si>
    <t>ENVOY OF STAUNTON, LLC</t>
  </si>
  <si>
    <t>AUTUMN CARE OF MADISON</t>
  </si>
  <si>
    <t>ARCADIA NURSING &amp; REHAB CENT</t>
  </si>
  <si>
    <t>WOODMONT CENTER</t>
  </si>
  <si>
    <t>KINDRED TCC AND REHABILITATION-NANSEMOND POINT</t>
  </si>
  <si>
    <t>BURKE HEALTH AND REHABILITATION CENTER</t>
  </si>
  <si>
    <t>FARMVILLE REHABILITATION &amp; HEALTH CARE CENTER LLC</t>
  </si>
  <si>
    <t>GOLDEN LIVINGCENTER - BLUE RIDGE</t>
  </si>
  <si>
    <t>GOLDEN LIVINGCENTER-BATTLEFIELD PARK</t>
  </si>
  <si>
    <t>AUTUMN CARE OF NORFOLK</t>
  </si>
  <si>
    <t>COLONNADES HEALTH CARE CENTER</t>
  </si>
  <si>
    <t>MONTVUE NURSING HOME</t>
  </si>
  <si>
    <t>AUTUMN CARE OF CHESAPEAKE</t>
  </si>
  <si>
    <t>THE LAURELS OF WILLOW CREEK</t>
  </si>
  <si>
    <t>AUTUMN CARE OF SUFFOLK</t>
  </si>
  <si>
    <t>HERITAGE HALL GRUNDY</t>
  </si>
  <si>
    <t>BEAUFONT HEALTH AND REHABILITATION CENTER</t>
  </si>
  <si>
    <t>HERITAGE HALL NRSG AND REHAB</t>
  </si>
  <si>
    <t>SHENANDOAH NURSING HOME</t>
  </si>
  <si>
    <t>GOLDEN LIVINGCENTER-BAYSIDE OF POQUOSON</t>
  </si>
  <si>
    <t>HANOVER HEALTH AND REHABILITATION CENTER</t>
  </si>
  <si>
    <t>BROOKSIDE REHAB &amp; NURSING CENTER</t>
  </si>
  <si>
    <t>WESTMORELAND REHABILITATION &amp; HEALTHCARE CENTER</t>
  </si>
  <si>
    <t>THE JEFFERSON</t>
  </si>
  <si>
    <t>SENTARA NURSING CENTER VA BEAC</t>
  </si>
  <si>
    <t>LEWISGALE HOSPITAL PULASKI</t>
  </si>
  <si>
    <t>LEXINGTON COURT</t>
  </si>
  <si>
    <t>CONSULATE HEALTH CARE OF NORFOLK</t>
  </si>
  <si>
    <t>VIRGINIA VETERANS CARE CENTER</t>
  </si>
  <si>
    <t>LOUDOUN NURSING AND REHAB CNTR</t>
  </si>
  <si>
    <t>WALTER REED CONVALESCENT AND REHABILITATION CENTER</t>
  </si>
  <si>
    <t>HERITAGE HALL NURSING HOME /NA</t>
  </si>
  <si>
    <t>CULPEPER HEALTH &amp; REHABILITATION CENTER</t>
  </si>
  <si>
    <t>WESTMINSTER AT LAKE RIDGE</t>
  </si>
  <si>
    <t>BLUE RIDGE REHAB CENTER</t>
  </si>
  <si>
    <t>LOUISA HEALTH &amp; REHABILITATION CENTER</t>
  </si>
  <si>
    <t>MANORCARE HEALTH SERVICES-IMPERIAL</t>
  </si>
  <si>
    <t>JAMES RIVER CONVALESCENT CENTE</t>
  </si>
  <si>
    <t>SENTARA NURSING CENTER HAMPTON</t>
  </si>
  <si>
    <t>THE FOUNTAINS AT WASHINGTON HOUSE</t>
  </si>
  <si>
    <t>BETH SHOLOM HOME OF VIRGINIA</t>
  </si>
  <si>
    <t>LOVINGSTON HEALTH AND REHABILITATION CENTER</t>
  </si>
  <si>
    <t>BERKSHIRE HEALTH &amp; REHABILITATION CENTER</t>
  </si>
  <si>
    <t>PULASKI HLTH &amp; REHAB CNTR</t>
  </si>
  <si>
    <t>RIVERSIDE HEALTH &amp; REHAB CNTR</t>
  </si>
  <si>
    <t>COURTLAND HEALTH &amp; REHABILITATION CENTER</t>
  </si>
  <si>
    <t>BOWLING GREEN HEALTH &amp; REHABILITATION CENTER</t>
  </si>
  <si>
    <t>GOLDEN LIVINGCENTER-ELIZABETH ADAM CRUMP</t>
  </si>
  <si>
    <t>HERITAGE HALL KING GEORGE</t>
  </si>
  <si>
    <t>HERITAGE HALL  FRONT ROYAL</t>
  </si>
  <si>
    <t>THE CARRINGTON</t>
  </si>
  <si>
    <t>RIVERSIDE CONVALESCENT CNTR WE</t>
  </si>
  <si>
    <t>COLISEUM CONVALESCENT AND REHABILITATION CENTER</t>
  </si>
  <si>
    <t>BLUE RIDGE NURSING THERAPY CONNECTION</t>
  </si>
  <si>
    <t>RIVERSIDE REHABILITATION CENTER AT HAMPTON</t>
  </si>
  <si>
    <t>ENVOY OF THORNTON HALL</t>
  </si>
  <si>
    <t>OUR LADY OF HOPE HEALTH CENTER</t>
  </si>
  <si>
    <t>JOHNSON CNTR/FALCONS LANDING</t>
  </si>
  <si>
    <t>CONSULATE HEALTH CARE OF WOODSTOCK</t>
  </si>
  <si>
    <t>WARREN MEMORIAL HOSP LYNN CARE</t>
  </si>
  <si>
    <t>HERITAGE HALL DILLWYN</t>
  </si>
  <si>
    <t>BERRY HILL NURSING HOME</t>
  </si>
  <si>
    <t>THE VIRGINIAN</t>
  </si>
  <si>
    <t>HERITAGE HALL CLINTWOOD</t>
  </si>
  <si>
    <t>HERITAGE HALL LEXINGTON</t>
  </si>
  <si>
    <t>HERITAGE HALL - LAUREL MEADOWS</t>
  </si>
  <si>
    <t>SEASIDE HHC @ ATLANTIC SHORE</t>
  </si>
  <si>
    <t>PHEASANT RIDGE NURSING &amp; REHAB CENTER</t>
  </si>
  <si>
    <t>CHARLOTTESVILLE POINTE REHABILITATION AND HEALTHCA</t>
  </si>
  <si>
    <t>ENVOY OF WESTOVER HILLS</t>
  </si>
  <si>
    <t>CARRINGTON PLACE OF TAPPAHANNOCK</t>
  </si>
  <si>
    <t>CARRINGTON PLACE OF CHESAPEAKE</t>
  </si>
  <si>
    <t>GRAYSON REHABILITATION  AND HEALTH CARE CENTER</t>
  </si>
  <si>
    <t>RIVERSIDE HEALTHY LIVING COMMUNITY-SMITHFIELD</t>
  </si>
  <si>
    <t>HIGHLAND RIDGE REHAB CENTER</t>
  </si>
  <si>
    <t>RIVERSIDE SHORE REHABILITATION CENTER</t>
  </si>
  <si>
    <t>AUGUSTA NURSING &amp; REHAB CENTER</t>
  </si>
  <si>
    <t>LEEWOOD HEALTHCARE CENTER</t>
  </si>
  <si>
    <t>GRACE HEALTHCARE OF ABINGDON</t>
  </si>
  <si>
    <t>HOLLY MANOR NURSING HOME</t>
  </si>
  <si>
    <t>NEWPORT NEWS NURSING &amp; REHAB</t>
  </si>
  <si>
    <t>YORK CONVALESCENT AND REHABILITATION  CENTER</t>
  </si>
  <si>
    <t>GRACE HEALTH AND REHAB CENTER OF GREENE COUNTY</t>
  </si>
  <si>
    <t>KINGS DAUGHTERS COMMUNITY HEALTH &amp; REHAB</t>
  </si>
  <si>
    <t>LANCASHIRE CONVALESCENT AND REHABILITATION CENTER</t>
  </si>
  <si>
    <t>BON SECOURS DEPAUL,TCC</t>
  </si>
  <si>
    <t>CONSULATE HEALTH CARE OF WINDSOR</t>
  </si>
  <si>
    <t>SKYLINE NURSING &amp; REHABILITATION CENTER</t>
  </si>
  <si>
    <t>CARRINGTON PLACE AT WYTHEVILLE - BIRDMONT CENTER</t>
  </si>
  <si>
    <t>HERITAGE HALL WISE</t>
  </si>
  <si>
    <t>LEE HEALTH AND REHAB CENTER</t>
  </si>
  <si>
    <t>HERITAGE HALL BLACKSTONE</t>
  </si>
  <si>
    <t>GREENSPRING VILLAGE</t>
  </si>
  <si>
    <t>RADFORD HEALTH AND REHAB CENTER</t>
  </si>
  <si>
    <t>HERITAGE HALL BLACKSBURG</t>
  </si>
  <si>
    <t>OUR LADY OF THE VALLEY</t>
  </si>
  <si>
    <t>AMELIA NURSING CENTER</t>
  </si>
  <si>
    <t>DOGWOOD VILLAGE OF ORANGE COUNTY HEALTH AND REHAB</t>
  </si>
  <si>
    <t>THE WOODLANDS HEALTH AND REHAB CENTER</t>
  </si>
  <si>
    <t>ENVOY OF WOODBRIDGE, LLC</t>
  </si>
  <si>
    <t>ASHLAND NURSING AND REHABILITATION</t>
  </si>
  <si>
    <t>FAIRMONT CROSSING</t>
  </si>
  <si>
    <t>THE ORCHARD</t>
  </si>
  <si>
    <t>MAPLE GROVE HEALTH CARE CENTER</t>
  </si>
  <si>
    <t>LAKE PRINCE WOODS, INC</t>
  </si>
  <si>
    <t>NORTHAMPTON CONVALESCENT AND REHABILITATION CENTER</t>
  </si>
  <si>
    <t>THE NEWPORT</t>
  </si>
  <si>
    <t>THE CONVALESCENT CENTER AT PATRIOTS COLONY</t>
  </si>
  <si>
    <t>BRIDGEWATER HOME , INC.</t>
  </si>
  <si>
    <t>HERITAGE HALL-RICH CREEK</t>
  </si>
  <si>
    <t>SENTARA WOODVIEW</t>
  </si>
  <si>
    <t>BRANDON OAKS NURSING AND REHABILITATION CENTER</t>
  </si>
  <si>
    <t>MOUNTAIN VIEW REGIONAL MEDICAL CENTER</t>
  </si>
  <si>
    <t>EMPORIA MANOR LLC</t>
  </si>
  <si>
    <t>THE LAURELS OF CHARLOTTESVILLE</t>
  </si>
  <si>
    <t>SPRINGTREE HEALTHCARE &amp; REHAB CENTER</t>
  </si>
  <si>
    <t>SENTARA MEADOWVIEW TERRACE</t>
  </si>
  <si>
    <t>CHASE CITY HEALTH AND REHAB CENTER</t>
  </si>
  <si>
    <t>SUMMIT HEALTH &amp; REHABILITATION CENTER</t>
  </si>
  <si>
    <t>FRANCIS N SANDERS NURSING HOME, INC</t>
  </si>
  <si>
    <t>FRANCIS MARION MANOR HEALTH &amp; REHABILITATION</t>
  </si>
  <si>
    <t>VMRC, COMPLETE LIVING CARE</t>
  </si>
  <si>
    <t>CARRINGTON PLACE AT BOTETOURT COMMONS</t>
  </si>
  <si>
    <t>SUNNYSIDE PRESBYTERIAN RETIREMENT COMMUNITY</t>
  </si>
  <si>
    <t>GAINESVILLE HEALTH AND REHAB CENTER</t>
  </si>
  <si>
    <t>ENVOY OF WINCHESTER, LLC</t>
  </si>
  <si>
    <t>BIRMINGHAM GREEN</t>
  </si>
  <si>
    <t>GLENBURNIE REHAB &amp; NURSING CENTER</t>
  </si>
  <si>
    <t>SENTARA NSG CENTER-WINDERMERE</t>
  </si>
  <si>
    <t>SITTER AND BARFOOT VETERANS CARE CENTER</t>
  </si>
  <si>
    <t>THE LAURELS OF BON AIR</t>
  </si>
  <si>
    <t>HARBOR'S EDGE</t>
  </si>
  <si>
    <t>CARRIAGE HILL HEALTH AND REHAB CENTER</t>
  </si>
  <si>
    <t>THE CHESAPEAKE</t>
  </si>
  <si>
    <t>DINWIDDIE HEALTH AND REHAB CENTER</t>
  </si>
  <si>
    <t>CHATHAM HEALTH &amp; REHABILITATION CENTER</t>
  </si>
  <si>
    <t>CULPEPER BAPTIST RETIRE COMMUN</t>
  </si>
  <si>
    <t>TYLER'S RETREAT AT IRON BRIDGE</t>
  </si>
  <si>
    <t>WINDSORMEADE OF WILLIAMSBURG</t>
  </si>
  <si>
    <t>LAKEWOOD MANOR</t>
  </si>
  <si>
    <t>THE GLEBE</t>
  </si>
  <si>
    <t>SUMMIT SQUARE</t>
  </si>
  <si>
    <t>THE WYBE AND MARIETJE KROONTJE HEALTH CARE CENTER</t>
  </si>
  <si>
    <t>FALLS RUN NURSING AND REHAB CENTER</t>
  </si>
  <si>
    <t>KING'S GRANT RETIREMENT COMMUN</t>
  </si>
  <si>
    <t>ABINGDON HEALTH CARE LLC</t>
  </si>
  <si>
    <t>ARLEIGH BURKE PAVILION</t>
  </si>
  <si>
    <t>LIBERTY RIDGE HEALTH &amp; REHAB</t>
  </si>
  <si>
    <t>NOVA HEALTH AND REHAB</t>
  </si>
  <si>
    <t>AUTUMN CARE OF MECHANICSVILLE</t>
  </si>
  <si>
    <t>SENTARA OBICI SPECIALTY REHABILITATION CENTER</t>
  </si>
  <si>
    <t>THE VILLAGE AT ORCHARD RIDGE</t>
  </si>
  <si>
    <t>ASHBY PONDS INC</t>
  </si>
  <si>
    <t>CARRINGTON PLACE AT RURAL RETREAT</t>
  </si>
  <si>
    <t>PRINCESS ANNE HEALTH &amp; REHABILITATION CENTER</t>
  </si>
  <si>
    <t>ISSAQUAH NURSING AND REHABILITATION CENTER</t>
  </si>
  <si>
    <t>GARDEN VILLAGE</t>
  </si>
  <si>
    <t>GRAYS HARBOR HEALTH &amp; REHABILITATION CENTER</t>
  </si>
  <si>
    <t>WASHINGTON CENTER FOR COMPREHE</t>
  </si>
  <si>
    <t>FRANKLIN HILLS HEALTH &amp; REHAB CENTER</t>
  </si>
  <si>
    <t>HEARTHSTONE, THE</t>
  </si>
  <si>
    <t>ROCKWOOD SOUTH HILL</t>
  </si>
  <si>
    <t>BALLARD  CENTER</t>
  </si>
  <si>
    <t>PANORAMA CITY CONV &amp; REHAB CTR</t>
  </si>
  <si>
    <t>CRISTWOOD NURSING AND REHABILITATION</t>
  </si>
  <si>
    <t>LIFE CARE CENTER OF RICHLAND</t>
  </si>
  <si>
    <t>PARK MANOR REHABILITATION CTR</t>
  </si>
  <si>
    <t>REGENCY AT THE PARK</t>
  </si>
  <si>
    <t>LIFE CARE CENTER OF KENNEWICK</t>
  </si>
  <si>
    <t>PACIFIC CARE AND REHABILITATION</t>
  </si>
  <si>
    <t>CRESCENT HEALTH CARE, INC</t>
  </si>
  <si>
    <t>LANDMARK CARE AND REHABILITATION</t>
  </si>
  <si>
    <t>ALDERWOOD PARK HEALTH AND REHABILITATION</t>
  </si>
  <si>
    <t>ORCHARD PARK HEALTH CARE &amp; REHAB CENTER</t>
  </si>
  <si>
    <t>TOPPENISH NURSING &amp; REHAB CENTER</t>
  </si>
  <si>
    <t>SHUKSAN HEALTHCARE CENTER</t>
  </si>
  <si>
    <t>GOOD SAMARITAN SOCIETY - SPOKANE VALLEY</t>
  </si>
  <si>
    <t>GARDENS ON UNIVERSITY, THE</t>
  </si>
  <si>
    <t>BREMERTON CONVALESCENT &amp; REHABILITATION CENTER</t>
  </si>
  <si>
    <t>AVALON HEALTH &amp; REHABILITATION CENTER - PASCO</t>
  </si>
  <si>
    <t>SEQUIM HEALTH &amp; REHABILITATION</t>
  </si>
  <si>
    <t>HIGHLAND HEALTH AND REHABILITATION</t>
  </si>
  <si>
    <t>CASHMERE CONVALESCENT CENTER</t>
  </si>
  <si>
    <t>TACOMA NURSING AND REHABILITATION CENTER</t>
  </si>
  <si>
    <t>REDMOND CARE AND REHABILITATION CENTER</t>
  </si>
  <si>
    <t>PROVIDENCE MOUNT ST VINCENT</t>
  </si>
  <si>
    <t>AVAMERE HERITAGE REHABILITATION OF TACOMA</t>
  </si>
  <si>
    <t>CRESTWOOD HEALTH AND REHABILITATION CENTER</t>
  </si>
  <si>
    <t>LIFE CARE CENTER OF FEDERAL WAY</t>
  </si>
  <si>
    <t>NORTH AUBURN REHAB &amp; HEALTH CENTER</t>
  </si>
  <si>
    <t>TALBOT CENTER FOR REHAB &amp; HEAL</t>
  </si>
  <si>
    <t>QUEEN ANNE HEALTHCARE</t>
  </si>
  <si>
    <t>KINDRED TRANSITIONAL CARE &amp; REHAB CTR VANCOUVER</t>
  </si>
  <si>
    <t>LIFE CARE CENTER OF PORT ORCHARD</t>
  </si>
  <si>
    <t>PUYALLUP NURSING AND REHABILITATION CENTER</t>
  </si>
  <si>
    <t>KINDRED NURSING AND REHABILITATION - ARDEN</t>
  </si>
  <si>
    <t>FIDALGO CARE CENTER</t>
  </si>
  <si>
    <t>STAFFORD HEALTHCARE AT RIDGEMONT</t>
  </si>
  <si>
    <t>AVAMERE BELLINGHAM HEALTH CARE &amp; REHAB SERVICES</t>
  </si>
  <si>
    <t>PRESTIGE CARE &amp; REHABILITATION - SUNNYSIDE</t>
  </si>
  <si>
    <t>FIR LANE HEALTH AND REHAB CTR</t>
  </si>
  <si>
    <t>WOODLAND CONVALESCENT CENTER</t>
  </si>
  <si>
    <t>ALDERCREST HEALTH &amp; REHAB CENTER</t>
  </si>
  <si>
    <t>PARK ROSE CARE CENTER</t>
  </si>
  <si>
    <t>FOREST RIDGE HEALTH &amp; REHAB</t>
  </si>
  <si>
    <t>OLYMPIA TRANSITIONAL CARE AND REHABILITATION</t>
  </si>
  <si>
    <t>AVALON CARE CENTER - PULLMAN</t>
  </si>
  <si>
    <t>WHITMAN HEALTH &amp; REHAB CENTER</t>
  </si>
  <si>
    <t>BURIEN NURSING AND REHABILITATION CENTER</t>
  </si>
  <si>
    <t>ROO-LAN HEALTHCARE CENTER</t>
  </si>
  <si>
    <t>AVALON CARE CENTER - OTHELLO LLC</t>
  </si>
  <si>
    <t>ALDERWOOD MANOR</t>
  </si>
  <si>
    <t>FORT VANCOUVER POST ACUTE</t>
  </si>
  <si>
    <t>LAKE RIDGE CENTER</t>
  </si>
  <si>
    <t>SHORELINE HEALTH AND REHABILITATION</t>
  </si>
  <si>
    <t>PRESTIGE POST-ACUTE &amp; REHAB CTR - KITTITAS VALLLEY</t>
  </si>
  <si>
    <t>AVAMERE AT PACIFIC RIDGE</t>
  </si>
  <si>
    <t>EMERALD CARE</t>
  </si>
  <si>
    <t>PACIFIC SPECIALTY &amp; REHAB CARE</t>
  </si>
  <si>
    <t>PARK WEST CARE CENTER</t>
  </si>
  <si>
    <t>AVAMERE GEORGIAN HOUSE OF LAKEWOOD</t>
  </si>
  <si>
    <t>LIFE CARE CENTER OF MOUNT VERNON</t>
  </si>
  <si>
    <t>PRESTIGE CARE &amp; REHABILITATION - CAMAS</t>
  </si>
  <si>
    <t>PRESTIGE CARE &amp; REHABILITATION - PINEWOOD TERRACE</t>
  </si>
  <si>
    <t>FRONTIER REHAB &amp; EXTENDED CARE</t>
  </si>
  <si>
    <t>HEALTH AND REHABILITATION OF NORTH SEATTLE</t>
  </si>
  <si>
    <t>RENTON NURSING AND REHABILITATION CENTER</t>
  </si>
  <si>
    <t>EAST ADAMS CARE CENTER, LLC</t>
  </si>
  <si>
    <t>PRESTIGE CARE &amp; REHABILITATION - CLARKSTON</t>
  </si>
  <si>
    <t>ROYAL VISTA NURSING &amp; REHAB</t>
  </si>
  <si>
    <t>PARK ROYAL HEALTH &amp; REHAB CENTER</t>
  </si>
  <si>
    <t>MANOR CARE OF TACOMA WA, LLC</t>
  </si>
  <si>
    <t>STAFFORD HEALTHCARE AT BELMONT</t>
  </si>
  <si>
    <t>BEACON HILL REHABILITATION</t>
  </si>
  <si>
    <t>ST FRANCIS OF BELLINGHAM</t>
  </si>
  <si>
    <t>PUGET SOUND HEALTHCARE CENTER</t>
  </si>
  <si>
    <t>REGENCY OMAK</t>
  </si>
  <si>
    <t>RAINIER REHABILITATION</t>
  </si>
  <si>
    <t>LIFE CARE CENTER OF PORT TOWNSEND</t>
  </si>
  <si>
    <t>CAREAGE OF WHIDBEY</t>
  </si>
  <si>
    <t>SEATTLE MEDICAL POST ACUTE CARE</t>
  </si>
  <si>
    <t>HALLMARK MANOR</t>
  </si>
  <si>
    <t>MIRA VISTA CARE CENTER</t>
  </si>
  <si>
    <t>LIFE CARE CENTER OF SKAGIT VALLEY</t>
  </si>
  <si>
    <t>COLUMBIA CREST CENTER</t>
  </si>
  <si>
    <t>MANOR CARE HEALTH SERVICES-SPO</t>
  </si>
  <si>
    <t>LIFE CARE CENTER OF PUYALLUP</t>
  </si>
  <si>
    <t>BAINBRIDGE ISLAND HEALTH &amp; REHAB CENTER</t>
  </si>
  <si>
    <t>HEARTWOOD EXTENDED HEALTHCARE</t>
  </si>
  <si>
    <t>AVAMERE OLYMPIC REHABILITATION OF SEQUIM</t>
  </si>
  <si>
    <t>BUENA VISTA HEALTHCARE</t>
  </si>
  <si>
    <t>VICTORY HEALTH &amp; REHAB OF BATTLE GROUND</t>
  </si>
  <si>
    <t>LIFE CARE CENTER OF THE SAN JUAN ISLANDS</t>
  </si>
  <si>
    <t>LIFE CARE CENTER OF KIRKLAND</t>
  </si>
  <si>
    <t>SNOHOMISH HEALTH AND REHABILITATION</t>
  </si>
  <si>
    <t>REGENCY NORTH BEND REHAB &amp; NURSING CENTER</t>
  </si>
  <si>
    <t>DISCOVERY NURSING &amp; REHAB OF VANCOUVER</t>
  </si>
  <si>
    <t>CANTERBURY HOUSE</t>
  </si>
  <si>
    <t>CHENEY CARE CENTER</t>
  </si>
  <si>
    <t>KINDRED TRANSITIONAL CARE &amp; REHAB CENTER- LAKEWOOD</t>
  </si>
  <si>
    <t>GOOD SAMARITAN HEALTH CARE CTR</t>
  </si>
  <si>
    <t>WILLAPA HARBOR HEALTH AND REHAB</t>
  </si>
  <si>
    <t>REGENCY CARE CENTER AT MONROE</t>
  </si>
  <si>
    <t>ARLINGTON HEALTH AND REHABILITATION</t>
  </si>
  <si>
    <t>PROVIDENCE ST JOSEPH HOSPITAL</t>
  </si>
  <si>
    <t>REGENCY AUBURN LLC</t>
  </si>
  <si>
    <t>RIVERSIDE NURSING &amp; REHAB CTR</t>
  </si>
  <si>
    <t>AMERICANA HEALTH &amp; REHAB CTR</t>
  </si>
  <si>
    <t>REGENCY EVERETT REHABILITATION AND NURSING CENTER</t>
  </si>
  <si>
    <t>WILLOW SPRINGS CARE AND REHABILITATION</t>
  </si>
  <si>
    <t>REGENCY AT NORTHPOINTE</t>
  </si>
  <si>
    <t>SPRINGS AT PACIFIC REGENT, THE</t>
  </si>
  <si>
    <t>REGENCY KENNEWICK REHAB &amp; NURSING CENTER</t>
  </si>
  <si>
    <t>PRESTIGE POST-ACUTE AND REHAB CENTER - CENTRALIA</t>
  </si>
  <si>
    <t>MT BAKER CARE CENTER</t>
  </si>
  <si>
    <t>IDA CULVER HOUSE BROADVIEW NCC</t>
  </si>
  <si>
    <t>PRESTIGE CARE &amp; REHABILITATION - BURLINGTON</t>
  </si>
  <si>
    <t>ROYAL PARK HEALTH AND REHABILITATION</t>
  </si>
  <si>
    <t>SAN JUAN REHAB AND CARE CENTER</t>
  </si>
  <si>
    <t>REGENCY WENATCHEE REHABILIATION &amp; NURSING CENTER</t>
  </si>
  <si>
    <t>SULLIVAN PARK CARE CENTER</t>
  </si>
  <si>
    <t>MARYSVILLE CARE CENTER</t>
  </si>
  <si>
    <t>PROVIDENCE MOTHER JOSEPH CARE</t>
  </si>
  <si>
    <t>AVAMERE REHABILITATION OF CASCADE PARK</t>
  </si>
  <si>
    <t>MCKAY HEALTHCARE &amp; REHAB CTR</t>
  </si>
  <si>
    <t>NORTH CASCADES HEALTH AND REHABILITATION CENTER</t>
  </si>
  <si>
    <t>STAFHOLT GOOD SAMARITAN CENTER</t>
  </si>
  <si>
    <t>VASHON COMMUNITY CARE CENTER</t>
  </si>
  <si>
    <t>ENUMCLAW HEALTH &amp; REHAB CENTER</t>
  </si>
  <si>
    <t>PRESTIGE CARE &amp; REHABILITATION - PARKSIDE</t>
  </si>
  <si>
    <t>BETHANY AT SILVER LAKE</t>
  </si>
  <si>
    <t>BETHANY AT PACIFIC</t>
  </si>
  <si>
    <t>WARM BEACH HEALTH CARE CENTER</t>
  </si>
  <si>
    <t>MOUNTAIN VIEW REHABILITATION AND CARE CENTER</t>
  </si>
  <si>
    <t>SUMMITVIEW HEALTHCARE CENTER</t>
  </si>
  <si>
    <t>SELAH CARE AND REHABILITATION</t>
  </si>
  <si>
    <t>SUNSHINE GARDENS</t>
  </si>
  <si>
    <t>COLONIAL VISTA CARE CENTERS</t>
  </si>
  <si>
    <t>PROVIDENCE ST JOSEPH CARE CENTER</t>
  </si>
  <si>
    <t>TEKOA CARE CENTER</t>
  </si>
  <si>
    <t>FOSS HOME &amp; VILLAGE</t>
  </si>
  <si>
    <t>SAINT ANNE NURSING AND REHABILITATION CENTER</t>
  </si>
  <si>
    <t>PROVIDENCE MARIANWOOD</t>
  </si>
  <si>
    <t>WASHINGTON ODD FELLOWS HOME</t>
  </si>
  <si>
    <t>NEWPORT COMMUNITY HOSPITAL LTC</t>
  </si>
  <si>
    <t>REGENCY HARMONY HOUSE REHAB &amp; NURSING</t>
  </si>
  <si>
    <t>BOTHELL HEALTH CARE</t>
  </si>
  <si>
    <t>EMERALD HILLS REHABILITATION AND SKILLED NURSING</t>
  </si>
  <si>
    <t>TACOMA LUTHERAN HOME</t>
  </si>
  <si>
    <t>MANOR CARE OF GIG HARBOR WA, LLC</t>
  </si>
  <si>
    <t>SEATTLE KEIRO</t>
  </si>
  <si>
    <t>NORTH CENTRAL CARE AND REHABILITATION</t>
  </si>
  <si>
    <t>CAROLINE KLINE GALLAND HOME</t>
  </si>
  <si>
    <t>MESSENGER HOUSE CARE CENTER</t>
  </si>
  <si>
    <t>KIN ON HEALTH CARE CENTER</t>
  </si>
  <si>
    <t>NORTH VALLEY HOSPITAL</t>
  </si>
  <si>
    <t>JUDSON PARK HEALTH CENTER</t>
  </si>
  <si>
    <t>NISQUALLY VALLEY CARE CENTER</t>
  </si>
  <si>
    <t>ANDERSON HOUSE</t>
  </si>
  <si>
    <t>SUNRISE VIEW CONVALESCENT CTR</t>
  </si>
  <si>
    <t>JOSEPHINE SUNSET HOME</t>
  </si>
  <si>
    <t>KENNEY, THE</t>
  </si>
  <si>
    <t>DELTA REHABILITATION CENTER</t>
  </si>
  <si>
    <t>THE TERRACES AT SKYLINE</t>
  </si>
  <si>
    <t>COLUMBIA LUTHERAN HOME</t>
  </si>
  <si>
    <t>UNIVERSITY PLACE CARE CENTER</t>
  </si>
  <si>
    <t>MARTHA AND MARY HEALTH SERVICE</t>
  </si>
  <si>
    <t>WESLEY HOMES HEALTH CENTER</t>
  </si>
  <si>
    <t>CORWIN CENTER AT EMERALD HEIGHTS</t>
  </si>
  <si>
    <t>ALASKA GARDENS HEALTH AND REHABILITATION</t>
  </si>
  <si>
    <t>NORTHWOODS LODGE</t>
  </si>
  <si>
    <t>LINDEN GROVE HEALTH CARE CENTER</t>
  </si>
  <si>
    <t>RICHMOND BEACH REHAB</t>
  </si>
  <si>
    <t>SEA MAR COMMUNITY CARE CENTER</t>
  </si>
  <si>
    <t>EVERETT CENTER</t>
  </si>
  <si>
    <t>PARK SHORE</t>
  </si>
  <si>
    <t>AVALON CARE CENTER AT NORTHPOINTE</t>
  </si>
  <si>
    <t>TOUCHMARK ON SOUTH HILL NURSING</t>
  </si>
  <si>
    <t>COTTESMORE OF LIFE CARE</t>
  </si>
  <si>
    <t>MISSION HEALTHCARE AT BELLEVUE</t>
  </si>
  <si>
    <t>MONTESANO HEALTH &amp; REHABILITATION</t>
  </si>
  <si>
    <t>COVENANT SHORES HEALTH CENTER</t>
  </si>
  <si>
    <t>EVERETT TRANSITIONAL CARE SERV</t>
  </si>
  <si>
    <t>SHELTON HEALTH &amp; REHAB CENTER</t>
  </si>
  <si>
    <t>ROCKWOOD AT HAWTHORNE</t>
  </si>
  <si>
    <t>SPOKANE VETERANS HOME</t>
  </si>
  <si>
    <t>AVALON CARE CENTER -  FEDERAL WAY</t>
  </si>
  <si>
    <t>LEON SULLIVAN HEALTH CARE CENTER</t>
  </si>
  <si>
    <t>GARDEN TERRACE HEALTHCARE CENTER OF FEDERAL WAY</t>
  </si>
  <si>
    <t>STAFFORD HEALTHCARE</t>
  </si>
  <si>
    <t>RICHLAND REHABILITATION CENTER</t>
  </si>
  <si>
    <t>OLYMPIA MANOR</t>
  </si>
  <si>
    <t>WASHINGTON SOLDIERS HOME</t>
  </si>
  <si>
    <t>WASHINGTON VETERAN HOME-RETSIL</t>
  </si>
  <si>
    <t>BRIARWOOD AT TIMBER RIDGE</t>
  </si>
  <si>
    <t>BENSON HEIGHTS REHABILITATION CENTER</t>
  </si>
  <si>
    <t>MIRABELLA SEATTLE</t>
  </si>
  <si>
    <t>KINDRED SEATTLE - NORTHGATE</t>
  </si>
  <si>
    <t>MANORCARE HEALTH SERVICES - SALMON CREEK</t>
  </si>
  <si>
    <t>CENTRAL WASHINGTON HOSPITAL TRANSITIONAL CARE UNIT</t>
  </si>
  <si>
    <t>KINDRED SEATTLE - FIRST HILL</t>
  </si>
  <si>
    <t>MANORCARE HEALTH SERVICES - LACEY</t>
  </si>
  <si>
    <t>LIFE CARE CENTER OF SOUTH HILL</t>
  </si>
  <si>
    <t>GREENBRIER VALLEY MEDICAL CENTER</t>
  </si>
  <si>
    <t>LOGAN REGIONAL MEDICAL CENTER</t>
  </si>
  <si>
    <t>WETZEL COUNTY HOSPITAL</t>
  </si>
  <si>
    <t>SUMMERSVILLE REGIONAL MEDICAL CENTER</t>
  </si>
  <si>
    <t>PINE LODGE</t>
  </si>
  <si>
    <t>GUARDIAN ELDER CARE AT WHEELING, LLC</t>
  </si>
  <si>
    <t>HUNTINGTON HEALTH AND REHABILITATION CENTER</t>
  </si>
  <si>
    <t>ST. BARBARA'S MEM NURSING HOME</t>
  </si>
  <si>
    <t>ELKINS REGIONAL CONVALESCENT CENTER</t>
  </si>
  <si>
    <t>PRINCETON CENTER LLC</t>
  </si>
  <si>
    <t>SUMMERSVILLE REGIONAL MEDICAL CENTER D/P</t>
  </si>
  <si>
    <t>GOLDEN LIVINGCENTER - RIVERSIDE</t>
  </si>
  <si>
    <t>WEIRTON GERIATRIC CENTER</t>
  </si>
  <si>
    <t>GOOD SHEPHERD NURSING HOME</t>
  </si>
  <si>
    <t>CLARY GROVE</t>
  </si>
  <si>
    <t>GRANT MEMORIAL HOSPITAL</t>
  </si>
  <si>
    <t>WORTHINGTON NURSING AND REHABILITATION CENTER, LLC</t>
  </si>
  <si>
    <t>GOLDEN LIVINGCENTER - MORGANTOWN</t>
  </si>
  <si>
    <t>ST. JOSEPH'S HOSPITAL, D/P</t>
  </si>
  <si>
    <t>MERCER NURSING AND REHABILITATION CENTER, LLC</t>
  </si>
  <si>
    <t>TYGART CENTER AT FAIRMONT CAMPUS</t>
  </si>
  <si>
    <t>BISHOP JOSEPH HODGES CONTINUOUS CARE CENTER</t>
  </si>
  <si>
    <t>MAPLESHIRE NURSING AND REHABILITATION CENTER</t>
  </si>
  <si>
    <t>HILLTOP CENTER</t>
  </si>
  <si>
    <t>CORTLAND ACRES NURSING HOME</t>
  </si>
  <si>
    <t>PLEASANT VALLEY NSG. &amp; REHAB C</t>
  </si>
  <si>
    <t>ELDERCARE HEALTH AND REHABILITATION</t>
  </si>
  <si>
    <t>DUNBAR CENTER</t>
  </si>
  <si>
    <t>MOUND VIEW HEALTH CARE</t>
  </si>
  <si>
    <t>TRINITY HEALTH CARE OF MINGO</t>
  </si>
  <si>
    <t>PUTNAM CENTER</t>
  </si>
  <si>
    <t>SALEM CENTER</t>
  </si>
  <si>
    <t>PINERIDGE</t>
  </si>
  <si>
    <t>NEW MARTINSVILLE CENTER</t>
  </si>
  <si>
    <t>HOLBROOK NURSING HOME</t>
  </si>
  <si>
    <t>WEIRTON MEDICAL CENTER, D/P</t>
  </si>
  <si>
    <t>HAMPSHIRE MEMORIAL HOSPITAL., D/P</t>
  </si>
  <si>
    <t>MONTGOMERY GENERAL HOSP., D/P</t>
  </si>
  <si>
    <t>SUNDALE NURSING HOME</t>
  </si>
  <si>
    <t>WILLOWS CENTER</t>
  </si>
  <si>
    <t>HARPER MILLS</t>
  </si>
  <si>
    <t>RALEIGH CENTER</t>
  </si>
  <si>
    <t>EASTBROOK CENTER LLC</t>
  </si>
  <si>
    <t>WHITE SULPHUR SPRINGS CENTER</t>
  </si>
  <si>
    <t>PARKERSBURG CENTER</t>
  </si>
  <si>
    <t>GLENVILLE CENTER</t>
  </si>
  <si>
    <t>MADISON, THE</t>
  </si>
  <si>
    <t>ROSEWOOD CENTER</t>
  </si>
  <si>
    <t>TEAYS VALLEY CENTER</t>
  </si>
  <si>
    <t>UNITED TRANSITIONAL CARE CENTER</t>
  </si>
  <si>
    <t>COLUMBIA ST. FRANCIS HOSPITAL</t>
  </si>
  <si>
    <t>REYNOLDS MEMORIAL HOSPITAL, D/P</t>
  </si>
  <si>
    <t>ST. MARY'S HOSPITAL</t>
  </si>
  <si>
    <t>BARBOUR COUNTY GOOD SAMARITAN SOCIETY</t>
  </si>
  <si>
    <t>GOLDEN LIVINGCENTER - GLASGOW</t>
  </si>
  <si>
    <t>RIVER OAKS</t>
  </si>
  <si>
    <t>MEADOW GARDENS</t>
  </si>
  <si>
    <t>PINEY VALLEY</t>
  </si>
  <si>
    <t>WELLSBURG CENTER LLC</t>
  </si>
  <si>
    <t>PENDLETON MANOR INC</t>
  </si>
  <si>
    <t>CAMERON NURSING AND REHABILITATION CENTER, LLC</t>
  </si>
  <si>
    <t>CABELL HUNTINGTON HOSPITAL TCU</t>
  </si>
  <si>
    <t>BRIGHTWOOD CENTER</t>
  </si>
  <si>
    <t>MANSFIELD PLACE</t>
  </si>
  <si>
    <t>STONE PEAR PAVILION</t>
  </si>
  <si>
    <t>SISTERSVILLE CENTER</t>
  </si>
  <si>
    <t>ANSTED CENTER</t>
  </si>
  <si>
    <t>MEADOWBROOK ACRES</t>
  </si>
  <si>
    <t>BERKELEY SPRINGS CENTER</t>
  </si>
  <si>
    <t>TRINITY HEALTH CARE OF LOGAN</t>
  </si>
  <si>
    <t>MEADOWVIEW MANOR HEALTH CARE</t>
  </si>
  <si>
    <t>CLAY HEALTH CARE CENTER</t>
  </si>
  <si>
    <t>LEWISBURG CENTER</t>
  </si>
  <si>
    <t>MARMET CENTER</t>
  </si>
  <si>
    <t>HIDDEN VALLEY CENTER</t>
  </si>
  <si>
    <t>GRANT COUNTY NURSING HOME</t>
  </si>
  <si>
    <t>MONTGOMERY GEN. ELDERLY CARE</t>
  </si>
  <si>
    <t>FAYETTE NURSING AND REHABILITATION CENTER, LLC</t>
  </si>
  <si>
    <t>PIERPONT CENTER AT FAIRMONT CAMPUS</t>
  </si>
  <si>
    <t>WILLOW TREE MANOR</t>
  </si>
  <si>
    <t>EAGLE POINTE</t>
  </si>
  <si>
    <t>CRESTVIEW MANOR NURSING &amp; REHABILITATION</t>
  </si>
  <si>
    <t>MCDOWELL NURSING AND REHABILITATION CENTER, LLC</t>
  </si>
  <si>
    <t>DAWN VIEW CENTER</t>
  </si>
  <si>
    <t>WYOMING NURSING AND REHABILITATION CENTER, LLC</t>
  </si>
  <si>
    <t>WEBSTER NURSING AND REHABILITATION CENTER, LLC</t>
  </si>
  <si>
    <t>CLARKSBURG NURSING AND REHABILITATION CENTER, LLC</t>
  </si>
  <si>
    <t>SHENANDOAH CENTER</t>
  </si>
  <si>
    <t>WAYNE NURSING AND REHABILITATION CENTER, LLC</t>
  </si>
  <si>
    <t>VALLEY CENTER</t>
  </si>
  <si>
    <t>SUMMERS NURSING AND REHABILITATION CENTER LLC</t>
  </si>
  <si>
    <t>LINCOLN NURSING AND REHABILITATION CENTER, LLC</t>
  </si>
  <si>
    <t>E.A. HAWSE NURSING AND REHABILITATION CENTER, LLC</t>
  </si>
  <si>
    <t>OAK RIDGE CENTER</t>
  </si>
  <si>
    <t>LOGAN CENTER</t>
  </si>
  <si>
    <t>HAMPSHIRE CENTER</t>
  </si>
  <si>
    <t>RAVENSWOOD VILLAGE</t>
  </si>
  <si>
    <t>CARE HAVEN CENTER</t>
  </si>
  <si>
    <t>CANTERBURY CENTER</t>
  </si>
  <si>
    <t>BRAXTON HEALTH CARE CENTER</t>
  </si>
  <si>
    <t>OHIO VALLEY HEALTH CARE</t>
  </si>
  <si>
    <t>MILETREE  CENTER</t>
  </si>
  <si>
    <t>POCAHONTAS CENTER</t>
  </si>
  <si>
    <t>PINE VIEW NURSING AND REHABILITATION CENTER</t>
  </si>
  <si>
    <t>GREENBRIER MANOR</t>
  </si>
  <si>
    <t>MAPLES NURSING HOME</t>
  </si>
  <si>
    <t>PRINCETON HEALTH CARE CENTER</t>
  </si>
  <si>
    <t>SPRINGFIELD CENTER</t>
  </si>
  <si>
    <t>FAIRMONT HEALTH AND REHABILITATION CENTER</t>
  </si>
  <si>
    <t>NICHOLAS COUNTY NURSING AND REHABILITATION CENTER</t>
  </si>
  <si>
    <t>CAREHAVEN OF PLEASANTS</t>
  </si>
  <si>
    <t>CABELL HEALTH CARE CENTER</t>
  </si>
  <si>
    <t>THE ARTHUR B HODGES CENTER</t>
  </si>
  <si>
    <t>DIVINE SAVIOR HEALTHCARE</t>
  </si>
  <si>
    <t>SAUK PRAIRIE HOSPITAL</t>
  </si>
  <si>
    <t>MANORCARE HEALTH SERVICES-EAST</t>
  </si>
  <si>
    <t>DEERFIELD CARE CENTER, LLC</t>
  </si>
  <si>
    <t>RIVER HILLS WEST HEALTH CARE CENTER</t>
  </si>
  <si>
    <t>MAGNOLIA HILL</t>
  </si>
  <si>
    <t>VILLA AT LINCOLN PARK (THE)</t>
  </si>
  <si>
    <t>LINDENGROVE NEW BERLIN</t>
  </si>
  <si>
    <t>KARMENTA CENTER</t>
  </si>
  <si>
    <t>BELMONT NURSING AND REHAB CTR</t>
  </si>
  <si>
    <t>EASTCASTLE PL BRADFORD TER CONV CTR</t>
  </si>
  <si>
    <t>EDGEWATER HAVEN NURSING HOME</t>
  </si>
  <si>
    <t>WAUNAKEE MNR HLTH CARE CTR</t>
  </si>
  <si>
    <t>ALLIS CARE CENTER</t>
  </si>
  <si>
    <t>SAUK CO HEALTH CARE CENTER</t>
  </si>
  <si>
    <t>KENOSHA ESTATES REHAB AND CARE CENTER</t>
  </si>
  <si>
    <t>NORTH CENTRAL HEALTH CARE</t>
  </si>
  <si>
    <t>SAMARITAN HEALTH CENTER</t>
  </si>
  <si>
    <t>JEWISH HOME AND CARE CENTER</t>
  </si>
  <si>
    <t>MANORCARE HEALTH SERVICES-KENOSHA</t>
  </si>
  <si>
    <t>MULDER HEALTH CARE FACILITY</t>
  </si>
  <si>
    <t>ATRIUM POST ACUTE CARE OF WISCONSIN RAPIDS</t>
  </si>
  <si>
    <t>MANORCARE HEALTH SERVICES-PLATTEVILLE</t>
  </si>
  <si>
    <t>MANORCARE HEALTH SERVICES-WEST</t>
  </si>
  <si>
    <t>EDGERTON CARE CENTER, INC</t>
  </si>
  <si>
    <t>WAUKESHA SPRINGS HLTH REHAB</t>
  </si>
  <si>
    <t>GOLDEN LIVINGCENTER-FORT ATKINSON</t>
  </si>
  <si>
    <t>BETHANY ST JOSEPH CARE CTR</t>
  </si>
  <si>
    <t>OAK PARK NURSING AND REHAB CTR</t>
  </si>
  <si>
    <t>ALL ABOUT LIFE REHAB CENTER</t>
  </si>
  <si>
    <t>ALDEN ESTATES OF JEFFERSON</t>
  </si>
  <si>
    <t>BELOIT HEALTH AND REHAB CTR</t>
  </si>
  <si>
    <t>ST MARYS CARE CENTER</t>
  </si>
  <si>
    <t>TUDOR OAKS HEALTH CENTER</t>
  </si>
  <si>
    <t>WATERS EDGE REHABILITATION AND CARE CENTER</t>
  </si>
  <si>
    <t>HOSPITALITY NURSING AND REHAB CTR</t>
  </si>
  <si>
    <t>JULIETTE MANOR</t>
  </si>
  <si>
    <t>ORCHARD MANOR</t>
  </si>
  <si>
    <t>MONROE MANOR NURSING AND REHAB</t>
  </si>
  <si>
    <t>NORTHPOINT MEDICAL AND REHAB CTR</t>
  </si>
  <si>
    <t>ATRIUM POST ACUTE CARE OF MARSHFIELD</t>
  </si>
  <si>
    <t>CAPITOL LAKES HEALTH CENTER</t>
  </si>
  <si>
    <t>GOLDEN LIVINGCENTER-DORCHESTER</t>
  </si>
  <si>
    <t>PARKVIEW MNR HLTH REHAB CTR</t>
  </si>
  <si>
    <t>GOLDEN LIVINGCENTER-COLONIAL MNR</t>
  </si>
  <si>
    <t>THE WILLOWS NURSING &amp; REHABILITATION CENTER</t>
  </si>
  <si>
    <t>WILLOWBROOK NURSING &amp; REHABILITATION CENTER</t>
  </si>
  <si>
    <t>CROSSROADS CARE CENTER OF WEYAUWEGA</t>
  </si>
  <si>
    <t>MANAWA COM NUR CTR</t>
  </si>
  <si>
    <t>ST CLARE MEADOWS CARE CTR</t>
  </si>
  <si>
    <t>SHERIDAN MEDICAL COMPLEX</t>
  </si>
  <si>
    <t>LAKE TERRACE HEALTH AND REHABILITATION</t>
  </si>
  <si>
    <t>GOLDEN LIVINGCENTER-RIVERDALE</t>
  </si>
  <si>
    <t>WILLOWFIELD NURSING &amp; REHABILITATION CENTER</t>
  </si>
  <si>
    <t>VILLA AT BRADLEY ESTATES (THE)</t>
  </si>
  <si>
    <t>PINE CREST NURSING HOME</t>
  </si>
  <si>
    <t>CLEMENT MANOR HEALTH CARE CENTER</t>
  </si>
  <si>
    <t>GOLDEN LIVINGCENTER-COURT MANOR</t>
  </si>
  <si>
    <t>GOLDEN LIVINGCENTER-RIB LAKE</t>
  </si>
  <si>
    <t>VILLA AT MIDDLETON VILLAGE (THE)</t>
  </si>
  <si>
    <t>INGLESIDE MANOR</t>
  </si>
  <si>
    <t>GOLDEN LIVINGCENTER-RIVERVIEW</t>
  </si>
  <si>
    <t>GOLDEN LIVINGCENTER-WATERTOWN</t>
  </si>
  <si>
    <t>GOLDEN LIVINGCENTER-GOLDEN AGE</t>
  </si>
  <si>
    <t>SHAWANO HEALTH SERVICES</t>
  </si>
  <si>
    <t>ATRIUM POST ACUTE CARE OF CHILTON</t>
  </si>
  <si>
    <t>ROCKY KNOLL HEALTH CARE</t>
  </si>
  <si>
    <t>GOLDEN LIVINGCENTER-BEAVER DAM</t>
  </si>
  <si>
    <t>CROSSROADS CARE CENTER OF CRYSTAL RIVER</t>
  </si>
  <si>
    <t>GOLDEN LIVINGCENTER-VILLAGE GARDENS</t>
  </si>
  <si>
    <t>ATRIUM POST ACUTE CARE OF SHAWANO AT EVERGREEN</t>
  </si>
  <si>
    <t>ATRIUM POST ACUTE CARE OF WILLIAMS BAY</t>
  </si>
  <si>
    <t>GREENTREE HEALTH AND REHAB CTR</t>
  </si>
  <si>
    <t>VILLA PINES LIVING CENTER</t>
  </si>
  <si>
    <t>ATRIUM POST ACUTE CARE OF LANCASTER</t>
  </si>
  <si>
    <t>ATRIUM POST ACUTE CARE OF STEVENS POINT</t>
  </si>
  <si>
    <t>ATRIUM POST ACUTE CARE OF MINERAL POINT</t>
  </si>
  <si>
    <t>GOLDEN LIVINGCENTER-CONTINENTAL MANOR OF RANDOLPH</t>
  </si>
  <si>
    <t>ATRIUM POST ACUTE CARE OF KEWAUNEE</t>
  </si>
  <si>
    <t>GOLDEN LIVINGCENTER-FLORENCE</t>
  </si>
  <si>
    <t>MAPLE RIDGE HEALTH AND REHABILITATION CENTER</t>
  </si>
  <si>
    <t>BETHEL CENTER</t>
  </si>
  <si>
    <t>LAFAYETTE MANOR</t>
  </si>
  <si>
    <t>WOODLAND VILLAGE NURSING HOME</t>
  </si>
  <si>
    <t>CLEARWATER CARE CENTER</t>
  </si>
  <si>
    <t>PINE VALLEY COMMUNITY VILLAGE</t>
  </si>
  <si>
    <t>WELLSPRING OF MILWAUKEE</t>
  </si>
  <si>
    <t>WAUSAU MANOR</t>
  </si>
  <si>
    <t>GOLDEN LIVINGCENTER-SUPERIOR</t>
  </si>
  <si>
    <t>GOLDEN LIVINGCENTER-SILVER SPRING</t>
  </si>
  <si>
    <t>COLUMBIA HEALTH CARE CENTER</t>
  </si>
  <si>
    <t>BOSCOBEL CARE AND REHAB</t>
  </si>
  <si>
    <t>OAKWOOD LUTHERAN HOMES ASSOC</t>
  </si>
  <si>
    <t>UPLAND HILLS NURSING AND REHAB</t>
  </si>
  <si>
    <t>DOOR COUNTY MEMORIAL HOSPITAL SNF</t>
  </si>
  <si>
    <t>WISSOTA HEALTH AND REGIONAL VENT CENTER</t>
  </si>
  <si>
    <t>SUN PRAIRIE HEALTH CARE CTR</t>
  </si>
  <si>
    <t>OAKVIEW CARE CENTER</t>
  </si>
  <si>
    <t>AMERICAN LUTHERAN HOME-MONDOVI</t>
  </si>
  <si>
    <t>LUTHERAN HOME RIVER FALLS</t>
  </si>
  <si>
    <t>ASHLAND HEALTH AND REHAB CTR</t>
  </si>
  <si>
    <t>DOVE HEALTHCARE-WEST</t>
  </si>
  <si>
    <t>NORTH RIDGE MEDICAL AND REHABILITATION CENTER</t>
  </si>
  <si>
    <t>ROCK HAVEN</t>
  </si>
  <si>
    <t>GOLDEN LIVINGCENTER-WISCONSIN DELLS</t>
  </si>
  <si>
    <t>EPIONE PAVILLION</t>
  </si>
  <si>
    <t>GREENWAY MANOR</t>
  </si>
  <si>
    <t>SUPERIOR NURSING AND REHABILITATION CENTER</t>
  </si>
  <si>
    <t>PRESCOTT NURSING AND REHAB COMMUNITY</t>
  </si>
  <si>
    <t>WILLOW RIDGE HEALTHCARE</t>
  </si>
  <si>
    <t>CLARK COUNTY REHABILITATION &amp; LIVING CENTER</t>
  </si>
  <si>
    <t>COLONIAL MANOR MEDICAL AND REHABILITATION CENTER</t>
  </si>
  <si>
    <t>OMRO CARE CENTER</t>
  </si>
  <si>
    <t>ATRIUM POST ACUTE CARE OF APPLETON</t>
  </si>
  <si>
    <t>MIDDLE RIVER HCC</t>
  </si>
  <si>
    <t>PINE VIEW CARE CENTER</t>
  </si>
  <si>
    <t>EASTVIEW MEDICAL AND REHABILITATION CENTER</t>
  </si>
  <si>
    <t>WILLOWDALE NURSING &amp; REHABILITATION CENTER</t>
  </si>
  <si>
    <t>ATRIUM POST ACUTE CARE OF SHAWANO AT BIRCH HILL</t>
  </si>
  <si>
    <t>WILLOWCREST CARE CENTER</t>
  </si>
  <si>
    <t>MERCY RESIDENTIAL &amp; REHAB CTR</t>
  </si>
  <si>
    <t>MENOMONEE FALLS HCC</t>
  </si>
  <si>
    <t>LADYSMITH CARE &amp; REHAB</t>
  </si>
  <si>
    <t>CROSSROADS CARE CENTER OF MILWAUKEE</t>
  </si>
  <si>
    <t>EVANSVILLE MANOR</t>
  </si>
  <si>
    <t>CHIPPEWA MANOR NURSING HOME</t>
  </si>
  <si>
    <t>ATRIUM POST ACUTE CARE OF WESTON</t>
  </si>
  <si>
    <t>LINDENGROVE MENOMONEE FALLS</t>
  </si>
  <si>
    <t>LINDENGROVE WAUKESHA</t>
  </si>
  <si>
    <t>BROOKFIELD REHAB AND SPECIALTY CARE CTR</t>
  </si>
  <si>
    <t>GOOD SAMARITAN SOCIETY-FENNIMORE</t>
  </si>
  <si>
    <t>HILLVIEW HEALTH CARE CTR</t>
  </si>
  <si>
    <t>MAPLE RIDGE REHABILITATION AND CARE CENTER</t>
  </si>
  <si>
    <t>CRANDON NURSING HOME</t>
  </si>
  <si>
    <t>STRAWBERRY LANE MEDICAL AND REHAB</t>
  </si>
  <si>
    <t>ROLLING HILLS REHAB CTR</t>
  </si>
  <si>
    <t>CLAIRIDGE HOUSE</t>
  </si>
  <si>
    <t>MARY JUDE NURSING HOME</t>
  </si>
  <si>
    <t>NEIGHBORS - CENTRAL NEIGHBORHOOD (THE)</t>
  </si>
  <si>
    <t>GOLDEN LIVINGCENTER-VALLEY OF HAYWARD</t>
  </si>
  <si>
    <t>GOLDEN LIVINGCENTER-CONTINENTAL MANOR</t>
  </si>
  <si>
    <t>FAIR VIEW NURSING AND REHABILITATION CENTER</t>
  </si>
  <si>
    <t>BENEDICTINE MANOR OF LACROSSE</t>
  </si>
  <si>
    <t>PLUM CITY CARE CTR</t>
  </si>
  <si>
    <t>MANITOWOC HEALTH CARE CENTER</t>
  </si>
  <si>
    <t>TOMAH NURSING AND REHAB</t>
  </si>
  <si>
    <t>ONALASKA CARE CENTER</t>
  </si>
  <si>
    <t>COLUMBUS HEALTH AND REHAB</t>
  </si>
  <si>
    <t>HILLSIDE MANOR</t>
  </si>
  <si>
    <t>ATRIUM POST ACUTE CARE OF OCONTO FALLS</t>
  </si>
  <si>
    <t>RENNES HEALTH AND REHAB CENTER-WEST</t>
  </si>
  <si>
    <t>CLEARVIEW</t>
  </si>
  <si>
    <t>OAKWOOD VILLA</t>
  </si>
  <si>
    <t>BETHANY RIVERSIDE</t>
  </si>
  <si>
    <t>GOLDEN LIVINGCENTER-SHEBOYGAN</t>
  </si>
  <si>
    <t>RENNES HEALTH AND REHAB CENTER-EAST</t>
  </si>
  <si>
    <t>PARK VIEW HOME</t>
  </si>
  <si>
    <t>FRIENDLY VILLAGE NURSING AND REHAB CENTER</t>
  </si>
  <si>
    <t>FALL CREEK VALLEY CARE CTR</t>
  </si>
  <si>
    <t>PAVILION AT GLACIER VALLEY</t>
  </si>
  <si>
    <t>MAPLEWOOD OF SAUK PRAIRIE</t>
  </si>
  <si>
    <t>OAKRIDGE GARDENS NUR CTR, INC</t>
  </si>
  <si>
    <t>CEDAR LAKE HEALTH AND REHAB CENTER</t>
  </si>
  <si>
    <t>SPRING VALLEY HEALTH AND REHAB CENTER</t>
  </si>
  <si>
    <t>ST CROIX HEALTH CENTER</t>
  </si>
  <si>
    <t>OAKBROOK HEALTH AND REHABILITATION</t>
  </si>
  <si>
    <t>BLOOMFIELD HEALTHCARE AND REHAB CENTER</t>
  </si>
  <si>
    <t>RIVER'S BEND HEALTH AND REHABILITATION</t>
  </si>
  <si>
    <t>LUTHER HOME</t>
  </si>
  <si>
    <t>GOLDEN LIVINGCENTER-SOUTH SHORE</t>
  </si>
  <si>
    <t>DOVE HEALTHCARE - BLOOMER</t>
  </si>
  <si>
    <t>AMERICAN LUTHERAN HOME-MENOMONIE</t>
  </si>
  <si>
    <t>ATRIUM POST ACUTE CARE OF NEENAH</t>
  </si>
  <si>
    <t>BURLINGTON REHABILITATION AND CARE CENTER</t>
  </si>
  <si>
    <t>ATRIUM POST ACUTE CARE OF ELLSWORTH</t>
  </si>
  <si>
    <t>BRIDGES OF APPLETON (THE)</t>
  </si>
  <si>
    <t>REST HAVEN HEALTH CARE CENTER</t>
  </si>
  <si>
    <t>GRANCARE NURSING CENTER</t>
  </si>
  <si>
    <t>IOLA LIVING ASSISTANCE, INC</t>
  </si>
  <si>
    <t>ATRIUM POST ACUTE CARE OF BLACK RIVER FALLS</t>
  </si>
  <si>
    <t>NEWCARE</t>
  </si>
  <si>
    <t>VIRGINIA HEALTH AND REHAB CTR</t>
  </si>
  <si>
    <t>SUNRISE CARE CENTER</t>
  </si>
  <si>
    <t>GOOD SAMARITAN SOCIETY-SCANDIA VILLAGE</t>
  </si>
  <si>
    <t>WHEATON FRANCISCAN HC - LAKESHORE MANOR</t>
  </si>
  <si>
    <t>WILD ROSE MANOR</t>
  </si>
  <si>
    <t>PINE MANOR HEALTH AND REHABILITATION</t>
  </si>
  <si>
    <t>AMERICAN HERITAGE</t>
  </si>
  <si>
    <t>BALDWIN CARE CENTER</t>
  </si>
  <si>
    <t>BENEDICTINE MANOR OF WAUSAU</t>
  </si>
  <si>
    <t>CAMEO CARE CENTER</t>
  </si>
  <si>
    <t>SYVERSON LUTHERAN HOME</t>
  </si>
  <si>
    <t>GOLDEN AGE MANOR</t>
  </si>
  <si>
    <t>ALDEN MEADOW PARK HCC</t>
  </si>
  <si>
    <t>GOOD SHEPHERD SERVICES LTD</t>
  </si>
  <si>
    <t>SHEBOYGAN PROGRESSIVE CARE CTR</t>
  </si>
  <si>
    <t>SKAALEN NURSING AND REHABILITATION CENTER</t>
  </si>
  <si>
    <t>KINNIC HEALTH AND REHAB</t>
  </si>
  <si>
    <t>LEDGE VIEW NURSING CENTER</t>
  </si>
  <si>
    <t>BADGER PRAIRIE HCC</t>
  </si>
  <si>
    <t>TIVOLI AT DIVINE SAVIOR HEALTHCARE</t>
  </si>
  <si>
    <t>CARE AGE OF BROOKFIELD</t>
  </si>
  <si>
    <t>GOOD SAMARITAN SOCIETY-LODI</t>
  </si>
  <si>
    <t>HEARTLAND COUNTRY VILLAGE</t>
  </si>
  <si>
    <t>GRANCARE NURSING AND REHAB CTR</t>
  </si>
  <si>
    <t>ALEXIAN VILLAGE OF MILWAUKEE</t>
  </si>
  <si>
    <t>ST ANNE'S SALVATORIAN CAMPUS</t>
  </si>
  <si>
    <t>PRAIRIE MAISON</t>
  </si>
  <si>
    <t>HOMME HOME FOR THE AGING</t>
  </si>
  <si>
    <t>WHEATON FRANCISCAN HC - FRANCISCAN WOODS</t>
  </si>
  <si>
    <t>BRIDGES OF MILWAUKEE REHAB AND CARE CENTER (THE)</t>
  </si>
  <si>
    <t>GRAY'S NURSING HOME</t>
  </si>
  <si>
    <t>CHRISTIAN HOME AND REHAB CTR</t>
  </si>
  <si>
    <t>GOOD SAMARITAN SOCIETY-ST CROIX VALLEY</t>
  </si>
  <si>
    <t>ALGOMA MEDICAL CENTER</t>
  </si>
  <si>
    <t>HARBOR HAVEN HEALTH &amp; REHABILITATION</t>
  </si>
  <si>
    <t>AUGUSTA HEALTH AND REHABILITATION</t>
  </si>
  <si>
    <t>OREGON MANOR</t>
  </si>
  <si>
    <t>LASATA CARE CENTER</t>
  </si>
  <si>
    <t>SAINT JOHNS ON THE LAKE</t>
  </si>
  <si>
    <t>VILLA MARIA HEALTH AND REHAB CTR</t>
  </si>
  <si>
    <t>HOLTON MANOR</t>
  </si>
  <si>
    <t>OAK RIDGE CARE CENTER</t>
  </si>
  <si>
    <t>MARQUARDT MEMORIAL MANOR</t>
  </si>
  <si>
    <t>HERITAGE OF ELMWOOD NH</t>
  </si>
  <si>
    <t>ATRIUM POST ACUTE CARE OF NEW HOLSTEIN</t>
  </si>
  <si>
    <t>SYMPHONY OF GLENDALE</t>
  </si>
  <si>
    <t>PEABODY MANOR</t>
  </si>
  <si>
    <t>GOLDEN LIVINGCENTER-HERITAGE SQUARE</t>
  </si>
  <si>
    <t>MARKESAN RESIDENT HOME</t>
  </si>
  <si>
    <t>FOUNTAIN VIEW CARE CTR</t>
  </si>
  <si>
    <t>WHEATON FRANCISCAN HC - TERRACE AT ST FRANCIS</t>
  </si>
  <si>
    <t>SHELL LAKE HEALTH CARE CENTER</t>
  </si>
  <si>
    <t>BROOKSIDE CARE CTR</t>
  </si>
  <si>
    <t>WOODSIDE LUTHERAN HOME</t>
  </si>
  <si>
    <t>BURNETT MEDICAL CENTER</t>
  </si>
  <si>
    <t>ODD FELLOW HOME</t>
  </si>
  <si>
    <t>SHOREHAVEN HLTH &amp; REHAB CTR</t>
  </si>
  <si>
    <t>EAST TROY MANOR</t>
  </si>
  <si>
    <t>VERNON MANOR</t>
  </si>
  <si>
    <t>PEPIN HEALTH AND REHAB</t>
  </si>
  <si>
    <t>GENEVA LAKE MANOR</t>
  </si>
  <si>
    <t>NORTHERN LIGHTS HCC</t>
  </si>
  <si>
    <t>SUNNY RIDGE HEALTH AND REHAB CENTER</t>
  </si>
  <si>
    <t>BORNEMANN NURSING HOME</t>
  </si>
  <si>
    <t>MASONIC CENTER FOR HEALTH &amp; REHAB INC</t>
  </si>
  <si>
    <t>RENNES HEALTH AND REHAB CENTER-DEPERE</t>
  </si>
  <si>
    <t>BREWSTER VILLAGE</t>
  </si>
  <si>
    <t>SHADY LANE NURSING CARE CENTER</t>
  </si>
  <si>
    <t>CEDAR SPRINGS HLTH REHAB CTR</t>
  </si>
  <si>
    <t>ATRIUM POST ACUTE CARE OF LITTLE CHUTE</t>
  </si>
  <si>
    <t>ATRIUM POST ACUTE CARE OF BLOOMER</t>
  </si>
  <si>
    <t>CREST VIEW NURSING HOME</t>
  </si>
  <si>
    <t>RENNES HEALTH AND REHAB CENTER- APPLETON</t>
  </si>
  <si>
    <t>FAIRHAVEN CORPORATION</t>
  </si>
  <si>
    <t>LUTHER MANOR</t>
  </si>
  <si>
    <t>RENNES HEALTH AND REHAB CENTER-RHINELANDER</t>
  </si>
  <si>
    <t>SANTA MARIA NURSING HOME</t>
  </si>
  <si>
    <t>BETHEL HOME AND SERVICES</t>
  </si>
  <si>
    <t>LADYSMITH NURSING HOME</t>
  </si>
  <si>
    <t>HALES CORNERS CARE CTR</t>
  </si>
  <si>
    <t>SHEBOYGAN SENIOR COMMUNITY INC</t>
  </si>
  <si>
    <t>GLENHAVEN</t>
  </si>
  <si>
    <t>ST JOSEPH'S HOME AND REHABILITATION CENTER</t>
  </si>
  <si>
    <t>SOUTHPOINTE HEALTHCARE CTR</t>
  </si>
  <si>
    <t>MEADOW VIEW MANOR NURSING HOME</t>
  </si>
  <si>
    <t>STRUM AREA HEALTH AND REHABILITATION</t>
  </si>
  <si>
    <t>MORNINGSIDE HEALTH CENTER</t>
  </si>
  <si>
    <t>RIDGEWOOD CARE CTR</t>
  </si>
  <si>
    <t>ST MARYS HOME FOR THE AGED</t>
  </si>
  <si>
    <t>PORTAGE CTY HLTH CARE CTR</t>
  </si>
  <si>
    <t>PARK MANOR LTD</t>
  </si>
  <si>
    <t>VILLA MARINA HEALTH AND REHAB CTR</t>
  </si>
  <si>
    <t>CROSSROADS CARE CENTER OF MAYVILLE</t>
  </si>
  <si>
    <t>ST PAUL ELDER SERVICES, INC</t>
  </si>
  <si>
    <t>SAMARITAN'S CEDAR CROSSING SUBACUTE UNIT</t>
  </si>
  <si>
    <t>NORSELAND NURSING HOME</t>
  </si>
  <si>
    <t>VILLA LORETTO NURSING HOME</t>
  </si>
  <si>
    <t>SANNES SKOGDALEN HEIM</t>
  </si>
  <si>
    <t>NU ROC COMMUNITY  HEALTHCARE</t>
  </si>
  <si>
    <t>GRAND VIEW CARE CTR</t>
  </si>
  <si>
    <t>LAKELAND HEALTH CARE CTR</t>
  </si>
  <si>
    <t>CHRISTIAN COMMUNITY HOME</t>
  </si>
  <si>
    <t>ASPIRUS PLEASANT VIEW</t>
  </si>
  <si>
    <t>MARINUKA MANOR</t>
  </si>
  <si>
    <t>NEILLSVILLE CARE AND REHAB</t>
  </si>
  <si>
    <t>NEW GLARUS HOME</t>
  </si>
  <si>
    <t>WATER'S EDGE</t>
  </si>
  <si>
    <t>MILWAUKEE CATHOLIC HOME</t>
  </si>
  <si>
    <t>CORNELL AREA CARE CENTER</t>
  </si>
  <si>
    <t>PARK VIEW HEALTH CENTER</t>
  </si>
  <si>
    <t>ST ELIZABETH NURSING HOME</t>
  </si>
  <si>
    <t>ASPIRUS CARE &amp; REHAB-MEDFORD</t>
  </si>
  <si>
    <t>HOPE HEALTH AND REHAB</t>
  </si>
  <si>
    <t>PLEASANT VIEW NURSING HOME</t>
  </si>
  <si>
    <t>ATTIC ANGEL PLACE HEALTH CENTER</t>
  </si>
  <si>
    <t>LINDENGROVE MUKWONAGO</t>
  </si>
  <si>
    <t>MANORCARE HEALTH SERVICES-PEWAUKEE</t>
  </si>
  <si>
    <t>EVERGREEN HEALTH CENTER</t>
  </si>
  <si>
    <t>BARRON CARE AND REHABILITATION</t>
  </si>
  <si>
    <t>CEDAR CREST HEALTH CENTER</t>
  </si>
  <si>
    <t>VIRGINIA HIGHLANDS HLTH AND REHAB</t>
  </si>
  <si>
    <t>RICE LAKE CONV CTR</t>
  </si>
  <si>
    <t>FOND DU LAC LUTHERAN HOME</t>
  </si>
  <si>
    <t>FOUR WINDS MANOR</t>
  </si>
  <si>
    <t>MONTELLO CARE CENTER</t>
  </si>
  <si>
    <t>GRANDE PRAIRIE HLTH  AND REHAB CTR</t>
  </si>
  <si>
    <t>ST DOMINIC VILLA</t>
  </si>
  <si>
    <t>WOODLANDS OF GILLETT</t>
  </si>
  <si>
    <t>MORROW MEMORIAL HOME</t>
  </si>
  <si>
    <t>PREMIER REHAB  AND SKILLED NURSING</t>
  </si>
  <si>
    <t>ATRIUM POST ACUTE CARE OF TWO RIVERS</t>
  </si>
  <si>
    <t>FREDERIC NURSING AND REHAB COMMUNITY</t>
  </si>
  <si>
    <t>MERCY MANOR TRANSITION CENTER</t>
  </si>
  <si>
    <t>RIDGEVIEW TERRACE LONG TERM CARE</t>
  </si>
  <si>
    <t>HIGHLANDS AT NEWCASTLE PL</t>
  </si>
  <si>
    <t>BECKER SHOOP CENTER</t>
  </si>
  <si>
    <t>WOODLANDS OF OCONTO</t>
  </si>
  <si>
    <t>SCHMITT WOODLAND HILLS</t>
  </si>
  <si>
    <t>ATRIUM POST ACUTE CARE OF CHETEK</t>
  </si>
  <si>
    <t>MAPLE RIDGE CARE CENTER</t>
  </si>
  <si>
    <t>PINE HAVEN CHRISTIAN HOME</t>
  </si>
  <si>
    <t>GOLDEN YEARS HEALTH CENTER</t>
  </si>
  <si>
    <t>AVANTI HEALTH AND REHABILITATION CENTER, LLC</t>
  </si>
  <si>
    <t>GUNDERSEN TRI-COUNTY CARE CENTER</t>
  </si>
  <si>
    <t>UNITED PIONEER HOME</t>
  </si>
  <si>
    <t>NAZARETH HEALTH AND REHAB CENTER</t>
  </si>
  <si>
    <t>SARAH CHUDNOW CAMPUS</t>
  </si>
  <si>
    <t>WOODS CROSSING AT WOODS POINT</t>
  </si>
  <si>
    <t>GOLDEN LIVINGCENTER-THREE OAKS</t>
  </si>
  <si>
    <t>ATRIUM POST ACUTE CARE OF PLYMOUTH</t>
  </si>
  <si>
    <t>MUSKEGO HEALTH CARE CENTER</t>
  </si>
  <si>
    <t>PIGEON FALLS HCC</t>
  </si>
  <si>
    <t>WI VETERANS HOME-BOLAND HALL</t>
  </si>
  <si>
    <t>ATRIUM POST ACUTE CARE OF SHAWANO AT MAPLE LANE</t>
  </si>
  <si>
    <t>COLFAX HEALTH AND REHABILITATION CENTER</t>
  </si>
  <si>
    <t>OAKWOOD VILLAGE EAST HEALTH AND REHAB CENTER</t>
  </si>
  <si>
    <t>BROWN CTY COMM TREATMENT CTR-BAYSHORE VILLAGE</t>
  </si>
  <si>
    <t>DALLAS CARE AND REHAB</t>
  </si>
  <si>
    <t>ANNA JOHN RESIDENT CENTERED CARE COMMUNITY</t>
  </si>
  <si>
    <t>MELLEN MANOR</t>
  </si>
  <si>
    <t>RENNES HEALTH AND REHAB CENTER-WESTON</t>
  </si>
  <si>
    <t>CONGREGATIONAL HOME, INC</t>
  </si>
  <si>
    <t>DOVE HEALTHCARE-SOUTH</t>
  </si>
  <si>
    <t>LAKE COUNTRY HEALTH AND REHAB CENTER</t>
  </si>
  <si>
    <t>ST PAUL RECOVERY INN</t>
  </si>
  <si>
    <t>EDEN REHAB SUITES AND GREEN HOUSE HOMES</t>
  </si>
  <si>
    <t>BIRCHWOOD HEALTHCARE AND REHAB CENTER</t>
  </si>
  <si>
    <t>CHRISTIAN COMMUNITY HOME OF OSCEOLA, INC</t>
  </si>
  <si>
    <t>VILLA AT RIVER PARKWAY (THE)</t>
  </si>
  <si>
    <t>WI VETERANS HOME AT CHIPPEWA FALLS</t>
  </si>
  <si>
    <t>DOVE HEALTHCARE - OSSEO</t>
  </si>
  <si>
    <t>LADYSMITH LIVING CENTER, INC</t>
  </si>
  <si>
    <t>STONEY RIVER REHAB</t>
  </si>
  <si>
    <t>CUMBERLAND MEM HSPTL ECU</t>
  </si>
  <si>
    <t>NEIGHBORS - EAST NEIGHBORHOOD (THE)</t>
  </si>
  <si>
    <t>NEIGHBORS - WEST NEIGHBORHOOD (THE)</t>
  </si>
  <si>
    <t>DOVE HEALTHCARE - RICE LAKE</t>
  </si>
  <si>
    <t>WI VETERANS HM STORDOCK 700</t>
  </si>
  <si>
    <t>WI VETERANS HM MACARTHUR 422</t>
  </si>
  <si>
    <t>WI VETERANS HM OLSON 600</t>
  </si>
  <si>
    <t>WI VETERANS HM AINSWORTH 800</t>
  </si>
  <si>
    <t>SHERIDAN MEMORIAL HOSPITAL</t>
  </si>
  <si>
    <t>ST JOHNS MEDICAL CENTER</t>
  </si>
  <si>
    <t>IVINSON MEMORIAL HOSPITAL</t>
  </si>
  <si>
    <t>GRANITE REHABILITATION AND WELLNESS</t>
  </si>
  <si>
    <t>SUBLETTE CENTER</t>
  </si>
  <si>
    <t>WYOMING RETIREMENT CENTER</t>
  </si>
  <si>
    <t>POPLAR LIVING CENTER</t>
  </si>
  <si>
    <t>CHEYENNE HEALTH CARE CENTER</t>
  </si>
  <si>
    <t>SHERIDAN MANOR</t>
  </si>
  <si>
    <t>WEST PARK LONG TERM CARE CENTER</t>
  </si>
  <si>
    <t>WIND RIVER REHABILITATON AND WELLNESS</t>
  </si>
  <si>
    <t>LIFE CARE CENTER OF CHEYENNE</t>
  </si>
  <si>
    <t>MISSION AT CASTLE ROCK REHABILITATION CENTER</t>
  </si>
  <si>
    <t>WESTWARD HEIGHTS CARE CENTER</t>
  </si>
  <si>
    <t>IVINSON MEMORIAL HOSPITAL EXTENDED CARE FACILITY</t>
  </si>
  <si>
    <t>RAWLINS REHABILITATION AND WELLNESS</t>
  </si>
  <si>
    <t>DESERET HEALTH AND REHAB AT ROCK SPRINGS LLC</t>
  </si>
  <si>
    <t>ROCKY MOUNTAIN CARE - EVANSTON</t>
  </si>
  <si>
    <t>WESTVIEW HEALTH CARE CENTER</t>
  </si>
  <si>
    <t>DOUGLAS CARE CENTER LLC</t>
  </si>
  <si>
    <t>SHEPHERD OF THE VALLEY HEALTHCARE CENTER</t>
  </si>
  <si>
    <t>LARAMIE CARE CENTER</t>
  </si>
  <si>
    <t>CHEYENNE REG MEDICAL CTR TRANSITIONAL CARE UNIT</t>
  </si>
  <si>
    <t>ST JOHN'S NURSING HOME</t>
  </si>
  <si>
    <t>DESERET HEALTH AND REHAB AT SARATOGA LLC</t>
  </si>
  <si>
    <t>WORLAND HEALTHCARE AND REHABILITATION CENTER</t>
  </si>
  <si>
    <t>LIFE CARE CENTER OF CASPER</t>
  </si>
  <si>
    <t>MORNING STAR CARE CENTER</t>
  </si>
  <si>
    <t>THERMOPOLIS HEALTH CARE INC</t>
  </si>
  <si>
    <t>PLATTE COUNTY LEGACY HOME</t>
  </si>
  <si>
    <t>GREEN HOUSE LIVING FOR SHERIDAN</t>
  </si>
  <si>
    <t>SARATOGA CARE CENTER LLC</t>
  </si>
  <si>
    <t>SAGE VIEW CARE CENTER</t>
  </si>
  <si>
    <t>PLAYA DEL REY CARE AND REHABILITATION CENTER</t>
  </si>
  <si>
    <t>LONG BEACH POST ACUTE</t>
  </si>
  <si>
    <t>GOLDEN STATE COLONIAL HEALTHCARE CENTER</t>
  </si>
  <si>
    <t>WINDSOR GARDENS HEALTHCARE OF THE VALLEY</t>
  </si>
  <si>
    <t>ST JOHN KRONSTADT CONVALESCENT CENTER</t>
  </si>
  <si>
    <t>PROVIDENCE ORANGE TREE</t>
  </si>
  <si>
    <t>TEMPLE PARK CONVALESCENT HOSP</t>
  </si>
  <si>
    <t>LAGUNA HONDA HOSPITAL &amp; REHABILITATION CTR D/P SNF</t>
  </si>
  <si>
    <t>ORANGEGROVE REHABILITATION HOSPITAL</t>
  </si>
  <si>
    <t>CASA DORINDA</t>
  </si>
  <si>
    <t>MILL CREEK MANOR</t>
  </si>
  <si>
    <t>BEACHSIDE NURSING CENTER</t>
  </si>
  <si>
    <t>PALOS VERDES HEALTH CARE CENTER</t>
  </si>
  <si>
    <t>COLLEGE VISTA CONVALESCENT HOSPITAL</t>
  </si>
  <si>
    <t>SAN MATEO MEDICAL CENTER D/P SNF</t>
  </si>
  <si>
    <t>PARK ANAHEIM HEALTHCARE CENTER</t>
  </si>
  <si>
    <t>FIRESIDE CONVALESCENT HOSPITAL</t>
  </si>
  <si>
    <t>LOTUS CARE CENTER</t>
  </si>
  <si>
    <t>SHADOW HILLS CONV. HOSPITAL</t>
  </si>
  <si>
    <t>LODI NURSING &amp; REHABILITATION</t>
  </si>
  <si>
    <t>DELANO POSTACUTE CARE</t>
  </si>
  <si>
    <t>PACIFIC POST ACUTE</t>
  </si>
  <si>
    <t>BALDWIN GARDENS NURSING CENTER</t>
  </si>
  <si>
    <t>LAS FLORES CONVALESCENT HOSPITAL</t>
  </si>
  <si>
    <t>WINDSOR THE RIDGE REHABILITATION CENTER</t>
  </si>
  <si>
    <t>GOOD SHEPHERD HLTH CARE CTR OF SANTA MONICA</t>
  </si>
  <si>
    <t>VIEW PARK CONV HOSP</t>
  </si>
  <si>
    <t>GREENFIELD CARE CENTER OF FILLMORE, LLC</t>
  </si>
  <si>
    <t>PROVIDENCE MCCLURE</t>
  </si>
  <si>
    <t>WHITE BLOSSOM CARE CENTER</t>
  </si>
  <si>
    <t>WESTERN CONV.HOSPITAL</t>
  </si>
  <si>
    <t>SOUTHLAND</t>
  </si>
  <si>
    <t>SUNNYVIEW CARE CENTER</t>
  </si>
  <si>
    <t>PROVIDENCE HOLY CROSS MED CTR D/P SNF</t>
  </si>
  <si>
    <t>ELDORADO CARE CENTER, LLC</t>
  </si>
  <si>
    <t>CRESCENT COURT NURSING HOME</t>
  </si>
  <si>
    <t>TRACY NURSING AND REHABILITATION CENTER</t>
  </si>
  <si>
    <t>DEL MAR CONVALESCENT HOSPITAL</t>
  </si>
  <si>
    <t>PROVIDENCE VALLEY POINTE</t>
  </si>
  <si>
    <t>ESKATON CARE CENTER MANZANITA</t>
  </si>
  <si>
    <t>DESERT SPRINGS HEALTHCARE &amp; WELLNESS CENTRE</t>
  </si>
  <si>
    <t>CLAREMONT MANOR CARE CENTER</t>
  </si>
  <si>
    <t>KINGSLEY MANOR CARE CENTER</t>
  </si>
  <si>
    <t>FIDELITY HEALTH CARE</t>
  </si>
  <si>
    <t>WESTERN HEALTHCARE CENTER</t>
  </si>
  <si>
    <t>KINDRED NURSING AND TRANSITIONAL CARE-PACIFIC COAS</t>
  </si>
  <si>
    <t>ST EDNA SUBACUTE AND REHABILITATION CENTER</t>
  </si>
  <si>
    <t>VETERANS HOME OF CALIFORNIA - YOUNTVILLE -  SNF</t>
  </si>
  <si>
    <t>GOLDEN CROSS HEALTH CARE</t>
  </si>
  <si>
    <t>ESKATON CARE CENTER GREENHAVEN</t>
  </si>
  <si>
    <t>LAKEWOOD HEALTHCARE CENTER</t>
  </si>
  <si>
    <t>FRENCH PARK CARE CENTER</t>
  </si>
  <si>
    <t>SAN MIGUEL VILLA</t>
  </si>
  <si>
    <t>GOLDEN LIVING CENTER - PORTSIDE</t>
  </si>
  <si>
    <t>ALLIANCE CHERRYLEE CENTER</t>
  </si>
  <si>
    <t>VICTORIA CARE CENTER</t>
  </si>
  <si>
    <t>INLAND CHRISTIAN HOME</t>
  </si>
  <si>
    <t>EL RANCHO VISTA HEALTH CARE CENTER</t>
  </si>
  <si>
    <t>LAKE PARK RETIREMENT RESIDENCE</t>
  </si>
  <si>
    <t>DRIFTWOOD HEALTHCARE CENTER</t>
  </si>
  <si>
    <t>OAKHURST HEALTHCARE &amp; WELLNESS CENTRE</t>
  </si>
  <si>
    <t>ROSEWOOD HEALTH FACILITY</t>
  </si>
  <si>
    <t>SKYLINE HEALTHCARE CENTER - LA</t>
  </si>
  <si>
    <t>WINDSOR POST-ACUTE HEALTHCARE CENTER OF MODESTO</t>
  </si>
  <si>
    <t>SAINT VINCENT HEALTHCARE</t>
  </si>
  <si>
    <t>GOLDEN LIVINGCENTER - PETALUMA</t>
  </si>
  <si>
    <t>MCKINLEY PARK CARE CENTER</t>
  </si>
  <si>
    <t>LINWOOD MEADOWS CARE CENTER</t>
  </si>
  <si>
    <t>ARARAT CONVALESCENT HOSPITAL</t>
  </si>
  <si>
    <t>DOWNEY COMMUNITY HEALTH CENTER</t>
  </si>
  <si>
    <t>MAYWOOD SKILLED NURSING &amp; WELLNESS CENTRE</t>
  </si>
  <si>
    <t>VALLEY MANOR CONV HOSP</t>
  </si>
  <si>
    <t>MOUNT MIGUEL COVENANT VILLAGE</t>
  </si>
  <si>
    <t>HIGHLAND SPRINGS CARE CENTER</t>
  </si>
  <si>
    <t>POWAY HEALTHCARE CENTER</t>
  </si>
  <si>
    <t>GRANCELL VILLAGE</t>
  </si>
  <si>
    <t>WESTSIDE HEALTH CARE</t>
  </si>
  <si>
    <t>THE BRADLEY COURT</t>
  </si>
  <si>
    <t>WESTLAND HOUSE</t>
  </si>
  <si>
    <t>ST. PAULS HEALTH CARE CENTER</t>
  </si>
  <si>
    <t>REDWOOD TERRACE HEALTH CENTER</t>
  </si>
  <si>
    <t>OAK RIVER REHAB</t>
  </si>
  <si>
    <t>ESKATON CARE CENTER FAIR OAKS</t>
  </si>
  <si>
    <t>WEBSTER HOUSE</t>
  </si>
  <si>
    <t>PARADISE SKILLED NURSING</t>
  </si>
  <si>
    <t>VALLEY CONVALESCENT CENTER</t>
  </si>
  <si>
    <t>SAINT CLAIRE'S NURSING CENTER</t>
  </si>
  <si>
    <t>NAPA VALLEY CARE CENTER</t>
  </si>
  <si>
    <t>RIMROCK VILLA CONVALESCENT HOSPITAL</t>
  </si>
  <si>
    <t>SHORELINE CARE CENTER</t>
  </si>
  <si>
    <t>ARBOR REHABILITATION &amp; NURSING CENTER</t>
  </si>
  <si>
    <t>HIGHLAND PARK SKILLED NURSING AND WELLNESS CENTER</t>
  </si>
  <si>
    <t>FRIENDS HOUSE</t>
  </si>
  <si>
    <t>EVERGREEN ARVIN HEALTHCARE</t>
  </si>
  <si>
    <t>NORTHPOINTE HEALTHCARE CENTRE</t>
  </si>
  <si>
    <t>GOLD COUNTRY HEALTH CENTER</t>
  </si>
  <si>
    <t>HEARTWOOD AVENUE HEALTHCARE</t>
  </si>
  <si>
    <t>LINCOLN SQUARE POST ACUTE CARE</t>
  </si>
  <si>
    <t>MERCY RETIREMENT &amp; CARE CENTER</t>
  </si>
  <si>
    <t>ENGLISH OAKS CONV &amp; REHAB HOSPITAL</t>
  </si>
  <si>
    <t>PROVIDENCE DEL ROSA VILLA</t>
  </si>
  <si>
    <t>CALIFORNIA PACIFIC MEDICAL CTR - CALIF EAST CAMPUS</t>
  </si>
  <si>
    <t>COAST CARE CONVALESCENT CENTER</t>
  </si>
  <si>
    <t>VALLEY WEST CARE CENTER</t>
  </si>
  <si>
    <t>BOULDER CREEK POST ACUTE</t>
  </si>
  <si>
    <t>PINERS NURSING HOME</t>
  </si>
  <si>
    <t>WESTGATE GARDENS CARE CENTER</t>
  </si>
  <si>
    <t>SONORA REGIONAL MEDICAL CENTER D/P SNF</t>
  </si>
  <si>
    <t>EXTENDED CARE HOSP WESTMINSTER</t>
  </si>
  <si>
    <t>PASADENA CARE CENTER, LLC</t>
  </si>
  <si>
    <t>PROFESSIONAL POST ACUTE CENTER</t>
  </si>
  <si>
    <t>SHARP CHULA VISTA MED CTR SNF</t>
  </si>
  <si>
    <t>PACIFICA HOSPITAL OF THE VALLEY DP SNF</t>
  </si>
  <si>
    <t>ST ANDREWS HEALTHCARE</t>
  </si>
  <si>
    <t>AUBURN OAKS CARE CENTER</t>
  </si>
  <si>
    <t>VINEYARD HILLS HEALTH CENTER</t>
  </si>
  <si>
    <t>EVERGREEN LAKEPORT HEALTHCARE</t>
  </si>
  <si>
    <t>ST JOHNS PLEASANT VALLEY HOSPITAL D/P SNF</t>
  </si>
  <si>
    <t>THE SPRINGS AT THE CARLOTTA</t>
  </si>
  <si>
    <t>VILLA MARIN</t>
  </si>
  <si>
    <t>TAHOE FOREST HOSPITAL D/P SNF</t>
  </si>
  <si>
    <t>SETON MEDICAL CENTER D/P SNF</t>
  </si>
  <si>
    <t>MARIAN MEDICAL CENTER D/P SNF</t>
  </si>
  <si>
    <t>SAN GABRIEL VALLEY MEDICAL CTR D/P SNF</t>
  </si>
  <si>
    <t>SAINT FRANCIS MED CTR DP</t>
  </si>
  <si>
    <t>TURLOCK NURSING &amp; REHABILITATION CENTER</t>
  </si>
  <si>
    <t>CALIFORNIA PACIFIC MEDICAL CTR - ST. LUKE'S CAMPUS</t>
  </si>
  <si>
    <t>ANBERRY NURSING AND REHABILITATION CENTER</t>
  </si>
  <si>
    <t>NEW HOPE POST ACUTE CARE</t>
  </si>
  <si>
    <t>LIFE CARE CENTER OF VISTA</t>
  </si>
  <si>
    <t>RANCHO MIRAGE HEALTH AND REHABILITATION CENTER</t>
  </si>
  <si>
    <t>RIDGECREST HEALTHCARE CENTER</t>
  </si>
  <si>
    <t>SEA CLIFF HEALTHCARE CENTER</t>
  </si>
  <si>
    <t>KNOLLS WEST POST ACUTE LLC</t>
  </si>
  <si>
    <t>PINE VIEW CENTER</t>
  </si>
  <si>
    <t>KINDRED NURSING AND REHABILITATION - MEDICAL HILL</t>
  </si>
  <si>
    <t>EAST LOS ANGELES DOCTORS HOSP</t>
  </si>
  <si>
    <t>THE REHABILITATION CENTER OF BAKERSFIELD</t>
  </si>
  <si>
    <t>PALM TERRACE HEALTHCARE &amp; REHABILITATION CENTER</t>
  </si>
  <si>
    <t>SONOMA VALLEY HOSPITAL DP/SNF</t>
  </si>
  <si>
    <t>FOUNTAIN CARE CENTER</t>
  </si>
  <si>
    <t>EVERGREEN BAKERSFIELD POST ACUTE CARE</t>
  </si>
  <si>
    <t>ACC CARE CENTER</t>
  </si>
  <si>
    <t>CASTLE MANOR CONVALESCENT CENTER</t>
  </si>
  <si>
    <t>UNIVERSITY POST-ACUTE REHAB</t>
  </si>
  <si>
    <t>SUN MAR NURSING CENTER</t>
  </si>
  <si>
    <t>SPRING LAKE VILLAGE</t>
  </si>
  <si>
    <t>ATHERTON BAPTIST HOME</t>
  </si>
  <si>
    <t>MANCHESTER MANOR CONV HOSPITAL</t>
  </si>
  <si>
    <t>PROVIDENCE SAN BRUNO</t>
  </si>
  <si>
    <t>OROVILLE HOSPITAL POST-ACUTE CENTER</t>
  </si>
  <si>
    <t>CRYSTAL RIDGE CARE CENTER</t>
  </si>
  <si>
    <t>NEW ORANGE HILLS</t>
  </si>
  <si>
    <t>DIAMOND RIDGE HEALTHCARE CENTER</t>
  </si>
  <si>
    <t>STANFORD COURT SKILLED NURSING &amp; REHAB CENTER</t>
  </si>
  <si>
    <t>ALHAMBRA CONVALESCENT HOSPITAL</t>
  </si>
  <si>
    <t>REGENTS POINT - WINDCREST</t>
  </si>
  <si>
    <t>REMINGTON CLUB HEALTH CENTER</t>
  </si>
  <si>
    <t>MANORCARE HEALTH SERVICES-HEMET</t>
  </si>
  <si>
    <t>VILLA POMERADO D/P SNF</t>
  </si>
  <si>
    <t>TWIN OAKS POST ACUTE REHAB</t>
  </si>
  <si>
    <t>SOUTH BAY KEIRO NURSING HOME</t>
  </si>
  <si>
    <t>KINDRED TRANSITIONAL CARE &amp; REHAB - VALLEY GARDENS</t>
  </si>
  <si>
    <t>LAKE FOREST NURSING CENTER</t>
  </si>
  <si>
    <t>CHERRY VALLEY HEALTHCARE</t>
  </si>
  <si>
    <t>DOS PALOS MEMORIAL SKILLED NURSING FACILITY</t>
  </si>
  <si>
    <t>WHITE MEMORIAL MEDICAL CTR DP</t>
  </si>
  <si>
    <t>THE REHABILITATION CENTER OF OAKLAND</t>
  </si>
  <si>
    <t>COPPER RIDGE CARE CENTER</t>
  </si>
  <si>
    <t>VILLA RANCHO BERNARDO CARE CENTER</t>
  </si>
  <si>
    <t>BANNING HEALTHCARE</t>
  </si>
  <si>
    <t>AVIARA HEALTHCARE CENTER</t>
  </si>
  <si>
    <t>CARMEL MOUNTAIN REHABILITATION &amp; HEALTHCARE CENTER</t>
  </si>
  <si>
    <t>MANORCARE HEALTH SERVICES (FOUNTAIN VALLEY)</t>
  </si>
  <si>
    <t>LA PALMA NURSING CENTER</t>
  </si>
  <si>
    <t>RIVERSIDE POSTACUTE CARE</t>
  </si>
  <si>
    <t>VALENCIA GARDENS HEALTH CARE CENTER</t>
  </si>
  <si>
    <t>LINCOLN MEADOWS CARE CENTER</t>
  </si>
  <si>
    <t>VALLEY MEMORIAL HOSPITAL SNF</t>
  </si>
  <si>
    <t>MANORCARE  HEALTH SERVICES (CITRUS HEIGHTS)</t>
  </si>
  <si>
    <t>BRIGHTON CONVALESCENT CENTER</t>
  </si>
  <si>
    <t>MANORCARE HEALTH SERVICES-PALM DESERT</t>
  </si>
  <si>
    <t>MARINA POINTE HEALTHCARE &amp; SUBACUTE</t>
  </si>
  <si>
    <t>REDWOOD CONVALESCENT HOSPITAL, INC</t>
  </si>
  <si>
    <t>SUNNY VIEW MANOR</t>
  </si>
  <si>
    <t>SARATOGA RETIREMENT COMMUNITY HEALTH CENTER</t>
  </si>
  <si>
    <t>BRUCEVILLE TERRACE-D/P SNF OF METHODIST HOSP</t>
  </si>
  <si>
    <t>NORTH STARR POSTACUTE CARE</t>
  </si>
  <si>
    <t>VACAVILLE CONVALESCENT &amp; REHAB</t>
  </si>
  <si>
    <t>TERRACINA POST ACUTE</t>
  </si>
  <si>
    <t>SUNNYSIDE CONV. HOSPITAL</t>
  </si>
  <si>
    <t>VILLA HEALTH CARE CENTER</t>
  </si>
  <si>
    <t>DELTA NURSING &amp; REHABILITATION CENTER</t>
  </si>
  <si>
    <t>VINTAGE FAIRE NURSING &amp; REHABILITATION CENTER</t>
  </si>
  <si>
    <t>KINDRED TRANSITIONAL CARE AND REHAB - CANYONWOOD</t>
  </si>
  <si>
    <t>FRUITVALE HEALTHCARE CENTER</t>
  </si>
  <si>
    <t>CASA DE LAS CAMPANAS</t>
  </si>
  <si>
    <t>LINCOLN GLEN SKILLED NURSING</t>
  </si>
  <si>
    <t>SHIELDS NURSING CENTER</t>
  </si>
  <si>
    <t>PALM TERRACE CARE CENTER</t>
  </si>
  <si>
    <t>CENTURY VILLA, INC</t>
  </si>
  <si>
    <t>BAYSIDE CARE CENTER</t>
  </si>
  <si>
    <t>ALLIANCE EL MONTE CARE CENTER</t>
  </si>
  <si>
    <t>WINDSOR GARDENS CONV LONG BEAC</t>
  </si>
  <si>
    <t>DANVILLE REHABILITATION</t>
  </si>
  <si>
    <t>ASISTENCIA VILLA REHABILITATION AND CARE CENTER</t>
  </si>
  <si>
    <t>ENCINO HOSPITAL MEDICAL CENTER D/P SNF</t>
  </si>
  <si>
    <t>ALAMEDA HOSPITAL D/P SNF</t>
  </si>
  <si>
    <t>BLYTHE POST ACUTE LLC</t>
  </si>
  <si>
    <t>CREEKSIDE  CENTER</t>
  </si>
  <si>
    <t>WEST ANAHEIM EXTENDED CARE</t>
  </si>
  <si>
    <t>CORONA REGIONAL MEDICAL CENTER D/P SNF</t>
  </si>
  <si>
    <t>FREEDOM VILLAGE HEALTHCARE CENTER</t>
  </si>
  <si>
    <t>EL ENCANTO HEALTHCARE CENTER</t>
  </si>
  <si>
    <t>KAWEAH DELTA SKILLED NURSING CENTER</t>
  </si>
  <si>
    <t>COUNTRY VILLA REHABILITATION CENTER</t>
  </si>
  <si>
    <t>WINDSOR POST-ACUTE CARE CENTER OF HAYWARD</t>
  </si>
  <si>
    <t>SILVER OAK MANOR</t>
  </si>
  <si>
    <t>NORWOOD PINES ALZHEIMERS CENTER</t>
  </si>
  <si>
    <t>MONTEREY PALMS HEALTH CARE CENTER</t>
  </si>
  <si>
    <t>AFVW HEALTH CENTER</t>
  </si>
  <si>
    <t>GREENFIELD CARE CENTER OF GARDENA</t>
  </si>
  <si>
    <t>KINDRED TRANSITIONAL CARE AND REHAB-FOOTHIL</t>
  </si>
  <si>
    <t>DESERT REGIONAL MEDICAL CENTER D/P SNF</t>
  </si>
  <si>
    <t>ST FRANCIS EXTENDED CARE</t>
  </si>
  <si>
    <t>STONEBROOK HEALTHCARE CENTER</t>
  </si>
  <si>
    <t>VISTA DEL MONTE</t>
  </si>
  <si>
    <t>THE DOROTHY &amp; JOSEPH GOLDBERG HEALTHCARE CENTER</t>
  </si>
  <si>
    <t>VISTA KNOLL SPECIALIZED CARE FACILITY</t>
  </si>
  <si>
    <t>FRESNO POSTACUTE CARE</t>
  </si>
  <si>
    <t>LIFE CARE CENTER OF ESCONDIDO</t>
  </si>
  <si>
    <t>VILLA GARDENS HEALTH CARE UNIT</t>
  </si>
  <si>
    <t>FOUNTAINS, THE</t>
  </si>
  <si>
    <t>COUNTRY HILLS HEALTH CARE CENTER</t>
  </si>
  <si>
    <t>SOLHEIM LUTHERAN HOME</t>
  </si>
  <si>
    <t>EASTERN PLUMAS HOSPITAL- PORTOLA CAMPUS DP/SNF</t>
  </si>
  <si>
    <t>RECHE CANYON REGIONAL REHAB CENTER</t>
  </si>
  <si>
    <t>SAINT VINCENT MED CTR DP SNF</t>
  </si>
  <si>
    <t>KEIRO NURSING HOME II</t>
  </si>
  <si>
    <t>MEMORIAL HOSPITAL OF GARDENA D/P SNF</t>
  </si>
  <si>
    <t>CAPITAL TRANSITIONAL CARE</t>
  </si>
  <si>
    <t>HI-DESERT MEDICAL CENTER D/P SNF</t>
  </si>
  <si>
    <t>MANORCARE HEALTH SERVICES (SUNNYVALE)</t>
  </si>
  <si>
    <t>ANAHEIM CREST NURSING CENTER</t>
  </si>
  <si>
    <t>MANORCARE HEALTH SERVICES-WALNUT CREEK</t>
  </si>
  <si>
    <t>AMERICAN RIVER CENTER</t>
  </si>
  <si>
    <t>ANTELOPE VALLEY CARE CENTER</t>
  </si>
  <si>
    <t>GLENWOOD CARE CENTER</t>
  </si>
  <si>
    <t>GRAMERCY COURT</t>
  </si>
  <si>
    <t>MARINA GARDEN NURSING CENTER</t>
  </si>
  <si>
    <t>VILLA VALENCIA</t>
  </si>
  <si>
    <t>THE VILLAGE HEALTHCARE CENTER</t>
  </si>
  <si>
    <t>ASHBY CARE CENTER</t>
  </si>
  <si>
    <t>BEAR VALLEY COMMUNITY HOSPITAL</t>
  </si>
  <si>
    <t>WAGNER HEIGHTS NURSING &amp; REHABILITATION CENTER</t>
  </si>
  <si>
    <t>COLUSA REGIONAL MEDICAL CENTER D/P SNF</t>
  </si>
  <si>
    <t>WALNUT VILLAGE REHABILITATION AND CARE CENTER</t>
  </si>
  <si>
    <t>ALTA GARDENS CARE CENTER</t>
  </si>
  <si>
    <t>APPLE VALLEY POST ACUTE CENTER</t>
  </si>
  <si>
    <t>DELANO DISTRICT SKILLED NURSING FACILITY</t>
  </si>
  <si>
    <t>MARSHALL MEDICAL CENTER D/P SNF</t>
  </si>
  <si>
    <t>VISTA MANOR NURSING CENTER</t>
  </si>
  <si>
    <t>USC VERDUGO HILLS HOSPITAL DP/SNF</t>
  </si>
  <si>
    <t>KINGS NURSING &amp; REHABILITATION CENTER</t>
  </si>
  <si>
    <t>ALAMEDA HEALTHCARE &amp; WELLNESS CENTER</t>
  </si>
  <si>
    <t>MISSION DE LA CASA NURSING &amp; REHABILITATION CENTER</t>
  </si>
  <si>
    <t>METHODIST HOSPITAL OF SO. CA</t>
  </si>
  <si>
    <t>MEADOWOOD NURSING CENTER</t>
  </si>
  <si>
    <t>MIRAVILLA CARE CENTER</t>
  </si>
  <si>
    <t>CEDAR MOUNTAIN POST ACUTE</t>
  </si>
  <si>
    <t>RIVERWOOD HEALTHCARE CENTER</t>
  </si>
  <si>
    <t>OAKHILL SPRINGS CARE CENTER</t>
  </si>
  <si>
    <t>ROYAL OAKS MANOR-BRADBURY OAKS</t>
  </si>
  <si>
    <t>PALM VILLAGE RETIREMENT COMM.</t>
  </si>
  <si>
    <t>HERITAGE PARK NURSING CENTER</t>
  </si>
  <si>
    <t>PARK VISTA AT  MORNINGSIDE</t>
  </si>
  <si>
    <t>VAN NUYS HEALTH CARE CENTER</t>
  </si>
  <si>
    <t>LEISURE COURT NURSING CENTER</t>
  </si>
  <si>
    <t>RANCHO MESA CARE CENTER</t>
  </si>
  <si>
    <t>HEALTH CARE CTR AT THE FORUM AT RANCHO SAN ANTONIO</t>
  </si>
  <si>
    <t>SOUTHERN INYO HOSPITAL D/P SNF</t>
  </si>
  <si>
    <t>CHOWCHILLA MEMORIAL HEALTHCARE DISTRICT</t>
  </si>
  <si>
    <t>DRIFTWOOD HEALTHCARE CENTER - HAYWARD</t>
  </si>
  <si>
    <t>RIVER VALLEY CARE CENTER</t>
  </si>
  <si>
    <t>PARK REGENCY CARE CENTER</t>
  </si>
  <si>
    <t>EDEN VALLEY CARE CENTER</t>
  </si>
  <si>
    <t>COALINGA REGIONAL MEDICAL CTR DP/SNF</t>
  </si>
  <si>
    <t>PIONEER HOUSE</t>
  </si>
  <si>
    <t>THE COVE AT LA JOLLA</t>
  </si>
  <si>
    <t>THE TERRACES OF LOS GATOS</t>
  </si>
  <si>
    <t>DANISH CARE CENTER</t>
  </si>
  <si>
    <t>ESKATON VILLAGE CARE CENTER</t>
  </si>
  <si>
    <t>IMPERIAL HEIGHTS HEALTHCARE &amp; WELLNESS CENTRE, LLC</t>
  </si>
  <si>
    <t>WINDSOR PALMS CARE CENTER OF ARTESIA</t>
  </si>
  <si>
    <t>VISTA COVE CARE CENTER AT CORONA</t>
  </si>
  <si>
    <t>SOUTH COAST GLOBAL MEDICAL CENTER D/P SNF</t>
  </si>
  <si>
    <t>OAKLAND HEIGHTS NURSING AND REHABILITATION</t>
  </si>
  <si>
    <t>GROSSMONT HOSPITAL D/P SNF</t>
  </si>
  <si>
    <t>STONEY POINT HEALTHCARE CENTER</t>
  </si>
  <si>
    <t>HOLIDAY MANOR CARE CENTER</t>
  </si>
  <si>
    <t>ARARAT NURSING FACILITY</t>
  </si>
  <si>
    <t>MACLAY HEALTHCARE CENTER</t>
  </si>
  <si>
    <t>SAN DIEGO HEALTHCARE CENTER</t>
  </si>
  <si>
    <t>VIBRA HOSPITAL OF NORTHERN CALIFORNIA D/P SNF</t>
  </si>
  <si>
    <t>SAN LUIS TRANSITIONAL CARE</t>
  </si>
  <si>
    <t>O'CONNOR HOSPITAL DP/SNF</t>
  </si>
  <si>
    <t>KINDRED TRANSITIONAL CARE AND REHAB - SMITH RANCH</t>
  </si>
  <si>
    <t>PARKSIDE HEALTH AND WELLNESS CENTER</t>
  </si>
  <si>
    <t>TORRANCE MEMORIAL MED CTR SNF/DP</t>
  </si>
  <si>
    <t>GLENHAVEN HEALTHCARE</t>
  </si>
  <si>
    <t>GLENDALE HEALTHCARE CENTER</t>
  </si>
  <si>
    <t>CITRUS VALLEY MEDICAL CENTER - IC CAMPUS - D/P SNF</t>
  </si>
  <si>
    <t>THE GROVE CARE AND WELLNESS</t>
  </si>
  <si>
    <t>COUNTRY CARE CONVALESCENT HOSPITAL</t>
  </si>
  <si>
    <t>ARROYO GRANDE CARE CENTER</t>
  </si>
  <si>
    <t>HEMET VALLEY HEALTHCARE CENTER</t>
  </si>
  <si>
    <t>CALIFORNIA PARK REHABILITATION HOSPITAL</t>
  </si>
  <si>
    <t>MISSION HILLS HEALTH CARE, INC</t>
  </si>
  <si>
    <t>COURTYARD CARE CENTER</t>
  </si>
  <si>
    <t>LOS ANGELES COMM HOSPITAL</t>
  </si>
  <si>
    <t>THE MEADOWS OF NAPA VALLEY</t>
  </si>
  <si>
    <t>REDLANDS COMM HOSP D/P SNF</t>
  </si>
  <si>
    <t>AUBURN RAVINE TERRACE</t>
  </si>
  <si>
    <t>WEST COVINA MEDICAL CENTER D/P SNF</t>
  </si>
  <si>
    <t>MONTE VISTA GROVE HOMES</t>
  </si>
  <si>
    <t>STANLEY HEALTHCARE CENTER</t>
  </si>
  <si>
    <t>WILLOW CREEK HEALTHCARE CENTER</t>
  </si>
  <si>
    <t>PRESBYTERIAN INTERCOMM HOSP DP/SNF</t>
  </si>
  <si>
    <t>CARLMONT GARDENS NURSING CENTER</t>
  </si>
  <si>
    <t>PORTERVILLE CONVALESCENT HOSPITAL</t>
  </si>
  <si>
    <t>SAN DIEGO POST-ACUTE CENTER</t>
  </si>
  <si>
    <t>SAN FRANCISCO GENERAL HOSPITAL D/P SNF</t>
  </si>
  <si>
    <t>PROVIDENCE LINDSAY GARDENS</t>
  </si>
  <si>
    <t>LOS ROBLES HOSPITAL &amp; MEDICAL CENTER D/P SNF</t>
  </si>
  <si>
    <t>GARDEN PARK CARE CENTER</t>
  </si>
  <si>
    <t>NORWALK SKILLED NURSING &amp; WELLNESS CENTRE, LLC</t>
  </si>
  <si>
    <t>TERRACE VIEW CARE CENTER</t>
  </si>
  <si>
    <t>ASBURY PARK NURSING &amp; REHABILITATION CENTER</t>
  </si>
  <si>
    <t>HAWTHORNE HEALTHCARE &amp; WELLNESS CENTRE, LP</t>
  </si>
  <si>
    <t>MARYSVILLE POST-ACUTE</t>
  </si>
  <si>
    <t>LEGACY NURSING AND REHABILITATION CENTER</t>
  </si>
  <si>
    <t>STUDIO CITY REHABILITATION CEN</t>
  </si>
  <si>
    <t>WINDSOR GARDENS CONVALESCENT CENTER OF ANAHEIM</t>
  </si>
  <si>
    <t>ALAMEDA CARE CENTER</t>
  </si>
  <si>
    <t>PLYMOUTH SQUARE</t>
  </si>
  <si>
    <t>ALDERSLY SKILLED NURSING FACILITY</t>
  </si>
  <si>
    <t>BARTON MEMORIAL SKILLED NURSING</t>
  </si>
  <si>
    <t>THE REHABILITATION CENTRE OF BEVERLY HILLS</t>
  </si>
  <si>
    <t>SIMI VALLEY CARE CENTER</t>
  </si>
  <si>
    <t>BAKERSFIELD HEALTHCARE CENTER</t>
  </si>
  <si>
    <t>WINDSOR CARE CENTER OF PETALUMA</t>
  </si>
  <si>
    <t>DEL AMO GARDENS CONVALESCENT</t>
  </si>
  <si>
    <t>CHAPMAN GLOBAL MEDICAL CENTER D/P SNF</t>
  </si>
  <si>
    <t>MANORCARE HEALTH SERVICES - TICE VALLEY</t>
  </si>
  <si>
    <t>COMMUNITY CARE ON PALM</t>
  </si>
  <si>
    <t>HILLVIEW CONVALESCENT HOSPITAL</t>
  </si>
  <si>
    <t>MEADOWOOD A  HEALTH AND REHABILITATION CENTER</t>
  </si>
  <si>
    <t>COLONIAL GARDENS NURSING HOME</t>
  </si>
  <si>
    <t>PARKWEST HEALTHCARE CENTER</t>
  </si>
  <si>
    <t>WINDSOR CARE CENTER OF SACRAMENTO</t>
  </si>
  <si>
    <t>ROWNTREE GARDENS</t>
  </si>
  <si>
    <t>IMPERIAL CREST HEALTH CARE CENTER</t>
  </si>
  <si>
    <t>VISTA HEALTHCARE CENTER</t>
  </si>
  <si>
    <t>COUNTRY VILLA MAR VISTA NRS CT</t>
  </si>
  <si>
    <t>PARADISE VALLEY ESTATES</t>
  </si>
  <si>
    <t>SAN FRANCISCO TOWERS</t>
  </si>
  <si>
    <t>ARCADIA HEALTH CARE CENTER</t>
  </si>
  <si>
    <t>SANTA FE HEIGHTS HEALTHCARE CENTER, LLC</t>
  </si>
  <si>
    <t>THE PAVILION AT SUNNY HILLS</t>
  </si>
  <si>
    <t>VINTAGE ESTATES OF RICHMOND</t>
  </si>
  <si>
    <t>AVALON CARE CENTER - SONORA</t>
  </si>
  <si>
    <t>BROOKDALE SAN DIMAS</t>
  </si>
  <si>
    <t>WINDSOR TERRACE HEALTH CARE</t>
  </si>
  <si>
    <t>THE SPRINGS AT PACIFIC REGENT</t>
  </si>
  <si>
    <t>PALM GROVE HEALTH CARE</t>
  </si>
  <si>
    <t>INDIO NURSING AND REHABILITATION CENTER</t>
  </si>
  <si>
    <t>KINDRED TRANSITIONAL CARE &amp; REHAB - SIENA</t>
  </si>
  <si>
    <t>BROOKDALE CARLSBAD</t>
  </si>
  <si>
    <t>BROOKDALE CARMEL VALLEY</t>
  </si>
  <si>
    <t>MURRIETA HEALTH AND REHABILITATION CENTER</t>
  </si>
  <si>
    <t>BERKLEY EAST CONVALESCENT HOSP</t>
  </si>
  <si>
    <t>NEWPORT SUBACUTE HEALTHCARE CENTER</t>
  </si>
  <si>
    <t>KINDRED TRANSITIONAL CARE AND REHABILITATION-VILLA</t>
  </si>
  <si>
    <t>GREEN ACRES LODGE</t>
  </si>
  <si>
    <t>MILPITAS CARE CENTER</t>
  </si>
  <si>
    <t>NEW BETHANY SKILLED NURSING</t>
  </si>
  <si>
    <t>WISTERIA CARE CENTER</t>
  </si>
  <si>
    <t>SAMARKAND SKILLED NURSING FACILITY</t>
  </si>
  <si>
    <t>BROOKDALE SAN JUAN CAPISTRANO</t>
  </si>
  <si>
    <t>PALOMAR HEIGHTS POST ACUTE REHAB</t>
  </si>
  <si>
    <t>CAREHOUSE HEALTHCARE CENTER</t>
  </si>
  <si>
    <t>SIERRA VIEW MEDICAL CENTER</t>
  </si>
  <si>
    <t>BELLAKEN SKILLED NURSING CTR</t>
  </si>
  <si>
    <t>BROOKDALE YORBA LINDA</t>
  </si>
  <si>
    <t>UNIVERSITY RETIREMENT COMMUNITY AT DAVIS</t>
  </si>
  <si>
    <t>CAMARILLO HEALTHCARE CENTER</t>
  </si>
  <si>
    <t>BROOKDALE RIVERWALK SNF (CA)</t>
  </si>
  <si>
    <t>DESERT MANOR</t>
  </si>
  <si>
    <t>SKY HARBOR CARE CENTER</t>
  </si>
  <si>
    <t>BROOKDALE RANCHO MIRAGE</t>
  </si>
  <si>
    <t>BISHOP CARE CENTER</t>
  </si>
  <si>
    <t>KAISER PERMANENTE POST-ACUTE CARE CENTER</t>
  </si>
  <si>
    <t>DEL RIO GARDENS CARE CENTER</t>
  </si>
  <si>
    <t>DEL RIO CONVALESCENT CENTER</t>
  </si>
  <si>
    <t>SANTA MONICA CONV CTR I</t>
  </si>
  <si>
    <t>WHITTIER NURSING AND WELLNESS CENTER, INC</t>
  </si>
  <si>
    <t>CEDAR CREST NURSING AND REHABILITATION CENTER</t>
  </si>
  <si>
    <t>BROOKDALE NORTHRIDGE</t>
  </si>
  <si>
    <t>SUNNYVALE POST-ACUTE CENTER</t>
  </si>
  <si>
    <t>VI AT LA JOLLA VILLAGE</t>
  </si>
  <si>
    <t>WINDSOR TERRACE OF WESTLAKE VILLAGE</t>
  </si>
  <si>
    <t>VETERANS HOME OF CALIFORNIA - CHULA VISTA</t>
  </si>
  <si>
    <t>GORDON LANE CARE CENTER</t>
  </si>
  <si>
    <t>WOODSIDE HEALTHCARE CENTER</t>
  </si>
  <si>
    <t>MT. PLEASANT NURSING CENTER</t>
  </si>
  <si>
    <t>PINE CREEK CARE CENTER</t>
  </si>
  <si>
    <t>COUNTRY CREST POST ACUTE</t>
  </si>
  <si>
    <t>VICTORIA POST ACUTE CARE</t>
  </si>
  <si>
    <t>BEL VISTA HEALTHCARE CENTER</t>
  </si>
  <si>
    <t>GLENBROOK</t>
  </si>
  <si>
    <t>THE REHABILITATION CENTER OF SANTA MONICA</t>
  </si>
  <si>
    <t>PROVIDENCE ALL SAINT'S SUBACUTE</t>
  </si>
  <si>
    <t>LAS VILLAS DEL NORTE HEALTH CENTER</t>
  </si>
  <si>
    <t>THE COVINGTON CARE CENTER</t>
  </si>
  <si>
    <t>LAS VILLAS DE CARLSBAD HEALTH CENTER</t>
  </si>
  <si>
    <t>DEVONSHIRE OAKS NURSING CENTER</t>
  </si>
  <si>
    <t>SAN FERNANDO POST ACUTE HOSPITAL</t>
  </si>
  <si>
    <t>LAWNDALE HEALTHCARE &amp; WELLNESS CENTRE LLC</t>
  </si>
  <si>
    <t>ELMWOOD CARE CENTER</t>
  </si>
  <si>
    <t>HEALDSBURG SENIOR LIVING COMMUNITY</t>
  </si>
  <si>
    <t>MARTINEZ CONVALESCENT HOSPITAL</t>
  </si>
  <si>
    <t>CANYON OAKS NURSING AND REHABILITATION CENTER</t>
  </si>
  <si>
    <t>INTERCOMMUNITY CARE CENTER</t>
  </si>
  <si>
    <t>SAN MARINO MANOR</t>
  </si>
  <si>
    <t>THE REDWOODS, A COMMUNITY OF SENIORS</t>
  </si>
  <si>
    <t>ATHERTON HEALTHCARE</t>
  </si>
  <si>
    <t>RANCHO VISTA</t>
  </si>
  <si>
    <t>LOMPOC SKILLED NURSING &amp; REHABILITATION CENTER</t>
  </si>
  <si>
    <t>HERMAN HEALTH CARE CENTER</t>
  </si>
  <si>
    <t>CLARA BALDWIN STOCKER HOME</t>
  </si>
  <si>
    <t>ST MARY'S MEDICAL CENTER D/P SNF</t>
  </si>
  <si>
    <t>VI AT PALO ALTO</t>
  </si>
  <si>
    <t>BROOKDALE FOUNTAINGROVE</t>
  </si>
  <si>
    <t>CAMDEN POSTACUTE CARE, INC</t>
  </si>
  <si>
    <t>DREIER'S NURSING CARE CENTER</t>
  </si>
  <si>
    <t>GREENHILLS MANOR</t>
  </si>
  <si>
    <t>JONES CONVALESCENT HOSPITAL</t>
  </si>
  <si>
    <t>MASONIC HOME</t>
  </si>
  <si>
    <t>NOVATO HEALTHCARE CENTER</t>
  </si>
  <si>
    <t>JOYCE EISENBERG KEEFER MEDICAL CENTER D/P SNF</t>
  </si>
  <si>
    <t>CORINTHIAN GARDENS HEALTH CARE CENTER</t>
  </si>
  <si>
    <t>PROVIDENCE LITTLE COMP OF MARY SUBACUTE CARE CTR</t>
  </si>
  <si>
    <t>VISTA DEL SOL CARE CENTER</t>
  </si>
  <si>
    <t>ALHAMBRA HOSPITAL MED CTR DP/SNF</t>
  </si>
  <si>
    <t>BAY AREA HEALTHCARE CENTER</t>
  </si>
  <si>
    <t>PARK AVENUE HEALTHCARE &amp; WELLNESS CENTER</t>
  </si>
  <si>
    <t>VETERANS HOME OF CALIFORNIA - BARSTOW</t>
  </si>
  <si>
    <t>MESA GLEN CARE CENTER</t>
  </si>
  <si>
    <t>BAYWOOD COURT HEALTH CENTER</t>
  </si>
  <si>
    <t>PENINSULA POST-ACUTE</t>
  </si>
  <si>
    <t>OAKVIEW SKILLED NURSING</t>
  </si>
  <si>
    <t>KINDRED HOSPITAL BREA D/P SNF</t>
  </si>
  <si>
    <t>TWIN OAKS REHABILITATION &amp; NURSING CENTER</t>
  </si>
  <si>
    <t>VILLA SCALABRINI SPECIAL CARE</t>
  </si>
  <si>
    <t>HUNTINGTON HEALTHCARE CENTER</t>
  </si>
  <si>
    <t>SIERRA VISTA HEALTHCARE</t>
  </si>
  <si>
    <t>FOREST HILL MANOR HEALTH CENTER</t>
  </si>
  <si>
    <t>HAYWARD SPRINGS CARE CENTER</t>
  </si>
  <si>
    <t>BELLA VISTA HEALTH CENTER</t>
  </si>
  <si>
    <t>SOMERSET SUBACUTE AND CARE</t>
  </si>
  <si>
    <t>CHAPARRAL HOUSE</t>
  </si>
  <si>
    <t>SOUTH BAY POST ACUTE CARE</t>
  </si>
  <si>
    <t>SOUTHERN CALIFORNIA HOSP AT CULVER CITY D/P SNF</t>
  </si>
  <si>
    <t>ALTO LUCERO TRANSITIONAL CARE</t>
  </si>
  <si>
    <t>BROOKDALE CAMARILLO</t>
  </si>
  <si>
    <t>RIDGECREST REGIONAL TRANSITIONAL CARE AND REHABILI</t>
  </si>
  <si>
    <t>GRANITE HILLS HEALTHCARE &amp; WELLNESS CENTRE, LLC</t>
  </si>
  <si>
    <t>PROVIDENCE ALL SAINT'S MAUBERT</t>
  </si>
  <si>
    <t>CLEAR VIEW CONVALESCENT CENTER</t>
  </si>
  <si>
    <t>CLEAR VIEW SANITARIUM</t>
  </si>
  <si>
    <t>CENTRAL VALLEY SPECIALTY HOSPITAL -  SNF</t>
  </si>
  <si>
    <t>RIVERSIDE HEIGHTS HEALTHCARE CENTER, LLC</t>
  </si>
  <si>
    <t>SHERMAN OAKS HOSPITAL SNF DP</t>
  </si>
  <si>
    <t>LAKESIDE SPECIAL CARE CENTER</t>
  </si>
  <si>
    <t>MOUNTAIN MANOR SENIOR RESIDENCE</t>
  </si>
  <si>
    <t>VETERANS HOME OF CALIFORNIA - REDDING</t>
  </si>
  <si>
    <t>GUAM MEMORIAL HOSPITAL AUTHORITY</t>
  </si>
  <si>
    <t>ST MARKS MEDICAL CENTER</t>
  </si>
  <si>
    <t>BEECHNUT MANOR</t>
  </si>
  <si>
    <t>EASTLAND NURSING &amp; REHABILITATION</t>
  </si>
  <si>
    <t>RETAMA MANOR NURSING CENTER/SAN ANTONIO WEST</t>
  </si>
  <si>
    <t>HILLCREST NURSING AND REHABILITATION LP</t>
  </si>
  <si>
    <t>MCKINNEY HEALTHCARE AND REHABILITATION CENTER</t>
  </si>
  <si>
    <t>CHEROKEE ROSE NURSING AND REHABILITATION</t>
  </si>
  <si>
    <t>COLEMAN HEALTHCARE CENTER</t>
  </si>
  <si>
    <t>JACKSONVILLE HEALTHCARE CENTER</t>
  </si>
  <si>
    <t>CROWELL NURSING CENTER</t>
  </si>
  <si>
    <t>HASKELL HEALTHCARE CENTER</t>
  </si>
  <si>
    <t>GREAT PLAINS NURSING AND REHABILITATION</t>
  </si>
  <si>
    <t>CROSS COUNTRY HEALTHCARE CENTER</t>
  </si>
  <si>
    <t>RIVER OAKS HEALTH AND REHABILITATION CENTER</t>
  </si>
  <si>
    <t>APEX SECURE CARE BROWNFIELD</t>
  </si>
  <si>
    <t>GREENVILLE HEALTH &amp; REHABILITATION CENTER</t>
  </si>
  <si>
    <t>ELECTRA HEALTHCARE CENTER</t>
  </si>
  <si>
    <t>GOOD SAMARITAN SOCIETY--WHITE ACRES</t>
  </si>
  <si>
    <t>ESTATES HEALTHCARE AND REHABILITATION CENTER</t>
  </si>
  <si>
    <t>REGENT CARE CENTER OF LAREDO</t>
  </si>
  <si>
    <t>CEDAR HILL HEALTHCARE CENTER</t>
  </si>
  <si>
    <t>MESQUITE TREE NURSING CENTER</t>
  </si>
  <si>
    <t>PENNSYLVANIA REHAB LP</t>
  </si>
  <si>
    <t>EVERGREEN HEALTHCARE CENTER</t>
  </si>
  <si>
    <t>PITTSBURG NURSING CENTER</t>
  </si>
  <si>
    <t>CLYDE NURSING CENTER</t>
  </si>
  <si>
    <t>FRANKSTON HEALTHCARE CENTER LP</t>
  </si>
  <si>
    <t>SEYMOUR REHABILITATION AND HEALTHCARE</t>
  </si>
  <si>
    <t>ROSENBERG HEALTH &amp; REHABILITATION CENTER</t>
  </si>
  <si>
    <t>TRINITY NURSING AND REHABILITATION OF WINNSBORO LP</t>
  </si>
  <si>
    <t>LAPORTE HEALTHCARE CENTER</t>
  </si>
  <si>
    <t>CHISOLM TRAIL NURSING AND REHABILITATION CENTER</t>
  </si>
  <si>
    <t>CHILDRESS HEALTHCARE CENTER</t>
  </si>
  <si>
    <t>STANTON NURSING AND REHABILITATION LP</t>
  </si>
  <si>
    <t>BALCH SPRINGS NURSING HOME</t>
  </si>
  <si>
    <t>HOMEPLACE MANOR</t>
  </si>
  <si>
    <t>MUNDAY NURSING CENTER</t>
  </si>
  <si>
    <t>HEARNE HEALTHCARE CENTER</t>
  </si>
  <si>
    <t>CENTERVILLE HEALTHCARE CENTER</t>
  </si>
  <si>
    <t>HONEY GROVE NURSING CENTER</t>
  </si>
  <si>
    <t>GAINESVILLE CONVALESCENT CENTER</t>
  </si>
  <si>
    <t>YORKTOWN NURSING AND REHABILITATION CENTER</t>
  </si>
  <si>
    <t>HILLCREST MANOR NURSING AND REHABILITATION CENTER</t>
  </si>
  <si>
    <t>LLANO NURSING AND REHABILITATION CENTER</t>
  </si>
  <si>
    <t>GALLERIA  RESIDENCE AND REHABILITATION CENTER</t>
  </si>
  <si>
    <t>ALLENBROOK HEALTHCARE CENTER</t>
  </si>
  <si>
    <t>THE VOSSWOOD NURSING CENTER</t>
  </si>
  <si>
    <t>GOLDEN ACRES LIVING AND REHABILITATION CENTER</t>
  </si>
  <si>
    <t>TRINITY NURSING AND REHABILITATION OF GRANBURY LP</t>
  </si>
  <si>
    <t>WOODWIND LAKES HEALTH AND REHABILITATION CENTER</t>
  </si>
  <si>
    <t>CITIZENS MEDICAL CENTER</t>
  </si>
  <si>
    <t>SHERMAN HEALTHCARE CENTER</t>
  </si>
  <si>
    <t>LAKESIDE REHABILITATION AND CARE CENTER</t>
  </si>
  <si>
    <t>HALLETTSVILLE REHABILITATION AND NURSING CENTER</t>
  </si>
  <si>
    <t>HOMESTEAD NURSING AND REHABILITATION OF HILLSBORO</t>
  </si>
  <si>
    <t>FARWELL CARE AND REHABILITATION CENTER</t>
  </si>
  <si>
    <t>OAKLAND MANOR NURSING CENTER</t>
  </si>
  <si>
    <t>TRINITY NURSING AND REHABILITATION OF ITALY LP</t>
  </si>
  <si>
    <t>LIVE OAK NURSING CENTER</t>
  </si>
  <si>
    <t>COUNTRY VIEW NURSING AND REHABILITATION LP</t>
  </si>
  <si>
    <t>MESA HILLS HEALTHCARE RESIDENCE</t>
  </si>
  <si>
    <t>THE VILLAGE AT RICHARDSON</t>
  </si>
  <si>
    <t>CUERO NURSING AND REHABILITATION CENTER</t>
  </si>
  <si>
    <t>HERITAGE GARDENS REHABILITATION AND HEALTHCARE</t>
  </si>
  <si>
    <t>HERITAGE OAKS</t>
  </si>
  <si>
    <t>THE PARK IN PLANO</t>
  </si>
  <si>
    <t>RUNNINGWATER DRAW CARE CENTER INC</t>
  </si>
  <si>
    <t>BRUSH COUNTRY NURSING AND REHABILITATION</t>
  </si>
  <si>
    <t>WEST LAKE HEALTHCARE RESIDENCE</t>
  </si>
  <si>
    <t>WOODVILLE HEALTH AND REHABILITATION CENTER</t>
  </si>
  <si>
    <t>TEXAN NURSING &amp; REHAB OF GONZALES</t>
  </si>
  <si>
    <t>HUMBLE HEALTHCARE CENTER</t>
  </si>
  <si>
    <t>MIDWESTERN HEALTHCARE CENTER</t>
  </si>
  <si>
    <t>BREMOND NURSING AND REHABILITATION CENTER</t>
  </si>
  <si>
    <t>HIGHLAND PINES NURSING HOME LTD</t>
  </si>
  <si>
    <t>WHISPERING OAKS REHAB &amp; NURSING</t>
  </si>
  <si>
    <t>DENTON REHABILITATION AND NURSING CENTER</t>
  </si>
  <si>
    <t>PRINCETON PLACE REHABILITATION &amp; HEALTHCARE BANDER</t>
  </si>
  <si>
    <t>WINDSOR HEALTHCARE RESIDENCE LTD</t>
  </si>
  <si>
    <t>DOVE HILL CARE CENTER AND VILLAS</t>
  </si>
  <si>
    <t>CRESTVIEW HEALTHCARE RESIDENCE</t>
  </si>
  <si>
    <t>BRIARCLIFF HEALTH CENTER</t>
  </si>
  <si>
    <t>TRINITY NURSING AND REHABILITATION OF BURLESON LP</t>
  </si>
  <si>
    <t>BUENA VIDA NURSING AND REHAB ODESSA</t>
  </si>
  <si>
    <t>FIRESIDE LODGE RETIREMENT CENTER INC</t>
  </si>
  <si>
    <t>ORANGE VILLA NURSING AND REHABILITATION LP</t>
  </si>
  <si>
    <t>ROCKPORT COASTAL CARE CENTER INC</t>
  </si>
  <si>
    <t>ODD FELLOW AND REBEKAH NURSING HOME</t>
  </si>
  <si>
    <t>DOGWOOD TRAILS MANOR</t>
  </si>
  <si>
    <t>HERITAGE HOUSE AT KELLER REHAB &amp; NURSING</t>
  </si>
  <si>
    <t>SOUTHBROOKE MANOR NURSING AND REHABILITATION CENTE</t>
  </si>
  <si>
    <t>BRIARCLIFF NURSING AND REHABILITATION CENTER</t>
  </si>
  <si>
    <t>FREDERICKSBURG NURSING AND REHABILITATION LP</t>
  </si>
  <si>
    <t>LA PALOMA NURSING CENTER</t>
  </si>
  <si>
    <t>MERIDIAN CARE</t>
  </si>
  <si>
    <t>GULF HEALTH CARE CENTER PORT ARTHUR</t>
  </si>
  <si>
    <t>PARK MANOR OF MCKINNEY</t>
  </si>
  <si>
    <t>MCCULLOUGH HALL NURSING CENTER INC</t>
  </si>
  <si>
    <t>PINE TREE LODGE NURSING CENTER</t>
  </si>
  <si>
    <t>CARRIAGE HOUSE MANOR</t>
  </si>
  <si>
    <t>BROWNFIELD REHABILITATION AND CARE CENTER</t>
  </si>
  <si>
    <t>TWIN OAKS HEALTH AND REHABILITATION CENTER</t>
  </si>
  <si>
    <t>LONGMEADOW HEALTHCARE CENTER</t>
  </si>
  <si>
    <t>FORT WORTH MANOR</t>
  </si>
  <si>
    <t>METROPLEX NURSING AND REHABILITATION LP</t>
  </si>
  <si>
    <t>NORTH PARK HEALTH AND REHABILITATION CENTER</t>
  </si>
  <si>
    <t>HILLSIDE NURSING AND REHABILITATION LP</t>
  </si>
  <si>
    <t>PARK PLAZA NURSING HOME</t>
  </si>
  <si>
    <t>PRINCETON PLACE REHABILITATION &amp; HEALTHCARE MEDICA</t>
  </si>
  <si>
    <t>HOMESTEAD NURSING AND REHABILITATION OF COLLINSVIL</t>
  </si>
  <si>
    <t>HERITAGE HOUSE NURSING AND REHABILITATION</t>
  </si>
  <si>
    <t>THE HOMESTEAD OF DENISON</t>
  </si>
  <si>
    <t>GULF HEALTH CARE CENTER TEXAS CITY</t>
  </si>
  <si>
    <t>ELKHART OAKS CARE CENTER</t>
  </si>
  <si>
    <t>AVALON PLACE KIRBYVILLE</t>
  </si>
  <si>
    <t>SEABREEZE NURSING AND REHABILITATION LP</t>
  </si>
  <si>
    <t>GREEN ACRES OF BAYTOWN</t>
  </si>
  <si>
    <t>STEVENS NURSING AND REHABILITATION CENTER OF HALLE</t>
  </si>
  <si>
    <t>WOODLAND MANOR NURSING AND REHABILITATION LP</t>
  </si>
  <si>
    <t>PINE GROVE NURSING CENTER</t>
  </si>
  <si>
    <t>JACINTO CITY HEALTHCARE CENTER</t>
  </si>
  <si>
    <t>MISSION CARE CENTERS-ALL SEASONS</t>
  </si>
  <si>
    <t>WOODLAKE NURSING HOME</t>
  </si>
  <si>
    <t>TRINITY TERRACE</t>
  </si>
  <si>
    <t>THE SPRINGS</t>
  </si>
  <si>
    <t>MAGNOLIA PLACE</t>
  </si>
  <si>
    <t>MONTEBELLO WELLNESS CENTER</t>
  </si>
  <si>
    <t>COUNTRY MEADOWS NURSING &amp; REHABILITATION CENTER</t>
  </si>
  <si>
    <t>AZALEA TRAIL NURSING AND REHABILITATION CENTER</t>
  </si>
  <si>
    <t>GULF HEALTH CARE CENTER IN GALVESTON</t>
  </si>
  <si>
    <t>TULIA HEALTH AND REHABILITATION CENTER</t>
  </si>
  <si>
    <t>CISCO NURSING &amp; REHABILITATION</t>
  </si>
  <si>
    <t>ATHENS HEALTHCARE AND REHABILITATION CENTER</t>
  </si>
  <si>
    <t>GREENBRIER NURSING AND REHABILITATION CENTER OF TY</t>
  </si>
  <si>
    <t>LAREDO MEDICAL CENTER</t>
  </si>
  <si>
    <t>PECAN MANOR NURSING AND REHABILITATION LP</t>
  </si>
  <si>
    <t>SEVEN OAKS NURSING AND REHABILITATION LP</t>
  </si>
  <si>
    <t>WILLOWBEND NURSING AND REHABILITATION CENTER</t>
  </si>
  <si>
    <t>VALLEY MILLS NURSING AND REHABILITATION LP</t>
  </si>
  <si>
    <t>WILLIS NURSING AND REHABILITATION LP</t>
  </si>
  <si>
    <t>CARE INN OF LA GRANGE</t>
  </si>
  <si>
    <t>VILLA HAVEN HEALTH AND REHABILITATION CENTER</t>
  </si>
  <si>
    <t>COTTONWOOD CREEK HEALTHCARE COMMUNITY</t>
  </si>
  <si>
    <t>COUNTRY CLUB NURSING AND REHABILITATION LP</t>
  </si>
  <si>
    <t>MISSION MANOR HEALTHCARE RESIDENCE</t>
  </si>
  <si>
    <t>PINECREST NURSING &amp; REHABILITATION CENTER</t>
  </si>
  <si>
    <t>CROSBYTON NURSING AND REHABILITATION CENTER</t>
  </si>
  <si>
    <t>COTTONWOOD NURSING AND REHABILITATION LP</t>
  </si>
  <si>
    <t>LINDEN HEALTHCARE CENTER</t>
  </si>
  <si>
    <t>LYTLE NURSING HOME</t>
  </si>
  <si>
    <t>PLEASANT VALLEY HEALTHCARE AND REHABILITATION CENT</t>
  </si>
  <si>
    <t>BLUEBONNET NURSING AND REHABILITATION LP</t>
  </si>
  <si>
    <t>THE MANOR HEALTHCARE RESIDENCE</t>
  </si>
  <si>
    <t>RETAMA MANOR NURSING CENTER/ALICE</t>
  </si>
  <si>
    <t>FAIRVIEW HEALTHCARE RESIDENCE</t>
  </si>
  <si>
    <t>PALMA REAL</t>
  </si>
  <si>
    <t>DEERINGS NURSING AND REHABILITATION LP</t>
  </si>
  <si>
    <t>DELEON NURSING AND REHABILITATION LP</t>
  </si>
  <si>
    <t>ANDERSON NURSING CENTER</t>
  </si>
  <si>
    <t>FAITH MEMORIAL NURSING HOME</t>
  </si>
  <si>
    <t>BAYWIND VILLAGE CONVALESCENT CENTER</t>
  </si>
  <si>
    <t>CENTRAL TEXAS NURSING &amp; REHABILITATION</t>
  </si>
  <si>
    <t>PAMPA NURSING CENTER</t>
  </si>
  <si>
    <t>LEVELLAND NURSING &amp; REHABILITATION CENTER</t>
  </si>
  <si>
    <t>THE OAKS AT RADFORD HILLS</t>
  </si>
  <si>
    <t>KIRKLAND COURT HEALTH AND REHABILITATION CENTER</t>
  </si>
  <si>
    <t>SILSBEE CONVALESCENT CENTER</t>
  </si>
  <si>
    <t>SWEENY HOUSE</t>
  </si>
  <si>
    <t>HERITAGE OAKS NURSING AND REHABILITATION CENTER</t>
  </si>
  <si>
    <t>WILLOW SPRINGS HEALTH &amp; REHABILITATION CENTER</t>
  </si>
  <si>
    <t>BRENTWOOD PLACE THREE</t>
  </si>
  <si>
    <t>BASTROP NURSING CENTER</t>
  </si>
  <si>
    <t>COLONIAL PINES HEALTHCARE CENTER</t>
  </si>
  <si>
    <t>WOODLAND SPRINGS NURSING CENTER</t>
  </si>
  <si>
    <t>WHARTON NURSING AND REHABILITATION CENTER</t>
  </si>
  <si>
    <t>RETAMA MANOR NURSING CENTER/WESLACO</t>
  </si>
  <si>
    <t>HOMESTEAD NURSING AND REHABILITATION OF BAIRD</t>
  </si>
  <si>
    <t>PASADENA CARE CENTER</t>
  </si>
  <si>
    <t>MAGNIFIED NURSING AND REHABILITATION LP</t>
  </si>
  <si>
    <t>GREENVILLE GARDENS</t>
  </si>
  <si>
    <t>GRANDVIEW NURSING AND REHABILITATION CENTER</t>
  </si>
  <si>
    <t>THE METHODIST HOSPITAL SNF</t>
  </si>
  <si>
    <t>RIVERVIEW NURSING AND REHABILITATION LP</t>
  </si>
  <si>
    <t>LA BAHIA NURSING AND REHABILITATION LP</t>
  </si>
  <si>
    <t>CARRIZO SPRINGS NURSING AND REHABILITATION LP</t>
  </si>
  <si>
    <t>IRVING NURSING AND REHABILITATION LP</t>
  </si>
  <si>
    <t>BANGS NURSING HOME</t>
  </si>
  <si>
    <t>HAVENCARE NURSING AND REHABILITATION CENTER LLC</t>
  </si>
  <si>
    <t>WINDSOR NURSING AND REHABILITATION CENTER OF SEGUI</t>
  </si>
  <si>
    <t>WHISPERING PINES LODGE</t>
  </si>
  <si>
    <t>CARTHAGE LTC PARTNERS INC</t>
  </si>
  <si>
    <t>HILLVIEW MANOR</t>
  </si>
  <si>
    <t>SUNFLOWER PARK HEALTH CARE</t>
  </si>
  <si>
    <t>PINE ARBOR</t>
  </si>
  <si>
    <t>SAN JACINTO MANOR</t>
  </si>
  <si>
    <t>OAKWOOD MANOR NURSING HOME</t>
  </si>
  <si>
    <t>VAL VERDE NURSING AND REHABILITATION CENTER</t>
  </si>
  <si>
    <t>RETAMA MANOR/LAREDO SOUTH</t>
  </si>
  <si>
    <t>GREEN ACRES OF CENTER</t>
  </si>
  <si>
    <t>NAVASOTA NURSING AND REHABILITATION LP</t>
  </si>
  <si>
    <t>LONGVIEW REGIONAL MEDICAL CENTER</t>
  </si>
  <si>
    <t>ROCKWALL NURSING CARE CENTER</t>
  </si>
  <si>
    <t>GOLDEN YEARS NURSING AND REHABILITATION CENTER</t>
  </si>
  <si>
    <t>RALLS NURSING HOME</t>
  </si>
  <si>
    <t>OVERTON HEALTHCARE CENTER</t>
  </si>
  <si>
    <t>WINDSOR MISSION OAKS</t>
  </si>
  <si>
    <t>VERNON NURSING &amp; REHABILITATION CENTER</t>
  </si>
  <si>
    <t>RETAMA MANOR NURSING CENTER/EDINBURG</t>
  </si>
  <si>
    <t>LAS PALMAS HEALTHCARE CENTER</t>
  </si>
  <si>
    <t>SENIOR CARE HEALTH AND REHABILITATION CENTER - DAL</t>
  </si>
  <si>
    <t>THE MANOR AT SEAGOVILLE</t>
  </si>
  <si>
    <t>BRAZOSVIEW HEALTHCARE CENTER</t>
  </si>
  <si>
    <t>RETAMA MANOR HEALTH AND REHABILITATION CENTER/RIO</t>
  </si>
  <si>
    <t>ASHFORD GARDENS</t>
  </si>
  <si>
    <t>GREEN OAKS REHAB &amp; NURSING</t>
  </si>
  <si>
    <t>RETAMA MANOR NURSING CENTER/PLEASANTON SOUTH</t>
  </si>
  <si>
    <t>ABILENE REGIONAL MEDICAL CENTER SKILLED NURSING UN</t>
  </si>
  <si>
    <t>RED OAK HEALTH AND REHABILITATION CENTER</t>
  </si>
  <si>
    <t>REGENT CARE CENTER OF SAN ANTONIO</t>
  </si>
  <si>
    <t>GREEN ACRES OF HUNTSVILLE</t>
  </si>
  <si>
    <t>SILVER PINES NURSING AND REHABILITATION LP</t>
  </si>
  <si>
    <t>STONEBROOK MANOR AT BROADWAY</t>
  </si>
  <si>
    <t>LAKE SHORE VILLAGE HEALTHCARE CENTER</t>
  </si>
  <si>
    <t>MULLICAN CARE CENTER</t>
  </si>
  <si>
    <t>SOUTH DALLAS NURSING &amp; REHABILITATION</t>
  </si>
  <si>
    <t>PRAIRIE ACRES</t>
  </si>
  <si>
    <t>REUNION PLAZA SENIOR CARE AND REHABILITATION CENTE</t>
  </si>
  <si>
    <t>OAK MANOR NURSING CENTER</t>
  </si>
  <si>
    <t>REGENCY MANOR NURSING AND REHABILITATION LP</t>
  </si>
  <si>
    <t>THE HIGHLANDS OF DALLAS</t>
  </si>
  <si>
    <t>ROSEWOOD REHABILITATION AND CARE CENTER</t>
  </si>
  <si>
    <t>COLLINWOOD CARE CENTER</t>
  </si>
  <si>
    <t>WEST OAKS NURSING &amp; REHAB CENTER</t>
  </si>
  <si>
    <t>WALNUT HILLS NURSING AND REHABILITATION</t>
  </si>
  <si>
    <t>PARK HIGHLANDS NURSING &amp; REHABILITATION CENTER</t>
  </si>
  <si>
    <t>HICO NURSING AND REHABILITATION</t>
  </si>
  <si>
    <t>FLORESVILLE RESIDENCE AND REHABILITATION CENTER</t>
  </si>
  <si>
    <t>BONHAM NURSING AND REHABILITATION LP</t>
  </si>
  <si>
    <t>RETAMA MANOR NURSING CENTER/RAYMONDVILLE</t>
  </si>
  <si>
    <t>STOCKDALE RESIDENCE AND REHABILITATION CENTER</t>
  </si>
  <si>
    <t>PRAIRIE HOUSE LIVING CENTER</t>
  </si>
  <si>
    <t>FRANKLIN HEIGHTS NURSING &amp; REHABILITATION CENTER</t>
  </si>
  <si>
    <t>VICTORIA RESIDENCE AND REHABILITATION CENTER</t>
  </si>
  <si>
    <t>RIVERWOOD HEALTHCARE AND REHABILITATION</t>
  </si>
  <si>
    <t>IOWA PARK HEALTHCARE CENTER</t>
  </si>
  <si>
    <t>WOODLAND PARK</t>
  </si>
  <si>
    <t>LOCKNEY HEALTH AND REHABILITATION CENTER</t>
  </si>
  <si>
    <t>CHRISTUS SPOHN HOSPITAL CORPUS CHRISTI</t>
  </si>
  <si>
    <t>DEVINE HEALTH &amp; REHABILITATION</t>
  </si>
  <si>
    <t>GOLDEN VILLA</t>
  </si>
  <si>
    <t>KLEBERG COUNTY NURSING AND REHABILITATION LP</t>
  </si>
  <si>
    <t>LAUREL COURT</t>
  </si>
  <si>
    <t>SLATON CARE CENTER</t>
  </si>
  <si>
    <t>COURTYARD GARDENS</t>
  </si>
  <si>
    <t>HILLSIDE HEIGHTS REHABILITATION SUITES</t>
  </si>
  <si>
    <t>HERITAGE OAKS WEST RETIREMENT VILLAGE</t>
  </si>
  <si>
    <t>RETAMA MANOR NURSING CENTER/PLEASANTON NORTH</t>
  </si>
  <si>
    <t>ALPINE TERRACE</t>
  </si>
  <si>
    <t>PARKLANE WEST HEALTHCARE CENTER</t>
  </si>
  <si>
    <t>DECATUR NURSING AND REHABILITATION LP</t>
  </si>
  <si>
    <t>THE HILLTOP ON MAIN</t>
  </si>
  <si>
    <t>LARKSPUR</t>
  </si>
  <si>
    <t>MONAHANS MANAGED CARE CENTER</t>
  </si>
  <si>
    <t>CLIFTON NURSING AND REHABILITATION LP</t>
  </si>
  <si>
    <t>WHISPERWOOD NURSING &amp; REHABILITATION CENTER</t>
  </si>
  <si>
    <t>UVALDE HEALTHCARE AND REHABILITATION CENTER</t>
  </si>
  <si>
    <t>BROOKDALE SPICEWOOD SPRINGS</t>
  </si>
  <si>
    <t>WHEELER NURSING AND REHABILITATION LP</t>
  </si>
  <si>
    <t>HILL COUNTRY REHAB AND NURSING CENTER</t>
  </si>
  <si>
    <t>BROWNWOOD NURSING AND REHABILITATION LP</t>
  </si>
  <si>
    <t>SUGAR LAND HEALTH CARE CENTER</t>
  </si>
  <si>
    <t>THE BRADFORD AT BROOKSIDE</t>
  </si>
  <si>
    <t>LIBERTY HEALTH CARE CENTER</t>
  </si>
  <si>
    <t>SENIOR REHABILITATION &amp; SKILLED NURSING CENTER</t>
  </si>
  <si>
    <t>BROOKDALE ALAMO HEIGHTS</t>
  </si>
  <si>
    <t>WEST JANISCH HEALTH CARE CENTER</t>
  </si>
  <si>
    <t>PECAN TREE REHAB AND HEALTHCARE CENTER</t>
  </si>
  <si>
    <t>HERITAGE HEALTHCARE RESIDENCE</t>
  </si>
  <si>
    <t>GRACE CARE CENTER OF NOCONA</t>
  </si>
  <si>
    <t>QUENTIN MEASE COMMUNITY HOSPITAL</t>
  </si>
  <si>
    <t>CYPRESS WOODS CARE CENTER</t>
  </si>
  <si>
    <t>WINDSONG VILLAGE CONVALESCENT CENTER INC</t>
  </si>
  <si>
    <t>LAKE VILLAGE INC DBA LAKE VILLAGE NURSING AND REHA</t>
  </si>
  <si>
    <t>HERITAGE PLAZA NURSING CENTER</t>
  </si>
  <si>
    <t>COLONIAL NURSING &amp; REHABILITATION CENTER</t>
  </si>
  <si>
    <t>GIDDINGS RESIDENCE AND REHABILITATION CENTER</t>
  </si>
  <si>
    <t>PARKWOOD HEALTHCARE COMMUNITY</t>
  </si>
  <si>
    <t>OASIS NURSING &amp; REHABILITATION CENTER</t>
  </si>
  <si>
    <t>GLEN ROSE NURSING AND REHAB CENTER</t>
  </si>
  <si>
    <t>SENIOR CARE AT LAKE POINTE</t>
  </si>
  <si>
    <t>HERITAGE OAKS RETIREMENT VILLAGE</t>
  </si>
  <si>
    <t>REGENCY MANOR HEALTHCARE CENTER</t>
  </si>
  <si>
    <t>HOMESTEAD NURSING AND REHABILITATION OF GORMAN</t>
  </si>
  <si>
    <t>C C YOUNG MEMORIAL HOME</t>
  </si>
  <si>
    <t>WISTERIA PLACE</t>
  </si>
  <si>
    <t>TERRACE WEST NURSING AND REHABILITATION LP</t>
  </si>
  <si>
    <t>SPRING CREEK NURSING AND REHABILITATION LP</t>
  </si>
  <si>
    <t>MONTE SIESTA NURSING AND REHABILITATION LP</t>
  </si>
  <si>
    <t>FREE STATE CRESTWOOD</t>
  </si>
  <si>
    <t>ROBERT LEE CARE CENTER</t>
  </si>
  <si>
    <t>UPSHUR MANOR NURSING HOME</t>
  </si>
  <si>
    <t>ROSE HAVEN RETREAT</t>
  </si>
  <si>
    <t>HARLINGEN NURSING AND REHABILITATION CENTER</t>
  </si>
  <si>
    <t>ARCHER CITY NURSING CENTER</t>
  </si>
  <si>
    <t>GRACE PRESBYTERIAN VILLAGE</t>
  </si>
  <si>
    <t>THE WESTBURY PLACE</t>
  </si>
  <si>
    <t>BALLINGER HEALTHCARE AND REHABILITATION CENTER</t>
  </si>
  <si>
    <t>MERIDIAN CARE AT GRAYSON SQUARE</t>
  </si>
  <si>
    <t>EAGLE PASS NURSING AND REHABILITATION</t>
  </si>
  <si>
    <t>OAKS NURSING CENTER</t>
  </si>
  <si>
    <t>BEAUMONT NURSING AND REHABILITATION</t>
  </si>
  <si>
    <t>CITYVIEW CARE CENTER</t>
  </si>
  <si>
    <t>WHITEHALL REHAB &amp; NURSING</t>
  </si>
  <si>
    <t>VISTA CONTINUING CARE CENTER</t>
  </si>
  <si>
    <t>LA VILLA REHABILITATION AND HEALTHCARE CENTER</t>
  </si>
  <si>
    <t>FALFURRIAS NURSING AND REHABILITATION LP</t>
  </si>
  <si>
    <t>SENIOR CARE AT HOLLAND LAKE</t>
  </si>
  <si>
    <t>EBONY LAKE NURSING AND REHABILITATION CENTER</t>
  </si>
  <si>
    <t>WOOLDRIDGE PLACE NURSING CENTER</t>
  </si>
  <si>
    <t>TWIN PINES NURSING AND REHABILITATION</t>
  </si>
  <si>
    <t>NESBIT LIVING &amp; RECOVERY CENTER</t>
  </si>
  <si>
    <t>MESA SPRINGS HEALTHCARE CENTER</t>
  </si>
  <si>
    <t>SNYDER OAKS CARE CENTER</t>
  </si>
  <si>
    <t>CONROE HEALTH CARE CENTER</t>
  </si>
  <si>
    <t>STONEBRIDGE SN HEALTH CENTER</t>
  </si>
  <si>
    <t>GARDEN TERRACE ALZHEIMERS CENTER OF EXCELLENCE</t>
  </si>
  <si>
    <t>SAN MARCOS REHABILITATION AND HEALTHCARE CENTER</t>
  </si>
  <si>
    <t>BROOKDALE GUADALUPE RIVER PLAZA</t>
  </si>
  <si>
    <t>TARRANT COUNTY HOSPITAL DISTRICT</t>
  </si>
  <si>
    <t>HACIENDA OAKS NURSING &amp; REHAB</t>
  </si>
  <si>
    <t>FORT BEND HEALTHCARE CENTER</t>
  </si>
  <si>
    <t>SUNNY SPRINGS NURSING &amp; REHAB</t>
  </si>
  <si>
    <t>BRIARCLIFF HEALTH CENTER OF GREENVILLE INC</t>
  </si>
  <si>
    <t>UNIVERSITY PLACE NURSING CENTER</t>
  </si>
  <si>
    <t>WOOD MEMORIAL NURSING HOME</t>
  </si>
  <si>
    <t>TRISUN CARE CENTER-WESTWOOD</t>
  </si>
  <si>
    <t>TRISUN CARE CENTER-RIVER RIDGE</t>
  </si>
  <si>
    <t>DEL RIO NURSING AND REHABILITATION CENTER</t>
  </si>
  <si>
    <t>CARECHOICE OF BOERNE</t>
  </si>
  <si>
    <t>BRENTWOOD PLACE ONE</t>
  </si>
  <si>
    <t>BRONTE HEALTH AND REHAB CENTER</t>
  </si>
  <si>
    <t>MISSION RIDGE REHABILITATION &amp; NURSING CENTER LP</t>
  </si>
  <si>
    <t>WINTERHAVEN HEALTHCARE RESIDENCE</t>
  </si>
  <si>
    <t>HOLIDAY HILL INC</t>
  </si>
  <si>
    <t>VILLAGE HEALTHCARE AND REHABILITATION</t>
  </si>
  <si>
    <t>GOLDEN ESTATES REHABILITATION CENTER</t>
  </si>
  <si>
    <t>HUNTSVILLE HEALTH CARE CENTER</t>
  </si>
  <si>
    <t>COLLEGE STREET HEALTH CARE CENTER</t>
  </si>
  <si>
    <t>COUNTRY VILLAGE CARE</t>
  </si>
  <si>
    <t>THE ARMY RESIDENCE COMMUNITY HEALTH CARE CENTER</t>
  </si>
  <si>
    <t>FRIENDSWOOD HEALTH CARE CENTER</t>
  </si>
  <si>
    <t>BROOKSHIRE RESIDENCE AND REHABILITATION CENTER</t>
  </si>
  <si>
    <t>LAWRENCE STREET HEALTH CARE CENTER</t>
  </si>
  <si>
    <t>BRENTWOOD PLACE TWO</t>
  </si>
  <si>
    <t>CROSS TIMBERS REHABILITATION AND HEALTHCARE CENTER</t>
  </si>
  <si>
    <t>BRENHAM REST HOME</t>
  </si>
  <si>
    <t>KEENELAND NURSING AND REHABILITATION LP</t>
  </si>
  <si>
    <t>TIMBERIDGE NURSING AND REHABILITATION CENTER</t>
  </si>
  <si>
    <t>HOMESTEAD NURSING AND REHABILITATION OF ITASCA</t>
  </si>
  <si>
    <t>TOMBALL REHAB &amp; NURSING</t>
  </si>
  <si>
    <t>PECAN VALLEY HEALTHCARE RESIDENCE</t>
  </si>
  <si>
    <t>POST NURSING &amp; REHAB CENTER</t>
  </si>
  <si>
    <t>SAN RAFAEL NURSING AND REHABILITATION CENTER</t>
  </si>
  <si>
    <t>TRISUN CARE CENTER-SINTON</t>
  </si>
  <si>
    <t>FORT STOCKTON LIVING &amp; REHABILITATION</t>
  </si>
  <si>
    <t>NAZARETH LIVING CARE CENTER</t>
  </si>
  <si>
    <t>THE WESLEYAN AT SCENIC</t>
  </si>
  <si>
    <t>TWIN LAKES REHABILITATION AND CARE CENTER</t>
  </si>
  <si>
    <t>STONEBRIAR NURSING AND REHABILITATION CENTER</t>
  </si>
  <si>
    <t>YOAKUM NURSING AND REHABILITATION CENTER</t>
  </si>
  <si>
    <t>REGENT CARE CENTER OF THE WOODLANDS LIMITED PARTNE</t>
  </si>
  <si>
    <t>KNOPP NURSING &amp; REHAB CENTER INC</t>
  </si>
  <si>
    <t>OCEANVIEW HEALTHCARE AND REHABILITATION</t>
  </si>
  <si>
    <t>FRIENDSHIP HAVEN HEALTHCARE AND REHABILITATION CEN</t>
  </si>
  <si>
    <t>CORONADO NURSING CENTER</t>
  </si>
  <si>
    <t>HERITAGE TRAILS NURSING AND REHABILITATION CENTER</t>
  </si>
  <si>
    <t>SEABURY CENTER NCU</t>
  </si>
  <si>
    <t>TRAYMORE NURSING CENTER</t>
  </si>
  <si>
    <t>WINDSOR PLACE</t>
  </si>
  <si>
    <t>WILLIAMSBURG VILLAGE HEALTHCARE CAMPUS</t>
  </si>
  <si>
    <t>SIGNATURE POINTE ON THE LAKE HEALTHCARE COMMUNITY</t>
  </si>
  <si>
    <t>SENIOR CARE OF STONEGATE</t>
  </si>
  <si>
    <t>SPRING BRANCH TRANSITIONAL CARE CENTER</t>
  </si>
  <si>
    <t>WALNUT PLACE</t>
  </si>
  <si>
    <t>THE COURTYARD REHABILITATION AND HEALTHCARE CENTER</t>
  </si>
  <si>
    <t>REGENCY HOUSE</t>
  </si>
  <si>
    <t>MOUNTAIN VILLA NURSING CENTER</t>
  </si>
  <si>
    <t>STAMFORD RESIDENCE AND REHABILITATION CENTER</t>
  </si>
  <si>
    <t>HOLMGREEN CENTER</t>
  </si>
  <si>
    <t>LEGEND HEALTHCARE AND REHABILITATION - GREENVILLE</t>
  </si>
  <si>
    <t>PARKWAY PLACE</t>
  </si>
  <si>
    <t>MARINE CREEK NURSING AND REHABILITATION LP</t>
  </si>
  <si>
    <t>VALLEY VIEW CARE CENTER</t>
  </si>
  <si>
    <t>THE VILLA AT MOUNTAIN VIEW</t>
  </si>
  <si>
    <t>EDINBURG NURSING AND REHABILITATION CENTER</t>
  </si>
  <si>
    <t>AFV II HEALTH CARE CENTER</t>
  </si>
  <si>
    <t>OAK MANOR NURSING AND REHABILITATION LP</t>
  </si>
  <si>
    <t>GARLAND NURSING AND REHABILITATION LP</t>
  </si>
  <si>
    <t>BRIARWOOD NURSING &amp; REHABILITATION</t>
  </si>
  <si>
    <t>MANSFIELD NURSING AND REHABILITATION LP</t>
  </si>
  <si>
    <t>BROOKHOLLOW HEIGHTS TRANSITIONAL CARE CENTER</t>
  </si>
  <si>
    <t>THE CHANDLER ESTATE IN LAUREL HEIGHTS</t>
  </si>
  <si>
    <t>MERIDIAN CARE OF HEBBRONVILLE</t>
  </si>
  <si>
    <t>SENIOR CARE OF WESTON INN</t>
  </si>
  <si>
    <t>ARBORETUM NURSING AND REHABILITATION CENTER OF WIN</t>
  </si>
  <si>
    <t>BRENHAM NURSING AND REHABILITATION CENTER</t>
  </si>
  <si>
    <t>LA VIDA SERENA NURSING AND REHABILITATION</t>
  </si>
  <si>
    <t>GILMER NURSING AND REHABILITATION LP</t>
  </si>
  <si>
    <t>KEMP CARE CENTER</t>
  </si>
  <si>
    <t>THE LAURENWOOD NURSING AND REHABILITATION</t>
  </si>
  <si>
    <t>WESTRIDGE NURSING AND REHABILITATION LP</t>
  </si>
  <si>
    <t>LANCASTER NURSING &amp; REHABILITATION CENTER</t>
  </si>
  <si>
    <t>VICTORIA GARDENS OF FRISCO</t>
  </si>
  <si>
    <t>WHISPERING PINES NURSING AND REHABILITATION LP</t>
  </si>
  <si>
    <t>KILGORE HEALTH &amp; REHABILITATION</t>
  </si>
  <si>
    <t>KINGSVILLE NURSING AND REHABILITATION CENTER</t>
  </si>
  <si>
    <t>GREENBRIER NURSING &amp; REHABILITATION CENTER OF PALE</t>
  </si>
  <si>
    <t>FT WORTH SOUTHWEST NURSING CENTER</t>
  </si>
  <si>
    <t>PARK MANOR OF CYFAIR</t>
  </si>
  <si>
    <t>PARK MANOR OF SOUTH BELT</t>
  </si>
  <si>
    <t>THE LENNWOOD NURSING AND REHABILITATION</t>
  </si>
  <si>
    <t>MADISONVILLE CARE CENTER</t>
  </si>
  <si>
    <t>SENIOR CARE BELTLINE</t>
  </si>
  <si>
    <t>NORMANDY TERRACE NURSING &amp; REHABILITATION CENTER</t>
  </si>
  <si>
    <t>AUTUMN LEAVES</t>
  </si>
  <si>
    <t>REGENT CARE CENTER OF EL PASO</t>
  </si>
  <si>
    <t>RISING STAR NURSING CENTER</t>
  </si>
  <si>
    <t>REGENT CARE CENTER OAKWELL FARMS</t>
  </si>
  <si>
    <t>THE HAMPTON AT POST OAK</t>
  </si>
  <si>
    <t>CHEROKEE TRAILS NURSING HOME</t>
  </si>
  <si>
    <t>HILL COUNTRY CARE CENTER</t>
  </si>
  <si>
    <t>E F AND BERTHA KRUSE MEMORIAL LUTHERAN VILLAGE</t>
  </si>
  <si>
    <t>BIRCHWOOD NURSING AND REHABILITATION LP</t>
  </si>
  <si>
    <t>CYPRESS GLEN</t>
  </si>
  <si>
    <t>MI CASITA LTC PARTNERS INC</t>
  </si>
  <si>
    <t>ROYAL MANOR</t>
  </si>
  <si>
    <t>CEDAR CREST CARE CENTER</t>
  </si>
  <si>
    <t>TRINITY NURSING AND REHABILITATION LP</t>
  </si>
  <si>
    <t>WINTERS HEALTHCARE RESIDENCE</t>
  </si>
  <si>
    <t>THE POINTE NURSING &amp; REHAB CENTER</t>
  </si>
  <si>
    <t>BAYTOWN NURSING &amp; REHAB CENTER</t>
  </si>
  <si>
    <t>TRISUN CARE CENTER-COASTAL PALMS</t>
  </si>
  <si>
    <t>GEORGIA MANOR NURSING HOME</t>
  </si>
  <si>
    <t>ADVANCED REHABILITATION AND HEALTHCARE OF WICHITA</t>
  </si>
  <si>
    <t>LAKERIDGE LTC PARTNERS INC</t>
  </si>
  <si>
    <t>WHITESBORO HEALTH AND REHABILITATION CENTER</t>
  </si>
  <si>
    <t>WILLIAM R COURTNEY TEXAS STATE VETERANS HOME</t>
  </si>
  <si>
    <t>PARAMOUNT SENIOR CARE CENTERS AT SAN ANTONIO</t>
  </si>
  <si>
    <t>PARK BEND SN HEALTH CENTER</t>
  </si>
  <si>
    <t>FRANK M TEJEDA TEXAS STATE VETERANS HOME</t>
  </si>
  <si>
    <t>STEPHENVILLE NURSING AND REHABILITATION</t>
  </si>
  <si>
    <t>KERENS CARE CENTER</t>
  </si>
  <si>
    <t>HEREFORD NURSING &amp; REHABILITATION</t>
  </si>
  <si>
    <t>LINDAN PARK CARE CENTER LP</t>
  </si>
  <si>
    <t>TRINITY NURSING AND REHABILITATION OF COMFORT LP</t>
  </si>
  <si>
    <t>CLYDE W COSPER TEXAS STATE VETERANS HOME</t>
  </si>
  <si>
    <t>LAMUN-LUSK-SANCHEZ TEXAS STATE VETERANS HOME</t>
  </si>
  <si>
    <t>OAKWOOD NURSING AND REHABILITATION LP</t>
  </si>
  <si>
    <t>COUNTRY TRAILS WELLNESS &amp; REHABILITATION CENTER</t>
  </si>
  <si>
    <t>TERRELL HEALTHCARE CENTER</t>
  </si>
  <si>
    <t>STERLING COUNTY NURSING HOME</t>
  </si>
  <si>
    <t>PECOS NURSING HOME</t>
  </si>
  <si>
    <t>VICTORIA GARDENS OF ALLEN</t>
  </si>
  <si>
    <t>SOUTHEAST NURSING &amp; REHABILITATION CENTER</t>
  </si>
  <si>
    <t>TEAGUE LTC PARTNERS INC</t>
  </si>
  <si>
    <t>BURLESON ST JOSEPH MANOR</t>
  </si>
  <si>
    <t>ST JOSEPH MANOR</t>
  </si>
  <si>
    <t>REUNION PLAZA HEALTHCARE &amp; REHABILITATION</t>
  </si>
  <si>
    <t>PLEASANT MANOR HEALTH &amp; REHABILITATION CENTER</t>
  </si>
  <si>
    <t>REGENT CARE AT MEDICAL CENTER</t>
  </si>
  <si>
    <t>SENIOR CARE HEALTH AND REHABILITATION - BRIDGEPORT</t>
  </si>
  <si>
    <t>GULF POINTE PLAZA</t>
  </si>
  <si>
    <t>CRYSTAL CREEK AT PRESTON HOLLOW</t>
  </si>
  <si>
    <t>PARK MANOR OF CONROE</t>
  </si>
  <si>
    <t>RIVER CITY CARE CENTER</t>
  </si>
  <si>
    <t>FRANKLIN NURSING HOME</t>
  </si>
  <si>
    <t>CEDAR LAKE NURSING HOME</t>
  </si>
  <si>
    <t>MATAGORDA NURSING &amp; REHABILITATION CENTER</t>
  </si>
  <si>
    <t>AVALON PLACE TRINITY</t>
  </si>
  <si>
    <t>PILOT POINT CARE CENTER</t>
  </si>
  <si>
    <t>MEXIA LTC NURSING AND REHABILITATION</t>
  </si>
  <si>
    <t>WINDFLOWER HEALTH CENTER</t>
  </si>
  <si>
    <t>BENBROOK NURSING &amp; REHABILITATION CENTER</t>
  </si>
  <si>
    <t>TRINITY NURSING AND REHABILITATION OF DIBOLL LP</t>
  </si>
  <si>
    <t>AVANTE REHABILITATION CENTER</t>
  </si>
  <si>
    <t>INDIAN OAKS LIVING CENTER</t>
  </si>
  <si>
    <t>DESERT GARDENS NURSING AND REHABILITATION CENTER</t>
  </si>
  <si>
    <t>GRANGER VILLA</t>
  </si>
  <si>
    <t>AZALEA PLACE HEALTHCARE &amp; REHABILITATION</t>
  </si>
  <si>
    <t>PFLUGERVILLE CARE CENTER</t>
  </si>
  <si>
    <t>GRACY WOODS II LIVING CENTER</t>
  </si>
  <si>
    <t>PARK PLACE CARE CENTER</t>
  </si>
  <si>
    <t>ARLINGTON VILLA RETIREMENT COMMUNITY</t>
  </si>
  <si>
    <t>GRACY WOODS NURSING CENTER</t>
  </si>
  <si>
    <t>SNYDER HEALTHCARE CENTER</t>
  </si>
  <si>
    <t>PARKVIEW MANOR NURSING AND REHABILITATION</t>
  </si>
  <si>
    <t>MARBRIDGE VILLA</t>
  </si>
  <si>
    <t>REGENT CARE CENTER OF WOODWAY</t>
  </si>
  <si>
    <t>THE MILDRED &amp; SHIRLEY L GARRISON GERIATRIC EDUCATI</t>
  </si>
  <si>
    <t>CRANE NURSING &amp; REHABILITATION CENTER</t>
  </si>
  <si>
    <t>SIENNA NURSING AND REHABILITATION LP</t>
  </si>
  <si>
    <t>CEDAR CREEK NURSING AND REHABILITATION CENTER</t>
  </si>
  <si>
    <t>ARBROOK PLAZA</t>
  </si>
  <si>
    <t>CEDAR HILLS GERIATRIC CENTER</t>
  </si>
  <si>
    <t>ARBOR TERRACE HEALTHCARE CENTER</t>
  </si>
  <si>
    <t>LA HACIENDA HEALTHCARE</t>
  </si>
  <si>
    <t>LA DORA NURSING AND REHABILITATION CENTER</t>
  </si>
  <si>
    <t>LIFE CARE CENTER OF HALTOM</t>
  </si>
  <si>
    <t>PONDEROSA NURSING AND REHABILITATION</t>
  </si>
  <si>
    <t>SAGEBROOK SN HEALTH CENTER</t>
  </si>
  <si>
    <t>SHINER NURSING AND REHABILITATION CENTER INC</t>
  </si>
  <si>
    <t>VINTAGE HEALTH CARE CENTER</t>
  </si>
  <si>
    <t>HEMPHILL CARE CENTER</t>
  </si>
  <si>
    <t>TOWERS NURSING HOME</t>
  </si>
  <si>
    <t>NEW HOPE MANOR</t>
  </si>
  <si>
    <t>OAK RIDGE MANOR</t>
  </si>
  <si>
    <t>WELLINGTON CARE CENTER</t>
  </si>
  <si>
    <t>SENIOR CARE OF MARLANDWOOD EAST</t>
  </si>
  <si>
    <t>COUNTRY CARE MANOR</t>
  </si>
  <si>
    <t>PARK PLACE MANOR INC</t>
  </si>
  <si>
    <t>MSHC THE WATERTON AT COWHORN CREEK LLC</t>
  </si>
  <si>
    <t>JULIETTE FOWLER COMMUNITIES</t>
  </si>
  <si>
    <t>SENIOR VILLAGE NURSING HOME</t>
  </si>
  <si>
    <t>WINDSOR NURSING AND REHABILITATION CENTER OF DUVAL</t>
  </si>
  <si>
    <t>SONGBIRD LODGE</t>
  </si>
  <si>
    <t>CASTLE PINES HEALTH AND REHABILITATION</t>
  </si>
  <si>
    <t>REGENCY VILLAGE</t>
  </si>
  <si>
    <t>SOUTHLAND REHABILITATION AND HEALTHCARE CENTER</t>
  </si>
  <si>
    <t>NORTH POINTE NURSING AND REHABILITATION LP</t>
  </si>
  <si>
    <t>MRC CREEKSIDE</t>
  </si>
  <si>
    <t>THE VILLA AT TEXARKANA</t>
  </si>
  <si>
    <t>NORTHGATE PLAZA NURSING &amp; REHABILITATION CENTER</t>
  </si>
  <si>
    <t>STONE OAK CARE CENTER</t>
  </si>
  <si>
    <t>SETTLERS RIDGE CARE CENTER</t>
  </si>
  <si>
    <t>MEMPHIS CONVALESCENT CENTER</t>
  </si>
  <si>
    <t>CARROLLTON HEALTH AND REHABILITATION CENTER</t>
  </si>
  <si>
    <t>MCLEAN CARE CENTER</t>
  </si>
  <si>
    <t>MEDINA VALLEY HEALTH &amp; REHABILITATION CENTER</t>
  </si>
  <si>
    <t>VILLAGE CREEK REHABILITATION AND NURSING CENTER</t>
  </si>
  <si>
    <t>WINFIELD REHAB &amp; NURSING</t>
  </si>
  <si>
    <t>VILLAGE CREEK NURSING HOME</t>
  </si>
  <si>
    <t>LITTLEFIELD NURSING AND REHABILITATION LP</t>
  </si>
  <si>
    <t>CRESTVIEW RETIREMENT COMMUNITY</t>
  </si>
  <si>
    <t>HILL COUNTRY CARE</t>
  </si>
  <si>
    <t>MINEOLA HEALTHCARE RESIDENCE</t>
  </si>
  <si>
    <t>PARK PLAZA LTC PARTNERS, INC.</t>
  </si>
  <si>
    <t>PARK MANOR OF CYPRESS STATION</t>
  </si>
  <si>
    <t>HILLTOP PARK REHABILITATION AND CARE CENTER</t>
  </si>
  <si>
    <t>PARK MANOR OF HUMBLE</t>
  </si>
  <si>
    <t>CYPRESS GLEN EAST NURSING &amp; REHABILITATION</t>
  </si>
  <si>
    <t>SENIOR CARE HEALTH &amp; REHABILITATION CENTER-DENTON</t>
  </si>
  <si>
    <t>COLUMBUS OAKS HEALTHCARE COMMUNITY</t>
  </si>
  <si>
    <t>CARILLON INC</t>
  </si>
  <si>
    <t>CARTMELL HOME FOR AGED, INC.</t>
  </si>
  <si>
    <t>SAINT JAMES HOUSE OF BAYTOWN</t>
  </si>
  <si>
    <t>PINE RIDGE HEALTH CARE LLP</t>
  </si>
  <si>
    <t>THE PLAZA AT EDGEMERE HEALTH CARE</t>
  </si>
  <si>
    <t>AZLE MANOR HEALTH CARE AND REHABILITATION</t>
  </si>
  <si>
    <t>THE HILLS NURSING &amp; REHABILITATION</t>
  </si>
  <si>
    <t>PARK PLACE NURSING &amp; REHABILITATION CENTER</t>
  </si>
  <si>
    <t>RICHMOND HEALTH CARE CENTER</t>
  </si>
  <si>
    <t>WILLOW REHAB &amp; NURSING</t>
  </si>
  <si>
    <t>SILSBEE OAKS HEALTH CARE LLP</t>
  </si>
  <si>
    <t>TREEMONT HEALTH CARE CENTER</t>
  </si>
  <si>
    <t>LEGACY REHABILITATION AND LIVING</t>
  </si>
  <si>
    <t>MAGNOLIA PLACE HEALTH CARE LLP</t>
  </si>
  <si>
    <t>MYSTIC PARK NURSING &amp; REHAB CENTER</t>
  </si>
  <si>
    <t>BUCKNER VILLA SIESTA HOME</t>
  </si>
  <si>
    <t>TWILIGHT HOME</t>
  </si>
  <si>
    <t>MABEE HEALTH CARE CENTER</t>
  </si>
  <si>
    <t>LEONARD MANOR</t>
  </si>
  <si>
    <t>RANGER CARE CENTER</t>
  </si>
  <si>
    <t>LAMPSTAND NURSING AND REHABILITATION LP</t>
  </si>
  <si>
    <t>MENARD MANOR</t>
  </si>
  <si>
    <t>CLAREWOOD HOUSE EXTENDED CARE CENTER</t>
  </si>
  <si>
    <t>KELLER OAKS HEALTHCARE CENTER</t>
  </si>
  <si>
    <t>HALE CENTER HEALTH AND REHABILITATION</t>
  </si>
  <si>
    <t>AUTUMN LEAVES NURSING AND REHAB INC</t>
  </si>
  <si>
    <t>WILL-O-BELL</t>
  </si>
  <si>
    <t>SOUTHERN SPECIALTY REHAB &amp; NURSING</t>
  </si>
  <si>
    <t>LEGEND HEALTHCARE AND REHABILITATION - EULESS</t>
  </si>
  <si>
    <t>SHADY OAK NURSING AND REHABILITATION</t>
  </si>
  <si>
    <t>SENIOR CARE OF MEADOW CREEK</t>
  </si>
  <si>
    <t>TOWN HALL ESTATES</t>
  </si>
  <si>
    <t>BRADY WEST REHAB &amp; NURSING</t>
  </si>
  <si>
    <t>KINGSLAND HILLS CARE CENTER</t>
  </si>
  <si>
    <t>VISTA RIDGE NURSING &amp; REHABILITATION CENTER</t>
  </si>
  <si>
    <t>WESLACO NURSING AND REHABILITATION CENTER</t>
  </si>
  <si>
    <t>THREE RIVERS NURSING HOME LLC</t>
  </si>
  <si>
    <t>WINTERS PARK NURSING AND REHABILITATION CENTER</t>
  </si>
  <si>
    <t>GARDEN VILLA NURSING HOME</t>
  </si>
  <si>
    <t>THE MISSION AT AIR FORCE VILLAGE</t>
  </si>
  <si>
    <t>MCALLEN TRANSITIONAL CARE CENTER</t>
  </si>
  <si>
    <t>HOUSTON COUNTY NURSING HOME</t>
  </si>
  <si>
    <t>MAGNOLIA LIVING AND REHABILITATION</t>
  </si>
  <si>
    <t>BRENTWOOD TERRACE HEALTHCARE AND REHABILITATION</t>
  </si>
  <si>
    <t>CARE NURSING &amp; REHABILITATION</t>
  </si>
  <si>
    <t>TOWN HALL ESTATES KEENE INC</t>
  </si>
  <si>
    <t>LEGEND OAKS HEALTHCARE AND REHABILITATION CENTER G</t>
  </si>
  <si>
    <t>LEGEND HEALTHCARE AND REHABILITATION - PARIS</t>
  </si>
  <si>
    <t>PARAMOUNT SENIOR CARE CENTERS AT PASADENA</t>
  </si>
  <si>
    <t>BRIARCLIFF SKILLED NURSING FACILITY</t>
  </si>
  <si>
    <t>IMMANUEL'S HEALTHCARE</t>
  </si>
  <si>
    <t>MERKEL NURSING CENTER</t>
  </si>
  <si>
    <t>SHADY ACRES HEALTH AND REHABILITATION CENTER</t>
  </si>
  <si>
    <t>ASHTON PARKE CARE CENTER INC</t>
  </si>
  <si>
    <t>COMMUNITY CARE CENTER OF CLARENDON</t>
  </si>
  <si>
    <t>PARK MANOR OF WESTCHASE</t>
  </si>
  <si>
    <t>AMBROSIO GUILLEN TEXAS STATE VETERANS HOME</t>
  </si>
  <si>
    <t>ALFREDO GONZALEZ TEXAS STATE VETERANS HOME</t>
  </si>
  <si>
    <t>SPANISH MEADOWS NURSING &amp; REHAB</t>
  </si>
  <si>
    <t>THE CONCIERGE</t>
  </si>
  <si>
    <t>MIRA VISTA COURT</t>
  </si>
  <si>
    <t>WEST TEXAS LTC PARTNERS INC</t>
  </si>
  <si>
    <t>EDGEWOOD MANOR</t>
  </si>
  <si>
    <t>GROESBECK LTC PARTNERS INC</t>
  </si>
  <si>
    <t>CORRIGAN LTC PARTNERS INC</t>
  </si>
  <si>
    <t>PARK MANOR OF QUAIL VALLEY</t>
  </si>
  <si>
    <t>TOWN HALL ESTATES WHITNEY INC</t>
  </si>
  <si>
    <t>TRISTAR CARE CENTER INC</t>
  </si>
  <si>
    <t>GIBSON CARE CENTER</t>
  </si>
  <si>
    <t>PARK VIEW NURSING CARE CENTER</t>
  </si>
  <si>
    <t>TOWN HALL ESTATES ARLINGTON INC</t>
  </si>
  <si>
    <t>LEGEND OAKS HEALTHCARE AND REHABILITATION CENTER</t>
  </si>
  <si>
    <t>BROWNSVILLE NURSING AND REHABILITATION CENTER</t>
  </si>
  <si>
    <t>WARM SPRINGS REHABILITATION HOSPITAL OF SAN ANTONI</t>
  </si>
  <si>
    <t>THE ARBORS</t>
  </si>
  <si>
    <t>GOLDTHWAITE HEALTH &amp; REHAB CENTER</t>
  </si>
  <si>
    <t>CIMARRON PLACE HEALTH &amp; REHABILITATION CENTER</t>
  </si>
  <si>
    <t>WINNIE L LTC PARTNERS INC</t>
  </si>
  <si>
    <t>WESLEY COURT HEALTH CENTER</t>
  </si>
  <si>
    <t>SAGECREST ALZHEIMERS CARE CENTER</t>
  </si>
  <si>
    <t>BONNER STREET PLAZA HEALTHCARE &amp; REHABILITATION</t>
  </si>
  <si>
    <t>RENAISSANCE VILLA</t>
  </si>
  <si>
    <t>THE MEADOWS OF ORANGE</t>
  </si>
  <si>
    <t>SENIOR CARE OF WEST OAKS</t>
  </si>
  <si>
    <t>BAYBROOKE VILLAGE CARE AND REHAB CENTER</t>
  </si>
  <si>
    <t>GOLDEN CREEK HEALTHCARE AND REHABILITATION CENTER</t>
  </si>
  <si>
    <t>THE PLAZA AT RICHARDSON</t>
  </si>
  <si>
    <t>THE ARBOUR AT WESTMINSTER MANOR</t>
  </si>
  <si>
    <t>SENIOR CARE OF SAN ANGELO</t>
  </si>
  <si>
    <t>KINDRED TRANSITIONAL CARE AND REHABILITATION-RIDGM</t>
  </si>
  <si>
    <t>SENIOR CARE OF JACKSONVILLE</t>
  </si>
  <si>
    <t>WELLS LTC PARTNERS INC</t>
  </si>
  <si>
    <t>KINDRED TRANSITIONAL CARE AND REHABILITATION-GRAPE</t>
  </si>
  <si>
    <t>THE PLAZA AT LUBBOCK</t>
  </si>
  <si>
    <t>MISSION NURSING &amp; REHABILITATION</t>
  </si>
  <si>
    <t>CORPUS CHRISTI NURSING AND REHABILITATION CENTER</t>
  </si>
  <si>
    <t>VIDOR HEALTH &amp; REHABILITATION CENTER</t>
  </si>
  <si>
    <t>CALDER WOODS</t>
  </si>
  <si>
    <t>THE BUCKINGHAM</t>
  </si>
  <si>
    <t>CRESTVIEW COURT</t>
  </si>
  <si>
    <t>LEGEND OAKS HEALTHCARE AND REHABILITATION CENTER -</t>
  </si>
  <si>
    <t>RIVER HILLS HEALTH AND REHABILITATION CENTER</t>
  </si>
  <si>
    <t>SENIOR CARE OF WESTWOOD</t>
  </si>
  <si>
    <t>BERTRAM NURSING AND REHAB CENTER</t>
  </si>
  <si>
    <t>RIO GRANDE CITY NURSING AND REHABILITATION CENTER</t>
  </si>
  <si>
    <t>THE HOMESTEAD OF SHERMAN</t>
  </si>
  <si>
    <t>SILVER TREE NURSING AND REHABILITATION CENTER</t>
  </si>
  <si>
    <t>OAK GROVE NURSING HOME</t>
  </si>
  <si>
    <t>PINECREST RETIREMENT COMMUNITY</t>
  </si>
  <si>
    <t>WINDSOR ATRIUM</t>
  </si>
  <si>
    <t>EMERALD HILLS REHABILITATION AND HEALTHCARE CENTER</t>
  </si>
  <si>
    <t>THE MADISON ON MARSH</t>
  </si>
  <si>
    <t>TITUS REGIONAL MEDICAL CENTER</t>
  </si>
  <si>
    <t>THE SUMMIT AT LAKEWAY HEALTHCARE CENTER</t>
  </si>
  <si>
    <t>TRAIL LAKE NURSING &amp; REHABILITATION</t>
  </si>
  <si>
    <t>MAVERICK NURSING AND REHABILITATION CENTER</t>
  </si>
  <si>
    <t>PRESBYTERIAN VILLAGE NORTH SPECIAL CARE CTR</t>
  </si>
  <si>
    <t>HUEBNER CREEK HEALTH &amp; REHABILITATION CENTER</t>
  </si>
  <si>
    <t>THE HEIGHTS OF GONZALES</t>
  </si>
  <si>
    <t>SENIOR CARE OF GREEN OAKS</t>
  </si>
  <si>
    <t>REFUGIO NURSING &amp; REHAB CENTER</t>
  </si>
  <si>
    <t>MATLOCK PLACE HEALTH AND REHABILITATION CENTER</t>
  </si>
  <si>
    <t>SENIOR SUITE CARE &amp; REHAB LLC</t>
  </si>
  <si>
    <t>KINDRED TRANSITIONAL CARE AND REHABILITATION-MANSF</t>
  </si>
  <si>
    <t>SENIOR CARE HEALTH &amp; REHABILITATION CENTER - WICHI</t>
  </si>
  <si>
    <t>PRAIRIE ESTATES</t>
  </si>
  <si>
    <t>TOWN EAST REHABILITATION AND HEALTHCARE CENTER</t>
  </si>
  <si>
    <t>SENIOR CARE OF STALLINGS COURT</t>
  </si>
  <si>
    <t>PEACH TREE PLACE</t>
  </si>
  <si>
    <t>SEVEN ACRES JEWISH SENIOR CARE SERVICES INC</t>
  </si>
  <si>
    <t>REGENT CARE CENTER OF LEAGUE CITY</t>
  </si>
  <si>
    <t>HUGHES SPRINGS LTC PARTNERS INC</t>
  </si>
  <si>
    <t>THE COURTYARDS AT PASADENA</t>
  </si>
  <si>
    <t>PRESTONWOOD REHABILITATION &amp; NURSING CENTER INC</t>
  </si>
  <si>
    <t>USSERY ROAN TEXAS STATE VETERANS HOME</t>
  </si>
  <si>
    <t>SONTERRA HEALTH CENTER</t>
  </si>
  <si>
    <t>REGENT CARE CENTER OF KINGWOOD</t>
  </si>
  <si>
    <t>GREEN VALLEY HEALTHCARE AND REHABILITATION CENTER</t>
  </si>
  <si>
    <t>BENDER TERRACE</t>
  </si>
  <si>
    <t>COLONIAL BELLE NURSING HOME</t>
  </si>
  <si>
    <t>PARK MANOR OF TOMBALL</t>
  </si>
  <si>
    <t>COLONIAL BELLE NURSING HOME SEALY</t>
  </si>
  <si>
    <t>BUCKNER WESTMINSTER PLACE</t>
  </si>
  <si>
    <t>RAMBLING OAKS COURTYARD EXTENSIVE CARE COMMUNITY</t>
  </si>
  <si>
    <t>PREMONT REHAB AND NURSING CENTER</t>
  </si>
  <si>
    <t>ST DOMINIC VILLAGE NURSING HOME</t>
  </si>
  <si>
    <t>MAGNOLIA MANOR NURSING HOME</t>
  </si>
  <si>
    <t>GROVETON NURSING HOME</t>
  </si>
  <si>
    <t>KENEDY HEALTH &amp; REHABILITATION</t>
  </si>
  <si>
    <t>CAMERON NURSING AND REHAB</t>
  </si>
  <si>
    <t>PERMIAN RESIDENTIAL CARE CENTER</t>
  </si>
  <si>
    <t>SENIOR CARE OF CROWLEY</t>
  </si>
  <si>
    <t>GARRISON NURSING HOME &amp; REHABILITATION CENTER</t>
  </si>
  <si>
    <t>DUNCANVILLE HEALTHCARE AND REHABILITATION CENTER</t>
  </si>
  <si>
    <t>SENIOR CARE OF MIDLAND</t>
  </si>
  <si>
    <t>ELGIN NURSING AND REHABILITATION CENTER</t>
  </si>
  <si>
    <t>THE HEIGHTS</t>
  </si>
  <si>
    <t>HUNTINGTON HEALTH CARE &amp; REHABILITATION CENTER</t>
  </si>
  <si>
    <t>PROVIDENCE PARK REHABILITATION AND SKILLED NURSING</t>
  </si>
  <si>
    <t>SENIOR CARE OF HARBOR LAKES</t>
  </si>
  <si>
    <t>CAMBRIDGE LTC PARTNERS INC</t>
  </si>
  <si>
    <t>HERITAGE HOUSE OF MARSHALL HEALTH &amp; REHABILITATION</t>
  </si>
  <si>
    <t>MILLBROOK HEALTHCARE AND REHABILITATION CENTER</t>
  </si>
  <si>
    <t>THE LEGACY AT WILLOW BEND</t>
  </si>
  <si>
    <t>STILLHOUSE REHABILITATION AND HEALTHCARE CENTER</t>
  </si>
  <si>
    <t>SUNDANCE INN HEALTH CENTER</t>
  </si>
  <si>
    <t>GARNET HILL REHABILITATION AND SKILLED CARE</t>
  </si>
  <si>
    <t>THE WATERTON HEALTHCARE &amp; REHABILITATION</t>
  </si>
  <si>
    <t>LEGEND OAKS HEALTH AND REHABILITATION - KATY</t>
  </si>
  <si>
    <t>THE GRACE CARE CENTER OF KATY</t>
  </si>
  <si>
    <t>CORNERSTONE GARDENS LLP</t>
  </si>
  <si>
    <t>RIDGEVIEW REHABILITATION AND SKILLED NURSING</t>
  </si>
  <si>
    <t>QUERENCIA AT BARTON CREEK</t>
  </si>
  <si>
    <t>VALLEY BAPTIST MEDICAL CENTER BROWNSVILLE</t>
  </si>
  <si>
    <t>TUSCANY VILLAGE</t>
  </si>
  <si>
    <t>PARK VALLEY INN HEALTH CENTER</t>
  </si>
  <si>
    <t>CEDAR BAYOU NURSING &amp; REHAB CENTER</t>
  </si>
  <si>
    <t>RELIANT REHABILITATION HOSPITAL CENTRAL TEXAS</t>
  </si>
  <si>
    <t>WINDSOR ARBOR VIEW</t>
  </si>
  <si>
    <t>THE COLONNADES AT REFLECTION BAY</t>
  </si>
  <si>
    <t>GRACE CARE CENTER OF CYPRESS</t>
  </si>
  <si>
    <t>SENIOR CARE HEALTH AND REHABILITATION CENTER - DEC</t>
  </si>
  <si>
    <t>SUMMER PLACE NURSING &amp; REHABILITATION</t>
  </si>
  <si>
    <t>WESLEY WOODS HEALTH &amp; REHABILITATION</t>
  </si>
  <si>
    <t>COLLEGE PARK REHABILITATION AND CARE CENTER</t>
  </si>
  <si>
    <t>SENIOR CARE OF HEWITT</t>
  </si>
  <si>
    <t>FALCON LAKE NURSING HOME</t>
  </si>
  <si>
    <t>THE REHABILITATION &amp; WELLNESS CENTRE OF DALLAS LLC</t>
  </si>
  <si>
    <t>POWERBACK REHABILITATION SAN ANTONIO</t>
  </si>
  <si>
    <t>ROYSE CITY HEALTH AND REHABILITATION CENTER</t>
  </si>
  <si>
    <t>JEFFERSON NURSING AND REHABILITATION CENTER</t>
  </si>
  <si>
    <t>WINDCREST HEALTH &amp; REHABILITATION</t>
  </si>
  <si>
    <t>GRANITE MESA HEALTH CENTER</t>
  </si>
  <si>
    <t>HERITAGE PARK OF KATY NURSING AND REHABILITATION</t>
  </si>
  <si>
    <t>BASTROP LOST PINES NURSING AND REHABILITATION CENT</t>
  </si>
  <si>
    <t>BAYOU PINES CARE CENTER</t>
  </si>
  <si>
    <t>THE HEIGHTS ON HUEBNER</t>
  </si>
  <si>
    <t>MITCHELL COUNTY NURSING AND REHABILITATION CENTER</t>
  </si>
  <si>
    <t>REGENT CARE CENTER OF SAN MARCOS</t>
  </si>
  <si>
    <t>COPPERAS HOLLOW NURSING &amp; REHABILITATION CENTER</t>
  </si>
  <si>
    <t>KENDALL HOUSE WELLNESS &amp; REHABILITATION</t>
  </si>
  <si>
    <t>TRUCARE LIVING CENTERS-COLUMBUS</t>
  </si>
  <si>
    <t>LEGEND OAKS HEALTHCARE AND REHABILITATION-WEST HOU</t>
  </si>
  <si>
    <t>HILLCREST BAPTIST MEDICAL CENTER</t>
  </si>
  <si>
    <t>BANDERA NURSING &amp; REHAB CENTER</t>
  </si>
  <si>
    <t>THE VILLAGE AT GLEANNLOCH FARMS</t>
  </si>
  <si>
    <t>ROCK CREEK HEALTH AND REHABILITATION LLC</t>
  </si>
  <si>
    <t>BROOKDALE PLACE WILLOWBROOK</t>
  </si>
  <si>
    <t>THE BELMONT AT TWIN CREEKS</t>
  </si>
  <si>
    <t>LEGEND OAKS HEALTHCARE AND REHABILITATION NORTH</t>
  </si>
  <si>
    <t>VILLA TOSCANA AT CYPRESS WOODS</t>
  </si>
  <si>
    <t>CIBOLO CREEK</t>
  </si>
  <si>
    <t>GREENHILL VILLAS</t>
  </si>
  <si>
    <t>GANADO NURSING AND REHABILITATION CENTER</t>
  </si>
  <si>
    <t>POWERBACK REHABILITATION RICHARDSON</t>
  </si>
  <si>
    <t>GRACE CARE CENTER AT NORTHPOINTE</t>
  </si>
  <si>
    <t>PFLUGERVILLE NURSING AND REHABILITATION CENTER</t>
  </si>
  <si>
    <t>RIVERSIDE NURSING &amp; REHAB CENTER</t>
  </si>
  <si>
    <t>SANDY LAKE REHABILITATION AND CARE CENTER</t>
  </si>
  <si>
    <t>FOUNDERS PLAZA NURSING &amp; REHAB</t>
  </si>
  <si>
    <t>THE CARLYLE AT STONEBRIDGE PARK</t>
  </si>
  <si>
    <t>SCC AT PECAN VALLEY REHABILITATION AND HEALTHCARE</t>
  </si>
  <si>
    <t>LEGEND OAKS HEALTHCARE AND REHABILITATION - NORTH/</t>
  </si>
  <si>
    <t>GRACE CARE CENTER AT VETERANS MEMORIAL</t>
  </si>
  <si>
    <t>LEGEND OAKS HEALTHCARE AND REHABILITATION - ENNIS</t>
  </si>
  <si>
    <t>FORT WORTH CENTER OF REHABILITATION</t>
  </si>
  <si>
    <t>SAN REMO</t>
  </si>
  <si>
    <t>TRUCARE LIVING CENTERS</t>
  </si>
  <si>
    <t>MEMORIAL CITY HEALTH AND REHABILITATION CENTER</t>
  </si>
  <si>
    <t>SHINNERY OAKS COMMUNITY</t>
  </si>
  <si>
    <t>THE MERIDIAN</t>
  </si>
  <si>
    <t>KINGS MANOR METHODIST HOME</t>
  </si>
  <si>
    <t>THE HEIGHTS OF TYLER</t>
  </si>
  <si>
    <t>DEERBROOK SKILLED NURSING AND REHAB CENTER</t>
  </si>
  <si>
    <t>WINCHESTER LODGE HEALTHCARE CENTER</t>
  </si>
  <si>
    <t>LONGHORN VILLAGE</t>
  </si>
  <si>
    <t>BRODIE RANCH NURSING &amp; REHAB CENTER</t>
  </si>
  <si>
    <t>VILLAGES OF LAKE HIGHLANDS</t>
  </si>
  <si>
    <t>RAYBURN HEALTH CARE &amp; REHABILITATION</t>
  </si>
  <si>
    <t>BRENTWOOD PLACE FOUR</t>
  </si>
  <si>
    <t>SENIOR CARE OF ONION CREEK</t>
  </si>
  <si>
    <t>LEGEND OAKS HEALTHCARE AND REHABILITATION-KYLE</t>
  </si>
  <si>
    <t>PARK MANOR OF THE WOODLANDS</t>
  </si>
  <si>
    <t>REMARKABLE HEALTHCARE OF SEGUIN</t>
  </si>
  <si>
    <t>RIDGECREST HEALTHCARE AND REHABILITATION CENTER</t>
  </si>
  <si>
    <t>LAKEWEST REHABILITATION AND SKILLED CARE</t>
  </si>
  <si>
    <t>ISLE AT WATERCREST - BRYAN</t>
  </si>
  <si>
    <t>SENIOR CARE OF BROWNWOOD</t>
  </si>
  <si>
    <t>CROWN POINT HEALTH SUITES</t>
  </si>
  <si>
    <t>ESTRELLA OAKS REHABILITATION AND CARE CENTER</t>
  </si>
  <si>
    <t>SCC AT WESTOVER HILLS REHABILITATION AND HEALTHCAR</t>
  </si>
  <si>
    <t>BAYOU MANOR</t>
  </si>
  <si>
    <t>TRISUN CARE CENTER- NORTHEAST EL PASO</t>
  </si>
  <si>
    <t>KINDRED HOSPITAL - DALLAS</t>
  </si>
  <si>
    <t>REMARKABLE HEALTHCARE OF FORT WORTH</t>
  </si>
  <si>
    <t>MEADOW LAKE HEALTH CENTER</t>
  </si>
  <si>
    <t>LAS PALMAS</t>
  </si>
  <si>
    <t>THE ATRIUM OF BELLMEAD LLC</t>
  </si>
  <si>
    <t>SPJST REST HOME 1</t>
  </si>
  <si>
    <t>LULING CARE CENTER</t>
  </si>
  <si>
    <t>MONARCH PAVILION REHABILITATION SUITES</t>
  </si>
  <si>
    <t>HERITAGE HOUSE AT PARIS REHAB &amp; NURSING</t>
  </si>
  <si>
    <t>TRISUN CARE CENTER - CORSICANA</t>
  </si>
  <si>
    <t>THE RIO AT MISSION TRAILS</t>
  </si>
  <si>
    <t>SPJST REST HOME NO 2</t>
  </si>
  <si>
    <t>SOUTHPARK MEADOWS NURSING AND REHABILITATION CENTE</t>
  </si>
  <si>
    <t>CANTON OAKS</t>
  </si>
  <si>
    <t>AUTUMN WINDS LIVING &amp; REHABILITATION</t>
  </si>
  <si>
    <t>ISLE AT CEDAR RIDGE</t>
  </si>
  <si>
    <t>MIRADOR</t>
  </si>
  <si>
    <t>CREEKSIDE VILLAGE HEALTHCARE</t>
  </si>
  <si>
    <t>THE STAYTON AT MUSEUM WAY</t>
  </si>
  <si>
    <t>HOLLY HALL</t>
  </si>
  <si>
    <t>OAK VILLAGE HEALTHCARE</t>
  </si>
  <si>
    <t>SAN GABRIEL REHABILITATION AND CARE CENTER</t>
  </si>
  <si>
    <t>BAYWOOD CROSSING REHABILITATION &amp; HEALTHCARE CENTE</t>
  </si>
  <si>
    <t>SOLERA AT WEST HOUSTON</t>
  </si>
  <si>
    <t>WATKINS-LOGAN-GARRISON TEXAS STATE VETERAN'S HOME</t>
  </si>
  <si>
    <t>LEGEND OAKS HEALTHCARE AND REHABILITATION - WEST</t>
  </si>
  <si>
    <t>LAREDO NURSING AND REHABILITATION CENTER</t>
  </si>
  <si>
    <t>LA HACIENDA NURSING &amp; REHAB CENTER</t>
  </si>
  <si>
    <t>THE HILLCREST OF NORTH DALLAS</t>
  </si>
  <si>
    <t>HIGH HOPE CARE CENTER OF BRENHAM</t>
  </si>
  <si>
    <t>THE HARRISON AT HERITAGE</t>
  </si>
  <si>
    <t>WINDMILL NURSING &amp; REHAB CENTER</t>
  </si>
  <si>
    <t>CORINTH REHABILITATION SUITES ON THE PARKWAY</t>
  </si>
  <si>
    <t>CONTINUUM REHABILITATION HOSPITAL OF NORTH TEXAS L</t>
  </si>
  <si>
    <t>WINDSOR NURSING AND REHABILITATION CENTER OF CORPU</t>
  </si>
  <si>
    <t>ARBOR GRACE SKILLED NURSING AND REHABILITATION LLC</t>
  </si>
  <si>
    <t>THE CRESCENT</t>
  </si>
  <si>
    <t>OAK MANOR NURSING HOME</t>
  </si>
  <si>
    <t>TRISUN CARE CENTER -  LAKESIDE</t>
  </si>
  <si>
    <t>EDGEWOOD REHABILITATION AND CARE CENTER</t>
  </si>
  <si>
    <t>COTTONWOOD CREEK NURSING AND REHABILITATION CENTER</t>
  </si>
  <si>
    <t>LAS COLINAS OF WESTOVER</t>
  </si>
  <si>
    <t>CONTINUING CARE AT HIGHLAND SPRINGS</t>
  </si>
  <si>
    <t>EMERITUS AT KINGWOOD</t>
  </si>
  <si>
    <t>SCC AT HUNTERS POND REHABILITATION AND HEALTHCARE</t>
  </si>
  <si>
    <t>THE MEDICAL RESORT AT BAY AREA</t>
  </si>
  <si>
    <t>SCC AT CLEAR BROOK CROSSING REHABILITATION AND HEA</t>
  </si>
  <si>
    <t>CHELSEA GARDENS</t>
  </si>
  <si>
    <t>BROADMOOR MEDICAL LODGE</t>
  </si>
  <si>
    <t>CONTINUING CARE AT EAGLES TRACE</t>
  </si>
  <si>
    <t>WINDSOR HOUSTON</t>
  </si>
  <si>
    <t>REMARKABLE HEALTHCARE OF DALLAS, LP</t>
  </si>
  <si>
    <t>ROCK HAVEN NURSING HOME</t>
  </si>
  <si>
    <t>CAPROCK NURSING &amp; REHABILITATION</t>
  </si>
  <si>
    <t>ST. TERESA NURSING AND REHABILITATION CENTER</t>
  </si>
  <si>
    <t>ROYAL MANOR II LLC</t>
  </si>
  <si>
    <t>MOUNT MORIAH HEALTH AND REHABILITATION, LLC</t>
  </si>
  <si>
    <t>BEL AIR AT TERAVISTA</t>
  </si>
  <si>
    <t>SENIOR CARE OF EDINBURG</t>
  </si>
  <si>
    <t>AMARILLO CENTER FOR SKILLED CARE</t>
  </si>
  <si>
    <t>MADISON MEDICAL RESORT</t>
  </si>
  <si>
    <t>ACCEL AT WILLOW BEND</t>
  </si>
  <si>
    <t>THE HEIGHTS OF TOMBALL</t>
  </si>
  <si>
    <t>THE LANDING AT WATERMERE</t>
  </si>
  <si>
    <t>STONEMERE REHABILITATION CENTER</t>
  </si>
  <si>
    <t>CORONADO AT STONE OAK</t>
  </si>
  <si>
    <t>ACCEL AT HERMANN PARK</t>
  </si>
  <si>
    <t>GAZEBO TERRACE SKILLED CARE &amp; REHABILITATION</t>
  </si>
  <si>
    <t>THE HEIGHTS OF NORTH HOUSTON</t>
  </si>
  <si>
    <t>THE BROADMOOR AT CREEKSIDE PARK</t>
  </si>
  <si>
    <t>THE VILLAGES ON MACARTHUR</t>
  </si>
  <si>
    <t>CORNERSTONE RETIREMENT COMMUNITY</t>
  </si>
  <si>
    <t>THE RIO AT MAINLAND CENTER</t>
  </si>
  <si>
    <t>EAGLE LAKE NURSING AND REHABILITATION, LP</t>
  </si>
  <si>
    <t>BRIDGECREST REHABILITATION SUITES</t>
  </si>
  <si>
    <t>REMARKABLE HEALTHCARE OF PRESTONWOOD</t>
  </si>
  <si>
    <t>TEMPLE MERIDIAN</t>
  </si>
  <si>
    <t>WILLOW PARK REHABILITATION AND CARE CENTER</t>
  </si>
  <si>
    <t>THE MELROSE</t>
  </si>
  <si>
    <t>BELTERRA HEALTH &amp; REHAB</t>
  </si>
  <si>
    <t>TREVISO TRANSITIONAL CARE</t>
  </si>
  <si>
    <t>HOLLYMEAD</t>
  </si>
  <si>
    <t>HARMONEE HOUSE</t>
  </si>
  <si>
    <t>WINDSOR QUAIL VALLEY POST-ACUTE HEALTHCARE</t>
  </si>
  <si>
    <t>TWIN PINES NORTH NURSING AND REHABILITATION CENTER</t>
  </si>
  <si>
    <t>PARK MANOR BEE CAVE</t>
  </si>
  <si>
    <t>MIDLOTHIAN HEALTHCARE CENTER</t>
  </si>
  <si>
    <t>ST GILES NURSING AND REHABILITATION CENTER</t>
  </si>
  <si>
    <t>SILVER SPRING</t>
  </si>
  <si>
    <t>RELIANT DALLAS SUB-ACUTE</t>
  </si>
  <si>
    <t>SORRENTO</t>
  </si>
  <si>
    <t>PATHWAYS MEMORY CARE AT VILLA TOSCANA</t>
  </si>
  <si>
    <t>BIG SPRINGS CENTER FOR SKILLED CARE</t>
  </si>
  <si>
    <t>WEST HOUSTON REHABILITATION AND HEALTHCARE CENTER</t>
  </si>
  <si>
    <t>FALCON RIDGE REHABILITATION</t>
  </si>
  <si>
    <t>THE MEDICAL RESORT AT SUGAR LAND</t>
  </si>
  <si>
    <t>CROSSROADS NURSING &amp; REHABILITATION</t>
  </si>
  <si>
    <t>WEST REST HAVEN INC</t>
  </si>
  <si>
    <t>HIGHLAND MEADOWS HEALTH &amp; REHAB</t>
  </si>
  <si>
    <t>THE PAVILION AT CREEKWOOD</t>
  </si>
  <si>
    <t>LEXINGTON MEDICAL LODGE</t>
  </si>
  <si>
    <t>01U007</t>
  </si>
  <si>
    <t>01U008</t>
  </si>
  <si>
    <t>01U022</t>
  </si>
  <si>
    <t>01U032</t>
  </si>
  <si>
    <t>01U034</t>
  </si>
  <si>
    <t>01U044</t>
  </si>
  <si>
    <t>01U045</t>
  </si>
  <si>
    <t>01U058</t>
  </si>
  <si>
    <t>01U059</t>
  </si>
  <si>
    <t>01U069</t>
  </si>
  <si>
    <t>01U073</t>
  </si>
  <si>
    <t>01U086</t>
  </si>
  <si>
    <t>01U095</t>
  </si>
  <si>
    <t>01U109</t>
  </si>
  <si>
    <t>01U112</t>
  </si>
  <si>
    <t>01U125</t>
  </si>
  <si>
    <t>01U126</t>
  </si>
  <si>
    <t>01U128</t>
  </si>
  <si>
    <t>01U150</t>
  </si>
  <si>
    <t>01U158</t>
  </si>
  <si>
    <t>01U169</t>
  </si>
  <si>
    <t>02U006</t>
  </si>
  <si>
    <t>02U024</t>
  </si>
  <si>
    <t>03U073</t>
  </si>
  <si>
    <t>04U011</t>
  </si>
  <si>
    <t>04U015</t>
  </si>
  <si>
    <t>04U019</t>
  </si>
  <si>
    <t>04U039</t>
  </si>
  <si>
    <t>04U047</t>
  </si>
  <si>
    <t>04U050</t>
  </si>
  <si>
    <t>04U051</t>
  </si>
  <si>
    <t>04U067</t>
  </si>
  <si>
    <t>04U072</t>
  </si>
  <si>
    <t>05U189</t>
  </si>
  <si>
    <t>05U335</t>
  </si>
  <si>
    <t>05U434</t>
  </si>
  <si>
    <t>06U008</t>
  </si>
  <si>
    <t>06U016</t>
  </si>
  <si>
    <t>06U044</t>
  </si>
  <si>
    <t>06U049</t>
  </si>
  <si>
    <t>06U118</t>
  </si>
  <si>
    <t>10U048</t>
  </si>
  <si>
    <t>10U081</t>
  </si>
  <si>
    <t>10U106</t>
  </si>
  <si>
    <t>10U142</t>
  </si>
  <si>
    <t>10U313</t>
  </si>
  <si>
    <t>11U026</t>
  </si>
  <si>
    <t>11U040</t>
  </si>
  <si>
    <t>11U041</t>
  </si>
  <si>
    <t>11U071</t>
  </si>
  <si>
    <t>11U073</t>
  </si>
  <si>
    <t>11U086</t>
  </si>
  <si>
    <t>11U100</t>
  </si>
  <si>
    <t>11U101</t>
  </si>
  <si>
    <t>11U104</t>
  </si>
  <si>
    <t>11U105</t>
  </si>
  <si>
    <t>11U109</t>
  </si>
  <si>
    <t>11U113</t>
  </si>
  <si>
    <t>11U121</t>
  </si>
  <si>
    <t>11U124</t>
  </si>
  <si>
    <t>11U132</t>
  </si>
  <si>
    <t>11U153</t>
  </si>
  <si>
    <t>11U187</t>
  </si>
  <si>
    <t>11U189</t>
  </si>
  <si>
    <t>11U194</t>
  </si>
  <si>
    <t>11U205</t>
  </si>
  <si>
    <t>14U019</t>
  </si>
  <si>
    <t>14U089</t>
  </si>
  <si>
    <t>14U137</t>
  </si>
  <si>
    <t>14U143</t>
  </si>
  <si>
    <t>14U147</t>
  </si>
  <si>
    <t>14U161</t>
  </si>
  <si>
    <t>14U210</t>
  </si>
  <si>
    <t>14U234</t>
  </si>
  <si>
    <t>15U064</t>
  </si>
  <si>
    <t>15U065</t>
  </si>
  <si>
    <t>16U005</t>
  </si>
  <si>
    <t>16U008</t>
  </si>
  <si>
    <t>16U032</t>
  </si>
  <si>
    <t>16U112</t>
  </si>
  <si>
    <t>16U122</t>
  </si>
  <si>
    <t>16U124</t>
  </si>
  <si>
    <t>16U147</t>
  </si>
  <si>
    <t>17U006</t>
  </si>
  <si>
    <t>17U009</t>
  </si>
  <si>
    <t>17U010</t>
  </si>
  <si>
    <t>17U017</t>
  </si>
  <si>
    <t>17U058</t>
  </si>
  <si>
    <t>17U074</t>
  </si>
  <si>
    <t>17U075</t>
  </si>
  <si>
    <t>17U094</t>
  </si>
  <si>
    <t>17U103</t>
  </si>
  <si>
    <t>17U105</t>
  </si>
  <si>
    <t>17U110</t>
  </si>
  <si>
    <t>17U150</t>
  </si>
  <si>
    <t>17U166</t>
  </si>
  <si>
    <t>17U175</t>
  </si>
  <si>
    <t>18U002</t>
  </si>
  <si>
    <t>18U019</t>
  </si>
  <si>
    <t>18U020</t>
  </si>
  <si>
    <t>18U024</t>
  </si>
  <si>
    <t>18U046</t>
  </si>
  <si>
    <t>18U053</t>
  </si>
  <si>
    <t>18U066</t>
  </si>
  <si>
    <t>18U070</t>
  </si>
  <si>
    <t>18U079</t>
  </si>
  <si>
    <t>18U080</t>
  </si>
  <si>
    <t>18U095</t>
  </si>
  <si>
    <t>18U101</t>
  </si>
  <si>
    <t>18U105</t>
  </si>
  <si>
    <t>18U106</t>
  </si>
  <si>
    <t>18U116</t>
  </si>
  <si>
    <t>18U117</t>
  </si>
  <si>
    <t>18U124</t>
  </si>
  <si>
    <t>18U128</t>
  </si>
  <si>
    <t>18U149</t>
  </si>
  <si>
    <t>19U034</t>
  </si>
  <si>
    <t>19U050</t>
  </si>
  <si>
    <t>19U053</t>
  </si>
  <si>
    <t>19U081</t>
  </si>
  <si>
    <t>19U088</t>
  </si>
  <si>
    <t>19U090</t>
  </si>
  <si>
    <t>19U099</t>
  </si>
  <si>
    <t>19U106</t>
  </si>
  <si>
    <t>19U114</t>
  </si>
  <si>
    <t>19U116</t>
  </si>
  <si>
    <t>19U118</t>
  </si>
  <si>
    <t>19U133</t>
  </si>
  <si>
    <t>19U140</t>
  </si>
  <si>
    <t>19U145</t>
  </si>
  <si>
    <t>19U151</t>
  </si>
  <si>
    <t>19U167</t>
  </si>
  <si>
    <t>20U050</t>
  </si>
  <si>
    <t>20U052</t>
  </si>
  <si>
    <t>22U177</t>
  </si>
  <si>
    <t>23U015</t>
  </si>
  <si>
    <t>23U055</t>
  </si>
  <si>
    <t>23U108</t>
  </si>
  <si>
    <t>24U022</t>
  </si>
  <si>
    <t>24U166</t>
  </si>
  <si>
    <t>25U002</t>
  </si>
  <si>
    <t>25U006</t>
  </si>
  <si>
    <t>25U012</t>
  </si>
  <si>
    <t>25U017</t>
  </si>
  <si>
    <t>25U018</t>
  </si>
  <si>
    <t>25U020</t>
  </si>
  <si>
    <t>25U025</t>
  </si>
  <si>
    <t>25U027</t>
  </si>
  <si>
    <t>25U043</t>
  </si>
  <si>
    <t>25U044</t>
  </si>
  <si>
    <t>25U049</t>
  </si>
  <si>
    <t>25U050</t>
  </si>
  <si>
    <t>25U061</t>
  </si>
  <si>
    <t>25U067</t>
  </si>
  <si>
    <t>25U077</t>
  </si>
  <si>
    <t>25U079</t>
  </si>
  <si>
    <t>25U081</t>
  </si>
  <si>
    <t>25U085</t>
  </si>
  <si>
    <t>25U093</t>
  </si>
  <si>
    <t>25U095</t>
  </si>
  <si>
    <t>25U124</t>
  </si>
  <si>
    <t>26U004</t>
  </si>
  <si>
    <t>26U022</t>
  </si>
  <si>
    <t>26U024</t>
  </si>
  <si>
    <t>26U034</t>
  </si>
  <si>
    <t>26U050</t>
  </si>
  <si>
    <t>26U057</t>
  </si>
  <si>
    <t>26U070</t>
  </si>
  <si>
    <t>26U074</t>
  </si>
  <si>
    <t>26U097</t>
  </si>
  <si>
    <t>26U116</t>
  </si>
  <si>
    <t>26U142</t>
  </si>
  <si>
    <t>26U160</t>
  </si>
  <si>
    <t>26U175</t>
  </si>
  <si>
    <t>26U195</t>
  </si>
  <si>
    <t>27U003</t>
  </si>
  <si>
    <t>27U032</t>
  </si>
  <si>
    <t>28U111</t>
  </si>
  <si>
    <t>30U005</t>
  </si>
  <si>
    <t>30U019</t>
  </si>
  <si>
    <t>32U030</t>
  </si>
  <si>
    <t>33U096</t>
  </si>
  <si>
    <t>33U103</t>
  </si>
  <si>
    <t>33U144</t>
  </si>
  <si>
    <t>33U175</t>
  </si>
  <si>
    <t>33U197</t>
  </si>
  <si>
    <t>33U211</t>
  </si>
  <si>
    <t>33U268</t>
  </si>
  <si>
    <t>33U307</t>
  </si>
  <si>
    <t>34U024</t>
  </si>
  <si>
    <t>34U133</t>
  </si>
  <si>
    <t>34U187</t>
  </si>
  <si>
    <t>36U058</t>
  </si>
  <si>
    <t>36U089</t>
  </si>
  <si>
    <t>36U107</t>
  </si>
  <si>
    <t>37U002</t>
  </si>
  <si>
    <t>37U006</t>
  </si>
  <si>
    <t>37U007</t>
  </si>
  <si>
    <t>37U020</t>
  </si>
  <si>
    <t>37U022</t>
  </si>
  <si>
    <t>37U029</t>
  </si>
  <si>
    <t>37U036</t>
  </si>
  <si>
    <t>37U039</t>
  </si>
  <si>
    <t>37U040</t>
  </si>
  <si>
    <t>37U041</t>
  </si>
  <si>
    <t>37U051</t>
  </si>
  <si>
    <t>37U054</t>
  </si>
  <si>
    <t>37U057</t>
  </si>
  <si>
    <t>37U065</t>
  </si>
  <si>
    <t>37U080</t>
  </si>
  <si>
    <t>37U083</t>
  </si>
  <si>
    <t>37U097</t>
  </si>
  <si>
    <t>37U103</t>
  </si>
  <si>
    <t>37U112</t>
  </si>
  <si>
    <t>37U139</t>
  </si>
  <si>
    <t>37U153</t>
  </si>
  <si>
    <t>37U156</t>
  </si>
  <si>
    <t>37U158</t>
  </si>
  <si>
    <t>37U178</t>
  </si>
  <si>
    <t>37U183</t>
  </si>
  <si>
    <t>37U229</t>
  </si>
  <si>
    <t>39U008</t>
  </si>
  <si>
    <t>39U039</t>
  </si>
  <si>
    <t>39U052</t>
  </si>
  <si>
    <t>39U056</t>
  </si>
  <si>
    <t>39U086</t>
  </si>
  <si>
    <t>39U093</t>
  </si>
  <si>
    <t>39U104</t>
  </si>
  <si>
    <t>39U125</t>
  </si>
  <si>
    <t>39U130</t>
  </si>
  <si>
    <t>39U138</t>
  </si>
  <si>
    <t>39U146</t>
  </si>
  <si>
    <t>39U150</t>
  </si>
  <si>
    <t>39U154</t>
  </si>
  <si>
    <t>39U199</t>
  </si>
  <si>
    <t>39U236</t>
  </si>
  <si>
    <t>42U016</t>
  </si>
  <si>
    <t>42U053</t>
  </si>
  <si>
    <t>42U054</t>
  </si>
  <si>
    <t>42U055</t>
  </si>
  <si>
    <t>42U057</t>
  </si>
  <si>
    <t>42U062</t>
  </si>
  <si>
    <t>42U069</t>
  </si>
  <si>
    <t>42U072</t>
  </si>
  <si>
    <t>43U005</t>
  </si>
  <si>
    <t>43U008</t>
  </si>
  <si>
    <t>43U012</t>
  </si>
  <si>
    <t>43U013</t>
  </si>
  <si>
    <t>43U014</t>
  </si>
  <si>
    <t>43U015</t>
  </si>
  <si>
    <t>44U007</t>
  </si>
  <si>
    <t>44U010</t>
  </si>
  <si>
    <t>44U016</t>
  </si>
  <si>
    <t>44U020</t>
  </si>
  <si>
    <t>44U032</t>
  </si>
  <si>
    <t>44U040</t>
  </si>
  <si>
    <t>44U051</t>
  </si>
  <si>
    <t>44U060</t>
  </si>
  <si>
    <t>44U067</t>
  </si>
  <si>
    <t>44U070</t>
  </si>
  <si>
    <t>44U072</t>
  </si>
  <si>
    <t>44U109</t>
  </si>
  <si>
    <t>44U141</t>
  </si>
  <si>
    <t>44U148</t>
  </si>
  <si>
    <t>44U175</t>
  </si>
  <si>
    <t>44U181</t>
  </si>
  <si>
    <t>44U187</t>
  </si>
  <si>
    <t>44U232</t>
  </si>
  <si>
    <t>45U052</t>
  </si>
  <si>
    <t>45U055</t>
  </si>
  <si>
    <t>45U078</t>
  </si>
  <si>
    <t>45U085</t>
  </si>
  <si>
    <t>45U090</t>
  </si>
  <si>
    <t>45U108</t>
  </si>
  <si>
    <t>45U144</t>
  </si>
  <si>
    <t>45U154</t>
  </si>
  <si>
    <t>45U155</t>
  </si>
  <si>
    <t>45U165</t>
  </si>
  <si>
    <t>45U177</t>
  </si>
  <si>
    <t>45U187</t>
  </si>
  <si>
    <t>45U192</t>
  </si>
  <si>
    <t>45U221</t>
  </si>
  <si>
    <t>45U241</t>
  </si>
  <si>
    <t>45U243</t>
  </si>
  <si>
    <t>45U253</t>
  </si>
  <si>
    <t>45U293</t>
  </si>
  <si>
    <t>45U306</t>
  </si>
  <si>
    <t>45U369</t>
  </si>
  <si>
    <t>45U370</t>
  </si>
  <si>
    <t>45U400</t>
  </si>
  <si>
    <t>45U411</t>
  </si>
  <si>
    <t>45U451</t>
  </si>
  <si>
    <t>45U475</t>
  </si>
  <si>
    <t>45U489</t>
  </si>
  <si>
    <t>45U497</t>
  </si>
  <si>
    <t>45U498</t>
  </si>
  <si>
    <t>45U578</t>
  </si>
  <si>
    <t>45U584</t>
  </si>
  <si>
    <t>45U586</t>
  </si>
  <si>
    <t>45U641</t>
  </si>
  <si>
    <t>45U694</t>
  </si>
  <si>
    <t>45U698</t>
  </si>
  <si>
    <t>45U746</t>
  </si>
  <si>
    <t>45U755</t>
  </si>
  <si>
    <t>46U011</t>
  </si>
  <si>
    <t>46U033</t>
  </si>
  <si>
    <t>46U035</t>
  </si>
  <si>
    <t>47U005</t>
  </si>
  <si>
    <t>49U001</t>
  </si>
  <si>
    <t>49U002</t>
  </si>
  <si>
    <t>49U038</t>
  </si>
  <si>
    <t>49U092</t>
  </si>
  <si>
    <t>49U097</t>
  </si>
  <si>
    <t>49U111</t>
  </si>
  <si>
    <t>49U115</t>
  </si>
  <si>
    <t>49U117</t>
  </si>
  <si>
    <t>51U002</t>
  </si>
  <si>
    <t>51U048</t>
  </si>
  <si>
    <t>51U072</t>
  </si>
  <si>
    <t>51U082</t>
  </si>
  <si>
    <t>52U041</t>
  </si>
  <si>
    <t>52U095</t>
  </si>
  <si>
    <t>53U006</t>
  </si>
  <si>
    <t>53U015</t>
  </si>
  <si>
    <t>53U025</t>
  </si>
  <si>
    <t>67U004</t>
  </si>
  <si>
    <t>702 N MAIN ST</t>
  </si>
  <si>
    <t>101 HOSPITAL CIRCLE</t>
  </si>
  <si>
    <t>400 NORTHWOOD DR</t>
  </si>
  <si>
    <t>209 NORTH MAIN STREET</t>
  </si>
  <si>
    <t>805 FRIENDSHIP ROAD</t>
  </si>
  <si>
    <t>1256 MILITARY STREET SOUTH</t>
  </si>
  <si>
    <t>1653 TEMPLE AVENUE NORTH</t>
  </si>
  <si>
    <t>208 PIERSON AVE</t>
  </si>
  <si>
    <t>202 HOSPITAL STREET</t>
  </si>
  <si>
    <t>820 W WASHINGTON ST</t>
  </si>
  <si>
    <t>83825 HIGHWAY 9    P O BOX 1270</t>
  </si>
  <si>
    <t>1530 U S HIGHWAY 43</t>
  </si>
  <si>
    <t>508 GREEN STREET</t>
  </si>
  <si>
    <t>241 ROBERT K WILSON DRIVE</t>
  </si>
  <si>
    <t>105 HIGHWAY 80 EAST</t>
  </si>
  <si>
    <t>42024 HIGHWAY 195 E</t>
  </si>
  <si>
    <t>1330 HIGHWAY 231 SOUTH</t>
  </si>
  <si>
    <t>220 HOSPITAL DRIVE</t>
  </si>
  <si>
    <t>29 L V STABLER DRIVE</t>
  </si>
  <si>
    <t>15155 HIGHWAY 43</t>
  </si>
  <si>
    <t>401 MEDICAL PARK DRIVE</t>
  </si>
  <si>
    <t>701 MONROE STREET NW</t>
  </si>
  <si>
    <t>315 WEST HICKORY STREET</t>
  </si>
  <si>
    <t>380 WOODS COVE ROAD</t>
  </si>
  <si>
    <t>7755 FOURTH AVENUE SOUTH</t>
  </si>
  <si>
    <t>6450 OLD TUSCALOOSA HIGHWAY   P O BOX 97</t>
  </si>
  <si>
    <t>611 WEST MARKET STREET</t>
  </si>
  <si>
    <t>P O BOX 130</t>
  </si>
  <si>
    <t>300 MEDICAL CENTER DRIVE</t>
  </si>
  <si>
    <t>1600 WEST HOBBS STREET</t>
  </si>
  <si>
    <t>1825 HOLTVILLE ROAD</t>
  </si>
  <si>
    <t>813 KELLER LANE</t>
  </si>
  <si>
    <t>805 FLAGG CIRCLE</t>
  </si>
  <si>
    <t>1701 NORTH ALSTON STREET</t>
  </si>
  <si>
    <t>600 34TH ST</t>
  </si>
  <si>
    <t>100 PINEVIEW AND THIRD P.O. BOX 49</t>
  </si>
  <si>
    <t>3312 WOODLEY ROAD</t>
  </si>
  <si>
    <t>2020 NORTH COUNTRY CLUB DRIVE</t>
  </si>
  <si>
    <t>1505 EAST 4TH AVENUE</t>
  </si>
  <si>
    <t>1300 EAST SOUTH BOULEVARD</t>
  </si>
  <si>
    <t>700 FIRST AVENUE</t>
  </si>
  <si>
    <t>4800 48TH STREET</t>
  </si>
  <si>
    <t>1424 NORTH 25TH STREET</t>
  </si>
  <si>
    <t>1607 MAIN AVE NE</t>
  </si>
  <si>
    <t>101 VILLA DRIVE, P O BOX 1090</t>
  </si>
  <si>
    <t>325 SELMA ROAD</t>
  </si>
  <si>
    <t>122 BROCKFORD ROAD</t>
  </si>
  <si>
    <t>4201 BESSEMER SUPER HIGHWAY</t>
  </si>
  <si>
    <t>600 CORLEY AVENUE</t>
  </si>
  <si>
    <t>601 JASMINE TRAIL</t>
  </si>
  <si>
    <t>390 UNDERWOOD ROAD</t>
  </si>
  <si>
    <t>500 JOHN ALDRIDGE DRIVE</t>
  </si>
  <si>
    <t>705 NORTHEAST GANDY STREET</t>
  </si>
  <si>
    <t>420 MAIN STREET NE</t>
  </si>
  <si>
    <t>4087 HIGHWAY 31 SOUTHWEST</t>
  </si>
  <si>
    <t>1424 MONTCLAIR ROAD</t>
  </si>
  <si>
    <t>987 DRAYTON STREET</t>
  </si>
  <si>
    <t>100 PARK PLACE</t>
  </si>
  <si>
    <t>100 SANDERS DRIVE</t>
  </si>
  <si>
    <t>200 NORTH PINE HILL ROAD</t>
  </si>
  <si>
    <t>1220 SOUTH 17TH STREET</t>
  </si>
  <si>
    <t>735 SOUTH WASHINGTON AVENUE</t>
  </si>
  <si>
    <t>954 NAVCO ROAD</t>
  </si>
  <si>
    <t>6532 WALNUT GROVE ROAD</t>
  </si>
  <si>
    <t>148 TUSCALOOSA ST</t>
  </si>
  <si>
    <t>500 SHIVERS TERRACE</t>
  </si>
  <si>
    <t>1201 22ND STREET NORTH</t>
  </si>
  <si>
    <t>500 ST. CLAIR AVENUE SOUTHWEST</t>
  </si>
  <si>
    <t>603 WRIGHT STREET</t>
  </si>
  <si>
    <t>1350 FOURTEENTH AVENUE SOUTHEAST</t>
  </si>
  <si>
    <t>331 WEST 25TH STREET</t>
  </si>
  <si>
    <t>70 HIGHLAND STREET WEST</t>
  </si>
  <si>
    <t>105 TEAKWOOD DRIVE SW</t>
  </si>
  <si>
    <t>824 SIXTH AVENUE WEST</t>
  </si>
  <si>
    <t>11 BELL ROAD</t>
  </si>
  <si>
    <t>2300 COLEMAN RD</t>
  </si>
  <si>
    <t>19225 NORTH 4TH STREET</t>
  </si>
  <si>
    <t>14600 ST STEPHENS AVENUE</t>
  </si>
  <si>
    <t>83825 HIGHWAY 9   P O BOX 1270</t>
  </si>
  <si>
    <t>1235 YANCEY STREET  P O BOX 467</t>
  </si>
  <si>
    <t>4320 JUDITH LANE</t>
  </si>
  <si>
    <t>300 HOSPITAL STREET</t>
  </si>
  <si>
    <t>715 EAST LAUREL STREET</t>
  </si>
  <si>
    <t>119 WATTERSON PARKWAY</t>
  </si>
  <si>
    <t>P O BOX 3408, 1130 SOUTH HALE STREET</t>
  </si>
  <si>
    <t>420 DEAN LANE</t>
  </si>
  <si>
    <t>733 MARY VANN LANE</t>
  </si>
  <si>
    <t>4401 NARROW LANE ROAD</t>
  </si>
  <si>
    <t>10 WEST 3RD STREET  PO BOX 409</t>
  </si>
  <si>
    <t>703 17TH STREET NORTHWEST</t>
  </si>
  <si>
    <t>1000 HIGHWAY 33</t>
  </si>
  <si>
    <t>2639 GILMER AVENUE  P O BOX 780277</t>
  </si>
  <si>
    <t>515 2ND AVENUE NORTHWEST</t>
  </si>
  <si>
    <t>88073 HIGHWAY 9</t>
  </si>
  <si>
    <t>2215 32ND STREET</t>
  </si>
  <si>
    <t>850 NORTHWEST NINTH STREET</t>
  </si>
  <si>
    <t>2500 RIVERHAVEN DRIVE</t>
  </si>
  <si>
    <t>211 ANA DRIVE</t>
  </si>
  <si>
    <t>235 THIRD STREET SE</t>
  </si>
  <si>
    <t>251 SUNSET PLACE</t>
  </si>
  <si>
    <t>1200 MAPLE AVENUE WEST</t>
  </si>
  <si>
    <t>1758 SPRINGHILL AVE</t>
  </si>
  <si>
    <t>950 SOUTH ST. ANDREWS STREET</t>
  </si>
  <si>
    <t>1020 TUSCALOOSA AVENUE, SW</t>
  </si>
  <si>
    <t>907 11TH STREET, NE</t>
  </si>
  <si>
    <t>403 13TH STREET NORTHWEST</t>
  </si>
  <si>
    <t>2201 11TH AVENUE</t>
  </si>
  <si>
    <t>505 EAST LAFAYETTE STREET</t>
  </si>
  <si>
    <t>215 VALLEY ROAD</t>
  </si>
  <si>
    <t>1007 W FORT WILLIAMS ST</t>
  </si>
  <si>
    <t>616 CHAFFEE STREET</t>
  </si>
  <si>
    <t>750 ALABAMA HIGHWAY 75 NORTH</t>
  </si>
  <si>
    <t>1406 EAST PUSHMATAHA STREET</t>
  </si>
  <si>
    <t>351 NORTH EAST STREET</t>
  </si>
  <si>
    <t>184 SASSER DRIVE</t>
  </si>
  <si>
    <t>1655 MCGILL AVENUE</t>
  </si>
  <si>
    <t>2107 CLOYD BLVD</t>
  </si>
  <si>
    <t>745 SOUTHERN SPRINGS ROAD</t>
  </si>
  <si>
    <t>513 PINEVIEW AVENUE</t>
  </si>
  <si>
    <t>718 HONEYSUCKLE ROAD</t>
  </si>
  <si>
    <t>8922 HIGHWAY 227</t>
  </si>
  <si>
    <t>105 WEST WINDSOR ST</t>
  </si>
  <si>
    <t>509 WILSON AVE</t>
  </si>
  <si>
    <t>3301 STADIUM DRIVE</t>
  </si>
  <si>
    <t>1945 DAVIS DRIVE</t>
  </si>
  <si>
    <t>206 PALMER AVENUE</t>
  </si>
  <si>
    <t>4525 ST STEPHENS ROAD</t>
  </si>
  <si>
    <t>412 CLOVERDALE ROAD</t>
  </si>
  <si>
    <t>2201 32ND STREET</t>
  </si>
  <si>
    <t>THIRD AVENUE    P O BOX 607</t>
  </si>
  <si>
    <t>2616 NORTH COLLEGE AVENUE</t>
  </si>
  <si>
    <t>510 WOLF CREEK ROAD, NORTH</t>
  </si>
  <si>
    <t>2334 WASHINGTON STREET</t>
  </si>
  <si>
    <t>1910 PEPPERELL PKWY</t>
  </si>
  <si>
    <t>408 COUNTRY CLUB DRIVE</t>
  </si>
  <si>
    <t>30 ROUNDTREE DRIVE</t>
  </si>
  <si>
    <t>415 COOK SPRINGS</t>
  </si>
  <si>
    <t>702 SOUTH 13TH STREET</t>
  </si>
  <si>
    <t>805 HOSPITAL STREET SOUTHWEST</t>
  </si>
  <si>
    <t>430 RIVERS AVENUE</t>
  </si>
  <si>
    <t>877 CEDAR BLUFF ROAD</t>
  </si>
  <si>
    <t>106 TENTH AVENUE NORTHWEST</t>
  </si>
  <si>
    <t>2301 RAINBOW DRIVE</t>
  </si>
  <si>
    <t>915 STEWART AVENUE SOUTHEAST</t>
  </si>
  <si>
    <t>16 JONES HILL ROAD</t>
  </si>
  <si>
    <t>2326 MORGAN AVENUE SOUTHWEST</t>
  </si>
  <si>
    <t>685 NORTH VALLEY AVE</t>
  </si>
  <si>
    <t>312 BRYAN DRIVE</t>
  </si>
  <si>
    <t>820 GOLF COURSE ROAD</t>
  </si>
  <si>
    <t>115 PAULK AVENUE  P O BOX 730</t>
  </si>
  <si>
    <t>857 CRAWFORD LANE</t>
  </si>
  <si>
    <t>131 EAST CREST ROAD</t>
  </si>
  <si>
    <t>515 ELBA HIGHWAY</t>
  </si>
  <si>
    <t>3891 SULLIVAN ST</t>
  </si>
  <si>
    <t>929 MIXON SCHOOL ROAD</t>
  </si>
  <si>
    <t>1000 DUGAN AVENUE</t>
  </si>
  <si>
    <t>1425 MOSLEY DRIVE</t>
  </si>
  <si>
    <t>3701 DADEVILLE ROAD</t>
  </si>
  <si>
    <t>108 SOUTH CHURCH STREET</t>
  </si>
  <si>
    <t>700 HUTCHINS AVENUE</t>
  </si>
  <si>
    <t>22444 HIGHWAY 431</t>
  </si>
  <si>
    <t>1050 CONVALESCENT ROAD</t>
  </si>
  <si>
    <t>4490 VIRGINIA LOOP ROAD</t>
  </si>
  <si>
    <t>1028 BESSEMER RD</t>
  </si>
  <si>
    <t>201 OAKHILL ROAD</t>
  </si>
  <si>
    <t>300 PLAZA DRIVE P O BOX 311227</t>
  </si>
  <si>
    <t>3141 OLD COLUMBIANA ROAD</t>
  </si>
  <si>
    <t>2046 SOUTH ALABAMA AVE</t>
  </si>
  <si>
    <t>2201 MCFARLAND BOULEVARD</t>
  </si>
  <si>
    <t>608 NORTH MAIN STREET</t>
  </si>
  <si>
    <t>3900 LAKEWOOD DRIVE</t>
  </si>
  <si>
    <t>142 WEST THIRD STREET</t>
  </si>
  <si>
    <t>2019 COUNTY ROAD 394</t>
  </si>
  <si>
    <t>2625 LAUREL OAK DRIVE</t>
  </si>
  <si>
    <t>1101 SNOWS MILL AVENUE</t>
  </si>
  <si>
    <t>2004 MAX LUTHER DRIVE</t>
  </si>
  <si>
    <t>212 DOTHAN ROAD</t>
  </si>
  <si>
    <t>210 PONDEROSA DRIVE</t>
  </si>
  <si>
    <t>P.O. BOX 1825</t>
  </si>
  <si>
    <t>144 COUNTY HWY 14</t>
  </si>
  <si>
    <t>3120 NORTH STREET</t>
  </si>
  <si>
    <t>7020 BRUNS DRIVE</t>
  </si>
  <si>
    <t>500 SPANISH FORT BLVD</t>
  </si>
  <si>
    <t>1720 KNOWLES ROAD</t>
  </si>
  <si>
    <t>1900 OLIVE STREET</t>
  </si>
  <si>
    <t>1555 HILLABEE STREET</t>
  </si>
  <si>
    <t>53 MEDICAL PARK DRIVE EAST</t>
  </si>
  <si>
    <t>520 SOUTH HULL STREET</t>
  </si>
  <si>
    <t>410 WILSON DRIVE SOUTHWEST</t>
  </si>
  <si>
    <t>200 ALABAMA AVENUE</t>
  </si>
  <si>
    <t>1837 UPPER WETUMPKA ROAD</t>
  </si>
  <si>
    <t>616 ARMORY STREET</t>
  </si>
  <si>
    <t>4411 MCALLISTER DRIVE</t>
  </si>
  <si>
    <t>236 WEST CLAIBORNE STREET</t>
  </si>
  <si>
    <t>7300 OLD HIGHWAY 78 EAST</t>
  </si>
  <si>
    <t>260 MILNER CHAPEL ROAD</t>
  </si>
  <si>
    <t>3104 DAUPHIN SQUARE CONNECTOR</t>
  </si>
  <si>
    <t>190 BROOKLANE DRIVE</t>
  </si>
  <si>
    <t>13750 HIGHWAY 90 WEST P.O. BOX 328</t>
  </si>
  <si>
    <t>350 NORTHEAST 4TH STREET     P O BOX 30</t>
  </si>
  <si>
    <t>2000 PEPPERELL PARKWAY</t>
  </si>
  <si>
    <t>881 3RD STREET NORTHEAST</t>
  </si>
  <si>
    <t>2911 EARL GOODWIN PARKWAY</t>
  </si>
  <si>
    <t>555 B STREET SW</t>
  </si>
  <si>
    <t>3900 OLD SHELL ROAD</t>
  </si>
  <si>
    <t>670 MOORE RD</t>
  </si>
  <si>
    <t>2010 MEDICAL CENTER DRIVE</t>
  </si>
  <si>
    <t>217 TORO ROAD</t>
  </si>
  <si>
    <t>47065 AL HIGHWAY 277</t>
  </si>
  <si>
    <t>212 ELLEN STREET</t>
  </si>
  <si>
    <t>501 UNIVERSITY PARK DRIVE</t>
  </si>
  <si>
    <t>680 SEYMOUR DRIVE</t>
  </si>
  <si>
    <t>501 NORTH WOODBURN DRIVE</t>
  </si>
  <si>
    <t>3712 DAUPHIN ST</t>
  </si>
  <si>
    <t>550 CONGRESS STREET</t>
  </si>
  <si>
    <t>5968 WALL TRIANA HIGHWAY</t>
  </si>
  <si>
    <t>4941 MONTEVALLO ROAD</t>
  </si>
  <si>
    <t>4164 HALLS MILL ROAD</t>
  </si>
  <si>
    <t>3717 DAUPHIN STREET</t>
  </si>
  <si>
    <t>100 PERRY HILL RD</t>
  </si>
  <si>
    <t>401 ARNOLD STREET N.E.</t>
  </si>
  <si>
    <t>4010 CHRIS DRIVE</t>
  </si>
  <si>
    <t>629 STATE HIGHWAY 21 SOUTH</t>
  </si>
  <si>
    <t>18700 U S HIGHWAY 90</t>
  </si>
  <si>
    <t>1250 JEFF GERMANY PARKWAY</t>
  </si>
  <si>
    <t>2831 HIGHLAND AVENUE SOUTH</t>
  </si>
  <si>
    <t>HIGHWAY 98     P O BOX 256</t>
  </si>
  <si>
    <t>213 WILSON MANN ROAD</t>
  </si>
  <si>
    <t>ONE CROWN CIRCLE</t>
  </si>
  <si>
    <t>23621 GOLDENROD AVENUE</t>
  </si>
  <si>
    <t>1365 GATEWOOD DRIVE</t>
  </si>
  <si>
    <t>22969 HIGHWAY 25</t>
  </si>
  <si>
    <t>12000 TURNMEYER DRIVE</t>
  </si>
  <si>
    <t>300 ROYAL TOWER DRIVE</t>
  </si>
  <si>
    <t>8002 GRELOT ROAD</t>
  </si>
  <si>
    <t>3605 RATLIFF ROAD</t>
  </si>
  <si>
    <t>5275 MILLENNIUM DRIVE</t>
  </si>
  <si>
    <t>3850 GALLERIA WOODS DRIVE</t>
  </si>
  <si>
    <t>65 CHARLTON PLACE</t>
  </si>
  <si>
    <t>30 7TH STREET</t>
  </si>
  <si>
    <t>3151-A KNOLLWOOD DRIVE</t>
  </si>
  <si>
    <t>575 SOUTHLAND DRIVE</t>
  </si>
  <si>
    <t>700 CORPORATE RIDGE</t>
  </si>
  <si>
    <t>2500 SOUTH WOODWORTH LOOP</t>
  </si>
  <si>
    <t>250 HOSPITAL PLACE</t>
  </si>
  <si>
    <t>3100 TONGASS AVENUE</t>
  </si>
  <si>
    <t>910 COMPASSION CIRCLE</t>
  </si>
  <si>
    <t>1510 19TH AVENUE</t>
  </si>
  <si>
    <t>232 ROCKWELL AVENUE</t>
  </si>
  <si>
    <t>9100 CENTENNIAL DRIVE</t>
  </si>
  <si>
    <t>2000 SALMON CREEK LANE</t>
  </si>
  <si>
    <t>209 MOLLER AVENUE</t>
  </si>
  <si>
    <t>920 COMPASSION CIRCLE</t>
  </si>
  <si>
    <t>PO BOX 600</t>
  </si>
  <si>
    <t>7550 NORTH 16TH STREET</t>
  </si>
  <si>
    <t>2509 NORTH 24TH STREET</t>
  </si>
  <si>
    <t>2221 NORTH ROSEMONT BOULEVARD</t>
  </si>
  <si>
    <t>3293 NORTH DRINKWATER BOULEVARD</t>
  </si>
  <si>
    <t>2250 NORTH CRAYCROFT ROAD</t>
  </si>
  <si>
    <t>5545 EAST LEE STREET</t>
  </si>
  <si>
    <t>1919 WEST MEDICAL STREET</t>
  </si>
  <si>
    <t>6458 EAST BROADWAY ROAD</t>
  </si>
  <si>
    <t>13232 NORTH TATUM BLVD</t>
  </si>
  <si>
    <t>150 NORTH LA CANADA DRIVE</t>
  </si>
  <si>
    <t>2525 EAST SOUTHERN AVENUE</t>
  </si>
  <si>
    <t>3333 NORTH CIVIC CENTER PLAZA</t>
  </si>
  <si>
    <t>3339 NORTH DRINKWATER BOULEVARD</t>
  </si>
  <si>
    <t>1475 NORTH GRANITE REEF ROAD</t>
  </si>
  <si>
    <t>6651 EAST CARONDELET DRIVE</t>
  </si>
  <si>
    <t>660 SOUTH CORONADO DRIVE</t>
  </si>
  <si>
    <t>9155 NORTH THIRD STREET</t>
  </si>
  <si>
    <t>4635 NORTH 14TH STREET</t>
  </si>
  <si>
    <t>7100 EAST MESCAL STREET</t>
  </si>
  <si>
    <t>800 WEST UNIVERSITY AVENUE</t>
  </si>
  <si>
    <t>5125 NORTH 58TH AVE</t>
  </si>
  <si>
    <t>197 SOUTH WILLARD STREET</t>
  </si>
  <si>
    <t>505 JACKS CANYON ROAD</t>
  </si>
  <si>
    <t>1750 WEST FRYE ROAD</t>
  </si>
  <si>
    <t>2222 SOUTH AVENUE A</t>
  </si>
  <si>
    <t>2812 SILVER CREEK ROAD</t>
  </si>
  <si>
    <t>2900 EAST MILBER STREET</t>
  </si>
  <si>
    <t>3576 KEARSAGE DRIVE</t>
  </si>
  <si>
    <t>2121 WEST ELGIN STREET</t>
  </si>
  <si>
    <t>5121 EAST BROADWAY ROAD</t>
  </si>
  <si>
    <t>11150 NORTH 92ND STREET</t>
  </si>
  <si>
    <t>6100 SOUTH RURAL ROAD</t>
  </si>
  <si>
    <t>4202 NORTH 20TH AVENUE</t>
  </si>
  <si>
    <t>14002 WEST MEEKER BLVD</t>
  </si>
  <si>
    <t>20625 NORTH LAKE PLEASANT ROAD</t>
  </si>
  <si>
    <t>2012 WEST SOUTHERN AVE</t>
  </si>
  <si>
    <t>1045 SANDRETTO DRIVE</t>
  </si>
  <si>
    <t>6246 NORTH 19TH AVENUE</t>
  </si>
  <si>
    <t>107 EAST LONE PINE DRIVE</t>
  </si>
  <si>
    <t>86 WEST SALT MINE ROAD</t>
  </si>
  <si>
    <t>330 SOUTH PINNULE CIRCLE</t>
  </si>
  <si>
    <t>10601 WEST SANTA FE DRIVE</t>
  </si>
  <si>
    <t>16640 NORTH 38TH STREET</t>
  </si>
  <si>
    <t>13620 NORTH 55TH AVENUE</t>
  </si>
  <si>
    <t>864 DOUGHERTY STREET</t>
  </si>
  <si>
    <t>13818 NORTH THUNDERBIRD BOULEVARD</t>
  </si>
  <si>
    <t>215 SOUTH POWER ROAD</t>
  </si>
  <si>
    <t>1980 WEST PECOS ROAD</t>
  </si>
  <si>
    <t>1045 SCOTT DRIVE</t>
  </si>
  <si>
    <t>11411 NORTH 19TH AVE</t>
  </si>
  <si>
    <t>2450 SOUTH 19TH AVENUE</t>
  </si>
  <si>
    <t>807 WEST LONGHORN ROAD</t>
  </si>
  <si>
    <t>51 SOUTH 48TH STREET</t>
  </si>
  <si>
    <t>2305 EAST WILCOX DRIVE</t>
  </si>
  <si>
    <t>11527 WEST PEORIA AVE</t>
  </si>
  <si>
    <t>2401 EAST HUNT STREET</t>
  </si>
  <si>
    <t>6211 NORTH LA CHOLLA BOULEVARD</t>
  </si>
  <si>
    <t>1300  SOUTH STREET</t>
  </si>
  <si>
    <t>9494 EAST BECKER LANE</t>
  </si>
  <si>
    <t>13215 NORTH 94TH DRIVE</t>
  </si>
  <si>
    <t>6150 EAST GRANT ROAD</t>
  </si>
  <si>
    <t>4065 EAST BELL ROAD</t>
  </si>
  <si>
    <t>4310 EAST GRANT ROAD</t>
  </si>
  <si>
    <t>5830 EAST PIMA STREET</t>
  </si>
  <si>
    <t>1850 WEST 25TH STREET</t>
  </si>
  <si>
    <t>8641 NORTH 67TH AVE</t>
  </si>
  <si>
    <t>1030 SCOTT DRIVE</t>
  </si>
  <si>
    <t>4704 WEST DIANA AVENUE</t>
  </si>
  <si>
    <t>1501 EAST ORANGEWOOD AVENUE</t>
  </si>
  <si>
    <t>60 SOUTH 58TH STREET</t>
  </si>
  <si>
    <t>3705 NORTH SWAN ROAD</t>
  </si>
  <si>
    <t>350 EAST LA CANADA</t>
  </si>
  <si>
    <t>1081 KATHLEEN AVE</t>
  </si>
  <si>
    <t>5848 EAST UNIVERSITY DRIVE</t>
  </si>
  <si>
    <t>1933 PEPPERTREE DRIVE</t>
  </si>
  <si>
    <t>11812 NORTH 19TH AVE</t>
  </si>
  <si>
    <t>2001 NORTH PARK AVENUE</t>
  </si>
  <si>
    <t>1712 WEST GLENDALE AVENUE</t>
  </si>
  <si>
    <t>1400 NORTH SAN ANTONIO</t>
  </si>
  <si>
    <t>10323 WEST OLIVE AVENUE</t>
  </si>
  <si>
    <t>7970 NORTH LA CANADA DRIVE</t>
  </si>
  <si>
    <t>2611 NORTH WARREN AVENUE</t>
  </si>
  <si>
    <t>12000 NORTH 90TH STREET</t>
  </si>
  <si>
    <t>3130 EAST BROADWAY ROAD</t>
  </si>
  <si>
    <t>255 WEST BROWN ROAD</t>
  </si>
  <si>
    <t>2470 SOUTH ARIZONA AVENUE</t>
  </si>
  <si>
    <t>2500 NORTH ROSEMONT BOULEVARD</t>
  </si>
  <si>
    <t>13840 NORTH DESERT HARBOR DRIVE</t>
  </si>
  <si>
    <t>2211 EAST SOUTHERN AVENUE</t>
  </si>
  <si>
    <t>7255 EAST BROADWAY ROAD</t>
  </si>
  <si>
    <t>850 SOUTH HIGHWAY 80</t>
  </si>
  <si>
    <t>PO BOX 2187</t>
  </si>
  <si>
    <t>2620 NORTH 68TH STREET</t>
  </si>
  <si>
    <t>9940 WEST UNION HILLS DRIVE</t>
  </si>
  <si>
    <t>17300 NORTH 88TH AVE</t>
  </si>
  <si>
    <t>1313 WEST MAGEE ROAD</t>
  </si>
  <si>
    <t>1100 MONROE STREET</t>
  </si>
  <si>
    <t>4141 NORTH S HERRERA WAY</t>
  </si>
  <si>
    <t>2781 OSBORN DRIVE</t>
  </si>
  <si>
    <t>8008 S.  JESSE OWENS PARKWAY</t>
  </si>
  <si>
    <t>12215 WEST BELL ROAD</t>
  </si>
  <si>
    <t>3380 NORTH WINDSONG DRIVE</t>
  </si>
  <si>
    <t>12207 NORTH 113TH AVENUE</t>
  </si>
  <si>
    <t>3131 WESTERN AVENUE</t>
  </si>
  <si>
    <t>11301 NORTH 99TH AVENUE</t>
  </si>
  <si>
    <t>2555 NORTH PRICE ROAD</t>
  </si>
  <si>
    <t>7500 NORTH CALLE SIN ENVIDIA</t>
  </si>
  <si>
    <t>826 WEST DESMOND STREET</t>
  </si>
  <si>
    <t>13575 WEST MCDOWELL ROAD</t>
  </si>
  <si>
    <t>13714 NORTH PLAZA DEL RIO BLVD</t>
  </si>
  <si>
    <t>3150 NORTH WINDING BROOK ROAD</t>
  </si>
  <si>
    <t>6001 EAST THOMAS ROAD</t>
  </si>
  <si>
    <t>16455 EAST AVENUE OF THE FOUNTAINS</t>
  </si>
  <si>
    <t>17225 NORTH BOSWELL BOULEVARD</t>
  </si>
  <si>
    <t>1099 SUNRISE AVENUE</t>
  </si>
  <si>
    <t>HCO 1 BOX 9100</t>
  </si>
  <si>
    <t>14260 SOUTH DENNY BOULEVARD</t>
  </si>
  <si>
    <t>14505 WEST GRANITE VALLEY DRIVE</t>
  </si>
  <si>
    <t>5755 EAST MAIN STREET</t>
  </si>
  <si>
    <t>2150 SILVER CREEK ROAD</t>
  </si>
  <si>
    <t>9846 NORTH 95TH STREET</t>
  </si>
  <si>
    <t>15810 SOUTH 42ND STREET</t>
  </si>
  <si>
    <t>7501 EAST THOMPSON PEAK PARKWAY</t>
  </si>
  <si>
    <t>13500 NORTH RANCHO VISTOSO BLVD</t>
  </si>
  <si>
    <t>16825 NORTH 63RD AVENUE</t>
  </si>
  <si>
    <t>161 WEST RODEO ROAD</t>
  </si>
  <si>
    <t>3401 NORTH LOCKWOOD DRIVE</t>
  </si>
  <si>
    <t>4555 EAST MAYO BLVD</t>
  </si>
  <si>
    <t>5358 EAST BASELINE ROAD</t>
  </si>
  <si>
    <t>22605 NORTH 74TH STREET</t>
  </si>
  <si>
    <t>14775 WEST YORKSHIRE DRIVE</t>
  </si>
  <si>
    <t>825 SOUTH 94TH STREET</t>
  </si>
  <si>
    <t>555 EAST AJO WAY</t>
  </si>
  <si>
    <t>3319 SOUTH MERCY ROAD</t>
  </si>
  <si>
    <t>17490 NORTH 93RD STREET</t>
  </si>
  <si>
    <t>1811  MESQUITE AVE</t>
  </si>
  <si>
    <t>1119 EAST RANCHO VISTOSO BLVD</t>
  </si>
  <si>
    <t>7201 W CAMINO SAN XAVIER AVE</t>
  </si>
  <si>
    <t>719 DETROIT STREET</t>
  </si>
  <si>
    <t>311 NORTH MORROW STREET</t>
  </si>
  <si>
    <t>1601 NEWCASTLE ROAD</t>
  </si>
  <si>
    <t>900 WEST KINGSHIGHWAY</t>
  </si>
  <si>
    <t>2801 MEDICAL CENTER DRIVE</t>
  </si>
  <si>
    <t>638 CALIFORNIA AVENUE</t>
  </si>
  <si>
    <t>778 SCOGIN DRIVE</t>
  </si>
  <si>
    <t>101 HOSPITAL DRIVE</t>
  </si>
  <si>
    <t>1703 NORTH BUERKLE ST</t>
  </si>
  <si>
    <t>1149 WEST NEW HOPE ROAD</t>
  </si>
  <si>
    <t>552 GOLF LINKS ROAD</t>
  </si>
  <si>
    <t>1923 EAST JOYCE BLVD</t>
  </si>
  <si>
    <t>1705 LATOURETTE DRIVE</t>
  </si>
  <si>
    <t>2642 NORTH DUDNEY ROAD</t>
  </si>
  <si>
    <t>228 POINTER TRAIL WEST</t>
  </si>
  <si>
    <t>700 MARK DRIVE</t>
  </si>
  <si>
    <t>1205 SKYLINE DRIVE</t>
  </si>
  <si>
    <t>1401 PARK AVENUE</t>
  </si>
  <si>
    <t>7 PROFESSIONAL DRIVE</t>
  </si>
  <si>
    <t>1203 SOUTH BEND DRIVE</t>
  </si>
  <si>
    <t>1710 HARRISON STREET</t>
  </si>
  <si>
    <t>706 OAK GROVE ST</t>
  </si>
  <si>
    <t>1000 BROOKRIDGE LANE</t>
  </si>
  <si>
    <t>442 TAYLOR CIRCLE</t>
  </si>
  <si>
    <t># 12 HOSPITAL DRIVE</t>
  </si>
  <si>
    <t>1500 WEST MAIN</t>
  </si>
  <si>
    <t>265 DAVE CREEK PARKWAY</t>
  </si>
  <si>
    <t>66 OZBIRN LANE</t>
  </si>
  <si>
    <t>1100 EAST MARTIN DRIVE</t>
  </si>
  <si>
    <t>1040 WEDDINGFORD RD</t>
  </si>
  <si>
    <t>1100 PINE TREE LANE</t>
  </si>
  <si>
    <t>505 EAST VICTORY</t>
  </si>
  <si>
    <t>400 ARKANSAS STREET</t>
  </si>
  <si>
    <t>102 NORTH GUTENSOHN</t>
  </si>
  <si>
    <t>1451 EAST POPLAR STREET</t>
  </si>
  <si>
    <t>1800 LINWOOD DRIVE</t>
  </si>
  <si>
    <t>702 WEST GAINES ST</t>
  </si>
  <si>
    <t>1875 OLD WIRE ROAD</t>
  </si>
  <si>
    <t>1194 N CHESTER ST</t>
  </si>
  <si>
    <t>1325 LIBERTY DRIVE</t>
  </si>
  <si>
    <t>450 SO NINTH ST</t>
  </si>
  <si>
    <t>1407 NORTH MAIN STREET</t>
  </si>
  <si>
    <t>700 MANOR DRIVE</t>
  </si>
  <si>
    <t>2415 W HILLSBORO</t>
  </si>
  <si>
    <t>2401 CHRISTINA LANE</t>
  </si>
  <si>
    <t>903 BORGOGNONI DRIVE</t>
  </si>
  <si>
    <t>26 WARNOCK SPRINGS ROAD</t>
  </si>
  <si>
    <t>900 MAGNOLIA RD</t>
  </si>
  <si>
    <t>1101 WATERWELL RD</t>
  </si>
  <si>
    <t>121 CORTEZ RD</t>
  </si>
  <si>
    <t>202 TIMS AVENUE</t>
  </si>
  <si>
    <t>1100 EAST 36TH STREET</t>
  </si>
  <si>
    <t>800 WEST BROADWAY</t>
  </si>
  <si>
    <t>400 SOUTHRIDGE PARKWAY</t>
  </si>
  <si>
    <t>115 ORENDORFF AVENUE</t>
  </si>
  <si>
    <t>9601 INTERSTATE 630 EXIT 7</t>
  </si>
  <si>
    <t>19701 INTERSTATE 30</t>
  </si>
  <si>
    <t>1440 EAST CHURCH</t>
  </si>
  <si>
    <t>2323 MCCAIN BOULEVARD</t>
  </si>
  <si>
    <t>1975 WHITE DRIVE</t>
  </si>
  <si>
    <t>1411 COUNTRY CLUB ROAD</t>
  </si>
  <si>
    <t>200 NORTH PORT DRIVE</t>
  </si>
  <si>
    <t>2500 EAST MOORE AVENUE</t>
  </si>
  <si>
    <t>2107 DUDLEY STREET</t>
  </si>
  <si>
    <t>1513 SOUTH DIXIELAND RD</t>
  </si>
  <si>
    <t>700 N. COLLEGE AVENUE</t>
  </si>
  <si>
    <t>3021 TWIN RIVERS DRIVE</t>
  </si>
  <si>
    <t>610 SOUTH AVALON ST</t>
  </si>
  <si>
    <t>203 COTTER ROAD</t>
  </si>
  <si>
    <t>500 KITTEL RD</t>
  </si>
  <si>
    <t>3100 OLD MISSOURI RD</t>
  </si>
  <si>
    <t>116 NOVEMBER DRIVE</t>
  </si>
  <si>
    <t>139 HIGHWAY 64 WEST</t>
  </si>
  <si>
    <t>950 HOMESTEAD</t>
  </si>
  <si>
    <t>200 S MAPLE STREET</t>
  </si>
  <si>
    <t>100 9TH STREET</t>
  </si>
  <si>
    <t>826 NORTH STREET</t>
  </si>
  <si>
    <t>610 CARPENTER DAM RD</t>
  </si>
  <si>
    <t>2216 WEST MAIN STREET</t>
  </si>
  <si>
    <t>1052 OLD WARREN ROAD</t>
  </si>
  <si>
    <t>1621 EAST 42ND ST</t>
  </si>
  <si>
    <t>235 HUNTSVILLE ROAD</t>
  </si>
  <si>
    <t>524 CARPENTER DAM ROAD</t>
  </si>
  <si>
    <t>162 HWY 32-2A</t>
  </si>
  <si>
    <t>2603 DAVE WARD DRIVE</t>
  </si>
  <si>
    <t>1321 SCENIC DRIVE</t>
  </si>
  <si>
    <t>400 NORTH VANCOUVER AVENUE</t>
  </si>
  <si>
    <t>624 HWY 62/412 WEST</t>
  </si>
  <si>
    <t>300 GOOD SAMARITAN DRIVE</t>
  </si>
  <si>
    <t>1208 HIGHWAY 7 NORTH</t>
  </si>
  <si>
    <t>113 SOUTH BRIARWOOD DRIVE</t>
  </si>
  <si>
    <t>8701 RILEY DRIVE</t>
  </si>
  <si>
    <t>741 SOUTH DRIVE</t>
  </si>
  <si>
    <t>3310 NORTH 50TH STREET</t>
  </si>
  <si>
    <t>1404 NORTH 28TH STREET</t>
  </si>
  <si>
    <t>702 NO DREW ST</t>
  </si>
  <si>
    <t>105 RUSSELLVILLE ROAD</t>
  </si>
  <si>
    <t>501 HUDSON ST</t>
  </si>
  <si>
    <t>1700 EAST SHORT HILLSBORO</t>
  </si>
  <si>
    <t>6301 SOUTH  HAZEL</t>
  </si>
  <si>
    <t>6152 HIGHWAY 202 EAST</t>
  </si>
  <si>
    <t>105 COUNTRY CLUB ROAD</t>
  </si>
  <si>
    <t>322 WEST COLLIN RAYE DRIVE</t>
  </si>
  <si>
    <t>3115 S BOWMAN ROAD</t>
  </si>
  <si>
    <t>1501 LINCOLN STREET</t>
  </si>
  <si>
    <t>2199 STATE HWY 7 NORTH</t>
  </si>
  <si>
    <t>500 HAMMOND AVENUE</t>
  </si>
  <si>
    <t>814 NORTH DAVIS STREET</t>
  </si>
  <si>
    <t>1414 S ELM ST</t>
  </si>
  <si>
    <t>150 MORTON AVENUE</t>
  </si>
  <si>
    <t>301 SOUTH 24TH STREET</t>
  </si>
  <si>
    <t>707 WEST 20TH STREET</t>
  </si>
  <si>
    <t>709 MCAFEE LANE</t>
  </si>
  <si>
    <t>22515 I 30</t>
  </si>
  <si>
    <t>1421 WEST SECOND ST NORTH</t>
  </si>
  <si>
    <t>1600 WEST 40TH AVENUE</t>
  </si>
  <si>
    <t>1175 MORNINGSIDE DRIVE</t>
  </si>
  <si>
    <t>6811 SOUTH HAZEL STREET</t>
  </si>
  <si>
    <t>669 HWY 139 NORTH</t>
  </si>
  <si>
    <t>3501 COLLEGE AVENUE</t>
  </si>
  <si>
    <t>1010 BARNES STREET</t>
  </si>
  <si>
    <t>1207 WILLOW RUN ROAD</t>
  </si>
  <si>
    <t>2800 NEELEY ST</t>
  </si>
  <si>
    <t>1001 EAST PARK STREET</t>
  </si>
  <si>
    <t>2911 BROWNS LANE</t>
  </si>
  <si>
    <t>1506 EAST MAIN STREET</t>
  </si>
  <si>
    <t>1311 NORTH PECAN ST</t>
  </si>
  <si>
    <t>2010 MAIN STREET</t>
  </si>
  <si>
    <t>5504 E JOHNSON AVE</t>
  </si>
  <si>
    <t>333 MELODY DRIVE</t>
  </si>
  <si>
    <t>326 LINDLEY LANE</t>
  </si>
  <si>
    <t>400 WEST 23RD STREET</t>
  </si>
  <si>
    <t>138 BRIGHTON TERRACE</t>
  </si>
  <si>
    <t>605 NORTHWEST 7TH STREET</t>
  </si>
  <si>
    <t>215 SOUTH PORTLAND AVENUE</t>
  </si>
  <si>
    <t>825 NORTH GASKILL</t>
  </si>
  <si>
    <t>810 NORTH 8TH ST</t>
  </si>
  <si>
    <t>3001 ALDERSGATE ROAD</t>
  </si>
  <si>
    <t>5301 WHEELER AVENUE</t>
  </si>
  <si>
    <t>402 S ARKANSAS AVENUE</t>
  </si>
  <si>
    <t>365 ALPHA STREET</t>
  </si>
  <si>
    <t>2701 TWIN RIVERS DRIVE</t>
  </si>
  <si>
    <t>804 BURNETT DRIVE</t>
  </si>
  <si>
    <t>916 HIGHWAY 62/412</t>
  </si>
  <si>
    <t>942 NORTH HIGHWAY 65</t>
  </si>
  <si>
    <t>8411 SOUTH 28TH STREET</t>
  </si>
  <si>
    <t>811 WEST ELGIN STREET</t>
  </si>
  <si>
    <t>3600 RICHARDS ROAD</t>
  </si>
  <si>
    <t>306 HORNBECK</t>
  </si>
  <si>
    <t>1516 SOUTH CUMBERLAND ST</t>
  </si>
  <si>
    <t>224 SOUTH MAIN STREET</t>
  </si>
  <si>
    <t>4500 OLD GREENWOOD RD</t>
  </si>
  <si>
    <t>4623 ROGERS AVENUE</t>
  </si>
  <si>
    <t>1605 SOUTH MADISON ST</t>
  </si>
  <si>
    <t>710 NO RUDDLE</t>
  </si>
  <si>
    <t>2455 LOWELL ROAD</t>
  </si>
  <si>
    <t>1680 BATESVILLE BOULEVARD</t>
  </si>
  <si>
    <t>401 HEATHER LANE</t>
  </si>
  <si>
    <t>802 S WEST END STREET</t>
  </si>
  <si>
    <t>9209 DOLLARWAY ROAD</t>
  </si>
  <si>
    <t>1202 S E 30TH STREET</t>
  </si>
  <si>
    <t>519 DONOVAN BRILEY BLVD.</t>
  </si>
  <si>
    <t>245 INDIAN BAY DRIVE</t>
  </si>
  <si>
    <t>701 SOUTH MAIN STREET</t>
  </si>
  <si>
    <t>1320 WEST BRADEN STREET</t>
  </si>
  <si>
    <t>6810 SOUTH HAZEL</t>
  </si>
  <si>
    <t>3010 MIDDLEFIELD DRIVE</t>
  </si>
  <si>
    <t>#16 WILSON FARM ROAD</t>
  </si>
  <si>
    <t>1901 SOUTH LAUREL STREET</t>
  </si>
  <si>
    <t>1369 WEST 6TH STREET</t>
  </si>
  <si>
    <t>204 CATHERINE ST</t>
  </si>
  <si>
    <t>2501 JOHN ASHLEY DRIVE</t>
  </si>
  <si>
    <t>600 NORTH 12TH ST</t>
  </si>
  <si>
    <t>516 SOUTH RODNEY PARHAM ROAD</t>
  </si>
  <si>
    <t>12111 HINSON RD</t>
  </si>
  <si>
    <t>33904 HIGHWAY 63 E</t>
  </si>
  <si>
    <t>804 N 2ND ST</t>
  </si>
  <si>
    <t>1820 WEST MOLINE STREET</t>
  </si>
  <si>
    <t>1023 HIGHWAY 119</t>
  </si>
  <si>
    <t>1400 HWY 79/167 BYPASS</t>
  </si>
  <si>
    <t>27 E APPLEBY ROAD</t>
  </si>
  <si>
    <t>3300 MILITARY RD</t>
  </si>
  <si>
    <t>800 BROOKSIDE DRIVE</t>
  </si>
  <si>
    <t>1569 AR HIGHWAY 56</t>
  </si>
  <si>
    <t>670 ROGERS ROAD</t>
  </si>
  <si>
    <t>615 MOUNTAIN VIEW ROAD</t>
  </si>
  <si>
    <t>260 LAKEPARK DRIVE</t>
  </si>
  <si>
    <t>620 HOSPITAL DRIVE</t>
  </si>
  <si>
    <t>6456 LYNCH'S PRAIRIE COVE</t>
  </si>
  <si>
    <t>3300 ALCOA ROAD</t>
  </si>
  <si>
    <t>621 SOUTH MOCK STREET</t>
  </si>
  <si>
    <t>900 WEST 12TH ST</t>
  </si>
  <si>
    <t>506 NORTH LONG AVENUE</t>
  </si>
  <si>
    <t>101 BROUGHAM AVENUE</t>
  </si>
  <si>
    <t>1915 SOUTH 74TH ST</t>
  </si>
  <si>
    <t>2500 HIGHWAY 65 SOUTH</t>
  </si>
  <si>
    <t>2002 TIMBERWOOD ROAD</t>
  </si>
  <si>
    <t>1179 NORTH COLLEGE AVENUE</t>
  </si>
  <si>
    <t>101 CYNTHIA</t>
  </si>
  <si>
    <t>318 STROZIER LANE</t>
  </si>
  <si>
    <t>2600 N 22ND STREET</t>
  </si>
  <si>
    <t>103 ALEXANDRIA DRIVE</t>
  </si>
  <si>
    <t>2402 COUNTRY CLUB ROAD</t>
  </si>
  <si>
    <t>4017 FRANKLIN</t>
  </si>
  <si>
    <t>1092 WEST STULTZ ROAD</t>
  </si>
  <si>
    <t>1393 E DON TYSON PARKWAY</t>
  </si>
  <si>
    <t>1214 NORTH MAIN</t>
  </si>
  <si>
    <t>6411 VALLEY RANCH DR</t>
  </si>
  <si>
    <t>2600 JOHN BARROW ROAD</t>
  </si>
  <si>
    <t>831 NORTH MISSOURI</t>
  </si>
  <si>
    <t>4405 WEST PERSIMMON STREET</t>
  </si>
  <si>
    <t>2001 HAMPTON PLACE</t>
  </si>
  <si>
    <t>500 BROOKSIDE DRIVE</t>
  </si>
  <si>
    <t>118 JERRY SELBY DRIVE</t>
  </si>
  <si>
    <t>6400 TRINITY DRIVE</t>
  </si>
  <si>
    <t>700 MOODY STREET</t>
  </si>
  <si>
    <t>287 SOUTH COUNTRY CLUB ROAD</t>
  </si>
  <si>
    <t>1111 MAPLEWOOD RD</t>
  </si>
  <si>
    <t>400 STUTTGART HIGHWAY</t>
  </si>
  <si>
    <t>500 CAMP ROAD</t>
  </si>
  <si>
    <t>120 PITTMAN ROAD</t>
  </si>
  <si>
    <t>2821 W DIXON RD</t>
  </si>
  <si>
    <t>226 SKYLER DRIVE</t>
  </si>
  <si>
    <t>502 WEST PENNINGTON</t>
  </si>
  <si>
    <t>700 WEST CHESTNUT</t>
  </si>
  <si>
    <t>5720 WEST MARKHAM STREET</t>
  </si>
  <si>
    <t>620 NORTH PANTHER AVENUE</t>
  </si>
  <si>
    <t>1051 WEST FREE STREET</t>
  </si>
  <si>
    <t>121 SPRING VALLEY ROAD</t>
  </si>
  <si>
    <t>501 W 10TH</t>
  </si>
  <si>
    <t>#3 CHENAL HEIGHTS DRIVE</t>
  </si>
  <si>
    <t>6907 HIGHWAY 5 NORTH</t>
  </si>
  <si>
    <t>300 CANAL STREET</t>
  </si>
  <si>
    <t>1000 GREENLEY ROAD</t>
  </si>
  <si>
    <t>199 EAST WEBSTER ST</t>
  </si>
  <si>
    <t>1620 WEST FERN AVENUE</t>
  </si>
  <si>
    <t>11723 FENTON AVENUE</t>
  </si>
  <si>
    <t>2353 TWENTY-THIRD ST</t>
  </si>
  <si>
    <t>1611 SCENIC DRIVE</t>
  </si>
  <si>
    <t>18855 VICTORY BL</t>
  </si>
  <si>
    <t>1255 TRAVIS BLVD</t>
  </si>
  <si>
    <t>900 E. HARRISON AVE</t>
  </si>
  <si>
    <t>2990 SOQUEL AVENUE</t>
  </si>
  <si>
    <t>2929 THERESA DR</t>
  </si>
  <si>
    <t>931 IDAHO AVE.</t>
  </si>
  <si>
    <t>20820 EARL STREET</t>
  </si>
  <si>
    <t>2625 S. MAPLE AVE.</t>
  </si>
  <si>
    <t>1630 N. EDISON STREET</t>
  </si>
  <si>
    <t>2725 PACIFIC AVENUE</t>
  </si>
  <si>
    <t>9020 GARFIELD STREET</t>
  </si>
  <si>
    <t>8203 TELEGRAPH RD</t>
  </si>
  <si>
    <t>1010 VENTURA AVENUE</t>
  </si>
  <si>
    <t>1625 OAK PARK BOULEVARD</t>
  </si>
  <si>
    <t>3615 E. IMPERIAL HIWY</t>
  </si>
  <si>
    <t>126 N. SAN GABRIEL BLVD.</t>
  </si>
  <si>
    <t>1010 1ST STREET</t>
  </si>
  <si>
    <t>12121 SANTA MONICA BOULEVARD</t>
  </si>
  <si>
    <t>1391 MADISON AVENUE</t>
  </si>
  <si>
    <t>1401 SOUTH GRAND AVE</t>
  </si>
  <si>
    <t>201 N FIG STREET</t>
  </si>
  <si>
    <t>1416 WEST 6TH STREET</t>
  </si>
  <si>
    <t>1140 WEST ROSECRANS AVENUE</t>
  </si>
  <si>
    <t>233 PROSPECT PLACE</t>
  </si>
  <si>
    <t>14973 HESPERIA ROAD</t>
  </si>
  <si>
    <t>1730 GRAND AVE</t>
  </si>
  <si>
    <t>7760 PARKWAY DRIVE</t>
  </si>
  <si>
    <t>1425 WOODSIDE DR</t>
  </si>
  <si>
    <t>2649 WEST TOPEKA AVENUE</t>
  </si>
  <si>
    <t>348 RHEEM BOULEVARD</t>
  </si>
  <si>
    <t>1220 PLUMAS ST</t>
  </si>
  <si>
    <t>1220 SOUTH ELISEO DRIVE</t>
  </si>
  <si>
    <t>1900 CHURCH LANE</t>
  </si>
  <si>
    <t>2720 NEVADA AVENUE</t>
  </si>
  <si>
    <t>909 W. SANTA ANITA STREET</t>
  </si>
  <si>
    <t>1475 BANCROFT AVENUE</t>
  </si>
  <si>
    <t>675 24TH AVENUE</t>
  </si>
  <si>
    <t>5310 FOUNTAIN AVE</t>
  </si>
  <si>
    <t>7800 PARKWAY DRIVE</t>
  </si>
  <si>
    <t>573 S. BOYLE AVE.</t>
  </si>
  <si>
    <t>751 SAN PEDRO TERRACE ROAD</t>
  </si>
  <si>
    <t>6070 W. PICO BOULEVARD</t>
  </si>
  <si>
    <t>466 FLAGSHIP ROAD</t>
  </si>
  <si>
    <t>3294 SANTA FE AVENUE</t>
  </si>
  <si>
    <t>2351 S TOWNE AVENUE</t>
  </si>
  <si>
    <t>12000 MT VERNON AVENUE</t>
  </si>
  <si>
    <t>2123 VERDUGO BLVD.</t>
  </si>
  <si>
    <t>1623 ARIZONA AVENUE</t>
  </si>
  <si>
    <t>819 BUENA VISTA ST.</t>
  </si>
  <si>
    <t>11900 RAMONA BOULEVARD</t>
  </si>
  <si>
    <t>17922 SAN FERNANDO MISSION RD</t>
  </si>
  <si>
    <t>7660 WYNGATE ST</t>
  </si>
  <si>
    <t>517 SOUTH A STREET</t>
  </si>
  <si>
    <t>3806 CLAYTON ROAD</t>
  </si>
  <si>
    <t>1035 W BEVERLY BLVD</t>
  </si>
  <si>
    <t>1330 17TH STREET</t>
  </si>
  <si>
    <t>100 BAY PLACE</t>
  </si>
  <si>
    <t>975 NORTH VIRGIL AVENUE</t>
  </si>
  <si>
    <t>5916 W. PICO BOULEVARD</t>
  </si>
  <si>
    <t>909 LUCILE AVE.</t>
  </si>
  <si>
    <t>416 N GARFIELD AVE</t>
  </si>
  <si>
    <t>4585 N. FIGUEROA ST.</t>
  </si>
  <si>
    <t>1037 W. VERNON AVENUE</t>
  </si>
  <si>
    <t>7931 S. SORENSON AVE.</t>
  </si>
  <si>
    <t>302 SILVER AVE</t>
  </si>
  <si>
    <t>9140 VERNER STREET</t>
  </si>
  <si>
    <t>510 MILL STREET</t>
  </si>
  <si>
    <t>1575 7TH AVENUE</t>
  </si>
  <si>
    <t>8035 E HILL DRIVE</t>
  </si>
  <si>
    <t>8351 BROADWAY</t>
  </si>
  <si>
    <t>25271 BARTON ROAD</t>
  </si>
  <si>
    <t>1310 WEST GRANGER</t>
  </si>
  <si>
    <t>14475 GARDEN VIEW LANE</t>
  </si>
  <si>
    <t>2620 FLORES STREET</t>
  </si>
  <si>
    <t>1260 TRAVIS BLVD</t>
  </si>
  <si>
    <t>1700 HOWARD ROAD</t>
  </si>
  <si>
    <t>10425 MAGNOLIA BLVD</t>
  </si>
  <si>
    <t>10664 ST. JAMES DRIVE</t>
  </si>
  <si>
    <t>3034 E HERNDON</t>
  </si>
  <si>
    <t>4545 SHELLEY COURT</t>
  </si>
  <si>
    <t>4096 EASY STREET</t>
  </si>
  <si>
    <t>1428 S. MARENGO AVE.</t>
  </si>
  <si>
    <t>3510 EAST SHIELDS</t>
  </si>
  <si>
    <t>1209 HEMLOCK WAY</t>
  </si>
  <si>
    <t>6400 PURDUE DRIVE</t>
  </si>
  <si>
    <t>373 PINE LANE</t>
  </si>
  <si>
    <t>1002 W. FREMONT AVENUE</t>
  </si>
  <si>
    <t>76 FENTON STREET</t>
  </si>
  <si>
    <t>1471 S RIVERSIDE</t>
  </si>
  <si>
    <t>3030 WEBSTER STREET</t>
  </si>
  <si>
    <t>1527 SPRINGS ROAD</t>
  </si>
  <si>
    <t>275 NORTH SAN JACINTO STREET</t>
  </si>
  <si>
    <t>340 VICTORIA STREET</t>
  </si>
  <si>
    <t>20259 LAKE CHABOT ROAD</t>
  </si>
  <si>
    <t>535 AUTO CENTER DRIVE</t>
  </si>
  <si>
    <t>3318 WILLOW PASS ROAD</t>
  </si>
  <si>
    <t>950 S. FAIRMONT AVENUE</t>
  </si>
  <si>
    <t>215 W PEARL ST</t>
  </si>
  <si>
    <t>510 WEST 26TH STREET</t>
  </si>
  <si>
    <t>920 WEST LA VETA STREET</t>
  </si>
  <si>
    <t>2468 SOUTH ST ANDREWS PLACE</t>
  </si>
  <si>
    <t>1400 CIRCLE CITY DRIVE</t>
  </si>
  <si>
    <t>216 N THIRD STREET</t>
  </si>
  <si>
    <t>3003 N MARIPOSA</t>
  </si>
  <si>
    <t>1220 E. HUNTINGTON DRIVE</t>
  </si>
  <si>
    <t>721 W HARRISON ST</t>
  </si>
  <si>
    <t>1955 W. LOMITA BLVD</t>
  </si>
  <si>
    <t>678 2ND STREET WEST</t>
  </si>
  <si>
    <t>2424 M STREET</t>
  </si>
  <si>
    <t>2400 PARKSIDE DRIVE</t>
  </si>
  <si>
    <t>1355 ELLIS STREET</t>
  </si>
  <si>
    <t>651 N MAIN ST</t>
  </si>
  <si>
    <t>7675 FAMILY CIRCLE DRIVE</t>
  </si>
  <si>
    <t>13400 SHERMAN WAY</t>
  </si>
  <si>
    <t>430 N.GLENDALE AVE</t>
  </si>
  <si>
    <t>321 WEST TURNER ROAD</t>
  </si>
  <si>
    <t>1919 CUTTING BLVD</t>
  </si>
  <si>
    <t>5522 GRACEWOOD AVE.</t>
  </si>
  <si>
    <t>1090 RIO LANE</t>
  </si>
  <si>
    <t>10625 LEFFINGWELL ROAD</t>
  </si>
  <si>
    <t>325 POTTER STREET</t>
  </si>
  <si>
    <t>25383 COLE STREET</t>
  </si>
  <si>
    <t>651 SINEX  AVENUE</t>
  </si>
  <si>
    <t>1221 ROSEMARIE LANE</t>
  </si>
  <si>
    <t>4700 ELVAS AVE</t>
  </si>
  <si>
    <t>1642 WEST AVENUE J</t>
  </si>
  <si>
    <t>9461 BATEY AVENUE</t>
  </si>
  <si>
    <t>234 N. SAN PEDRO RD</t>
  </si>
  <si>
    <t>315 ALAMEDA AVENUE</t>
  </si>
  <si>
    <t>1949 GRANT ROAD</t>
  </si>
  <si>
    <t>2530 SOLACE PLACE</t>
  </si>
  <si>
    <t>2065 FOREST AVENUE</t>
  </si>
  <si>
    <t>3202 DUKE STREET</t>
  </si>
  <si>
    <t>5602 UNIVERSITY AVE</t>
  </si>
  <si>
    <t>723 E 9TH STREET</t>
  </si>
  <si>
    <t>2210 E. FIRST STREET</t>
  </si>
  <si>
    <t>1601 5TH AVENUE</t>
  </si>
  <si>
    <t>2211 HARRISON AVENUE</t>
  </si>
  <si>
    <t>3232 THUNDER DRIVE</t>
  </si>
  <si>
    <t>1832 B STREET</t>
  </si>
  <si>
    <t>716 SOUTH FAIR OAKS AVE</t>
  </si>
  <si>
    <t>93 W AVENIDA DE LOS ARBOLES</t>
  </si>
  <si>
    <t>590 S. INDIAN HILL BLVD.</t>
  </si>
  <si>
    <t>4035 GRANDVIEW BLVD.</t>
  </si>
  <si>
    <t>4029 EAST ANAHEIM STREET</t>
  </si>
  <si>
    <t>111 THIRD AVENUE</t>
  </si>
  <si>
    <t>200 LIGHTHOUSE AVENUE</t>
  </si>
  <si>
    <t>9166 TUJUNGA CANYON BLVD</t>
  </si>
  <si>
    <t>3662 PACIFIC AVENUE</t>
  </si>
  <si>
    <t>3401 CEDAR AVENUE</t>
  </si>
  <si>
    <t>615 W. DUARTE RD.</t>
  </si>
  <si>
    <t>3111 SANTA ANITA AVE</t>
  </si>
  <si>
    <t>1221 EAST ARROW HWY</t>
  </si>
  <si>
    <t>400 W. HUNTINTON DR.</t>
  </si>
  <si>
    <t>2625 EAST FOURTH STREET</t>
  </si>
  <si>
    <t>75 N. 13TH STREET</t>
  </si>
  <si>
    <t>219 E. FOOTHILL BLVD</t>
  </si>
  <si>
    <t>461 E. JOHNSTON AVENUE</t>
  </si>
  <si>
    <t>2540 CARMICHAEL WAY</t>
  </si>
  <si>
    <t>22590 VOSS AVENUE</t>
  </si>
  <si>
    <t>4070 JURUPA AVENUE</t>
  </si>
  <si>
    <t>361 E. GRANGEVILLE BLVD</t>
  </si>
  <si>
    <t>101 S ORCHARD AVE</t>
  </si>
  <si>
    <t>3500 FOLSOM BOULEVARD</t>
  </si>
  <si>
    <t>2113 E. MANNING AVENUE</t>
  </si>
  <si>
    <t>10426 BOGARDUS AVE</t>
  </si>
  <si>
    <t>1628 B STREET</t>
  </si>
  <si>
    <t>20400 SARATOGA-LOS GATOS RD</t>
  </si>
  <si>
    <t>124 WALNUT STREET</t>
  </si>
  <si>
    <t>115 BRIDGE ST.</t>
  </si>
  <si>
    <t>7057 SHOUP AVE</t>
  </si>
  <si>
    <t>260 RACETRACK STREET</t>
  </si>
  <si>
    <t>1730 SOUTH COLLEGE AVE.</t>
  </si>
  <si>
    <t>261 W. BADILLO STREET</t>
  </si>
  <si>
    <t>1306 EAST SUMNER AVENUE</t>
  </si>
  <si>
    <t>12627 STUDEBAKER ROAD</t>
  </si>
  <si>
    <t>1440 S EUCLID AVENUE</t>
  </si>
  <si>
    <t>911 SUNSET DRIVE</t>
  </si>
  <si>
    <t>2637 E. WASHINTON BLVD</t>
  </si>
  <si>
    <t>501 PORTOLA ROAD</t>
  </si>
  <si>
    <t>1516 SAWTELLE BLVD.</t>
  </si>
  <si>
    <t>8133 MAGNOLIA AVENUE</t>
  </si>
  <si>
    <t>812 WEST MAIN STREET</t>
  </si>
  <si>
    <t>7025 CORLINE COURT</t>
  </si>
  <si>
    <t>120 BELLEFONTAINE STREET</t>
  </si>
  <si>
    <t>800 SO. HAM LANE</t>
  </si>
  <si>
    <t>3780 MASSACHUSETTS AVENUE</t>
  </si>
  <si>
    <t>1795 WALNUT STREET</t>
  </si>
  <si>
    <t>310 OAK RIDGE DRIVE</t>
  </si>
  <si>
    <t>2600 L STREET</t>
  </si>
  <si>
    <t>1633 CYPRESS LANE</t>
  </si>
  <si>
    <t>1040 MARSHALL WAY</t>
  </si>
  <si>
    <t>625 16TH STREET</t>
  </si>
  <si>
    <t>1025 W. SECOND AVENUE</t>
  </si>
  <si>
    <t>3515 OVERLAND AVENUE</t>
  </si>
  <si>
    <t>3022 45TH STREET</t>
  </si>
  <si>
    <t>8336 FAIR OAKS BOULEVARD</t>
  </si>
  <si>
    <t>4075 54TH ST.</t>
  </si>
  <si>
    <t>1836 GOLD STREET</t>
  </si>
  <si>
    <t>107 CATHERINE LANE</t>
  </si>
  <si>
    <t>188 COHASSET LANE</t>
  </si>
  <si>
    <t>14966 TERRENO DE FLORES LANE</t>
  </si>
  <si>
    <t>1555 SUPERIOR AVENUE</t>
  </si>
  <si>
    <t>13007 S. PARAMOUNT BLVD.</t>
  </si>
  <si>
    <t>250 N. VERDUGO ROAD</t>
  </si>
  <si>
    <t>1900 S LONGWOOD AVE</t>
  </si>
  <si>
    <t>100 S. HILLCREST BLVD</t>
  </si>
  <si>
    <t>1430 WEST  6TH STREET</t>
  </si>
  <si>
    <t>22520 MAPLE AVENUE</t>
  </si>
  <si>
    <t>4000 CAMINO TASSAJARA</t>
  </si>
  <si>
    <t>420 SOUTH BONNIE BRAE ST.</t>
  </si>
  <si>
    <t>11614 E. 183RD ST</t>
  </si>
  <si>
    <t>1320 20TH STREET</t>
  </si>
  <si>
    <t>1340 S. HIGHLAND AVE.</t>
  </si>
  <si>
    <t>8487 MAGNOLIA AVENUE</t>
  </si>
  <si>
    <t>519 W. BADILLO ST.</t>
  </si>
  <si>
    <t>2585 E. WASHINGTON BLVD.</t>
  </si>
  <si>
    <t>350 NORTH VILLA STREET</t>
  </si>
  <si>
    <t>35253 AVENUE H</t>
  </si>
  <si>
    <t>3750 GARNET STREET</t>
  </si>
  <si>
    <t>38650 MISSION BOULEVARD</t>
  </si>
  <si>
    <t>820 W COOK ST</t>
  </si>
  <si>
    <t>1850 N. WATERMAN AVE.</t>
  </si>
  <si>
    <t>4904 TELEGRAPH RD</t>
  </si>
  <si>
    <t>301 WEST PUTNAM</t>
  </si>
  <si>
    <t>2800 N. HARBOR BLVD.</t>
  </si>
  <si>
    <t>8520 WESTERN AVENUE</t>
  </si>
  <si>
    <t>1101 STROUD AVE</t>
  </si>
  <si>
    <t>12072 TRASK AVE.</t>
  </si>
  <si>
    <t>6401 33RD STREET.</t>
  </si>
  <si>
    <t>35410 DEL REY</t>
  </si>
  <si>
    <t>2641 SOUTH C ST</t>
  </si>
  <si>
    <t>980 WEST SEVENTH STREET</t>
  </si>
  <si>
    <t>1801 JULIAN AVENUE</t>
  </si>
  <si>
    <t>1925 E. HOUSTON AVE</t>
  </si>
  <si>
    <t>515 CENTINELA AVE.</t>
  </si>
  <si>
    <t>1 GILMORE LANE</t>
  </si>
  <si>
    <t>1470 N FAIR OAKS AVE</t>
  </si>
  <si>
    <t>800 EAST FIFTH STREET</t>
  </si>
  <si>
    <t>1233 WEST LA HABRA BOULEVARD</t>
  </si>
  <si>
    <t>1665 M STREET</t>
  </si>
  <si>
    <t>8787 CENTER DRIVE</t>
  </si>
  <si>
    <t>1801 N. OLIVE AVENUE</t>
  </si>
  <si>
    <t>355 JOERSCHKE DR</t>
  </si>
  <si>
    <t>410 NORTH WINCHESTER BOULEVARD</t>
  </si>
  <si>
    <t>911 BRYANT STREET</t>
  </si>
  <si>
    <t>680 EAST MERRITT AVENUE</t>
  </si>
  <si>
    <t>700 EAST HIGHLAND AVENUE</t>
  </si>
  <si>
    <t>1030 W WARNER AVE</t>
  </si>
  <si>
    <t>375 COHASSET RD</t>
  </si>
  <si>
    <t>1717 S. WINERY AVE.</t>
  </si>
  <si>
    <t>930 WEST MAIN STREET</t>
  </si>
  <si>
    <t>6071 YORK BLVD.</t>
  </si>
  <si>
    <t>605 WEST BROADWAY</t>
  </si>
  <si>
    <t>1514 E. LINCOLN AVENUE</t>
  </si>
  <si>
    <t>9021 KNOTT AVE</t>
  </si>
  <si>
    <t>535 SCHOOL STREET</t>
  </si>
  <si>
    <t>2225 DE LA VINA ST</t>
  </si>
  <si>
    <t>9009 CAMPO ROAD</t>
  </si>
  <si>
    <t>245 E WILSHIRE AVENUE</t>
  </si>
  <si>
    <t>933 EAST DEODAR STREET</t>
  </si>
  <si>
    <t>1016 S. RECORD ST.</t>
  </si>
  <si>
    <t>8060 FROST STREET</t>
  </si>
  <si>
    <t>415 S UNION AVENUE</t>
  </si>
  <si>
    <t>12385 E. WASHINGTON BLVD</t>
  </si>
  <si>
    <t>1661 SOUTH EUCLID AVENUE</t>
  </si>
  <si>
    <t>1335 N. WATERMAN AVENUE</t>
  </si>
  <si>
    <t>855 NORTH FAIRFAX AVENUE</t>
  </si>
  <si>
    <t>1321 FRANKLIN STREET</t>
  </si>
  <si>
    <t>2131 CARLETON STREET</t>
  </si>
  <si>
    <t>5119 BANDERA STREET</t>
  </si>
  <si>
    <t>4020 LOMA VISTA RD</t>
  </si>
  <si>
    <t>23801 NEWHALL AVENUE</t>
  </si>
  <si>
    <t>900 CALLE DE LOS AMIGOS</t>
  </si>
  <si>
    <t>1349 SOUTH DORA ST.</t>
  </si>
  <si>
    <t>6940 PACIFIC AVENUE</t>
  </si>
  <si>
    <t>12200 LA MIRADA BLVD.</t>
  </si>
  <si>
    <t>637 EAST ROMIE LANE</t>
  </si>
  <si>
    <t>861 S. HARBOR BLVD</t>
  </si>
  <si>
    <t>2750 ATLANTIC AVE.</t>
  </si>
  <si>
    <t>2250 29TH STREET</t>
  </si>
  <si>
    <t>1601 PETERSEN AVENUE</t>
  </si>
  <si>
    <t>4853 W. WASHINGTON BL.</t>
  </si>
  <si>
    <t>8167 WEST THIRD ST.</t>
  </si>
  <si>
    <t>300 CHERRY CREEK RD</t>
  </si>
  <si>
    <t>12350 ROSECRANS</t>
  </si>
  <si>
    <t>415 SOUTH GARFIELD</t>
  </si>
  <si>
    <t>900 SANTA FE DRIVE</t>
  </si>
  <si>
    <t>7716 S PICKERING AVENUE</t>
  </si>
  <si>
    <t>11 ALTARINDA ROAD</t>
  </si>
  <si>
    <t>12225 SHALE RIDGE LANE</t>
  </si>
  <si>
    <t>1350 N. EUCLID AVENUE</t>
  </si>
  <si>
    <t>8170 MURRAY AVENUE</t>
  </si>
  <si>
    <t>16412 LOS GATOS BOULEVARD</t>
  </si>
  <si>
    <t>1090 EAST DINUBA AVENUE</t>
  </si>
  <si>
    <t>350 DE SOTO DRIVE</t>
  </si>
  <si>
    <t>622 SOUTH ANZA STREET</t>
  </si>
  <si>
    <t>445 PARK STREET</t>
  </si>
  <si>
    <t>553 SMALLEY AVENUE</t>
  </si>
  <si>
    <t>12232 CHAPMAN AVE</t>
  </si>
  <si>
    <t>802 BUENA VISTA STREET</t>
  </si>
  <si>
    <t>2339 W. VALLEY BLVD.</t>
  </si>
  <si>
    <t>830 E CHAPEL ST</t>
  </si>
  <si>
    <t>425 E BARCELLUS AVE</t>
  </si>
  <si>
    <t>537 E. FULTON STREET</t>
  </si>
  <si>
    <t>709 N STREET</t>
  </si>
  <si>
    <t>330 MISSION ROAD</t>
  </si>
  <si>
    <t>5551 N. FRESNO ST</t>
  </si>
  <si>
    <t>2121 PINE STREET</t>
  </si>
  <si>
    <t>159 E. ORANGEBURG AVENUE</t>
  </si>
  <si>
    <t>45 PROFESSIONAL CENTER PKWY</t>
  </si>
  <si>
    <t>1162 S DORA ST.</t>
  </si>
  <si>
    <t>4650 HOEN AVENUE</t>
  </si>
  <si>
    <t>3400 ALTA ARDEN EXPRESSWAY</t>
  </si>
  <si>
    <t>7912 TOPLEY LANE</t>
  </si>
  <si>
    <t>144 F STREET</t>
  </si>
  <si>
    <t>601 N MONTGOMERY ST</t>
  </si>
  <si>
    <t>1899 N RAYMOND AVE</t>
  </si>
  <si>
    <t>2580 SAMARITAN DRIVE</t>
  </si>
  <si>
    <t>515 EAST ORANGEBURG AVENUE</t>
  </si>
  <si>
    <t>3210 W PICO BLVD</t>
  </si>
  <si>
    <t>348 IRIS DRIVE</t>
  </si>
  <si>
    <t>9440 CITRUS AVENUE</t>
  </si>
  <si>
    <t>8665 LA MESA BLVD.</t>
  </si>
  <si>
    <t>1805 WEST STREET</t>
  </si>
  <si>
    <t>2124 57TH AVENUE</t>
  </si>
  <si>
    <t>3580 PAYNE AVENUE</t>
  </si>
  <si>
    <t>2500 COUNTRY DRIVE</t>
  </si>
  <si>
    <t>1161 CIRBY WAY</t>
  </si>
  <si>
    <t>2215 OAKMONT WAY</t>
  </si>
  <si>
    <t>8382 NEWMAN AVENUE</t>
  </si>
  <si>
    <t>635 S MAGNOLIA AVE</t>
  </si>
  <si>
    <t>2223 ASHBY AVENUE</t>
  </si>
  <si>
    <t>2725 E. BROADWAY</t>
  </si>
  <si>
    <t>630 W. BROADWAY</t>
  </si>
  <si>
    <t>16553 RINALDI ST</t>
  </si>
  <si>
    <t>5696 LAKE MURRAY BLVD</t>
  </si>
  <si>
    <t>819 SALEM DRIVE</t>
  </si>
  <si>
    <t>3710 WEST TULARE AVE</t>
  </si>
  <si>
    <t>469 EAST NORTH STREET</t>
  </si>
  <si>
    <t>16910 WOODRUFF AVE.</t>
  </si>
  <si>
    <t>1035 GRAVENSTEIN HWY SOUTH</t>
  </si>
  <si>
    <t>1850 EAST 8TH STREET</t>
  </si>
  <si>
    <t>1445 SUPERIOR AVENUE</t>
  </si>
  <si>
    <t>5335 LAUREL CANYON BLVD.</t>
  </si>
  <si>
    <t>1711 RICHLAND AVENUE</t>
  </si>
  <si>
    <t>4333 TORRANCE BLVD</t>
  </si>
  <si>
    <t>220 EAST 24TH STREET</t>
  </si>
  <si>
    <t>6720 E. KINGS CANYON</t>
  </si>
  <si>
    <t>5901 LEMON HILL AVE</t>
  </si>
  <si>
    <t>250 MARCH ST</t>
  </si>
  <si>
    <t>525 AUTO CENTER DRIVE</t>
  </si>
  <si>
    <t>3050 MONTROSE AVE</t>
  </si>
  <si>
    <t>1575 SKYLINE DRIVE</t>
  </si>
  <si>
    <t>2043 19TH AVENUE</t>
  </si>
  <si>
    <t>902 SOUTH EUCLID AVENUE</t>
  </si>
  <si>
    <t>35 ESCUELA DRIVE</t>
  </si>
  <si>
    <t>619 N. FAIRFAX AVE</t>
  </si>
  <si>
    <t>3169 M STREET</t>
  </si>
  <si>
    <t>2040 S. EUCLID AVENUE</t>
  </si>
  <si>
    <t>501 SOUTH BEACH BLVD.</t>
  </si>
  <si>
    <t>1250 BROADWAY</t>
  </si>
  <si>
    <t>3170 M STREET</t>
  </si>
  <si>
    <t>610 NORTH GARFIELD AVENUE</t>
  </si>
  <si>
    <t>623 W JUNIPERO ST</t>
  </si>
  <si>
    <t>850 S. SUNKIST AVE.</t>
  </si>
  <si>
    <t>260 E MARKET ST</t>
  </si>
  <si>
    <t>3408 EAST SHIELDS AVENUE</t>
  </si>
  <si>
    <t>3355 PACIFIC PLACE</t>
  </si>
  <si>
    <t>533 S. FAIRFAX AVE</t>
  </si>
  <si>
    <t>3000 N GATE ROAD</t>
  </si>
  <si>
    <t>9300 TELEGRAPH ROAD</t>
  </si>
  <si>
    <t>2552 TORREY PINES RD</t>
  </si>
  <si>
    <t>14819 S. VERMONT</t>
  </si>
  <si>
    <t>4001 LONE TREE WAY</t>
  </si>
  <si>
    <t>12029  AVALON BLVD</t>
  </si>
  <si>
    <t>7534 PALM AVENUE</t>
  </si>
  <si>
    <t>1299 S. BASCOM AVENUE</t>
  </si>
  <si>
    <t>8647 FENWICK STREET.</t>
  </si>
  <si>
    <t>140 EAST TULARE AVENUE</t>
  </si>
  <si>
    <t>370 NOBLE COURT</t>
  </si>
  <si>
    <t>44445 NO.15TH ST. WEST</t>
  </si>
  <si>
    <t>421 E MISSION AVE</t>
  </si>
  <si>
    <t>5901 DOWNEY AVE</t>
  </si>
  <si>
    <t>1913 E 5TH STREET</t>
  </si>
  <si>
    <t>1935 WHARF ROAD</t>
  </si>
  <si>
    <t>27350 TAMPA AVENUE</t>
  </si>
  <si>
    <t>1311 EAST DATE STREET</t>
  </si>
  <si>
    <t>23795 W. R. HOLMAN HIGHWAY</t>
  </si>
  <si>
    <t>5154 SUNSET BLVD</t>
  </si>
  <si>
    <t>2065 LOS GATOS-ALMADEN ROAD</t>
  </si>
  <si>
    <t>8625 LAMAR STREET</t>
  </si>
  <si>
    <t>101 S FICKETT STREET</t>
  </si>
  <si>
    <t>1115 CAPITOLA ROAD</t>
  </si>
  <si>
    <t>7120 CORBIN AVE.</t>
  </si>
  <si>
    <t>991 CLYDE AVENUE</t>
  </si>
  <si>
    <t>1400 GEARY BLVD</t>
  </si>
  <si>
    <t>1115 B STREET</t>
  </si>
  <si>
    <t>5255 HEMLOCK STREET</t>
  </si>
  <si>
    <t>587 RIO LINDO AVENUE</t>
  </si>
  <si>
    <t>141 SOUTH KNOTT AVENUE</t>
  </si>
  <si>
    <t>501 VIA CASITAS</t>
  </si>
  <si>
    <t>831 S LAKE STREET</t>
  </si>
  <si>
    <t>805 W. ARROW HWY.</t>
  </si>
  <si>
    <t>150 BELLEFONTAINE</t>
  </si>
  <si>
    <t>180 NORTH JACKSON AVENUE</t>
  </si>
  <si>
    <t>2600 A STREET</t>
  </si>
  <si>
    <t>14040 ASTORIA STREET</t>
  </si>
  <si>
    <t>1244 TRAVIS BLVD</t>
  </si>
  <si>
    <t>850 SONOMA AVE</t>
  </si>
  <si>
    <t>22125 ROSCOE BLVD</t>
  </si>
  <si>
    <t>1350 EAST DEVONSHIRE AVENUE</t>
  </si>
  <si>
    <t>110 41ST STREET</t>
  </si>
  <si>
    <t>625 COTTONWOOD STREET</t>
  </si>
  <si>
    <t>2550 9TH STREET</t>
  </si>
  <si>
    <t>6041 FAIR OAKS BLVD</t>
  </si>
  <si>
    <t>508 WESTLINE DRIVE</t>
  </si>
  <si>
    <t>9028 ROSE STREET</t>
  </si>
  <si>
    <t>3520 FOURTH AVENUE</t>
  </si>
  <si>
    <t>678 THIRD STREET</t>
  </si>
  <si>
    <t>24452 HEALTH CENTER DRIVE</t>
  </si>
  <si>
    <t>201 ALLEN AVE.</t>
  </si>
  <si>
    <t>1515 N ALEXANDRIA AVE.</t>
  </si>
  <si>
    <t>2415 SOUTH WESTERN AVENUE</t>
  </si>
  <si>
    <t>11926 LA MIRADA BLVD</t>
  </si>
  <si>
    <t>809 FREMONT AVENUE</t>
  </si>
  <si>
    <t>330 W. ROWLAND AVE.</t>
  </si>
  <si>
    <t>435 E. GLADSTONE AVENUE</t>
  </si>
  <si>
    <t>300 DOUGLAS STREET</t>
  </si>
  <si>
    <t>14766 WASHINGTON AVENUE</t>
  </si>
  <si>
    <t>33 MATEO AVENUE</t>
  </si>
  <si>
    <t>5650 RESEDA BLVD</t>
  </si>
  <si>
    <t>3901 E FOURTH STREET</t>
  </si>
  <si>
    <t>537 W LIVE OAK</t>
  </si>
  <si>
    <t>1041 S. MAIN ST.</t>
  </si>
  <si>
    <t>900 MOUNTAIN RANCH ROAD</t>
  </si>
  <si>
    <t>7940 TOPANGA CANYON BLVD.</t>
  </si>
  <si>
    <t>867 E. 11TH STREET</t>
  </si>
  <si>
    <t>14857 ROSCOE BOULEVARD</t>
  </si>
  <si>
    <t>135 WOODLAND AVENUE</t>
  </si>
  <si>
    <t>600 SUNRISE AVENUE</t>
  </si>
  <si>
    <t>1001 SOUTH OSAGE AVE</t>
  </si>
  <si>
    <t>6425 MILES AVENUE</t>
  </si>
  <si>
    <t>12882 SHACKELFORD LANE</t>
  </si>
  <si>
    <t>10626 BALBOA BLVD.</t>
  </si>
  <si>
    <t>6700 SEPULVEDA BLVD.</t>
  </si>
  <si>
    <t>4010 VIRGINIA RD.</t>
  </si>
  <si>
    <t>330 W. BASTANCHURY ROAD</t>
  </si>
  <si>
    <t>705 TRANCAS ST.</t>
  </si>
  <si>
    <t>275 SOUTH OAK AVENUE</t>
  </si>
  <si>
    <t>1154 S.ALVARADO ST</t>
  </si>
  <si>
    <t>4635 COLLEGE OAK DRIVE</t>
  </si>
  <si>
    <t>12750 RIVERSIDE DRIVE</t>
  </si>
  <si>
    <t>8171 MAGNOLIA AVENUE</t>
  </si>
  <si>
    <t>1020 TERMINO AVENUE</t>
  </si>
  <si>
    <t>7039 ALONDRA BLVD</t>
  </si>
  <si>
    <t>950 FLOWER STREET</t>
  </si>
  <si>
    <t>16123 CHATSWORTH AVE</t>
  </si>
  <si>
    <t>3902 KATELLA AVENUE</t>
  </si>
  <si>
    <t>3025 HIGH STREET</t>
  </si>
  <si>
    <t>676 S. BONNIE BRAE STREET</t>
  </si>
  <si>
    <t>2707 PINE STREET</t>
  </si>
  <si>
    <t>7400 24TH STREET</t>
  </si>
  <si>
    <t>919 FREEDOM BLVD</t>
  </si>
  <si>
    <t>16955 VANOWEN STREET</t>
  </si>
  <si>
    <t>1201 34TH ST.</t>
  </si>
  <si>
    <t>1680 NORTH WATERMAN AVENUE</t>
  </si>
  <si>
    <t>27600 ENCANTO DRIVE</t>
  </si>
  <si>
    <t>2225 NORTH PERRIS BOULEVARD</t>
  </si>
  <si>
    <t>2615 GRAND AVENUE</t>
  </si>
  <si>
    <t>3033 AUGUSTA ST</t>
  </si>
  <si>
    <t>525 SOUTH CENTRAL AVENUE</t>
  </si>
  <si>
    <t>21521 S. VERMONT AVENUE</t>
  </si>
  <si>
    <t>915 S. CRENSHAW BLVD.</t>
  </si>
  <si>
    <t>505 N. LA BREA AVENUE</t>
  </si>
  <si>
    <t>811 COURT STREET</t>
  </si>
  <si>
    <t>1306 MARICOPA HWY</t>
  </si>
  <si>
    <t>112 E. BROADWAY</t>
  </si>
  <si>
    <t>1359 PINE STREET</t>
  </si>
  <si>
    <t>385 ESPLANADE AVENUE</t>
  </si>
  <si>
    <t>230 E ADAMS BLVD</t>
  </si>
  <si>
    <t>577 S. PEACH AVE.</t>
  </si>
  <si>
    <t>1267 MERIDIAN AVENUE</t>
  </si>
  <si>
    <t>130 TAMPICO STREET</t>
  </si>
  <si>
    <t>485 W. JOHNSTON AVENUE</t>
  </si>
  <si>
    <t>64 NORTHBROOK WAY</t>
  </si>
  <si>
    <t>410 EASTWOOD AVE</t>
  </si>
  <si>
    <t>4900 E. FLORENCE AVE</t>
  </si>
  <si>
    <t>5648 EAST GOTHAM STREET</t>
  </si>
  <si>
    <t>3550 CHURN CREEK RD.</t>
  </si>
  <si>
    <t>4840 E.TULARE AVENUE</t>
  </si>
  <si>
    <t>1495 WEST CAMERON AVE.</t>
  </si>
  <si>
    <t>277 S SUNRISE WAY</t>
  </si>
  <si>
    <t>2005 RIVER STREET</t>
  </si>
  <si>
    <t>3801 E ANAHEIM ST</t>
  </si>
  <si>
    <t>1240 S HOOVER ST</t>
  </si>
  <si>
    <t>2200 TUOLUMNE STREET</t>
  </si>
  <si>
    <t>316 S WESTLAKE AVENUE</t>
  </si>
  <si>
    <t>3280 WASHINGTON STREET</t>
  </si>
  <si>
    <t>2312 WEST 8TH STREET</t>
  </si>
  <si>
    <t>601 DUBOCE AVE</t>
  </si>
  <si>
    <t>14401 HUSTON ST.</t>
  </si>
  <si>
    <t>6600 SEPULVEDA BLVD.</t>
  </si>
  <si>
    <t>2490 COURT STREET</t>
  </si>
  <si>
    <t>446 ARROWOOD DR</t>
  </si>
  <si>
    <t>1800 ADOBE STREET</t>
  </si>
  <si>
    <t>604 E. MERRITT AVE.</t>
  </si>
  <si>
    <t>50 E CENTRAL AVE</t>
  </si>
  <si>
    <t>3672 NORTH FIRST STREET</t>
  </si>
  <si>
    <t>13922 CERISE AVENUE</t>
  </si>
  <si>
    <t>240 HOSPITAL CIRCLE</t>
  </si>
  <si>
    <t>1477 GROVE STREET</t>
  </si>
  <si>
    <t>555 LUTHER ROAD</t>
  </si>
  <si>
    <t>1155 E. SPRINGFIELD AVENUE</t>
  </si>
  <si>
    <t>2919 FRUITVALE AVE</t>
  </si>
  <si>
    <t>925 NORTH CORNELIA</t>
  </si>
  <si>
    <t>3747 ATLANTIC AVENUE</t>
  </si>
  <si>
    <t>6705 WEST AVENUE M</t>
  </si>
  <si>
    <t>1007 WEST LACEY BLVD</t>
  </si>
  <si>
    <t>110 WOOD ROAD</t>
  </si>
  <si>
    <t>535 E BONITA AVENUE</t>
  </si>
  <si>
    <t>3551 WEST OLYMPIC BLVD.</t>
  </si>
  <si>
    <t>3601 SAN DIMAS</t>
  </si>
  <si>
    <t>1280 MARSHALL AVE</t>
  </si>
  <si>
    <t>2100 PARKSIDE DRIVE</t>
  </si>
  <si>
    <t>2885 HARRIS STREET</t>
  </si>
  <si>
    <t>1900 COFFEE ROAD</t>
  </si>
  <si>
    <t>3630 MISSION AVENUE</t>
  </si>
  <si>
    <t>21414 S. VERMONT AVENUE</t>
  </si>
  <si>
    <t>4636 FOUNTAIN AVENUE</t>
  </si>
  <si>
    <t>3501 CEDAR AVENUE</t>
  </si>
  <si>
    <t>9025 COLORADO AVENUE</t>
  </si>
  <si>
    <t>1920 N. FAIR OAKS AVENUE</t>
  </si>
  <si>
    <t>409 W. GLENOAKS BLVD.</t>
  </si>
  <si>
    <t>1100 S. ALVARADO ST</t>
  </si>
  <si>
    <t>2635 HONOLULU AVE</t>
  </si>
  <si>
    <t>442 HAMPTON STREET</t>
  </si>
  <si>
    <t>2715 FRESNO STREET</t>
  </si>
  <si>
    <t>845 S.BURLINGTON AVENUE</t>
  </si>
  <si>
    <t>1224 ROSSMOOR PARKWAY</t>
  </si>
  <si>
    <t>2990 EAST RAMON ROAD</t>
  </si>
  <si>
    <t>6061 BANBURY ST.</t>
  </si>
  <si>
    <t>919 N SUNSET AVE</t>
  </si>
  <si>
    <t>13333 FENTON AVENUE</t>
  </si>
  <si>
    <t>1340 15TH STREET</t>
  </si>
  <si>
    <t>9541 VAN NUYS BLVD.</t>
  </si>
  <si>
    <t>111 BARSTOW AVE.</t>
  </si>
  <si>
    <t>1570 N. FAIR OAKS AVENUE</t>
  </si>
  <si>
    <t>368 JUANA AVENUE</t>
  </si>
  <si>
    <t>521 LOREL WAY</t>
  </si>
  <si>
    <t>516 WILLOW STREET</t>
  </si>
  <si>
    <t>309 MACARTHUR BOULEVARD</t>
  </si>
  <si>
    <t>10610 OWENSMOUTH</t>
  </si>
  <si>
    <t>636 ATTERDAG ROAD</t>
  </si>
  <si>
    <t>13328 SAN PABLO AVENUE</t>
  </si>
  <si>
    <t>1033 E. ARROW HIGHWAY</t>
  </si>
  <si>
    <t>2321 NEWBURG ROAD</t>
  </si>
  <si>
    <t>661 CENTER STREET</t>
  </si>
  <si>
    <t>13524 SHERMAN WAY</t>
  </si>
  <si>
    <t>1280 SUMMERFIELD RD</t>
  </si>
  <si>
    <t>13542 SECOND ST.</t>
  </si>
  <si>
    <t>9655 SEPULVEDA BOULEVARD</t>
  </si>
  <si>
    <t>105 TERRACINA BLVD.</t>
  </si>
  <si>
    <t>1250 S. WINCHESTER BOULEVARD</t>
  </si>
  <si>
    <t>3233 W. PICO BOULEVARD</t>
  </si>
  <si>
    <t>3850 E. ESTHER ST.</t>
  </si>
  <si>
    <t>1400 W GONZALES RD</t>
  </si>
  <si>
    <t>3002 ROWENA AVENUE</t>
  </si>
  <si>
    <t>1210 A STREET</t>
  </si>
  <si>
    <t>14122 HUBBARD STREET</t>
  </si>
  <si>
    <t>2575 E. EIGHTH ST.</t>
  </si>
  <si>
    <t>13484 SAN PABLO AVENUE</t>
  </si>
  <si>
    <t>121 DORSEY DRIVE</t>
  </si>
  <si>
    <t>300 NEAL STREET</t>
  </si>
  <si>
    <t>99 ESCUELA DRIVE</t>
  </si>
  <si>
    <t>1449 YGNACIO VALLEY ROAD</t>
  </si>
  <si>
    <t>3680 REYNARD WAY</t>
  </si>
  <si>
    <t>17836 WOODRUFF AVENUE</t>
  </si>
  <si>
    <t>11810 SATICOY STREET</t>
  </si>
  <si>
    <t>3529 WALNUT AVENUE</t>
  </si>
  <si>
    <t>3751 MONTGOMERY DR</t>
  </si>
  <si>
    <t>7836 RESEDA BLVD</t>
  </si>
  <si>
    <t>5101 TYLER AVENUE</t>
  </si>
  <si>
    <t>3611 EAST IMPERIAL HIGHWAY</t>
  </si>
  <si>
    <t>39022 PRESIDIO WAY</t>
  </si>
  <si>
    <t>661 WEST POPLAR</t>
  </si>
  <si>
    <t>13226 STUDEBAKER RD</t>
  </si>
  <si>
    <t>1401 GARCES HWY</t>
  </si>
  <si>
    <t>2299 NORTH INDIAN CANYON DRIVE</t>
  </si>
  <si>
    <t>7509 N LAUREL AVE</t>
  </si>
  <si>
    <t>40 PROFESSIONAL CENTER PARKWAY</t>
  </si>
  <si>
    <t>250 W. ARTESIA STREET</t>
  </si>
  <si>
    <t>22035 S. VERMONT AVENUE</t>
  </si>
  <si>
    <t>467 E GILBERT ST</t>
  </si>
  <si>
    <t>1501 SKYLINE DRIVE</t>
  </si>
  <si>
    <t>1480 S. LA CIENEGA BL</t>
  </si>
  <si>
    <t>9620 FREMONT AVENUE</t>
  </si>
  <si>
    <t>8558 EAST ROSECRANS AVENUE</t>
  </si>
  <si>
    <t>1768 B STREET</t>
  </si>
  <si>
    <t>5767 MISSION STREET</t>
  </si>
  <si>
    <t>3533 MOTOR AVENUE</t>
  </si>
  <si>
    <t>5400 FOUNTAIN  AVE</t>
  </si>
  <si>
    <t>2150 PYRAMID DRIVE</t>
  </si>
  <si>
    <t>8455 STATE STREET</t>
  </si>
  <si>
    <t>26660 PATRICK AVENUE</t>
  </si>
  <si>
    <t>14318 OHIO STREET</t>
  </si>
  <si>
    <t>442 SUNSET BOULEVARD</t>
  </si>
  <si>
    <t>3269 D STREET</t>
  </si>
  <si>
    <t>1911 OAK PARK BOULEVARD</t>
  </si>
  <si>
    <t>3825 N DURFEE AVE</t>
  </si>
  <si>
    <t>2222 SANTA ANA BLVD.</t>
  </si>
  <si>
    <t>15400 FOOTHILL BOULEVARD</t>
  </si>
  <si>
    <t>130 DANA STREET</t>
  </si>
  <si>
    <t>3688 NYE AVENUE</t>
  </si>
  <si>
    <t>273 E BEVERLY BOULEVARD</t>
  </si>
  <si>
    <t>22617 SO. VERMONT AVE</t>
  </si>
  <si>
    <t>5401 FOUNTAIN AVE.</t>
  </si>
  <si>
    <t>10410 COLOMA RD</t>
  </si>
  <si>
    <t>2855 CARLSBAD BLVD</t>
  </si>
  <si>
    <t>4320 MARICOPA  STREET</t>
  </si>
  <si>
    <t>106 BLANCA AVE</t>
  </si>
  <si>
    <t>1338 PHAY AVE</t>
  </si>
  <si>
    <t>1000 LINCOLN ST</t>
  </si>
  <si>
    <t>1024 CENTRAL PARK DR</t>
  </si>
  <si>
    <t>340 PEAK ONE DRIVE</t>
  </si>
  <si>
    <t>10201 EAST THIRD AVENUE</t>
  </si>
  <si>
    <t>1667 ST PAUL STREET</t>
  </si>
  <si>
    <t>4800 TABOR STREET</t>
  </si>
  <si>
    <t>4686 EAST ASBURY CIRCLE</t>
  </si>
  <si>
    <t>2121 MESA DRIVE</t>
  </si>
  <si>
    <t>3575 SOUTH WASHINGTON STREET</t>
  </si>
  <si>
    <t>101 SOUTH UNION BOULEVARD</t>
  </si>
  <si>
    <t>7950 WEST MISSISSIPPI AVENUE</t>
  </si>
  <si>
    <t>708 22ND STREET</t>
  </si>
  <si>
    <t>2515 PITMAN PLACE</t>
  </si>
  <si>
    <t>2501 E 104TH AVE</t>
  </si>
  <si>
    <t>2901 NORTH 12TH STREET</t>
  </si>
  <si>
    <t>1719 E BIJOU STREET</t>
  </si>
  <si>
    <t>1401 SOUTH CASCADE</t>
  </si>
  <si>
    <t>7481 KNOX PLACE</t>
  </si>
  <si>
    <t>855 HUNTER DRIVE</t>
  </si>
  <si>
    <t>6000 EAST ILIFF AVENUE</t>
  </si>
  <si>
    <t>1365 WEST 29TH STREET</t>
  </si>
  <si>
    <t>2101 SOUTH GARFIELD AVENUE</t>
  </si>
  <si>
    <t>4824 SOUTH LEMAY AVENUE</t>
  </si>
  <si>
    <t>1500 W TOMICHI AVE</t>
  </si>
  <si>
    <t>14699 EAST HAMPDEN AVENUE</t>
  </si>
  <si>
    <t>835 TENDERFOOT HILL ROAD</t>
  </si>
  <si>
    <t>1330 NORTH SIDNEY AVENUE</t>
  </si>
  <si>
    <t>2612 WEST CUCHARRAS STREET</t>
  </si>
  <si>
    <t>680 E HOSPITAL DRIVE</t>
  </si>
  <si>
    <t>122 HOSPITAL ROAD</t>
  </si>
  <si>
    <t>821 DUFFIELD COURT</t>
  </si>
  <si>
    <t>1000 SOUTH LEMAY AVENUE</t>
  </si>
  <si>
    <t>1795 MONTEREY ROAD</t>
  </si>
  <si>
    <t>1601 CONSTITUTION ROAD</t>
  </si>
  <si>
    <t>2200 EDISON STREET</t>
  </si>
  <si>
    <t>1655 EATON STREET</t>
  </si>
  <si>
    <t>2438 FOUNTAIN BOULEVARD</t>
  </si>
  <si>
    <t>1420 SOUTH 3RD AVENUE</t>
  </si>
  <si>
    <t>924 WEST KIOWA</t>
  </si>
  <si>
    <t>500 GENEVA STREET</t>
  </si>
  <si>
    <t>1401 PHAY AVENUE</t>
  </si>
  <si>
    <t>815 FREMONT AVE</t>
  </si>
  <si>
    <t>1338 PHAY AVENUE</t>
  </si>
  <si>
    <t>555 PROSPECT AVE</t>
  </si>
  <si>
    <t>150 SPRING STREET</t>
  </si>
  <si>
    <t>1440 COFFMAN STREET</t>
  </si>
  <si>
    <t>3131 SOUTH FEDERAL BOULEVARD</t>
  </si>
  <si>
    <t>1020 PATTON STREET</t>
  </si>
  <si>
    <t>501 EAST THORNTON PARKWAY</t>
  </si>
  <si>
    <t>1043 RIDGE STREET</t>
  </si>
  <si>
    <t>401 MALLEY DRIVE</t>
  </si>
  <si>
    <t>104 LOIS LANE</t>
  </si>
  <si>
    <t>1599 INGALLS ST</t>
  </si>
  <si>
    <t>5555 SOUTH ELATI STREET</t>
  </si>
  <si>
    <t>4601 EAST ASBURY CIRCLE</t>
  </si>
  <si>
    <t>3636 SOUTH PEARL STREET</t>
  </si>
  <si>
    <t>1625 CARR STREET</t>
  </si>
  <si>
    <t>1700 18TH AVENUE</t>
  </si>
  <si>
    <t>1637 29TH AVENUE PLACE</t>
  </si>
  <si>
    <t>1535 PARK AVENUE</t>
  </si>
  <si>
    <t>1100 CARSON AVE</t>
  </si>
  <si>
    <t>905 HARDING AVENUE</t>
  </si>
  <si>
    <t>850 27TH AVENUE</t>
  </si>
  <si>
    <t>530 WEST 16TH STREET</t>
  </si>
  <si>
    <t>1000 EAST STUART STREET</t>
  </si>
  <si>
    <t>4685 EAST BASELINE ROAD</t>
  </si>
  <si>
    <t>735 SOUTH LOCUST STREET</t>
  </si>
  <si>
    <t>1340 EAST FILLMORE STREET</t>
  </si>
  <si>
    <t>1800 STROH PLACE</t>
  </si>
  <si>
    <t>508 WEST TRILBY ROAD</t>
  </si>
  <si>
    <t>151 EAST 3RD STREET</t>
  </si>
  <si>
    <t>2701 CALIFORNIA ST</t>
  </si>
  <si>
    <t>4450 EAST JEWELL AVENUE</t>
  </si>
  <si>
    <t>945 DESERT FLOWER BOULEVARD</t>
  </si>
  <si>
    <t>2611 JONES AVENUE</t>
  </si>
  <si>
    <t>3701 WEST RADCLIFFE AVENUE</t>
  </si>
  <si>
    <t>1991 CARROLL AVE</t>
  </si>
  <si>
    <t>900 SOUTH 12TH STREET</t>
  </si>
  <si>
    <t>1610 SCRANTON AVENUE</t>
  </si>
  <si>
    <t>1200 VILLAGE ROAD</t>
  </si>
  <si>
    <t>12080 BELLAIRE WAY</t>
  </si>
  <si>
    <t>240 CRAFT DRIVE</t>
  </si>
  <si>
    <t>2025 EAST EGBERT STREET</t>
  </si>
  <si>
    <t>290 SOUTH MONACO PARKWAY</t>
  </si>
  <si>
    <t>4660 EAST ASBURY CIRCLE</t>
  </si>
  <si>
    <t>2911 JUNCTION STREET</t>
  </si>
  <si>
    <t>2305 BLAKE AVENUE</t>
  </si>
  <si>
    <t>940 WORTHINGTON CIRCLE</t>
  </si>
  <si>
    <t>920 SOUTH CHELTON ROAD</t>
  </si>
  <si>
    <t>110 WEST VAN BUREN STREET</t>
  </si>
  <si>
    <t>5301 WEST FIRST AVENUE</t>
  </si>
  <si>
    <t>2050 SOUTH MAIN STREET</t>
  </si>
  <si>
    <t>515 FAIRVIEW STREET</t>
  </si>
  <si>
    <t>1625 MEADOWBROOK BOULEVARD</t>
  </si>
  <si>
    <t>3625 PARKMOOR VILLAGE DRIVE</t>
  </si>
  <si>
    <t>2501 LITTLE BOOKCLIFF DRIVE</t>
  </si>
  <si>
    <t>2445 EAST CACHE LA POUDRE</t>
  </si>
  <si>
    <t>1440 VINE STREET</t>
  </si>
  <si>
    <t>6060 EAST ILIFF AVENUE</t>
  </si>
  <si>
    <t>1005 EAST ELIZABETH STREET</t>
  </si>
  <si>
    <t>11411 HIGHWAY 65</t>
  </si>
  <si>
    <t>6005 SOUTH HOLLY STREET</t>
  </si>
  <si>
    <t>323 WEST 9TH AVENUE</t>
  </si>
  <si>
    <t>855 FRANKLIN AVENUE</t>
  </si>
  <si>
    <t>1600 SOUTH POTOMAC STREET</t>
  </si>
  <si>
    <t>2800 PALO PARKWAY</t>
  </si>
  <si>
    <t>2118 CHATALET LANE</t>
  </si>
  <si>
    <t>400 W 16TH STREET 3RD FLOOR</t>
  </si>
  <si>
    <t>1432 DEPEW STREET</t>
  </si>
  <si>
    <t>6270 WEST 38TH AVENUE</t>
  </si>
  <si>
    <t>3185 WEST ARKANSAS AVENUE</t>
  </si>
  <si>
    <t>2987 BERGEN PEAK DRIVE</t>
  </si>
  <si>
    <t>710 3RD STREET</t>
  </si>
  <si>
    <t>2451 PRATT STREET</t>
  </si>
  <si>
    <t>5230 EAST 66TH WAY</t>
  </si>
  <si>
    <t>465 FIFTH STREET</t>
  </si>
  <si>
    <t>4001 HOME STREET</t>
  </si>
  <si>
    <t>2425 TELLER AVENUE</t>
  </si>
  <si>
    <t>895 SOUTH MONACO PARKWAY</t>
  </si>
  <si>
    <t>2277 EAST DRIVE</t>
  </si>
  <si>
    <t>3835 HARLAN STREET</t>
  </si>
  <si>
    <t>205 SOUTH 10TH ST</t>
  </si>
  <si>
    <t>1685 EATON STREET</t>
  </si>
  <si>
    <t>1660 ALLISON STREET</t>
  </si>
  <si>
    <t>1655 YARROW STREET</t>
  </si>
  <si>
    <t>3105 WEST ARKANSAS AVENUE</t>
  </si>
  <si>
    <t>816 SOUTH INTEROCEAN AVENUE</t>
  </si>
  <si>
    <t>14800 EAST BELLEVIEW DRIVE</t>
  </si>
  <si>
    <t>12205 GUNSTOCK DRIVE</t>
  </si>
  <si>
    <t>211 3RD AVENUE</t>
  </si>
  <si>
    <t>2825 PATTERSON ROAD</t>
  </si>
  <si>
    <t>2920 FENTON STREET</t>
  </si>
  <si>
    <t>465 MAIN AVENUE</t>
  </si>
  <si>
    <t>745 EAST 18TH AVENUE</t>
  </si>
  <si>
    <t>401 IDAHO AVENUE</t>
  </si>
  <si>
    <t>360 CANYON RIDGE DRIVE</t>
  </si>
  <si>
    <t>7150 POPLAR STREET</t>
  </si>
  <si>
    <t>5822 SOUTH LOWELL WAY</t>
  </si>
  <si>
    <t>6121 WEST 60TH AVENUE</t>
  </si>
  <si>
    <t>3401 SOUTH LAFAYETTE STREET</t>
  </si>
  <si>
    <t>2201 DOWNING STREET</t>
  </si>
  <si>
    <t>4950 THUNDERBIRD DRIVE</t>
  </si>
  <si>
    <t>7550 ASSISI HEIGHTS</t>
  </si>
  <si>
    <t>2205 WEST 29TH AVENUE</t>
  </si>
  <si>
    <t>1950 MOUNTAIN VIEW AVENUE</t>
  </si>
  <si>
    <t>7991 WEST 71ST AVENUE</t>
  </si>
  <si>
    <t>2845 NORTH 15TH STREET</t>
  </si>
  <si>
    <t>14101 EAST EVANS AVENUE</t>
  </si>
  <si>
    <t>700 NORTH A STREET</t>
  </si>
  <si>
    <t>656 DILLON WAY</t>
  </si>
  <si>
    <t>2855 OWL HOOT TRAIL</t>
  </si>
  <si>
    <t>2480 SOUTH CLERMONT STREET</t>
  </si>
  <si>
    <t>5000 EAST ARAPAHOE ROAD</t>
  </si>
  <si>
    <t>2120 NORTH 10TH STREET</t>
  </si>
  <si>
    <t>320 NORTH 8TH STREET</t>
  </si>
  <si>
    <t>885 S HIGHWAY 50 BUSINESS LOOP</t>
  </si>
  <si>
    <t>1201 WEST ABRIENDO AVENUE</t>
  </si>
  <si>
    <t>2490 INTERNATIONAL CIRCLE</t>
  </si>
  <si>
    <t>7751 ZENOBIA COURT</t>
  </si>
  <si>
    <t>810 THIRD STREET</t>
  </si>
  <si>
    <t>221 2ND STREET</t>
  </si>
  <si>
    <t>1297 SOUTH PERRY STREET</t>
  </si>
  <si>
    <t>2500 SOUTH ROSLYN STREET</t>
  </si>
  <si>
    <t>119 BASTILLE DRIVE</t>
  </si>
  <si>
    <t>9221 WADSWORTH PARKWAY</t>
  </si>
  <si>
    <t>4800 25TH STREET</t>
  </si>
  <si>
    <t>1500 WEST MINERAL AVENUE</t>
  </si>
  <si>
    <t>1685 SOUTH 21ST STREET</t>
  </si>
  <si>
    <t>12791 W ALAMEDA PARKWAY</t>
  </si>
  <si>
    <t>6450 SOUTH BOSTON STREET</t>
  </si>
  <si>
    <t>815 CENTRE AVENUE</t>
  </si>
  <si>
    <t>2311 EAST BRIDGE STREET</t>
  </si>
  <si>
    <t>12975 SHERIDAN BOULEVARD</t>
  </si>
  <si>
    <t>1919 QUENTIN STREET</t>
  </si>
  <si>
    <t>701 EAST 5TH STREET</t>
  </si>
  <si>
    <t>2365 PATRIOT HEIGHTS</t>
  </si>
  <si>
    <t>8451 PEARL STREET</t>
  </si>
  <si>
    <t>943 WEST 8TH DRIVE</t>
  </si>
  <si>
    <t>851 EAST 5TH STREET</t>
  </si>
  <si>
    <t>3345 FOREST STREET</t>
  </si>
  <si>
    <t>2670 SOUTH ABILENE STREET WEST</t>
  </si>
  <si>
    <t>3490 CENTENNIAL BOULEVARD</t>
  </si>
  <si>
    <t>3749 SHERMAN AVENUE</t>
  </si>
  <si>
    <t>8101 E MISSISSIPPI AVENUE</t>
  </si>
  <si>
    <t>1800 SOUTH POTOMAC STREET</t>
  </si>
  <si>
    <t>0903 MOORE DRIVE</t>
  </si>
  <si>
    <t>5590 E PEAKVIEW AVENUE</t>
  </si>
  <si>
    <t>409 BENEDICTA AVENUE</t>
  </si>
  <si>
    <t>1919 68TH AVENUE</t>
  </si>
  <si>
    <t>9085 RANCH RIVER CIRCLE</t>
  </si>
  <si>
    <t>39 CALLE MILLER</t>
  </si>
  <si>
    <t>7395 WEST EASTMAN PLACE</t>
  </si>
  <si>
    <t>15720 GARDEN PLAZA DRIVE</t>
  </si>
  <si>
    <t>12230 LIONESS WAY</t>
  </si>
  <si>
    <t>1601 NORTH LOWELL BOULEVARD</t>
  </si>
  <si>
    <t>9398 CROWN CREST BOULEVARD</t>
  </si>
  <si>
    <t>6447 QUAIL STREET</t>
  </si>
  <si>
    <t>55 SOUTH PARKSIDE DRIVE</t>
  </si>
  <si>
    <t>1625 SIMMS STREET</t>
  </si>
  <si>
    <t>3420 MILL VISTA RD</t>
  </si>
  <si>
    <t>1475 MAIN ST</t>
  </si>
  <si>
    <t>450 PROSPECTOR AVE</t>
  </si>
  <si>
    <t>490 MIRASOL DRIVE</t>
  </si>
  <si>
    <t>9208 GRAND CORDERA PKWY</t>
  </si>
  <si>
    <t>329 EXEMPLA CIRCLE</t>
  </si>
  <si>
    <t>2719 NORTH UNION BLVD</t>
  </si>
  <si>
    <t>6448 MAIN STREET</t>
  </si>
  <si>
    <t>581 POQUONOCK AVE</t>
  </si>
  <si>
    <t>565 VERNON ST</t>
  </si>
  <si>
    <t>163 QUINNIPIAC AVE</t>
  </si>
  <si>
    <t>132 MAIN ST</t>
  </si>
  <si>
    <t>1 GLEN HILL RD</t>
  </si>
  <si>
    <t>400 MILL PLAIN RD</t>
  </si>
  <si>
    <t>269 FARMINGTON AVE</t>
  </si>
  <si>
    <t>45 MALTBY STREET</t>
  </si>
  <si>
    <t>612 HAZARD AVE</t>
  </si>
  <si>
    <t>35 MARC DR</t>
  </si>
  <si>
    <t>210 CHATFIELD ST</t>
  </si>
  <si>
    <t>72 SALMON BROOK DR</t>
  </si>
  <si>
    <t>53 COURTLAND AVENUE</t>
  </si>
  <si>
    <t>705 NEW BRITAIN AVE</t>
  </si>
  <si>
    <t>195 PLATT ST</t>
  </si>
  <si>
    <t>1188 KING STREET</t>
  </si>
  <si>
    <t>1775 BOSTON POST RD</t>
  </si>
  <si>
    <t>13 HAKIM ST</t>
  </si>
  <si>
    <t>150 WARE RD</t>
  </si>
  <si>
    <t>93 WEST TOWN STREET</t>
  </si>
  <si>
    <t>29 HIGHLAND ST</t>
  </si>
  <si>
    <t>20 BABCOCK AVE</t>
  </si>
  <si>
    <t>2021 ALBANY AVE</t>
  </si>
  <si>
    <t>600 HIGHLAND AVE</t>
  </si>
  <si>
    <t>145 GROVE ST</t>
  </si>
  <si>
    <t>1132 MERIDEN RD</t>
  </si>
  <si>
    <t>725 PARK AVE</t>
  </si>
  <si>
    <t>80 FERN DR</t>
  </si>
  <si>
    <t>100 RANDOLPH RD</t>
  </si>
  <si>
    <t>1 ABRAHMS BLVD</t>
  </si>
  <si>
    <t>215 FOREST ST</t>
  </si>
  <si>
    <t>4 GREENTREE DR</t>
  </si>
  <si>
    <t>70 PARSONAGE RD</t>
  </si>
  <si>
    <t>22 MASONIC AVE PO BOX 70</t>
  </si>
  <si>
    <t>355 PARK AVENUE</t>
  </si>
  <si>
    <t>10 BOSTON POST RD</t>
  </si>
  <si>
    <t>778 MIDDLEBURY RD</t>
  </si>
  <si>
    <t>88 ROCKRIMMON RD</t>
  </si>
  <si>
    <t>88 CLARK LANE</t>
  </si>
  <si>
    <t>23 PROSPECT AVENUE</t>
  </si>
  <si>
    <t>584 LONG HILL AVE</t>
  </si>
  <si>
    <t>35 BUNKER HILL RD</t>
  </si>
  <si>
    <t>55 GRAND STREET</t>
  </si>
  <si>
    <t>1253 HARTFORD TNPK</t>
  </si>
  <si>
    <t>66 CLINIC DRIVE</t>
  </si>
  <si>
    <t>845 PADDOCK AVE</t>
  </si>
  <si>
    <t>1157 ENFIELD ST</t>
  </si>
  <si>
    <t>78 VIETS ST EXTENSION</t>
  </si>
  <si>
    <t>23 FAIR STREET</t>
  </si>
  <si>
    <t>930 MILL HILL TERR</t>
  </si>
  <si>
    <t>310 TERRACE AVE</t>
  </si>
  <si>
    <t>99 SOUTH CANAAN RD</t>
  </si>
  <si>
    <t>225 WYOMING AVE</t>
  </si>
  <si>
    <t>65 WESTFIELD RD</t>
  </si>
  <si>
    <t>51 APPLEGATE LANE</t>
  </si>
  <si>
    <t>25 ROYAL CREST DRIVE</t>
  </si>
  <si>
    <t>19 POPLAR STREET</t>
  </si>
  <si>
    <t>128 CEDAR AVENUE</t>
  </si>
  <si>
    <t>45 ELM STREET</t>
  </si>
  <si>
    <t>2028 BRIDGEPORT AVE</t>
  </si>
  <si>
    <t>333 MAIN ST</t>
  </si>
  <si>
    <t>75 GREAT POND RD</t>
  </si>
  <si>
    <t>177 WHITEWOOD ROAD</t>
  </si>
  <si>
    <t>61 BELLEVUE AVENUE</t>
  </si>
  <si>
    <t>745 HIGHLAND AVENUE</t>
  </si>
  <si>
    <t>850 MIX AVE</t>
  </si>
  <si>
    <t>154 KENSINGTON RD</t>
  </si>
  <si>
    <t>36 BROADWAY</t>
  </si>
  <si>
    <t>29 MIDDLE HADDAM RD</t>
  </si>
  <si>
    <t>55 KONDRACKI LANE</t>
  </si>
  <si>
    <t>109 WEST LAKE AVENUE</t>
  </si>
  <si>
    <t>17 COBBLE RD</t>
  </si>
  <si>
    <t>1 EMERSON DRIVE</t>
  </si>
  <si>
    <t>856 MAPLE ST</t>
  </si>
  <si>
    <t>210 GEORGE ST</t>
  </si>
  <si>
    <t>4 HAZEL AVE</t>
  </si>
  <si>
    <t>162 SOUTH BRITAIN RD</t>
  </si>
  <si>
    <t>44 CANTERBURY ROAD</t>
  </si>
  <si>
    <t>652 WEST AVON RD</t>
  </si>
  <si>
    <t>2798 WHITNEY AVENUE</t>
  </si>
  <si>
    <t>5 GREENWOOD ST</t>
  </si>
  <si>
    <t>SCOTT SWAMP RD</t>
  </si>
  <si>
    <t>349 BIDWELL STREET</t>
  </si>
  <si>
    <t>59 HARRINGTON CT</t>
  </si>
  <si>
    <t>745 MAIN ST</t>
  </si>
  <si>
    <t>103 NORTH RD</t>
  </si>
  <si>
    <t>181 E MAIN ST</t>
  </si>
  <si>
    <t>385 MAIN STREET</t>
  </si>
  <si>
    <t>140 PARK AVE</t>
  </si>
  <si>
    <t>140 COOK HILL RD</t>
  </si>
  <si>
    <t>89 VIETS ST EXT</t>
  </si>
  <si>
    <t>151 HILLSIDE AVE</t>
  </si>
  <si>
    <t>1145 POQUONNOCK RD</t>
  </si>
  <si>
    <t>475 HIGH ST</t>
  </si>
  <si>
    <t>1365 ENFIELD ST</t>
  </si>
  <si>
    <t>107 OSBORNE STREET</t>
  </si>
  <si>
    <t>1354 CHAPEL ST</t>
  </si>
  <si>
    <t>130 LOOMIS DR</t>
  </si>
  <si>
    <t>1 EMERSON DR</t>
  </si>
  <si>
    <t>1 BURR ROAD</t>
  </si>
  <si>
    <t>50 BEACH RD</t>
  </si>
  <si>
    <t>240 CHURCH ST</t>
  </si>
  <si>
    <t>235 LESTERTOWN RD</t>
  </si>
  <si>
    <t>200 LEEDER HILL DR</t>
  </si>
  <si>
    <t>55 TUNXIS AVE</t>
  </si>
  <si>
    <t>400 BRITTANY FARMS RD</t>
  </si>
  <si>
    <t>ONE JOHN STEWART DR</t>
  </si>
  <si>
    <t>38 TALMADGE AVE</t>
  </si>
  <si>
    <t>360 BROAD STREET</t>
  </si>
  <si>
    <t>189 ALPS RD</t>
  </si>
  <si>
    <t>25 LORRAINE ST</t>
  </si>
  <si>
    <t>5 LAKE ROAD</t>
  </si>
  <si>
    <t>40 LOEFFLER RD</t>
  </si>
  <si>
    <t>52 MISSIONARY RD PO BOX 180</t>
  </si>
  <si>
    <t>534 TOWN ST</t>
  </si>
  <si>
    <t>1165 KING STREET</t>
  </si>
  <si>
    <t>16 WINDSOR AVE</t>
  </si>
  <si>
    <t>30 BOSTON RD</t>
  </si>
  <si>
    <t>60 BOSTON POST RD</t>
  </si>
  <si>
    <t>333 BIDWELL ST BOX 1296</t>
  </si>
  <si>
    <t>1175 HEBRON AVE</t>
  </si>
  <si>
    <t>439 DANBURY RD RT 7</t>
  </si>
  <si>
    <t>80 HERITAGE RD</t>
  </si>
  <si>
    <t>255 ROBERTS ST</t>
  </si>
  <si>
    <t>494 ELM ST</t>
  </si>
  <si>
    <t>14 CLUB RD</t>
  </si>
  <si>
    <t>30 BOKUM RD</t>
  </si>
  <si>
    <t>2428 EASTON TNPK</t>
  </si>
  <si>
    <t>301 ROPE FERRY RD</t>
  </si>
  <si>
    <t>118 CLINTON AVE</t>
  </si>
  <si>
    <t>205 CHESTNUT HILL ROAD</t>
  </si>
  <si>
    <t>28 BROADWAY</t>
  </si>
  <si>
    <t>9 NECK RD</t>
  </si>
  <si>
    <t>400 N MAIN ST</t>
  </si>
  <si>
    <t>118 JEFFERSON STREET</t>
  </si>
  <si>
    <t>225 AMITY RD</t>
  </si>
  <si>
    <t>1360 TORRINGFORD ST</t>
  </si>
  <si>
    <t>385 W CENTER ST</t>
  </si>
  <si>
    <t>180 REGAN ROAD</t>
  </si>
  <si>
    <t>31 VAUXHALL ST</t>
  </si>
  <si>
    <t>45 MERIDEN AVE</t>
  </si>
  <si>
    <t>33 ROY ST</t>
  </si>
  <si>
    <t>36 FIRETOWN RD</t>
  </si>
  <si>
    <t>7003 MAIN STREET</t>
  </si>
  <si>
    <t>560 WOODBURY ROAD</t>
  </si>
  <si>
    <t>44 MARITIME DRIVE</t>
  </si>
  <si>
    <t>975 CORBIN AVENUE</t>
  </si>
  <si>
    <t>33 CONE AVE</t>
  </si>
  <si>
    <t>33 NORTH ST</t>
  </si>
  <si>
    <t>1 CANAL RD</t>
  </si>
  <si>
    <t>169 DAVENPORT AVE</t>
  </si>
  <si>
    <t>81 HILLSIDE AVENUE</t>
  </si>
  <si>
    <t>321 STONECREST DRIVE</t>
  </si>
  <si>
    <t>44 ABBOTT TERR</t>
  </si>
  <si>
    <t>292 THORPE AVENUE</t>
  </si>
  <si>
    <t>175 JEFFERSON STREET</t>
  </si>
  <si>
    <t>33 LINCOLN AVENUE</t>
  </si>
  <si>
    <t>139 TODDY HILL ROAD</t>
  </si>
  <si>
    <t>76 WEST ROCKS ROAD</t>
  </si>
  <si>
    <t>14 MAIN STREET</t>
  </si>
  <si>
    <t>96 PROSPECT HILL RD</t>
  </si>
  <si>
    <t>3 FARM ROAD</t>
  </si>
  <si>
    <t>88 NOTCH HILL ROAD</t>
  </si>
  <si>
    <t>380 CROWN STREET</t>
  </si>
  <si>
    <t>1270 SHERMAN LANE</t>
  </si>
  <si>
    <t>350 SALMON BROOK STREET</t>
  </si>
  <si>
    <t>172 ROCKY REST ROAD</t>
  </si>
  <si>
    <t>540 BOND STREET</t>
  </si>
  <si>
    <t>600 BOND STREET</t>
  </si>
  <si>
    <t>990 NORTH MAIN STREET</t>
  </si>
  <si>
    <t>3396 E MAIN STREET</t>
  </si>
  <si>
    <t>50 PULASKI STREET</t>
  </si>
  <si>
    <t>23 LIBERTY WAY</t>
  </si>
  <si>
    <t>245 ORANGE AVENUE</t>
  </si>
  <si>
    <t>1261 SOUTH MAIN STREET</t>
  </si>
  <si>
    <t>27 HOSPITAL HILL ROAD</t>
  </si>
  <si>
    <t>156 BERLIN ROAD</t>
  </si>
  <si>
    <t>111 CHURCH STREET</t>
  </si>
  <si>
    <t>26 SHENIPSIT LAKE ROAD</t>
  </si>
  <si>
    <t>200 SEABURY DRIVE</t>
  </si>
  <si>
    <t>85 STAGE HARBOR ROAD</t>
  </si>
  <si>
    <t>41 SKOKORAT STREET</t>
  </si>
  <si>
    <t>34 MIDROCKS DRIVE</t>
  </si>
  <si>
    <t>220 SCOVILLE ROAD</t>
  </si>
  <si>
    <t>451 NORTH HIGH STREET</t>
  </si>
  <si>
    <t>89 WIED DRIVE</t>
  </si>
  <si>
    <t>46 MAPLE STREET</t>
  </si>
  <si>
    <t>256 NEW BRITAIN AVENUE</t>
  </si>
  <si>
    <t>710 LONG RIDGE ROAD</t>
  </si>
  <si>
    <t>642 DANBURY ROAD</t>
  </si>
  <si>
    <t>102 DYER AVENUE</t>
  </si>
  <si>
    <t>181 CLIFTON STREET</t>
  </si>
  <si>
    <t>3584 EAST MAIN STREET</t>
  </si>
  <si>
    <t>13 PARKLAWN DRIVE</t>
  </si>
  <si>
    <t>100 WARREN CIRCLE</t>
  </si>
  <si>
    <t>308 SAVIN AVENUE</t>
  </si>
  <si>
    <t>21 MAEFAIR COURT</t>
  </si>
  <si>
    <t>34 WILDWOOD AVENUE</t>
  </si>
  <si>
    <t>1 EMILY WAY</t>
  </si>
  <si>
    <t>40 ALBERT STREET</t>
  </si>
  <si>
    <t>3 SOUTH WIG HILL RD</t>
  </si>
  <si>
    <t>10 THURBER RD</t>
  </si>
  <si>
    <t>2875 MAIN STREET</t>
  </si>
  <si>
    <t>31 STAPLES ST</t>
  </si>
  <si>
    <t>1660 STAFFORD AVENUE</t>
  </si>
  <si>
    <t>30 PARK LANE EAST</t>
  </si>
  <si>
    <t>60 CROUCH AVENUE</t>
  </si>
  <si>
    <t>2817 NORTH MAIN STREET</t>
  </si>
  <si>
    <t>416 COLT HIGHWAY</t>
  </si>
  <si>
    <t>261 SUMMIT ST</t>
  </si>
  <si>
    <t>122 PALMERS HILL RD</t>
  </si>
  <si>
    <t>1060 MAIN ST</t>
  </si>
  <si>
    <t>111 WESTCOTT RD</t>
  </si>
  <si>
    <t>595 VALLEY STREET</t>
  </si>
  <si>
    <t>345 BELDEN HILL ROAD</t>
  </si>
  <si>
    <t>100 REDDING ROAD</t>
  </si>
  <si>
    <t>101 MARSHALL LANE</t>
  </si>
  <si>
    <t>809 R NEW HAVEN ROAD</t>
  </si>
  <si>
    <t>9 CLIFF ST</t>
  </si>
  <si>
    <t>225 BOSTON POST RD</t>
  </si>
  <si>
    <t>171 MAIN ST</t>
  </si>
  <si>
    <t>186 JERRY BROWNE ROAD</t>
  </si>
  <si>
    <t>5 RICHARD BROWN DRIVE</t>
  </si>
  <si>
    <t>320 COLONY STREET</t>
  </si>
  <si>
    <t>3030 PARK AVENUE</t>
  </si>
  <si>
    <t>611 EAST HILL ROAD</t>
  </si>
  <si>
    <t>1900 LOVERING AVENUE</t>
  </si>
  <si>
    <t>2801 W. 6TH STREET</t>
  </si>
  <si>
    <t>4830 KENNETT PIKE</t>
  </si>
  <si>
    <t>505 GREENBANK ROAD</t>
  </si>
  <si>
    <t>6525 LANCASTER PIKE</t>
  </si>
  <si>
    <t>1001 MIDDLEFORD ROAD</t>
  </si>
  <si>
    <t>700 MARVEL ROAD</t>
  </si>
  <si>
    <t>801 N. BROOM STREET</t>
  </si>
  <si>
    <t>810 SOUTH BROOM STREET</t>
  </si>
  <si>
    <t>1100 NORMAN ESKRIDGE HIGHWAY</t>
  </si>
  <si>
    <t>726 LOVEVILLE ROAD</t>
  </si>
  <si>
    <t>889 SOUTH LITTLE CREEK ROAD</t>
  </si>
  <si>
    <t>3034 SOUTH DUPONT HIGHWAY</t>
  </si>
  <si>
    <t>255 POSSUM PARK ROAD</t>
  </si>
  <si>
    <t>4949 OGLETOWN-STANTON ROAD</t>
  </si>
  <si>
    <t>4031 KENNETT PIKE</t>
  </si>
  <si>
    <t>1080 SILVER LAKE BLVD</t>
  </si>
  <si>
    <t>700 FOULK ROAD</t>
  </si>
  <si>
    <t>110 W. NORTH STREET</t>
  </si>
  <si>
    <t>2723 SHIPLEY ROAD</t>
  </si>
  <si>
    <t>1175 MCKEE ROAD</t>
  </si>
  <si>
    <t>5651 LIMESTONE ROAD</t>
  </si>
  <si>
    <t>301 OCEAN VIEW BLVD</t>
  </si>
  <si>
    <t>100 SUNNYSIDE ROAD</t>
  </si>
  <si>
    <t>1912 MARSH ROAD</t>
  </si>
  <si>
    <t>231 SOUTH WASHINGTON STREET</t>
  </si>
  <si>
    <t>32 BUENA VISTA DRIVE</t>
  </si>
  <si>
    <t>715 E. KING STREET</t>
  </si>
  <si>
    <t>101 E. DELAWARE AVENUE</t>
  </si>
  <si>
    <t>100 ST. CLAIRE DRIVE</t>
  </si>
  <si>
    <t>704 RIVER ROAD</t>
  </si>
  <si>
    <t>1101 GILPIN AVENUE</t>
  </si>
  <si>
    <t>1225 WALKER ROAD</t>
  </si>
  <si>
    <t>500 SOUTH BROAD STREET</t>
  </si>
  <si>
    <t>100 DELAWARE VETERAN'S DRIVE</t>
  </si>
  <si>
    <t>26002 JOHN J WILLIAMS HIGHWAY</t>
  </si>
  <si>
    <t>17028 CADBURY CIRCLE</t>
  </si>
  <si>
    <t>3540 THREE LITTLE BAKERS BLVD</t>
  </si>
  <si>
    <t>4800 LANCASTER PIKE</t>
  </si>
  <si>
    <t>3322 SILVERSIDE ROAD</t>
  </si>
  <si>
    <t>3720 UPTON STREET NW</t>
  </si>
  <si>
    <t>2601 18TH STREET NE</t>
  </si>
  <si>
    <t>1380 SOUTHERN AVE SE</t>
  </si>
  <si>
    <t>5000 BURROUGHS AVE. NE</t>
  </si>
  <si>
    <t>1818 NEWTON ST. NW</t>
  </si>
  <si>
    <t>1330 MASSACHUSETTS AVENUE NW</t>
  </si>
  <si>
    <t>2425 25TH STREET SE</t>
  </si>
  <si>
    <t>4601 MARTIN LUTHER KING JR AVENUE SW</t>
  </si>
  <si>
    <t>5425 WESTERN AVE NW</t>
  </si>
  <si>
    <t>6200 OREGON AVE NW</t>
  </si>
  <si>
    <t>700 CONSTITUTION AVE. NE</t>
  </si>
  <si>
    <t>3050 MILITARY ROAD NW</t>
  </si>
  <si>
    <t>5255 LOUGHBORO ROAD NW</t>
  </si>
  <si>
    <t>2131 O STREET NW</t>
  </si>
  <si>
    <t>725 BUCHANAN ST., NE</t>
  </si>
  <si>
    <t>901 FIRST STREET NW</t>
  </si>
  <si>
    <t>4901 CONNECTICUT AVENUE, NW</t>
  </si>
  <si>
    <t>1310 SOUTHERN AVENUE, SE, SUITE 200</t>
  </si>
  <si>
    <t>14114 ALABAMA ST</t>
  </si>
  <si>
    <t>4413 US HWY 331 S</t>
  </si>
  <si>
    <t>333 N BYRON BUTLER PKWY</t>
  </si>
  <si>
    <t>4250 HOSPITAL DR</t>
  </si>
  <si>
    <t>3801 E HWY 98</t>
  </si>
  <si>
    <t>411 W WOODWARD AVE</t>
  </si>
  <si>
    <t>1001 S BEACH STREET</t>
  </si>
  <si>
    <t>7060 SW 8TH STREET</t>
  </si>
  <si>
    <t>12505 NE 16TH AVE</t>
  </si>
  <si>
    <t>600 NORTH 17TH AVE</t>
  </si>
  <si>
    <t>1820 SHORE DR S</t>
  </si>
  <si>
    <t>11401 OLD SAINT AUGUSTINE RD</t>
  </si>
  <si>
    <t>1200 N 35TH AVE</t>
  </si>
  <si>
    <t>2202 W OAK AVE</t>
  </si>
  <si>
    <t>5200 NE 2ND AVENUE</t>
  </si>
  <si>
    <t>725 S PINE ST</t>
  </si>
  <si>
    <t>2810 SOUTH ATLANTIC AVENUE</t>
  </si>
  <si>
    <t>301 NORTHPOINTE PARKWAY</t>
  </si>
  <si>
    <t>2010 MANATEE AVE E</t>
  </si>
  <si>
    <t>1230 SOUTH OLD DIXIE HWY</t>
  </si>
  <si>
    <t>4500 INDIANAPOLIS ST NE</t>
  </si>
  <si>
    <t>324 WILDER BLVD</t>
  </si>
  <si>
    <t>301 NE 141 STREET</t>
  </si>
  <si>
    <t>2839 S SEACREST BLVD</t>
  </si>
  <si>
    <t>811 JACKSON ST N</t>
  </si>
  <si>
    <t>6300 46TH AVE N</t>
  </si>
  <si>
    <t>1330 S ANDREWS AVE</t>
  </si>
  <si>
    <t>1701 NE 26TH ST</t>
  </si>
  <si>
    <t>3800 N FEDERAL HWY</t>
  </si>
  <si>
    <t>718 LAKEVIEW AVE S</t>
  </si>
  <si>
    <t>2675 N ANDREWS AVE</t>
  </si>
  <si>
    <t>16650 W DIXIE HWY</t>
  </si>
  <si>
    <t>1711 6TH AVENUE SOUTH</t>
  </si>
  <si>
    <t>400 CORBETT ST</t>
  </si>
  <si>
    <t>1061 VIRGINIA ST</t>
  </si>
  <si>
    <t>2802 PARENTAL HOME ROAD</t>
  </si>
  <si>
    <t>5377 MONCRIEF ROAD</t>
  </si>
  <si>
    <t>1818 E FLETCHER AVE</t>
  </si>
  <si>
    <t>451 S AMELIA AVE</t>
  </si>
  <si>
    <t>7900 VENTURE CENTER WAY</t>
  </si>
  <si>
    <t>1501 N ORANGE AVE</t>
  </si>
  <si>
    <t>626 N TYNDALL PKWY</t>
  </si>
  <si>
    <t>1301 16TH ST N</t>
  </si>
  <si>
    <t>924 W 13TH ST</t>
  </si>
  <si>
    <t>13650 NE 3RD COURT</t>
  </si>
  <si>
    <t>1524 EAST AVENUE SOUTH</t>
  </si>
  <si>
    <t>1609 MEDICAL DR</t>
  </si>
  <si>
    <t>210 21ST AVE W</t>
  </si>
  <si>
    <t>6020 INDIANA AVE</t>
  </si>
  <si>
    <t>390 NE 135TH ST</t>
  </si>
  <si>
    <t>4250 NW 5TH ST</t>
  </si>
  <si>
    <t>202 AVE O NE</t>
  </si>
  <si>
    <t>777 9TH ST N</t>
  </si>
  <si>
    <t>1849 FIRST AVENUE EAST</t>
  </si>
  <si>
    <t>3250 SW 41ST PLACE</t>
  </si>
  <si>
    <t>635 SE 17TH STREET</t>
  </si>
  <si>
    <t>1000 24TH ST N</t>
  </si>
  <si>
    <t>2121 E COMMERCIAL BLVD</t>
  </si>
  <si>
    <t>1415 S HICKORY ST</t>
  </si>
  <si>
    <t>210 N 2ND ST</t>
  </si>
  <si>
    <t>2201 NE 170TH STREET</t>
  </si>
  <si>
    <t>755 MEADOWS ROAD</t>
  </si>
  <si>
    <t>9820 N KENDALL DRIVE</t>
  </si>
  <si>
    <t>3127 57TH AVE N</t>
  </si>
  <si>
    <t>42 COLLINS AVENUE</t>
  </si>
  <si>
    <t>1050 NE 125TH STREET</t>
  </si>
  <si>
    <t>4411 N HABANA AVE</t>
  </si>
  <si>
    <t>7751 W BROWARD BLVD</t>
  </si>
  <si>
    <t>2826 CLEVELAND AVE</t>
  </si>
  <si>
    <t>3500 OAK MANOR LANE</t>
  </si>
  <si>
    <t>1775 HUNTINGTON LANE</t>
  </si>
  <si>
    <t>587 BARTON BLVD</t>
  </si>
  <si>
    <t>19590 OLD CUTLER ROAD</t>
  </si>
  <si>
    <t>700 SW 4TH STREET</t>
  </si>
  <si>
    <t>611 S 13TH ST</t>
  </si>
  <si>
    <t>2401 NE 2ND STREET</t>
  </si>
  <si>
    <t>1710 LAKE WORTH ROAD</t>
  </si>
  <si>
    <t>545 WEST EUCLID AVENUE</t>
  </si>
  <si>
    <t>991 E NEW YORK AVE</t>
  </si>
  <si>
    <t>114 THIRD STREET SE</t>
  </si>
  <si>
    <t>4343 LANGLEY AVENUE</t>
  </si>
  <si>
    <t>2501 N AUSTRALIAN AVENUE</t>
  </si>
  <si>
    <t>512 S 11TH ST</t>
  </si>
  <si>
    <t>1414 59TH ST S</t>
  </si>
  <si>
    <t>1270 TURNER ST</t>
  </si>
  <si>
    <t>6140 CONGRESS ST</t>
  </si>
  <si>
    <t>1500 SE PALM BEACH RD</t>
  </si>
  <si>
    <t>515 CHESAPEAKE DR</t>
  </si>
  <si>
    <t>4679 CRAWFORDVILLE HWY</t>
  </si>
  <si>
    <t>610 E BELLA VISTA DR</t>
  </si>
  <si>
    <t>1336 ST ANDREWS BLVD</t>
  </si>
  <si>
    <t>2055 E GEORGIA ST</t>
  </si>
  <si>
    <t>2061 HYDE PARK RD</t>
  </si>
  <si>
    <t>450 SHREVE STREET</t>
  </si>
  <si>
    <t>606 E SHERIDAN RD</t>
  </si>
  <si>
    <t>1100 66TH ST N</t>
  </si>
  <si>
    <t>550 62ND ST S</t>
  </si>
  <si>
    <t>1 LBJ SR DRIVE</t>
  </si>
  <si>
    <t>440 PHIPPEN WAITERS ROAD</t>
  </si>
  <si>
    <t>1114 CHATMAN BLVD</t>
  </si>
  <si>
    <t>2000 EAST COMMERCIAL BLVD</t>
  </si>
  <si>
    <t>1514 E CHELSEA ST</t>
  </si>
  <si>
    <t>9555 SE FEDERAL HWY</t>
  </si>
  <si>
    <t>1350 SLEEPY HILL RD</t>
  </si>
  <si>
    <t>919 OLD WINTER HAVEN RD</t>
  </si>
  <si>
    <t>2000 EDGEWOOD AVE</t>
  </si>
  <si>
    <t>13806 N 46TH ST</t>
  </si>
  <si>
    <t>2075 LOCH LOMOND DRIVE</t>
  </si>
  <si>
    <t>304 S CITRUS AVE</t>
  </si>
  <si>
    <t>170 N KINGS ROAD</t>
  </si>
  <si>
    <t>1055 3RD STREET</t>
  </si>
  <si>
    <t>51 SUNRISE BLVD</t>
  </si>
  <si>
    <t>136 NORTHEAST 12TH AVENUE</t>
  </si>
  <si>
    <t>105 TRINITY LAKES DR</t>
  </si>
  <si>
    <t>37135 COLEMAN AVE</t>
  </si>
  <si>
    <t>1201 SE 24TH RD</t>
  </si>
  <si>
    <t>420 BAY AVE</t>
  </si>
  <si>
    <t>301 S BAY ST</t>
  </si>
  <si>
    <t>125 ALMA BLVD</t>
  </si>
  <si>
    <t>3501 BAYSHORE BLVD</t>
  </si>
  <si>
    <t>1902 59TH ST W</t>
  </si>
  <si>
    <t>5386 BROAD ST</t>
  </si>
  <si>
    <t>550 9TH STREET</t>
  </si>
  <si>
    <t>1800 N E 168TH STREET</t>
  </si>
  <si>
    <t>2970 SCARLETT RD</t>
  </si>
  <si>
    <t>3050 BROWN AVE</t>
  </si>
  <si>
    <t>2105 SW 11TH COURT</t>
  </si>
  <si>
    <t>3370 NW 47TH TERRACE</t>
  </si>
  <si>
    <t>2629 DEL PRADO BLVD</t>
  </si>
  <si>
    <t>6630 KENTUCKY AVE</t>
  </si>
  <si>
    <t>1270 SW MAIN BLVD</t>
  </si>
  <si>
    <t>130 W ARMSTRONG AVENUE</t>
  </si>
  <si>
    <t>1351 SAN CHRISTOPHER DR</t>
  </si>
  <si>
    <t>4100 E FLETCHER AVE</t>
  </si>
  <si>
    <t>3011 KENILWORTH BLVD</t>
  </si>
  <si>
    <t>3355 E SEMORAN BLVD</t>
  </si>
  <si>
    <t>1919 LAKELAND HILLS BLVD</t>
  </si>
  <si>
    <t>6152 N VERDE TRAIL</t>
  </si>
  <si>
    <t>201 CURTISS PKWY</t>
  </si>
  <si>
    <t>1750 STOCKTON ST</t>
  </si>
  <si>
    <t>7901 NW 88TH AVENUE</t>
  </si>
  <si>
    <t>401 ORANGE PLACE</t>
  </si>
  <si>
    <t>4033 BEAVER LANE</t>
  </si>
  <si>
    <t>3333 CAPITAL MEDICAL BLVD</t>
  </si>
  <si>
    <t>989 ORIENTA AVE</t>
  </si>
  <si>
    <t>3648 UNIVERSITY BLVD S</t>
  </si>
  <si>
    <t>3075 NW 35TH AVE</t>
  </si>
  <si>
    <t>2501 N A ST</t>
  </si>
  <si>
    <t>1980 SUNSET POINT RD</t>
  </si>
  <si>
    <t>901 VETERAN'S MEMORIAL PARKWAY</t>
  </si>
  <si>
    <t>715 E DIXIE AVE</t>
  </si>
  <si>
    <t>2125 WEST NEW HAVEN AVE</t>
  </si>
  <si>
    <t>1520 S GRANT ST</t>
  </si>
  <si>
    <t>2655 NEBRASKA AVE</t>
  </si>
  <si>
    <t>320 N MITCHELL ST</t>
  </si>
  <si>
    <t>2029 PROFESSIONAL CENTER DR</t>
  </si>
  <si>
    <t>703 S 29TH ST</t>
  </si>
  <si>
    <t>2525 FIRST ST</t>
  </si>
  <si>
    <t>37300 ROYAL OAK LANE</t>
  </si>
  <si>
    <t>13755 GOLF CLUB PKWY</t>
  </si>
  <si>
    <t>3250 12TH ST</t>
  </si>
  <si>
    <t>4250 66TH ST N</t>
  </si>
  <si>
    <t>1937 JENKS AVE</t>
  </si>
  <si>
    <t>2500 NW 22ND AVE</t>
  </si>
  <si>
    <t>8041 STATE RD 52</t>
  </si>
  <si>
    <t>2600 HIGHLANDS BLVD N</t>
  </si>
  <si>
    <t>1001 MAR-WALT DRIVE</t>
  </si>
  <si>
    <t>130 MOORINGS PARK DRIVE</t>
  </si>
  <si>
    <t>7045 EVERGREEN WOODS TRL</t>
  </si>
  <si>
    <t>7380 ULMERTON RD</t>
  </si>
  <si>
    <t>3663 15TH AVE</t>
  </si>
  <si>
    <t>606 NE 7TH ST</t>
  </si>
  <si>
    <t>350 S RIDGEWOOD AVENUE</t>
  </si>
  <si>
    <t>601 UNIVERSE BLVD</t>
  </si>
  <si>
    <t>4602 NORTHGATE COURT</t>
  </si>
  <si>
    <t>1735 N TREASURE DRIVE</t>
  </si>
  <si>
    <t>3636 10TH AVE N</t>
  </si>
  <si>
    <t>7300 OLEANDER AVE</t>
  </si>
  <si>
    <t>1717 HOMEWOOD BLVD</t>
  </si>
  <si>
    <t>10800 TEMPLE TERRACE</t>
  </si>
  <si>
    <t>1445 HOWELL AVE</t>
  </si>
  <si>
    <t>741 SOUTH BENEVA ROAD</t>
  </si>
  <si>
    <t>2916 HABANA WAY</t>
  </si>
  <si>
    <t>3865 TAMPA RD</t>
  </si>
  <si>
    <t>315 S FLAGLER DR</t>
  </si>
  <si>
    <t>3601 LAKEWOOD BLVD</t>
  </si>
  <si>
    <t>8701 49TH ST N</t>
  </si>
  <si>
    <t>10680 OLD ST AUGUSTINE RD</t>
  </si>
  <si>
    <t>8720 JACKSON SPRINGS RD</t>
  </si>
  <si>
    <t>7173 CYPRESS DRIVE SW</t>
  </si>
  <si>
    <t>1801 N LAKE MARIAM DR</t>
  </si>
  <si>
    <t>7723 JASPER AVENUE</t>
  </si>
  <si>
    <t>1700 MONROE AVE</t>
  </si>
  <si>
    <t>1900 MERCY DRIVE</t>
  </si>
  <si>
    <t>899 NW 4TH STREET</t>
  </si>
  <si>
    <t>3101 GINGER DR</t>
  </si>
  <si>
    <t>4842 SW ARCHER ROAD</t>
  </si>
  <si>
    <t>220 NINTH STREET</t>
  </si>
  <si>
    <t>870 PATRICIA AVE</t>
  </si>
  <si>
    <t>700 SE 8TH AVE</t>
  </si>
  <si>
    <t>4927 VOORHEES RD</t>
  </si>
  <si>
    <t>2900 12TH STREET N</t>
  </si>
  <si>
    <t>15204 W COLONIAL DR</t>
  </si>
  <si>
    <t>4800 N NOB HILL RD</t>
  </si>
  <si>
    <t>409 S 10TH ST</t>
  </si>
  <si>
    <t>1026 ALBEE FARM RD</t>
  </si>
  <si>
    <t>10100 HILLVIEW DR</t>
  </si>
  <si>
    <t>10040 HILLVIEW ROAD</t>
  </si>
  <si>
    <t>1851 ELKCAM BLVD</t>
  </si>
  <si>
    <t>1705 JESS PARRISH CT</t>
  </si>
  <si>
    <t>9380 NW 7TH AVENUE</t>
  </si>
  <si>
    <t>900 BECKETT WAY</t>
  </si>
  <si>
    <t>1111 DRURY LN</t>
  </si>
  <si>
    <t>2055 PALMETTO ST</t>
  </si>
  <si>
    <t>5511 SWIFT ROAD</t>
  </si>
  <si>
    <t>125 TOMOKA BLVD S</t>
  </si>
  <si>
    <t>103 NORTH CLYDE MORRIS BLVD</t>
  </si>
  <si>
    <t>8417 OLD COUNTY RD 54</t>
  </si>
  <si>
    <t>6700 NW 10TH PLACE</t>
  </si>
  <si>
    <t>2333 N BRENTWOOD CIR</t>
  </si>
  <si>
    <t>301 SOUTH GLORIA ST</t>
  </si>
  <si>
    <t>1100 SOUTH COURTENAY PARKWAY</t>
  </si>
  <si>
    <t>1515 PORT MALABAR BLVD NE</t>
  </si>
  <si>
    <t>1501 SE 24TH RD</t>
  </si>
  <si>
    <t>4405 LAKEWOOD ROAD</t>
  </si>
  <si>
    <t>300 NW 1ST AVE</t>
  </si>
  <si>
    <t>1999 OLD MOULTRIE ROAD</t>
  </si>
  <si>
    <t>220 SIERRA DRIVE</t>
  </si>
  <si>
    <t>1625 LIME STREET</t>
  </si>
  <si>
    <t>9311 S ORANGE BLOSSOM TRL</t>
  </si>
  <si>
    <t>910 TAMIAMI TRAIL SOUTH</t>
  </si>
  <si>
    <t>17884 NE CROZIER ST</t>
  </si>
  <si>
    <t>1310 37TH ST</t>
  </si>
  <si>
    <t>5430 LINTON BLVD</t>
  </si>
  <si>
    <t>6363 VERDE TRAIL</t>
  </si>
  <si>
    <t>4201 31ST ST S</t>
  </si>
  <si>
    <t>401 FAIRWOOD AVE</t>
  </si>
  <si>
    <t>411 NORTH DILLARD STREET</t>
  </si>
  <si>
    <t>3920 ROSEWOOD WAY</t>
  </si>
  <si>
    <t>375 NW 51ST STREET</t>
  </si>
  <si>
    <t>5245 N SOCRUM LOOP RD</t>
  </si>
  <si>
    <t>1646 HIGHWAY 441 N</t>
  </si>
  <si>
    <t>2180 HYPOLUXO ROAD</t>
  </si>
  <si>
    <t>8600 US HWY 19 N</t>
  </si>
  <si>
    <t>3387 GULF BREEZE PARKWAY</t>
  </si>
  <si>
    <t>808 S COLLEY RD</t>
  </si>
  <si>
    <t>23305 BLUE WATER CIRCLE</t>
  </si>
  <si>
    <t>4610 S MANHATTAN AVE</t>
  </si>
  <si>
    <t>1626 DAVIS RD</t>
  </si>
  <si>
    <t>600 BUSINESS PARK WAY</t>
  </si>
  <si>
    <t>4200 WASHINGTON ST</t>
  </si>
  <si>
    <t>3001 SOUTH CONGRESS AVENUE</t>
  </si>
  <si>
    <t>1240 PINEBROOK ROAD</t>
  </si>
  <si>
    <t>5300 W 16TH AVENUE</t>
  </si>
  <si>
    <t>6135 RATTLESNAKE HAMMOCK ROAD</t>
  </si>
  <si>
    <t>17475 S DIXIE HWY</t>
  </si>
  <si>
    <t>1255 NE 135TH STREET</t>
  </si>
  <si>
    <t>8500 ROYAL PALM BLVD</t>
  </si>
  <si>
    <t>255 59TH ST N</t>
  </si>
  <si>
    <t>5951 COLONIAL DRIVE</t>
  </si>
  <si>
    <t>7300 DEL PRADO CIRCLE SOUTH</t>
  </si>
  <si>
    <t>991 PONDELLA RD</t>
  </si>
  <si>
    <t>19225 SW 87TH AVE</t>
  </si>
  <si>
    <t>4801 SE COVE RD</t>
  </si>
  <si>
    <t>1404 NW 22ND STREET</t>
  </si>
  <si>
    <t>8785 NW 32ND AVENUE</t>
  </si>
  <si>
    <t>151 E MINNEHAHA AVE</t>
  </si>
  <si>
    <t>13900 NE 3RD COURT</t>
  </si>
  <si>
    <t>60 N HWY 17/92</t>
  </si>
  <si>
    <t>701 N WILDER RD</t>
  </si>
  <si>
    <t>2170 PALM BEACH LAKES BLVD</t>
  </si>
  <si>
    <t>12751 W COLONIAL DRIVE</t>
  </si>
  <si>
    <t>6931 W SUNRISE BLVD</t>
  </si>
  <si>
    <t>701 VICTORIA ST</t>
  </si>
  <si>
    <t>1130 NW 15TH STREET</t>
  </si>
  <si>
    <t>1550 LEE BOULEVARD</t>
  </si>
  <si>
    <t>6940 OUTREACH WAY</t>
  </si>
  <si>
    <t>25325 RAMPART BLVD</t>
  </si>
  <si>
    <t>5627 9TH ST E</t>
  </si>
  <si>
    <t>900 LPGA BLVD</t>
  </si>
  <si>
    <t>3855 OLD CANOE CREEK ROAD</t>
  </si>
  <si>
    <t>2302 59TH ST W</t>
  </si>
  <si>
    <t>1550 JESS PARRISH CT</t>
  </si>
  <si>
    <t>9355 SAN JOSE BLVD</t>
  </si>
  <si>
    <t>10095 HILLVIEW ROAD</t>
  </si>
  <si>
    <t>8700 A C SKINNER PARKWAY</t>
  </si>
  <si>
    <t>1255 PASADENA AVE S, SUITE C</t>
  </si>
  <si>
    <t>23013 WESTCHESTER BLVD</t>
  </si>
  <si>
    <t>950 MELLONVILLE AVE</t>
  </si>
  <si>
    <t>1330 NW 1ST AVE</t>
  </si>
  <si>
    <t>2100 JENKS AVE</t>
  </si>
  <si>
    <t>7210 BEACON WOODS DR</t>
  </si>
  <si>
    <t>1730 LUCERNE TERRACE</t>
  </si>
  <si>
    <t>300 DR CARTER BOULEVARD</t>
  </si>
  <si>
    <t>200 MARINER HEALTH WAY</t>
  </si>
  <si>
    <t>1410 DR MARTIN LUTHER KING JR ST N</t>
  </si>
  <si>
    <t>1990 S CANAL DRIVE</t>
  </si>
  <si>
    <t>105 15TH ST E</t>
  </si>
  <si>
    <t>5360 GLOVER LANE</t>
  </si>
  <si>
    <t>15002 HUTCHINSON RD</t>
  </si>
  <si>
    <t>8333 W OKEECHOBEE ROAD</t>
  </si>
  <si>
    <t>17781 THELMA AVE</t>
  </si>
  <si>
    <t>500 VILLAGE PLACE</t>
  </si>
  <si>
    <t>5065 WALLIS ROAD</t>
  </si>
  <si>
    <t>1500 SOUTHGATE DRIVE</t>
  </si>
  <si>
    <t>11855 QUAIL ROOST DRIVE</t>
  </si>
  <si>
    <t>8475 UNIVERSITY PARKWAY</t>
  </si>
  <si>
    <t>2700 SW 34TH ST</t>
  </si>
  <si>
    <t>2255 CENTERVILLE ROAD</t>
  </si>
  <si>
    <t>7950 LAKE UNDERHILL ROAD</t>
  </si>
  <si>
    <t>820 N CLYDE MORRIS BLVD</t>
  </si>
  <si>
    <t>1120 CYPRESS GARDENS BLVD</t>
  </si>
  <si>
    <t>3280 LAKE POINTE BLVD</t>
  </si>
  <si>
    <t>13719 DALLAS DR</t>
  </si>
  <si>
    <t>595 N WILLIAMSON BLVD</t>
  </si>
  <si>
    <t>227 SW 62ND BLVD</t>
  </si>
  <si>
    <t>51 W SAMPLE ROAD</t>
  </si>
  <si>
    <t>10500 STARKEY RD</t>
  </si>
  <si>
    <t>6750 WEST 22ND COURT</t>
  </si>
  <si>
    <t>654 N ECONLOCKHATCHEE TRAIL</t>
  </si>
  <si>
    <t>1615 MIAMI RD</t>
  </si>
  <si>
    <t>1655 SE WALTON ROAD</t>
  </si>
  <si>
    <t>1350 S NOVA RD</t>
  </si>
  <si>
    <t>3480 MCMULLEN BOOTH RD</t>
  </si>
  <si>
    <t>5640 RAND BLVD</t>
  </si>
  <si>
    <t>833 KINGSLEY AVE</t>
  </si>
  <si>
    <t>3825 COUNTRYSIDE BLVD N</t>
  </si>
  <si>
    <t>216 SANTA BARBARA BLVD</t>
  </si>
  <si>
    <t>170 N CENTER STREET</t>
  </si>
  <si>
    <t>3612 E 138TH AVE</t>
  </si>
  <si>
    <t>1755 37TH STREET</t>
  </si>
  <si>
    <t>2440 CITRUS BLOSSOM CIR</t>
  </si>
  <si>
    <t>18905 NE 25TH AVE</t>
  </si>
  <si>
    <t>110 SE LEE AVE</t>
  </si>
  <si>
    <t>401 E LINTON BLVD</t>
  </si>
  <si>
    <t>38220 HENRY DR</t>
  </si>
  <si>
    <t>1751 SE HILLMOOR DRIVE</t>
  </si>
  <si>
    <t>138 SANDESTIN LANE</t>
  </si>
  <si>
    <t>4100 SW 33RD AVE</t>
  </si>
  <si>
    <t>926 HABEN BLVD</t>
  </si>
  <si>
    <t>9211 W BROWARD BLVD</t>
  </si>
  <si>
    <t>575 LAMAR AVE</t>
  </si>
  <si>
    <t>300 EXECUTIVE CENTER DRIVE</t>
  </si>
  <si>
    <t>5901 NW 79TH AVENUE</t>
  </si>
  <si>
    <t>21251 E DIXIE HIGHWAY</t>
  </si>
  <si>
    <t>6414 13TH RD S</t>
  </si>
  <si>
    <t>910 BROOKMEADE DRIVE</t>
  </si>
  <si>
    <t>1620 HELVENSTON ST SE</t>
  </si>
  <si>
    <t>10501 ROOSEVELT BLVD N</t>
  </si>
  <si>
    <t>1504 SEABREEZE AVE</t>
  </si>
  <si>
    <t>558 N SEMORAN BLVD</t>
  </si>
  <si>
    <t>4240 LAKELAND HIGHLANDS RD</t>
  </si>
  <si>
    <t>700 N PALMETTO ST</t>
  </si>
  <si>
    <t>401 EAST SAMPLE ROAD</t>
  </si>
  <si>
    <t>2525 SW 75TH AVENUE</t>
  </si>
  <si>
    <t>306 WEST BROCK AVENUE</t>
  </si>
  <si>
    <t>785 S 2ND STREET</t>
  </si>
  <si>
    <t>2701 N COURSE DR</t>
  </si>
  <si>
    <t>1717 W AVERY ST</t>
  </si>
  <si>
    <t>5525 21ST AVE W</t>
  </si>
  <si>
    <t>1003 YORK ROAD</t>
  </si>
  <si>
    <t>207 MARSHALL DR</t>
  </si>
  <si>
    <t>11565 HARTS RD</t>
  </si>
  <si>
    <t>1100 N PINE ST</t>
  </si>
  <si>
    <t>251 FLORIDA AVE</t>
  </si>
  <si>
    <t>1150 PONCE DE LEON BLVD</t>
  </si>
  <si>
    <t>4295 FIFTH AVENUE</t>
  </si>
  <si>
    <t>1000 SW 16TH AVE</t>
  </si>
  <si>
    <t>750 BAYBERRY DRIVE</t>
  </si>
  <si>
    <t>9400 SW 137TH AVENUE</t>
  </si>
  <si>
    <t>155 LANDOVER PLACE</t>
  </si>
  <si>
    <t>518 W FLETCHER AVE</t>
  </si>
  <si>
    <t>6209 BROOKS BARTRAM DRIVE</t>
  </si>
  <si>
    <t>490 S OLD WIRE RD</t>
  </si>
  <si>
    <t>3117 W GANDY BLVD</t>
  </si>
  <si>
    <t>325 S SEGRAVE STREET</t>
  </si>
  <si>
    <t>110 KAY LARKIN DR</t>
  </si>
  <si>
    <t>1215 KINGSLEY AVE</t>
  </si>
  <si>
    <t>3301 N MCMULLEN BOOTH RD</t>
  </si>
  <si>
    <t>6410 21ST AVE W</t>
  </si>
  <si>
    <t>2730 W MARC KNIGHTON CT</t>
  </si>
  <si>
    <t>38250 A AVE</t>
  </si>
  <si>
    <t>1201 12TH AVENUE SOUTH</t>
  </si>
  <si>
    <t>1001 CARPENTERS WAY</t>
  </si>
  <si>
    <t>1083 SANDERS AVENUE</t>
  </si>
  <si>
    <t>803 OAK ST</t>
  </si>
  <si>
    <t>4000 SW 20TH AVE</t>
  </si>
  <si>
    <t>650 REED CANAL RD</t>
  </si>
  <si>
    <t>12740 LANIER ROAD</t>
  </si>
  <si>
    <t>777 SOUTH DOUGLAS ROAD</t>
  </si>
  <si>
    <t>1301 KANSAS AVE</t>
  </si>
  <si>
    <t>1420 SOUTH OAK STREET</t>
  </si>
  <si>
    <t>1333 SANTA BARBARA BLVD</t>
  </si>
  <si>
    <t>7201 GREENBORO DR</t>
  </si>
  <si>
    <t>12250 N 22ND ST</t>
  </si>
  <si>
    <t>9711 W OAKLAND PARK BLVD</t>
  </si>
  <si>
    <t>2599 NW 55TH AVE</t>
  </si>
  <si>
    <t>5725 SPRING PARK ROAD</t>
  </si>
  <si>
    <t>250 BROWARD AVE</t>
  </si>
  <si>
    <t>8495 NORMANDY BLVD</t>
  </si>
  <si>
    <t>9945 CENTRAL PARK BLVD N</t>
  </si>
  <si>
    <t>4251 SPRINGTREE DRIVE</t>
  </si>
  <si>
    <t>800 SE CENTRAL PKWY</t>
  </si>
  <si>
    <t>10300 4TH ST N</t>
  </si>
  <si>
    <t>1111 S HIGHLAND AVE</t>
  </si>
  <si>
    <t>3001 DEER CREEK COUNTRY CLUB</t>
  </si>
  <si>
    <t>570 WELLS RD</t>
  </si>
  <si>
    <t>2020 W LAKE PARKER DR</t>
  </si>
  <si>
    <t>499 ALTERNATE KEENE RD NE</t>
  </si>
  <si>
    <t>602 E LAURA ST</t>
  </si>
  <si>
    <t>4470 E BAY DR</t>
  </si>
  <si>
    <t>3030 BEARSS AVE</t>
  </si>
  <si>
    <t>500 CROCKETT BLVD</t>
  </si>
  <si>
    <t>5157 PARK CLUB DRIVE</t>
  </si>
  <si>
    <t>611 TURNER CAMP RD</t>
  </si>
  <si>
    <t>701 LAKE PORT BLVD</t>
  </si>
  <si>
    <t>1556 MAGUIRE RD</t>
  </si>
  <si>
    <t>1650 FOURAKER RD</t>
  </si>
  <si>
    <t>2851 TAMPA RD</t>
  </si>
  <si>
    <t>5725 NW 186 STREET</t>
  </si>
  <si>
    <t>4134 DUNN AVENUE</t>
  </si>
  <si>
    <t>201 NE 112TH STREET</t>
  </si>
  <si>
    <t>7501 38TH AVE N</t>
  </si>
  <si>
    <t>3456 21ST AVE S</t>
  </si>
  <si>
    <t>321 13TH AVE N</t>
  </si>
  <si>
    <t>16100 NW 2ND AVENUE</t>
  </si>
  <si>
    <t>6001 WEBB RD</t>
  </si>
  <si>
    <t>9848 SW 110TH ST</t>
  </si>
  <si>
    <t>702 S KINGS AVE</t>
  </si>
  <si>
    <t>11215 SW 84TH STREET</t>
  </si>
  <si>
    <t>1620 MAYFLOWER COURT</t>
  </si>
  <si>
    <t>5888 BLANDING BLVD</t>
  </si>
  <si>
    <t>1600 MATTHEW DRIVE</t>
  </si>
  <si>
    <t>3930 E SILVER SPRINGS BLVD</t>
  </si>
  <si>
    <t>1203 E 22ND AVE</t>
  </si>
  <si>
    <t>879 USERY ROAD</t>
  </si>
  <si>
    <t>830 WEST 29TH STREET</t>
  </si>
  <si>
    <t>4294 3RD AVENUE</t>
  </si>
  <si>
    <t>1540 6TH ST NW</t>
  </si>
  <si>
    <t>210 LAKE AVENUE</t>
  </si>
  <si>
    <t>910 NEW YORK AVE</t>
  </si>
  <si>
    <t>200 16TH AVE SE</t>
  </si>
  <si>
    <t>4201 W NEW NOLTE ROAD</t>
  </si>
  <si>
    <t>2810 ENTERPRISE RD</t>
  </si>
  <si>
    <t>3850 UPPER CREEK DR</t>
  </si>
  <si>
    <t>755 S 5TH ST</t>
  </si>
  <si>
    <t>900 IMPERIAL GOLF COURSE BLVD</t>
  </si>
  <si>
    <t>3110 OAKBRIDGE BLVD E</t>
  </si>
  <si>
    <t>ONE FLEET LANDING BLVD</t>
  </si>
  <si>
    <t>2770 REGENCY OAKS BLVD</t>
  </si>
  <si>
    <t>4600 MIDDLETON PARK CIR E</t>
  </si>
  <si>
    <t>3107 NORTH H STREET</t>
  </si>
  <si>
    <t>7101 DR MARTIN LUTHER KING JR ST N</t>
  </si>
  <si>
    <t>6984 PINE FOREST ROAD</t>
  </si>
  <si>
    <t>5201 CURRY FORD ROAD</t>
  </si>
  <si>
    <t>3600 OLD BOYNTON ROAD</t>
  </si>
  <si>
    <t>3756 W THIRD ST</t>
  </si>
  <si>
    <t>70 WEST LUCERNE CIRCLE</t>
  </si>
  <si>
    <t>45 KATHERINE BLVD</t>
  </si>
  <si>
    <t>832 SUNSET LAKE BOULEVARD</t>
  </si>
  <si>
    <t>11375 PROSPERITY FARMS ROAD</t>
  </si>
  <si>
    <t>1650 PHILLIPS RD</t>
  </si>
  <si>
    <t>190 NE 191ST STREET</t>
  </si>
  <si>
    <t>560 SW MCFARLANE AVE</t>
  </si>
  <si>
    <t>7280 SW STATE RD 26</t>
  </si>
  <si>
    <t>435 42ND AVE S</t>
  </si>
  <si>
    <t>1755 18TH ST</t>
  </si>
  <si>
    <t>1027 E HWY 98</t>
  </si>
  <si>
    <t>5600 VICTORIA GARDENS BLVD</t>
  </si>
  <si>
    <t>206 W ORANGE ST</t>
  </si>
  <si>
    <t>16131 ROSERUSH COURT</t>
  </si>
  <si>
    <t>1010 US 27 N</t>
  </si>
  <si>
    <t>305 EAST OAK STREET</t>
  </si>
  <si>
    <t>250 SOUTH CHICKASAW TRAIL</t>
  </si>
  <si>
    <t>1500 NORTH WHITE POINT ROAD</t>
  </si>
  <si>
    <t>550 W MORSE BLVD</t>
  </si>
  <si>
    <t>8132 HUDSON AVENUE</t>
  </si>
  <si>
    <t>10949 PARNU STREET</t>
  </si>
  <si>
    <t>215 ANNIE STREET</t>
  </si>
  <si>
    <t>1510 CYPRESS GARDENS BLVD</t>
  </si>
  <si>
    <t>2225 KNOX MCRAE DR</t>
  </si>
  <si>
    <t>2939 S HAVERHILL RD</t>
  </si>
  <si>
    <t>300 BROOKFIELD AVE</t>
  </si>
  <si>
    <t>2500 W CHURCH STREET</t>
  </si>
  <si>
    <t>4847 FRED GLADSTONE DRIVE</t>
  </si>
  <si>
    <t>1780 N JEFFERSON ST</t>
  </si>
  <si>
    <t>190 W 28TH STREET</t>
  </si>
  <si>
    <t>700 S 29TH STREET</t>
  </si>
  <si>
    <t>501 S PALM AVE</t>
  </si>
  <si>
    <t>2481 WEST US 90</t>
  </si>
  <si>
    <t>100 N LAKE ST</t>
  </si>
  <si>
    <t>10676 MARVIN JONES BLVD</t>
  </si>
  <si>
    <t>1329 ABRAHAM STREET</t>
  </si>
  <si>
    <t>1213 W STRATFORD RD</t>
  </si>
  <si>
    <t>730 COLLEGE STREET</t>
  </si>
  <si>
    <t>161A MARINE STREET</t>
  </si>
  <si>
    <t>700 JOHN RINGLING BLVD</t>
  </si>
  <si>
    <t>1800 SE HILLMOOR DRIVE</t>
  </si>
  <si>
    <t>3937 SPRING PARK ROAD</t>
  </si>
  <si>
    <t>6535 CHESTER AVENUE</t>
  </si>
  <si>
    <t>1704 HUNTINGTON VILLAGE CIRCLE</t>
  </si>
  <si>
    <t>2120 MARSHALL EDWARDS DR</t>
  </si>
  <si>
    <t>13455 W US HWY 90</t>
  </si>
  <si>
    <t>427 15TH AVENUE NORTHWEST</t>
  </si>
  <si>
    <t>1771 EDGEWOOD AVE W</t>
  </si>
  <si>
    <t>1800 SOUTH DRIVE</t>
  </si>
  <si>
    <t>1500 SW CAPRI ST</t>
  </si>
  <si>
    <t>2505 SW MARTIN HWY</t>
  </si>
  <si>
    <t>1699 SE LYNGATE DRIVE</t>
  </si>
  <si>
    <t>1200  7TH AVE N</t>
  </si>
  <si>
    <t>333 E ASHLEY ST</t>
  </si>
  <si>
    <t>4445 PINE FOREST DR</t>
  </si>
  <si>
    <t>9600 LAWRENCE RD</t>
  </si>
  <si>
    <t>5101 WEST BLUE HERON BLVD</t>
  </si>
  <si>
    <t>221 PARK PLACE BLVD</t>
  </si>
  <si>
    <t>1920 MASON AVENUE</t>
  </si>
  <si>
    <t>5401 SAWYER RD</t>
  </si>
  <si>
    <t>1099 WEST TOWN PARKWAY</t>
  </si>
  <si>
    <t>587 SE ERMINE AVE</t>
  </si>
  <si>
    <t>11300 110TH AVE N</t>
  </si>
  <si>
    <t>1425 S CONGRESS AVE</t>
  </si>
  <si>
    <t>6343 VIA DE SONRISA DEL SUR</t>
  </si>
  <si>
    <t>7225 BOCA DEL MAR DRIVE</t>
  </si>
  <si>
    <t>4449 MEANDERING WAY</t>
  </si>
  <si>
    <t>2810 RULEME ST</t>
  </si>
  <si>
    <t>100 GLENVIEW PLACE</t>
  </si>
  <si>
    <t>701 MEDICAL COURT EAST</t>
  </si>
  <si>
    <t>4000 KINGS HWY</t>
  </si>
  <si>
    <t>6020 INDUSTRIAL BLVD</t>
  </si>
  <si>
    <t>3033 SARNO RD</t>
  </si>
  <si>
    <t>195 MATTIE M KELLY BLVD</t>
  </si>
  <si>
    <t>2310 N AIRPORT ROAD</t>
  </si>
  <si>
    <t>912 AMERICAN EAGLE BLVD</t>
  </si>
  <si>
    <t>5900 WESTGATE DRIVE</t>
  </si>
  <si>
    <t>3325 W JERWAYNE LN</t>
  </si>
  <si>
    <t>1024 WILLA SPRINGS DR</t>
  </si>
  <si>
    <t>3671 S MIAMI AVENUE</t>
  </si>
  <si>
    <t>2090 N CONGRESS AVE</t>
  </si>
  <si>
    <t>5601 31ST ST S</t>
  </si>
  <si>
    <t>1111 S LAKEMONT AVE</t>
  </si>
  <si>
    <t>851 WEST LUMSDEN RD</t>
  </si>
  <si>
    <t>3250 WINKLER AVENUE EXTENSION</t>
  </si>
  <si>
    <t>2811 CAMPUS HILL DR</t>
  </si>
  <si>
    <t>8050 SPYGLASS HILL RD</t>
  </si>
  <si>
    <t>1301 W MAITLAND BLVD</t>
  </si>
  <si>
    <t>4641 OLD CANOE CREEK ROAD</t>
  </si>
  <si>
    <t>2000 17TH AVE S</t>
  </si>
  <si>
    <t>1709 TALIAFERRO AVE</t>
  </si>
  <si>
    <t>259 SW CAPTAIN BROWN RD</t>
  </si>
  <si>
    <t>9393 PARK BLVD</t>
  </si>
  <si>
    <t>25 STATE ROAD 13</t>
  </si>
  <si>
    <t>800 NW 95TH STREET</t>
  </si>
  <si>
    <t>4251 STACK BLVD</t>
  </si>
  <si>
    <t>9869 SW 152ND STREET</t>
  </si>
  <si>
    <t>2300 VILLAGE BLVD</t>
  </si>
  <si>
    <t>1395 S PINELLAS AVE</t>
  </si>
  <si>
    <t>550 NATIONAL HEALTHCARE DRIVE</t>
  </si>
  <si>
    <t>4101 SOUTHPOINT DRIVE EAST</t>
  </si>
  <si>
    <t>1700 21ST AVE W</t>
  </si>
  <si>
    <t>3803 PGA BOULEVARD</t>
  </si>
  <si>
    <t>16690 SW CHIPOLA RD</t>
  </si>
  <si>
    <t>1095 PINELLAS POINT DR S</t>
  </si>
  <si>
    <t>9960 ATRIUM WAY</t>
  </si>
  <si>
    <t>2145 KINGSLEY AVE</t>
  </si>
  <si>
    <t>120 CHIPOLA AVE</t>
  </si>
  <si>
    <t>235 WEST AIRPORT BLVD</t>
  </si>
  <si>
    <t>450 NORTH MCDONALD AVENUE</t>
  </si>
  <si>
    <t>7600 SW 8TH STREET</t>
  </si>
  <si>
    <t>909 LAKESIDE AVE</t>
  </si>
  <si>
    <t>1465 OAKFIELD DR</t>
  </si>
  <si>
    <t>3001 PALM COAST PARKWAY SE</t>
  </si>
  <si>
    <t>950 PINEBROOK ROAD</t>
  </si>
  <si>
    <t>4600 54TH AVE S</t>
  </si>
  <si>
    <t>4875 CASON COVE DRIVE</t>
  </si>
  <si>
    <t>580 W 8TH STREET</t>
  </si>
  <si>
    <t>355 CROSSING BLVD</t>
  </si>
  <si>
    <t>512 W MAIN ST</t>
  </si>
  <si>
    <t>1450 EAST VENICE AVENUE</t>
  </si>
  <si>
    <t>15071 SHELL POINT BLVD</t>
  </si>
  <si>
    <t>1091 KELTON AVE</t>
  </si>
  <si>
    <t>2792 DONNELLY DRIVE</t>
  </si>
  <si>
    <t>2600 FOREST GLEN TRAIL</t>
  </si>
  <si>
    <t>6011 SE TOWER DR</t>
  </si>
  <si>
    <t>3211 ROUSE ROAD</t>
  </si>
  <si>
    <t>3611 TRANSMITTER ROAD</t>
  </si>
  <si>
    <t>6767 86TH AVE N</t>
  </si>
  <si>
    <t>4125 WEST SAMPLE RD</t>
  </si>
  <si>
    <t>11411 ARMSDALE ROAD</t>
  </si>
  <si>
    <t>18480 COCHRAN BLVD</t>
  </si>
  <si>
    <t>4783 FRUITVILLE ROAD</t>
  </si>
  <si>
    <t>5405 BABCOCK ST NE</t>
  </si>
  <si>
    <t>7350 DAIRY RD</t>
  </si>
  <si>
    <t>14155 TOWN LOOP BLVD</t>
  </si>
  <si>
    <t>7801 AIRPORT PULLING ROAD N</t>
  </si>
  <si>
    <t>12170 CORTEZ BLVD</t>
  </si>
  <si>
    <t>2701 LAKE ALFRED RD</t>
  </si>
  <si>
    <t>2800 SW 41ST ST</t>
  </si>
  <si>
    <t>3735 EVANS AVE</t>
  </si>
  <si>
    <t>1010 CARPENTERS WAY</t>
  </si>
  <si>
    <t>630 GRIFFIN AVENUE</t>
  </si>
  <si>
    <t>16200 JOG ROAD</t>
  </si>
  <si>
    <t>6919 PARKWAY BLVD</t>
  </si>
  <si>
    <t>47 NW 32ND PLACE</t>
  </si>
  <si>
    <t>1104 NORTH MAIN STREET</t>
  </si>
  <si>
    <t>583 NE 351 HWY</t>
  </si>
  <si>
    <t>9035 BRYAN DAIRY RD</t>
  </si>
  <si>
    <t>2511 JOHN YOUNG PARKWAY NORTH</t>
  </si>
  <si>
    <t>3720 SE JENNINGS RD</t>
  </si>
  <si>
    <t>347 HIATT DRIVE</t>
  </si>
  <si>
    <t>16702 NORTH DALE MABRY HWY</t>
  </si>
  <si>
    <t>6305 CORTEZ RD W</t>
  </si>
  <si>
    <t>230 SOUTH BARFIELD HIGHWAY</t>
  </si>
  <si>
    <t>10500 CYPRESS COVE DR</t>
  </si>
  <si>
    <t>13881 EAGLE RIDGE DRIVE</t>
  </si>
  <si>
    <t>335 SW 12 AVENUE</t>
  </si>
  <si>
    <t>5111 PALMER RANCH PARKWAY</t>
  </si>
  <si>
    <t>730 COURTLAND STREET</t>
  </si>
  <si>
    <t>8104 TUTTLE AVE</t>
  </si>
  <si>
    <t>2000 NORTH SEMORAN BOULEVARD</t>
  </si>
  <si>
    <t>500 HOSPITAL DRIVE</t>
  </si>
  <si>
    <t>710 NORTH SUN DRIVE</t>
  </si>
  <si>
    <t>1533 4TH AVE W</t>
  </si>
  <si>
    <t>955 NW 3RD ST</t>
  </si>
  <si>
    <t>1507 S TUTTLE AVE</t>
  </si>
  <si>
    <t>521 69TH AVE N</t>
  </si>
  <si>
    <t>1861 NW 8TH AVENUE</t>
  </si>
  <si>
    <t>1303 NORTH TAMIAMI TRAIL</t>
  </si>
  <si>
    <t>124 W NORVELL BRYANT HWY</t>
  </si>
  <si>
    <t>8401 W CYPRESS DR</t>
  </si>
  <si>
    <t>230 TOWERVIEW DRIVE</t>
  </si>
  <si>
    <t>549 SKY HARBOR DR</t>
  </si>
  <si>
    <t>10801 JOHNSON BLVD</t>
  </si>
  <si>
    <t>1017 STRONG RD</t>
  </si>
  <si>
    <t>1656 SOUTH JEFFERSON STREET</t>
  </si>
  <si>
    <t>7207 SW 24TH AVE</t>
  </si>
  <si>
    <t>4300 ROCK ISLAND ROAD</t>
  </si>
  <si>
    <t>5530 NORTHROP ROAD</t>
  </si>
  <si>
    <t>7400 TROUBLE CREEK ROAD</t>
  </si>
  <si>
    <t>1525 HAVEN DRIVE</t>
  </si>
  <si>
    <t>600 WEST GREGORY STREET</t>
  </si>
  <si>
    <t>1900 SUMMIT BOULEVARD</t>
  </si>
  <si>
    <t>5201 BAHIA VISTA STREET</t>
  </si>
  <si>
    <t>1360 BRICKYARD RD</t>
  </si>
  <si>
    <t>4419 TRAM ROAD</t>
  </si>
  <si>
    <t>3850 WILLIAMS ROAD</t>
  </si>
  <si>
    <t>4325 SOUTHPOINT BOULEVARD</t>
  </si>
  <si>
    <t>21281 GRAYTON TERRACE</t>
  </si>
  <si>
    <t>175 VILLA NUEVA AVE</t>
  </si>
  <si>
    <t>1200 NORTH STONE STREET</t>
  </si>
  <si>
    <t>875 RETREAT DRIVE</t>
  </si>
  <si>
    <t>7333 SCOTLAND WAY</t>
  </si>
  <si>
    <t>4813 LENOIR AVENUE</t>
  </si>
  <si>
    <t>1125 FLEMING PLANTATION BLVD</t>
  </si>
  <si>
    <t>2660 SW 53RD LN</t>
  </si>
  <si>
    <t>3600 MASTERPIECE WAY</t>
  </si>
  <si>
    <t>110 LODGE TERRACE DR</t>
  </si>
  <si>
    <t>730 N SCENIC HWY</t>
  </si>
  <si>
    <t>475 NURSING HOME DR</t>
  </si>
  <si>
    <t>2370 HARBOR BLVD</t>
  </si>
  <si>
    <t>3291 EAST OLIVE RD</t>
  </si>
  <si>
    <t>1120 W DONEGAN AVE</t>
  </si>
  <si>
    <t>2180 10TH AVENUE</t>
  </si>
  <si>
    <t>19333 WEST COUNTRY CLUB DRIVE</t>
  </si>
  <si>
    <t>1701 PARK AVENUE</t>
  </si>
  <si>
    <t>2144 WELBILT BLVD</t>
  </si>
  <si>
    <t>8850 NW 122 ST</t>
  </si>
  <si>
    <t>239 CROOKED RIVER ROAD</t>
  </si>
  <si>
    <t>4201 BELFORT RD</t>
  </si>
  <si>
    <t>1460 EL CAMINO REAL DRIVE</t>
  </si>
  <si>
    <t>2021 SW 1ST AVE</t>
  </si>
  <si>
    <t>8400 VAMO ROAD</t>
  </si>
  <si>
    <t>701 OVERLOOK DR SE</t>
  </si>
  <si>
    <t>4650 STATE RD 16</t>
  </si>
  <si>
    <t>5860 W JUNIOR COLLEGE RD</t>
  </si>
  <si>
    <t>1959 N HONORE AVE</t>
  </si>
  <si>
    <t>10330 NUVISTA AVENUE</t>
  </si>
  <si>
    <t>48 HIGH POINT ROAD</t>
  </si>
  <si>
    <t>19091 N DALE MABRY HWY</t>
  </si>
  <si>
    <t>6901 YUMURI STREET</t>
  </si>
  <si>
    <t>16529 SE 86TH BELLE MEADE CIRCLE</t>
  </si>
  <si>
    <t>ONE PAVILION PLACE</t>
  </si>
  <si>
    <t>1006 33RD ST</t>
  </si>
  <si>
    <t>5381 DESOTO ROAD</t>
  </si>
  <si>
    <t>900 HIGHWAY 466</t>
  </si>
  <si>
    <t>724 NW 19TH ST</t>
  </si>
  <si>
    <t>13695 US 1</t>
  </si>
  <si>
    <t>2600 COURTLAND STREET</t>
  </si>
  <si>
    <t>1430 PASADENA AVE S</t>
  </si>
  <si>
    <t>26475 SOUTH TAMIAMI TRAIL</t>
  </si>
  <si>
    <t>2145 NORTH DON WICKHAM DRIVE</t>
  </si>
  <si>
    <t>15955 BASS CREEK ROAD</t>
  </si>
  <si>
    <t>4 MEDICAL DRIVE</t>
  </si>
  <si>
    <t>70 MEDICAL CENTER DRIVE</t>
  </si>
  <si>
    <t>541 HISTORIC HIGHWAY 441-NORTH</t>
  </si>
  <si>
    <t>163 E TOLLISON STREET</t>
  </si>
  <si>
    <t>200 PERRY HOUSE ROAD, BOX 1447</t>
  </si>
  <si>
    <t>610 SPARTA ROAD</t>
  </si>
  <si>
    <t>1067 PEACHTREE ST</t>
  </si>
  <si>
    <t>706 N PARRISH AVE</t>
  </si>
  <si>
    <t>902 7TH STREET NORTH</t>
  </si>
  <si>
    <t>3131 THOMASVILLE HWY BOX 40</t>
  </si>
  <si>
    <t>117 KITE ROAD</t>
  </si>
  <si>
    <t>351 SOUTH LIBERTY STREET</t>
  </si>
  <si>
    <t>1155 5TH STREET, SE</t>
  </si>
  <si>
    <t>865 SOUTH FIRST STREET</t>
  </si>
  <si>
    <t>1500 E SHOTWELL STREET</t>
  </si>
  <si>
    <t>1120 MORNINGSIDE DR</t>
  </si>
  <si>
    <t>227 MOUNTAIN DR</t>
  </si>
  <si>
    <t>2855 OLD HIGHWAY 5 NORTH</t>
  </si>
  <si>
    <t>102 HOSPITAL CIR</t>
  </si>
  <si>
    <t>1362 SOUTH MAIN STREET</t>
  </si>
  <si>
    <t>1819 CLIFTON ROAD, N.E.</t>
  </si>
  <si>
    <t>2001 SOUTH LEE STREET</t>
  </si>
  <si>
    <t>1865 BOLD SPRINGS ROAD</t>
  </si>
  <si>
    <t>2787 NORTH DECATUR ROAD</t>
  </si>
  <si>
    <t>2200 OLD HAMILTON PLACE NE</t>
  </si>
  <si>
    <t>3150 HOWELL MILL ROAD N.W.</t>
  </si>
  <si>
    <t>4115 GLENWOOD RD</t>
  </si>
  <si>
    <t>206 GRACE ST</t>
  </si>
  <si>
    <t>110 PARK CITY ROAD</t>
  </si>
  <si>
    <t>1600 ANTHONY ROAD</t>
  </si>
  <si>
    <t>2000 WARM SPRINGS RD</t>
  </si>
  <si>
    <t>545 COOK STREET</t>
  </si>
  <si>
    <t>HIGHWAY 441 NORTH, BOX 37</t>
  </si>
  <si>
    <t>1425 MCFARLAND AVE</t>
  </si>
  <si>
    <t>459 HIGHWAY 119 S</t>
  </si>
  <si>
    <t>54 PEACHTREE PARK DRIVE N.E.</t>
  </si>
  <si>
    <t>26 TOWER RD</t>
  </si>
  <si>
    <t>815 EAST 63 STREET</t>
  </si>
  <si>
    <t>2010 WARM SPRINGS RD</t>
  </si>
  <si>
    <t>2920 PHARR COURT SOUTH NW</t>
  </si>
  <si>
    <t>11800 ABERCORN STREET</t>
  </si>
  <si>
    <t>244 EAST BROAD STREET</t>
  </si>
  <si>
    <t>315 UPPER RIVERDALE ROAD</t>
  </si>
  <si>
    <t>2130 ANDERSON MILL RD</t>
  </si>
  <si>
    <t>8414 WHITESVILLE ROAD</t>
  </si>
  <si>
    <t>1227 WEST WHEELER PARKWAY</t>
  </si>
  <si>
    <t>2021 SCOTT ROAD</t>
  </si>
  <si>
    <t>811 KENNESAW AVENUE</t>
  </si>
  <si>
    <t>2722 NORTH DECATUR ROAD</t>
  </si>
  <si>
    <t>600 WEST MEMORIAL DRIVE</t>
  </si>
  <si>
    <t>163 EAST TOLLISON STREET</t>
  </si>
  <si>
    <t>265 TURNER STREET</t>
  </si>
  <si>
    <t>1600 RIVERSIDE AVE</t>
  </si>
  <si>
    <t>37 SOUTH ELLIS STREET</t>
  </si>
  <si>
    <t>5470 MERIDIAN MARK ROAD, BLDG E</t>
  </si>
  <si>
    <t>11740 COLUMBIA ROAD</t>
  </si>
  <si>
    <t>321 RANDOLPH STREET</t>
  </si>
  <si>
    <t>4028 HWY 5</t>
  </si>
  <si>
    <t>350 BOULVARD, S.E.</t>
  </si>
  <si>
    <t>50 SAINE DRIVE SW</t>
  </si>
  <si>
    <t>200 MEDICAL DRIVE</t>
  </si>
  <si>
    <t>3450 NEW HIGH SHOALS RD</t>
  </si>
  <si>
    <t>102 HOSPITAL DRIVE</t>
  </si>
  <si>
    <t>4360 JOHNSON FERRY PLACE</t>
  </si>
  <si>
    <t>1170 CHULIO ROAD</t>
  </si>
  <si>
    <t>2255 ANTHONY ROAD</t>
  </si>
  <si>
    <t>2430 PAOLI ROAD</t>
  </si>
  <si>
    <t>3235 DEANS BRIDGE ROAD</t>
  </si>
  <si>
    <t>3618 J DEWEY GRAY CIRCLE</t>
  </si>
  <si>
    <t>508 SOUTH ROGERS STREET</t>
  </si>
  <si>
    <t>820 STEVENS CREEK ROAD</t>
  </si>
  <si>
    <t>343 PLANTATION WAY</t>
  </si>
  <si>
    <t>3747 PEACHTREE ROAD, NE</t>
  </si>
  <si>
    <t>178 WEST CAMPBELLTON STREET</t>
  </si>
  <si>
    <t>205 ROADRUNNER BOULEVARD</t>
  </si>
  <si>
    <t>409 PLEASANT HOME ROAD</t>
  </si>
  <si>
    <t>3535 ASHTON WOODS DRIVE NE</t>
  </si>
  <si>
    <t>1700 MULKEY RD</t>
  </si>
  <si>
    <t>505 NORTH FIFTH  AVENUE</t>
  </si>
  <si>
    <t>813 ATLANTA HIGHWAY</t>
  </si>
  <si>
    <t>3888 LAVISTA ROAD</t>
  </si>
  <si>
    <t>1155  WEST COLLEGE STREET</t>
  </si>
  <si>
    <t>112 HOSPITAL DRIVE</t>
  </si>
  <si>
    <t>3003 VETERANS PARKWAY S</t>
  </si>
  <si>
    <t>4595 CANTRELL ROAD</t>
  </si>
  <si>
    <t>310 AVENUE F</t>
  </si>
  <si>
    <t>404 KING SPRINGS VILLAGE PKWY</t>
  </si>
  <si>
    <t>2541 MILLEDGEVILLE ROAD</t>
  </si>
  <si>
    <t>561 UNIVERSITY DRIVE</t>
  </si>
  <si>
    <t>201 POPLAR STREET</t>
  </si>
  <si>
    <t>12825 WHITE BLUFF ROAD</t>
  </si>
  <si>
    <t>1387 HIGHWAY 41 NORTH</t>
  </si>
  <si>
    <t>1110 BURLEYSON DRIVE</t>
  </si>
  <si>
    <t>405 LAUREL AVE.</t>
  </si>
  <si>
    <t>633 FALLS ROAD</t>
  </si>
  <si>
    <t>529 BOLINGREEN DRIVE</t>
  </si>
  <si>
    <t>3850 SAFEHAVEN DRIVE</t>
  </si>
  <si>
    <t>809 SOUTH BROAD ST</t>
  </si>
  <si>
    <t>3100 CLUB DRIVE</t>
  </si>
  <si>
    <t>7150 MANOR ROAD</t>
  </si>
  <si>
    <t>101 OLD TALBOTTON  RD</t>
  </si>
  <si>
    <t>2111 WEST POINT ROAD</t>
  </si>
  <si>
    <t>300 INDUSTRIAL BLVD</t>
  </si>
  <si>
    <t>107 RIDGEVIEW DR</t>
  </si>
  <si>
    <t>2249 COLLEGE STREET, NORTH</t>
  </si>
  <si>
    <t>110 BRANDYWINE BOULEVARD</t>
  </si>
  <si>
    <t>115 BRENTWOOD DRIVE</t>
  </si>
  <si>
    <t>505 COLISEUM DRIVE</t>
  </si>
  <si>
    <t>1345 REDMOND ROAD</t>
  </si>
  <si>
    <t>506 SUMTER ST</t>
  </si>
  <si>
    <t>511 MT. PLEASANT ROAD</t>
  </si>
  <si>
    <t>2327 NORTH HIGHWAY 27</t>
  </si>
  <si>
    <t>652 FERNCREST DRIVE</t>
  </si>
  <si>
    <t>410 EAST NORTHSIDE DRIVE</t>
  </si>
  <si>
    <t>1102 BURLEYSON  ROAD</t>
  </si>
  <si>
    <t>5100 WEST ST NW</t>
  </si>
  <si>
    <t>606 SIMMONS ST</t>
  </si>
  <si>
    <t>2501 NORTH ASHLEY STREET</t>
  </si>
  <si>
    <t>4796 HIGHWAY 42 NORTH</t>
  </si>
  <si>
    <t>148 CASON ROAD</t>
  </si>
  <si>
    <t>11744 HIGHWAY 22 E</t>
  </si>
  <si>
    <t>921 OLD NEWNAN ROAD</t>
  </si>
  <si>
    <t>415 PENDLETON PLACE</t>
  </si>
  <si>
    <t>181 OXLEY DRIVE</t>
  </si>
  <si>
    <t>2795 FINNEY CIRCLE</t>
  </si>
  <si>
    <t>205 PEACH ORCHARD ROAD</t>
  </si>
  <si>
    <t>6190 PEAKE ROAD</t>
  </si>
  <si>
    <t>12 CHATEAU DRIVE</t>
  </si>
  <si>
    <t>125 QUIET OAKS DRIVE</t>
  </si>
  <si>
    <t>60 PROVIDENCE STREET, PO BOX 86</t>
  </si>
  <si>
    <t>651 RHODES DRIVE</t>
  </si>
  <si>
    <t>1115 PROFESSIONAL BLVD</t>
  </si>
  <si>
    <t>93 HIGHWAY 19</t>
  </si>
  <si>
    <t>608 WEST COURT STREET</t>
  </si>
  <si>
    <t>1067 BATTLEFIELD PARKWAY</t>
  </si>
  <si>
    <t>2560 FLINTRIDGE ROAD</t>
  </si>
  <si>
    <t>475 WASHINGTON STREET</t>
  </si>
  <si>
    <t>1451 NEWTON DRIVE</t>
  </si>
  <si>
    <t>113 SPRING VALLEY DRIVE</t>
  </si>
  <si>
    <t>1090 W ORANGE ST</t>
  </si>
  <si>
    <t>521 CABINESS ROAD</t>
  </si>
  <si>
    <t>490 KATHWOOD DR</t>
  </si>
  <si>
    <t>105 ARNOLD MILL ROAD</t>
  </si>
  <si>
    <t>1109 GREEN STREET</t>
  </si>
  <si>
    <t>125 SAMARITAN DRIVE</t>
  </si>
  <si>
    <t>6698 WASHINGTON ROAD</t>
  </si>
  <si>
    <t>120 SKYLINE DRIVE</t>
  </si>
  <si>
    <t>960  HIGHLAND AVENUE</t>
  </si>
  <si>
    <t>1106 NORTH 4TH STREET</t>
  </si>
  <si>
    <t>500 STANLEY STREET</t>
  </si>
  <si>
    <t>315 FIELD STREET</t>
  </si>
  <si>
    <t>94 CADE STREET</t>
  </si>
  <si>
    <t>225 PHILPOT STREET</t>
  </si>
  <si>
    <t>156 PINE KNOLL DRIVE</t>
  </si>
  <si>
    <t>946 VETERANS PARKWAY</t>
  </si>
  <si>
    <t>261 FAIRVIEW AVENUE</t>
  </si>
  <si>
    <t>800 PATTERSON RD</t>
  </si>
  <si>
    <t>210 MAIN STREET</t>
  </si>
  <si>
    <t>2036 SOUTH MAIN STREET</t>
  </si>
  <si>
    <t>7 ROSEWOOD AVENUE</t>
  </si>
  <si>
    <t>151 WISDOM ROAD</t>
  </si>
  <si>
    <t>196 NORTH DIXIE AVENUE</t>
  </si>
  <si>
    <t>198 HAMPTON STREET</t>
  </si>
  <si>
    <t>156 DOLLY STREET</t>
  </si>
  <si>
    <t>180 EPPS BRIDGE RD</t>
  </si>
  <si>
    <t>99 OUIDA STREET</t>
  </si>
  <si>
    <t>1420 MILSTEAD ROAD</t>
  </si>
  <si>
    <t>2816 EVANS MILL ROAD</t>
  </si>
  <si>
    <t>747 MONTICELLO HIGHWAY</t>
  </si>
  <si>
    <t>325 ALLEN MEMORIAL DRIVE SW</t>
  </si>
  <si>
    <t>910 TALBOTTON RD</t>
  </si>
  <si>
    <t>601 SIXTH STREET</t>
  </si>
  <si>
    <t>10629  U.S. HIGHWAY 19 SOUTH</t>
  </si>
  <si>
    <t>124 OVERBY DRIVE</t>
  </si>
  <si>
    <t>304  FIFTH  AVENUE</t>
  </si>
  <si>
    <t>1159 GEORGIA  AVE. S.E.</t>
  </si>
  <si>
    <t>1011 SOUTH GREEN STREET</t>
  </si>
  <si>
    <t>4373 HOUSTON AVE.</t>
  </si>
  <si>
    <t>2020 BEVERLY ROAD NE</t>
  </si>
  <si>
    <t>1321 WASHINGTON HIGHWAY</t>
  </si>
  <si>
    <t>2000 EAST-WEST CONNECTOR</t>
  </si>
  <si>
    <t>441 INDUSTRIAL BLVD</t>
  </si>
  <si>
    <t>2403 BATTLEFIELD PKWY</t>
  </si>
  <si>
    <t>160 SOUTH FIRST AVENUE</t>
  </si>
  <si>
    <t>1634 TELFAIR STREET</t>
  </si>
  <si>
    <t>1211 SILOAM ROAD</t>
  </si>
  <si>
    <t>1901 WEST SCREVEN STREET</t>
  </si>
  <si>
    <t>930 SOUTH BROAD ST.</t>
  </si>
  <si>
    <t>618 GENNETT DRIVE</t>
  </si>
  <si>
    <t>3100 SAVANNAH HIGHWAY</t>
  </si>
  <si>
    <t>1500 S JOHNSON FERRY ROAD</t>
  </si>
  <si>
    <t>233 SUNSET CIRCLE</t>
  </si>
  <si>
    <t>7560 BUTNER ROAD</t>
  </si>
  <si>
    <t>165 SOUTH BROAD STREET</t>
  </si>
  <si>
    <t>150 HOSPITAL CIRCLE N.W.</t>
  </si>
  <si>
    <t>960 HAWTHORNE AVENUE</t>
  </si>
  <si>
    <t>2645 WHITING STREET N.W.</t>
  </si>
  <si>
    <t>301 S0UTH BAKER STREET</t>
  </si>
  <si>
    <t>1780 OLD HIGHWAY 41</t>
  </si>
  <si>
    <t>788 INDIAN TRAIL ROAD</t>
  </si>
  <si>
    <t>3311 LEE STREET</t>
  </si>
  <si>
    <t>900 WYLIE ROAD</t>
  </si>
  <si>
    <t>1321 PULASKI SCHOOL ROAD</t>
  </si>
  <si>
    <t>420 MYTLE DRIVE</t>
  </si>
  <si>
    <t>4275 OWENS ROAD</t>
  </si>
  <si>
    <t>2800 SPRINGDALE ROAD</t>
  </si>
  <si>
    <t>120 SPRING STREET</t>
  </si>
  <si>
    <t>619 NORTHSIDE DRIVE</t>
  </si>
  <si>
    <t>528 HUNTER STREET</t>
  </si>
  <si>
    <t>1000 BRIARCLIFF ROAD NE</t>
  </si>
  <si>
    <t>671 NORTH CHEROKEE ROAD</t>
  </si>
  <si>
    <t>856 HIGHWAY 1 SOUTH</t>
  </si>
  <si>
    <t>2040 COLONIAL DRIVE</t>
  </si>
  <si>
    <t>2055 REX ROAD</t>
  </si>
  <si>
    <t>263 E MAY STREET</t>
  </si>
  <si>
    <t>415 AIRPORT ROAD</t>
  </si>
  <si>
    <t>3460 POWDER SPRINGS ROAD</t>
  </si>
  <si>
    <t>239 ARROWHEAD BOULEVARD</t>
  </si>
  <si>
    <t>211 MATHIS AVENUE</t>
  </si>
  <si>
    <t>402 E. BAY ST</t>
  </si>
  <si>
    <t>1821 ANDERSON AVENUE NW</t>
  </si>
  <si>
    <t>22 MAPLE RIDGE DRIVE S.E.</t>
  </si>
  <si>
    <t>411 PINE STREET</t>
  </si>
  <si>
    <t>2650 HIGHWAY 138 SE</t>
  </si>
  <si>
    <t>ONE SAVANNAH SQUARE DRIVE</t>
  </si>
  <si>
    <t>1000 DORSET ROAD</t>
  </si>
  <si>
    <t>225 HOSPITAL STREET</t>
  </si>
  <si>
    <t>2775 CASTLEBERRY ROAD</t>
  </si>
  <si>
    <t>200 SOUTH KIMBERLY ROAD</t>
  </si>
  <si>
    <t>652 COASTAL HIGHWAY 17 NORTH</t>
  </si>
  <si>
    <t>2708 LEE STREET</t>
  </si>
  <si>
    <t>2801 FELTON DRIVE</t>
  </si>
  <si>
    <t>3235 NEWMAN ROAD</t>
  </si>
  <si>
    <t>1234 HIGHWAY 301 SOUTH</t>
  </si>
  <si>
    <t>161 FRIENDSHIP ROAD</t>
  </si>
  <si>
    <t>3201 WESTMORELAND ROAD</t>
  </si>
  <si>
    <t>4608 LAWRENCEVILLE HIGHWAY</t>
  </si>
  <si>
    <t>413 PENDLETON PLACE</t>
  </si>
  <si>
    <t>922 MCDONOUGH ROAD</t>
  </si>
  <si>
    <t>712 PATTERSON STREET</t>
  </si>
  <si>
    <t>5160 SPRING VIEW AVENUE</t>
  </si>
  <si>
    <t>5131 WARM SPRINGS RD</t>
  </si>
  <si>
    <t>902 BLACKSHEAR ROAD</t>
  </si>
  <si>
    <t>2850 SPRINGDALE ROAD SW</t>
  </si>
  <si>
    <t>804 SOUTH BROAD STREET BOX 1959</t>
  </si>
  <si>
    <t>78 OPAL STREET</t>
  </si>
  <si>
    <t>7300 LESTER ROAD</t>
  </si>
  <si>
    <t>142 MEMORIAL DRIVE</t>
  </si>
  <si>
    <t>119 OAKVIEW STREET</t>
  </si>
  <si>
    <t>1311 WEST CHERRY STREET</t>
  </si>
  <si>
    <t>313 ALLEN MEMORIAL DRIVE,SW</t>
  </si>
  <si>
    <t>1765 TEMPLE AVENUE</t>
  </si>
  <si>
    <t>1480 SANDTOWN ROAD SW</t>
  </si>
  <si>
    <t>2255 FREDERICA ROAD</t>
  </si>
  <si>
    <t>1280 MAULDIN ROAD NE</t>
  </si>
  <si>
    <t>460 AUBURN AVENUE N.E.</t>
  </si>
  <si>
    <t>277 COMMERCE STREET</t>
  </si>
  <si>
    <t>144 DEPOT STREET</t>
  </si>
  <si>
    <t>4148 CARROLL STREET</t>
  </si>
  <si>
    <t>233 CARROLLTON  STREET</t>
  </si>
  <si>
    <t>12884 CLEVELAND STREET WEST</t>
  </si>
  <si>
    <t>125 SPARTA HIGHWAY 16 EAST</t>
  </si>
  <si>
    <t>2165 IDLEWOOD ROAD</t>
  </si>
  <si>
    <t>307 JONES MILL ROAD</t>
  </si>
  <si>
    <t>700 EAST LONG STREET</t>
  </si>
  <si>
    <t>349 GENEVA ROAD</t>
  </si>
  <si>
    <t>2451 PEACHTREE INDUSTRIAL BLVD</t>
  </si>
  <si>
    <t>101 STOCKYARD ROAD</t>
  </si>
  <si>
    <t>5995 SPRING STREET</t>
  </si>
  <si>
    <t>226 SOUTH COLLEGE STREET</t>
  </si>
  <si>
    <t>1910 DOROTHY STREET</t>
  </si>
  <si>
    <t>321 HOSPITAL ROAD</t>
  </si>
  <si>
    <t>433 NORTH MCGRIFF STREET</t>
  </si>
  <si>
    <t>209 WEST HUDSON STREET</t>
  </si>
  <si>
    <t>5353 REYNOLDS STREET</t>
  </si>
  <si>
    <t>1310 WEST  GORDON STREET</t>
  </si>
  <si>
    <t>1601 ELBERTA ROAD</t>
  </si>
  <si>
    <t>434 BEALL SPRINGS ROAD</t>
  </si>
  <si>
    <t>214 MAIN STREET</t>
  </si>
  <si>
    <t>2650 CARSWELL AVE</t>
  </si>
  <si>
    <t>360 SOUTH RIVER ROAD</t>
  </si>
  <si>
    <t>185 BOWEN'S MILL HIGHWAY</t>
  </si>
  <si>
    <t>405 S COLLEGE ST</t>
  </si>
  <si>
    <t>721 NORTH VETERANS BLVD</t>
  </si>
  <si>
    <t>127 CARTER ST</t>
  </si>
  <si>
    <t>556 CHESTER HIGHWAY</t>
  </si>
  <si>
    <t>206 MAIN STREET EAST</t>
  </si>
  <si>
    <t>3223 FALLIGANT AVENUE</t>
  </si>
  <si>
    <t>223 W.THIRD AVENUE</t>
  </si>
  <si>
    <t>180 BURKETT FERRY ROAD</t>
  </si>
  <si>
    <t>777 NURSING HOME ROAD</t>
  </si>
  <si>
    <t>1904 PALMYRA ROAD</t>
  </si>
  <si>
    <t>104 MONK STREET</t>
  </si>
  <si>
    <t>36261 NORTH OKEFENOKEE DRIVE</t>
  </si>
  <si>
    <t>165 WINSTON DRIVE</t>
  </si>
  <si>
    <t>26 VAN HORNE STREET</t>
  </si>
  <si>
    <t>390 SWEAT STREET</t>
  </si>
  <si>
    <t>3051 WHITESIDE ROAD</t>
  </si>
  <si>
    <t>2455 OAK GROVE CHURCH ROAD</t>
  </si>
  <si>
    <t>11705 MERCY BOULEVARD</t>
  </si>
  <si>
    <t>6711 LAROCHE AVENUE</t>
  </si>
  <si>
    <t>300 CEDAR ROAD</t>
  </si>
  <si>
    <t>3000 LENORA CHURCH DRIVE</t>
  </si>
  <si>
    <t>1005 HWY. 88 NORTH</t>
  </si>
  <si>
    <t>650 PROFESSIONAL DRIVE</t>
  </si>
  <si>
    <t>3200 PANTHERSVILLE ROAD</t>
  </si>
  <si>
    <t>821 NORTH COBB ST</t>
  </si>
  <si>
    <t>604 BLUEBIRD BOULEVARD</t>
  </si>
  <si>
    <t>3520 KENNETH DRIVE</t>
  </si>
  <si>
    <t>176 LINCOLN AVE</t>
  </si>
  <si>
    <t>706 NORTH PARRISH AVE .</t>
  </si>
  <si>
    <t>3020 JEFFERSONVILLE ROAD</t>
  </si>
  <si>
    <t>419 ELBERTA ROAD</t>
  </si>
  <si>
    <t>99 HILLHAVEN RD.</t>
  </si>
  <si>
    <t>210 COLLINS INDUSTRIAL WAY</t>
  </si>
  <si>
    <t>613 ROSELANE STREET</t>
  </si>
  <si>
    <t>1212 BROADRICK DRIVE</t>
  </si>
  <si>
    <t>128 COASTAL MANOR DRIVE SE</t>
  </si>
  <si>
    <t>101 COBBLESTONE TRACE, SE</t>
  </si>
  <si>
    <t>2709 S MAIN STREET</t>
  </si>
  <si>
    <t>1510 RENIASSANCE DRIVE</t>
  </si>
  <si>
    <t>12 SMITH LANE</t>
  </si>
  <si>
    <t>2122 CUMMING ROAD</t>
  </si>
  <si>
    <t>1050 HOSPITAL DRIVE</t>
  </si>
  <si>
    <t>560 ST CHARLES AVE, NE</t>
  </si>
  <si>
    <t>898 COLLEGE ST</t>
  </si>
  <si>
    <t>2002 TIFT AVENUE NORTH</t>
  </si>
  <si>
    <t>1350 EAST CHURCH STREET</t>
  </si>
  <si>
    <t>10200 U.S. HWY 1 SOUTH</t>
  </si>
  <si>
    <t>5300 ZEBULON ROAD</t>
  </si>
  <si>
    <t>310 HIGHWAY #1 BYPASS</t>
  </si>
  <si>
    <t>1833 CLIFTON ROAD, NE</t>
  </si>
  <si>
    <t>805 DILWORTH STREET</t>
  </si>
  <si>
    <t>1043 LONGSTREET ROAD</t>
  </si>
  <si>
    <t>2117 DOCTOR WARD ROAD</t>
  </si>
  <si>
    <t>4145 MISTY MORNING WAY</t>
  </si>
  <si>
    <t>547 WARWOMAN ROAD</t>
  </si>
  <si>
    <t>222 MOORE DRIVE</t>
  </si>
  <si>
    <t>3500 ANNANDALE LANE</t>
  </si>
  <si>
    <t>1509 CEDAR AVE</t>
  </si>
  <si>
    <t>185 HILL STREET</t>
  </si>
  <si>
    <t>500 SPRINGHOUSE CIRCLE</t>
  </si>
  <si>
    <t>164 NURSING HOME CIRCLE</t>
  </si>
  <si>
    <t>101 HARTFORD ROAD, WEST</t>
  </si>
  <si>
    <t>2631 NORTH DRUID HILLS ROAD N E</t>
  </si>
  <si>
    <t>466 SOUTH GRAY STREET</t>
  </si>
  <si>
    <t>386 BELAIRE DRIVE</t>
  </si>
  <si>
    <t>41 NORTH 5TH AVENUE</t>
  </si>
  <si>
    <t>1305 EAST NORTH STREET</t>
  </si>
  <si>
    <t>184 PIN HOOK ROAD</t>
  </si>
  <si>
    <t>120 W. THIGPEN AVE.</t>
  </si>
  <si>
    <t>2470 HWY 41 N</t>
  </si>
  <si>
    <t>1400 HOGANSVILLE ROAD</t>
  </si>
  <si>
    <t>880 RIDGEWAY ROAD</t>
  </si>
  <si>
    <t>1500 EAST SHOTWELL STREET</t>
  </si>
  <si>
    <t>100 FLORENCE STREET</t>
  </si>
  <si>
    <t>710 NORTH IRWIN AVENUE</t>
  </si>
  <si>
    <t>100 MEDICAL CENTER DRIVE</t>
  </si>
  <si>
    <t>95 SKIDAWAY ISLAND PARK ROAD</t>
  </si>
  <si>
    <t>200 SPRING HARBOR DRIVE</t>
  </si>
  <si>
    <t>1980 ARROW STREET, SW</t>
  </si>
  <si>
    <t>111 RENEGAR WAY</t>
  </si>
  <si>
    <t>2 THREE MILE ROAD NE</t>
  </si>
  <si>
    <t>139 MORAN LAKE ROAD, NE</t>
  </si>
  <si>
    <t>2611 WILDWOOD DRIVE</t>
  </si>
  <si>
    <t>450 NEWNAN LAKES BLVD</t>
  </si>
  <si>
    <t>601 NORTH HOLT PARKWAY</t>
  </si>
  <si>
    <t>200 MOUNTAIN PARK DRIVE</t>
  </si>
  <si>
    <t>511 PLEASANT HOME ROAD</t>
  </si>
  <si>
    <t>119 MEADOWS PARKWAY WEST</t>
  </si>
  <si>
    <t>2020 MCGEE ROAD</t>
  </si>
  <si>
    <t>1190 WAIANUENUE AVENUE</t>
  </si>
  <si>
    <t>3-3420 KUHIO HIGHWAY, SUITE 300</t>
  </si>
  <si>
    <t>1205 ALEXANDER STREET</t>
  </si>
  <si>
    <t>472 KAULANA STREET</t>
  </si>
  <si>
    <t>1027 HALA DRIVE</t>
  </si>
  <si>
    <t>3675 KILAUEA AVENUE</t>
  </si>
  <si>
    <t>1677 PENSACOLA STREET</t>
  </si>
  <si>
    <t>5113 MAUNALANI CIRCLE</t>
  </si>
  <si>
    <t>1434 PUNAHOU STREET</t>
  </si>
  <si>
    <t>128 LEHUA STREET</t>
  </si>
  <si>
    <t>1900 BACHELOT STREET</t>
  </si>
  <si>
    <t>1930 KAMEHAMEHA IV RD</t>
  </si>
  <si>
    <t>2900 PALI HIGHWAY</t>
  </si>
  <si>
    <t>347 NORTH KUAKINI STREET</t>
  </si>
  <si>
    <t>79-1019 HAUKAPILA STREET</t>
  </si>
  <si>
    <t>4800 KAWAIHAU ROAD</t>
  </si>
  <si>
    <t>45-090 NAMOKU ST</t>
  </si>
  <si>
    <t>1301 PUNCHBOWL STREET</t>
  </si>
  <si>
    <t>45-545 KAMEHAMEHA HIGHWAY</t>
  </si>
  <si>
    <t>944 WEST KAWAILANI STREET</t>
  </si>
  <si>
    <t>1814 LILIHA STREET</t>
  </si>
  <si>
    <t>1808 SOUTH BERETANIA STREET</t>
  </si>
  <si>
    <t>919 LEHUA AVENUE</t>
  </si>
  <si>
    <t>1333 WAIANUENUE AVENUE</t>
  </si>
  <si>
    <t>84-390 JADE STREET</t>
  </si>
  <si>
    <t>1314 KALAKAUA AVENUE, 2ND FLOOR</t>
  </si>
  <si>
    <t>45-181 WAIKALUA ROAD</t>
  </si>
  <si>
    <t>6163 SUMMER STREET</t>
  </si>
  <si>
    <t>91-575 FARRINGTON HIGHWAY</t>
  </si>
  <si>
    <t>78-6957 KAMEHAMEHA III ROAD</t>
  </si>
  <si>
    <t>4389 MALIA STREET</t>
  </si>
  <si>
    <t>1540 LOWER MAIN STREET</t>
  </si>
  <si>
    <t>1180 WAIANUENUE AVENUE</t>
  </si>
  <si>
    <t>2459 10TH AVENUE</t>
  </si>
  <si>
    <t>3288 MOANALUA ROAD</t>
  </si>
  <si>
    <t>9611 WAENA ROAD</t>
  </si>
  <si>
    <t>4297A OMAO ROAD</t>
  </si>
  <si>
    <t>15 CRAIGSIDE PLACE</t>
  </si>
  <si>
    <t>2230 LILIHA STREET</t>
  </si>
  <si>
    <t>895 NORTH 6TH EAST</t>
  </si>
  <si>
    <t>98 POPLAR STREET</t>
  </si>
  <si>
    <t>331 EAST PARK STREET</t>
  </si>
  <si>
    <t>527 MEMORIAL DRIVE</t>
  </si>
  <si>
    <t>210 CLEVELAND BOULEVARD</t>
  </si>
  <si>
    <t>1019 THIRD AVENUE SOUTH</t>
  </si>
  <si>
    <t>1071 RENEE AVENUE</t>
  </si>
  <si>
    <t>404 NORTH HORTON STREET</t>
  </si>
  <si>
    <t>714 NORTH BUTTE AVENUE</t>
  </si>
  <si>
    <t>3315 8TH STREET</t>
  </si>
  <si>
    <t>808 NORTH CURTIS ROAD</t>
  </si>
  <si>
    <t>210 WEST LACROSSE AVENUE</t>
  </si>
  <si>
    <t>1204 SHRIVER ROAD</t>
  </si>
  <si>
    <t>2814 SOUTH INDIANA AVENUE</t>
  </si>
  <si>
    <t>2514 NORTH SEVENTH STREET</t>
  </si>
  <si>
    <t>2200 IRONWOOD PLACE</t>
  </si>
  <si>
    <t>220 SOUTH DIVISION</t>
  </si>
  <si>
    <t>511 EAST FOURTH STREET</t>
  </si>
  <si>
    <t>405 WEST SEVENTH STREET</t>
  </si>
  <si>
    <t>44 NORTH FIRST EAST</t>
  </si>
  <si>
    <t>1224 EIGHTH STREET</t>
  </si>
  <si>
    <t>601 WEST CAMERON AVENUE</t>
  </si>
  <si>
    <t>640 NORTH EISENHOWER STREET</t>
  </si>
  <si>
    <t>2303 PARKE AVENUE</t>
  </si>
  <si>
    <t>620 NORTH SIXTH STREET</t>
  </si>
  <si>
    <t>164 SOUTH FIFTH STREET</t>
  </si>
  <si>
    <t>1200 HOSPITAL WAY</t>
  </si>
  <si>
    <t>820 ELM STREET</t>
  </si>
  <si>
    <t>46 NORTH MIDLAND BOULEVARD</t>
  </si>
  <si>
    <t>1001 SOUTH HILTON STREET</t>
  </si>
  <si>
    <t>8211 USTICK ROAD</t>
  </si>
  <si>
    <t>410 EAST NORTH SECOND STREET</t>
  </si>
  <si>
    <t>1729 MILLER AVENUE</t>
  </si>
  <si>
    <t>418 FLOYDE STREET</t>
  </si>
  <si>
    <t>500 POLK STREET EAST</t>
  </si>
  <si>
    <t>3115 SYCAMORE DRIVE</t>
  </si>
  <si>
    <t>108 WEST OWYHEE</t>
  </si>
  <si>
    <t>820 SPRAGUE AVENUE</t>
  </si>
  <si>
    <t>909 RESERVE STREET</t>
  </si>
  <si>
    <t>2725 EAST 17TH STREET</t>
  </si>
  <si>
    <t>840 EAST ELVA STREET</t>
  </si>
  <si>
    <t>420 ROWE STREET</t>
  </si>
  <si>
    <t>2105 12TH AVENUE ROAD</t>
  </si>
  <si>
    <t>501 WEST IDAHO BOULEVARD</t>
  </si>
  <si>
    <t>700 NORTH SECOND STREET</t>
  </si>
  <si>
    <t>1140 NORTH ALLUMBAUGH STREET</t>
  </si>
  <si>
    <t>2609 SUNNYBROOK DRIVE</t>
  </si>
  <si>
    <t>1014 BURRELL AVENUE</t>
  </si>
  <si>
    <t>674 EASTLAND DRIVE</t>
  </si>
  <si>
    <t>660 SOUTH SECOND STREET WEST</t>
  </si>
  <si>
    <t>640 FILER AVENUE WEST</t>
  </si>
  <si>
    <t>1127 CALDWELL BOULEVARD</t>
  </si>
  <si>
    <t>1828 BRIDGEVIEW BOULEVARD</t>
  </si>
  <si>
    <t>600 NORTH ROBBINS ROAD</t>
  </si>
  <si>
    <t>3100 CHANNING WAY, 83404-7533</t>
  </si>
  <si>
    <t>2870 JUNIPER DRIVE</t>
  </si>
  <si>
    <t>1055 NORTH CURTIS ROAD</t>
  </si>
  <si>
    <t>500 WEST AQUA AVENUE</t>
  </si>
  <si>
    <t>502 NORTH KIMBALL PLACE</t>
  </si>
  <si>
    <t>1351 WEST PINE AVENUE</t>
  </si>
  <si>
    <t>1125 NORTH DIVISION STREET</t>
  </si>
  <si>
    <t>325 WARNER DRIVE</t>
  </si>
  <si>
    <t>600 SHANAFELT STREET</t>
  </si>
  <si>
    <t>2867 EAST COPPER POINT DRIVE</t>
  </si>
  <si>
    <t>320 COLLINS ROAD, 83702-4519</t>
  </si>
  <si>
    <t>1957 ALVIN RICKEN DRIVE</t>
  </si>
  <si>
    <t>821 21ST AVENUE</t>
  </si>
  <si>
    <t>1220 MONTANA STREET</t>
  </si>
  <si>
    <t>460 NORTH GARDEN PLAZA COURT</t>
  </si>
  <si>
    <t>1033 WEST QUINN ROAD</t>
  </si>
  <si>
    <t>3909 SOUTH 25TH EAST</t>
  </si>
  <si>
    <t>3111 CHANNING WAY</t>
  </si>
  <si>
    <t>3550 WEST AMERICANA TERRACE</t>
  </si>
  <si>
    <t>410 WEST 1ST NORTH</t>
  </si>
  <si>
    <t>200 S CEDAR ST</t>
  </si>
  <si>
    <t>525 EAST GRANT STREET</t>
  </si>
  <si>
    <t>200 HEALTHCARE DR</t>
  </si>
  <si>
    <t>600 E 1ST ST</t>
  </si>
  <si>
    <t>800 EAST LOCUST</t>
  </si>
  <si>
    <t>2500 WEST REYNOLDS STREET</t>
  </si>
  <si>
    <t>100 DOCTOR WARREN TUTTLE DR</t>
  </si>
  <si>
    <t>925 WEST ST</t>
  </si>
  <si>
    <t>1201 NEWCASTLE</t>
  </si>
  <si>
    <t>180 SOUTH STATE STREET</t>
  </si>
  <si>
    <t>1601 NORTH FARNSWORTH AVENUE</t>
  </si>
  <si>
    <t>514 EAST JACKSON ST</t>
  </si>
  <si>
    <t>500 ASBURY STREET</t>
  </si>
  <si>
    <t>280 EAST LOSEY STREET</t>
  </si>
  <si>
    <t>700 EAST WALNUT</t>
  </si>
  <si>
    <t>8 DOCTORS LANE</t>
  </si>
  <si>
    <t>414 SOUTH WESLEY AVENUE</t>
  </si>
  <si>
    <t>3200 GRANT STREET</t>
  </si>
  <si>
    <t>833 SIXTEENTH AVENUE</t>
  </si>
  <si>
    <t>210 NORTH SPRINGFIELD AVENUE</t>
  </si>
  <si>
    <t>510 BROADWAY</t>
  </si>
  <si>
    <t>444 WEST HARRISON STREET</t>
  </si>
  <si>
    <t>5600 GLEN ELM DRIVE</t>
  </si>
  <si>
    <t>900 WEST RIVER PLACE</t>
  </si>
  <si>
    <t>1301    21ST STREET</t>
  </si>
  <si>
    <t>200 MARTIN AVENUE</t>
  </si>
  <si>
    <t>400 N COUNTY FARM RD PO BOX708</t>
  </si>
  <si>
    <t>1028 HILLCREST DRIVE</t>
  </si>
  <si>
    <t>1525 EAST MAIN STREET</t>
  </si>
  <si>
    <t>3601 SOUTH HARLEM AVENUE</t>
  </si>
  <si>
    <t>6300 WEST 95TH STREET</t>
  </si>
  <si>
    <t>4315 MEMORIAL DRIVE</t>
  </si>
  <si>
    <t>200 EAST LAKE STREET</t>
  </si>
  <si>
    <t>1251 COLLEGE AVENUE</t>
  </si>
  <si>
    <t>120 DODGE AVENUE</t>
  </si>
  <si>
    <t>504 WEST WELLINGTON AVENUE</t>
  </si>
  <si>
    <t>900 EAST SCOTT</t>
  </si>
  <si>
    <t>304 MAPLE AVENUE</t>
  </si>
  <si>
    <t>550 SOUTH MULFORD AVENUE</t>
  </si>
  <si>
    <t>1201 FIRST AVENUE</t>
  </si>
  <si>
    <t>555 WEST CARPENTER</t>
  </si>
  <si>
    <t>270 SKOKIE HIGHWAY</t>
  </si>
  <si>
    <t>15600 SOUTH HONORE STREET</t>
  </si>
  <si>
    <t>620 WARRINGTON AVENUE</t>
  </si>
  <si>
    <t>309 EAST SPRINGFIELD</t>
  </si>
  <si>
    <t>9401 SOUTH RIDGELAND AVENUE</t>
  </si>
  <si>
    <t>8425 WAUKEGAN ROAD</t>
  </si>
  <si>
    <t>715 WEST CENTRAL ROAD</t>
  </si>
  <si>
    <t>502 NORTH STATE STREET</t>
  </si>
  <si>
    <t>8100 SOUTH HARLEM AVENUE</t>
  </si>
  <si>
    <t>5400 WEST 87TH STREET</t>
  </si>
  <si>
    <t>2180 MANCHESTER ROAD</t>
  </si>
  <si>
    <t>660 NORTH WESTMORELAND ROAD</t>
  </si>
  <si>
    <t>5801 SOUTH CASS AVENUE</t>
  </si>
  <si>
    <t>3300 WEST 175TH STREET</t>
  </si>
  <si>
    <t>222 NORTH HAMMES</t>
  </si>
  <si>
    <t>309 MCHENRY AVENUE</t>
  </si>
  <si>
    <t>800 EAST CARPENTER, 11TH FLOOR</t>
  </si>
  <si>
    <t>900 NORTH RUTLEDGE</t>
  </si>
  <si>
    <t>900 SOUTH KIWANIS DRIVE</t>
  </si>
  <si>
    <t>7618 NORTH SHERIDAN ROAD</t>
  </si>
  <si>
    <t>6631 MILWAUKEE AVENUE</t>
  </si>
  <si>
    <t>5533 NORTH GALENA ROAD</t>
  </si>
  <si>
    <t>101 SOUTH BELT WEST</t>
  </si>
  <si>
    <t>801 NORTH LOGAN AVENUE</t>
  </si>
  <si>
    <t>7200 NORTH SHERIDAN ROAD</t>
  </si>
  <si>
    <t>600 WEST OGDEN AVENUE</t>
  </si>
  <si>
    <t>1201 HAWTHORN ROAD</t>
  </si>
  <si>
    <t>190 EAST QUEENWOOD ROAD</t>
  </si>
  <si>
    <t>800 WEST TEMPLE STREET</t>
  </si>
  <si>
    <t>335 NORTH ILLINOIS AVENUE</t>
  </si>
  <si>
    <t>5668 STRATHMOOR DRIVE</t>
  </si>
  <si>
    <t>1212 SOUTH SECOND STREET</t>
  </si>
  <si>
    <t>901 ILLINI DRIVE</t>
  </si>
  <si>
    <t>1000 EAST SIXTH STREET ROAD</t>
  </si>
  <si>
    <t>1511 GREENWOOD ROAD</t>
  </si>
  <si>
    <t>4343 KENNEDY DRIVE</t>
  </si>
  <si>
    <t>628 SOUTH ILLINOIS STREET</t>
  </si>
  <si>
    <t>1517 WEST WALNUT STREET</t>
  </si>
  <si>
    <t>2220 STATE STREET</t>
  </si>
  <si>
    <t>105 EAST 23RD STREET</t>
  </si>
  <si>
    <t>2625 WEST TOUHY AVENUE</t>
  </si>
  <si>
    <t>215 WEST PENNSYLVANIA AVENUE</t>
  </si>
  <si>
    <t>40 NORTH 64TH STREET</t>
  </si>
  <si>
    <t>727 NORTH 17TH STREET</t>
  </si>
  <si>
    <t>1024 WEST WALNUT</t>
  </si>
  <si>
    <t>578 WEST COMMERCIAL STREET</t>
  </si>
  <si>
    <t>3705 DEERFIELD ROAD</t>
  </si>
  <si>
    <t>701 NORTH LAGRANGE ROAD</t>
  </si>
  <si>
    <t>50 NORTH JANE</t>
  </si>
  <si>
    <t>350 WEST SOUTH 1ST STREET</t>
  </si>
  <si>
    <t>2250 PEARL STREET</t>
  </si>
  <si>
    <t>915 E 5TH STREET</t>
  </si>
  <si>
    <t>555 WEST KAHLER</t>
  </si>
  <si>
    <t>555 EAST CLAY</t>
  </si>
  <si>
    <t>6789 US RT 45, P O BOX 68</t>
  </si>
  <si>
    <t>1001 NORTH GREENWOOD AVENUE</t>
  </si>
  <si>
    <t>7001 WEST CULLOM</t>
  </si>
  <si>
    <t>311 EDGEWATER DRIVE</t>
  </si>
  <si>
    <t>9300 BALLARD ROAD</t>
  </si>
  <si>
    <t>66 WEST OAK STREET</t>
  </si>
  <si>
    <t>3400 SOUTH INDIANA</t>
  </si>
  <si>
    <t>512 EAST OGDEN AVENUE</t>
  </si>
  <si>
    <t>127 WEST DIVERSEY</t>
  </si>
  <si>
    <t>350 WEST SCHAUMBURG ROAD</t>
  </si>
  <si>
    <t>4900 NORTH BERNARD</t>
  </si>
  <si>
    <t>610 PETERSON ROAD</t>
  </si>
  <si>
    <t>1390 SOUTH CRESCENT STREET, BOX 307</t>
  </si>
  <si>
    <t>4225 KIRCHOFF ROAD</t>
  </si>
  <si>
    <t>1136 NORTH MILL STREET</t>
  </si>
  <si>
    <t>9401 SOUTH KOSTNER AVENUE</t>
  </si>
  <si>
    <t>500 SOUTH ART BARTELL DRIVE</t>
  </si>
  <si>
    <t>7588 STAUNTON ROAD</t>
  </si>
  <si>
    <t>11 HAWTHORNE LANE</t>
  </si>
  <si>
    <t>1509 NORTH CALHOUN STREET</t>
  </si>
  <si>
    <t>306 NORTH LARKIN AVENUE</t>
  </si>
  <si>
    <t>R R 4  1320 WEST 9TH STREET</t>
  </si>
  <si>
    <t>275 EAST ARMY TRAIL ROAD</t>
  </si>
  <si>
    <t>702 WEST CUMBERLAND</t>
  </si>
  <si>
    <t>101 WEST WINDSOR ROAD</t>
  </si>
  <si>
    <t>1301 LEE STREET</t>
  </si>
  <si>
    <t>400 SOUTH STATION ROAD</t>
  </si>
  <si>
    <t>900 EAST NINTH STREET, PO BOX 843</t>
  </si>
  <si>
    <t>767  30TH STREET</t>
  </si>
  <si>
    <t>410 EAST MACK</t>
  </si>
  <si>
    <t>715 EAST RAYMOND ROAD</t>
  </si>
  <si>
    <t>1445 CHARTRES STREET</t>
  </si>
  <si>
    <t>2025 EAST LINCOLN STREET</t>
  </si>
  <si>
    <t>1545 BARRINGTON ROAD</t>
  </si>
  <si>
    <t>6501 SOUTH CASS</t>
  </si>
  <si>
    <t>312 WEST BELMONT</t>
  </si>
  <si>
    <t>831 NORTH BATAVIA AVENUE</t>
  </si>
  <si>
    <t>1155 NORTH FIRST STREET</t>
  </si>
  <si>
    <t>900 SOUTH CHESTNUT</t>
  </si>
  <si>
    <t>101 EAST VIA GHIGLIERI</t>
  </si>
  <si>
    <t>409 WEST COMANCHE ROAD</t>
  </si>
  <si>
    <t>4340 NORTH KEYSTONE</t>
  </si>
  <si>
    <t>410 NORTHWEST THIRD</t>
  </si>
  <si>
    <t>1616 CEDAR</t>
  </si>
  <si>
    <t>605 EAST CHURCH STREET, P O BOX 600</t>
  </si>
  <si>
    <t>7733 WEST GRAND AVENUE</t>
  </si>
  <si>
    <t>111 EAST WASHINGTON</t>
  </si>
  <si>
    <t>1790 SOUTH FAIRVIEW AVENUE</t>
  </si>
  <si>
    <t>22660 SOUTH CICERO AVENUE</t>
  </si>
  <si>
    <t>800 EAST CENTER STREET</t>
  </si>
  <si>
    <t>3523 WICKENHAUSER</t>
  </si>
  <si>
    <t>201 WEST 69TH STREET</t>
  </si>
  <si>
    <t>1507 7TH STREET</t>
  </si>
  <si>
    <t>700 NORTH MAIN STREET</t>
  </si>
  <si>
    <t>611 ALLEN LANE</t>
  </si>
  <si>
    <t>700 JENKISSON</t>
  </si>
  <si>
    <t>1500 PARKSIDE AVENUE</t>
  </si>
  <si>
    <t>515 BUREAU VALLEY PARKWAY</t>
  </si>
  <si>
    <t>614 NORTH SUMMIT</t>
  </si>
  <si>
    <t>302 WEST BURWASH</t>
  </si>
  <si>
    <t>811 WEST 2ND, PO BOX 585</t>
  </si>
  <si>
    <t>1111 WEST NORTH 12TH STREET</t>
  </si>
  <si>
    <t>HIGHWAY 17 EAST  P O BOX 209</t>
  </si>
  <si>
    <t>3615 16TH STREET</t>
  </si>
  <si>
    <t>623 HAMACHER STREET</t>
  </si>
  <si>
    <t>275 EAST CARL SANDBURG DRIVE</t>
  </si>
  <si>
    <t>355 RAYMOND STREET</t>
  </si>
  <si>
    <t>450 FULTON STREET  P O BOX 49</t>
  </si>
  <si>
    <t>820 WEST LAWRENCE</t>
  </si>
  <si>
    <t>300 EAST MAZON AVENUE</t>
  </si>
  <si>
    <t>803 ROYAL DRIVE</t>
  </si>
  <si>
    <t>751 NORTH OAK STREET</t>
  </si>
  <si>
    <t>1200 UNIVERSITY AVENUE</t>
  </si>
  <si>
    <t>1440 NORTH 10TH STREET</t>
  </si>
  <si>
    <t>2013 MIDWEST ROAD</t>
  </si>
  <si>
    <t>1125 NORTH MILWAUKEE AVENUE</t>
  </si>
  <si>
    <t>600 NORTH COLLEGE AVENUE</t>
  </si>
  <si>
    <t>1001 SOUTH STATE STREET</t>
  </si>
  <si>
    <t>310 EADS AVENUE</t>
  </si>
  <si>
    <t>9615 NORTH KNOX AVENUE</t>
  </si>
  <si>
    <t>1011 NORTH MAIN STREET</t>
  </si>
  <si>
    <t>423 NORTH DIXIE HIGHWAY</t>
  </si>
  <si>
    <t>1599   KEOKUK STREET</t>
  </si>
  <si>
    <t>2330 WEST GALENA BOULEVARD</t>
  </si>
  <si>
    <t>770 STATE STREET</t>
  </si>
  <si>
    <t>811 SOUTH 10TH STREET</t>
  </si>
  <si>
    <t>505 STEVENS STREET</t>
  </si>
  <si>
    <t>1425 WEST ESTES AVENUE</t>
  </si>
  <si>
    <t>2121 SOUTH NINTH</t>
  </si>
  <si>
    <t>5838 NORTH SHERIDAN ROAD</t>
  </si>
  <si>
    <t>9086 IL ROUTE 127, P O BOX 309</t>
  </si>
  <si>
    <t>2451 WEST TOUHY AVENUE</t>
  </si>
  <si>
    <t>1300 NORTH GREENWOOD STREET</t>
  </si>
  <si>
    <t>135 SOUTH MORGAN STREET</t>
  </si>
  <si>
    <t>600 MAPLE STREET</t>
  </si>
  <si>
    <t>901 NORTH MAIN</t>
  </si>
  <si>
    <t>402 SOUTH CENTER STREET</t>
  </si>
  <si>
    <t>161 THREE SPRINGS ROAD</t>
  </si>
  <si>
    <t>1300 EAST TREMONT STREET</t>
  </si>
  <si>
    <t>600 SOUTH HOUSTON</t>
  </si>
  <si>
    <t>3516 POWELL LANE</t>
  </si>
  <si>
    <t>7433 NORTH CLARK STREET</t>
  </si>
  <si>
    <t>1450 26TH STREET</t>
  </si>
  <si>
    <t>1366 WEST FULLERTON AVENUE</t>
  </si>
  <si>
    <t>2100 SOUTH FINLEY ROAD</t>
  </si>
  <si>
    <t>1610 NORTH LAKEWOOD DRIVE</t>
  </si>
  <si>
    <t>746 URBANNA DRIVE</t>
  </si>
  <si>
    <t>1700 WHITE STREET</t>
  </si>
  <si>
    <t>201 SOUTH 10TH STREET</t>
  </si>
  <si>
    <t>620 WEST BRIDGEPORT</t>
  </si>
  <si>
    <t>2400 SOUTH FINLEY ROAD</t>
  </si>
  <si>
    <t>15 WEST WASSON ROAD</t>
  </si>
  <si>
    <t>500 CENTENNIAL DRIVE</t>
  </si>
  <si>
    <t>701 WEST NORTH AVENUE</t>
  </si>
  <si>
    <t>2155 PFINGSTEN ROAD</t>
  </si>
  <si>
    <t>1426 WEST BIRCHWOOD</t>
  </si>
  <si>
    <t>20 BRIARCLIFF LANE</t>
  </si>
  <si>
    <t>1201 DIXIE HIGHWAY</t>
  </si>
  <si>
    <t>201 EAST PLEASANT</t>
  </si>
  <si>
    <t>1431 NORTH CLAREMONT AVENUE</t>
  </si>
  <si>
    <t>1225 WOODLAND DRIVE</t>
  </si>
  <si>
    <t>2600 NORTH ANNIE GLIDDEN ROAD</t>
  </si>
  <si>
    <t>5645 WEST ADDISON STREET</t>
  </si>
  <si>
    <t>11401 SOUTH OAKLEY AVENUE</t>
  </si>
  <si>
    <t>NORTH WEST 11TH STREET</t>
  </si>
  <si>
    <t>401 ST MARY DRIVE</t>
  </si>
  <si>
    <t>701 EAST 3RD STREET</t>
  </si>
  <si>
    <t>1420 SOUTH BARRINGTON ROAD</t>
  </si>
  <si>
    <t>2100 MADISON AVENUE</t>
  </si>
  <si>
    <t>4405 HIGHCREST ROAD</t>
  </si>
  <si>
    <t>2701 - 17TH STREET</t>
  </si>
  <si>
    <t>ONE MEMORIAL DRIVE</t>
  </si>
  <si>
    <t>801 WEST MARTIN STREET</t>
  </si>
  <si>
    <t>2900 NORTH LAKE SHORE DRIVE</t>
  </si>
  <si>
    <t>ONE PERRYMAN STREET</t>
  </si>
  <si>
    <t>210 WEST WALNUT STREET</t>
  </si>
  <si>
    <t>5145 NORTH CALIFORNIA</t>
  </si>
  <si>
    <t>5409 NORTH KNOXVILLE AVENUE</t>
  </si>
  <si>
    <t>2 ANNABLE COURT</t>
  </si>
  <si>
    <t>1525 SOUTH OXFORD LANE</t>
  </si>
  <si>
    <t>520 SOUTH MAPLE AVENUE</t>
  </si>
  <si>
    <t>1000 PALM</t>
  </si>
  <si>
    <t>601 WEST LINCOLN AVENUE</t>
  </si>
  <si>
    <t>2200 EAST WASHINGTON STREET</t>
  </si>
  <si>
    <t>1415 WEST FOSTER AVENUE</t>
  </si>
  <si>
    <t>1500 SOUTH MILWAUKEE AVENUE</t>
  </si>
  <si>
    <t>1200 EAST PARTRIDGE</t>
  </si>
  <si>
    <t>1520 EL CAMINO DRIVE</t>
  </si>
  <si>
    <t>2345 NORTH SEMINARY STREET</t>
  </si>
  <si>
    <t>17800 SOUTH KEDZIE AVENUE</t>
  </si>
  <si>
    <t>2081 NORTH MAIN STREET</t>
  </si>
  <si>
    <t>450 WEST 1ST STREET</t>
  </si>
  <si>
    <t>1055 EAST GRAND AVENUE</t>
  </si>
  <si>
    <t>1001 EAST PELLS STREET</t>
  </si>
  <si>
    <t>1650 INDIAN TOWN ROAD</t>
  </si>
  <si>
    <t>110 WINDSOR PARK DRIVE</t>
  </si>
  <si>
    <t>7850 WEST COLLEGE DRIVE</t>
  </si>
  <si>
    <t>2145 EAST 170TH STREET</t>
  </si>
  <si>
    <t>1308 GAME FARM ROAD</t>
  </si>
  <si>
    <t>1925 SOUTH MAIN STREET</t>
  </si>
  <si>
    <t>1251 EAST RICHTON ROAD</t>
  </si>
  <si>
    <t>1000 EAST BRIGHTON LANE</t>
  </si>
  <si>
    <t>3354 JEROME LANE</t>
  </si>
  <si>
    <t>7050 MADISON STREET</t>
  </si>
  <si>
    <t>612 WEST ST MARY'S STREET</t>
  </si>
  <si>
    <t>520 NORTH PRICE AVENUE</t>
  </si>
  <si>
    <t>1314 ROWELL AVENUE</t>
  </si>
  <si>
    <t>1250 WEST CARL SANDBURG DRIVE</t>
  </si>
  <si>
    <t>100 ROSEWOOD VILLAGE DRIVE</t>
  </si>
  <si>
    <t>2217 WASHINGTON STREET</t>
  </si>
  <si>
    <t>1095 TWILIGHT DRIVE</t>
  </si>
  <si>
    <t>701 SHADWELL AVENUE</t>
  </si>
  <si>
    <t>2829 SOUTH CALIFORNIA BLVD</t>
  </si>
  <si>
    <t>1660 OAKTON PLACE</t>
  </si>
  <si>
    <t>1115 NORTH WENTHE</t>
  </si>
  <si>
    <t>345 DIXIE HIGHWAY</t>
  </si>
  <si>
    <t>6840 WEST TOUHY AVENUE</t>
  </si>
  <si>
    <t>418 SOUTH MEMORIAL PARK DRIVE</t>
  </si>
  <si>
    <t>1725 SOUTH WABASH</t>
  </si>
  <si>
    <t>6300 NORTH CALIFORNIA AVENUE</t>
  </si>
  <si>
    <t>716 EIGHTEENTH STREET</t>
  </si>
  <si>
    <t>4021 WEST BELMONT</t>
  </si>
  <si>
    <t>165 SOUTH BLOOMINGDALE ROAD</t>
  </si>
  <si>
    <t>10602 SOUTHWEST  HIGHWAY</t>
  </si>
  <si>
    <t>1200 WEST CENTRAL ROAD</t>
  </si>
  <si>
    <t>BROADWAY AT 11TH STREET</t>
  </si>
  <si>
    <t>900 CENTENNIAL DRIVE</t>
  </si>
  <si>
    <t>1500 WEST NORTHMOOR ROAD</t>
  </si>
  <si>
    <t>2450 NORTH CENTRAL AVENUE</t>
  </si>
  <si>
    <t>300 GREEN STREET</t>
  </si>
  <si>
    <t>10426 SOUTH ROBERTS</t>
  </si>
  <si>
    <t>3490 HUMBERT ROAD</t>
  </si>
  <si>
    <t>2406 HARTLAND ROAD</t>
  </si>
  <si>
    <t>735 WEST DIVERSEY</t>
  </si>
  <si>
    <t>393 EDWARDSVILLE ROAD</t>
  </si>
  <si>
    <t>1623 29 WEST DELMAR</t>
  </si>
  <si>
    <t>3450 SARATOGA AVENUE</t>
  </si>
  <si>
    <t>24 SOUTH PLUM GROVE ROAD</t>
  </si>
  <si>
    <t>7445 N. SHERIDAN ROAD</t>
  </si>
  <si>
    <t>2901 SOUTH WOLF ROAD</t>
  </si>
  <si>
    <t>5130 WEST JACKSON BOULEVARD</t>
  </si>
  <si>
    <t>8333 WEST GOLF ROAD</t>
  </si>
  <si>
    <t>1017 WEST GALENA BOULEVARD</t>
  </si>
  <si>
    <t>601 NORTH COLUMBIA</t>
  </si>
  <si>
    <t>2534 ELIM AVENUE</t>
  </si>
  <si>
    <t>1910 EAST MCCORD RTE 161 EAST</t>
  </si>
  <si>
    <t>1601 NORTH WESTERN AVENUE</t>
  </si>
  <si>
    <t>150 NORTH 27TH STREET</t>
  </si>
  <si>
    <t>2222 WEST 14TH STREET</t>
  </si>
  <si>
    <t>7350 NORTH SHERIDAN ROAD</t>
  </si>
  <si>
    <t>16300 WAUSAU STREET</t>
  </si>
  <si>
    <t>610 CRUGER</t>
  </si>
  <si>
    <t>509 SOUTH BUCK ROAD, PO BOX 149</t>
  </si>
  <si>
    <t>675 SOUTH ROSELLE ROAD</t>
  </si>
  <si>
    <t>725 WEST MONTROSE AVENUE</t>
  </si>
  <si>
    <t>7300 34TH AVENUE</t>
  </si>
  <si>
    <t>13259 SOUTH CENTRAL AVENUE</t>
  </si>
  <si>
    <t>3901 GLENVIEW ROAD</t>
  </si>
  <si>
    <t>940 MAPLE AVENUE</t>
  </si>
  <si>
    <t>606 EAST IL HWY 15</t>
  </si>
  <si>
    <t>191 EAST QUEENWOOD ROAD</t>
  </si>
  <si>
    <t>255 WEST 69TH STREET</t>
  </si>
  <si>
    <t>1920 NERGE ROAD</t>
  </si>
  <si>
    <t>695 NORTH KELLOG STREET</t>
  </si>
  <si>
    <t>2501 ALLENTOWN ROAD</t>
  </si>
  <si>
    <t>232 GIVEN STREET</t>
  </si>
  <si>
    <t>3401 HENNEPIN DRIVE</t>
  </si>
  <si>
    <t>9777 GREENWOOD</t>
  </si>
  <si>
    <t>800 NORTH MARKET STREET</t>
  </si>
  <si>
    <t>1950 LARKIN AVENUE</t>
  </si>
  <si>
    <t>10300 SOUTHWEST HIGHWAY</t>
  </si>
  <si>
    <t>815 EAST IRVING PARK ROAD</t>
  </si>
  <si>
    <t>1515 BLACKHAWK BOULEVARD</t>
  </si>
  <si>
    <t>1455 HOSPITAL ROAD</t>
  </si>
  <si>
    <t>1102 WEST RANDOLPH</t>
  </si>
  <si>
    <t>5050 SUMMIT AVENUE</t>
  </si>
  <si>
    <t>300 WAUKEGAN ROAD</t>
  </si>
  <si>
    <t>2304 C R 3000 N</t>
  </si>
  <si>
    <t>431 WEST REMINGTON BOULEVARD</t>
  </si>
  <si>
    <t>420 WEST BUTTERFIELD ROAD</t>
  </si>
  <si>
    <t>515 NORTH MAIN</t>
  </si>
  <si>
    <t>500 SOUTH WALNUT</t>
  </si>
  <si>
    <t>625 NORTH HARLEM</t>
  </si>
  <si>
    <t>1325 MANCHESTER ROAD</t>
  </si>
  <si>
    <t>253 BRADINGTON DRIVE</t>
  </si>
  <si>
    <t>14255 SOUTH CICERO AVENUE</t>
  </si>
  <si>
    <t>2202 NORTH KICKAPOO STREET</t>
  </si>
  <si>
    <t>200 FIFTH STREET</t>
  </si>
  <si>
    <t>100 MARIAN PARKWAY PO BOX 109</t>
  </si>
  <si>
    <t>2101 JAMES STREET</t>
  </si>
  <si>
    <t>555 MCHENRY ROAD</t>
  </si>
  <si>
    <t>205 EAST SPRING STREET</t>
  </si>
  <si>
    <t>703 EAST BUFFALO</t>
  </si>
  <si>
    <t>6955 STATE ROUTE 162</t>
  </si>
  <si>
    <t>501 CLINTON STREET</t>
  </si>
  <si>
    <t>5336 NORTH WESTERN AVENUE</t>
  </si>
  <si>
    <t>6930 WEST TOUHY AVENUE</t>
  </si>
  <si>
    <t>509 NORTH ADELAIDE</t>
  </si>
  <si>
    <t>1251 NORTH STATE STREET</t>
  </si>
  <si>
    <t>10124 SOUTH KEDZIE</t>
  </si>
  <si>
    <t>14500 SOUTH MANISTEE</t>
  </si>
  <si>
    <t>6120 WEST OGDEN</t>
  </si>
  <si>
    <t>4735 WILLOW SPRINGS ROAD</t>
  </si>
  <si>
    <t>800 WEST OAKTON STREET</t>
  </si>
  <si>
    <t>134 NORTH MCLEAN BOULEVARD</t>
  </si>
  <si>
    <t>1700 EAST LAKE AVENUE</t>
  </si>
  <si>
    <t>3 ERIE COURT</t>
  </si>
  <si>
    <t>201 LOCUST STREET</t>
  </si>
  <si>
    <t>5550 SOUTH SHORE DRIVE</t>
  </si>
  <si>
    <t>1311 PARKVIEW AVENUE</t>
  </si>
  <si>
    <t>535 SOUTH ELM</t>
  </si>
  <si>
    <t>1701 NORTH BOWMAN</t>
  </si>
  <si>
    <t>120 NORTH TOWER ROAD</t>
  </si>
  <si>
    <t>19330 SOUTH COTTAGE GROVE</t>
  </si>
  <si>
    <t>55 FERRELL ROAD, PO BOX 220</t>
  </si>
  <si>
    <t>600 EAST ROBINWOOD DRIVE</t>
  </si>
  <si>
    <t>14716 S EASTERN AVENUE</t>
  </si>
  <si>
    <t>10935 SOUTH HALSTED STREET</t>
  </si>
  <si>
    <t>5888 NORTH RIDGE</t>
  </si>
  <si>
    <t>3800 NORTH CALIFORNIA AVENUE</t>
  </si>
  <si>
    <t>6901 NORTH GALENA ROAD</t>
  </si>
  <si>
    <t>826 NORTH HIGH</t>
  </si>
  <si>
    <t>1006 NORTH LOWDEN P.O. BOX 111</t>
  </si>
  <si>
    <t>4401 NORTH MAIN STREET</t>
  </si>
  <si>
    <t>201 LAFAYETTE AVENUE  EAST</t>
  </si>
  <si>
    <t>2130 HARRISON STREET</t>
  </si>
  <si>
    <t>609 NORTH HARPHAM STREET</t>
  </si>
  <si>
    <t>3919 WEST FOSTER AVENUE</t>
  </si>
  <si>
    <t>4538 NORTH BEACON</t>
  </si>
  <si>
    <t>8540 SOUTH HARLEM</t>
  </si>
  <si>
    <t>12550 SOUTH RIDGELAND AVENUE</t>
  </si>
  <si>
    <t>21020 KOSTNER AVENUE</t>
  </si>
  <si>
    <t>333 SOUTH WRIGHTSMAN STREET</t>
  </si>
  <si>
    <t>6800 WEST JOLIET</t>
  </si>
  <si>
    <t>901 NORTH TENTH STREET</t>
  </si>
  <si>
    <t>7000 NORTH MCCORMICK BLVD.</t>
  </si>
  <si>
    <t>704 SOUTH ILLINOIS STREET</t>
  </si>
  <si>
    <t>1030 MARTIN LUTHER KING BLVD</t>
  </si>
  <si>
    <t>2242 NORTH KEDZIE</t>
  </si>
  <si>
    <t>1675 EAST ASH STREET</t>
  </si>
  <si>
    <t>605 NORTH 4TH STREET</t>
  </si>
  <si>
    <t>759 KANE STREET</t>
  </si>
  <si>
    <t>2055 WEST BALMORAL AVENUE</t>
  </si>
  <si>
    <t>1635 EAST 154TH STREET</t>
  </si>
  <si>
    <t>418 WASHINGTON STREET</t>
  </si>
  <si>
    <t>505 COLLEGE AVENUE</t>
  </si>
  <si>
    <t>820 FOSTER STREET</t>
  </si>
  <si>
    <t>250 VILLAGE DRIVE</t>
  </si>
  <si>
    <t>6700 NORTH DAMEN AVENUE</t>
  </si>
  <si>
    <t>300 S SCOTT STREET  PO BOX 360</t>
  </si>
  <si>
    <t>263 SKOKIE BOULEVARD</t>
  </si>
  <si>
    <t>1629 GARDNER LANE</t>
  </si>
  <si>
    <t>2299 METROPOLIS STREET</t>
  </si>
  <si>
    <t>900 SOUTH RAND ROAD</t>
  </si>
  <si>
    <t>707 WEST RIVERSIDE BOULEVARD</t>
  </si>
  <si>
    <t>150 NORTH WEILAND ROAD</t>
  </si>
  <si>
    <t>435 CAMDEN ROAD</t>
  </si>
  <si>
    <t>2355 ROYAL BOULEVARD</t>
  </si>
  <si>
    <t>746 WEST SPRING STREET</t>
  </si>
  <si>
    <t>8700 WEST 31ST STREET</t>
  </si>
  <si>
    <t>4505 SOUTH DREXEL</t>
  </si>
  <si>
    <t>3405 SOUTH MICHIGAN AVENUE</t>
  </si>
  <si>
    <t>30 WEST 300 NORTH AVENUE</t>
  </si>
  <si>
    <t>6450 NORTH RIDGE BLVD</t>
  </si>
  <si>
    <t>901 SOUTH AUSTIN</t>
  </si>
  <si>
    <t>730 WEST HINTZ ROAD</t>
  </si>
  <si>
    <t>2116 SOUTH 3RD   DACEY DRIVE</t>
  </si>
  <si>
    <t>610 LOWRY STREET</t>
  </si>
  <si>
    <t>6141 NORTH PULASKI ROAD</t>
  </si>
  <si>
    <t>665 BUSSE HIGHWAY</t>
  </si>
  <si>
    <t>1347 CRYSTAL COURT</t>
  </si>
  <si>
    <t>3116 WILLIAMSON COUNTY PARKWAY</t>
  </si>
  <si>
    <t>201 EAST FALCON HIGHWAY</t>
  </si>
  <si>
    <t>1601 BUTTERFIELD TRAIL</t>
  </si>
  <si>
    <t>2833 NORTH NORDICA AVENUE</t>
  </si>
  <si>
    <t>6277 CENTER GROVE ROAD</t>
  </si>
  <si>
    <t>3900 STEARNS AVENUE</t>
  </si>
  <si>
    <t>3249 SOUTH OAK PARK AVENUE</t>
  </si>
  <si>
    <t>5825 WEST CERMAK ROAD</t>
  </si>
  <si>
    <t>1400 EAST WASHINGTON STREET</t>
  </si>
  <si>
    <t>700 EAST EUCLID AVENUE</t>
  </si>
  <si>
    <t>4747 NORTH CANFIELD AVENUE</t>
  </si>
  <si>
    <t>221 EAST CUMBERLAND</t>
  </si>
  <si>
    <t>152 WILMA DRIVE</t>
  </si>
  <si>
    <t>9000 LA VERGNE AVENUE</t>
  </si>
  <si>
    <t>910 WEST POLK STREET</t>
  </si>
  <si>
    <t>1301 EAST DEYOUNG</t>
  </si>
  <si>
    <t>8001 SOUTH WESTERN AVENUE</t>
  </si>
  <si>
    <t>9246 SOUTH ROBERTS ROAD</t>
  </si>
  <si>
    <t>5061 NORTH PULASKI ROAD</t>
  </si>
  <si>
    <t>1666 CHECKER ROAD</t>
  </si>
  <si>
    <t>4626 OLD ORCHARD ROAD</t>
  </si>
  <si>
    <t>2308  OLD HICKS ROAD</t>
  </si>
  <si>
    <t>720 RAYMOND DRIVE</t>
  </si>
  <si>
    <t>2732 NORTH HAMPDEN COURT</t>
  </si>
  <si>
    <t>14325 SOUTH BLACKSTONE</t>
  </si>
  <si>
    <t>1400 BROOKDALE ROAD</t>
  </si>
  <si>
    <t>2500 EAST 175TH STREET</t>
  </si>
  <si>
    <t>512 NORTH 11TH STREET</t>
  </si>
  <si>
    <t>4920 NORTH KENMORE</t>
  </si>
  <si>
    <t>1111 N STATE ST  P O BOX 410</t>
  </si>
  <si>
    <t>5905 WEST WASHINGTON</t>
  </si>
  <si>
    <t>304 S.W. 12TH STREET</t>
  </si>
  <si>
    <t>176 THOMAS COURT</t>
  </si>
  <si>
    <t>5831 NORTH NORTHWEST HIGHWAY</t>
  </si>
  <si>
    <t>1001 A JEFFERSON STREET</t>
  </si>
  <si>
    <t>1660 SOUTH MULFORD</t>
  </si>
  <si>
    <t>421 DORIS AVENUE</t>
  </si>
  <si>
    <t>11860 SOUTHWEST HIGHWAY</t>
  </si>
  <si>
    <t>2946 SOUTH WALNUT ROAD</t>
  </si>
  <si>
    <t>1201 NORTH ALTON</t>
  </si>
  <si>
    <t>120 WEST 26TH STREET</t>
  </si>
  <si>
    <t>14601 SOUTH JOHN HUMPHREY DR</t>
  </si>
  <si>
    <t>175 EAST SYCAMORE</t>
  </si>
  <si>
    <t>12450 WALKER ROAD</t>
  </si>
  <si>
    <t>1500 WEST ST LOUIS AVENUE</t>
  </si>
  <si>
    <t>2320 WEST 113TH PLACE</t>
  </si>
  <si>
    <t>ROUTE 127, PO BOX B</t>
  </si>
  <si>
    <t>800 DIVISION STREET</t>
  </si>
  <si>
    <t>2520 GROSS POINT ROAD</t>
  </si>
  <si>
    <t>2313 NORTH ROCKTON AVENUE</t>
  </si>
  <si>
    <t>400 EAST HILLVIEW AVENUE</t>
  </si>
  <si>
    <t>#1 MYRTLE LANE</t>
  </si>
  <si>
    <t>620 EAST FIRST STREET</t>
  </si>
  <si>
    <t>5701 WEST 79TH STREET</t>
  </si>
  <si>
    <t>1010 WEST 95TH STREET</t>
  </si>
  <si>
    <t>471 TERRA COTTA AVENUE</t>
  </si>
  <si>
    <t>900 EAST CORPORATION</t>
  </si>
  <si>
    <t>310 MOSHER DRIVE</t>
  </si>
  <si>
    <t>201 BELLE STREET,  P O BOX 79</t>
  </si>
  <si>
    <t>430 SOUTH FRONT STREET</t>
  </si>
  <si>
    <t>2773 SKOKIE VALLEY ROAD</t>
  </si>
  <si>
    <t>1915 SOUTH MATTIS STREET</t>
  </si>
  <si>
    <t>14792 CATLIN TILTON ROAD</t>
  </si>
  <si>
    <t>16000 SOUTH WABASH</t>
  </si>
  <si>
    <t>1021 NORTH CHURCH STREET</t>
  </si>
  <si>
    <t>15335 US HIGHWAY 66</t>
  </si>
  <si>
    <t>9700 GROSS POINT ROAD</t>
  </si>
  <si>
    <t>432 POPLAR DRIVE</t>
  </si>
  <si>
    <t>7023 NORTH EAST SKYLINE DRIVE</t>
  </si>
  <si>
    <t>659 EAST JEFFERSON STREET</t>
  </si>
  <si>
    <t>50 PLEASANT AVENUE</t>
  </si>
  <si>
    <t>321 ARNOLD AVENUE</t>
  </si>
  <si>
    <t>6125 SOUTH KENWOOD</t>
  </si>
  <si>
    <t>7750 SOUTH SHORE DRIVE</t>
  </si>
  <si>
    <t>9525 SOUTH MAYFIELD</t>
  </si>
  <si>
    <t>400 WEST SULLIVAN ROAD</t>
  </si>
  <si>
    <t>180 WEST IMBODEN</t>
  </si>
  <si>
    <t>4600 NORTH FRONTAGE ROAD</t>
  </si>
  <si>
    <t>3249 WEST 147TH STREET</t>
  </si>
  <si>
    <t>601 NORTH MORGAN</t>
  </si>
  <si>
    <t>14688 ILLINOIS HIGHWAY 82</t>
  </si>
  <si>
    <t>2545 24TH STREET</t>
  </si>
  <si>
    <t>1600 W WALNUT STREET</t>
  </si>
  <si>
    <t>8306 ST LUKES DRIVE</t>
  </si>
  <si>
    <t>P O BOX 4, 403 NORTH FOURTH STREET</t>
  </si>
  <si>
    <t>480 NORTH WOLF ROAD</t>
  </si>
  <si>
    <t>3298 RESOURCE PARKWAY</t>
  </si>
  <si>
    <t>7370 WEST TALCOTT AVENUE</t>
  </si>
  <si>
    <t>2223 WEST HEDDING AVENUE</t>
  </si>
  <si>
    <t>16450 SOUTH 97TH AVENUE</t>
  </si>
  <si>
    <t>405 WEST CARPENTER</t>
  </si>
  <si>
    <t>500 WEST MCKINLEY AVENUE</t>
  </si>
  <si>
    <t>1401 S. CALIFORNIA AVENUE</t>
  </si>
  <si>
    <t>18300 S. LAVERGNE AVE</t>
  </si>
  <si>
    <t>144 JUNIOR AVENUE</t>
  </si>
  <si>
    <t>8200 WEST ROOSEVELT ROAD</t>
  </si>
  <si>
    <t>2649 EAST 75TH ST</t>
  </si>
  <si>
    <t>4101 LAKE COOK ROAD</t>
  </si>
  <si>
    <t>3330 MARIA LINDEN DRIVE</t>
  </si>
  <si>
    <t>6016 NORTH NINA AVENUE</t>
  </si>
  <si>
    <t>900 NORTH 3RD STREET</t>
  </si>
  <si>
    <t>2425 EAST 71ST STREET</t>
  </si>
  <si>
    <t>1000 WEST SLOAN STREET</t>
  </si>
  <si>
    <t>430 EAST 19TH</t>
  </si>
  <si>
    <t>850 DUNHAM RD</t>
  </si>
  <si>
    <t>1405 NORTH SECOND STREET</t>
  </si>
  <si>
    <t>3300 MILWAUKEE AVE.</t>
  </si>
  <si>
    <t>2940 WEST 87TH STREET</t>
  </si>
  <si>
    <t>5050 WEST TOUHY AVENUE</t>
  </si>
  <si>
    <t>UNIVERSITY DRIVE</t>
  </si>
  <si>
    <t>1100 PEMBRIDGE DRIVE</t>
  </si>
  <si>
    <t>1145 FRANK STREET</t>
  </si>
  <si>
    <t>1000 DIXON AVENUE</t>
  </si>
  <si>
    <t>516 WEST FRECH STREET</t>
  </si>
  <si>
    <t>4452 SQUAW PRAIRIE ROAD</t>
  </si>
  <si>
    <t>402 SOUTH HARRISON</t>
  </si>
  <si>
    <t>13138 STATE ROUTE 13</t>
  </si>
  <si>
    <t>1800 COLONIAL PARKWAY</t>
  </si>
  <si>
    <t>4437 SOUTH CICERO</t>
  </si>
  <si>
    <t>323 OAKRIDGE AVENUE</t>
  </si>
  <si>
    <t>1221 EAST GOLF ROAD</t>
  </si>
  <si>
    <t>6601 WEST TOUHY AVENUE</t>
  </si>
  <si>
    <t>305 N.W. 11TH STREET</t>
  </si>
  <si>
    <t>4815 SOUTH WESTERN AVE</t>
  </si>
  <si>
    <t>2001 CEDAR STREET</t>
  </si>
  <si>
    <t>2530 NORTH MONROE STREET</t>
  </si>
  <si>
    <t>1240 NORTH MARKET STREET</t>
  </si>
  <si>
    <t>315 SOUTH BRADY MILL ROAD</t>
  </si>
  <si>
    <t>761 OLD BARN LANE</t>
  </si>
  <si>
    <t>2021 RANDI DRIVE</t>
  </si>
  <si>
    <t>908 WEST ARGYLE STREET</t>
  </si>
  <si>
    <t>300 WEST LOWELL</t>
  </si>
  <si>
    <t>502 NORTH MAIN</t>
  </si>
  <si>
    <t>6909 WEST NORTH AVENUE</t>
  </si>
  <si>
    <t>901 SOUTH GRANT P O BOX 850</t>
  </si>
  <si>
    <t>920 N SEMINARY AVE P O BOX 520</t>
  </si>
  <si>
    <t>129 SOUTH 1ST AVENUE</t>
  </si>
  <si>
    <t>1315B CURT DRIVE</t>
  </si>
  <si>
    <t>2320 SOUTH LAWNDALE</t>
  </si>
  <si>
    <t>216 COLLEGE BOULEVARD</t>
  </si>
  <si>
    <t>145 S CHAMBERLAIN ST,  BOX 770</t>
  </si>
  <si>
    <t>1001 SOUTH 34TH STREET</t>
  </si>
  <si>
    <t>423 EBERHARDT DRIVE</t>
  </si>
  <si>
    <t>111 EAST ILLINOIS STREET</t>
  </si>
  <si>
    <t>3400 WEST WASHINGTON</t>
  </si>
  <si>
    <t>150 JAMESTOWN LANE</t>
  </si>
  <si>
    <t>1270 FRANCISCAN DRIVE</t>
  </si>
  <si>
    <t>101 TROWBRIDGE ROAD</t>
  </si>
  <si>
    <t>220 N FIRST STREET</t>
  </si>
  <si>
    <t>602 EAST JACKSON</t>
  </si>
  <si>
    <t>1212 MADELYN AVENUE</t>
  </si>
  <si>
    <t>4390 ROUTE 71</t>
  </si>
  <si>
    <t>2259 EAST 1100TH STREET</t>
  </si>
  <si>
    <t>1901 13TH STREET</t>
  </si>
  <si>
    <t>P O BOX 375 400 W WASHINGTON</t>
  </si>
  <si>
    <t>825 E MAIN STREET, RR #2, BOX 97</t>
  </si>
  <si>
    <t>100 EASTVIEW PLACE</t>
  </si>
  <si>
    <t>410 FLETCHER</t>
  </si>
  <si>
    <t>430 SOUTH 30TH AVENUE</t>
  </si>
  <si>
    <t>1120 NORTH TOPPER DRIVE</t>
  </si>
  <si>
    <t>485 SOUTH FRIENDSHIP DRIVE</t>
  </si>
  <si>
    <t>210 EAST COLLEGE, PO BOX 519</t>
  </si>
  <si>
    <t>410 NORTH SECOND STREET</t>
  </si>
  <si>
    <t>1200 EAST GRANT STREET</t>
  </si>
  <si>
    <t>800 MCADAM DR</t>
  </si>
  <si>
    <t>200 FAIRMAN AVENUE</t>
  </si>
  <si>
    <t>422 EAST FOURTH STREET</t>
  </si>
  <si>
    <t>1313 PRATT STREET</t>
  </si>
  <si>
    <t>417 EAST MAIN STREET, BOX 310</t>
  </si>
  <si>
    <t>12220 SOUTH WILL COOK ROAD</t>
  </si>
  <si>
    <t>900 WEST RACE STREET</t>
  </si>
  <si>
    <t>901 NORTH ENTRANCE AVENUE</t>
  </si>
  <si>
    <t>117 SOUTH I STREET</t>
  </si>
  <si>
    <t>1300 OAK AVENUE</t>
  </si>
  <si>
    <t>873 GROVE STREET</t>
  </si>
  <si>
    <t>100 FAITH DRIVE</t>
  </si>
  <si>
    <t>1800 ROBIN LANE</t>
  </si>
  <si>
    <t>1401 NORTH CALIFORNIA</t>
  </si>
  <si>
    <t>308 SOUTH SECOND STREET</t>
  </si>
  <si>
    <t>2650 NORTH MONROE STREET</t>
  </si>
  <si>
    <t>31 WEST CENTRAL</t>
  </si>
  <si>
    <t>3650 NORTH ALPINE ROAD</t>
  </si>
  <si>
    <t>1101 EAST STATE STREET</t>
  </si>
  <si>
    <t>19130 SUNNY ACRES ROAD</t>
  </si>
  <si>
    <t>6131 PARK RIDGE ROAD</t>
  </si>
  <si>
    <t>1600 NORTH BROADWAY, PO BOX 370</t>
  </si>
  <si>
    <t>1701 5TH AVENUE</t>
  </si>
  <si>
    <t>500 6TH STREET</t>
  </si>
  <si>
    <t>ONE MASONIC WAY</t>
  </si>
  <si>
    <t>3500 CENTURY DRIVE</t>
  </si>
  <si>
    <t>1 PARK LANE WEST</t>
  </si>
  <si>
    <t>1223 EDGEWATER</t>
  </si>
  <si>
    <t>3900 SOUTH OAK PARK AVENUE</t>
  </si>
  <si>
    <t>500 SOUTH LEWIS LANE</t>
  </si>
  <si>
    <t>400  WEST GRANT STREET</t>
  </si>
  <si>
    <t>2500 EAST ST. LOUIS STREET</t>
  </si>
  <si>
    <t>140 NORTH SIXTH STREET</t>
  </si>
  <si>
    <t>500 NORTH JACKSON STREET</t>
  </si>
  <si>
    <t>1190 E 2900 NORTH ROAD</t>
  </si>
  <si>
    <t>1203 EGYPTIAN TRAIL</t>
  </si>
  <si>
    <t>1310 MARK FRANKLIN LOUIS STREET</t>
  </si>
  <si>
    <t>205 NORTH ADAMS</t>
  </si>
  <si>
    <t>3222 INDEPENDENCE DRIVE</t>
  </si>
  <si>
    <t>3230 BECKER DRIVE</t>
  </si>
  <si>
    <t>1900 NORTH PARK AVENUE</t>
  </si>
  <si>
    <t>339 9TH AVENUE</t>
  </si>
  <si>
    <t>6801 HIGHGROVE BOULEVARD</t>
  </si>
  <si>
    <t>215 EAST WASHINGTON</t>
  </si>
  <si>
    <t>413 RIDGE LANE</t>
  </si>
  <si>
    <t>850 EAST SECOND STREET</t>
  </si>
  <si>
    <t>3611 NORTH ROCHELLE</t>
  </si>
  <si>
    <t>1209 21ST AVENUE</t>
  </si>
  <si>
    <t>530 EAST BEARDSTOWN STREET</t>
  </si>
  <si>
    <t>4054 ALBRIGHT LANE</t>
  </si>
  <si>
    <t>2170 WEST NAVAJO DRIVE</t>
  </si>
  <si>
    <t>604 OAKWOOD DRIVE</t>
  </si>
  <si>
    <t>404 BROOKVIEW DRIVE</t>
  </si>
  <si>
    <t>2944 GREENWOOD ACRES DRIVE</t>
  </si>
  <si>
    <t>RURAL ROUTE 2</t>
  </si>
  <si>
    <t>2401 INDIGO LANE</t>
  </si>
  <si>
    <t>6900 NORTH STALWORTH</t>
  </si>
  <si>
    <t>24588 CHURCH STREET</t>
  </si>
  <si>
    <t>10501 EMILIE LANE</t>
  </si>
  <si>
    <t>101 PRAIRIE MILLS ROAD</t>
  </si>
  <si>
    <t>650 NORTH KINZIE</t>
  </si>
  <si>
    <t>300 NORTH MARIETTA STREET</t>
  </si>
  <si>
    <t>1010 SOUTH LOGAN STREET</t>
  </si>
  <si>
    <t>203 SOUTH JOHNSON STREET</t>
  </si>
  <si>
    <t>1380 NORTH 27TH ROAD</t>
  </si>
  <si>
    <t>100 N.E. 15TH</t>
  </si>
  <si>
    <t>6000 GARLANDS LANE</t>
  </si>
  <si>
    <t>320 SECOND STREET</t>
  </si>
  <si>
    <t>101 NORTH  B  STREET</t>
  </si>
  <si>
    <t>1409 NORTH MAIN STREET, PO BOX 847</t>
  </si>
  <si>
    <t>1021 WEST E STREET</t>
  </si>
  <si>
    <t>401 9TH STREET</t>
  </si>
  <si>
    <t>615 WEST WEBB STREET, PO BOX 133</t>
  </si>
  <si>
    <t>829 CARILLON DRIVE</t>
  </si>
  <si>
    <t>1201 WYOMING AVENUE</t>
  </si>
  <si>
    <t>546 EAST GRANT HIGHWAY</t>
  </si>
  <si>
    <t>315 NORTH LA GRANGE ROAD</t>
  </si>
  <si>
    <t>26 W 171 ROOSEVELT ROAD</t>
  </si>
  <si>
    <t>1740 NORTH CIRCUIT DRIVE</t>
  </si>
  <si>
    <t>WATKINS STREET,   P O BOX 370</t>
  </si>
  <si>
    <t>19000 HALSTED</t>
  </si>
  <si>
    <t>902 EAST ARNOLD STREET</t>
  </si>
  <si>
    <t>120 SOUTH LAND STREET, PO BOX 468</t>
  </si>
  <si>
    <t>1010 WEST NORTH STREET</t>
  </si>
  <si>
    <t>960 AUDUBON WAY</t>
  </si>
  <si>
    <t>2120 WEST WASHINGTON</t>
  </si>
  <si>
    <t>215 SUMMIT STREET</t>
  </si>
  <si>
    <t>55 EAST PEARSON</t>
  </si>
  <si>
    <t>27 AUERBACH PLACE</t>
  </si>
  <si>
    <t>2000 WEST LAKE STREET</t>
  </si>
  <si>
    <t>902 SOUTH MCLEANSBORO</t>
  </si>
  <si>
    <t>425 DAVIS STREET</t>
  </si>
  <si>
    <t>609 SOUTH MARSHALL</t>
  </si>
  <si>
    <t>501 EAST FRONT STREET, PO BOX #38</t>
  </si>
  <si>
    <t>565 WEST MARION AVENUE</t>
  </si>
  <si>
    <t>2444 WEST TOUHY AVENUE</t>
  </si>
  <si>
    <t>1000 NORTH ALLEN</t>
  </si>
  <si>
    <t>625 EAST MONROE STREET</t>
  </si>
  <si>
    <t>1021 CARON ROAD</t>
  </si>
  <si>
    <t>710 W BLACK ROAD</t>
  </si>
  <si>
    <t>4101 WEST ILES AVENUE</t>
  </si>
  <si>
    <t>1150 EUCLID AVENUE</t>
  </si>
  <si>
    <t>408 NORTH WILSON STREET</t>
  </si>
  <si>
    <t>430 MARTIN ROAD</t>
  </si>
  <si>
    <t>817 17TH STREET</t>
  </si>
  <si>
    <t>1615 SUNSET AVENUE</t>
  </si>
  <si>
    <t>3089 OLD JACKSONVILLE ROAD</t>
  </si>
  <si>
    <t>3311 S. MICHIGAN AVE.</t>
  </si>
  <si>
    <t>525 SOUTH MACON STREET</t>
  </si>
  <si>
    <t>720 SYCAMORE</t>
  </si>
  <si>
    <t>4314 SOUTH WABASH AVENUE</t>
  </si>
  <si>
    <t>933 WEST FOSTER AVENUE</t>
  </si>
  <si>
    <t>0N801 FRIENDSHIP WAY</t>
  </si>
  <si>
    <t>2840 WEST FOSTER AVENUE</t>
  </si>
  <si>
    <t>28 WEST 141 LIBERTY STREET</t>
  </si>
  <si>
    <t>1512 WEST FARGO</t>
  </si>
  <si>
    <t>212 AIRPORT ROAD</t>
  </si>
  <si>
    <t>2940 W WESTRIDGE PLACE</t>
  </si>
  <si>
    <t>777 DRAPER AVENUE</t>
  </si>
  <si>
    <t>2308 NORTH ROUTE 59</t>
  </si>
  <si>
    <t>3659 WEST 99TH STREET</t>
  </si>
  <si>
    <t>708 VIRGINIA COURT</t>
  </si>
  <si>
    <t>7000 NORTH NEWARK</t>
  </si>
  <si>
    <t>408 MAPLE AVENUE</t>
  </si>
  <si>
    <t>12525 W RENAISSANCE CIRCLE</t>
  </si>
  <si>
    <t>1941 VIRGINIA AVE</t>
  </si>
  <si>
    <t>411 W TIPTON ST</t>
  </si>
  <si>
    <t>7001 HOOVER RD</t>
  </si>
  <si>
    <t>900 PROVIDENT DRIVE</t>
  </si>
  <si>
    <t>1345 N MADISON AVE</t>
  </si>
  <si>
    <t>1900  N  ALBER ST</t>
  </si>
  <si>
    <t>1100 S CURRY PK</t>
  </si>
  <si>
    <t>2309 S MILLER ST</t>
  </si>
  <si>
    <t>295 VILLAGE LANE</t>
  </si>
  <si>
    <t>5600 E 16TH ST</t>
  </si>
  <si>
    <t>2200 WEST WHITE RIVER BLVD</t>
  </si>
  <si>
    <t>317 BLAIR PIKE</t>
  </si>
  <si>
    <t>6440 W 34TH ST</t>
  </si>
  <si>
    <t>3801 OLD BRUCEVILLE RD BOX 136</t>
  </si>
  <si>
    <t>1630 S COUNTY FARM RD</t>
  </si>
  <si>
    <t>612 E 11TH ST</t>
  </si>
  <si>
    <t>1500 GRANT ST</t>
  </si>
  <si>
    <t>403 BIELBY RD</t>
  </si>
  <si>
    <t>1700 I STREET</t>
  </si>
  <si>
    <t>3518 S LAFOUNTAIN ST</t>
  </si>
  <si>
    <t>1809 N MADISON AVE</t>
  </si>
  <si>
    <t>3118 GREEN VALLEY RD</t>
  </si>
  <si>
    <t>2002 ALBANY ST</t>
  </si>
  <si>
    <t>222 PARKVIEW ST</t>
  </si>
  <si>
    <t>7145 E 21ST STREET</t>
  </si>
  <si>
    <t>45 BEACHWAY DR</t>
  </si>
  <si>
    <t>343 S NAPPANEE ST</t>
  </si>
  <si>
    <t>1023 N 20TH ST</t>
  </si>
  <si>
    <t>1808 SHERMAN DR</t>
  </si>
  <si>
    <t>2201 CASON ST</t>
  </si>
  <si>
    <t>2001 HOBSON RD</t>
  </si>
  <si>
    <t>2111 NORTON LN</t>
  </si>
  <si>
    <t>635 OAKHILL AVE</t>
  </si>
  <si>
    <t>1950 RIDGEDALE RD</t>
  </si>
  <si>
    <t>1201 W BUENA VISTA RD</t>
  </si>
  <si>
    <t>295 WESTFIELD RD</t>
  </si>
  <si>
    <t>811 E 12TH STREET</t>
  </si>
  <si>
    <t>1121 E LASALLE AVE</t>
  </si>
  <si>
    <t>787 N DETROIT ST</t>
  </si>
  <si>
    <t>745 N SWOPE ST</t>
  </si>
  <si>
    <t>1903 UNION ST</t>
  </si>
  <si>
    <t>1705 S MAIN ST</t>
  </si>
  <si>
    <t>457 S SR 145</t>
  </si>
  <si>
    <t>411 N WOLF RD</t>
  </si>
  <si>
    <t>7935 CALUMET AVE</t>
  </si>
  <si>
    <t>255 MEADOW DR</t>
  </si>
  <si>
    <t>2100 MIDWAY ST</t>
  </si>
  <si>
    <t>1510 CLINIC DR</t>
  </si>
  <si>
    <t>1900 ANDREW AVE</t>
  </si>
  <si>
    <t>251 STURDY RD</t>
  </si>
  <si>
    <t>2860 CHURCHMAN AVE</t>
  </si>
  <si>
    <t>2233 W JEFFERSON ST</t>
  </si>
  <si>
    <t>3150 N SEVENTH ST</t>
  </si>
  <si>
    <t>603 E NATIONAL HWY</t>
  </si>
  <si>
    <t>650 FAIRWAY DR</t>
  </si>
  <si>
    <t>8181 HARCOURT RD</t>
  </si>
  <si>
    <t>640 W ELLSWORTH ST</t>
  </si>
  <si>
    <t>1120 N MAIN ST</t>
  </si>
  <si>
    <t>20531 DARDEN RD</t>
  </si>
  <si>
    <t>2140 W 86TH ST</t>
  </si>
  <si>
    <t>1101 E COOLSPRING AVE</t>
  </si>
  <si>
    <t>1042 OAK DR</t>
  </si>
  <si>
    <t>1000 ELIZABETH DR</t>
  </si>
  <si>
    <t>2940 N CLINTON ST</t>
  </si>
  <si>
    <t>990 N 16TH ST</t>
  </si>
  <si>
    <t>600 WASHINGTON AVE</t>
  </si>
  <si>
    <t>586 EASTERN BLVD</t>
  </si>
  <si>
    <t>606 WALL ST</t>
  </si>
  <si>
    <t>11050 PRESBYTERIAN DR</t>
  </si>
  <si>
    <t>5801 W BETHEL AVE</t>
  </si>
  <si>
    <t>1285 W JEFFERSON ST</t>
  </si>
  <si>
    <t>505 N BRADNER AVE</t>
  </si>
  <si>
    <t>3811 PARNELL AVE</t>
  </si>
  <si>
    <t>2741 N SALISBURY ST</t>
  </si>
  <si>
    <t>609 W TANGLEWOOD LN</t>
  </si>
  <si>
    <t>118 MEDICAL DR</t>
  </si>
  <si>
    <t>2055 HERITAGE DR</t>
  </si>
  <si>
    <t>3175 LANCER ST</t>
  </si>
  <si>
    <t>200 GREEN MEADOWS DR</t>
  </si>
  <si>
    <t>2210 GREENTREE N</t>
  </si>
  <si>
    <t>377 WESTRIDGE BLVD</t>
  </si>
  <si>
    <t>3525 E HANNA AVE</t>
  </si>
  <si>
    <t>3602 S IRONWOOD DR</t>
  </si>
  <si>
    <t>8140 TOWNSHIP LINE RD</t>
  </si>
  <si>
    <t>776 N UNION ST</t>
  </si>
  <si>
    <t>1564 S UNIVERSITY BLVD</t>
  </si>
  <si>
    <t>1601 HOSPITAL DR</t>
  </si>
  <si>
    <t>203 SPARKS AVE</t>
  </si>
  <si>
    <t>1225 GREENCROFT DR</t>
  </si>
  <si>
    <t>1010 HORNADAY RD</t>
  </si>
  <si>
    <t>1201 DALY DR</t>
  </si>
  <si>
    <t>410 W LAGRANGE RD</t>
  </si>
  <si>
    <t>950 CROSS AVE</t>
  </si>
  <si>
    <t>410 PARK RD</t>
  </si>
  <si>
    <t>1585 PERRY WORTH RD</t>
  </si>
  <si>
    <t>203 FRANCISCAN DR</t>
  </si>
  <si>
    <t>3700 CLARKS CREEK RD</t>
  </si>
  <si>
    <t>1712 LELAND DR</t>
  </si>
  <si>
    <t>2300 GREAT LAKES DR</t>
  </si>
  <si>
    <t>52654 N IRONWOOD RD</t>
  </si>
  <si>
    <t>601 SHEFFIELD AVE</t>
  </si>
  <si>
    <t>1120 E DAVIS DR</t>
  </si>
  <si>
    <t>429 W LINCOLN RD</t>
  </si>
  <si>
    <t>1600 E LIBERTY ST</t>
  </si>
  <si>
    <t>621 W COLUMBIA ST</t>
  </si>
  <si>
    <t>2010 N CAPITOL AVE</t>
  </si>
  <si>
    <t>2070 CHESTER BLVD</t>
  </si>
  <si>
    <t>3820 W JACKSON ST</t>
  </si>
  <si>
    <t>2050 CHESTER BLVD</t>
  </si>
  <si>
    <t>701 S OAK ST</t>
  </si>
  <si>
    <t>627 E NORTH 'H' STREET</t>
  </si>
  <si>
    <t>958 E HWY 46</t>
  </si>
  <si>
    <t>125 W MARGARET AVE</t>
  </si>
  <si>
    <t>200 26TH ST</t>
  </si>
  <si>
    <t>4171 FOREST POINTE CIRCLE</t>
  </si>
  <si>
    <t>3518 S SHELBY ST</t>
  </si>
  <si>
    <t>2000 S ANDREWS RD</t>
  </si>
  <si>
    <t>2417 S COUNTY ROAD 800 W</t>
  </si>
  <si>
    <t>525 E THOMPSON RD</t>
  </si>
  <si>
    <t>4301 N WALNUT ST</t>
  </si>
  <si>
    <t>300 WINDY HILL DR</t>
  </si>
  <si>
    <t>7630 E 86TH ST</t>
  </si>
  <si>
    <t>110 BEVERLY DR</t>
  </si>
  <si>
    <t>8549 S MADISON AVE</t>
  </si>
  <si>
    <t>30 E CHANDLER AVE</t>
  </si>
  <si>
    <t>6006 BRANDY CHASE COVE</t>
  </si>
  <si>
    <t>2901 W 37TH AVE</t>
  </si>
  <si>
    <t>4088 FRAME RD</t>
  </si>
  <si>
    <t>2455 TAMARACK TR</t>
  </si>
  <si>
    <t>5430 W US 40</t>
  </si>
  <si>
    <t>3420 EAST STATE BLVD</t>
  </si>
  <si>
    <t>205 MARINE DR</t>
  </si>
  <si>
    <t>1609 LAFAYETTE RD</t>
  </si>
  <si>
    <t>505 W WOLFE ST</t>
  </si>
  <si>
    <t>12802 E US HWY 50</t>
  </si>
  <si>
    <t>2330 STRAIGHT LINE PIKE</t>
  </si>
  <si>
    <t>101 POTTERS LN</t>
  </si>
  <si>
    <t>1649 SPY RUN AVENUE</t>
  </si>
  <si>
    <t>545 W MOONGLO RD</t>
  </si>
  <si>
    <t>1900 JEANWOOD DR</t>
  </si>
  <si>
    <t>510 W MEDCALF ROAD</t>
  </si>
  <si>
    <t>8400 CLEARVISTA PL</t>
  </si>
  <si>
    <t>5226 E 82ND ST</t>
  </si>
  <si>
    <t>4255 MEDWELL DR</t>
  </si>
  <si>
    <t>815 W WASHINGTON ST</t>
  </si>
  <si>
    <t>1020 W VINE ST</t>
  </si>
  <si>
    <t>3301 N CALUMET AVE</t>
  </si>
  <si>
    <t>155 E BURKS DR</t>
  </si>
  <si>
    <t>12803 LENOVER ST</t>
  </si>
  <si>
    <t>2515 NEWTON ST</t>
  </si>
  <si>
    <t>1005 S EDGEWOOD DR</t>
  </si>
  <si>
    <t>200 KINGSTON CIR</t>
  </si>
  <si>
    <t>1309 E GRACE ST</t>
  </si>
  <si>
    <t>4725 S COLONIAL OAKS DR</t>
  </si>
  <si>
    <t>701 ARMORY RD</t>
  </si>
  <si>
    <t>3017 VALLEY FARMS RD</t>
  </si>
  <si>
    <t>2026 E 54TH ST</t>
  </si>
  <si>
    <t>8505 WOODFIELD CROSSING BLVD</t>
  </si>
  <si>
    <t>809 W FREEMAN ST</t>
  </si>
  <si>
    <t>1007 LINCOLNWAY</t>
  </si>
  <si>
    <t>8530 TOWNSHIP LINE RD</t>
  </si>
  <si>
    <t>5909 LUTE RD</t>
  </si>
  <si>
    <t>800 E OHIO ST</t>
  </si>
  <si>
    <t>1000 N 16TH ST</t>
  </si>
  <si>
    <t>800 W NINTH ST</t>
  </si>
  <si>
    <t>240 BEECHMONT DR</t>
  </si>
  <si>
    <t>375 S 11TH ST</t>
  </si>
  <si>
    <t>5544 E STATE BLVD</t>
  </si>
  <si>
    <t>6050 S CR 800 E 92</t>
  </si>
  <si>
    <t>410 TIOGA RD</t>
  </si>
  <si>
    <t>24 TEKE BURTON DR</t>
  </si>
  <si>
    <t>900 ANSON ST</t>
  </si>
  <si>
    <t>1380 E COUNTY LINE RD S</t>
  </si>
  <si>
    <t>25 S BOEHNE CAMP RD</t>
  </si>
  <si>
    <t>1302 N LESLEY AVE</t>
  </si>
  <si>
    <t>200 CONNIE AVE</t>
  </si>
  <si>
    <t>3405 N CAMPBELL RD</t>
  </si>
  <si>
    <t>281 S COUNTY ROAD 200 EAST</t>
  </si>
  <si>
    <t>559 W LONGEST ST</t>
  </si>
  <si>
    <t>7301 E 16TH ST</t>
  </si>
  <si>
    <t>215 DAVIS RD</t>
  </si>
  <si>
    <t>4851 TINCHER RD</t>
  </si>
  <si>
    <t>445 S CR 525 E</t>
  </si>
  <si>
    <t>2119 E NATIONAL HWY</t>
  </si>
  <si>
    <t>1415 COUNTRY CLUB RD</t>
  </si>
  <si>
    <t>0770 N 075 E</t>
  </si>
  <si>
    <t>802 US HWY 20 E</t>
  </si>
  <si>
    <t>2819 N ST JOSEPH AVE</t>
  </si>
  <si>
    <t>1900 RANDALLIA DR</t>
  </si>
  <si>
    <t>2600 MOREHOUSE AVE</t>
  </si>
  <si>
    <t>1620 N LINCOLN ST</t>
  </si>
  <si>
    <t>10466 POLLACK AVE</t>
  </si>
  <si>
    <t>4600 W WASHINGTON AVE</t>
  </si>
  <si>
    <t>700 BROADWAY TRANSITIONAL CARE UNIT</t>
  </si>
  <si>
    <t>300 J H WALKER DR</t>
  </si>
  <si>
    <t>3300 POPLAR ST</t>
  </si>
  <si>
    <t>7519 WINCHESTER RD</t>
  </si>
  <si>
    <t>801 E ILLINOIS ST</t>
  </si>
  <si>
    <t>8800 VIRGINIA PLACE</t>
  </si>
  <si>
    <t>404 W WILLOW RD</t>
  </si>
  <si>
    <t>12101 LIMA RD</t>
  </si>
  <si>
    <t>2905 W SYCAMORE ST</t>
  </si>
  <si>
    <t>712 W 2ND ST</t>
  </si>
  <si>
    <t>251 HIGHWAY 66</t>
  </si>
  <si>
    <t>303 S MAIN ST</t>
  </si>
  <si>
    <t>313 POPLAR ST</t>
  </si>
  <si>
    <t>309 W PIKE AVE</t>
  </si>
  <si>
    <t>803 S HAMILTON ST</t>
  </si>
  <si>
    <t>707 S JACKSON PARK DR</t>
  </si>
  <si>
    <t>1001 N GRANT ST</t>
  </si>
  <si>
    <t>827 W 13TH ST</t>
  </si>
  <si>
    <t>1667 SHERIDAN RD</t>
  </si>
  <si>
    <t>8201 W WASHINGTON ST</t>
  </si>
  <si>
    <t>402 19TH STREET</t>
  </si>
  <si>
    <t>520 W LIBERTY ST</t>
  </si>
  <si>
    <t>2500 IOWA AVE</t>
  </si>
  <si>
    <t>514 E 16TH ST</t>
  </si>
  <si>
    <t>1316 N TIBBS AVE</t>
  </si>
  <si>
    <t>816 N FIRST AVE</t>
  </si>
  <si>
    <t>1433 S MAIN STREET</t>
  </si>
  <si>
    <t>4600 E JACKSON ST</t>
  </si>
  <si>
    <t>1375 S GRANT AVE</t>
  </si>
  <si>
    <t>3401 SOLDIERS HOME RD</t>
  </si>
  <si>
    <t>301 W ESSEX ST</t>
  </si>
  <si>
    <t>390 W BOULEVARD</t>
  </si>
  <si>
    <t>3895 S KEYSTONE AVE</t>
  </si>
  <si>
    <t>937 FRY RD</t>
  </si>
  <si>
    <t>1501 A ST</t>
  </si>
  <si>
    <t>1100 N GARDNER AVE</t>
  </si>
  <si>
    <t>817 N WHITLOCK AVE</t>
  </si>
  <si>
    <t>1000 114TH ST</t>
  </si>
  <si>
    <t>5480 E 25TH STREET</t>
  </si>
  <si>
    <t>3500 MAPLE AVE</t>
  </si>
  <si>
    <t>1945 CRAGMONT ST</t>
  </si>
  <si>
    <t>2102 S MERIDIAN ST</t>
  </si>
  <si>
    <t>340 E 18TH STREET</t>
  </si>
  <si>
    <t>910 W WALNUT ST</t>
  </si>
  <si>
    <t>2600 N GRAND AVE</t>
  </si>
  <si>
    <t>515 E 13TH ST</t>
  </si>
  <si>
    <t>315 COUNTRY CLUB RD</t>
  </si>
  <si>
    <t>580 LEMLEY STREET</t>
  </si>
  <si>
    <t>2400 CHATEAU DR</t>
  </si>
  <si>
    <t>3720 N NORWOOD RD</t>
  </si>
  <si>
    <t>5700 WILKIE DR</t>
  </si>
  <si>
    <t>710 MICHIGAN ST</t>
  </si>
  <si>
    <t>516 N WILLIAMS ST</t>
  </si>
  <si>
    <t>729 W 35TH ST</t>
  </si>
  <si>
    <t>9630 FIFTH ST</t>
  </si>
  <si>
    <t>901 N 16TH STREET</t>
  </si>
  <si>
    <t>801 S SR 57</t>
  </si>
  <si>
    <t>1023 W MAIN ST</t>
  </si>
  <si>
    <t>768 N US HWY 41</t>
  </si>
  <si>
    <t>325 W NORTHWOOD DR</t>
  </si>
  <si>
    <t>4410 W 49TH AVE</t>
  </si>
  <si>
    <t>1901 TAYLOR RD</t>
  </si>
  <si>
    <t>9875 CHERRYLEAF DR</t>
  </si>
  <si>
    <t>1065 PARKWAY ST</t>
  </si>
  <si>
    <t>316 WOODIES LN</t>
  </si>
  <si>
    <t>2209 ST JOE CENTER RD</t>
  </si>
  <si>
    <t>1000 LANE AVE</t>
  </si>
  <si>
    <t>2909 HOWARD DR</t>
  </si>
  <si>
    <t>1010 W WASHINGTON CENTER RD</t>
  </si>
  <si>
    <t>11049 STATE ROAD 101</t>
  </si>
  <si>
    <t>3701 HODGIN RD</t>
  </si>
  <si>
    <t>1802 E DOWLING ST</t>
  </si>
  <si>
    <t>405 RIO VISTA LN</t>
  </si>
  <si>
    <t>2222 MARGARET AVE</t>
  </si>
  <si>
    <t>131 S 10TH ST</t>
  </si>
  <si>
    <t>55 E WILLOW ST</t>
  </si>
  <si>
    <t>3625 ST JOSEPH RD</t>
  </si>
  <si>
    <t>359 RANDOLPH ST</t>
  </si>
  <si>
    <t>705 E MAIN ST</t>
  </si>
  <si>
    <t>1029 E 5TH STREET</t>
  </si>
  <si>
    <t>311 E FIRST ST</t>
  </si>
  <si>
    <t>1350 N TODD DR</t>
  </si>
  <si>
    <t>505 W 4TH ST</t>
  </si>
  <si>
    <t>333 W MISHAWAKA RD</t>
  </si>
  <si>
    <t>1529 W LANCASTER ST</t>
  </si>
  <si>
    <t>HWY 165 W PO BOX 369</t>
  </si>
  <si>
    <t>501 S MURPHY AVE</t>
  </si>
  <si>
    <t>6370 ROBIN RUN W</t>
  </si>
  <si>
    <t>17475 DUGDALE DR</t>
  </si>
  <si>
    <t>215 W HIGH ST</t>
  </si>
  <si>
    <t>725 S SECOND ST</t>
  </si>
  <si>
    <t>705 N MERIDIAN ST</t>
  </si>
  <si>
    <t>830 S 6TH ST</t>
  </si>
  <si>
    <t>515 N MAIN ST</t>
  </si>
  <si>
    <t>2200 RANDALLIA DR</t>
  </si>
  <si>
    <t>1202 S 16TH ST</t>
  </si>
  <si>
    <t>909 FIRST AVE</t>
  </si>
  <si>
    <t>1912 S PARK AVE</t>
  </si>
  <si>
    <t>2300 PARKVIEW LN</t>
  </si>
  <si>
    <t>5911 W SR 46</t>
  </si>
  <si>
    <t>618  W GLENBURN ROAD</t>
  </si>
  <si>
    <t>36 VALLEY DR</t>
  </si>
  <si>
    <t>200 N PARK ST</t>
  </si>
  <si>
    <t>160 N MIDDLE SCHOOL RD</t>
  </si>
  <si>
    <t>353 TYLER ST</t>
  </si>
  <si>
    <t>850 ASH ST</t>
  </si>
  <si>
    <t>120 E MILLER DR</t>
  </si>
  <si>
    <t>3550 CENTRAL AVE</t>
  </si>
  <si>
    <t>601 E RACE ST</t>
  </si>
  <si>
    <t>9325 N CRAWFORD ST</t>
  </si>
  <si>
    <t>1425 GRANT ST</t>
  </si>
  <si>
    <t>3400 W COMMUNITY DR</t>
  </si>
  <si>
    <t>7524 E JACKSON ST</t>
  </si>
  <si>
    <t>604 RENNAKER ST</t>
  </si>
  <si>
    <t>300 FAIRGROUNDS RD</t>
  </si>
  <si>
    <t>1651 N CAMPBELL ST</t>
  </si>
  <si>
    <t>231 N JACKSON ST</t>
  </si>
  <si>
    <t>259 W HARRISON ST</t>
  </si>
  <si>
    <t>1109 S INDIANA STREET</t>
  </si>
  <si>
    <t>300 E PRAIRIE ST</t>
  </si>
  <si>
    <t>1400 MEDICAL PARK DR</t>
  </si>
  <si>
    <t>200 SHORT ST</t>
  </si>
  <si>
    <t>7476 W LANE RD</t>
  </si>
  <si>
    <t>11563 W 300 S</t>
  </si>
  <si>
    <t>10352 N 600 E  COUNTY LINE RD</t>
  </si>
  <si>
    <t>981 BEECHWOOD AVE</t>
  </si>
  <si>
    <t>500 WALKERTON TR</t>
  </si>
  <si>
    <t>0548 S 100 W</t>
  </si>
  <si>
    <t>220 E DUNN RD</t>
  </si>
  <si>
    <t>7440 N 825 E</t>
  </si>
  <si>
    <t>2350 TAFT ST</t>
  </si>
  <si>
    <t>500 E PICKWICK DR</t>
  </si>
  <si>
    <t>300 N WASHINGTON ST</t>
  </si>
  <si>
    <t>1367 S RANDOLPH ST</t>
  </si>
  <si>
    <t>6701 S ANTHONY BLVD</t>
  </si>
  <si>
    <t>34 S MAIN ST</t>
  </si>
  <si>
    <t>730 SCHOOL ST</t>
  </si>
  <si>
    <t>690 S STATE ST</t>
  </si>
  <si>
    <t>500 N WILLIAMS ST</t>
  </si>
  <si>
    <t>502 W JACKSON ST</t>
  </si>
  <si>
    <t>1205 N 14TH ST</t>
  </si>
  <si>
    <t>1959 E COLUMBUS ST</t>
  </si>
  <si>
    <t>8616 W 10TH ST</t>
  </si>
  <si>
    <t>6015 KRATZVILLE RD</t>
  </si>
  <si>
    <t>1200 E LUTHER DR</t>
  </si>
  <si>
    <t>621 S SUGAR ST</t>
  </si>
  <si>
    <t>326 COUNTRY CLUB DRIVE</t>
  </si>
  <si>
    <t>201 E ELM ST</t>
  </si>
  <si>
    <t>524 ANDERSON RD</t>
  </si>
  <si>
    <t>12999 N PENNSYLVANIA ST</t>
  </si>
  <si>
    <t>675 S FORD RD</t>
  </si>
  <si>
    <t>3400 STOCKER DR</t>
  </si>
  <si>
    <t>1021 E CENTRAL AVE</t>
  </si>
  <si>
    <t>1720 ALBER ST</t>
  </si>
  <si>
    <t>3640 N CENTRAL AVE</t>
  </si>
  <si>
    <t>904 E 11TH ST</t>
  </si>
  <si>
    <t>3710 KENNY SIMPSON LN</t>
  </si>
  <si>
    <t>723 E RAMSEY RD</t>
  </si>
  <si>
    <t>337 GRACE VILLAGE DR</t>
  </si>
  <si>
    <t>1924 WELLESLEY BLVD</t>
  </si>
  <si>
    <t>6685 E 117TH AVE</t>
  </si>
  <si>
    <t>210 STATE HWY 43</t>
  </si>
  <si>
    <t>8380 VIRGINIA ST</t>
  </si>
  <si>
    <t>651 SOUTH STATE STREET</t>
  </si>
  <si>
    <t>5025 MCCOOK AVE</t>
  </si>
  <si>
    <t>2237 ENGLE RD</t>
  </si>
  <si>
    <t>400 W SEVENTH ST</t>
  </si>
  <si>
    <t>2827 NORTHGATE BLVD</t>
  </si>
  <si>
    <t>150 BEECHMONT DR</t>
  </si>
  <si>
    <t>1555 N MAIN ST</t>
  </si>
  <si>
    <t>7823 OLD HWY # 60</t>
  </si>
  <si>
    <t>624 E 13TH ST</t>
  </si>
  <si>
    <t>920 W HWY 46</t>
  </si>
  <si>
    <t>503 OTIS R BOWEN DR</t>
  </si>
  <si>
    <t>4102 SHORE DR</t>
  </si>
  <si>
    <t>701 HENRY STREET</t>
  </si>
  <si>
    <t>1751 WESLEY ROAD</t>
  </si>
  <si>
    <t>221 W DIVISION ST</t>
  </si>
  <si>
    <t>4915 CHARLESTOWN RD</t>
  </si>
  <si>
    <t>395 WESTFIELD RD TCU</t>
  </si>
  <si>
    <t>5233 ROSEBUD LANE</t>
  </si>
  <si>
    <t>1143 23RD ST</t>
  </si>
  <si>
    <t>31869 CHICAGO TR</t>
  </si>
  <si>
    <t>170 N TRACY ST</t>
  </si>
  <si>
    <t>3150 ST CHARLES ST</t>
  </si>
  <si>
    <t>950 N LAKEVIEW DR</t>
  </si>
  <si>
    <t>370 E MAIN ST</t>
  </si>
  <si>
    <t>725 BELL TRACE CIR</t>
  </si>
  <si>
    <t>800 ST JOSEPH DR</t>
  </si>
  <si>
    <t>4430 ELSDALE DR</t>
  </si>
  <si>
    <t>2494 N LEBANON ST</t>
  </si>
  <si>
    <t>2911 GREEN VALLEY RD</t>
  </si>
  <si>
    <t>1325 ROCKPORT RD</t>
  </si>
  <si>
    <t>6450 MIAMI CIR</t>
  </si>
  <si>
    <t>1001 W HIVELY AVE</t>
  </si>
  <si>
    <t>300 E CULVER RD</t>
  </si>
  <si>
    <t>2701 LYN-MAR DR</t>
  </si>
  <si>
    <t>310 W CARLISLE ST, PO BOX 288</t>
  </si>
  <si>
    <t>2400 COLLEGE AVE</t>
  </si>
  <si>
    <t>1821 LINDBERG RD</t>
  </si>
  <si>
    <t>868 S WASHINGTON ST</t>
  </si>
  <si>
    <t>1180 W 500 N</t>
  </si>
  <si>
    <t>2011 CHAPA STREET</t>
  </si>
  <si>
    <t>116 BETZ RD</t>
  </si>
  <si>
    <t>1400 W FRANKLIN ST</t>
  </si>
  <si>
    <t>1900 COLLEGE AVE</t>
  </si>
  <si>
    <t>517 N LITTLE LEAGUE BLVD</t>
  </si>
  <si>
    <t>1707 BETHANY RD</t>
  </si>
  <si>
    <t>715 N MILL ST</t>
  </si>
  <si>
    <t>9601 S UNION RD</t>
  </si>
  <si>
    <t>720 E DUSTMAN RD</t>
  </si>
  <si>
    <t>1850 WEST MATADOR ST</t>
  </si>
  <si>
    <t>1111 CHURCH AVE</t>
  </si>
  <si>
    <t>505 N MAIN ST</t>
  </si>
  <si>
    <t>801 N HUNTINGTON AVE</t>
  </si>
  <si>
    <t>1350 W MAIN ST</t>
  </si>
  <si>
    <t>1109 E NATIONAL HIGHWAY</t>
  </si>
  <si>
    <t>2 CHASE PARK</t>
  </si>
  <si>
    <t>2926 N CAPITOL AVE</t>
  </si>
  <si>
    <t>1675 W TIPTON ST</t>
  </si>
  <si>
    <t>200 W FOURTH ST</t>
  </si>
  <si>
    <t>111 W CHURCH AVE</t>
  </si>
  <si>
    <t>601 N BOEKE RD</t>
  </si>
  <si>
    <t>2640 COLD SPRING RD</t>
  </si>
  <si>
    <t>1235 W CROSS ST</t>
  </si>
  <si>
    <t>3623 E SR 16</t>
  </si>
  <si>
    <t>520 W 9TH ST</t>
  </si>
  <si>
    <t>8935 E 46TH ST</t>
  </si>
  <si>
    <t>3001 GALAXY DR</t>
  </si>
  <si>
    <t>602 WOODBRIDGE AVE</t>
  </si>
  <si>
    <t>1750 LINDBERG RD</t>
  </si>
  <si>
    <t>400 CAYLOR BLVD</t>
  </si>
  <si>
    <t>3100 SHAWNEE DR S</t>
  </si>
  <si>
    <t>806 S BUCKEYE ST</t>
  </si>
  <si>
    <t>12011 WHITTERN RD</t>
  </si>
  <si>
    <t>1200 WHITLATCH WAY</t>
  </si>
  <si>
    <t>1244 VAIL ST</t>
  </si>
  <si>
    <t>119 N INDIANA AVE</t>
  </si>
  <si>
    <t>188 THORNTON RD</t>
  </si>
  <si>
    <t>2200 N RILEY HWY</t>
  </si>
  <si>
    <t>1014 MILL POND LN</t>
  </si>
  <si>
    <t>206 E MARION ST</t>
  </si>
  <si>
    <t>2201 EAST ST</t>
  </si>
  <si>
    <t>2630 S KEYSTONE AVE</t>
  </si>
  <si>
    <t>1400 LAMMERS PIKE</t>
  </si>
  <si>
    <t>501 N LINCOLN AVE</t>
  </si>
  <si>
    <t>351 N ALLEN CHAPEL RD</t>
  </si>
  <si>
    <t>PO BOX 303</t>
  </si>
  <si>
    <t>101 CONSTITUTION DR</t>
  </si>
  <si>
    <t>1300 MERCER AVE</t>
  </si>
  <si>
    <t>200 MEADOW LAKE DR</t>
  </si>
  <si>
    <t>18325 BAILEY AVE</t>
  </si>
  <si>
    <t>966 N WILSON RD</t>
  </si>
  <si>
    <t>28070 CR 24</t>
  </si>
  <si>
    <t>3136 GOEGLEIN RD</t>
  </si>
  <si>
    <t>7843 W JEFFERSON BLVD</t>
  </si>
  <si>
    <t>7510 ROSEGATE DR</t>
  </si>
  <si>
    <t>102 W POPLAR ST</t>
  </si>
  <si>
    <t>601 W CR 200 S</t>
  </si>
  <si>
    <t>1332 WATERFORD CIR</t>
  </si>
  <si>
    <t>2 E TILDEN</t>
  </si>
  <si>
    <t>2401 S L ST</t>
  </si>
  <si>
    <t>600 TRAIL RIDGE RD</t>
  </si>
  <si>
    <t>101 W 87TH AVE</t>
  </si>
  <si>
    <t>3104 BLACKISTON BLVD PROGRESSIVE CARE UNIT</t>
  </si>
  <si>
    <t>643 W UTICA ST</t>
  </si>
  <si>
    <t>628 N MERIDIAN RD</t>
  </si>
  <si>
    <t>3701 WASHINGTON AVE</t>
  </si>
  <si>
    <t>4100 N MORRISON RD</t>
  </si>
  <si>
    <t>1002 SISTER BARBARA WAY</t>
  </si>
  <si>
    <t>1070 W JEFFERSON ST</t>
  </si>
  <si>
    <t>1850 E HOWARD WAYNE DR</t>
  </si>
  <si>
    <t>1701 MCDOWELL RD</t>
  </si>
  <si>
    <t>1101 MICHIGAN AVE</t>
  </si>
  <si>
    <t>1051 CUMBERLAND AVE</t>
  </si>
  <si>
    <t>1001 E SPRINGHILL DR</t>
  </si>
  <si>
    <t>1750 S CREASY LN</t>
  </si>
  <si>
    <t>1212 E MAIN</t>
  </si>
  <si>
    <t>9730 PRAIRIE LAKES BLVD E</t>
  </si>
  <si>
    <t>7465 MADISON AVE</t>
  </si>
  <si>
    <t>814 S 6TH ST</t>
  </si>
  <si>
    <t>1201 E BEARDSLEY</t>
  </si>
  <si>
    <t>1420 E DOUGLAS RD</t>
  </si>
  <si>
    <t>714 S EICKHOFF RD</t>
  </si>
  <si>
    <t>10312 ALLISONVILLE RD</t>
  </si>
  <si>
    <t>3851 N RIVER RD</t>
  </si>
  <si>
    <t>1200 N SR 135</t>
  </si>
  <si>
    <t>181 CAMPUS DR</t>
  </si>
  <si>
    <t>14751 CAREY RD</t>
  </si>
  <si>
    <t>269 MEADOWVIEW DR</t>
  </si>
  <si>
    <t>762 N DAN JONES RD</t>
  </si>
  <si>
    <t>11851 CUMBERLAND RD</t>
  </si>
  <si>
    <t>2460 GLEBE ST</t>
  </si>
  <si>
    <t>2400 SILHAVY ROAD</t>
  </si>
  <si>
    <t>14409 SUNRISE CT</t>
  </si>
  <si>
    <t>2320 N  MONTGOMERY ROAD</t>
  </si>
  <si>
    <t>4111 PARK PLACE DRIVE</t>
  </si>
  <si>
    <t>614 WEST 14TH STREET</t>
  </si>
  <si>
    <t>9802 COLDWATER ROAD</t>
  </si>
  <si>
    <t>305 E NORTH ST</t>
  </si>
  <si>
    <t>1 SISTERS OF PROVIDENCE</t>
  </si>
  <si>
    <t>3800 ELI PLACE</t>
  </si>
  <si>
    <t>60257 BODNAR BLVD</t>
  </si>
  <si>
    <t>780 DICKINSON ROAD</t>
  </si>
  <si>
    <t>20 JOHN KISSINGER DRIVE</t>
  </si>
  <si>
    <t>1747 N RURAL ST</t>
  </si>
  <si>
    <t>937 E 186TH STREET</t>
  </si>
  <si>
    <t>10445 DUPONT OAKS BLVD</t>
  </si>
  <si>
    <t>1955 S VERNON ST</t>
  </si>
  <si>
    <t>10307 EAST COUNTY ROAD 100 NORTH</t>
  </si>
  <si>
    <t>517 CONCORD ROAD</t>
  </si>
  <si>
    <t>1809 OLD VINCENNES ROAD</t>
  </si>
  <si>
    <t>1108 KINGWOOD DRIVE</t>
  </si>
  <si>
    <t>8405 CLEARVISTA PLACE</t>
  </si>
  <si>
    <t>1635 N ARLINGTON AVE</t>
  </si>
  <si>
    <t>1335 S GUILFORD ROAD</t>
  </si>
  <si>
    <t>3043 NORTH LINTEL DRIVE</t>
  </si>
  <si>
    <t>2200 SOUTH DIXON ROAD</t>
  </si>
  <si>
    <t>1236 LINCOLN AVE</t>
  </si>
  <si>
    <t>3154 S STATE ROAD 135</t>
  </si>
  <si>
    <t>18275 BURR STREET</t>
  </si>
  <si>
    <t>4904 WAR ADMIRAL DRIVE</t>
  </si>
  <si>
    <t>52565 STATE ROAD 933</t>
  </si>
  <si>
    <t>2345 W 86TH ST</t>
  </si>
  <si>
    <t>5404 GEORGETOWN ROAD</t>
  </si>
  <si>
    <t>4180 SAGE BLUFF CROSSING</t>
  </si>
  <si>
    <t>5250 HERITAGE PARKWAY</t>
  </si>
  <si>
    <t>2402 SOUTH STREET</t>
  </si>
  <si>
    <t>395 8TH AVENUE</t>
  </si>
  <si>
    <t>5024 WESTERN AVENUE</t>
  </si>
  <si>
    <t>2605 N LEBANON STREET</t>
  </si>
  <si>
    <t>12315 PENNSYLVANIA STREET</t>
  </si>
  <si>
    <t>1555 S MAIN STREET</t>
  </si>
  <si>
    <t>1925 REEVES ROAD</t>
  </si>
  <si>
    <t>1694 TROY ROAD</t>
  </si>
  <si>
    <t>363 SOUTH FIELDSTONE BLVD</t>
  </si>
  <si>
    <t>311 SOUTH CLARK STREET</t>
  </si>
  <si>
    <t>1600 MORGAN STREET</t>
  </si>
  <si>
    <t>204 N 4TH AVE E</t>
  </si>
  <si>
    <t>1200 1ST AVENUE EAST</t>
  </si>
  <si>
    <t>5445 AVE O</t>
  </si>
  <si>
    <t>2301 HIGHWAY 71</t>
  </si>
  <si>
    <t>210 FOURTH AVENUE</t>
  </si>
  <si>
    <t>900 POLK BOULEVARD</t>
  </si>
  <si>
    <t>1940 FIRST AVENUE NE</t>
  </si>
  <si>
    <t>602 ELEVENTH STREET</t>
  </si>
  <si>
    <t>1 OAKNOLL CT</t>
  </si>
  <si>
    <t>815 EAST LOCUST STREET</t>
  </si>
  <si>
    <t>201 WEST RIDGEWAY AVENUE</t>
  </si>
  <si>
    <t>701 TENTH STREET SE</t>
  </si>
  <si>
    <t>4130 NORTHWEST BOULEVARD</t>
  </si>
  <si>
    <t>302 SECOND STREET NE</t>
  </si>
  <si>
    <t>600 PARK LANE</t>
  </si>
  <si>
    <t>1409 WEST MAIN STREET</t>
  </si>
  <si>
    <t>901 WEST THIRD STREET</t>
  </si>
  <si>
    <t>1221 S GEAR STREET</t>
  </si>
  <si>
    <t>250 MERCY DRIVE</t>
  </si>
  <si>
    <t>613 WEST NORTH STREET</t>
  </si>
  <si>
    <t>638 SOUTH BLUFF BOULEVARD</t>
  </si>
  <si>
    <t>700 EAST UNIVERSITY</t>
  </si>
  <si>
    <t>313 ELKADER STREET</t>
  </si>
  <si>
    <t>500 EAST MARKET STREET</t>
  </si>
  <si>
    <t>206 PORT NEAL ROAD</t>
  </si>
  <si>
    <t>6701 JERSEY RIDGE ROAD</t>
  </si>
  <si>
    <t>401 SOUTH VAN BUREN</t>
  </si>
  <si>
    <t>3000 EAST WILLIS AVENUE</t>
  </si>
  <si>
    <t>500 MESSENGER ROAD</t>
  </si>
  <si>
    <t>2950 WEST SHAULIS ROAD</t>
  </si>
  <si>
    <t>2027 COLLEGE AVENUE</t>
  </si>
  <si>
    <t>728 14TH AVENUE NORTH</t>
  </si>
  <si>
    <t>600 MANOR DRIVE</t>
  </si>
  <si>
    <t>1800 INDIAN HILLS DRIVE</t>
  </si>
  <si>
    <t>200 SEVENTH AVENUE SW</t>
  </si>
  <si>
    <t>715 SW ANKENY ROAD</t>
  </si>
  <si>
    <t>2001 HEATH STREET</t>
  </si>
  <si>
    <t>1203 NORTH E STREET</t>
  </si>
  <si>
    <t>700 WAVERLY ROAD</t>
  </si>
  <si>
    <t>1002 WEST WASHINGTON AVENUE</t>
  </si>
  <si>
    <t>455 31ST STREET</t>
  </si>
  <si>
    <t>605 GREENWOOD DRIVE</t>
  </si>
  <si>
    <t>830 SOUTH FIFTH STREET</t>
  </si>
  <si>
    <t>2121 WEST 19TH STREET</t>
  </si>
  <si>
    <t>5608 SW NINTH STREET</t>
  </si>
  <si>
    <t>201 EIGHTH AVENUE SE</t>
  </si>
  <si>
    <t>231 NORTH EIGHTH AVENUE WEST</t>
  </si>
  <si>
    <t>FOUR OHIO STREET</t>
  </si>
  <si>
    <t>921 SUNSET DRIVE</t>
  </si>
  <si>
    <t>801 SOUTH DES MOINES STREET</t>
  </si>
  <si>
    <t>703 SOUTH UNION</t>
  </si>
  <si>
    <t>910 NORTH EISENHOWER AVENUE</t>
  </si>
  <si>
    <t>1600 SUMMIT STREET</t>
  </si>
  <si>
    <t>708 SOUTH JEFFERSON PO BOX 319</t>
  </si>
  <si>
    <t>201 HALL STREET</t>
  </si>
  <si>
    <t>1015 WEST SUMMIT</t>
  </si>
  <si>
    <t>202 NORTH CENTRAL AVENUE</t>
  </si>
  <si>
    <t>412 WEST KENNEDY STREET</t>
  </si>
  <si>
    <t>201 ALIX AVENUE</t>
  </si>
  <si>
    <t>1646 FIFTH AVENUE NORTH</t>
  </si>
  <si>
    <t>1403 HARRISON ROAD</t>
  </si>
  <si>
    <t>508 2ND STREET NE</t>
  </si>
  <si>
    <t>1728 WEST EIGHTH STREET</t>
  </si>
  <si>
    <t>3661 ROCHESTER AVENUE</t>
  </si>
  <si>
    <t>1001 COTTONWOOD DRIVE</t>
  </si>
  <si>
    <t>1600 MCPHERSON</t>
  </si>
  <si>
    <t>2401 EAST EIGHTH STREET</t>
  </si>
  <si>
    <t>314 SOUTH ELM  STREET</t>
  </si>
  <si>
    <t>819 COUNTRY LANE ROAD</t>
  </si>
  <si>
    <t>1140 LINCOLN STREET NE</t>
  </si>
  <si>
    <t>600 MORNINGSIDE AVENUE</t>
  </si>
  <si>
    <t>505 WEST SECOND STREET</t>
  </si>
  <si>
    <t>2001 KENNEDY STREET</t>
  </si>
  <si>
    <t>309 WEST MERLE HIBBS BOULEVARD</t>
  </si>
  <si>
    <t>701 EAST FOURTH STREET</t>
  </si>
  <si>
    <t>2035 WEST CHESTER AVENUE</t>
  </si>
  <si>
    <t>606 SOUTH SEVENTH STREET</t>
  </si>
  <si>
    <t>2200 OAKDALE ROAD</t>
  </si>
  <si>
    <t>1010 SOUTH UNION</t>
  </si>
  <si>
    <t>404 JEFFERSON</t>
  </si>
  <si>
    <t>1000 HILLCREST DRIVE</t>
  </si>
  <si>
    <t>801 28TH AVENUE NORTH</t>
  </si>
  <si>
    <t>304 EAST VETERANS ROAD</t>
  </si>
  <si>
    <t>608 PRAIRIE STREET</t>
  </si>
  <si>
    <t>745 EAST SOUTH STREET</t>
  </si>
  <si>
    <t>1977 ALBIA ROAD</t>
  </si>
  <si>
    <t>1504 EAST SOUTH STREET</t>
  </si>
  <si>
    <t>1208 EAST CROSS STREET</t>
  </si>
  <si>
    <t>601 E SOUTH STREET</t>
  </si>
  <si>
    <t>1702 41ST STREET</t>
  </si>
  <si>
    <t>2935 KAUFMANN AVENUE</t>
  </si>
  <si>
    <t>737 NORTH HIGHWAY</t>
  </si>
  <si>
    <t>500  EAST VALLEY DRIVE</t>
  </si>
  <si>
    <t>714 DIVISION</t>
  </si>
  <si>
    <t>100 RAM ROAD</t>
  </si>
  <si>
    <t>516 THIRTEENTH STREET</t>
  </si>
  <si>
    <t>111 EAST VAN BUREN</t>
  </si>
  <si>
    <t>1402 MAIN STREET</t>
  </si>
  <si>
    <t>326 SUMMERSET BOX 38</t>
  </si>
  <si>
    <t>1202 RIDGE ROAD</t>
  </si>
  <si>
    <t>400 HARDIN DRIVE</t>
  </si>
  <si>
    <t>21 EAST MAIN STREET</t>
  </si>
  <si>
    <t>102 EAST J AVENUE</t>
  </si>
  <si>
    <t>302 NINTH STREET</t>
  </si>
  <si>
    <t>2121 AVENUE L</t>
  </si>
  <si>
    <t>324 FIRST AVENUE NORTH</t>
  </si>
  <si>
    <t>309 RAILROAD STREET</t>
  </si>
  <si>
    <t>415 WEST HIGHWAY 7</t>
  </si>
  <si>
    <t>2651 ST FRANCIS DRIVE</t>
  </si>
  <si>
    <t>203 S W LORRAINE</t>
  </si>
  <si>
    <t>805 EAST MAIN</t>
  </si>
  <si>
    <t>511 EAST CENTER</t>
  </si>
  <si>
    <t>680 COLE STREET</t>
  </si>
  <si>
    <t>222 NORTH 15TH STREET</t>
  </si>
  <si>
    <t>1915 SOUTH 18TH STREET</t>
  </si>
  <si>
    <t>1329 MAIN STREET</t>
  </si>
  <si>
    <t>901 STATE STREET</t>
  </si>
  <si>
    <t>1201 SE MILL POND COURT</t>
  </si>
  <si>
    <t>415 W SIXTH AVENUE</t>
  </si>
  <si>
    <t>104 EAST FOURTH STREET BOX 430</t>
  </si>
  <si>
    <t>114 CARTER STREET SW</t>
  </si>
  <si>
    <t>2721 10TH AVENUE NORTH</t>
  </si>
  <si>
    <t>1701 WEST 25TH STREET</t>
  </si>
  <si>
    <t>2 SUNRISE AVENUE</t>
  </si>
  <si>
    <t>701 RIVERVIEW</t>
  </si>
  <si>
    <t>406 WEST WASHINGTON</t>
  </si>
  <si>
    <t>1200 HIGHWAY 175 EAST</t>
  </si>
  <si>
    <t>4201 FIELDCREST DRIVE</t>
  </si>
  <si>
    <t>233 UNIVERSITY AVENUE</t>
  </si>
  <si>
    <t>4911 SW 19TH STREET</t>
  </si>
  <si>
    <t>2401 CRESTVIEW DRIVE</t>
  </si>
  <si>
    <t>1000 EAST HOWARD</t>
  </si>
  <si>
    <t>1050 4TH AVENUE SE</t>
  </si>
  <si>
    <t>500 PINEHAVEN DRIVE</t>
  </si>
  <si>
    <t>2730 CROW CREEK ROAD</t>
  </si>
  <si>
    <t>2313 15TH AVENUE</t>
  </si>
  <si>
    <t>300 EAST JEFFERSON</t>
  </si>
  <si>
    <t>135 WARNER STREET</t>
  </si>
  <si>
    <t>1614 NORTHGATE DRIVE</t>
  </si>
  <si>
    <t>909 6TH STREET</t>
  </si>
  <si>
    <t>451 WEST ORANGE STREET</t>
  </si>
  <si>
    <t>1300 EAST 19TH STREET</t>
  </si>
  <si>
    <t>34 NORTHCREST DRIVE</t>
  </si>
  <si>
    <t>420 SOUTH KENYON ROAD</t>
  </si>
  <si>
    <t>1005 WEST PEARL</t>
  </si>
  <si>
    <t>444 NORTH WEST VIEW DRIVE</t>
  </si>
  <si>
    <t>610 EAST YORK STREET</t>
  </si>
  <si>
    <t>316 MEADOW LANE DRIVE  PO BOX 790</t>
  </si>
  <si>
    <t>200 SHANNON DRIVE</t>
  </si>
  <si>
    <t>703 SOUTH FOURTH AVENUE</t>
  </si>
  <si>
    <t>2305 CRESCENT DRIVE</t>
  </si>
  <si>
    <t>1485 GRAND</t>
  </si>
  <si>
    <t>1100 HWY 218 N</t>
  </si>
  <si>
    <t>1400 WEST MAIN</t>
  </si>
  <si>
    <t>530 SOUTH LINN AVENUE</t>
  </si>
  <si>
    <t>1610 THIRD STREET NE</t>
  </si>
  <si>
    <t>400 SOUTH 7TH STREET</t>
  </si>
  <si>
    <t>1214 NORTH SEVENTH STREET</t>
  </si>
  <si>
    <t>2237 HIGHWAY 34</t>
  </si>
  <si>
    <t>1410 WEST DUNKERTON ROAD</t>
  </si>
  <si>
    <t>1904  WEST HOWARD STREET</t>
  </si>
  <si>
    <t>920 NORTH CHERRY STREET</t>
  </si>
  <si>
    <t>200 CLIVE DRIVE SW</t>
  </si>
  <si>
    <t>954 7TH AVENUE SE</t>
  </si>
  <si>
    <t>607 QUEEN STREET</t>
  </si>
  <si>
    <t>200 16TH AVENUE EAST</t>
  </si>
  <si>
    <t>215 SOUTH OAK STREET</t>
  </si>
  <si>
    <t>1510 22ND STREET</t>
  </si>
  <si>
    <t>3207 220TH TRAIL</t>
  </si>
  <si>
    <t>404 EAST GARFIELD ST</t>
  </si>
  <si>
    <t>2115 FIRST AVENUE SE</t>
  </si>
  <si>
    <t>1116 EAST HIGHWAY 20</t>
  </si>
  <si>
    <t>909 NORTH STATE STREET</t>
  </si>
  <si>
    <t>1212 SOUTH STUART STREET</t>
  </si>
  <si>
    <t>800 NORTH DAVIS STREET</t>
  </si>
  <si>
    <t>706 WEST CENTRAL AVENUE</t>
  </si>
  <si>
    <t>305 WEST THIRD BOX 10</t>
  </si>
  <si>
    <t>1011 NORTH ROOSEVELT</t>
  </si>
  <si>
    <t>200 WASHINGTON</t>
  </si>
  <si>
    <t>213 HALLAND AVENUE, PO BOX 430</t>
  </si>
  <si>
    <t>215 HIGHWAY 30 WEST</t>
  </si>
  <si>
    <t>1315 ACRE STREET</t>
  </si>
  <si>
    <t>403 SOUTH STATE STREET</t>
  </si>
  <si>
    <t>900 7TH STREET WEST</t>
  </si>
  <si>
    <t>1700 THIRD STREET NE</t>
  </si>
  <si>
    <t>960 4TH STREET NW</t>
  </si>
  <si>
    <t>921 THIRD STREET</t>
  </si>
  <si>
    <t>800 FIFTH STREET SE</t>
  </si>
  <si>
    <t>600 SEVENTH STREET SE</t>
  </si>
  <si>
    <t>404 FIRST STREET</t>
  </si>
  <si>
    <t>601 PARK AVENUE</t>
  </si>
  <si>
    <t>1808 MAIN STREET</t>
  </si>
  <si>
    <t>5800 NE 12TH AVENUE</t>
  </si>
  <si>
    <t>345 PARROTT ST</t>
  </si>
  <si>
    <t>907 W CONGRESS</t>
  </si>
  <si>
    <t>1505 SUNSET DRIVE</t>
  </si>
  <si>
    <t>1501 OFFICE PARK ROAD</t>
  </si>
  <si>
    <t>106 HARRISON ST</t>
  </si>
  <si>
    <t>2405 21ST STREET</t>
  </si>
  <si>
    <t>108 SECOND AVE  BOX 200</t>
  </si>
  <si>
    <t>700 SECOND STREET SE</t>
  </si>
  <si>
    <t>204 NORTH KEOKUK WASHINGTON ROAD</t>
  </si>
  <si>
    <t>108 SOUTH HIGH STREET</t>
  </si>
  <si>
    <t>1109 NORMAL STREET</t>
  </si>
  <si>
    <t>217 MAIN STREET</t>
  </si>
  <si>
    <t>1206 WEST FOURTH STREET</t>
  </si>
  <si>
    <t>100 SIXTH STREET</t>
  </si>
  <si>
    <t>110 13TH AVENUE SW</t>
  </si>
  <si>
    <t>445 EIGHTH AVENUE SW</t>
  </si>
  <si>
    <t>490 WEST LYON STREET</t>
  </si>
  <si>
    <t>400 HIGHWAY 18 WEST</t>
  </si>
  <si>
    <t>406 SOUTH TENTH AVENUE EAST</t>
  </si>
  <si>
    <t>501 SOUTH KENTUCKY AVE</t>
  </si>
  <si>
    <t>736  HIGHWAY 37</t>
  </si>
  <si>
    <t>1900 WEST THIRD PLACE</t>
  </si>
  <si>
    <t>146 N 5TH ST</t>
  </si>
  <si>
    <t>2104 12TH STREET</t>
  </si>
  <si>
    <t>1010 LONGVIEW ROAD</t>
  </si>
  <si>
    <t>1201 PARK STREET</t>
  </si>
  <si>
    <t>1209 EAST THIRD STREET</t>
  </si>
  <si>
    <t>17990 SPENCER ROAD PO BOX 503</t>
  </si>
  <si>
    <t>316 EAST LINCOLNWAY</t>
  </si>
  <si>
    <t>513 BELL STREET</t>
  </si>
  <si>
    <t>1107 SEVENTH STREET NE</t>
  </si>
  <si>
    <t>900 SOUTH STONE STREET</t>
  </si>
  <si>
    <t>606 NORTH SEVENTH STREET</t>
  </si>
  <si>
    <t>615 SE KENT STREET</t>
  </si>
  <si>
    <t>100 BENNETT DRIVE</t>
  </si>
  <si>
    <t>910 EAST OLIVE</t>
  </si>
  <si>
    <t>407 9TH STREET</t>
  </si>
  <si>
    <t>735 NORTH RERICK</t>
  </si>
  <si>
    <t>501 EAST PIONEER ROAD</t>
  </si>
  <si>
    <t>1220 FIFTH AVENUE SE</t>
  </si>
  <si>
    <t>702 THIRD STREET NW</t>
  </si>
  <si>
    <t>116 REIMER STREET SW</t>
  </si>
  <si>
    <t>2320 WASHINGTON AVENUE</t>
  </si>
  <si>
    <t>401 S BIRCH STREET</t>
  </si>
  <si>
    <t>20 VILLAGE CIRCLE</t>
  </si>
  <si>
    <t>604 EAST FENTON</t>
  </si>
  <si>
    <t>407 SOUTH EAST AVENUE</t>
  </si>
  <si>
    <t>815 HIGH ROAD</t>
  </si>
  <si>
    <t>700 NINTH AVENUE NORTH</t>
  </si>
  <si>
    <t>1600 13TH STREET</t>
  </si>
  <si>
    <t>702 BLAKE STREET</t>
  </si>
  <si>
    <t>100 CARE CENTER CIRCLE STREET</t>
  </si>
  <si>
    <t>423 ROOSEVELT STREET</t>
  </si>
  <si>
    <t>707 ELM STREET</t>
  </si>
  <si>
    <t>546 EAST RAMSEY STREET</t>
  </si>
  <si>
    <t>2416 SOUTH DES MOINES STREET</t>
  </si>
  <si>
    <t>409 SOUTH CARTHAGE</t>
  </si>
  <si>
    <t>410 SPRUCE STREET</t>
  </si>
  <si>
    <t>303 EAST 7TH STREET</t>
  </si>
  <si>
    <t>508 WEST PEARL</t>
  </si>
  <si>
    <t>1000 NORTH MILLER STREET</t>
  </si>
  <si>
    <t>2130 WEST 18TH STREET SOUTH</t>
  </si>
  <si>
    <t>1743 SOUTH EIGHTH AVENUE EAST</t>
  </si>
  <si>
    <t>1204 SOUTH FOURTH STREET</t>
  </si>
  <si>
    <t>3440 GRAND AVENUE</t>
  </si>
  <si>
    <t>212 LAFAYETTE STREET</t>
  </si>
  <si>
    <t>921 RIVERVIEW DRIVE</t>
  </si>
  <si>
    <t>2625 IOWA STREET</t>
  </si>
  <si>
    <t>200 SOUTH EIGHTH AVENUE EAST</t>
  </si>
  <si>
    <t>725 NORTH SECOND STREET</t>
  </si>
  <si>
    <t>312 FIRST AVENUE NW</t>
  </si>
  <si>
    <t>2421 LUTHERAN DRIVE</t>
  </si>
  <si>
    <t>914 DAVIDSON DRIVE</t>
  </si>
  <si>
    <t>625 EAST OAK STREET</t>
  </si>
  <si>
    <t>3800 INDIAN HILLS DRIVE</t>
  </si>
  <si>
    <t>800 EAST RUSHOLME STREET</t>
  </si>
  <si>
    <t>100 BOLGER DRIVE</t>
  </si>
  <si>
    <t>413 SOUTH BROAD STREET</t>
  </si>
  <si>
    <t>1212 INDIAN HILLS DRIVE</t>
  </si>
  <si>
    <t>3456 INDIAN CREEK ROAD</t>
  </si>
  <si>
    <t>410 N W  ASH DRIVE</t>
  </si>
  <si>
    <t>1922 FIFTH AVENUE NW</t>
  </si>
  <si>
    <t>502 BUTLER STREET</t>
  </si>
  <si>
    <t>203 FOURTH STREET NW</t>
  </si>
  <si>
    <t>1304 SOUTH MARKET</t>
  </si>
  <si>
    <t>605 GARFIELD STREET</t>
  </si>
  <si>
    <t>2452 NORTH BROADWAY</t>
  </si>
  <si>
    <t>5837 WINWOOD DRIVE</t>
  </si>
  <si>
    <t>711 WEST 11TH STREET</t>
  </si>
  <si>
    <t>403 GRANDVIEW DRIVE</t>
  </si>
  <si>
    <t>2401 SOUTH SECOND STREET</t>
  </si>
  <si>
    <t>601 HIGHWAY 61 SOUTH</t>
  </si>
  <si>
    <t>601 E POLK ST</t>
  </si>
  <si>
    <t>2241 NORTH WEST STREET</t>
  </si>
  <si>
    <t>150 WEST WASHINGTON ST- PO BOX 430</t>
  </si>
  <si>
    <t>202 NORTH JEFFERSON</t>
  </si>
  <si>
    <t>506 EAST FOURTH STREET</t>
  </si>
  <si>
    <t>3605 ELM DRIVE</t>
  </si>
  <si>
    <t>700 NW SEVENTH STREET</t>
  </si>
  <si>
    <t>1708 HARDING STREET</t>
  </si>
  <si>
    <t>2401 SOUTH DES MOINES STREET</t>
  </si>
  <si>
    <t>7511 UNIVERSITY AVENUE</t>
  </si>
  <si>
    <t>3000 RISEN SON BOULEVARD</t>
  </si>
  <si>
    <t>130 WEST SIXTH STREET</t>
  </si>
  <si>
    <t>715 WEST THIRD STREET</t>
  </si>
  <si>
    <t>807 FIFTH STREET</t>
  </si>
  <si>
    <t>811 THIRD STREET</t>
  </si>
  <si>
    <t>3485 WINDSOR AVENUE</t>
  </si>
  <si>
    <t>1409 FREMONT STREET</t>
  </si>
  <si>
    <t>5501 GORDON DRIVE EAST</t>
  </si>
  <si>
    <t>115 MAIN STREET</t>
  </si>
  <si>
    <t>2479 RIVER ROAD</t>
  </si>
  <si>
    <t>814 SPRINGER AVENUE</t>
  </si>
  <si>
    <t>701 EAST MAPLELEAF DRIVE</t>
  </si>
  <si>
    <t>4210 HICKMAN ROAD</t>
  </si>
  <si>
    <t>2021 FOURTH AVENUE</t>
  </si>
  <si>
    <t>616 BROAD STREET</t>
  </si>
  <si>
    <t>1203 EAST WASHINGTON STREET</t>
  </si>
  <si>
    <t>1015 SOUTH IOWA AVENUE</t>
  </si>
  <si>
    <t>1301 SAINT LUKE DRIVE</t>
  </si>
  <si>
    <t>701 NINTH STREET NORTH</t>
  </si>
  <si>
    <t>2701 MITCHELL STREET BOX 0</t>
  </si>
  <si>
    <t>3520 GRAND AVENUE</t>
  </si>
  <si>
    <t>600 WEST 6TH STREET</t>
  </si>
  <si>
    <t>225 WEST LAPERLA DRIVE</t>
  </si>
  <si>
    <t>701 VERNON ROAD SW</t>
  </si>
  <si>
    <t>1010 NORTH ELM STREET</t>
  </si>
  <si>
    <t>301 NORTH LAWLER STREET</t>
  </si>
  <si>
    <t>604 THIRD STREET SW</t>
  </si>
  <si>
    <t>115 NORTH HILTON ST</t>
  </si>
  <si>
    <t>411 EAST LANE STREET</t>
  </si>
  <si>
    <t>112 WEST FOURTH STREET</t>
  </si>
  <si>
    <t>73 WEST 5TH STREET</t>
  </si>
  <si>
    <t>500 SOUTH BLAINE AVENUE</t>
  </si>
  <si>
    <t>325 SOUTHWEST SEVENTH STREET</t>
  </si>
  <si>
    <t>915 WEST FIRST STREET</t>
  </si>
  <si>
    <t>105 MCCARREN DRIVE</t>
  </si>
  <si>
    <t>2221 EAST MCGREGOR STREET</t>
  </si>
  <si>
    <t>715 SOUTH SECOND AVENUE</t>
  </si>
  <si>
    <t>2555C GUTHRIE AVENUE</t>
  </si>
  <si>
    <t>420 EAST 11TH STREET</t>
  </si>
  <si>
    <t>849 13TH AVENUE NORTH</t>
  </si>
  <si>
    <t>1130 W 53RD STREET</t>
  </si>
  <si>
    <t>1140 ELIM DRIVE</t>
  </si>
  <si>
    <t>600 14TH AVENUE NORTH</t>
  </si>
  <si>
    <t>3131 HILLCREST ROAD</t>
  </si>
  <si>
    <t>1611 27TH STREET</t>
  </si>
  <si>
    <t>401 CRISMAN STREET</t>
  </si>
  <si>
    <t>1015 WESLEY DRIVE</t>
  </si>
  <si>
    <t>1500 FIRST AVENUE EAST</t>
  </si>
  <si>
    <t>1009 THIRD STREET</t>
  </si>
  <si>
    <t>2001 FIRST AVENUE NORTH</t>
  </si>
  <si>
    <t>SEVEN ELLIOTT STREET</t>
  </si>
  <si>
    <t>2306 STATE STREET</t>
  </si>
  <si>
    <t>21668 80TH STREET</t>
  </si>
  <si>
    <t>1912 ZENITH AVENUE</t>
  </si>
  <si>
    <t>1203 SOUTH ELM STREET</t>
  </si>
  <si>
    <t>302 SIXTH AVENUE</t>
  </si>
  <si>
    <t>1200 WEST NISHNA ROAD</t>
  </si>
  <si>
    <t>114 SOUTH 20TH STREET</t>
  </si>
  <si>
    <t>1111 11TH AVE NORTH</t>
  </si>
  <si>
    <t>800 13TH STREET SOUTH</t>
  </si>
  <si>
    <t>401 WEST FIFTH STREET</t>
  </si>
  <si>
    <t>1037 19TH STREET SW</t>
  </si>
  <si>
    <t>405 NORTH 15TH AVENUE</t>
  </si>
  <si>
    <t>1005 7TH STREET NE</t>
  </si>
  <si>
    <t>2400 SIXTH AVENUE NORTH</t>
  </si>
  <si>
    <t>6120 MORNINGSIDE AVENUE</t>
  </si>
  <si>
    <t>915 WOODLAND AVENUE</t>
  </si>
  <si>
    <t>1224 13TH STREET NW</t>
  </si>
  <si>
    <t>500 FIRST STREET NORTH</t>
  </si>
  <si>
    <t>2332 LIBERTY DRIVE</t>
  </si>
  <si>
    <t>209 MAIN STREET</t>
  </si>
  <si>
    <t>102 NORTH JACKSON STREET</t>
  </si>
  <si>
    <t>7951 E P TRUE PARKWAY</t>
  </si>
  <si>
    <t>THREE PENNSYLVANIA PLACE</t>
  </si>
  <si>
    <t>523 EAST FIFTH STREET</t>
  </si>
  <si>
    <t>1301 SECOND AVENUE SOUTH</t>
  </si>
  <si>
    <t>2500 GRANT STREET</t>
  </si>
  <si>
    <t>100 CEDAR LANE</t>
  </si>
  <si>
    <t>1919 GREENE STREET</t>
  </si>
  <si>
    <t>2375 ROOSEVELT STREET</t>
  </si>
  <si>
    <t>13731 HICKMAN ROAD</t>
  </si>
  <si>
    <t>1015 UNION STREET</t>
  </si>
  <si>
    <t>2000 PASADENA DRIVE</t>
  </si>
  <si>
    <t>1200 BROOKRIDGE CIRCLE</t>
  </si>
  <si>
    <t>120 NORTH THIRTEENTH STREET</t>
  </si>
  <si>
    <t>4885 ASBURY ROAD</t>
  </si>
  <si>
    <t>102 HIGHLAND CIRCLE</t>
  </si>
  <si>
    <t>3131 F AVENUE NW</t>
  </si>
  <si>
    <t>701 NORTH JOHNSON STREET NW</t>
  </si>
  <si>
    <t>607 6TH STREET  PO BOX 398</t>
  </si>
  <si>
    <t>1514 HIGH AVENUE WEST</t>
  </si>
  <si>
    <t>2610 SOUTH FIFTH STREET</t>
  </si>
  <si>
    <t>610 EASTERN STREET</t>
  </si>
  <si>
    <t>3800 COMMERCE BLVD</t>
  </si>
  <si>
    <t>114 FISHER STREET</t>
  </si>
  <si>
    <t>2200 HAMILTON DRIVE</t>
  </si>
  <si>
    <t>3440 MULBERRY AVENUE</t>
  </si>
  <si>
    <t>1202 GERMAN STREET</t>
  </si>
  <si>
    <t>4614 NW 84TH STREET</t>
  </si>
  <si>
    <t>1645 SE HOLIDAY CREST CIRCLE</t>
  </si>
  <si>
    <t>1005 LINCOLN AVENUE</t>
  </si>
  <si>
    <t>2002 CEDAR STREET</t>
  </si>
  <si>
    <t>109 MISSION DRIVE</t>
  </si>
  <si>
    <t>6420 COUNCIL STREET NE</t>
  </si>
  <si>
    <t>605 HIGHWAY 432</t>
  </si>
  <si>
    <t>402 2ND AVENUE</t>
  </si>
  <si>
    <t>1204 LINDEN STREET</t>
  </si>
  <si>
    <t>413 NORTH BROADWAY STREET</t>
  </si>
  <si>
    <t>2909 WOODLAND AVENUE</t>
  </si>
  <si>
    <t>406 NORTH STREET</t>
  </si>
  <si>
    <t>121 SOUTH STREET</t>
  </si>
  <si>
    <t>1325 NORTH LAKE AVENUE</t>
  </si>
  <si>
    <t>9225 CASCADE AVENUE</t>
  </si>
  <si>
    <t>413 JEFFERSON STREET</t>
  </si>
  <si>
    <t>1200 MULBERRY STREET</t>
  </si>
  <si>
    <t>5010 GRAND RIDGE DRIVE</t>
  </si>
  <si>
    <t>400 HIGHLAND STREET</t>
  </si>
  <si>
    <t>235 NORTH MILL STREET</t>
  </si>
  <si>
    <t>250 FIFTH STREET</t>
  </si>
  <si>
    <t>200 SW BROOKSIDE DRIVE</t>
  </si>
  <si>
    <t>2323 EAST  WILLIS AVENUE</t>
  </si>
  <si>
    <t>1742 MAIN STREET</t>
  </si>
  <si>
    <t>600 EAST FIFTH STREET</t>
  </si>
  <si>
    <t>114 N 5TH AVENUE W</t>
  </si>
  <si>
    <t>2785 1ST AVENUE S</t>
  </si>
  <si>
    <t>307 OVESEN DRIVE</t>
  </si>
  <si>
    <t>1555 HULL AVENUE</t>
  </si>
  <si>
    <t>3300 GEORGE WASHINGTON CARVER AVENUE</t>
  </si>
  <si>
    <t>1 MT CARMEL WAY</t>
  </si>
  <si>
    <t>3500 SOUTH 4TH STREET</t>
  </si>
  <si>
    <t>800 WEST MYRTLE STREET</t>
  </si>
  <si>
    <t>720 W CENTRAL ST</t>
  </si>
  <si>
    <t>401 WOODLAND HILLS BLVD</t>
  </si>
  <si>
    <t>1102 ST MARY'S ROAD</t>
  </si>
  <si>
    <t>218 E PACK ST</t>
  </si>
  <si>
    <t>801 NORTH 4TH STREET</t>
  </si>
  <si>
    <t>600 MEDICAL CENTER DRIVE</t>
  </si>
  <si>
    <t>1000 HOSPITAL DRIVE</t>
  </si>
  <si>
    <t>415 N MAIN STREET</t>
  </si>
  <si>
    <t>6401 PATTERSON PARKWAY</t>
  </si>
  <si>
    <t>445 N HILLTOP</t>
  </si>
  <si>
    <t>3001 AVENUE A</t>
  </si>
  <si>
    <t>2280 S MINNEAPOLIS AVE</t>
  </si>
  <si>
    <t>1001 SW 29TH ST</t>
  </si>
  <si>
    <t>2520 S ROUSE ST</t>
  </si>
  <si>
    <t>1615 PARKER AVE</t>
  </si>
  <si>
    <t>5005 E 21ST ST N</t>
  </si>
  <si>
    <t>2800 WILLOW GROVE RD</t>
  </si>
  <si>
    <t>2015 SE 10TH AVENUE</t>
  </si>
  <si>
    <t>1202 E 23RD AVENUE</t>
  </si>
  <si>
    <t>16600 W. 126TH ST</t>
  </si>
  <si>
    <t>1323 N A ST</t>
  </si>
  <si>
    <t>402 SOUTH MARTINSON</t>
  </si>
  <si>
    <t>9701 MONROVIA STREET</t>
  </si>
  <si>
    <t>9700 W 62ND STREET</t>
  </si>
  <si>
    <t>1313 S HIGH ST</t>
  </si>
  <si>
    <t>1417 W ASH ST</t>
  </si>
  <si>
    <t>623 S 3RD STREET</t>
  </si>
  <si>
    <t>427 W MAIN ST</t>
  </si>
  <si>
    <t>215 N LAMAR AVENUE</t>
  </si>
  <si>
    <t>6500 GREELEY AVENUE</t>
  </si>
  <si>
    <t>1637 RILEY ST</t>
  </si>
  <si>
    <t>700 W 7TH STREET</t>
  </si>
  <si>
    <t>1701 E 23RD AVE</t>
  </si>
  <si>
    <t>325 MAINE ST</t>
  </si>
  <si>
    <t>1031 FLEMING COURT</t>
  </si>
  <si>
    <t>621 W 21ST  PO BOX 100</t>
  </si>
  <si>
    <t>7541 SWITZER ROAD</t>
  </si>
  <si>
    <t>8909 PARALLEL PKY</t>
  </si>
  <si>
    <t>1503 OHIO ST</t>
  </si>
  <si>
    <t>315 W 15TH STREET</t>
  </si>
  <si>
    <t>2400 SW URISH RD</t>
  </si>
  <si>
    <t>7101 E 21ST STREET NORTH</t>
  </si>
  <si>
    <t>1400 W 4TH  STREET, PO BOX 850</t>
  </si>
  <si>
    <t>1610 SW 37TH ST</t>
  </si>
  <si>
    <t>2515 SW WANAMAKER ROAD</t>
  </si>
  <si>
    <t>2700 W 30TH ST</t>
  </si>
  <si>
    <t>2121 MEADOWLARK RD</t>
  </si>
  <si>
    <t>1505 E SPRUCE STREET</t>
  </si>
  <si>
    <t>6515 W 103RD ST</t>
  </si>
  <si>
    <t>5211 W 103RD ST</t>
  </si>
  <si>
    <t>2828 N. GOVERNEOUR</t>
  </si>
  <si>
    <t>12100 W 109TH STREET</t>
  </si>
  <si>
    <t>11901 ROSEWOOD</t>
  </si>
  <si>
    <t>2936 GEORGIA AVENUE</t>
  </si>
  <si>
    <t>1007 JOHNSTOWN AVE</t>
  </si>
  <si>
    <t>6501 W 75TH ST</t>
  </si>
  <si>
    <t>3501 W 95TH ST</t>
  </si>
  <si>
    <t>2025 LITTLE KITTEN AVE</t>
  </si>
  <si>
    <t>900 ELMHURST BLVD</t>
  </si>
  <si>
    <t>1218 KANSAS STREET</t>
  </si>
  <si>
    <t>105 EAST COLLEGE DRIVE</t>
  </si>
  <si>
    <t>611 31ST STREET,  PO BOX 160</t>
  </si>
  <si>
    <t>501 W BEESON ROAD</t>
  </si>
  <si>
    <t>1005 E CENTENNIAL DRIVE</t>
  </si>
  <si>
    <t>709 LEAWOOD AVENUE</t>
  </si>
  <si>
    <t>400 S ROGERS RD</t>
  </si>
  <si>
    <t>530 W 14TH STREET</t>
  </si>
  <si>
    <t>1010 EAST ST  #940</t>
  </si>
  <si>
    <t>2112 HIGHWAY 36</t>
  </si>
  <si>
    <t>445 N WESTVIEW DR</t>
  </si>
  <si>
    <t>750 BLAKE STREET</t>
  </si>
  <si>
    <t>500 WESTERN STREET</t>
  </si>
  <si>
    <t>601 N ROSE HILL ROAD</t>
  </si>
  <si>
    <t>612 WALNUT, PO BOX 589</t>
  </si>
  <si>
    <t>3940 US HWY 54</t>
  </si>
  <si>
    <t>600 E GARFIELD ST</t>
  </si>
  <si>
    <t>210 PLAZA DRIVE, PO BOX 250</t>
  </si>
  <si>
    <t>749 BLAKE STREET</t>
  </si>
  <si>
    <t>1156 HIGHWAY 14</t>
  </si>
  <si>
    <t>623 E ELM  PO BOX 40</t>
  </si>
  <si>
    <t>1220 E 8TH STREET</t>
  </si>
  <si>
    <t>1114 W 11TH STREET</t>
  </si>
  <si>
    <t>2301 N SEVERANCE STREET</t>
  </si>
  <si>
    <t>720 W 1ST ST</t>
  </si>
  <si>
    <t>1200 S BROADWAY</t>
  </si>
  <si>
    <t>400 SUNSET DRIVE</t>
  </si>
  <si>
    <t>6505 W 103RD STREET</t>
  </si>
  <si>
    <t>1441 OREGON ST</t>
  </si>
  <si>
    <t>13840 W 91ST TERRACE</t>
  </si>
  <si>
    <t>223 BEDFORD ST</t>
  </si>
  <si>
    <t>705 N BRADY ST</t>
  </si>
  <si>
    <t>751 BLAKE STREET</t>
  </si>
  <si>
    <t>2626 WESLEYAN DR</t>
  </si>
  <si>
    <t>613 N MAIN</t>
  </si>
  <si>
    <t>1630 W 2ND ST</t>
  </si>
  <si>
    <t>304 W 7TH ST</t>
  </si>
  <si>
    <t>1319 SEVILLE STREET</t>
  </si>
  <si>
    <t>712 N MONROE AVENUE, BOX 49</t>
  </si>
  <si>
    <t>1570 SW WESTPORT DR</t>
  </si>
  <si>
    <t>1017 MAIN ST</t>
  </si>
  <si>
    <t>10315 JOHNSON DR</t>
  </si>
  <si>
    <t>915 S HORTON  PO BOX 510</t>
  </si>
  <si>
    <t>810 E 30TH AVENUE</t>
  </si>
  <si>
    <t>20705 W 151ST STREET</t>
  </si>
  <si>
    <t>101 LEE AVE</t>
  </si>
  <si>
    <t>6416 LONG STREET</t>
  </si>
  <si>
    <t>509 GROVE STREET</t>
  </si>
  <si>
    <t>4007 E LINCOLN STREET</t>
  </si>
  <si>
    <t>1555 N MERIDIAN ST</t>
  </si>
  <si>
    <t>620  WINCHESTER AVE</t>
  </si>
  <si>
    <t>908 N PEARL ST</t>
  </si>
  <si>
    <t>1501 INVERNESS DRIVE</t>
  </si>
  <si>
    <t>1620 WHEELER STREET</t>
  </si>
  <si>
    <t>3231 N 61ST ST</t>
  </si>
  <si>
    <t>815 N ROTHSAY STREET</t>
  </si>
  <si>
    <t>320 S LINCOLN ST</t>
  </si>
  <si>
    <t>1020 N SCHOOL STREET</t>
  </si>
  <si>
    <t>2921 W 1ST STREET</t>
  </si>
  <si>
    <t>1560 K 96 HWY</t>
  </si>
  <si>
    <t>619 S HIGHWAY 77</t>
  </si>
  <si>
    <t>501 EASY ST</t>
  </si>
  <si>
    <t>117 W 1ST STREET  #369</t>
  </si>
  <si>
    <t>4712 SW 6TH AVE</t>
  </si>
  <si>
    <t>7850 FREEMAN AVENUE</t>
  </si>
  <si>
    <t>204 W WASHINGTON ST</t>
  </si>
  <si>
    <t>2601 E CRAWFORD ST</t>
  </si>
  <si>
    <t>4700 W 13TH ST N</t>
  </si>
  <si>
    <t>1200 E 7TH ST</t>
  </si>
  <si>
    <t>3501 DIRR AVE</t>
  </si>
  <si>
    <t>2300 INDUSTRIAL ROAD</t>
  </si>
  <si>
    <t>1429 KASOLD DR</t>
  </si>
  <si>
    <t>200 CAMPUS DR</t>
  </si>
  <si>
    <t>1711 N 4TH STREET</t>
  </si>
  <si>
    <t>924 8TH STREET</t>
  </si>
  <si>
    <t>203 E OSAGE AVE</t>
  </si>
  <si>
    <t>1221 LARIMER STREET</t>
  </si>
  <si>
    <t>1626 N 8TH STREET</t>
  </si>
  <si>
    <t>2700 CANAL BLVD</t>
  </si>
  <si>
    <t>PO  BOX 346</t>
  </si>
  <si>
    <t>900 COUNTRY CLUB LANE</t>
  </si>
  <si>
    <t>1320 WHEAT RD</t>
  </si>
  <si>
    <t>1101 SPRUCE STREET</t>
  </si>
  <si>
    <t>1100 W 15TH ST</t>
  </si>
  <si>
    <t>700 CHEROKEE  PO BOX 307</t>
  </si>
  <si>
    <t>2160 ZINNIA LANE</t>
  </si>
  <si>
    <t>1001 W MAIN STREET, PO BOX 366</t>
  </si>
  <si>
    <t>1311 S DOUGLAS AVENUE</t>
  </si>
  <si>
    <t>102 W BOTKIN STREET</t>
  </si>
  <si>
    <t>1223 ORCHARD LANE</t>
  </si>
  <si>
    <t>3220 SW ALBRIGHT DRIVE</t>
  </si>
  <si>
    <t>8101 MISSION ROAD</t>
  </si>
  <si>
    <t>5808 W 8TH ST N</t>
  </si>
  <si>
    <t>234 MANOR CIRCLE</t>
  </si>
  <si>
    <t>820 S DENISON STREET</t>
  </si>
  <si>
    <t>815 N INDEPENDENCE AVE  PO BOX 467</t>
  </si>
  <si>
    <t>1100 N 16TH</t>
  </si>
  <si>
    <t>715 LIBERTY  PO BOX 517</t>
  </si>
  <si>
    <t>605 E MELVIN STREET PO BOX 789</t>
  </si>
  <si>
    <t>510 W 7TH ST</t>
  </si>
  <si>
    <t>11875 S SUNSET DRIVE, SUITE 100</t>
  </si>
  <si>
    <t>108 E ASH STREET</t>
  </si>
  <si>
    <t>1600 W 8TH STREET</t>
  </si>
  <si>
    <t>2011 GRANDVIEW DRIVE</t>
  </si>
  <si>
    <t>630 HOLLIDAY ST</t>
  </si>
  <si>
    <t>208 W 2ND STREET</t>
  </si>
  <si>
    <t>206 S DITTMAN ST</t>
  </si>
  <si>
    <t>650 LAKE ROAD #216</t>
  </si>
  <si>
    <t>701 W 6TH ST</t>
  </si>
  <si>
    <t>601 CROSS ST</t>
  </si>
  <si>
    <t>604 1ST STREET</t>
  </si>
  <si>
    <t>511 PARAMOUNT STREET</t>
  </si>
  <si>
    <t>510 W FRONTVIEW ST</t>
  </si>
  <si>
    <t>600 W BLANCHARD AVE</t>
  </si>
  <si>
    <t>1021 CEDARS DRIVE</t>
  </si>
  <si>
    <t>700 MONTEREY PL</t>
  </si>
  <si>
    <t>736 HEYLMAN STREET</t>
  </si>
  <si>
    <t>200 SW 14TH</t>
  </si>
  <si>
    <t>200 W CEDAR  PO BOX 5000</t>
  </si>
  <si>
    <t>200 WILLOW RD</t>
  </si>
  <si>
    <t>801 S FRY STREET PO BOX 265</t>
  </si>
  <si>
    <t>814 WALNUT STREET, PO BOX 167</t>
  </si>
  <si>
    <t>600 PERRY</t>
  </si>
  <si>
    <t>724 N MAIN PO BOX 370</t>
  </si>
  <si>
    <t>520 E MORSE SREET</t>
  </si>
  <si>
    <t>3000 IVY DR</t>
  </si>
  <si>
    <t>408 E MAIN  PO BOX 37</t>
  </si>
  <si>
    <t>400 S BUHLER ROAD</t>
  </si>
  <si>
    <t>1901 E 23RD AVE</t>
  </si>
  <si>
    <t>108 N WALNUT  PO BOX 249</t>
  </si>
  <si>
    <t>622 N EDGEMOOR ST</t>
  </si>
  <si>
    <t>811 N 1ST ST</t>
  </si>
  <si>
    <t>6700 E 45TH STREET NORTH</t>
  </si>
  <si>
    <t>515 DAWSON</t>
  </si>
  <si>
    <t>402 SOUTH AVENUE PO BOX 117</t>
  </si>
  <si>
    <t>501 ASSEMBLY LANE</t>
  </si>
  <si>
    <t>86 TWENTY-SECOND AVE</t>
  </si>
  <si>
    <t>1400 S 15TH STREET</t>
  </si>
  <si>
    <t>1315 S 15TH STREET</t>
  </si>
  <si>
    <t>510 N WALNUT STREET</t>
  </si>
  <si>
    <t>922 N 5TH ST</t>
  </si>
  <si>
    <t>1110 W 11TH</t>
  </si>
  <si>
    <t>620 SECOND AVE</t>
  </si>
  <si>
    <t>2825 RESORT DR</t>
  </si>
  <si>
    <t>901 LAKEPOINT DR</t>
  </si>
  <si>
    <t>251 E WILSON AVENUE</t>
  </si>
  <si>
    <t>808 N 8TH STREET</t>
  </si>
  <si>
    <t>2308 N 3RD  PO BOX 955</t>
  </si>
  <si>
    <t>101 N PINE STREET</t>
  </si>
  <si>
    <t>1104 OHIO STREET</t>
  </si>
  <si>
    <t>1121 W 7TH ST</t>
  </si>
  <si>
    <t>849 E WASHINGTON STREET</t>
  </si>
  <si>
    <t>1601 N MAIN STREET</t>
  </si>
  <si>
    <t>512 COMMUNITY DR</t>
  </si>
  <si>
    <t>511 N WESTERN AVE</t>
  </si>
  <si>
    <t>5500 WEST 123RD ST</t>
  </si>
  <si>
    <t>340 E SOUTH STREET</t>
  </si>
  <si>
    <t>4851 HARVARD</t>
  </si>
  <si>
    <t>915 MCNAIR</t>
  </si>
  <si>
    <t>17500 W 119TH STREET</t>
  </si>
  <si>
    <t>200 S OHIO</t>
  </si>
  <si>
    <t>601 S MAIN ST</t>
  </si>
  <si>
    <t>1600 S. WOODLAWN BLVD</t>
  </si>
  <si>
    <t>620 E WOOD STREET</t>
  </si>
  <si>
    <t>505 N. MAIN STREET</t>
  </si>
  <si>
    <t>116 S CENTRAL AVE</t>
  </si>
  <si>
    <t>407 N LOCUST STREET</t>
  </si>
  <si>
    <t>1501 S HOLLY DR</t>
  </si>
  <si>
    <t>109 WEST EMPIRE</t>
  </si>
  <si>
    <t>5015 SW 28TH ST</t>
  </si>
  <si>
    <t>1000 MULBERRY, PO BOX 627</t>
  </si>
  <si>
    <t>1502 E CENTENNIAL</t>
  </si>
  <si>
    <t>1315 N WEST ST</t>
  </si>
  <si>
    <t>1035 SE 3RD ST</t>
  </si>
  <si>
    <t>242 CARROLL ST</t>
  </si>
  <si>
    <t>8675 SE 72ND TERRACE</t>
  </si>
  <si>
    <t>105 N HIGHWAY 99</t>
  </si>
  <si>
    <t>33600 WEST 85TH STREET</t>
  </si>
  <si>
    <t>303 E BUFFALO ST</t>
  </si>
  <si>
    <t>PO BOX 219  1009 N MARSHALL</t>
  </si>
  <si>
    <t>602 CRESTVIEW DRIVE</t>
  </si>
  <si>
    <t>409 W BARTON</t>
  </si>
  <si>
    <t>12802 JOHNSON DRIVE</t>
  </si>
  <si>
    <t>PO BOX 308</t>
  </si>
  <si>
    <t>704 E MAIN ST</t>
  </si>
  <si>
    <t>704 S ASH</t>
  </si>
  <si>
    <t>2133 S ELIZABETH ST</t>
  </si>
  <si>
    <t>1611 RITCHIE</t>
  </si>
  <si>
    <t>601 E MAIN ST</t>
  </si>
  <si>
    <t>2 E ASH ST</t>
  </si>
  <si>
    <t>20911 WEST 153RD STREET</t>
  </si>
  <si>
    <t>114 S HIGH ST</t>
  </si>
  <si>
    <t>612 THIRD ST</t>
  </si>
  <si>
    <t>227 SOUTH HOWARD STREET</t>
  </si>
  <si>
    <t>202 S WASHINGTON ST</t>
  </si>
  <si>
    <t>2225 CANTERBURY DR</t>
  </si>
  <si>
    <t>7105 MISSION ROAD</t>
  </si>
  <si>
    <t>505 W ELM  PO BOX 248</t>
  </si>
  <si>
    <t>639 S MAIZE COURT</t>
  </si>
  <si>
    <t>1415 MAPLE</t>
  </si>
  <si>
    <t>13875 W 115TH TERRACE</t>
  </si>
  <si>
    <t>412 S 8TH</t>
  </si>
  <si>
    <t>400 W 8TH ST</t>
  </si>
  <si>
    <t>201 W CRANE STREET</t>
  </si>
  <si>
    <t>321 N CHESTNUT STREET</t>
  </si>
  <si>
    <t>RR 2 E IOWA ST</t>
  </si>
  <si>
    <t>440 STATE ST  BOX 50A</t>
  </si>
  <si>
    <t>614 S 8TH ST</t>
  </si>
  <si>
    <t>311 E 2ND ST</t>
  </si>
  <si>
    <t>200 CUSTER</t>
  </si>
  <si>
    <t>731 KLEIN CIRCLE</t>
  </si>
  <si>
    <t>320 SOUTH AVE</t>
  </si>
  <si>
    <t>1220 WORLD WAR II MEMORIAL DR</t>
  </si>
  <si>
    <t>12000 LAMAR</t>
  </si>
  <si>
    <t>2420 G STREET</t>
  </si>
  <si>
    <t>301 E MILLER ST</t>
  </si>
  <si>
    <t>224 E CENTRAL</t>
  </si>
  <si>
    <t>750 W WASHINGTON ST</t>
  </si>
  <si>
    <t>1401 CHERRY LANE</t>
  </si>
  <si>
    <t>1334 BUCHANAN ST</t>
  </si>
  <si>
    <t>608 N KENNEDY</t>
  </si>
  <si>
    <t>210 E PARK LANE</t>
  </si>
  <si>
    <t>401 E 6TH,  PO BOX 20</t>
  </si>
  <si>
    <t>10604 EAST 13TH ST</t>
  </si>
  <si>
    <t>300 S AZTEC ST</t>
  </si>
  <si>
    <t>402 N SANTA FE AVE</t>
  </si>
  <si>
    <t>405 GRAND AVE</t>
  </si>
  <si>
    <t>1419 N 6TH STREET</t>
  </si>
  <si>
    <t>2114 N 127TH COURT EAST</t>
  </si>
  <si>
    <t>757 W EISENHOWER RD</t>
  </si>
  <si>
    <t>8505 PFLUMM ROAD</t>
  </si>
  <si>
    <t>2220 SW CANTERBURY DRIVE</t>
  </si>
  <si>
    <t>3636 NORTH RIDGE RD BLDG 400</t>
  </si>
  <si>
    <t>14200 W 134TH PLACE</t>
  </si>
  <si>
    <t>13760 METCALF AVENUE</t>
  </si>
  <si>
    <t>4700 INDIAN CREEK PARKWAY</t>
  </si>
  <si>
    <t>777 N MCLEAN BLVD</t>
  </si>
  <si>
    <t>3910 RAINBOW BLVD, STE 400</t>
  </si>
  <si>
    <t>403 S VALLEY  PO BOX 8</t>
  </si>
  <si>
    <t>1890 EUCLID AVE</t>
  </si>
  <si>
    <t>331 SW OAKLEY STREET</t>
  </si>
  <si>
    <t>8900 PARALLEL PARKWAY</t>
  </si>
  <si>
    <t>12340 QUIVIRA ROAD</t>
  </si>
  <si>
    <t>7600 ANTIOCH ROAD</t>
  </si>
  <si>
    <t>201 E FLAMING ROAD</t>
  </si>
  <si>
    <t>240 HOSPITAL ROAD</t>
  </si>
  <si>
    <t>989 MEDICAL PARK DRIVE</t>
  </si>
  <si>
    <t>3600 WEST CUMBERLAND AVENUE</t>
  </si>
  <si>
    <t>320 LORETTO ROAD</t>
  </si>
  <si>
    <t>9 LINVILLE DRIVE</t>
  </si>
  <si>
    <t>55 FOUNDATION DRIVE</t>
  </si>
  <si>
    <t>1625 NASHVILLE STREET</t>
  </si>
  <si>
    <t>910 WALLACE AVENUE</t>
  </si>
  <si>
    <t>1210 KY HWY 36 E</t>
  </si>
  <si>
    <t>ONE TRILLIUM WAY</t>
  </si>
  <si>
    <t>520 WEST GUM STREET</t>
  </si>
  <si>
    <t>1140 LEXINGTON ROAD</t>
  </si>
  <si>
    <t>529 CAPP HARLAN ROAD</t>
  </si>
  <si>
    <t>723 BURKESVILLE ROAD</t>
  </si>
  <si>
    <t>1099 MEDICAL CENTER CIRCLE</t>
  </si>
  <si>
    <t>2000 HOLIDAY LANE</t>
  </si>
  <si>
    <t>1801 ASHLEY CIRCLE</t>
  </si>
  <si>
    <t>2485 HIGHWAY 644</t>
  </si>
  <si>
    <t>901 WESTLAKE DRIVE</t>
  </si>
  <si>
    <t>208 WEST TWELFTH STREET</t>
  </si>
  <si>
    <t>1401 SOUTH 16TH STREET</t>
  </si>
  <si>
    <t>201 SOUTH WARREN STREET</t>
  </si>
  <si>
    <t>440 HOPKINSVILLE STREET</t>
  </si>
  <si>
    <t>1500 PRIDE AVENUE</t>
  </si>
  <si>
    <t>55 EAST NORTH STREET</t>
  </si>
  <si>
    <t>419 NORTH SEMINARY ST</t>
  </si>
  <si>
    <t>2323 CONCRETE ROAD</t>
  </si>
  <si>
    <t>920 SOUTH FOURTH STREET</t>
  </si>
  <si>
    <t>401 EAST 20TH STREET</t>
  </si>
  <si>
    <t>1705 STEVENS AVENUE</t>
  </si>
  <si>
    <t>640 WATER TOWER BYPASS</t>
  </si>
  <si>
    <t>509 NORTH HAYDEN AVE.</t>
  </si>
  <si>
    <t>1004 HOLIDAY LANE</t>
  </si>
  <si>
    <t>2365 NASHVILLE ROAD</t>
  </si>
  <si>
    <t>139 PEARL ST.</t>
  </si>
  <si>
    <t>400 BOMAR HEIGHTS</t>
  </si>
  <si>
    <t>717 NORTH LINCOLN BLVD</t>
  </si>
  <si>
    <t>120 MAIN STREET</t>
  </si>
  <si>
    <t>130 MEADOWLARK DRIVE</t>
  </si>
  <si>
    <t>308 WEST MAPLE AVENUE</t>
  </si>
  <si>
    <t>3300 TATES CREEK ROAD</t>
  </si>
  <si>
    <t>950 HIGHPOINT DRIVE</t>
  </si>
  <si>
    <t>2420 W. 3RD STREET</t>
  </si>
  <si>
    <t>550 HIGH ST.</t>
  </si>
  <si>
    <t>7300 WOODSPOINT DRIVE</t>
  </si>
  <si>
    <t>109  HOMEWOOD BLVD.</t>
  </si>
  <si>
    <t>260 SOUTH MAYO TRAIL</t>
  </si>
  <si>
    <t>3116 BRECKINRIDGE LANE</t>
  </si>
  <si>
    <t>900 GAGEL AVENUE</t>
  </si>
  <si>
    <t>1043 BROOKLYN BOULEVARD</t>
  </si>
  <si>
    <t>420 JETT DRIVE</t>
  </si>
  <si>
    <t>1117 WOODLAND DRIVE</t>
  </si>
  <si>
    <t>3740 OLD HARTFORD RD</t>
  </si>
  <si>
    <t>1155 EASTERN PARKWAY</t>
  </si>
  <si>
    <t>851 KIMSEY LANE</t>
  </si>
  <si>
    <t>1245 AMERICAN GREETING ROAD</t>
  </si>
  <si>
    <t>642 NORTH THIRD STREET</t>
  </si>
  <si>
    <t>270 E CLAYTON LANE</t>
  </si>
  <si>
    <t>3625 FERN VALLEY ROAD</t>
  </si>
  <si>
    <t>100 W. RAMSEY</t>
  </si>
  <si>
    <t>390 PARK AVENUE</t>
  </si>
  <si>
    <t>5012 EAST MANSLICK RD</t>
  </si>
  <si>
    <t>2116 BUECHEL BANK ROAD</t>
  </si>
  <si>
    <t>2000 NEWBURG ROAD</t>
  </si>
  <si>
    <t>102 POCAHONTAS TRAIL</t>
  </si>
  <si>
    <t>401 INDIANA AVE</t>
  </si>
  <si>
    <t>1608 VERSAILLES ROAD</t>
  </si>
  <si>
    <t>1217 US HIGHWAY 62 E</t>
  </si>
  <si>
    <t>200 GLENWAY ROAD</t>
  </si>
  <si>
    <t>200 STERLING DRIVE</t>
  </si>
  <si>
    <t>287 N ELEVENTH STREET</t>
  </si>
  <si>
    <t>120 LIFE CARE WAY</t>
  </si>
  <si>
    <t>388 PERKINS MADDEN ROAD</t>
  </si>
  <si>
    <t>79 SPARROW LANE</t>
  </si>
  <si>
    <t>555 BOURNE AVENUE</t>
  </si>
  <si>
    <t>933 NORTH TOLLIVER ROAD</t>
  </si>
  <si>
    <t>145 NEWCOMB AVENUE</t>
  </si>
  <si>
    <t>117 OLD SOLDIERS LANE</t>
  </si>
  <si>
    <t>700 MASON HEADLEY ROAD</t>
  </si>
  <si>
    <t>65 MINTON HICKORY FARM ROAD</t>
  </si>
  <si>
    <t>1101 LYNDON LANE</t>
  </si>
  <si>
    <t>200 MEDICAL CENTER DRIVE</t>
  </si>
  <si>
    <t>460 SOUTH COLLEGE STREET</t>
  </si>
  <si>
    <t>706 NORTH MAGNOLIA STREET</t>
  </si>
  <si>
    <t>1801 LYNN WAY</t>
  </si>
  <si>
    <t>1040 US 127 SOUTH</t>
  </si>
  <si>
    <t>544 LONE OAK ROAD</t>
  </si>
  <si>
    <t>260 HOSPITAL DRIVE</t>
  </si>
  <si>
    <t>200 NORFLEET DRIVE</t>
  </si>
  <si>
    <t>6975 BURLINGTON PIKE</t>
  </si>
  <si>
    <t>211 WEST OAK STREET</t>
  </si>
  <si>
    <t>446 MT. HOLLY AVE</t>
  </si>
  <si>
    <t>505 WILLIAM THOMASON BYWAY</t>
  </si>
  <si>
    <t>4200 BROWNS LANE</t>
  </si>
  <si>
    <t>6000 HUNTING RD.</t>
  </si>
  <si>
    <t>599 ROGERSVILLE RD.</t>
  </si>
  <si>
    <t>850 RIVERVIEW AVENUE</t>
  </si>
  <si>
    <t>106 DIECKS DRIVE</t>
  </si>
  <si>
    <t>5079 SCOTTSVILLE RD.</t>
  </si>
  <si>
    <t>1025 NEW MOODY LANE</t>
  </si>
  <si>
    <t>227 BROWNS LANE</t>
  </si>
  <si>
    <t>21040 US HWY 421 SOUTH</t>
  </si>
  <si>
    <t>200 BROOKSIDE DRIVE</t>
  </si>
  <si>
    <t>10456 US HIGHWAY 62</t>
  </si>
  <si>
    <t>3535 BARDSTOWN ROAD</t>
  </si>
  <si>
    <t>1500 TRENT BOULEVARD</t>
  </si>
  <si>
    <t>73 PIEDMONT DRIVE</t>
  </si>
  <si>
    <t>1121 TANBARK ROAD</t>
  </si>
  <si>
    <t>1206 ELEVENTH STREET</t>
  </si>
  <si>
    <t>620 PARKER ROAD</t>
  </si>
  <si>
    <t>100 CARMEL MANOR ROAD</t>
  </si>
  <si>
    <t>190 EAST HWY. 136</t>
  </si>
  <si>
    <t>464 LINDEN AVENUE</t>
  </si>
  <si>
    <t>58 CAL HILL ROAD</t>
  </si>
  <si>
    <t>850 HWY 191</t>
  </si>
  <si>
    <t>1608 HILL RISE DRIVE</t>
  </si>
  <si>
    <t>701 SKYLINE DRIVE</t>
  </si>
  <si>
    <t>106 GOVER STREET</t>
  </si>
  <si>
    <t>100 SPARKS AVENUE</t>
  </si>
  <si>
    <t>571 PARKWAY DRIVE</t>
  </si>
  <si>
    <t>60 PHILLIPS BRANCH ROAD</t>
  </si>
  <si>
    <t>1561 NEWTON AVE.</t>
  </si>
  <si>
    <t>4250 GLENN AVENUE</t>
  </si>
  <si>
    <t>2501 OLD HARTFORD RD.</t>
  </si>
  <si>
    <t>100 MARSHALL COURT</t>
  </si>
  <si>
    <t>300 WESTWOOD STREET</t>
  </si>
  <si>
    <t>945 WEST RUSSELL STREET</t>
  </si>
  <si>
    <t>116 SOUTH COMMONWEALTH AVENUE</t>
  </si>
  <si>
    <t>1201 FIFTH AVE</t>
  </si>
  <si>
    <t>1205 LEITCHFIELD RD.</t>
  </si>
  <si>
    <t>2100 MILLVALE ROAD</t>
  </si>
  <si>
    <t>58 EASTHAM STREET</t>
  </si>
  <si>
    <t>235 NEW WILSON LANE</t>
  </si>
  <si>
    <t>2344 AMSTERDAM ROAD</t>
  </si>
  <si>
    <t>125 STERLING WAY</t>
  </si>
  <si>
    <t>39 FERNDALE APARTMENTS ROAD</t>
  </si>
  <si>
    <t>105 HARMON HEIGHTS</t>
  </si>
  <si>
    <t>371 WEST MAIN STREET</t>
  </si>
  <si>
    <t>3775 BELLEAU WOOD DRIVE</t>
  </si>
  <si>
    <t>96 HIGHWAY  3444</t>
  </si>
  <si>
    <t>1100 GRANDVIEW DRIVE</t>
  </si>
  <si>
    <t>2582 CERULEAN ROAD</t>
  </si>
  <si>
    <t>250 MCDAVID BLVD</t>
  </si>
  <si>
    <t>406 WYOMING ROAD</t>
  </si>
  <si>
    <t>200 NURSING HOME LANE</t>
  </si>
  <si>
    <t>213 INDUSTRIAL ROAD</t>
  </si>
  <si>
    <t>2607 MAIN STREET HWY 641 SOUTH</t>
  </si>
  <si>
    <t>6301 BASS ROAD</t>
  </si>
  <si>
    <t>15 AUDUBON PLAZA DRIVE</t>
  </si>
  <si>
    <t>100 WURTLAND AVENUE</t>
  </si>
  <si>
    <t>131 MEADOWLARK DRIVE</t>
  </si>
  <si>
    <t>213 WATER STREET</t>
  </si>
  <si>
    <t>203 BRUCE COURT</t>
  </si>
  <si>
    <t>201 KIMBERLY LANE</t>
  </si>
  <si>
    <t>1101 WOODLAND DRIVE</t>
  </si>
  <si>
    <t>337 SOUTH HARRISON STREET</t>
  </si>
  <si>
    <t>3500 GOOD SAMARITAN WAY</t>
  </si>
  <si>
    <t>201 WATSON STREET</t>
  </si>
  <si>
    <t>301 SOUTH MAIN STREET</t>
  </si>
  <si>
    <t>1002 GLENVIEW DR.</t>
  </si>
  <si>
    <t>867 MCGUIRE AVE.</t>
  </si>
  <si>
    <t>HIGHWAY 11, 20 COUNTRY BARN ROAD</t>
  </si>
  <si>
    <t>774 LIBERTY ROAD</t>
  </si>
  <si>
    <t>114 MCMURTRY AVENUE</t>
  </si>
  <si>
    <t>515 NERINX ROAD</t>
  </si>
  <si>
    <t>331 SOUTH MAIN STREET</t>
  </si>
  <si>
    <t>9701 WHIPPS MILL RD.</t>
  </si>
  <si>
    <t>500 BECK LANE</t>
  </si>
  <si>
    <t>7400 FRIENDSHIP DRIVE</t>
  </si>
  <si>
    <t>JAMES E. HANNAH DRIVE</t>
  </si>
  <si>
    <t>2000 SOUTH MAIN STREET</t>
  </si>
  <si>
    <t>1011 OLD HIGHWAY 60</t>
  </si>
  <si>
    <t>1 SPARKS AVENUE</t>
  </si>
  <si>
    <t>853 LEXINGTON ROAD</t>
  </si>
  <si>
    <t>9600 LAMBORNE BOULEVARD</t>
  </si>
  <si>
    <t>2200 STONY BROOK DR</t>
  </si>
  <si>
    <t>1550 RAYDALE DR</t>
  </si>
  <si>
    <t>142 ROGER POWELL RD</t>
  </si>
  <si>
    <t>1033 NORTH HIGHWAY 11</t>
  </si>
  <si>
    <t>515 GREENE DRIVE</t>
  </si>
  <si>
    <t>112 DOVER DRIVE</t>
  </si>
  <si>
    <t>2625 BARDSTOWN ROAD</t>
  </si>
  <si>
    <t>1901 WEST HIGHWAY 90 BYPASS</t>
  </si>
  <si>
    <t>1877 FARNSLEY RD.</t>
  </si>
  <si>
    <t>4604 LOWE RD</t>
  </si>
  <si>
    <t>101 FAIRGROUNDS ROAD</t>
  </si>
  <si>
    <t>147 NORTH HIGHLAND AVENUE</t>
  </si>
  <si>
    <t>3001 N. HURSTBOURNE PKWY.</t>
  </si>
  <si>
    <t>425 ISLAND FORD ROAD</t>
  </si>
  <si>
    <t>718 GOODWIN LANE</t>
  </si>
  <si>
    <t>7504 WESTPORT ROAD</t>
  </si>
  <si>
    <t>4700 QUINN DR.</t>
  </si>
  <si>
    <t>4747 ALBEN BARKLEY DRIVE</t>
  </si>
  <si>
    <t>107 BOYLES DRIVE</t>
  </si>
  <si>
    <t>115 PIONEER TRACE</t>
  </si>
  <si>
    <t>404 NORTH WASHINGTON STREET</t>
  </si>
  <si>
    <t>1333 WEST MAIN STREET</t>
  </si>
  <si>
    <t>521 GREENE DR.</t>
  </si>
  <si>
    <t>1253 LAKE BARKLEY DRIVE</t>
  </si>
  <si>
    <t>252 W. 5TH STREET</t>
  </si>
  <si>
    <t>3057 NORTH CLEVELAND ROAD</t>
  </si>
  <si>
    <t>456 BURNLEY RD.</t>
  </si>
  <si>
    <t>366 S. WASHINGTON ST.</t>
  </si>
  <si>
    <t>625 TAYLORSVILLE RD</t>
  </si>
  <si>
    <t>85 NORTH GRAND AVENUE</t>
  </si>
  <si>
    <t>509 NORTH CARRIER ST.</t>
  </si>
  <si>
    <t>1980 OLD GREENSBURG ROAD</t>
  </si>
  <si>
    <t>414 ROBEY ST.</t>
  </si>
  <si>
    <t>105 RODGERS PARK</t>
  </si>
  <si>
    <t>3802 KLONDIKE LANE</t>
  </si>
  <si>
    <t>1595 US HWY 231 S.</t>
  </si>
  <si>
    <t>1120 CRISTLAND ROAD</t>
  </si>
  <si>
    <t>420 EAST GRUNDY AVENUE</t>
  </si>
  <si>
    <t>246 EAST MAIN STREET</t>
  </si>
  <si>
    <t>124 WEST NASHVILLE ST</t>
  </si>
  <si>
    <t>411 BERTHA WALLACE DRIVE</t>
  </si>
  <si>
    <t>220 WESTWOOD ST.</t>
  </si>
  <si>
    <t>402 W. FARTHING STREET</t>
  </si>
  <si>
    <t>708 BARTLEY AVENUE</t>
  </si>
  <si>
    <t>115 CAYCE ST</t>
  </si>
  <si>
    <t>5269 ASBURY ROAD</t>
  </si>
  <si>
    <t>1614 PARRISH AVE, WEST</t>
  </si>
  <si>
    <t>2141 SYCAMORE AVENUE</t>
  </si>
  <si>
    <t>1705 HERR LANE</t>
  </si>
  <si>
    <t>2529 SIX MILE LANE</t>
  </si>
  <si>
    <t>31 DERICKSON LANE</t>
  </si>
  <si>
    <t>814 OLD EKRON ROAD</t>
  </si>
  <si>
    <t>313 MAIN STREET</t>
  </si>
  <si>
    <t>305 TAYLOR STREET #402</t>
  </si>
  <si>
    <t>50 SHEPHERD LANE</t>
  </si>
  <si>
    <t>1030 KENTONTOWN ROAD, P O BOX 170</t>
  </si>
  <si>
    <t>499 CENTER STREET</t>
  </si>
  <si>
    <t>1313 ST. ANTHONY PLACE</t>
  </si>
  <si>
    <t>50 ADAMS STREET</t>
  </si>
  <si>
    <t>905 HWY 127 NORTH</t>
  </si>
  <si>
    <t>270 BACON CREEK ROAD</t>
  </si>
  <si>
    <t>711 FRANKFORT ROAD</t>
  </si>
  <si>
    <t>62 MAUDE ROAD</t>
  </si>
  <si>
    <t>1505 SOUTH DIXIE STREET</t>
  </si>
  <si>
    <t>47 MARGO AVENUE</t>
  </si>
  <si>
    <t>960 HIGHLAND AVENUE</t>
  </si>
  <si>
    <t>601 RICHMOND ROAD</t>
  </si>
  <si>
    <t>1301 N RACE ST</t>
  </si>
  <si>
    <t>240 MASONIC HOME DRIVE</t>
  </si>
  <si>
    <t>323 WEBSTER AVENUE</t>
  </si>
  <si>
    <t>1820 OAKVIEW ROAD</t>
  </si>
  <si>
    <t>4900 HOUSTON ROAD</t>
  </si>
  <si>
    <t>900 HOSPITAL DRIVE</t>
  </si>
  <si>
    <t>1201 PLEASANT VALLEY ROAD</t>
  </si>
  <si>
    <t>8005 US HWY 60 WEST</t>
  </si>
  <si>
    <t>506 ALLENSVILLE ROAD</t>
  </si>
  <si>
    <t>813 S. MAIN STREET</t>
  </si>
  <si>
    <t>2500 NORTH ELM ST.</t>
  </si>
  <si>
    <t>217 SOUTH THIRD STREET</t>
  </si>
  <si>
    <t>305 LANGDON STREET</t>
  </si>
  <si>
    <t>616 S WALLACE WILKINSON BLVD</t>
  </si>
  <si>
    <t>1871 MIDLAND TRAIL</t>
  </si>
  <si>
    <t>300 BEECH ST.</t>
  </si>
  <si>
    <t>1025 EUCLID AVENUE</t>
  </si>
  <si>
    <t>RT 32  EAST, HOWARD CREEK RD</t>
  </si>
  <si>
    <t>2501 KENTUCKY AVENUE</t>
  </si>
  <si>
    <t>12800 PRINCELAND DRIVE</t>
  </si>
  <si>
    <t>1800 WESTEN AVENUE</t>
  </si>
  <si>
    <t>4305 NEW SHEPHERDSVILLE ROAD</t>
  </si>
  <si>
    <t>195 BERRYMAN ROAD</t>
  </si>
  <si>
    <t>913 N. DIXIE AVE.</t>
  </si>
  <si>
    <t>175 HOSPITAL DRIVE</t>
  </si>
  <si>
    <t>222 MEDICAL CIRCLE</t>
  </si>
  <si>
    <t>19101 US HIGHWAY 119 NORTH</t>
  </si>
  <si>
    <t>192 BACON CREEK ROAD</t>
  </si>
  <si>
    <t>1381 CAMPBELL LANE</t>
  </si>
  <si>
    <t>2885 NEW HARTFORD RD</t>
  </si>
  <si>
    <t>105 VILLAGE WAY</t>
  </si>
  <si>
    <t>1012 RICHWOOD WAY</t>
  </si>
  <si>
    <t>2990 RIGGS AVENUE</t>
  </si>
  <si>
    <t>2120 PAYNE STREET</t>
  </si>
  <si>
    <t>225 SAINT JOHN ROAD</t>
  </si>
  <si>
    <t>2020 CAMBRIDGE DRIVE</t>
  </si>
  <si>
    <t>3876 TURKEYFOOT ROAD</t>
  </si>
  <si>
    <t>3576 PIMLICO PARKWAY</t>
  </si>
  <si>
    <t>630 VIOX DRIVE</t>
  </si>
  <si>
    <t>2500 STATE ROUTE 5</t>
  </si>
  <si>
    <t>1025 ROBERT L TELFORD DRIVE</t>
  </si>
  <si>
    <t>300 SHELBY STATION DRIVE</t>
  </si>
  <si>
    <t>3526 DUTCHMANS LANE</t>
  </si>
  <si>
    <t>6415 CALM RIVER WAY</t>
  </si>
  <si>
    <t>9700 STONESTREET ROAD</t>
  </si>
  <si>
    <t>2770 PALUMBO DRIVE</t>
  </si>
  <si>
    <t>310 BOXWOOD RUN ROAD</t>
  </si>
  <si>
    <t>170 SYKES BOULEVARD</t>
  </si>
  <si>
    <t>4247 WESTPORT ROAD</t>
  </si>
  <si>
    <t>2050 VERSAILLES ROAD</t>
  </si>
  <si>
    <t>1015 MAGAZINE STREET</t>
  </si>
  <si>
    <t>106 PADGETT DRIVE</t>
  </si>
  <si>
    <t>2531 OLD ROSEBUD ROAD</t>
  </si>
  <si>
    <t>200 VETERANS DRIVE</t>
  </si>
  <si>
    <t>926 VETERANS DRIVE</t>
  </si>
  <si>
    <t>100 VETERANS DRIVE</t>
  </si>
  <si>
    <t>1376 SILVER SPRINGS DRIVE</t>
  </si>
  <si>
    <t>300 PLAZA DRIVE</t>
  </si>
  <si>
    <t>1850 BLUEGRASS AVENUE, UNIT 3C</t>
  </si>
  <si>
    <t>4120 WOODED ACRE LANE</t>
  </si>
  <si>
    <t>118 N HOSPITAL DR</t>
  </si>
  <si>
    <t>600 S PINE STREET</t>
  </si>
  <si>
    <t>1634 ELTON ROAD</t>
  </si>
  <si>
    <t>706 ROSS STREET</t>
  </si>
  <si>
    <t>2001 DOCTORS DRIVE</t>
  </si>
  <si>
    <t>301 W BOUNDARY STREET</t>
  </si>
  <si>
    <t>4231 HIGHWAY 1192</t>
  </si>
  <si>
    <t>130 N HOSPITAL DR</t>
  </si>
  <si>
    <t>620 EAST COLLEGE STREET</t>
  </si>
  <si>
    <t>323 W WALNUT</t>
  </si>
  <si>
    <t>207 JEFFERSON STREET</t>
  </si>
  <si>
    <t>108 6TH AVENUE</t>
  </si>
  <si>
    <t>2106 LOOP ROAD</t>
  </si>
  <si>
    <t>187 NINTH ST/HWY 84 WEST</t>
  </si>
  <si>
    <t>254 HIGHWAY 3048</t>
  </si>
  <si>
    <t>800 E MAIN</t>
  </si>
  <si>
    <t>2715 ALBERT L. BICKNELL DR</t>
  </si>
  <si>
    <t>3600 FLORIDA BLVD.</t>
  </si>
  <si>
    <t>612 HENRY CLAY AVENUE</t>
  </si>
  <si>
    <t>5002 HIGHWAY 10</t>
  </si>
  <si>
    <t>3701 BEHRMAN PLACE</t>
  </si>
  <si>
    <t>309 JACKSON STREET</t>
  </si>
  <si>
    <t>1420 GENERAL TAYLOR</t>
  </si>
  <si>
    <t>535 COMMERCE STREET</t>
  </si>
  <si>
    <t>1400 LINDBERG DRIVE</t>
  </si>
  <si>
    <t>1221 S CLEARVIEW PARKWAY</t>
  </si>
  <si>
    <t>503 MCMILLAN ROAD</t>
  </si>
  <si>
    <t>716 VILLAGE ROAD</t>
  </si>
  <si>
    <t>8166 MAIN STREET</t>
  </si>
  <si>
    <t>4200 HOUMA BLVD</t>
  </si>
  <si>
    <t>400 MONARCH DRIVE</t>
  </si>
  <si>
    <t>2401 IDAHO STREET</t>
  </si>
  <si>
    <t>4502 GENERAL MEYER AVENUE</t>
  </si>
  <si>
    <t>1050 MEDICAL CENTER</t>
  </si>
  <si>
    <t>708 KEYSER AVENUE</t>
  </si>
  <si>
    <t>14500 HAYNES BLVD.</t>
  </si>
  <si>
    <t>106 MEDICAL CENTER DRIVE</t>
  </si>
  <si>
    <t>22 PLANTATION ROAD</t>
  </si>
  <si>
    <t>4405 AIRLINE DRIVE</t>
  </si>
  <si>
    <t>9111 LINWOOD AVENUE</t>
  </si>
  <si>
    <t>8275 HIGHWAY 165</t>
  </si>
  <si>
    <t>6340 HIGHWAY 4</t>
  </si>
  <si>
    <t>1181 HWY 19</t>
  </si>
  <si>
    <t>7726 US HWY. 165</t>
  </si>
  <si>
    <t>401 E VAUGHN AVENUE</t>
  </si>
  <si>
    <t>2200 JEFFERSON HWY</t>
  </si>
  <si>
    <t>2110 AUDUBON AVENUE</t>
  </si>
  <si>
    <t>6401 RIVERSIDE DRIVE</t>
  </si>
  <si>
    <t>1820 W. CAUSEWAY APPROACH</t>
  </si>
  <si>
    <t>400 MEADOWVIEW DRIVE</t>
  </si>
  <si>
    <t>110 SERIO BLVD</t>
  </si>
  <si>
    <t>750 KEYSER AVENUE</t>
  </si>
  <si>
    <t>1401 HIGHWAY 190</t>
  </si>
  <si>
    <t>505 ROBERT BLVD.</t>
  </si>
  <si>
    <t>1051 ROBERT BLVD</t>
  </si>
  <si>
    <t>506 WEST 5TH STREET</t>
  </si>
  <si>
    <t>1980 JEFFERSON HWY</t>
  </si>
  <si>
    <t>4302 HWY. 1</t>
  </si>
  <si>
    <t>107 SOUTH HOLLYWOOD DRIVE</t>
  </si>
  <si>
    <t>3201 WALL BLVD</t>
  </si>
  <si>
    <t>120 NATCHITOCHES HWY 6 EAST</t>
  </si>
  <si>
    <t>725 MITCHELL LANE</t>
  </si>
  <si>
    <t>606 LATIOLAIS ROAD</t>
  </si>
  <si>
    <t>1338 NORTH CUTTING AVENUE</t>
  </si>
  <si>
    <t>1300 W. EIGHTH STREET</t>
  </si>
  <si>
    <t>1536 CLAIBORNE AVENUE</t>
  </si>
  <si>
    <t>315 HARRY GUILBEAU ROAD</t>
  </si>
  <si>
    <t>1300 LAFOURCHE DRIVE</t>
  </si>
  <si>
    <t>7941 I-49 SOUTH SERVICE ROAD</t>
  </si>
  <si>
    <t>2575 AIRLINE DRIVE</t>
  </si>
  <si>
    <t>2000 MAIN STREET</t>
  </si>
  <si>
    <t>912 SOUTH PECAN STREET</t>
  </si>
  <si>
    <t>600 BAYARD ST</t>
  </si>
  <si>
    <t>905 WEST CORNERVIEW ROAD</t>
  </si>
  <si>
    <t>1803 JANE STREET</t>
  </si>
  <si>
    <t>59355 RIVER WEST DRIVE</t>
  </si>
  <si>
    <t>5301 AUGUST AVENUE</t>
  </si>
  <si>
    <t>5301 TULLIS DRIVE</t>
  </si>
  <si>
    <t>405 MILTON ROAD</t>
  </si>
  <si>
    <t>59215 RIVER WEST DRIVE</t>
  </si>
  <si>
    <t>8622 LINE AVENUE</t>
  </si>
  <si>
    <t>660 FACTORY OUTLET DRIVE</t>
  </si>
  <si>
    <t>28119 HWY 190</t>
  </si>
  <si>
    <t>709 EAST NORTH PLACE</t>
  </si>
  <si>
    <t>1736 IRVING PLACE</t>
  </si>
  <si>
    <t>215 FIRST STREET N E</t>
  </si>
  <si>
    <t>4021 CADILLAC STREET</t>
  </si>
  <si>
    <t>1125 PAUL MAILLARD RD</t>
  </si>
  <si>
    <t>2301 STERLINGTON ROAD</t>
  </si>
  <si>
    <t>5550 THOMAS ROAD</t>
  </si>
  <si>
    <t>6161 MAIN STREET</t>
  </si>
  <si>
    <t>309 S LOUISIANA ST</t>
  </si>
  <si>
    <t>2707 KALISTE SALOOM ROAD</t>
  </si>
  <si>
    <t>954 E PRUDHOMME LANE</t>
  </si>
  <si>
    <t>294 HWY 3048</t>
  </si>
  <si>
    <t>405 FOLSE DRIVE</t>
  </si>
  <si>
    <t>1525 W MCNEESE ST.</t>
  </si>
  <si>
    <t>9225 NORMANDIE DRIVE</t>
  </si>
  <si>
    <t>100 CHRISTWOOD BLVD.</t>
  </si>
  <si>
    <t>3888 NORTH BLVD.</t>
  </si>
  <si>
    <t>883 MAIN STREET</t>
  </si>
  <si>
    <t>740 JUSTA STREET</t>
  </si>
  <si>
    <t>1907 CHINABERRY STREET</t>
  </si>
  <si>
    <t>1335 WOODDALE BLVD.</t>
  </si>
  <si>
    <t>336 EDGEWOOD DRIVE</t>
  </si>
  <si>
    <t>804 POLK STREET</t>
  </si>
  <si>
    <t>522 MAIN STREET</t>
  </si>
  <si>
    <t>114 WHATLEY ST</t>
  </si>
  <si>
    <t>101 REEVES STREET</t>
  </si>
  <si>
    <t>5877 AIMWELL ROAD</t>
  </si>
  <si>
    <t>711 W. CORNERVIEW ROAD</t>
  </si>
  <si>
    <t>2233 EIGHTH STREET</t>
  </si>
  <si>
    <t>1825 LAUREL ST.</t>
  </si>
  <si>
    <t>720 KEYSER AVENUE</t>
  </si>
  <si>
    <t>1411 CLAIBORNE AVENUE</t>
  </si>
  <si>
    <t>2501 KENNETH STREET</t>
  </si>
  <si>
    <t>9712 MANSFIELD ROAD</t>
  </si>
  <si>
    <t>333 LEE DRIVE</t>
  </si>
  <si>
    <t>342 COUNTRY CLUB ROAD</t>
  </si>
  <si>
    <t>2701 ERNEST STREET</t>
  </si>
  <si>
    <t>1103 W MCNEESE</t>
  </si>
  <si>
    <t>18364 CENTRAL AVENUE</t>
  </si>
  <si>
    <t>2421 E. TEXAS AVENUE</t>
  </si>
  <si>
    <t>534 15TH STREET</t>
  </si>
  <si>
    <t>307 N CASTLEMAN ST</t>
  </si>
  <si>
    <t>16 HEYMAN LANE</t>
  </si>
  <si>
    <t>910 LIA ST</t>
  </si>
  <si>
    <t>19110 CROWLEY-EUNICE HWY</t>
  </si>
  <si>
    <t>366 WEBB SMITH DRIVE</t>
  </si>
  <si>
    <t>100 KINGSTON ROAD</t>
  </si>
  <si>
    <t>3525 BIENVILLE ST</t>
  </si>
  <si>
    <t>1611 WELLERMAN ROAD</t>
  </si>
  <si>
    <t>813 N MAIN ST</t>
  </si>
  <si>
    <t>14008 CHENEAU ROAD</t>
  </si>
  <si>
    <t>32 CROTHERS DRIVE</t>
  </si>
  <si>
    <t>426 NORTH WASHINGTON STREET</t>
  </si>
  <si>
    <t>400 HOSPITAL ROAD</t>
  </si>
  <si>
    <t>7060 COTTONWOOD BLVD</t>
  </si>
  <si>
    <t>1002 TIGER DRIVE</t>
  </si>
  <si>
    <t>900 BRYAN STREET</t>
  </si>
  <si>
    <t>2901 DOUGLAS STREET</t>
  </si>
  <si>
    <t>915 1ST  STREET</t>
  </si>
  <si>
    <t>1201 THIRD ST</t>
  </si>
  <si>
    <t>1155 STERLINGTON HIGHWAY</t>
  </si>
  <si>
    <t>1306 W ADMIRAL DOYLE DR</t>
  </si>
  <si>
    <t>171 THRASHER DRIVE</t>
  </si>
  <si>
    <t>308 AMELIA STREET</t>
  </si>
  <si>
    <t>139 NINTH STREET</t>
  </si>
  <si>
    <t>200 TEAL ST.</t>
  </si>
  <si>
    <t>903 CENTER STREET</t>
  </si>
  <si>
    <t>9919 JEFFERSON HWY.</t>
  </si>
  <si>
    <t>14333 OLD HAMMOND HWY.</t>
  </si>
  <si>
    <t>10145 FLORIDA BLVD.</t>
  </si>
  <si>
    <t>11546 FLORIDA BLVD</t>
  </si>
  <si>
    <t>1642 N. FLANNERY ROAD</t>
  </si>
  <si>
    <t>3025 FOURTH STREET</t>
  </si>
  <si>
    <t>9301 OXFORD PLACE DRIVE</t>
  </si>
  <si>
    <t>13735 HIGHWAY 23</t>
  </si>
  <si>
    <t>8422 KURTHWOOD ROAD</t>
  </si>
  <si>
    <t>8225 SUMMA AVENUE</t>
  </si>
  <si>
    <t>1300 DEREK DRIVE</t>
  </si>
  <si>
    <t>1701 POLK ST.</t>
  </si>
  <si>
    <t>530 STRATMORE DRIVE</t>
  </si>
  <si>
    <t>1710 SMEDE HWY</t>
  </si>
  <si>
    <t>2828 WESTFORK</t>
  </si>
  <si>
    <t>7408 HWY 1</t>
  </si>
  <si>
    <t>1330 OCHSNER BOULEVARD</t>
  </si>
  <si>
    <t>401 VATICAN DRIVE</t>
  </si>
  <si>
    <t>4385 OLD STERLINGTON ROAD</t>
  </si>
  <si>
    <t>13938 HWY 165</t>
  </si>
  <si>
    <t>9105 OXFORD PLACE DRIVE</t>
  </si>
  <si>
    <t>3405 MANSFIELD ROAD</t>
  </si>
  <si>
    <t>4820 MEDICAL DRIVE</t>
  </si>
  <si>
    <t>252 HWY. 402</t>
  </si>
  <si>
    <t>417 INDUSTRIAL DRIVE</t>
  </si>
  <si>
    <t>5201 SHREVEPORT HWY</t>
  </si>
  <si>
    <t>9171 COCKERHAM ROAD</t>
  </si>
  <si>
    <t>2500 E. SIMCOE STREET</t>
  </si>
  <si>
    <t>110 MAPLE STREET</t>
  </si>
  <si>
    <t>4005 NORTH BLVD</t>
  </si>
  <si>
    <t>1009 N OBRIE STREET</t>
  </si>
  <si>
    <t>220 SOUTH THOMPSON STREET</t>
  </si>
  <si>
    <t>15243 HWY 10 EAST</t>
  </si>
  <si>
    <t>5600 GENERAL DEGAULLE DR</t>
  </si>
  <si>
    <t>3720 HWY 80 EAST</t>
  </si>
  <si>
    <t>14686 OLD HAMMOND HWY.</t>
  </si>
  <si>
    <t>3050 BAIRD ROAD</t>
  </si>
  <si>
    <t>3302 MANSFIELD ROAD</t>
  </si>
  <si>
    <t>6818 HIGHWAY 84 WEST</t>
  </si>
  <si>
    <t>1539 DELACHAISE ST.</t>
  </si>
  <si>
    <t>1745 BAILEY AVENUE</t>
  </si>
  <si>
    <t>9105 BAIRD ROAD</t>
  </si>
  <si>
    <t>1405 WHITE STREET</t>
  </si>
  <si>
    <t>410 SOUTH SIMMONS STREET</t>
  </si>
  <si>
    <t>15704 MEDICAL ARTS PLAZA</t>
  </si>
  <si>
    <t>26739 HWY. 1032</t>
  </si>
  <si>
    <t>714 HIGH SCHOOL DRIVE</t>
  </si>
  <si>
    <t>800 SOUTH OAK ST.</t>
  </si>
  <si>
    <t>602 NORTH DIVISION</t>
  </si>
  <si>
    <t>1616 WELLERMAN ROAD</t>
  </si>
  <si>
    <t>50 PINECREST DRIVE</t>
  </si>
  <si>
    <t>3001 SOUTH GRANDE STREET</t>
  </si>
  <si>
    <t>7950 MILLHAVEN ROAD</t>
  </si>
  <si>
    <t>614 WESTON STREET</t>
  </si>
  <si>
    <t>403 E. FLOURNOY LUCAS</t>
  </si>
  <si>
    <t>1420 BLANKENSHIP DR</t>
  </si>
  <si>
    <t>4312 ITHACA STREET</t>
  </si>
  <si>
    <t>11188 FLORIDA BLVD</t>
  </si>
  <si>
    <t>2401 NORTH SERVICE ROAD</t>
  </si>
  <si>
    <t>1725 MCARTHUR DRIVE</t>
  </si>
  <si>
    <t>5980 CHERRY RIDGE RD</t>
  </si>
  <si>
    <t>1000 MCKEEN PLACE</t>
  </si>
  <si>
    <t>921 AVE G</t>
  </si>
  <si>
    <t>2021 RAYNE CROWLEY HIGHWAY</t>
  </si>
  <si>
    <t>6942 HIGHWAY 79</t>
  </si>
  <si>
    <t>16232 HWY. 1</t>
  </si>
  <si>
    <t>3859 HIGHWAY 190</t>
  </si>
  <si>
    <t>3330 FRONTAGE ROAD</t>
  </si>
  <si>
    <t>109 MCCLENDON CHURCH ROAD</t>
  </si>
  <si>
    <t>7014 HWY 71</t>
  </si>
  <si>
    <t>2305 RICHARD ST.</t>
  </si>
  <si>
    <t>2650 HOLT STREET</t>
  </si>
  <si>
    <t>965 FISHER ROAD</t>
  </si>
  <si>
    <t>635 SCHLEY STREET</t>
  </si>
  <si>
    <t>7119 HIGHWAY 1 SOUTH</t>
  </si>
  <si>
    <t>1524 GLEN OAKS PLACE</t>
  </si>
  <si>
    <t>3707 HWY 114</t>
  </si>
  <si>
    <t>2200 MEMORIAL DRIVE</t>
  </si>
  <si>
    <t>3612 BAKER BLVD</t>
  </si>
  <si>
    <t>1110 RINGGOLD AVENUE</t>
  </si>
  <si>
    <t>804 CROWLEY-RAYNE HWY</t>
  </si>
  <si>
    <t>830 S. BROADWAY</t>
  </si>
  <si>
    <t>406 ST JULIEN STREET</t>
  </si>
  <si>
    <t>4250 ESSEN LANE</t>
  </si>
  <si>
    <t>4000 RODEO ROAD</t>
  </si>
  <si>
    <t>4659 HIGHWAY 505</t>
  </si>
  <si>
    <t>6001 AIRLINE HWY.</t>
  </si>
  <si>
    <t>8340 BARINGER FOREMAN ROAD.</t>
  </si>
  <si>
    <t>1355 SIXTH STREET</t>
  </si>
  <si>
    <t>1511 DULLES DRIVE</t>
  </si>
  <si>
    <t>7307 OLD SPANISH TRAIL</t>
  </si>
  <si>
    <t>1515 HIGHWAY 107</t>
  </si>
  <si>
    <t>1050 EDWIN ELLIOTT DRIVE</t>
  </si>
  <si>
    <t>240 ARCENEAUX ROAD</t>
  </si>
  <si>
    <t>3700 HWY. 79 SOUTH</t>
  </si>
  <si>
    <t>5682 HWY. 107 SOUTH</t>
  </si>
  <si>
    <t>2907 EAST SCHAMBERS</t>
  </si>
  <si>
    <t>7534 HIGHWAY 1</t>
  </si>
  <si>
    <t>909 EAST 6TH AVENUE</t>
  </si>
  <si>
    <t>5976 HIGHWAY 65 NORTH</t>
  </si>
  <si>
    <t>1400 W MAGNOLIA</t>
  </si>
  <si>
    <t>2832 BURDETTE STREET</t>
  </si>
  <si>
    <t>7435 BISHOP OTT DRIVE</t>
  </si>
  <si>
    <t>1020 MANHATTAN BLVD</t>
  </si>
  <si>
    <t>418 ALBERTSON PARKWAY</t>
  </si>
  <si>
    <t>1408 SUMMERLIN LANE</t>
  </si>
  <si>
    <t>1524 DOCTORS DRIVE</t>
  </si>
  <si>
    <t>3300 WHITE STREET</t>
  </si>
  <si>
    <t>600 EAST FLOURNOY LUCAS ROAD</t>
  </si>
  <si>
    <t>1400 DAVENPORT AVENUE</t>
  </si>
  <si>
    <t>403 15TH STREET</t>
  </si>
  <si>
    <t>5100 JACKSON STREET EXT.</t>
  </si>
  <si>
    <t>475 HIGH HOPE ROAD</t>
  </si>
  <si>
    <t>1386 WEST TUNNEL BLVD.</t>
  </si>
  <si>
    <t>323 EVERGREEN HWY</t>
  </si>
  <si>
    <t>4921 MEDICAL DRIVE</t>
  </si>
  <si>
    <t>125 TURNER STREET</t>
  </si>
  <si>
    <t>306 SYDNEY MARTIN ROAD</t>
  </si>
  <si>
    <t>1610 EVANGELINE HIGHWAY</t>
  </si>
  <si>
    <t>32 NORTH 2ND STREET</t>
  </si>
  <si>
    <t>501 OLD COVINGTON HIGHWAY</t>
  </si>
  <si>
    <t>605 HILLTOP AVENUE</t>
  </si>
  <si>
    <t>122 HILLSDALE DRIVE</t>
  </si>
  <si>
    <t>5919 MAGAZINE STREET</t>
  </si>
  <si>
    <t>7605 LINE AVENUE</t>
  </si>
  <si>
    <t>6300 MAIN STREET</t>
  </si>
  <si>
    <t>2319 EAST MAIN STREET</t>
  </si>
  <si>
    <t>906 CHERRY STREET</t>
  </si>
  <si>
    <t>1820 FALSE RIVER ROAD</t>
  </si>
  <si>
    <t>8000 SUMMA AVENUE</t>
  </si>
  <si>
    <t>2550 KINGS HIGHWAY</t>
  </si>
  <si>
    <t>3130 ARTHUR RAY TEAGUE PARKWAY</t>
  </si>
  <si>
    <t>1301 HARRISON STREET</t>
  </si>
  <si>
    <t>4080 W AIRLINE HWY</t>
  </si>
  <si>
    <t>6700 HIGHWAY 165 NORTH</t>
  </si>
  <si>
    <t>4739 HIGHWAY 10</t>
  </si>
  <si>
    <t>2335 OAK PARK BLVD</t>
  </si>
  <si>
    <t>4201 WOODLAND DRIVE</t>
  </si>
  <si>
    <t>6900 CHEF MENTEUR HWY</t>
  </si>
  <si>
    <t>1005 ERASTE LANDRY ROAD</t>
  </si>
  <si>
    <t>103 W. MARTIAL AVENUE</t>
  </si>
  <si>
    <t>4100 NORTH BLVD</t>
  </si>
  <si>
    <t>1401 COUNTRY CLUB ROAD</t>
  </si>
  <si>
    <t>5131 MASONIC DRIVE</t>
  </si>
  <si>
    <t>50 UNION STREET</t>
  </si>
  <si>
    <t>194 E MAIN STREET</t>
  </si>
  <si>
    <t>630 OCEAN AVENUE</t>
  </si>
  <si>
    <t>1037 WEST MAIN STREET</t>
  </si>
  <si>
    <t>540 COLLEGE ST</t>
  </si>
  <si>
    <t>1145 BRIGHTON AVE</t>
  </si>
  <si>
    <t>35 JULY STREET</t>
  </si>
  <si>
    <t>PO BOX 410</t>
  </si>
  <si>
    <t>103 TEXAS AVE</t>
  </si>
  <si>
    <t>117 BENNOCH RD</t>
  </si>
  <si>
    <t>30 COMMUNITY DRIVE</t>
  </si>
  <si>
    <t>158-178 RUSSELL ST</t>
  </si>
  <si>
    <t>102 CAMPUS AVE</t>
  </si>
  <si>
    <t>37 GRAY BIRCH DRIVE</t>
  </si>
  <si>
    <t>23 CEDAR RIDGE DRIVE</t>
  </si>
  <si>
    <t>74 PARKWAY SOUTH</t>
  </si>
  <si>
    <t>440 MINOT AVE</t>
  </si>
  <si>
    <t>758 BROADWAY</t>
  </si>
  <si>
    <t>3 BRAZIER LANE</t>
  </si>
  <si>
    <t>70 FAIRVIEW DRIVE</t>
  </si>
  <si>
    <t>26 SCHOONER STREET</t>
  </si>
  <si>
    <t>300 SPRING ST</t>
  </si>
  <si>
    <t>119 LIVERMORE FALLS RD</t>
  </si>
  <si>
    <t>67 PINE POINT RD</t>
  </si>
  <si>
    <t>33 ROGER STREET</t>
  </si>
  <si>
    <t>186 PORTLAND ROAD</t>
  </si>
  <si>
    <t>850 BAXTER BOULEVARD</t>
  </si>
  <si>
    <t>587 NORTH DEER ISLE RD</t>
  </si>
  <si>
    <t>3 MARKET SQUARE</t>
  </si>
  <si>
    <t>188 EASTERN AVE</t>
  </si>
  <si>
    <t>51 WINSHIP ST</t>
  </si>
  <si>
    <t>370 PORTLAND ST</t>
  </si>
  <si>
    <t>PO BOX 520</t>
  </si>
  <si>
    <t>1142 MAIN ST</t>
  </si>
  <si>
    <t>93 MILITARY STREET</t>
  </si>
  <si>
    <t>29 MAURICE DRIVE</t>
  </si>
  <si>
    <t>47 ELM ST</t>
  </si>
  <si>
    <t>208 STATE STREET</t>
  </si>
  <si>
    <t>27 COOL ST</t>
  </si>
  <si>
    <t>3 EAST ST</t>
  </si>
  <si>
    <t>158 ROSS RD</t>
  </si>
  <si>
    <t>29 MARION AVE</t>
  </si>
  <si>
    <t>6 OLD COUNTY RD</t>
  </si>
  <si>
    <t>11 JOHN F KENNEDY LANE</t>
  </si>
  <si>
    <t>162 ACADEMY ST</t>
  </si>
  <si>
    <t>26 PLEASANT ST</t>
  </si>
  <si>
    <t>88 HARBOR DRIVE</t>
  </si>
  <si>
    <t>750 UNION ST</t>
  </si>
  <si>
    <t>516 MT HOPE AVENUE</t>
  </si>
  <si>
    <t>407 POOL ST</t>
  </si>
  <si>
    <t>16 BEAL STREET</t>
  </si>
  <si>
    <t>132 MAIN STREET</t>
  </si>
  <si>
    <t>191 FORESIDE RD</t>
  </si>
  <si>
    <t>36 WORKMAN TERRACE STREET</t>
  </si>
  <si>
    <t>517 RIVERVIEW ST</t>
  </si>
  <si>
    <t>64 PARK STREET</t>
  </si>
  <si>
    <t>335 STILLWATER AVE</t>
  </si>
  <si>
    <t>10 BERNADETTE ST</t>
  </si>
  <si>
    <t>3 MAIN STREET</t>
  </si>
  <si>
    <t>7 HIGHWOOD ST</t>
  </si>
  <si>
    <t>42 ANTHOINE ST</t>
  </si>
  <si>
    <t>2 FOOTBRIDGE RD</t>
  </si>
  <si>
    <t>42 BUCKSPORT RD</t>
  </si>
  <si>
    <t>6 WHITE STREET</t>
  </si>
  <si>
    <t>141 BETHEL ROAD</t>
  </si>
  <si>
    <t>310 CONY ROAD</t>
  </si>
  <si>
    <t>290 US RT 1</t>
  </si>
  <si>
    <t>174 MAIN ST</t>
  </si>
  <si>
    <t>PO BOX 228</t>
  </si>
  <si>
    <t>221 Fairbanks Rd</t>
  </si>
  <si>
    <t>9 LEWIS RD</t>
  </si>
  <si>
    <t>457 OLD LEWISTON RD</t>
  </si>
  <si>
    <t>1133 WASHINGTON AVE</t>
  </si>
  <si>
    <t>131 EDEN ST</t>
  </si>
  <si>
    <t>10 MAY ST</t>
  </si>
  <si>
    <t>200 ROUTE 115, PO BOX 760</t>
  </si>
  <si>
    <t>220 KENNEDY MEMORIAL DR</t>
  </si>
  <si>
    <t>40 GLENRIDGE DRIVE</t>
  </si>
  <si>
    <t>34 MARTIN LANE</t>
  </si>
  <si>
    <t>5 CROCKER STREET</t>
  </si>
  <si>
    <t>426 US ROUTE 1</t>
  </si>
  <si>
    <t>19 GENERAL MOORE WAY</t>
  </si>
  <si>
    <t>22 WALNUT STREET</t>
  </si>
  <si>
    <t>163 VAN BUREN RD SUITE 2</t>
  </si>
  <si>
    <t>59 WEST FRONT ST</t>
  </si>
  <si>
    <t>20 WEST MAIN STREET</t>
  </si>
  <si>
    <t>145 EMERY LANE</t>
  </si>
  <si>
    <t>22 NORTHBROOK DR</t>
  </si>
  <si>
    <t>328 NORTH ST</t>
  </si>
  <si>
    <t>58 BARIBEAU DRIVE</t>
  </si>
  <si>
    <t>43 OWENS ST</t>
  </si>
  <si>
    <t>50 NEW PORTLAND RD</t>
  </si>
  <si>
    <t>107 ORCHARD ST</t>
  </si>
  <si>
    <t>96 ROUTE 133</t>
  </si>
  <si>
    <t>11 OCEAN ST</t>
  </si>
  <si>
    <t>95 MAIN STREET</t>
  </si>
  <si>
    <t>25 BOLDUC AVE</t>
  </si>
  <si>
    <t>105 MECHANIC ST</t>
  </si>
  <si>
    <t>83 HOULTON ROAD</t>
  </si>
  <si>
    <t>477 HIGH ST</t>
  </si>
  <si>
    <t>44 HOGAN RD</t>
  </si>
  <si>
    <t>15 PIPER ROAD</t>
  </si>
  <si>
    <t>347 BALLENGER DRIVE</t>
  </si>
  <si>
    <t>900 VAN BUREN STREET</t>
  </si>
  <si>
    <t>P.O. BOX 2378 900 BOOTH ST</t>
  </si>
  <si>
    <t>610 DUTCHMAN'S LANE</t>
  </si>
  <si>
    <t>21585 PEABODY STREET</t>
  </si>
  <si>
    <t>901 ARCOLA AVENUE</t>
  </si>
  <si>
    <t>2101 FAIRLAND ROAD</t>
  </si>
  <si>
    <t>3332 MAIN STREET</t>
  </si>
  <si>
    <t>7420 MARLBORO PIKE</t>
  </si>
  <si>
    <t>4204 OLD MILFORD MILL ROAD</t>
  </si>
  <si>
    <t>6500 RIGGS ROAD</t>
  </si>
  <si>
    <t>4011 RANDOLPH ROAD</t>
  </si>
  <si>
    <t>1235 POTOMAC VALLEY ROAD</t>
  </si>
  <si>
    <t>8700 JONES MILL ROAD</t>
  </si>
  <si>
    <t>115 EAST MELROSE AVENUE</t>
  </si>
  <si>
    <t>2434 W. BELVEDERE AVENUE</t>
  </si>
  <si>
    <t>700 WEST 40TH STREET</t>
  </si>
  <si>
    <t>415 S. MARKET STREET</t>
  </si>
  <si>
    <t>3000 MCCOMAS AVENUE</t>
  </si>
  <si>
    <t>3320 BENSON AVENUE</t>
  </si>
  <si>
    <t>11901 GEORGIA AVENUE</t>
  </si>
  <si>
    <t>12325 NEW HAMPSHIRE AVENUE</t>
  </si>
  <si>
    <t>509 EAST JOPPA ROAD</t>
  </si>
  <si>
    <t>512 WINIFRED ROAD</t>
  </si>
  <si>
    <t>201 HALL HIGHWAY</t>
  </si>
  <si>
    <t>9101 SECOND AVENUE</t>
  </si>
  <si>
    <t>1801 METZEROTT ROAD</t>
  </si>
  <si>
    <t>2601 BEL PRE ROAD</t>
  </si>
  <si>
    <t>200 CIVIC AVENUE</t>
  </si>
  <si>
    <t>111 WEST ROAD</t>
  </si>
  <si>
    <t>6121 MONTROSE ROAD</t>
  </si>
  <si>
    <t>901 SETON DRIVE EXTENSION</t>
  </si>
  <si>
    <t>6000 BELLONA AVENUE</t>
  </si>
  <si>
    <t>7001 CHARLES STREET</t>
  </si>
  <si>
    <t>1801 WENTWORTH ROAD</t>
  </si>
  <si>
    <t>7 SUDBROOK LANE</t>
  </si>
  <si>
    <t>520 KERR AVENUE</t>
  </si>
  <si>
    <t>9109 LIBERTY ROAD</t>
  </si>
  <si>
    <t>3330 WILKENS AVENUE</t>
  </si>
  <si>
    <t>613 HAMMONDS LANE</t>
  </si>
  <si>
    <t>8720 EMGE ROAD</t>
  </si>
  <si>
    <t>299 HURLEY AVENUE</t>
  </si>
  <si>
    <t>1234 WASHINGTON BOULEVARD</t>
  </si>
  <si>
    <t>6530 DEMOCRACY BOULEVARD</t>
  </si>
  <si>
    <t>7700 YORK ROAD</t>
  </si>
  <si>
    <t>16 FUSTING AVENUE</t>
  </si>
  <si>
    <t>301 RUSSELL AVENUE</t>
  </si>
  <si>
    <t>1920 ROSEMONT AVENUE</t>
  </si>
  <si>
    <t>10200 LAPLATA ROAD</t>
  </si>
  <si>
    <t>303 ADCLARE ROAD</t>
  </si>
  <si>
    <t>6710 MALLERY DRIVE</t>
  </si>
  <si>
    <t>6600 RIDGE ROAD</t>
  </si>
  <si>
    <t>1500 PENNSYLVANIA AVENUE</t>
  </si>
  <si>
    <t>100 LAUREL DRIVE</t>
  </si>
  <si>
    <t>6334 CEDAR LANE</t>
  </si>
  <si>
    <t>1183 LUTHER DRIVE</t>
  </si>
  <si>
    <t>205 ARMSTRONG AVENUE P.O. BOX 50</t>
  </si>
  <si>
    <t>ONE KAYLOR CIRCLE   RT36 &amp; RT40</t>
  </si>
  <si>
    <t>2300 DULANEY VALLEY RD</t>
  </si>
  <si>
    <t>5412 OLD COURT ROAD</t>
  </si>
  <si>
    <t>2131 DAVIDSONVILLE ROAD</t>
  </si>
  <si>
    <t>430 WEST MARKET STREET</t>
  </si>
  <si>
    <t>13801 YORK ROAD</t>
  </si>
  <si>
    <t>9701 VEIRS DRIVE</t>
  </si>
  <si>
    <t>9715 HEALTHWAY DRIVE,  PO BOX 799</t>
  </si>
  <si>
    <t>7920 SCOTTS LEVEL ROAD</t>
  </si>
  <si>
    <t>8710 EMGE ROAD</t>
  </si>
  <si>
    <t>7200 THIRD AVENUE</t>
  </si>
  <si>
    <t>P.O. BOX 2018</t>
  </si>
  <si>
    <t>200 ST. LUKE'S CIRCLE</t>
  </si>
  <si>
    <t>1006 MARKET STREET</t>
  </si>
  <si>
    <t>7232 GERMAN HILL ROAD</t>
  </si>
  <si>
    <t>7309 SECOND AVENUE</t>
  </si>
  <si>
    <t>501 DUTCHMAN'S LANE</t>
  </si>
  <si>
    <t>7575 E. HOWARD ROAD</t>
  </si>
  <si>
    <t>14200 LAUREL PARK DRIVE</t>
  </si>
  <si>
    <t>21412 GREAT MILLS ROAD</t>
  </si>
  <si>
    <t>310 GENESIS WAY</t>
  </si>
  <si>
    <t>141 SOUTH MAIN STREET</t>
  </si>
  <si>
    <t>4922 LASALLE ROAD</t>
  </si>
  <si>
    <t>12021 LIVINGSTON ROAD</t>
  </si>
  <si>
    <t>1046 OLD NORTH POINT ROAD</t>
  </si>
  <si>
    <t>1221 WAUGH CHAPEL ROAD</t>
  </si>
  <si>
    <t>420 COLONIAL DR</t>
  </si>
  <si>
    <t>1 MAGNOLIA DRIVE</t>
  </si>
  <si>
    <t>830 W 40 STREET</t>
  </si>
  <si>
    <t>3000 NORTH RIDGE RD.</t>
  </si>
  <si>
    <t>29449 CHARLOTTE HALL ROAD</t>
  </si>
  <si>
    <t>9701 MEDICAL CENTER DRIVE</t>
  </si>
  <si>
    <t>7520 SURRATTS ROAD</t>
  </si>
  <si>
    <t>3227 BEL PRE ROAD</t>
  </si>
  <si>
    <t>10714 POTOMAC TENNIS LANE</t>
  </si>
  <si>
    <t>4000 RIVER CRESCENT DRIVE</t>
  </si>
  <si>
    <t>1300 S. ELLWOOD AVENUE</t>
  </si>
  <si>
    <t>9001 CHERRY LANE</t>
  </si>
  <si>
    <t>711 ACADEMY ROAD</t>
  </si>
  <si>
    <t>11974 EDGEHILL TERRACE</t>
  </si>
  <si>
    <t>10450 LOTTSFORD ROAD</t>
  </si>
  <si>
    <t>1300 WINDLASS DRIVE</t>
  </si>
  <si>
    <t>1217 WEST FAYETTE STREET</t>
  </si>
  <si>
    <t>30 NORTH PLACE</t>
  </si>
  <si>
    <t>305 COLLEGE PARKWAY</t>
  </si>
  <si>
    <t>5721 GROSVENOR LANE</t>
  </si>
  <si>
    <t>85 HOSPITAL ROAD</t>
  </si>
  <si>
    <t>1881 TELEGRAPH ROAD</t>
  </si>
  <si>
    <t>520 GLENBURN AVENUE</t>
  </si>
  <si>
    <t>12020 REISTERSTOWN ROAD</t>
  </si>
  <si>
    <t>6811 CAMPFIELD ROAD</t>
  </si>
  <si>
    <t>109 FOREST VALLEY DRIVE</t>
  </si>
  <si>
    <t>4017 LIBERTY HEIGHTS AVE.</t>
  </si>
  <si>
    <t>2015 EAST-WEST HIGHWAY</t>
  </si>
  <si>
    <t>154 N. ARTIZAN STREET</t>
  </si>
  <si>
    <t>6012 JEFFERSON BLVD</t>
  </si>
  <si>
    <t>18131 SLADE SCHOOL ROAD</t>
  </si>
  <si>
    <t>1 EASTERN BOULEVARD</t>
  </si>
  <si>
    <t>531 STEVENSON LANE</t>
  </si>
  <si>
    <t>4800 SETON DRIVE</t>
  </si>
  <si>
    <t>6116 BELAIR ROAD</t>
  </si>
  <si>
    <t>17340 QUAKER LANE</t>
  </si>
  <si>
    <t>3210 POWDER MILL ROAD</t>
  </si>
  <si>
    <t>2095 ROCKROSE AVENUE</t>
  </si>
  <si>
    <t>1113 MARY DRIVE</t>
  </si>
  <si>
    <t>200 EAST 16TH STREET</t>
  </si>
  <si>
    <t>22 SOUTH ATHOL AVENUE</t>
  </si>
  <si>
    <t>4511 ROBOSSON ROAD</t>
  </si>
  <si>
    <t>525 GLENBURN AVENUE</t>
  </si>
  <si>
    <t>709 MAIDEN CHOICE LANE</t>
  </si>
  <si>
    <t>2501 MUSGROVE ROAD</t>
  </si>
  <si>
    <t>16505 VIRGINIA AVENUE</t>
  </si>
  <si>
    <t>515 BRIGHTFIELD ROAD</t>
  </si>
  <si>
    <t>5743 EDMONDSON AVENUE</t>
  </si>
  <si>
    <t>1000 DALEVIEW DRIVE</t>
  </si>
  <si>
    <t>725 MOUNT WILSON LANE</t>
  </si>
  <si>
    <t>730 FURNACE STREET</t>
  </si>
  <si>
    <t>9211 STUART LANE</t>
  </si>
  <si>
    <t>706 EAST ALDER STREET</t>
  </si>
  <si>
    <t>1123 BELCAMP RD</t>
  </si>
  <si>
    <t>5215 CEDAR LANE</t>
  </si>
  <si>
    <t>501 CAMPUS AVENUE</t>
  </si>
  <si>
    <t>1454 FAIRFIELD LOOP ROAD</t>
  </si>
  <si>
    <t>25701 SHADY LANE S. W.</t>
  </si>
  <si>
    <t>1601 E. BELVEDERE AVENUE</t>
  </si>
  <si>
    <t>10301 NORTH EAST CHRISTIE ROAD</t>
  </si>
  <si>
    <t>7407  WILLOW ROAD</t>
  </si>
  <si>
    <t>3701 INTERNATIONAL DRIVE</t>
  </si>
  <si>
    <t>1442 BUCKHORN ROAD</t>
  </si>
  <si>
    <t>2700 N. CHARLES ST.</t>
  </si>
  <si>
    <t>891 DORSEY HOTEL ROAD</t>
  </si>
  <si>
    <t>701 EDMONDSON AVENUE</t>
  </si>
  <si>
    <t>4700 HARFORD ROAD</t>
  </si>
  <si>
    <t>1055 WEST JOPPA ROAD</t>
  </si>
  <si>
    <t>14014 MARSH PIKE</t>
  </si>
  <si>
    <t>35 MILKSHAKE LANE</t>
  </si>
  <si>
    <t>615 CHESTNUT AVE</t>
  </si>
  <si>
    <t>415 MORGNEC ROAD</t>
  </si>
  <si>
    <t>9200 FRANKLIN SQUARE DRIVE</t>
  </si>
  <si>
    <t>200 MORGNEC ROAD</t>
  </si>
  <si>
    <t>15005 HEALTH CENTER DRIVE</t>
  </si>
  <si>
    <t>710 OBRECHT ROAD</t>
  </si>
  <si>
    <t>7355 FURNACE BRANCH ROAD EAST</t>
  </si>
  <si>
    <t>331 SOUTH SETON AVENUE</t>
  </si>
  <si>
    <t>4101 OLD NATIONAL PIKE</t>
  </si>
  <si>
    <t>ONE PRICE DRIVE</t>
  </si>
  <si>
    <t>13325 DOWELL RD, P.O. BOX 1509</t>
  </si>
  <si>
    <t>1000 N. GILMORE STREET</t>
  </si>
  <si>
    <t>19301 WATKINS MILL ROAD</t>
  </si>
  <si>
    <t>4140 OLD WASHINGTON HIGHWAY</t>
  </si>
  <si>
    <t>48 TARN TERRACE</t>
  </si>
  <si>
    <t>11630 GLEN ARM ROAD</t>
  </si>
  <si>
    <t>5601 LOCH RAVEN BOULEVARD</t>
  </si>
  <si>
    <t>301 ST. PAUL PLACE</t>
  </si>
  <si>
    <t>9707 OLD GEORGETOWN ROAD</t>
  </si>
  <si>
    <t>100 HOSPITAL ROAD</t>
  </si>
  <si>
    <t>5401 OLD COURT ROAD</t>
  </si>
  <si>
    <t>6806 BELLONA AVENUE</t>
  </si>
  <si>
    <t>144 WASHINGTON ROAD</t>
  </si>
  <si>
    <t>10 N. ROCK GLEN ROAD</t>
  </si>
  <si>
    <t>6401 N. CHARLES STREET</t>
  </si>
  <si>
    <t>4669 FALLS ROAD</t>
  </si>
  <si>
    <t>11750 ASBURY CIRCLE</t>
  </si>
  <si>
    <t>57 JACKSON STREET</t>
  </si>
  <si>
    <t>8800 WALTHER BOULEVARD</t>
  </si>
  <si>
    <t>251 NORTH FOURTH STREET</t>
  </si>
  <si>
    <t>410 EAST MCPHAIL ROAD</t>
  </si>
  <si>
    <t>56 WEST FREDERICK STREET</t>
  </si>
  <si>
    <t>6701 NORTH CHARLES STREET</t>
  </si>
  <si>
    <t>3415 GREENCASTLE ROAD</t>
  </si>
  <si>
    <t>313 HOSPITAL DRIVE</t>
  </si>
  <si>
    <t>5550 TUCKERMAN LANE</t>
  </si>
  <si>
    <t>333 MILL STREET</t>
  </si>
  <si>
    <t>4409 EAST WEST HIGHWAY</t>
  </si>
  <si>
    <t>2327 N. CHARLES ST</t>
  </si>
  <si>
    <t>2700 SOUTH HAVEN ROAD</t>
  </si>
  <si>
    <t>1502  FREDERICK ROAD</t>
  </si>
  <si>
    <t>7525 CARROLL AVENUE</t>
  </si>
  <si>
    <t>9106 PINEVIEW LANE</t>
  </si>
  <si>
    <t>3200 BAKER CIRCLE</t>
  </si>
  <si>
    <t>5009 FRANKFORD AVENUE</t>
  </si>
  <si>
    <t>600 LARGO ROAD</t>
  </si>
  <si>
    <t>705 MIDWAY AVENUE</t>
  </si>
  <si>
    <t>750 DUAL HIGHWAY</t>
  </si>
  <si>
    <t>8507 MAPLEVILLE ROAD</t>
  </si>
  <si>
    <t>2700 BARKER STREET</t>
  </si>
  <si>
    <t>105 TIMES SQUARE</t>
  </si>
  <si>
    <t>2525 WEST BELVEDERE</t>
  </si>
  <si>
    <t>1909 EMORTON ROAD</t>
  </si>
  <si>
    <t>3160 GRACEFIELD ROAD</t>
  </si>
  <si>
    <t>5400 VANTAGE POINT RD.</t>
  </si>
  <si>
    <t>7101 BAY FRONT DRIVE</t>
  </si>
  <si>
    <t>4601 PALL MALL ROAD</t>
  </si>
  <si>
    <t>1525 NORTH ROLLING ROAD</t>
  </si>
  <si>
    <t>100 ANTRIM BLVD</t>
  </si>
  <si>
    <t>3939 PENHURST AVENUE</t>
  </si>
  <si>
    <t>3800 LOTTSFORD VISTA ROAD</t>
  </si>
  <si>
    <t>12230 ROUND WOOD ROAD</t>
  </si>
  <si>
    <t>1304 PENNSYLVANIA AVE</t>
  </si>
  <si>
    <t>701 KING FARM BOULEVARD</t>
  </si>
  <si>
    <t>601 MAIDEN CHOICE LANE</t>
  </si>
  <si>
    <t>11150 RESORT ROAD</t>
  </si>
  <si>
    <t>1010 EAST 33RD STREET</t>
  </si>
  <si>
    <t>7615 WASHINGTON BOULEVARD</t>
  </si>
  <si>
    <t>7503 SURRATTS ROAD</t>
  </si>
  <si>
    <t>1501 BLENHEIM FARM LANE</t>
  </si>
  <si>
    <t>2801 RAYNER AVENUE</t>
  </si>
  <si>
    <t>300 INTERNATIONAL CIRCLE</t>
  </si>
  <si>
    <t>4615 EINSTEIN PLACE</t>
  </si>
  <si>
    <t>57 PROSPECT STREET</t>
  </si>
  <si>
    <t>32 MAYO ROAD</t>
  </si>
  <si>
    <t>15 GREEN STREET</t>
  </si>
  <si>
    <t>383 MILL STREET</t>
  </si>
  <si>
    <t>1245 CENTRE STREET</t>
  </si>
  <si>
    <t>87 BRIARWOOD CIRCLE</t>
  </si>
  <si>
    <t>34 NORTH PEARL STREET</t>
  </si>
  <si>
    <t>370 WEST STREET</t>
  </si>
  <si>
    <t>770 CONVERSE STREET</t>
  </si>
  <si>
    <t>96 FOREST STREET</t>
  </si>
  <si>
    <t>30 WATERTOWN STREET</t>
  </si>
  <si>
    <t>184 MANSFIELD AVENUE</t>
  </si>
  <si>
    <t>233 MIDDLE STREET</t>
  </si>
  <si>
    <t>95 COMMERCIAL STREET</t>
  </si>
  <si>
    <t>125 BROAD STREET</t>
  </si>
  <si>
    <t>121 NORTHBORO ROAD</t>
  </si>
  <si>
    <t>146 DEAN STREET</t>
  </si>
  <si>
    <t>DEACONESS ROAD</t>
  </si>
  <si>
    <t>184 MAIN STREET</t>
  </si>
  <si>
    <t>75 BRIMBAL AVENUE</t>
  </si>
  <si>
    <t>259 NORWOOD STREET</t>
  </si>
  <si>
    <t>76 NORTH STREET</t>
  </si>
  <si>
    <t>266 LINCOLN AVENUE</t>
  </si>
  <si>
    <t>1 CHIEF JUSTICE CUSHING HIGHWAY</t>
  </si>
  <si>
    <t>172 LAWRENCE STREET</t>
  </si>
  <si>
    <t>745 TRUMAN HIGHWAY</t>
  </si>
  <si>
    <t>785 MAIN STREET</t>
  </si>
  <si>
    <t>629 SALISBURY STREET</t>
  </si>
  <si>
    <t>65 COOPER STREET</t>
  </si>
  <si>
    <t>485 FRANKLIN STREET</t>
  </si>
  <si>
    <t>56 WEBSTER STREET</t>
  </si>
  <si>
    <t>2045 GRAND ARMY HIGHWAY</t>
  </si>
  <si>
    <t>1561 COLD SPRING ROAD</t>
  </si>
  <si>
    <t>ONE GREAT ROAD</t>
  </si>
  <si>
    <t>495 NEW BOSTON ROAD</t>
  </si>
  <si>
    <t>59 EASTWOOD CIRCLE</t>
  </si>
  <si>
    <t>63 LOCUST STREET</t>
  </si>
  <si>
    <t>119 PROVIDENCE STREET</t>
  </si>
  <si>
    <t>135 SOUTH HUNTINGTON AVENUE</t>
  </si>
  <si>
    <t>123 SOUTH STREET</t>
  </si>
  <si>
    <t>305 WALPOLE STREET</t>
  </si>
  <si>
    <t>1675 NORTH MAIN STREET</t>
  </si>
  <si>
    <t>135 ELLIS AVENUE</t>
  </si>
  <si>
    <t>840 EMERSON GARDENS ROAD</t>
  </si>
  <si>
    <t>115 NORTH AVENUE</t>
  </si>
  <si>
    <t>1199 JOHN FITCH HWY</t>
  </si>
  <si>
    <t>689 MAIN STREET</t>
  </si>
  <si>
    <t>59 ACTON STREET</t>
  </si>
  <si>
    <t>2 BEAUMONT AVENUE</t>
  </si>
  <si>
    <t>694 WORCESTER RD</t>
  </si>
  <si>
    <t>56 LIBERTY STREET</t>
  </si>
  <si>
    <t>19 VARNUM STREET</t>
  </si>
  <si>
    <t>184 LINCOLN STREET</t>
  </si>
  <si>
    <t>94 SUMMER STREET</t>
  </si>
  <si>
    <t>6 MORRILL PLACE</t>
  </si>
  <si>
    <t>148 MAPLE AVENUE</t>
  </si>
  <si>
    <t>282 CABOT STREET</t>
  </si>
  <si>
    <t>567 DARTMOUTH STREET</t>
  </si>
  <si>
    <t>260 EASTHAMPTON ROAD</t>
  </si>
  <si>
    <t>27 GEORGE STREET</t>
  </si>
  <si>
    <t>8 COLONIAL DRIVE</t>
  </si>
  <si>
    <t>DOVE AVENUE</t>
  </si>
  <si>
    <t>85 BEAUMONT DRIVE</t>
  </si>
  <si>
    <t>11 ST ANTHONY STREET</t>
  </si>
  <si>
    <t>CHRISTIAN HILL ROAD</t>
  </si>
  <si>
    <t>61 COOPER ST</t>
  </si>
  <si>
    <t>50 RECREATION PARK DRIVE</t>
  </si>
  <si>
    <t>546 CHICOPEE STREET</t>
  </si>
  <si>
    <t>548 ELM STREET</t>
  </si>
  <si>
    <t>804 PLEASANT STREET</t>
  </si>
  <si>
    <t>20 CLAFLIN STREET</t>
  </si>
  <si>
    <t>42 PROSPECT AVENUE</t>
  </si>
  <si>
    <t>11 MCGRATH HIGHWAY</t>
  </si>
  <si>
    <t>397 COUNTY STREET</t>
  </si>
  <si>
    <t>34 MAIN STREET</t>
  </si>
  <si>
    <t>125 OAKLAND STREET</t>
  </si>
  <si>
    <t>193-195 PLEASANT STREET</t>
  </si>
  <si>
    <t>2101 WASHINGTON STREET</t>
  </si>
  <si>
    <t>298 JARVIS AVENUE</t>
  </si>
  <si>
    <t>265 ESSEX STREET</t>
  </si>
  <si>
    <t>HALE &amp; LOW STREETS</t>
  </si>
  <si>
    <t>ENTER 11 NORTH STREET</t>
  </si>
  <si>
    <t>100 OLD BILLERICA ROAD</t>
  </si>
  <si>
    <t>1200 BRUSH HILL ROAD</t>
  </si>
  <si>
    <t>3 LYMAN STREET</t>
  </si>
  <si>
    <t>308 KINGSTOWN WAY</t>
  </si>
  <si>
    <t>865 CENTRAL AVENUE</t>
  </si>
  <si>
    <t>309 DRIFTWAY BOX 830</t>
  </si>
  <si>
    <t>745 SCHOOL STREET</t>
  </si>
  <si>
    <t>19 OBERY STREET</t>
  </si>
  <si>
    <t>464 MAIN STREET P O BOX 348</t>
  </si>
  <si>
    <t>841 MERRIMACK ST</t>
  </si>
  <si>
    <t>178 LOWELL STREET</t>
  </si>
  <si>
    <t>126 MONUMENT STREET</t>
  </si>
  <si>
    <t>200 KENDALL STREET</t>
  </si>
  <si>
    <t>84 CHAPIN STREET</t>
  </si>
  <si>
    <t>89 MORTON STREET</t>
  </si>
  <si>
    <t>9 MAPLE STREET</t>
  </si>
  <si>
    <t>821 DANIEL SHAYS HIGHWAY</t>
  </si>
  <si>
    <t>204 PROCTOR AVENUE</t>
  </si>
  <si>
    <t>1010 VARNUM AVENUE</t>
  </si>
  <si>
    <t>135 BENTON DRIVE</t>
  </si>
  <si>
    <t>289 ELM STREET</t>
  </si>
  <si>
    <t>32 CHESTNUT STREET</t>
  </si>
  <si>
    <t>130 COLRAIN ROAD</t>
  </si>
  <si>
    <t>39 QUEEN STREET</t>
  </si>
  <si>
    <t>1000 NORTH STREET</t>
  </si>
  <si>
    <t>87 HERRICK STREET</t>
  </si>
  <si>
    <t>447 HILL STREET</t>
  </si>
  <si>
    <t>66 BROAD STREET</t>
  </si>
  <si>
    <t>4586 ACUSHNET AVENUE</t>
  </si>
  <si>
    <t>335 NICHOLS ROAD</t>
  </si>
  <si>
    <t>538 ROBESON STREET</t>
  </si>
  <si>
    <t>22 MAPLE STREET</t>
  </si>
  <si>
    <t>1650 WASHINGTON STREET</t>
  </si>
  <si>
    <t>1 LOVE LANE</t>
  </si>
  <si>
    <t>1007 EAST STREET</t>
  </si>
  <si>
    <t>66 CENTRAL STREET</t>
  </si>
  <si>
    <t>199 ANDOVER STREET</t>
  </si>
  <si>
    <t>25 ARMORY STREET</t>
  </si>
  <si>
    <t>400 BOLTON STREET</t>
  </si>
  <si>
    <t>4525 ACUSHNET AVENUE</t>
  </si>
  <si>
    <t>40 MARTIN STREET</t>
  </si>
  <si>
    <t>390 ORLEANS ROAD</t>
  </si>
  <si>
    <t>305 MAPLE STREET</t>
  </si>
  <si>
    <t>180 LOW STREET</t>
  </si>
  <si>
    <t>480 JACKSON STREET</t>
  </si>
  <si>
    <t>76 NORTH MAIN STREET</t>
  </si>
  <si>
    <t>95 LAUREL STREET</t>
  </si>
  <si>
    <t>37 ROUTE 6A</t>
  </si>
  <si>
    <t>120 S MAIN STREET</t>
  </si>
  <si>
    <t>300 WINTHROP STREET</t>
  </si>
  <si>
    <t>25 ADAMS ROAD</t>
  </si>
  <si>
    <t>175 FRANKLIN STREET</t>
  </si>
  <si>
    <t>460 WASHINGTON STREET</t>
  </si>
  <si>
    <t>28 ESSEX STREET</t>
  </si>
  <si>
    <t>146 MAC ARTHUR BOULEVARD</t>
  </si>
  <si>
    <t>265 N MAIN ST</t>
  </si>
  <si>
    <t>279 CABOT STREET</t>
  </si>
  <si>
    <t>44 KEYSTONE DRIVE</t>
  </si>
  <si>
    <t>49 THOMAS PATTEN DRIVE</t>
  </si>
  <si>
    <t>223 SWANTON STREET</t>
  </si>
  <si>
    <t>359 HIGH STREET</t>
  </si>
  <si>
    <t>47 EAST MAIN STREET</t>
  </si>
  <si>
    <t>349 HAYDENVILLE ROAD</t>
  </si>
  <si>
    <t>863 HATHAWAY ROAD</t>
  </si>
  <si>
    <t>1010 WALTHAM STREET</t>
  </si>
  <si>
    <t>184 TER HEUN DRIVE</t>
  </si>
  <si>
    <t>73 CHESTNUT STREET</t>
  </si>
  <si>
    <t>579 BUCK ISLAND ROAD</t>
  </si>
  <si>
    <t>113 CENTRAL AVEUNE</t>
  </si>
  <si>
    <t>150 WATER STREET</t>
  </si>
  <si>
    <t>640 CONCORD AVENUE</t>
  </si>
  <si>
    <t>26 HARVARD STREET</t>
  </si>
  <si>
    <t>60 EAST SILVER STREET</t>
  </si>
  <si>
    <t>888 NORTH MAIN STREET</t>
  </si>
  <si>
    <t>37 FEEDING HILLS ROAD</t>
  </si>
  <si>
    <t>10 MARY SCANO DRIVE</t>
  </si>
  <si>
    <t>255 LEBANON AVENUE</t>
  </si>
  <si>
    <t>389 ALDEN ROAD</t>
  </si>
  <si>
    <t>51 HOSPITAL ROAD</t>
  </si>
  <si>
    <t>359 SUMMER STREET</t>
  </si>
  <si>
    <t>1350 MAIN STREET</t>
  </si>
  <si>
    <t>215 BICENTENNIAL HIGHWAY</t>
  </si>
  <si>
    <t>18 FRANCES STREET</t>
  </si>
  <si>
    <t>751 SCHOOL STREET</t>
  </si>
  <si>
    <t>39 LAFAYETTE STREET</t>
  </si>
  <si>
    <t>ONE BATHOL STREET</t>
  </si>
  <si>
    <t>87 SHATTUCK STREET</t>
  </si>
  <si>
    <t>500 WILBUR AVENUE</t>
  </si>
  <si>
    <t>112 WEST MAIN STREET</t>
  </si>
  <si>
    <t>190 NORTH AVENUE</t>
  </si>
  <si>
    <t>57 LONG POINT ROAD, BOX 1237</t>
  </si>
  <si>
    <t>66 NEWTON STREET</t>
  </si>
  <si>
    <t>TEN INGALLS COURT</t>
  </si>
  <si>
    <t>25 LAFAYETTE STREET</t>
  </si>
  <si>
    <t>115 HOLLISTON STREET</t>
  </si>
  <si>
    <t>111 ORIENT AVENUE</t>
  </si>
  <si>
    <t>215 THATCHER STREET</t>
  </si>
  <si>
    <t>130 DORCHESTER AVENUE</t>
  </si>
  <si>
    <t>431 POND STREET</t>
  </si>
  <si>
    <t>601 SHERMAN STREET</t>
  </si>
  <si>
    <t>34 AGASSIZ AVENUE</t>
  </si>
  <si>
    <t>150 UNIVERSITY DRIVE</t>
  </si>
  <si>
    <t>400 GROTON ROAD</t>
  </si>
  <si>
    <t>670 COUNTY STREET</t>
  </si>
  <si>
    <t>59 COOLIDGE HILL ROAD</t>
  </si>
  <si>
    <t>873 HARWICH ROAD</t>
  </si>
  <si>
    <t>5 REDLANDS ROAD</t>
  </si>
  <si>
    <t>863 CENTRAL STREET</t>
  </si>
  <si>
    <t>1364 MAIN STREET</t>
  </si>
  <si>
    <t>133 SALEM STREET</t>
  </si>
  <si>
    <t>184 SWANTON STREET</t>
  </si>
  <si>
    <t>2049 DORCHESTER AVENUE</t>
  </si>
  <si>
    <t>277 WASHINGTON STREET</t>
  </si>
  <si>
    <t>337 NEPONSET AVENUE</t>
  </si>
  <si>
    <t>150 LINCOLN STREET</t>
  </si>
  <si>
    <t>101 PLANTATION STREET</t>
  </si>
  <si>
    <t>104 RANDOLPH ROAD</t>
  </si>
  <si>
    <t>45 WOBURN STREET</t>
  </si>
  <si>
    <t>555 SOUTH UNION STREET</t>
  </si>
  <si>
    <t>116 HOUGHTON STREET</t>
  </si>
  <si>
    <t>1044 PARK STREET</t>
  </si>
  <si>
    <t>1102 WASHINGTON STREET</t>
  </si>
  <si>
    <t>2446 HIGHLAND AVENUE</t>
  </si>
  <si>
    <t>14 KIRKBRIDE DRIVE</t>
  </si>
  <si>
    <t>17 LAFAYETTE AVENUE</t>
  </si>
  <si>
    <t>18 DANA HILL ROAD</t>
  </si>
  <si>
    <t>273 OAK GROVE AVENUE</t>
  </si>
  <si>
    <t>265 MAIN STREET</t>
  </si>
  <si>
    <t>44 SOUTH STREET</t>
  </si>
  <si>
    <t>476 VARNUM AVENUE</t>
  </si>
  <si>
    <t>545 MAIN STREET</t>
  </si>
  <si>
    <t>130 CHESTNUT STREET</t>
  </si>
  <si>
    <t>COUNTRYSIDE DRIVE</t>
  </si>
  <si>
    <t>272 WASHINGTON STREET</t>
  </si>
  <si>
    <t>1123 ROCKDALE AVENUE</t>
  </si>
  <si>
    <t>222 RIVER ROAD</t>
  </si>
  <si>
    <t>25 ORIOL DRIVE</t>
  </si>
  <si>
    <t>174 FOREST HILLS STREET</t>
  </si>
  <si>
    <t>186 HIGHLAND AVENUE</t>
  </si>
  <si>
    <t>271 NAHANT ROAD</t>
  </si>
  <si>
    <t>240 LYNNFIELD STREET</t>
  </si>
  <si>
    <t>68 DEAN STREET - REAR</t>
  </si>
  <si>
    <t>85 NORTH WASHINGTON STREET</t>
  </si>
  <si>
    <t>90 TAUNTON STREET</t>
  </si>
  <si>
    <t>33 SUMMER STREET</t>
  </si>
  <si>
    <t>134 NORTH STREET</t>
  </si>
  <si>
    <t>35 HOLY FAMILY ROAD</t>
  </si>
  <si>
    <t>200 HAWTHORN STREET</t>
  </si>
  <si>
    <t>329 WASHINGTON STREET</t>
  </si>
  <si>
    <t>11 PONTIAC AVENUE</t>
  </si>
  <si>
    <t>71 CENTER STREET</t>
  </si>
  <si>
    <t>10 BELLAMY STREET</t>
  </si>
  <si>
    <t>605 MAIN STREET</t>
  </si>
  <si>
    <t>500 WENTWORTH AVENUE</t>
  </si>
  <si>
    <t>3 PINE STREET</t>
  </si>
  <si>
    <t>40 JULIO DRIVE</t>
  </si>
  <si>
    <t>81 CHATHAM STREET</t>
  </si>
  <si>
    <t>321 CENTRE STREET</t>
  </si>
  <si>
    <t>254 BILLERICA ROAD</t>
  </si>
  <si>
    <t>320 MAPLE AVENUE</t>
  </si>
  <si>
    <t>1190 VFW PARKWAY</t>
  </si>
  <si>
    <t>5060 WASHINGTON STREET</t>
  </si>
  <si>
    <t>35 FRUIT STREET</t>
  </si>
  <si>
    <t>75 NORUMBEGA ROAD</t>
  </si>
  <si>
    <t>876 FALMOUTH ROAD</t>
  </si>
  <si>
    <t>750 WOBURN STREET</t>
  </si>
  <si>
    <t>800 ESSEX STREET</t>
  </si>
  <si>
    <t>70 FULTON STREET</t>
  </si>
  <si>
    <t>40 PARKHURST ROAD</t>
  </si>
  <si>
    <t>99 PARK STREET</t>
  </si>
  <si>
    <t>140 PRESCOTT STREET</t>
  </si>
  <si>
    <t>30 PRINCETON BOULEVARD</t>
  </si>
  <si>
    <t>50 INDIAN NECK ROAD</t>
  </si>
  <si>
    <t>238 WEST MAIN STREET</t>
  </si>
  <si>
    <t>288 WASHINGTON STREET</t>
  </si>
  <si>
    <t>981 VARNUM AVENUE</t>
  </si>
  <si>
    <t>168 WEST CENTRAL STREET</t>
  </si>
  <si>
    <t>15 MILL STREET</t>
  </si>
  <si>
    <t>8 DANA STREET</t>
  </si>
  <si>
    <t>211 FRANKLIN STREET</t>
  </si>
  <si>
    <t>120 MURRAY STREET</t>
  </si>
  <si>
    <t>111 HEADWATERS DRIVE</t>
  </si>
  <si>
    <t>340 MOTAGUE CITY ROAD</t>
  </si>
  <si>
    <t>30 LONGWOOD DRIVE</t>
  </si>
  <si>
    <t>111 BIRCH STREET</t>
  </si>
  <si>
    <t>1801 TURNPIKE STREET</t>
  </si>
  <si>
    <t>642 BOSTON POST ROAD</t>
  </si>
  <si>
    <t>405 RIVER STREET</t>
  </si>
  <si>
    <t>32 HOSPITAL HILL ROAD</t>
  </si>
  <si>
    <t>97 BETHANY ROAD</t>
  </si>
  <si>
    <t>160 MAIN STREET</t>
  </si>
  <si>
    <t>259 BALDWIN STREET</t>
  </si>
  <si>
    <t>8 LEWIS POINT ROAD</t>
  </si>
  <si>
    <t>44 NEW LOMBARD ROAD</t>
  </si>
  <si>
    <t>2222 CENTRE STREET</t>
  </si>
  <si>
    <t>342 WINTER STREET</t>
  </si>
  <si>
    <t>2399 BOSTON ROAD</t>
  </si>
  <si>
    <t>17 CHIPMAN WAY</t>
  </si>
  <si>
    <t>200 GOVERNORS AVENUE</t>
  </si>
  <si>
    <t>80 BOSTON ROAD</t>
  </si>
  <si>
    <t>299 WAREHAM STREET PO BOX 390</t>
  </si>
  <si>
    <t>10 ERLIN TERRACE</t>
  </si>
  <si>
    <t>77 HIGH STREET</t>
  </si>
  <si>
    <t>20 KINMONTH ROAD</t>
  </si>
  <si>
    <t>45 UNION STREET</t>
  </si>
  <si>
    <t>36 LOWER WESTFIELD ROAD</t>
  </si>
  <si>
    <t>255 CENTRAL AVENUE</t>
  </si>
  <si>
    <t>80 ANDOVER STREET</t>
  </si>
  <si>
    <t>10 VETERANS MEMORIAL DRIVE</t>
  </si>
  <si>
    <t>969 PARK STREET</t>
  </si>
  <si>
    <t>292 WASHINGTON STREET</t>
  </si>
  <si>
    <t>90 WEST STREET</t>
  </si>
  <si>
    <t>191 FOSTER STREET</t>
  </si>
  <si>
    <t>932 BROADWAY</t>
  </si>
  <si>
    <t>799 CONCORD AVENUE</t>
  </si>
  <si>
    <t>188 FLORENCE STREET</t>
  </si>
  <si>
    <t>559 PLANTATION STREET</t>
  </si>
  <si>
    <t>320 PITTSFIELD ROAD</t>
  </si>
  <si>
    <t>146 PARK AVENUE</t>
  </si>
  <si>
    <t>3 PARK DRIVE</t>
  </si>
  <si>
    <t>ONE MEADOWBROOK WAY</t>
  </si>
  <si>
    <t>4901 NORTH MAIN STREET</t>
  </si>
  <si>
    <t>188 COMMONWEALTH ROAD</t>
  </si>
  <si>
    <t>378 PLANTATION STREET</t>
  </si>
  <si>
    <t>501 CORDWAINER DRIVE</t>
  </si>
  <si>
    <t>250 WEST UNION STREET</t>
  </si>
  <si>
    <t>9 POPE STREET</t>
  </si>
  <si>
    <t>100 AMITY STREET</t>
  </si>
  <si>
    <t>137 NICHOLS STREET</t>
  </si>
  <si>
    <t>249 COREY ROAD</t>
  </si>
  <si>
    <t>907 CENTRE STREET</t>
  </si>
  <si>
    <t>140 WEBB STREET</t>
  </si>
  <si>
    <t>34 SOUTH LINCOLN STREET</t>
  </si>
  <si>
    <t>16 PLEASANT STREET</t>
  </si>
  <si>
    <t>314 MARION ROAD</t>
  </si>
  <si>
    <t>350 NORTON AVENUE</t>
  </si>
  <si>
    <t>ONE HOSPITAL ROAD, PO BOX 1747</t>
  </si>
  <si>
    <t>64 PERFORMANCE DRIVE</t>
  </si>
  <si>
    <t>100 ALDEN STREET</t>
  </si>
  <si>
    <t>150 BERKELEY STREET</t>
  </si>
  <si>
    <t>1200 SUFFIELD STREET</t>
  </si>
  <si>
    <t>88 MASONIC HOME ROAD PO BOX 1000</t>
  </si>
  <si>
    <t>7 LORING HILLS AVENUE</t>
  </si>
  <si>
    <t>519 MAIN STREET</t>
  </si>
  <si>
    <t>300 BARBER AVENUE</t>
  </si>
  <si>
    <t>100 NORTH BEACON STREET</t>
  </si>
  <si>
    <t>221 FITZGERALD DRIVE</t>
  </si>
  <si>
    <t>22 JOHNSON STREET</t>
  </si>
  <si>
    <t>380 SUMNER STREET</t>
  </si>
  <si>
    <t>120 FISHER AVENUE</t>
  </si>
  <si>
    <t>546 SOUTH STREET EAST</t>
  </si>
  <si>
    <t>319 CONCORD ROAD</t>
  </si>
  <si>
    <t>743 MAIN STREET</t>
  </si>
  <si>
    <t>14 MASONIC CIRCLE</t>
  </si>
  <si>
    <t>11 CONDITO ROAD</t>
  </si>
  <si>
    <t>57 OLD ROAD TO NINE ACRE CORNER</t>
  </si>
  <si>
    <t>94 OBERY STREET</t>
  </si>
  <si>
    <t>383 SOUTH ORLEANS ROAD</t>
  </si>
  <si>
    <t>111 HUNTOON MEMORIAL HIGHWAY</t>
  </si>
  <si>
    <t>1 DEL POND DRIVE</t>
  </si>
  <si>
    <t>100 WEST STREET</t>
  </si>
  <si>
    <t>209 COUNTY ROAD BOX 408</t>
  </si>
  <si>
    <t>2 SEAPORT DRIVE</t>
  </si>
  <si>
    <t>9 ARBETTER DRIVE</t>
  </si>
  <si>
    <t>277 ELLIOT STREET</t>
  </si>
  <si>
    <t>169 VALENTINE ROAD</t>
  </si>
  <si>
    <t>50 MANSION DRIVE</t>
  </si>
  <si>
    <t>161 FALMOUTH ROAD</t>
  </si>
  <si>
    <t>50 CHRISTY PLACE</t>
  </si>
  <si>
    <t>807 WILBRAHAM ROAD</t>
  </si>
  <si>
    <t>OLD ROAD TO NINE ACRE CORNER</t>
  </si>
  <si>
    <t>19 TABER STREET</t>
  </si>
  <si>
    <t>589 HIGHLAND AVENUE</t>
  </si>
  <si>
    <t>20 NORTH MAPLE STREET</t>
  </si>
  <si>
    <t>765 WEST CENTER STREET</t>
  </si>
  <si>
    <t>84 ELM STREET</t>
  </si>
  <si>
    <t>136 BOSTON POST ROAD</t>
  </si>
  <si>
    <t>61 OLD AMHERST ROAD, P O BOX 405</t>
  </si>
  <si>
    <t>164 PARKINGWAY</t>
  </si>
  <si>
    <t>10 CAREMATRIX DRIVE</t>
  </si>
  <si>
    <t>312 MILLBURY AVENUE</t>
  </si>
  <si>
    <t>680 CENTRE STREET BLDG A LEVEL 3</t>
  </si>
  <si>
    <t>59 COUNTRY WAY</t>
  </si>
  <si>
    <t>1748 HIGHLAND AVENUE</t>
  </si>
  <si>
    <t>575 OSGOOD STREET</t>
  </si>
  <si>
    <t>8 BUTLER STREET</t>
  </si>
  <si>
    <t>3 VISION DRIVE</t>
  </si>
  <si>
    <t>25 WOODLAND ROAD</t>
  </si>
  <si>
    <t>340 THOMPSON ROAD - 1ST FLOOR</t>
  </si>
  <si>
    <t>90 GREENWOOD STREET</t>
  </si>
  <si>
    <t>804 EAST 7TH STREET</t>
  </si>
  <si>
    <t>12 GAMELIN STREET</t>
  </si>
  <si>
    <t>215 ADAMS ST</t>
  </si>
  <si>
    <t>90 LINDALL STREET</t>
  </si>
  <si>
    <t>194 BOARDMAN STREET</t>
  </si>
  <si>
    <t>455 BRAYTON AVENUE</t>
  </si>
  <si>
    <t>28 LINWOOD ROAD</t>
  </si>
  <si>
    <t>620 LAUREL STREET</t>
  </si>
  <si>
    <t>123 HIGH STREET</t>
  </si>
  <si>
    <t>655 DEDHAM ST</t>
  </si>
  <si>
    <t>120 SEMINARY AVENUE</t>
  </si>
  <si>
    <t>615 HEATH STREET</t>
  </si>
  <si>
    <t>573 GRANBY ROAD</t>
  </si>
  <si>
    <t>1200 CENTRE STREET</t>
  </si>
  <si>
    <t>60 QUAKER HIGHWAY</t>
  </si>
  <si>
    <t>290 SOUTH STREET</t>
  </si>
  <si>
    <t>250 SHEARER STREET</t>
  </si>
  <si>
    <t>40 SUNSET AVENUE</t>
  </si>
  <si>
    <t>55 COOPER STREET</t>
  </si>
  <si>
    <t>400 BROOKSBY VILLAGE DRIVE</t>
  </si>
  <si>
    <t>154 WATER STREET</t>
  </si>
  <si>
    <t>175 GROVE STREET</t>
  </si>
  <si>
    <t>170 COREY ROAD</t>
  </si>
  <si>
    <t>7 SANDISFIELD ROAD BOX 216</t>
  </si>
  <si>
    <t>EAST CREEK ROAD</t>
  </si>
  <si>
    <t>400 LINDEN PONDS WAY</t>
  </si>
  <si>
    <t>7000 GREAT MEADOW ROAD</t>
  </si>
  <si>
    <t>165 CAPTAIN'S ROW</t>
  </si>
  <si>
    <t>59 MIDDLESEX AVENUE</t>
  </si>
  <si>
    <t>1071 VARNUM AVENUE</t>
  </si>
  <si>
    <t>150 FLANDERS ROAD</t>
  </si>
  <si>
    <t>1168 HIGHLAND AVENUE</t>
  </si>
  <si>
    <t>761 HIGHLAND AVENUE</t>
  </si>
  <si>
    <t>701 S HEALTH PARKWAY</t>
  </si>
  <si>
    <t>1721 S STEPHENSON AVE</t>
  </si>
  <si>
    <t>500 CAMPUS DRIVE</t>
  </si>
  <si>
    <t>701 E MAIN ST</t>
  </si>
  <si>
    <t>1505 E PARKDALE AVENUE</t>
  </si>
  <si>
    <t>1061 W HACKLEY AVE</t>
  </si>
  <si>
    <t>210 MAPLE ST</t>
  </si>
  <si>
    <t>825 N CENTER ST</t>
  </si>
  <si>
    <t>50 SANDERSON LANE</t>
  </si>
  <si>
    <t>2700 NASHVILLE RD</t>
  </si>
  <si>
    <t>1201 HARRIS AVE</t>
  </si>
  <si>
    <t>441 E MAIN ST</t>
  </si>
  <si>
    <t>25330 WEST SIX MILE ROAD</t>
  </si>
  <si>
    <t>3860 DOBIE RD</t>
  </si>
  <si>
    <t>434 W NORTH ST</t>
  </si>
  <si>
    <t>524 LANSING AVE</t>
  </si>
  <si>
    <t>1200 WRIGHT AVE</t>
  </si>
  <si>
    <t>805 W MIDDLE ST</t>
  </si>
  <si>
    <t>600 SE 4TH ST</t>
  </si>
  <si>
    <t>200 E ROOSEVELT</t>
  </si>
  <si>
    <t>4543 SOUTH M-88 HIGHWAY</t>
  </si>
  <si>
    <t>402 NORTH STREET</t>
  </si>
  <si>
    <t>530 W BEECH ST</t>
  </si>
  <si>
    <t>1116 S VAN DYKE RD</t>
  </si>
  <si>
    <t>1100 QUINCY ST</t>
  </si>
  <si>
    <t>814 E LINCOLN AVE</t>
  </si>
  <si>
    <t>750 E MAIN</t>
  </si>
  <si>
    <t>4118 KALAMAZOO AVE S E</t>
  </si>
  <si>
    <t>1480 WALTON BLVD</t>
  </si>
  <si>
    <t>1222 NORTH DR</t>
  </si>
  <si>
    <t>2000 LEONARD N E</t>
  </si>
  <si>
    <t>3400 WILSON AVE</t>
  </si>
  <si>
    <t>1140 NORTH STATE STREET</t>
  </si>
  <si>
    <t>564 W HAMPTON ROAD</t>
  </si>
  <si>
    <t>2400 PORTAGE ST</t>
  </si>
  <si>
    <t>418 WASHINGTON AVE</t>
  </si>
  <si>
    <t>5500 FORT ST</t>
  </si>
  <si>
    <t>111 EVERGREEN</t>
  </si>
  <si>
    <t>1202 WEISS ST</t>
  </si>
  <si>
    <t>28550 FIVE MILE RD</t>
  </si>
  <si>
    <t>1455 SUNCREST DR</t>
  </si>
  <si>
    <t>1728 S PENINSULA ROAD</t>
  </si>
  <si>
    <t>700 REYNOLD SWEET PARKWAY</t>
  </si>
  <si>
    <t>729 S NORTON</t>
  </si>
  <si>
    <t>N15995 MAIN STREET</t>
  </si>
  <si>
    <t>1000 DIANA ST</t>
  </si>
  <si>
    <t>2770 MAIN ST</t>
  </si>
  <si>
    <t>750 FULLER AVE NE</t>
  </si>
  <si>
    <t>4465 W 48TH ST</t>
  </si>
  <si>
    <t>493 W 32ND ST</t>
  </si>
  <si>
    <t>1000 PAVILIONS CIRCLE</t>
  </si>
  <si>
    <t>1285 CLEAVER RD</t>
  </si>
  <si>
    <t>460 PEARL ST</t>
  </si>
  <si>
    <t>8045 E JEFFERSON AVE</t>
  </si>
  <si>
    <t>2320 E BELTLINE SE</t>
  </si>
  <si>
    <t>21401 MACK AVE</t>
  </si>
  <si>
    <t>4322 MACKINAW ROAD</t>
  </si>
  <si>
    <t>3625 W MICHIGAN AVE</t>
  </si>
  <si>
    <t>1684 VULCAN ST</t>
  </si>
  <si>
    <t>15475 MIDDLEBELT RD</t>
  </si>
  <si>
    <t>8750 E MONROE RD</t>
  </si>
  <si>
    <t>540 SUNNYSIDE DR</t>
  </si>
  <si>
    <t>2901 GALAXY DR</t>
  </si>
  <si>
    <t>615 S BOWER ST</t>
  </si>
  <si>
    <t>832 SICOTTE ST</t>
  </si>
  <si>
    <t>520 MAIN ST</t>
  </si>
  <si>
    <t>3340 HOSPITAL RD</t>
  </si>
  <si>
    <t>43533 ELIZABETH RD</t>
  </si>
  <si>
    <t>137 N ELK ST</t>
  </si>
  <si>
    <t>601 SEVENTH STREET</t>
  </si>
  <si>
    <t>4368 CLEVELAND AVE</t>
  </si>
  <si>
    <t>8481 HOLLY RD</t>
  </si>
  <si>
    <t>575 N MADISON ST</t>
  </si>
  <si>
    <t>500 W GENESEE</t>
  </si>
  <si>
    <t>4554 W 48TH ST</t>
  </si>
  <si>
    <t>6700 W OUTER DR</t>
  </si>
  <si>
    <t>2525 7TH AVENUE SOUTH</t>
  </si>
  <si>
    <t>730 KIMOLE LN</t>
  </si>
  <si>
    <t>3011 N CENTER RD</t>
  </si>
  <si>
    <t>31155 DEQUINDRE</t>
  </si>
  <si>
    <t>805 W CEDAR</t>
  </si>
  <si>
    <t>140 W MECHANIC ST</t>
  </si>
  <si>
    <t>1100 MICHIGAN AVE</t>
  </si>
  <si>
    <t>1890 APPLE AVE</t>
  </si>
  <si>
    <t>300 NORTH PATTERSON RD</t>
  </si>
  <si>
    <t>916 E LEWIS ST</t>
  </si>
  <si>
    <t>18901 MEYERS RD</t>
  </si>
  <si>
    <t>124 W 4TH STREET</t>
  </si>
  <si>
    <t>3265 122ND AVE R2</t>
  </si>
  <si>
    <t>535 N MAIN</t>
  </si>
  <si>
    <t>2975 N ADAMS ROAD</t>
  </si>
  <si>
    <t>1200 EARHART RD</t>
  </si>
  <si>
    <t>200 SAND CREEK HWY</t>
  </si>
  <si>
    <t>1971 N MONROE STREET</t>
  </si>
  <si>
    <t>11941 BELSAY RD</t>
  </si>
  <si>
    <t>38410 CHERRY HILL RD</t>
  </si>
  <si>
    <t>1215 N TELEGRAPH RD</t>
  </si>
  <si>
    <t>9500 GRAND RIVER AVE</t>
  </si>
  <si>
    <t>2700 BURCHAM DRIVE</t>
  </si>
  <si>
    <t>1150 E MICHIGAN AVE</t>
  </si>
  <si>
    <t>440 W RUSSELL</t>
  </si>
  <si>
    <t>464 E GRAND BLVD</t>
  </si>
  <si>
    <t>2950 LAFRANIER RD</t>
  </si>
  <si>
    <t>2415 5TH AVE SOUTH</t>
  </si>
  <si>
    <t>3615 E ASHMAN ST</t>
  </si>
  <si>
    <t>1400 N DRAKE RD</t>
  </si>
  <si>
    <t>915 N RIVER RD</t>
  </si>
  <si>
    <t>3161 DAVENPORT</t>
  </si>
  <si>
    <t>2300 WATKINS LAKE RD</t>
  </si>
  <si>
    <t>350 N CENTER ST</t>
  </si>
  <si>
    <t>2251 SPRINGPORT RD</t>
  </si>
  <si>
    <t>4000 N MICHIGAN ROAD</t>
  </si>
  <si>
    <t>1523 U S HIGHWAY 2</t>
  </si>
  <si>
    <t>11525 E TEN MILE RD</t>
  </si>
  <si>
    <t>1901 N TELEGRAPH RD</t>
  </si>
  <si>
    <t>1700 LEONARD ST N E</t>
  </si>
  <si>
    <t>3310 W COMMERCE RD</t>
  </si>
  <si>
    <t>14151 E 15 MILE RD</t>
  </si>
  <si>
    <t>1200 ELY ST</t>
  </si>
  <si>
    <t>15400 TRENTON ROAD</t>
  </si>
  <si>
    <t>1225 WOODWARD AVENUE</t>
  </si>
  <si>
    <t>725 W GENESEE</t>
  </si>
  <si>
    <t>850 PHILLIPS</t>
  </si>
  <si>
    <t>1236 S MONROE ST</t>
  </si>
  <si>
    <t>5091 WILLOUGHBY ROAD</t>
  </si>
  <si>
    <t>301 LONG RAPIDS RD</t>
  </si>
  <si>
    <t>240 E NORTH ST</t>
  </si>
  <si>
    <t>1701 S 11TH ST</t>
  </si>
  <si>
    <t>1843 N HAGADORN RD</t>
  </si>
  <si>
    <t>4900 HEDGEWOOD DR</t>
  </si>
  <si>
    <t>731 STARKWEATHER DR</t>
  </si>
  <si>
    <t>4782 HOSPITAL DR</t>
  </si>
  <si>
    <t>700 LAKESHIRE TR</t>
  </si>
  <si>
    <t>6800 WEST MAPLE</t>
  </si>
  <si>
    <t>3057 GULL ROAD</t>
  </si>
  <si>
    <t>828 E WASHINGTON ST</t>
  </si>
  <si>
    <t>1011 MERIDIAN RD</t>
  </si>
  <si>
    <t>34225 GRAND RIVER AVE</t>
  </si>
  <si>
    <t>400 JEFFREY</t>
  </si>
  <si>
    <t>210 SOUTH FIRST STREET</t>
  </si>
  <si>
    <t>26715 GREENFIELD RD</t>
  </si>
  <si>
    <t>14041 PENNSYLVANIA RD</t>
  </si>
  <si>
    <t>8444 ENGLEMAN</t>
  </si>
  <si>
    <t>270 N BEDFORD RD</t>
  </si>
  <si>
    <t>23600 NORTHLINE RD</t>
  </si>
  <si>
    <t>1380 E SHERMAN BLVD</t>
  </si>
  <si>
    <t>90 N MICHIGAN AVE</t>
  </si>
  <si>
    <t>3600 FULTON ST E</t>
  </si>
  <si>
    <t>8290 W C AVE</t>
  </si>
  <si>
    <t>725 W FULLER</t>
  </si>
  <si>
    <t>425 E ELM ST</t>
  </si>
  <si>
    <t>22601 E NINE MILE RD</t>
  </si>
  <si>
    <t>25300 LAHSER RD</t>
  </si>
  <si>
    <t>200 W SAGINAW ST</t>
  </si>
  <si>
    <t>3161 HILTON RD</t>
  </si>
  <si>
    <t>1149 WEST MONROE RD</t>
  </si>
  <si>
    <t>11700 E TEN MILE RD</t>
  </si>
  <si>
    <t>3650 VAN BUREN</t>
  </si>
  <si>
    <t>2160 N CENTER RD</t>
  </si>
  <si>
    <t>3003 W GRAND RIVER</t>
  </si>
  <si>
    <t>1333 W GRAND RIVER</t>
  </si>
  <si>
    <t>36137 W WARREN</t>
  </si>
  <si>
    <t>12575 S TELEGRAPH RD</t>
  </si>
  <si>
    <t>3270 PRATT LAKE RD</t>
  </si>
  <si>
    <t>2585 S LAFRANIER RD</t>
  </si>
  <si>
    <t>1000 EDISON AVE NW</t>
  </si>
  <si>
    <t>G 1069 BALLENGER HWY</t>
  </si>
  <si>
    <t>307 N FRANKS AVENUE</t>
  </si>
  <si>
    <t>285 N STATE ST</t>
  </si>
  <si>
    <t>111 TREALOUT DR</t>
  </si>
  <si>
    <t>435 STONEVILLE RD</t>
  </si>
  <si>
    <t>508 RANDOM LANE</t>
  </si>
  <si>
    <t>105 HAGGERTY RD</t>
  </si>
  <si>
    <t>23770 HOSPITAL ST</t>
  </si>
  <si>
    <t>55378 WILBUR RD</t>
  </si>
  <si>
    <t>13030 COMMERCIAL ST</t>
  </si>
  <si>
    <t>900 S BEACON BLVD</t>
  </si>
  <si>
    <t>414 E STATE ST</t>
  </si>
  <si>
    <t>1000 E TINKHAM AVE</t>
  </si>
  <si>
    <t>6531 W MICHIGAN AVENUE</t>
  </si>
  <si>
    <t>151 2ND ST</t>
  </si>
  <si>
    <t>911 S 3RD ST</t>
  </si>
  <si>
    <t>G 3201 BEECHER RD</t>
  </si>
  <si>
    <t>29270 MORLOCK</t>
  </si>
  <si>
    <t>1095 MEDICAL PARK DR</t>
  </si>
  <si>
    <t>701 HOMESTEAD ST</t>
  </si>
  <si>
    <t>1300 BEARD ST</t>
  </si>
  <si>
    <t>4220 S HOSPITAL DR</t>
  </si>
  <si>
    <t>90 JEAN ST</t>
  </si>
  <si>
    <t>5000 E SEVEN MILE RD</t>
  </si>
  <si>
    <t>18525 WOODLAND RIDGE DRIVE</t>
  </si>
  <si>
    <t>22355 W EIGHT MILE RD</t>
  </si>
  <si>
    <t>18500 VAN HORN RD</t>
  </si>
  <si>
    <t>18591 QUARRY RD</t>
  </si>
  <si>
    <t>1050 FOUR MILE NW</t>
  </si>
  <si>
    <t>280 W 40TH ST</t>
  </si>
  <si>
    <t>400 NORTH STREET WEST</t>
  </si>
  <si>
    <t>517 W PAGE ST</t>
  </si>
  <si>
    <t>500 OSBORN BLVD</t>
  </si>
  <si>
    <t>590 E GRAND BLVD</t>
  </si>
  <si>
    <t>9400 CONANT STREET</t>
  </si>
  <si>
    <t>427 E WASHINGTON</t>
  </si>
  <si>
    <t>400 SOUTH CRAPO ST</t>
  </si>
  <si>
    <t>3254 E MIDLAND RD</t>
  </si>
  <si>
    <t>517 S ERIE ST</t>
  </si>
  <si>
    <t>1255 W SILVERBELL RD</t>
  </si>
  <si>
    <t>7855 CURRIER DR</t>
  </si>
  <si>
    <t>1390 MAPLE DRIVE</t>
  </si>
  <si>
    <t>1551 FRANKLIN STREET, SE</t>
  </si>
  <si>
    <t>22811 W SEVEN MILE RD</t>
  </si>
  <si>
    <t>17001 17 MILE RD</t>
  </si>
  <si>
    <t>419 S CORAL ST</t>
  </si>
  <si>
    <t>31830 RYAN RD</t>
  </si>
  <si>
    <t>300 W CITY PARK DR</t>
  </si>
  <si>
    <t>800 MULHOLLAND RD</t>
  </si>
  <si>
    <t>2828 CONCORD ST</t>
  </si>
  <si>
    <t>445 S VALLEY ST</t>
  </si>
  <si>
    <t>6232 CADIEUX ROAD</t>
  </si>
  <si>
    <t>500 SCHOOL RD</t>
  </si>
  <si>
    <t>5635 LAKESHORE</t>
  </si>
  <si>
    <t>626 E GRAND BLVD</t>
  </si>
  <si>
    <t>631 CARING ST</t>
  </si>
  <si>
    <t>29800 HOOVER RD</t>
  </si>
  <si>
    <t>26001 FORD RD</t>
  </si>
  <si>
    <t>1500 SPRING ST</t>
  </si>
  <si>
    <t>10770 ELIZABETH LAKE ROAD</t>
  </si>
  <si>
    <t>570 S HARVEY STREET</t>
  </si>
  <si>
    <t>331 MEADOWS DRIVE</t>
  </si>
  <si>
    <t>3030 GREENFIELD AVE</t>
  </si>
  <si>
    <t>23332 RED ARROW HIGHWAY</t>
  </si>
  <si>
    <t>1450 E FULTON ST</t>
  </si>
  <si>
    <t>220 HUGHSTON ST</t>
  </si>
  <si>
    <t>9150 ALLEN RD</t>
  </si>
  <si>
    <t>2121 RAYBROOK SE</t>
  </si>
  <si>
    <t>625 36TH ST SW</t>
  </si>
  <si>
    <t>1413 GRATIOT</t>
  </si>
  <si>
    <t>26001 EAST JEFFERSON AVENUE</t>
  </si>
  <si>
    <t>16588 SCHAEFER</t>
  </si>
  <si>
    <t>15750 JOY</t>
  </si>
  <si>
    <t>3387 ELLA ST</t>
  </si>
  <si>
    <t>243 WILEY ROAD, PO BOX 217</t>
  </si>
  <si>
    <t>11007 RADCLIFF DR</t>
  </si>
  <si>
    <t>706 NORTH AVENUE</t>
  </si>
  <si>
    <t>19100 WEST SEVEN MILE ROAD</t>
  </si>
  <si>
    <t>33300 UTICA RD</t>
  </si>
  <si>
    <t>1881 E GRAND BLVD</t>
  </si>
  <si>
    <t>1167 E HOPSON STREET</t>
  </si>
  <si>
    <t>1950 32ND ST S E</t>
  </si>
  <si>
    <t>805 WEST AVE</t>
  </si>
  <si>
    <t>224 PARK AVE</t>
  </si>
  <si>
    <t>4800 CLINTONVILLE RD</t>
  </si>
  <si>
    <t>21450 ARCHWOOD CIRCLE</t>
  </si>
  <si>
    <t>111 FORD AVE</t>
  </si>
  <si>
    <t>2532 CADILLAC DR</t>
  </si>
  <si>
    <t>28349 JOY RD</t>
  </si>
  <si>
    <t>9146 WOODWARD AVE</t>
  </si>
  <si>
    <t>873 W AVON RD</t>
  </si>
  <si>
    <t>320 BRIGHAM ST</t>
  </si>
  <si>
    <t>826 W KING ST</t>
  </si>
  <si>
    <t>14900 SHORE LINE DR</t>
  </si>
  <si>
    <t>21630 HESSEL</t>
  </si>
  <si>
    <t>18300 E WARREN</t>
  </si>
  <si>
    <t>3500 WEST SOUTH BLVD</t>
  </si>
  <si>
    <t>14900 MIDDLEBELT RD</t>
  </si>
  <si>
    <t>19840 HARPER AVE</t>
  </si>
  <si>
    <t>585 EAST FLINT STREET</t>
  </si>
  <si>
    <t>512 BEACH ST</t>
  </si>
  <si>
    <t>1080 N 35TH STREET</t>
  </si>
  <si>
    <t>34643 KETSIN DRIVE</t>
  </si>
  <si>
    <t>449 QUARTER STREET</t>
  </si>
  <si>
    <t>34901 DIVISION RD</t>
  </si>
  <si>
    <t>6950 FARMINGTON RD</t>
  </si>
  <si>
    <t>6445 W MAPLE</t>
  </si>
  <si>
    <t>6470 ALDEN DR</t>
  </si>
  <si>
    <t>1524 PORTABELLA RD</t>
  </si>
  <si>
    <t>25375 KELLY RD</t>
  </si>
  <si>
    <t>15311 SCHAEFER RD</t>
  </si>
  <si>
    <t>879 EAST MICHIGAN AVE</t>
  </si>
  <si>
    <t>2567 WEST GRAND BOULEVARD</t>
  </si>
  <si>
    <t>600 DENMARK ST</t>
  </si>
  <si>
    <t>5201 CONNER</t>
  </si>
  <si>
    <t>16391 ROTUNDA DR</t>
  </si>
  <si>
    <t>28 S PROSPECT ST</t>
  </si>
  <si>
    <t>130 SAND CREEK HWY</t>
  </si>
  <si>
    <t>46100 SCHOENHERR RD</t>
  </si>
  <si>
    <t>395 W ANN ARBOR TRAIL</t>
  </si>
  <si>
    <t>21017 MIDDLEBELT RD</t>
  </si>
  <si>
    <t>12250 E 12 MILE RD</t>
  </si>
  <si>
    <t>1290 E MICHIGAN HWY</t>
  </si>
  <si>
    <t>4735 RANGER RD</t>
  </si>
  <si>
    <t>26505 POWERS AVE</t>
  </si>
  <si>
    <t>408 N FIFTH AVE</t>
  </si>
  <si>
    <t>14141 PENNSYLVANIA</t>
  </si>
  <si>
    <t>2815 NORTHWIND DR</t>
  </si>
  <si>
    <t>13137 NORTH CLIO ROAD</t>
  </si>
  <si>
    <t>2280 TOWER HILL RD</t>
  </si>
  <si>
    <t>700 STEWART RD</t>
  </si>
  <si>
    <t>4427 VENOY RD</t>
  </si>
  <si>
    <t>695 MITZI ST</t>
  </si>
  <si>
    <t>22401 FOSTER WINTER DR</t>
  </si>
  <si>
    <t>1451 BRONSON WAY</t>
  </si>
  <si>
    <t>320 E CENTRAL AVE</t>
  </si>
  <si>
    <t>14676 W UPRIGHT</t>
  </si>
  <si>
    <t>15063 GRATIOT AVE</t>
  </si>
  <si>
    <t>33875 KIELY DR</t>
  </si>
  <si>
    <t>24500 MEADOWBROOK RD</t>
  </si>
  <si>
    <t>36975 W FIVE MILE RD</t>
  </si>
  <si>
    <t>440 E GRAND BLVD</t>
  </si>
  <si>
    <t>103 EAST WALLACE STREET</t>
  </si>
  <si>
    <t>415 FRIANT STREET</t>
  </si>
  <si>
    <t>675 WAGNER DR</t>
  </si>
  <si>
    <t>703 ROBINSON RD</t>
  </si>
  <si>
    <t>16181 HUBBELL ST</t>
  </si>
  <si>
    <t>2589 44TH ST SE</t>
  </si>
  <si>
    <t>22950 NORTHLINE RD</t>
  </si>
  <si>
    <t>2575 N DRAKE RD</t>
  </si>
  <si>
    <t>950 BARLOW RD</t>
  </si>
  <si>
    <t>1385 E EMPIRE AVE</t>
  </si>
  <si>
    <t>8633 N MAIN ST</t>
  </si>
  <si>
    <t>37700 HARPER AVENUE</t>
  </si>
  <si>
    <t>145 COLUMBIA AVE</t>
  </si>
  <si>
    <t>1300 W BROADWAY AVE</t>
  </si>
  <si>
    <t>G-4436 BEECHER RD</t>
  </si>
  <si>
    <t>52225 B AVENUE</t>
  </si>
  <si>
    <t>1400 POPLAR ST</t>
  </si>
  <si>
    <t>555 N BRADLEY HWY</t>
  </si>
  <si>
    <t>900 MAAS ST</t>
  </si>
  <si>
    <t>5601 HATCHERY RD</t>
  </si>
  <si>
    <t>39312 WOODWARD</t>
  </si>
  <si>
    <t>501 SECOND ST, BOX 246</t>
  </si>
  <si>
    <t>34330 VAN BORN RD</t>
  </si>
  <si>
    <t>502 EAST POTTAWATAMIE</t>
  </si>
  <si>
    <t>707 ARMSTRONG</t>
  </si>
  <si>
    <t>7277 RICHARDSON RD</t>
  </si>
  <si>
    <t>481 VILLAGE GREEN LANE</t>
  </si>
  <si>
    <t>1500 NORTH LOWELL STREET</t>
  </si>
  <si>
    <t>824 S HURON PO BOX 408</t>
  </si>
  <si>
    <t>168 SOUTH HOWELL ST</t>
  </si>
  <si>
    <t>9480 E M-21</t>
  </si>
  <si>
    <t>3370 EAST MORGAN RD</t>
  </si>
  <si>
    <t>43455 W TEN MILE RD</t>
  </si>
  <si>
    <t>120 BASELINE RD</t>
  </si>
  <si>
    <t>2121 ROBINSON RD</t>
  </si>
  <si>
    <t>1375 NORTH MAIN STREET</t>
  </si>
  <si>
    <t>8365 NEWBURGH RD</t>
  </si>
  <si>
    <t>4701 E. HURON RIVER DR</t>
  </si>
  <si>
    <t>19933 WEST THIRTEEN MILE ROAD</t>
  </si>
  <si>
    <t>1234 GOLF COURSE RD</t>
  </si>
  <si>
    <t>9051 SILVER LAKE RD</t>
  </si>
  <si>
    <t>515 N. MICHIGAN</t>
  </si>
  <si>
    <t>28910 PLYMOUTH ROAD</t>
  </si>
  <si>
    <t>1086 W. BURDICKVILLE ROAD</t>
  </si>
  <si>
    <t>26900 FRANKLIN ROAD</t>
  </si>
  <si>
    <t>33600 LUTHER LANE</t>
  </si>
  <si>
    <t>N 306 MAPLE STREET</t>
  </si>
  <si>
    <t>1395 S HURON RD</t>
  </si>
  <si>
    <t>15101 FORD RD</t>
  </si>
  <si>
    <t>1211 STATE LINE RD</t>
  </si>
  <si>
    <t>1533 CADILLAC</t>
  </si>
  <si>
    <t>8380 GEDDES RD</t>
  </si>
  <si>
    <t>1333 WELLS ST</t>
  </si>
  <si>
    <t>2394 MIDLAND RD</t>
  </si>
  <si>
    <t>9317 W VIENNA RD</t>
  </si>
  <si>
    <t>330 LINCOLN AVE</t>
  </si>
  <si>
    <t>1101 S SCOTT RD</t>
  </si>
  <si>
    <t>29667 WENTWORTH AVENUE</t>
  </si>
  <si>
    <t>3905 LORRAINE PATH</t>
  </si>
  <si>
    <t>521 OHMER RD</t>
  </si>
  <si>
    <t>842 W WARWICK DR</t>
  </si>
  <si>
    <t>2121 ROCKWELL DR</t>
  </si>
  <si>
    <t>22600 ARMADA RIDGE RD</t>
  </si>
  <si>
    <t>9731 EAST CHERRY BEND ROAD</t>
  </si>
  <si>
    <t>1805 PYLE DRIVE</t>
  </si>
  <si>
    <t>3999 VENOY ROAD</t>
  </si>
  <si>
    <t>2520 LAKE MICHIGAN DRIVE NW</t>
  </si>
  <si>
    <t>1014 E GRAND RIVER</t>
  </si>
  <si>
    <t>7700 MCCLELLAN</t>
  </si>
  <si>
    <t>7025 LILLEY ROAD</t>
  </si>
  <si>
    <t>23575 15 MILE RD</t>
  </si>
  <si>
    <t>34350 ANN ARBOR TR</t>
  </si>
  <si>
    <t>5669 LAKESHORE</t>
  </si>
  <si>
    <t>695 E GRAND BLVD</t>
  </si>
  <si>
    <t>288 PEACE BLVD</t>
  </si>
  <si>
    <t>9935 RED ARROW HWY</t>
  </si>
  <si>
    <t>925 W SOUTH BLVD</t>
  </si>
  <si>
    <t>790 S US HWY 23, BOX 369</t>
  </si>
  <si>
    <t>2786 56 STREET, SW</t>
  </si>
  <si>
    <t>5555 CONNER AVENUE, SUITE 4000</t>
  </si>
  <si>
    <t>1845 BOSTON BLVD S E</t>
  </si>
  <si>
    <t>41215 FOX RUN ROAD</t>
  </si>
  <si>
    <t>6700 WESTSIDE SAGINAW ROAD</t>
  </si>
  <si>
    <t>620 NORTH SECOND STREET</t>
  </si>
  <si>
    <t>3260 EAST B AVE</t>
  </si>
  <si>
    <t>1221 EAST 16TH</t>
  </si>
  <si>
    <t>1157 MEDICAL PARK DR. S.E.</t>
  </si>
  <si>
    <t>42235 COUNTY ROAD 390</t>
  </si>
  <si>
    <t>201 S FRONT ST</t>
  </si>
  <si>
    <t>10735  BOGIE LAKE ROAD</t>
  </si>
  <si>
    <t>2161 LEONARD NW</t>
  </si>
  <si>
    <t>951 HICKORY CREEK BOULEVARD</t>
  </si>
  <si>
    <t>202 SOUTH BRIDGE STREET</t>
  </si>
  <si>
    <t>5211 MARSH RD</t>
  </si>
  <si>
    <t>610 WEST ELM AVENUE</t>
  </si>
  <si>
    <t>555 HIGHLAND AVE</t>
  </si>
  <si>
    <t>2900 THIRD AVENUE SOUTH</t>
  </si>
  <si>
    <t>55432 COLBY ST</t>
  </si>
  <si>
    <t>2100 E  PROVINCIAL HOUSE DR</t>
  </si>
  <si>
    <t>239 S MAIN ST</t>
  </si>
  <si>
    <t>35100 ANN ARBOR TRAIL</t>
  </si>
  <si>
    <t>2053 S SHERIDAN DRIVE</t>
  </si>
  <si>
    <t>45900 GEDDES ROAD</t>
  </si>
  <si>
    <t>355 HURON VIEW BLVD</t>
  </si>
  <si>
    <t>7733 E JEFFERSON</t>
  </si>
  <si>
    <t>5370 E BALDWIN ROAD</t>
  </si>
  <si>
    <t>2525 DEMILLE ROAD</t>
  </si>
  <si>
    <t>13794 21 MILE ROAD</t>
  </si>
  <si>
    <t>6535 DRAKE ROAD</t>
  </si>
  <si>
    <t>18200 W 13 MILE ROAD</t>
  </si>
  <si>
    <t>38200 SCHOENHERR ROAD</t>
  </si>
  <si>
    <t>1330 GRAND POINTE COURT</t>
  </si>
  <si>
    <t>111 LAKESIDE DRIVE, NE</t>
  </si>
  <si>
    <t>2200 DORR ROAD</t>
  </si>
  <si>
    <t>31215 NOVI ROAD</t>
  </si>
  <si>
    <t>3500 COOLIDGE ROAD</t>
  </si>
  <si>
    <t>4830 CENTRAL PARK DRIVE</t>
  </si>
  <si>
    <t>48300 11 MILE ROAD</t>
  </si>
  <si>
    <t>50 N PERRY ST, 1ST FOOR</t>
  </si>
  <si>
    <t>375 SOUTH MAIN STREET</t>
  </si>
  <si>
    <t>12200 BROADBENT</t>
  </si>
  <si>
    <t>1500 BYRON ROAD</t>
  </si>
  <si>
    <t>900 COOK ROAD</t>
  </si>
  <si>
    <t>ONE GENESYS PARKWAY</t>
  </si>
  <si>
    <t>31800 VAN DYKE AVENUE</t>
  </si>
  <si>
    <t>1018 SIXTH AVENUE PO BOX 997</t>
  </si>
  <si>
    <t>800 MEDICAL CENTER DRIVE, PO BOX 800</t>
  </si>
  <si>
    <t>400 EVANS AVENUE</t>
  </si>
  <si>
    <t>4444 RESERVOIR BOULEVARD NORTHEAST</t>
  </si>
  <si>
    <t>2319 WEST SEVENTH STREET</t>
  </si>
  <si>
    <t>1000 ANNE STREET NORTHWEST</t>
  </si>
  <si>
    <t>512 SKYLINE BOULEVARD</t>
  </si>
  <si>
    <t>2810 NORTH 2ND AVENUE</t>
  </si>
  <si>
    <t>3737 BRYANT AVENUE SOUTH</t>
  </si>
  <si>
    <t>2237 COMMONWEALTH AVENUE</t>
  </si>
  <si>
    <t>500 SOUTHEAST FIRST STREET</t>
  </si>
  <si>
    <t>5517 LYNDALE AVENUE SOUTH</t>
  </si>
  <si>
    <t>4415 WEST 36 1/2 STREET</t>
  </si>
  <si>
    <t>15409 WAYZATA BOULEVARD</t>
  </si>
  <si>
    <t>27 BRAND AVENUE</t>
  </si>
  <si>
    <t>1738 HULETT AVENUE NORTH</t>
  </si>
  <si>
    <t>1635 WEST SERVICE DRIVE</t>
  </si>
  <si>
    <t>2727 NORTH VICTORIA</t>
  </si>
  <si>
    <t>1555 SHERWOOD STREET SOUTHEAST</t>
  </si>
  <si>
    <t>301 MINNESOTA AVENUE SOUTH</t>
  </si>
  <si>
    <t>548 FIRST AVENUE</t>
  </si>
  <si>
    <t>227 MCKINLEY AVENUE</t>
  </si>
  <si>
    <t>200 NORTH ELM STREET</t>
  </si>
  <si>
    <t>200 WEST CONAN STREET</t>
  </si>
  <si>
    <t>3201 VIRGINIA AVENUE SOUTH</t>
  </si>
  <si>
    <t>8100 MEDICINE LAKE ROAD</t>
  </si>
  <si>
    <t>4001 19TH AVENUE NORTHWEST</t>
  </si>
  <si>
    <t>825  FIRST AVENUE NORTHWEST</t>
  </si>
  <si>
    <t>2450 RIVERSIDE AVENUE SOUTH</t>
  </si>
  <si>
    <t>7500 WEST 22ND STREET</t>
  </si>
  <si>
    <t>5430 BOONE AVENUE NORTH</t>
  </si>
  <si>
    <t>501 EIGHTH AVENUE SOUTHEAST</t>
  </si>
  <si>
    <t>7505 COUNTRY CLUB DRIVE</t>
  </si>
  <si>
    <t>7900 WEST 28TH STREET</t>
  </si>
  <si>
    <t>2000 OAKDALE AVENUE</t>
  </si>
  <si>
    <t>604 - 1ST STREET NE</t>
  </si>
  <si>
    <t>5700 EAST RIVER ROAD</t>
  </si>
  <si>
    <t>275 PENN AVENUE NORTH</t>
  </si>
  <si>
    <t>3000 4TH AVENUE</t>
  </si>
  <si>
    <t>1119 OWENS STREET NORTH</t>
  </si>
  <si>
    <t>4527 SHORELINE DRIVE</t>
  </si>
  <si>
    <t>1040 LINCOLN AVENUE</t>
  </si>
  <si>
    <t>13820 COMMUNITY DRIVE</t>
  </si>
  <si>
    <t>4002 LONDON ROAD</t>
  </si>
  <si>
    <t>500 WEST GRANT STREET</t>
  </si>
  <si>
    <t>550 EAST ROSELAWN AVENUE</t>
  </si>
  <si>
    <t>2106 SECOND AVENUE SOUTH</t>
  </si>
  <si>
    <t>1412 WEST FOURTH STREET</t>
  </si>
  <si>
    <t>930 WEST 16TH STREET</t>
  </si>
  <si>
    <t>1105 3RD AVENUE SOUTHWEST</t>
  </si>
  <si>
    <t>1601 ST LOUIS AVENUE</t>
  </si>
  <si>
    <t>300 SOUTH BRUCE STREET</t>
  </si>
  <si>
    <t>8100 HIGHWOOD DRIVE</t>
  </si>
  <si>
    <t>30 SOUTH BEHL STREET</t>
  </si>
  <si>
    <t>320 EAST MAIN STREET</t>
  </si>
  <si>
    <t>1347 WEST BROADWAY</t>
  </si>
  <si>
    <t>333 FIFTH STREET WEST</t>
  </si>
  <si>
    <t>7012 LAKE ROAD</t>
  </si>
  <si>
    <t>935 KENWOOD AVENUE</t>
  </si>
  <si>
    <t>200 SOUTH DEKALB STREET</t>
  </si>
  <si>
    <t>414 WEST JEFFERSON AVENUE, PO BOX 396</t>
  </si>
  <si>
    <t>1500 EAST THIRD AVENUE</t>
  </si>
  <si>
    <t>865 MANKATO AVENUE</t>
  </si>
  <si>
    <t>2000 NORTH AVENUE</t>
  </si>
  <si>
    <t>1007 EAST 14TH STREET</t>
  </si>
  <si>
    <t>250 JORDAN DRIVE</t>
  </si>
  <si>
    <t>20 NINTH STREET SOUTHEAST</t>
  </si>
  <si>
    <t>321 NORTHEAST SIXTH STREET</t>
  </si>
  <si>
    <t>1010 SOUTH BIRCH</t>
  </si>
  <si>
    <t>3410  213TH STREET WEST</t>
  </si>
  <si>
    <t>323 SOUTH MINNESOTA</t>
  </si>
  <si>
    <t>2001 EASTWOOD DRIVE</t>
  </si>
  <si>
    <t>200 FIRST STREET WEST</t>
  </si>
  <si>
    <t>1175 NININGER ROAD</t>
  </si>
  <si>
    <t>512 HUMBOLDT AVENUE</t>
  </si>
  <si>
    <t>920 SOUTHEAST 4TH STREET</t>
  </si>
  <si>
    <t>3910 MINNESOTA AVENUE</t>
  </si>
  <si>
    <t>1109 EAST HIGHWAY 7</t>
  </si>
  <si>
    <t>600 SUNRISE BOULEVARD</t>
  </si>
  <si>
    <t>1001 SCOTTS AVENUE</t>
  </si>
  <si>
    <t>1805 HENNEPIN AVENUE NORTH</t>
  </si>
  <si>
    <t>14650 GARRETT AVENUE</t>
  </si>
  <si>
    <t>2400 ST FRANCIS DRIVE</t>
  </si>
  <si>
    <t>618 EAST 17TH STREET</t>
  </si>
  <si>
    <t>3700 FOSS ROAD NORTHEAST</t>
  </si>
  <si>
    <t>1115 4TH AVENUE NORTH</t>
  </si>
  <si>
    <t>525 BLUFF AVENUE</t>
  </si>
  <si>
    <t>3720 23RD AVENUE  SOUTH</t>
  </si>
  <si>
    <t>1401 EAST 100TH STREET</t>
  </si>
  <si>
    <t>900 3RD STREET SOUTH</t>
  </si>
  <si>
    <t>800 MEDICAL CENTER DRIVE,  PO BOX 800</t>
  </si>
  <si>
    <t>6200 XERXES AVENUE SOUTH</t>
  </si>
  <si>
    <t>1900 SHERREN AVENUE</t>
  </si>
  <si>
    <t>601 GRANT AVENUE</t>
  </si>
  <si>
    <t>413 13TH AVENUE</t>
  </si>
  <si>
    <t>3815 WEST BROADWAY</t>
  </si>
  <si>
    <t>610 SUMMIT DRIVE</t>
  </si>
  <si>
    <t>600 FIFTH STREET SOUTHEAST, BOX 129</t>
  </si>
  <si>
    <t>211 NORTHWEST SECOND STREET</t>
  </si>
  <si>
    <t>1201 8TH STREET SOUTH</t>
  </si>
  <si>
    <t>1301 50TH STREET EAST</t>
  </si>
  <si>
    <t>119 FAUST STREET SOUTHEAST</t>
  </si>
  <si>
    <t>3245 VERA CRUZ AVENUE NORTH</t>
  </si>
  <si>
    <t>1003 WEST MAPLE</t>
  </si>
  <si>
    <t>110 NORTH 7TH STREET</t>
  </si>
  <si>
    <t>725 SECOND AVENUE SOUTH</t>
  </si>
  <si>
    <t>205 FIRST STREET NORTH</t>
  </si>
  <si>
    <t>420 MARSHALL AVENUE</t>
  </si>
  <si>
    <t>305 FREMONT STREET</t>
  </si>
  <si>
    <t>219 WEST MAPLE AVENUE, PO BOX 96</t>
  </si>
  <si>
    <t>1900 WEBBER STREET</t>
  </si>
  <si>
    <t>23028 - 347TH STREET SOUTHEAST</t>
  </si>
  <si>
    <t>300 NORTH DOW STREET</t>
  </si>
  <si>
    <t>2215 HIGHWAY 52 NORTH</t>
  </si>
  <si>
    <t>416 SEVENTH STREET NORTHEAST</t>
  </si>
  <si>
    <t>1101 BLACK OAK DRIVE</t>
  </si>
  <si>
    <t>625 PRAIRIE CENTER DRIVE</t>
  </si>
  <si>
    <t>2209 UTAH AVENUE</t>
  </si>
  <si>
    <t>506 HIGH STREET</t>
  </si>
  <si>
    <t>303 BROADWAY AVENUE SOUTH</t>
  </si>
  <si>
    <t>312  NORTHEAST 1ST STREET</t>
  </si>
  <si>
    <t>1201 17TH STREET NE</t>
  </si>
  <si>
    <t>2201 KEENAN DRIVE</t>
  </si>
  <si>
    <t>101 SOUTH HILL STREET</t>
  </si>
  <si>
    <t>2060 UPPER 55TH STREET EAST</t>
  </si>
  <si>
    <t>5825 ST CROIX AVENUE</t>
  </si>
  <si>
    <t>209 BIRCHWOOD AVENUE WEST PO BOX 700</t>
  </si>
  <si>
    <t>9200 NICOLLET AVENUE SOUTH</t>
  </si>
  <si>
    <t>253 PINE STREET</t>
  </si>
  <si>
    <t>1000 LOVELL AVENUE</t>
  </si>
  <si>
    <t>312 EAST GEORGE ST  PO BOX 136</t>
  </si>
  <si>
    <t>28210 OLD TOWNE ROAD</t>
  </si>
  <si>
    <t>1401 LAKE STREET NORTHWEST</t>
  </si>
  <si>
    <t>520 FIRST STREET NORTHEAST</t>
  </si>
  <si>
    <t>515 DIVISION STREET</t>
  </si>
  <si>
    <t>300 TENTH AVENUE SOUTHEAST</t>
  </si>
  <si>
    <t>433 COUNTY ROAD 30</t>
  </si>
  <si>
    <t>105 WEST LINDEN STREET</t>
  </si>
  <si>
    <t>901 LUTHER PLACE</t>
  </si>
  <si>
    <t>230 CHURCH AVENUE, BOX 676</t>
  </si>
  <si>
    <t>445 GALTIER AVENUE</t>
  </si>
  <si>
    <t>425 N ELM STREET</t>
  </si>
  <si>
    <t>313 SOUTH GREELEY STREET</t>
  </si>
  <si>
    <t>11501 MASONIC HOME DRIVE</t>
  </si>
  <si>
    <t>702 10TH AVENUE NORTHWEST, PO BOX 10</t>
  </si>
  <si>
    <t>800 SECOND AVENUE NORTHWEST</t>
  </si>
  <si>
    <t>400 NORTH 4TH AVENUE EAST</t>
  </si>
  <si>
    <t>1415 ALMOND AVENUE</t>
  </si>
  <si>
    <t>650 BREMER AVENUE SOUTH</t>
  </si>
  <si>
    <t>120 FOURTH STREET NORTHEAST</t>
  </si>
  <si>
    <t>1810 MINNESOTA BOULEVARD SOUTHEAST</t>
  </si>
  <si>
    <t>2000 WHITE BEAR AVENUE</t>
  </si>
  <si>
    <t>11800 XEON BOULEVARD</t>
  </si>
  <si>
    <t>213 PIONEER ROAD</t>
  </si>
  <si>
    <t>600 NORTHEAST RIVERSIDE AVENUE</t>
  </si>
  <si>
    <t>240 WILLOW STREET</t>
  </si>
  <si>
    <t>410 LUELLA STREET</t>
  </si>
  <si>
    <t>210 NORTHWEST 3RD STREET</t>
  </si>
  <si>
    <t>100 GLEN OAKS DRIVE</t>
  </si>
  <si>
    <t>600 SOUTH DAVIS AVENUE</t>
  </si>
  <si>
    <t>301 TROENDLE STREET</t>
  </si>
  <si>
    <t>850 SECOND STREET NORTHWEST</t>
  </si>
  <si>
    <t>500 PARK STREET EAST</t>
  </si>
  <si>
    <t>200 EARL STREET</t>
  </si>
  <si>
    <t>2501 RICE LAKE ROAD</t>
  </si>
  <si>
    <t>210 EAST GRAND AVENUE, PO BOX 365</t>
  </si>
  <si>
    <t>923 HALE LAKE POINTE</t>
  </si>
  <si>
    <t>400 - 15TH AVENUE SOUTHWEST</t>
  </si>
  <si>
    <t>5379 -383RD STREET</t>
  </si>
  <si>
    <t>250 FIFTH STREET EAST</t>
  </si>
  <si>
    <t>1219 SOUTH RAMSEY</t>
  </si>
  <si>
    <t>211 EAST MILL AVENUE</t>
  </si>
  <si>
    <t>129 EAST 6TH AVENUE</t>
  </si>
  <si>
    <t>142 NORTH FIRST STREET</t>
  </si>
  <si>
    <t>433 MILL STREET</t>
  </si>
  <si>
    <t>200 EAST NINTH AVENUE</t>
  </si>
  <si>
    <t>127 GUNDERSON BOULEVARD</t>
  </si>
  <si>
    <t>135 GERANIUM AVENUE EAST</t>
  </si>
  <si>
    <t>900 SECOND AVENUE</t>
  </si>
  <si>
    <t>201 SOUTHWEST 18TH STREET</t>
  </si>
  <si>
    <t>515 - 5TH AVENUE WEST</t>
  </si>
  <si>
    <t>2957 REDWOOD AVENUE SOUTH</t>
  </si>
  <si>
    <t>2912 FREMONT AVENUE NORTH</t>
  </si>
  <si>
    <t>108  8TH STREET NORTHWEST</t>
  </si>
  <si>
    <t>1910 WEST COUNTY ROAD D</t>
  </si>
  <si>
    <t>718 MOUND AVENUE</t>
  </si>
  <si>
    <t>10 SOUTHEAST FIFTH STREET</t>
  </si>
  <si>
    <t>800 HOME STREET,  BOX 747</t>
  </si>
  <si>
    <t>471 LYNNHURST AVENUE WEST</t>
  </si>
  <si>
    <t>965 MCMILLAN STREET</t>
  </si>
  <si>
    <t>525 WEST MAIN STREET</t>
  </si>
  <si>
    <t>1633 DELTON AVENUE</t>
  </si>
  <si>
    <t>1200 FIRST AVENUE NORTHEAST</t>
  </si>
  <si>
    <t>660 MAPLE STREET</t>
  </si>
  <si>
    <t>444 NORTH CORDOVA</t>
  </si>
  <si>
    <t>719 SOUTHEAST 2ND STREET</t>
  </si>
  <si>
    <t>105 GLENHAVEN DRIVE</t>
  </si>
  <si>
    <t>619 WEST SIXTH STREET</t>
  </si>
  <si>
    <t>201 SOUTH COUNTY ROAD 5</t>
  </si>
  <si>
    <t>1875 19TH STREET NORTHWEST</t>
  </si>
  <si>
    <t>1801 SOUTHWEST WILLMAR AVENUE</t>
  </si>
  <si>
    <t>740 KAY AVENUE</t>
  </si>
  <si>
    <t>182 SUNSET AVENUE</t>
  </si>
  <si>
    <t>3111 CHURCH STREET</t>
  </si>
  <si>
    <t>621 SOUTH 4TH  STREET</t>
  </si>
  <si>
    <t>3130 GRIMES AVENUE NORTH</t>
  </si>
  <si>
    <t>103 SCHOOL STREET,  PO BOX 340</t>
  </si>
  <si>
    <t>208 OPPEGARD AVENUE NORTHWEST, PO BOX 480</t>
  </si>
  <si>
    <t>401 PRAIRIE AVENUE NORTHEAST</t>
  </si>
  <si>
    <t>805 SIXTH AVENUE NORTHWEST</t>
  </si>
  <si>
    <t>730 SECOND STREET SOUTHEAST, PO BOX 157</t>
  </si>
  <si>
    <t>1102 LIBERTY STREET SOUTHEAST</t>
  </si>
  <si>
    <t>3220 LAKE JOHANNA BOULEVARD</t>
  </si>
  <si>
    <t>1201 GARFIELD AVENUE</t>
  </si>
  <si>
    <t>2255 30TH STREET NW</t>
  </si>
  <si>
    <t>901 SOUTHEAST WILLMAR AVENUE</t>
  </si>
  <si>
    <t>115 10TH AVENUE NORTHEAST</t>
  </si>
  <si>
    <t>125 5TH AVENUE SOUTHEAST</t>
  </si>
  <si>
    <t>318 SECOND STREET NORTHEAST</t>
  </si>
  <si>
    <t>135 FERN STREET NORTH</t>
  </si>
  <si>
    <t>112 ST OLAF AVENUE SOUTH</t>
  </si>
  <si>
    <t>1020 LARK STREET</t>
  </si>
  <si>
    <t>420 12TH AVENUE EAST</t>
  </si>
  <si>
    <t>55 TENTH STREET SOUTHEAST</t>
  </si>
  <si>
    <t>409 JEFFERSON AVENUE SOUTHWEST</t>
  </si>
  <si>
    <t>1717 UNIVERSITY DRIVE SOUTHEAST</t>
  </si>
  <si>
    <t>817 MAIN STREET NORTHEAST</t>
  </si>
  <si>
    <t>102 EAST NORTH STREET</t>
  </si>
  <si>
    <t>75507 240TH STREET</t>
  </si>
  <si>
    <t>800 MEMORIAL DRIVE</t>
  </si>
  <si>
    <t>1340 THIRD AVENUE WEST</t>
  </si>
  <si>
    <t>715 NORTH FIRST STREET</t>
  </si>
  <si>
    <t>1200 12TH STREET SOUTHWEST</t>
  </si>
  <si>
    <t>9899 AVOCET STREET NORTHWEST</t>
  </si>
  <si>
    <t>906 COLLEGE AVENUE</t>
  </si>
  <si>
    <t>815 FOREST AVENUE</t>
  </si>
  <si>
    <t>1075 ROY STREET</t>
  </si>
  <si>
    <t>1879 FERONIA AVENUE</t>
  </si>
  <si>
    <t>824 SOUTH SHERIDAN</t>
  </si>
  <si>
    <t>109 COURT AVENUE SOUTH</t>
  </si>
  <si>
    <t>601 WEST JACKSON</t>
  </si>
  <si>
    <t>901 9TH STREET NORTH</t>
  </si>
  <si>
    <t>551 FOURTH STREET NORTH</t>
  </si>
  <si>
    <t>3700 CEDAR LAKE AVENUE</t>
  </si>
  <si>
    <t>1405 7TH STREET SOUTH</t>
  </si>
  <si>
    <t>5409 69TH AVENUE NORTH</t>
  </si>
  <si>
    <t>1131 SOUTH MABELLE AVENUE</t>
  </si>
  <si>
    <t>305 MINNESOTA STREET</t>
  </si>
  <si>
    <t>410 WEST MAIN STREET</t>
  </si>
  <si>
    <t>503 E LINCOLN STREET</t>
  </si>
  <si>
    <t>304 WASHINGTON AVENUE WEST</t>
  </si>
  <si>
    <t>5211 HIGHWAY 110</t>
  </si>
  <si>
    <t>715 DELMORE DRIVE</t>
  </si>
  <si>
    <t>402 - 13TH AVENUE</t>
  </si>
  <si>
    <t>640 THIRD STREET</t>
  </si>
  <si>
    <t>200 PARK LANE</t>
  </si>
  <si>
    <t>102 COUNTY STATE AID HIGHWAY 9</t>
  </si>
  <si>
    <t>518 JEFFERSON AVENUE, PO BOX 29</t>
  </si>
  <si>
    <t>514 HUMBOLDT AVENUE</t>
  </si>
  <si>
    <t>220 THIRD STREET NORTHWEST</t>
  </si>
  <si>
    <t>7700 GRAND AVENUE</t>
  </si>
  <si>
    <t>516 WALSH STREET</t>
  </si>
  <si>
    <t>735 THIRD STREET SOUTHWEST</t>
  </si>
  <si>
    <t>1200 FIFTH GRANT BOULEVARD WEST</t>
  </si>
  <si>
    <t>100 BUFFALO HILLS LANE</t>
  </si>
  <si>
    <t>1415 MADISON AVENUE</t>
  </si>
  <si>
    <t>1314 EIGHTH STREET NORTH</t>
  </si>
  <si>
    <t>710 SOUTH KENWOOD AVENUE</t>
  </si>
  <si>
    <t>7727 PORTLAND AVENUE SOUTH</t>
  </si>
  <si>
    <t>615 MINNETONKA MILLS ROAD</t>
  </si>
  <si>
    <t>701 FIRST STREET</t>
  </si>
  <si>
    <t>2801 SOUTH HIGHWAY 169</t>
  </si>
  <si>
    <t>700 NORTH MONROE STREET</t>
  </si>
  <si>
    <t>1520 WYMAN AVENUE</t>
  </si>
  <si>
    <t>425 NORTH BADGER STREET</t>
  </si>
  <si>
    <t>804 WRIGHT STREET</t>
  </si>
  <si>
    <t>1907 KLEIN STREET</t>
  </si>
  <si>
    <t>201 9TH STREET WEST</t>
  </si>
  <si>
    <t>714 SOUTHBEND AVENUE</t>
  </si>
  <si>
    <t>810 WEST MAIN STREET</t>
  </si>
  <si>
    <t>649 STATE STREET NORTHWEST</t>
  </si>
  <si>
    <t>1013 HART BOULEVARD</t>
  </si>
  <si>
    <t>900 HILLIGOSS BOULEVARD SOUTHEAST</t>
  </si>
  <si>
    <t>310 LAKE BOULEVARD</t>
  </si>
  <si>
    <t>1001 COLUMBUS AVENUE NORTH</t>
  </si>
  <si>
    <t>700 JAMES AVENUE</t>
  </si>
  <si>
    <t>201 OAKLAWN AVENUE</t>
  </si>
  <si>
    <t>8000 BASS LAKE ROAD</t>
  </si>
  <si>
    <t>3915 GOLDEN VALLEY ROAD</t>
  </si>
  <si>
    <t>625 WEST 31ST STREET</t>
  </si>
  <si>
    <t>406 EAST HIGHWAY 71, PO BOX 38</t>
  </si>
  <si>
    <t>221 6TH STREET SOUTHWEST</t>
  </si>
  <si>
    <t>305 3RD AVENUE SOUTHWEST</t>
  </si>
  <si>
    <t>815 MAIN AVENUE SOUTH</t>
  </si>
  <si>
    <t>258 PINE TREE DRIVE, PO BOX 258</t>
  </si>
  <si>
    <t>24 - 8TH STREET NORTHWEST</t>
  </si>
  <si>
    <t>1012 EAST THIRD STREET</t>
  </si>
  <si>
    <t>439 WILLIAM AVENUE EAST, PO BOX 383</t>
  </si>
  <si>
    <t>640 JACKSON STREET</t>
  </si>
  <si>
    <t>24856 HOSPITAL DRIVE</t>
  </si>
  <si>
    <t>115 NORTH LYNDALE, RR 2  BOX 49</t>
  </si>
  <si>
    <t>605 MAIN STREET,  PO BOX 40</t>
  </si>
  <si>
    <t>907 MARSHALL AVENUE,  PO BOX 57</t>
  </si>
  <si>
    <t>912 MAIN STREET</t>
  </si>
  <si>
    <t>512 49TH AVENUE NORTH</t>
  </si>
  <si>
    <t>BOX 8 300 GARFIELD AVENUE SOUTHEAST</t>
  </si>
  <si>
    <t>3401 EAST MEDICINE LAKE BOULEVARD</t>
  </si>
  <si>
    <t>603 LOUISIANA AVENUE</t>
  </si>
  <si>
    <t>505 EAST 4TH STREET</t>
  </si>
  <si>
    <t>745 BASINGER MEMORIAL DRIVE</t>
  </si>
  <si>
    <t>410 SOUTH MCKINLEY STREET</t>
  </si>
  <si>
    <t>805 FIFTH STREET, BOX 458</t>
  </si>
  <si>
    <t>HIGHWAY 14 EAST PO BOX 219</t>
  </si>
  <si>
    <t>308 SHERMAN AVENUE</t>
  </si>
  <si>
    <t>205 SOUTHEAST ELM AVENUE</t>
  </si>
  <si>
    <t>9889 PENN AVENUE SOUTH</t>
  </si>
  <si>
    <t>705 SIXTH STREET</t>
  </si>
  <si>
    <t>317 FIRST STREET NORTHWEST</t>
  </si>
  <si>
    <t>505 TROSKY ROAD WEST</t>
  </si>
  <si>
    <t>900 CANNON VALLEY DRIVE</t>
  </si>
  <si>
    <t>SOUTH TOUSLEY, PO BOX 188</t>
  </si>
  <si>
    <t>427 MAIN STREET NORTHEAST</t>
  </si>
  <si>
    <t>114 JEFFERSON STREET SOUTH</t>
  </si>
  <si>
    <t>510 EAST CEDAR STREET</t>
  </si>
  <si>
    <t>110 SOUTH WALNUT AVENUE</t>
  </si>
  <si>
    <t>133  FOURTH AVENUE EAST</t>
  </si>
  <si>
    <t>400 SEVENTH STREET</t>
  </si>
  <si>
    <t>403 COLONIAL AVENUE</t>
  </si>
  <si>
    <t>1012 NORTH DIVISION STREET  PO BOX 797</t>
  </si>
  <si>
    <t>3620 PHILLIPS PARKWAY SOUTH</t>
  </si>
  <si>
    <t>800 SPRUCE AVENUE</t>
  </si>
  <si>
    <t>2309 HAYES STREET NORTHEAST</t>
  </si>
  <si>
    <t>116 WEST SECOND STREET</t>
  </si>
  <si>
    <t>600 MAIN AVENUE SOUTH</t>
  </si>
  <si>
    <t>201 SHADY LANE DRIVE</t>
  </si>
  <si>
    <t>594 CHERRY DRIVE</t>
  </si>
  <si>
    <t>303 SEVENTH STREET SOUTH</t>
  </si>
  <si>
    <t>2545 PORTLAND AVENUE SOUTH</t>
  </si>
  <si>
    <t>212 WEST SOO STREET, BOX 30</t>
  </si>
  <si>
    <t>703 WEST YELLOWSTONE TRAIL, PO 368</t>
  </si>
  <si>
    <t>611 WEST MAIN STREET</t>
  </si>
  <si>
    <t>1311 NORTH HIAWATHA</t>
  </si>
  <si>
    <t>123 BAKEN STREET</t>
  </si>
  <si>
    <t>1000 SOUTH SECOND STREET</t>
  </si>
  <si>
    <t>96 THIRD STREET EAST</t>
  </si>
  <si>
    <t>149 FIRST STREET, BOX 218</t>
  </si>
  <si>
    <t>1307 SOUTH SHORE DRIVE PO BOX 69</t>
  </si>
  <si>
    <t>16561 US HIGHWAY 10</t>
  </si>
  <si>
    <t>411 SEVENTH AVENUE NORTHWEST</t>
  </si>
  <si>
    <t>700 THIRD AVENUE NORTHWEST</t>
  </si>
  <si>
    <t>172 SUMMIT AVENUE WEST</t>
  </si>
  <si>
    <t>501 OAK STREET</t>
  </si>
  <si>
    <t>1850 SARAZIN STREET</t>
  </si>
  <si>
    <t>431 PRAIRIE CENTER DRIVE</t>
  </si>
  <si>
    <t>1000 FOREST STREET PO BOX 724</t>
  </si>
  <si>
    <t>5919 CENTERVILLE ROAD</t>
  </si>
  <si>
    <t>13575 58TH STREET</t>
  </si>
  <si>
    <t>525 FAIRVIEW AVENUE SOUTH</t>
  </si>
  <si>
    <t>61 THOMPSON AVENUE WEST</t>
  </si>
  <si>
    <t>5200 OAK GROVE PARKWAY</t>
  </si>
  <si>
    <t>100 PROMENADE AVENUE</t>
  </si>
  <si>
    <t>25565 FAIRVIEW AVENUE</t>
  </si>
  <si>
    <t>520 OSBORNE ROAD NORTHEAST</t>
  </si>
  <si>
    <t>2775 CAMPUS DRIVE NORTH</t>
  </si>
  <si>
    <t>1860 UNIVERSITY AVENUE WEST</t>
  </si>
  <si>
    <t>1900 BALLINGTON BOULEVARD NW</t>
  </si>
  <si>
    <t>14585 59TH AVENUE NORTH</t>
  </si>
  <si>
    <t>1777 CURTIS DRIVE</t>
  </si>
  <si>
    <t>200 HWY 30 WEST</t>
  </si>
  <si>
    <t>1430 HIGHWAY 4 EAST / P O BOX 6000</t>
  </si>
  <si>
    <t>1002 EAST MADISON STREET</t>
  </si>
  <si>
    <t>15 SOUTH 6TH STREET</t>
  </si>
  <si>
    <t>70 MEDICAL PLAZA</t>
  </si>
  <si>
    <t>1105 EARL FRYE BLVD / PO BOX 459</t>
  </si>
  <si>
    <t>923 SOUTH CHRUCH STREET</t>
  </si>
  <si>
    <t>1001 HOLLAND AVENUE</t>
  </si>
  <si>
    <t>100 HOSPITAL DRIVE</t>
  </si>
  <si>
    <t>205 N CHERRY STREET</t>
  </si>
  <si>
    <t>400 HOSPITAL ROAD /MAIL PO BOX 1506</t>
  </si>
  <si>
    <t>630 SOUTH MAIN STREET</t>
  </si>
  <si>
    <t>835 MEDICAL CENTER DR</t>
  </si>
  <si>
    <t>950 MATTHEW DR</t>
  </si>
  <si>
    <t>47 SOUTH FOURTH ST</t>
  </si>
  <si>
    <t>1102 CONSTITUTION AVENUE</t>
  </si>
  <si>
    <t>1560 SUMRALL RD</t>
  </si>
  <si>
    <t>901 E SUNFLOWER RD</t>
  </si>
  <si>
    <t>121 E BAKER ST</t>
  </si>
  <si>
    <t>300 3RD AVE SE</t>
  </si>
  <si>
    <t>1320 WINFIELD STREET</t>
  </si>
  <si>
    <t>562 EAST MAIN STREE/P. O. BOX 967</t>
  </si>
  <si>
    <t>56 ROCKPORT ROAD</t>
  </si>
  <si>
    <t>1530 BROAD AVE</t>
  </si>
  <si>
    <t>2279 ATKINSON ROAD</t>
  </si>
  <si>
    <t>935 WEST DR</t>
  </si>
  <si>
    <t>543 EAST MAIN STREET/PO BOX 542</t>
  </si>
  <si>
    <t>505 JACKSON ST</t>
  </si>
  <si>
    <t>200 MEDICAL CIRCLE</t>
  </si>
  <si>
    <t>415 MARION AVE</t>
  </si>
  <si>
    <t>101 CUNNINGHAM DR</t>
  </si>
  <si>
    <t>3454 ALBERMARLE RD</t>
  </si>
  <si>
    <t>1950 GRANDVIEW DRIVE</t>
  </si>
  <si>
    <t>2273 SOUTH EASON BOULEVARD</t>
  </si>
  <si>
    <t>355 CROSSGATE BLVD</t>
  </si>
  <si>
    <t>1101 EAST FRANKLIN STREET</t>
  </si>
  <si>
    <t>1730 DORCHESTER DR</t>
  </si>
  <si>
    <t>3701 JOANNE DRIVE</t>
  </si>
  <si>
    <t>1122 N ESHMAN AVENUE</t>
  </si>
  <si>
    <t>1600 RAYMOND RD</t>
  </si>
  <si>
    <t>800 STANSEL DR/P O BOX 368</t>
  </si>
  <si>
    <t>4036 HIGHWAY 8 EAST</t>
  </si>
  <si>
    <t>4540 MANHATTAN RD</t>
  </si>
  <si>
    <t>3680 LAKELAND LANE</t>
  </si>
  <si>
    <t>156 E WALNUT AVE/BOX 918</t>
  </si>
  <si>
    <t>4728 HIGHWAY 39 N/BOX 3604</t>
  </si>
  <si>
    <t>1215 EARL FRYE DRIVE</t>
  </si>
  <si>
    <t>1900 CHADWICK DRIVE</t>
  </si>
  <si>
    <t>116 SOUTH LAFAYETTE STREET</t>
  </si>
  <si>
    <t>1410 WEST QUITMAN STREET</t>
  </si>
  <si>
    <t>840 NORTH OAK AVENUE/P. O. BOX 369</t>
  </si>
  <si>
    <t>1005 CITY AVENUE NORTH</t>
  </si>
  <si>
    <t>1901 BRIAR RIDGE ROAD</t>
  </si>
  <si>
    <t>16056 BOUNDRY DRIVE/PO BOX 490</t>
  </si>
  <si>
    <t>154 WOODLAND ROAD      /   PO BOX 1469</t>
  </si>
  <si>
    <t>2850 PORTER'S CHAPEL ROAD</t>
  </si>
  <si>
    <t>1620 READ ROAD</t>
  </si>
  <si>
    <t>1199 OCEAN SPRINGS ROAD</t>
  </si>
  <si>
    <t>501 SOUTH LOCUST STREET</t>
  </si>
  <si>
    <t>925 CALHOUN AVENUE</t>
  </si>
  <si>
    <t>102 WOODCHASE PARK DRIVE</t>
  </si>
  <si>
    <t>908 S GEORGE STREET</t>
  </si>
  <si>
    <t>925 WEST MANGUM AVENUE</t>
  </si>
  <si>
    <t>1009 SOUTH MAIN STREET</t>
  </si>
  <si>
    <t>902 SGT JOHN A PITTMAN DRIVE</t>
  </si>
  <si>
    <t>1966 HILL DRIVE</t>
  </si>
  <si>
    <t>#10 MEDICAL BOULEVARD</t>
  </si>
  <si>
    <t>202 BAY AVENUE WEST</t>
  </si>
  <si>
    <t>1905 SOUTH ADAMS STREET</t>
  </si>
  <si>
    <t>739 4TH STREET SOUTH</t>
  </si>
  <si>
    <t>525 BROOKMAN DRIVE</t>
  </si>
  <si>
    <t>5427 GEX ROAD</t>
  </si>
  <si>
    <t>910 MAIN STREET</t>
  </si>
  <si>
    <t>1201 28TH AVENUE</t>
  </si>
  <si>
    <t>5001 HARDY STREET</t>
  </si>
  <si>
    <t>587 JOHN R JUNKIN DRIVE</t>
  </si>
  <si>
    <t>627 MIDDLETON ROAD</t>
  </si>
  <si>
    <t>1001 HOSPITAL ROAD</t>
  </si>
  <si>
    <t>555 JOHN R. JUNKIN DRIVE</t>
  </si>
  <si>
    <t>3401 MAIN STREET</t>
  </si>
  <si>
    <t>519 BROOKMAN DRIVE</t>
  </si>
  <si>
    <t>1300 MELODY LANE/PO BOX 640</t>
  </si>
  <si>
    <t>55 SUSANNE STREET</t>
  </si>
  <si>
    <t>16411 ROBINSON ROAD</t>
  </si>
  <si>
    <t>401 HIGHWAY 82 WEST</t>
  </si>
  <si>
    <t>326 HIGHWAY 12 WEST</t>
  </si>
  <si>
    <t>2124 OLD HWY 61 SOUTH</t>
  </si>
  <si>
    <t>310 EMERALD DRIVE</t>
  </si>
  <si>
    <t>4403 HOSPITAL ROAD</t>
  </si>
  <si>
    <t>133 PINE STREET</t>
  </si>
  <si>
    <t>907 EAST WALKER STREET/PO BOX 69</t>
  </si>
  <si>
    <t>300 HWY 556/ROUTE 2 BOX 66</t>
  </si>
  <si>
    <t>700 JEFFERSON STREET SOUTH/PO BOX 398</t>
  </si>
  <si>
    <t>1207 SOUTH FIR AVENUE</t>
  </si>
  <si>
    <t>1600 WEST CLAIBORNE AVENUE EXTENDED</t>
  </si>
  <si>
    <t>402 ARNOLD AVENUE</t>
  </si>
  <si>
    <t>230 KHAKI STREET</t>
  </si>
  <si>
    <t>570 NORTH SOLOMON STREET</t>
  </si>
  <si>
    <t>431 WEST RACE STREET</t>
  </si>
  <si>
    <t>101 MILLS STREET</t>
  </si>
  <si>
    <t>230 AIRLINE ROAD</t>
  </si>
  <si>
    <t>344 ARLINGTON AVENUE</t>
  </si>
  <si>
    <t>1506 NORTH MAIN STREET</t>
  </si>
  <si>
    <t>200 DR MARTIN LUTHER KING JR DRIVE</t>
  </si>
  <si>
    <t>1315  HIGHWAY 4 EAST</t>
  </si>
  <si>
    <t>2520 5TH STREET NORTH</t>
  </si>
  <si>
    <t>302 ALCORN DRIVE</t>
  </si>
  <si>
    <t>530 HALL ST</t>
  </si>
  <si>
    <t>60 SHADY LAWN PLACE</t>
  </si>
  <si>
    <t>314 ENOCHS ST</t>
  </si>
  <si>
    <t>6520 SUNSCOPE DRIVE</t>
  </si>
  <si>
    <t>103 CUNNINGHAM DRIVE</t>
  </si>
  <si>
    <t>865 NORTH STREET</t>
  </si>
  <si>
    <t>96 OLD HIGHWAY 80 EAST/P. O. BOX 459</t>
  </si>
  <si>
    <t>220 WILLOW AVENUE</t>
  </si>
  <si>
    <t>1221 EAST UNION STREET</t>
  </si>
  <si>
    <t>1708 CHERRY STREET</t>
  </si>
  <si>
    <t>81 WINDSOR BOULEVARD</t>
  </si>
  <si>
    <t>500 CCC ROAD</t>
  </si>
  <si>
    <t>101 KIRKLAND STREET</t>
  </si>
  <si>
    <t>3716 HIGHWAY 39 NORTH</t>
  </si>
  <si>
    <t>1036 WEST DRIVE</t>
  </si>
  <si>
    <t>517 33RD STREET</t>
  </si>
  <si>
    <t>200 LONG STREET/P. O. BOX 326</t>
  </si>
  <si>
    <t>37 HILLCREST DRIVE</t>
  </si>
  <si>
    <t>100 BURNHAM ROAD</t>
  </si>
  <si>
    <t>1120 RITCHIE AVE/PO BOX 1304</t>
  </si>
  <si>
    <t>118 SOUTH GLENFIELD ROAD</t>
  </si>
  <si>
    <t>1301 BELK BOULEVARD</t>
  </si>
  <si>
    <t>278 WEST EIGHTH STREET</t>
  </si>
  <si>
    <t>323 INDUSTRIAL PARK DRIVE</t>
  </si>
  <si>
    <t>1018 ALBERTA AVENUE</t>
  </si>
  <si>
    <t>927 COOPER RD</t>
  </si>
  <si>
    <t>638 HIGHLAND COLONY PARKWAY</t>
  </si>
  <si>
    <t>3701 PETER QUINN DRIVE</t>
  </si>
  <si>
    <t>1004 NORTH ST</t>
  </si>
  <si>
    <t>1017 JACKSON STREET</t>
  </si>
  <si>
    <t>1401 FIRST AVENUE NORTHEAST</t>
  </si>
  <si>
    <t>613 EAST LEE STREET</t>
  </si>
  <si>
    <t>1714 WHITE STREET</t>
  </si>
  <si>
    <t>3068 NAIL ROAD WEST</t>
  </si>
  <si>
    <t>1251 PINEHAVEN ROAD</t>
  </si>
  <si>
    <t>868 MULBERRY STREET</t>
  </si>
  <si>
    <t>3103 WISCONSIN AVENUE</t>
  </si>
  <si>
    <t>1129 LANGLEY AVE</t>
  </si>
  <si>
    <t>1304 WALNUT ST</t>
  </si>
  <si>
    <t>538 MENGE AVENUE</t>
  </si>
  <si>
    <t>191 HIGHWAY 511 EAST</t>
  </si>
  <si>
    <t>5090 GAUTIER VANCLEAVE ROAD</t>
  </si>
  <si>
    <t>1500 BROAD AVENUE</t>
  </si>
  <si>
    <t>806 WEST GEORGETOWN STREET</t>
  </si>
  <si>
    <t>1935 NORTH THEOBOLD EXTENSION</t>
  </si>
  <si>
    <t>1108 CHURCH STREET</t>
  </si>
  <si>
    <t>340 DESOTO AVE EXTENDED</t>
  </si>
  <si>
    <t>7805 SOUTHCREST PARKWAY</t>
  </si>
  <si>
    <t>300 CAHAL STREET</t>
  </si>
  <si>
    <t>2002 5TH STREET NORTH</t>
  </si>
  <si>
    <t>49 WILLOW CREEK LANE</t>
  </si>
  <si>
    <t>307 REED RD</t>
  </si>
  <si>
    <t>402 GETWELL DR</t>
  </si>
  <si>
    <t>1201 GUNTER ROAD</t>
  </si>
  <si>
    <t>1308 HIGHWAY 51 NORTH</t>
  </si>
  <si>
    <t>1126 EARL FRYE BOULEVARD, SOUTH</t>
  </si>
  <si>
    <t>1000 EAST MADISON</t>
  </si>
  <si>
    <t>2901 HIGHWAY 82 EAST</t>
  </si>
  <si>
    <t>1436 EAST CENTRAL AVENUE</t>
  </si>
  <si>
    <t>2800 WEST MAIN STREET</t>
  </si>
  <si>
    <t>503 SILVER CROSS DRIVE</t>
  </si>
  <si>
    <t>111 CHASE STREET</t>
  </si>
  <si>
    <t>1111 BRATTON ROAD</t>
  </si>
  <si>
    <t>804 EAST MAIN STREET</t>
  </si>
  <si>
    <t>1920 LISA DRIVE EXTENDED</t>
  </si>
  <si>
    <t>6615 P0PLAR SPRINGS DR</t>
  </si>
  <si>
    <t>11 PECAN DRIVE</t>
  </si>
  <si>
    <t>830 SOUTH GLOSTER</t>
  </si>
  <si>
    <t>25112 HIGHWAY 15, UNION, MS</t>
  </si>
  <si>
    <t>1677 HIGHWAY 9 NORTH</t>
  </si>
  <si>
    <t>100 LAUREN DRIVE</t>
  </si>
  <si>
    <t>514 BAY STREET</t>
  </si>
  <si>
    <t>725 DUNBAR AVE</t>
  </si>
  <si>
    <t>4347 WEST GAY ROAD</t>
  </si>
  <si>
    <t>176 HIGHWAY 9 SOUTH  BOX 1280</t>
  </si>
  <si>
    <t>5420 HIGHWAY 80 EAST</t>
  </si>
  <si>
    <t>1116 FOREST AVENUE</t>
  </si>
  <si>
    <t>2041 GRAND AVE</t>
  </si>
  <si>
    <t>6434 A DALE DR</t>
  </si>
  <si>
    <t>1421-A  EAST PEACE STREET/P. O. BOX 488</t>
  </si>
  <si>
    <t>701 SOUTH HOLLY STREET</t>
  </si>
  <si>
    <t>15481 BOWLING GREEN ROAD</t>
  </si>
  <si>
    <t>859 WINTER ST</t>
  </si>
  <si>
    <t>1024 HIGHWAY 61 SOUTH</t>
  </si>
  <si>
    <t>6051 US HIGHWAY 49 SOUTH</t>
  </si>
  <si>
    <t>683 COUNTY HOME ROAD</t>
  </si>
  <si>
    <t>6428 US HIGHWAY 11</t>
  </si>
  <si>
    <t>135 HOSPITAL CIRCLE</t>
  </si>
  <si>
    <t>211 WINDMILL DRIVE</t>
  </si>
  <si>
    <t>11240 CANAL ROAD</t>
  </si>
  <si>
    <t>309 MAGNOLIA DR/HIGHWAY 35 SOUTH</t>
  </si>
  <si>
    <t>17651 B HWY</t>
  </si>
  <si>
    <t>315 S OSTEOPATHY</t>
  </si>
  <si>
    <t>1333 SAM HOUSTON BOULEVARD</t>
  </si>
  <si>
    <t>615 W NURSERY ST</t>
  </si>
  <si>
    <t>2016 SOUTH MAIN ST</t>
  </si>
  <si>
    <t>1600 E EVERGREEN</t>
  </si>
  <si>
    <t>946 EAST REED</t>
  </si>
  <si>
    <t>1515 UNION AVE</t>
  </si>
  <si>
    <t>403 BURKARTH ROAD</t>
  </si>
  <si>
    <t>1212 WEBER RD</t>
  </si>
  <si>
    <t>2305 S 65 HIGHWAY</t>
  </si>
  <si>
    <t>1200 N ONE MILE RD</t>
  </si>
  <si>
    <t>1600 N 2ND ST</t>
  </si>
  <si>
    <t>1500 N OAKLAND</t>
  </si>
  <si>
    <t>13995 CLAYTON ROAD</t>
  </si>
  <si>
    <t>1000 MAIN STREET</t>
  </si>
  <si>
    <t>13190 SOUTH OUTER 40 ROAD</t>
  </si>
  <si>
    <t>2042 N BUSINESS ROUTE 5</t>
  </si>
  <si>
    <t>600 NW PRYOR ROAD</t>
  </si>
  <si>
    <t>13550 SOUTH OUTER 40 ROAD</t>
  </si>
  <si>
    <t>2500 PLEASANT STREET</t>
  </si>
  <si>
    <t>901 SOUTH  ADAMS</t>
  </si>
  <si>
    <t>1200 GRAHAM ROAD</t>
  </si>
  <si>
    <t>2840 WEST CLAY</t>
  </si>
  <si>
    <t>936 CHARBONIER ROAD</t>
  </si>
  <si>
    <t>15201 OLIVE BOULEVARD</t>
  </si>
  <si>
    <t>596 MORTON ROAD</t>
  </si>
  <si>
    <t>110 HIGHLAND AVENUE</t>
  </si>
  <si>
    <t>14275 HIGHWAY Z</t>
  </si>
  <si>
    <t>12509 VILLAGE CIRCLE DRIVE</t>
  </si>
  <si>
    <t>313 AUGUSTINE RD, PO BOX 600</t>
  </si>
  <si>
    <t>3120 INDEPENDENCE STREET</t>
  </si>
  <si>
    <t>5900 SWOPE PARKWAY</t>
  </si>
  <si>
    <t>2800 HIGHWAY TT</t>
  </si>
  <si>
    <t>211 DAVIS DRIVE, PO BOX 497</t>
  </si>
  <si>
    <t>15197 CLAYTON ROAD</t>
  </si>
  <si>
    <t>2800 SOUTH FORT AVENUE, PO BOX 3438GS</t>
  </si>
  <si>
    <t>801 BRIM STREET, PO BOX AA</t>
  </si>
  <si>
    <t>7601 WATSON ROAD</t>
  </si>
  <si>
    <t>1221 BOONSLICK ROAD</t>
  </si>
  <si>
    <t>3403 WEST MT VERNON</t>
  </si>
  <si>
    <t>29612 KELLOGG AVENUE, PO BOX 465</t>
  </si>
  <si>
    <t>210 DAVIS DRIVE</t>
  </si>
  <si>
    <t>1220 EAST MARSHALL</t>
  </si>
  <si>
    <t>35 SUGAR MAPLE LANE</t>
  </si>
  <si>
    <t>904 EAST 68TH STREET</t>
  </si>
  <si>
    <t>1120 FALCON,  PO BOX 696</t>
  </si>
  <si>
    <t>1500 SOUTH KANSAS AVENUE</t>
  </si>
  <si>
    <t>14855 NORTH OUTER 40 ROAD</t>
  </si>
  <si>
    <t>844 PASSOVER ROAD</t>
  </si>
  <si>
    <t>11160 VILLAGE NORTH DRIVE</t>
  </si>
  <si>
    <t>2700 EAST 34TH STREET,  PO BOX 2877</t>
  </si>
  <si>
    <t>1083 OZARK CARE DRIVE, PO BOX 270</t>
  </si>
  <si>
    <t>65 STATE HWY AA</t>
  </si>
  <si>
    <t>1700 SOUTH HUDSON AVENUE</t>
  </si>
  <si>
    <t>365 SOUTH BROADVIEW STREET</t>
  </si>
  <si>
    <t>2915 SOUTH FREMONT</t>
  </si>
  <si>
    <t>3100 WARRIOR LANE</t>
  </si>
  <si>
    <t>300 FORBY ROAD</t>
  </si>
  <si>
    <t>316 SOUTH OSTEOPATHY STREET</t>
  </si>
  <si>
    <t>4330 WASHINGTON</t>
  </si>
  <si>
    <t>701 SUNSET HILLS DR, PO BOX 187</t>
  </si>
  <si>
    <t>324 WEST 5TH STREET</t>
  </si>
  <si>
    <t>2350 KANELL BLVD</t>
  </si>
  <si>
    <t>1030 EDMONDS STREET</t>
  </si>
  <si>
    <t>1050 DAWSON ROAD</t>
  </si>
  <si>
    <t>1001 NORTH WALNUT</t>
  </si>
  <si>
    <t>1333 SCENIC DRIVE</t>
  </si>
  <si>
    <t>415 SIDNEY STREET, PO BOX 69</t>
  </si>
  <si>
    <t>509 MEADOWLARK AVENUE</t>
  </si>
  <si>
    <t>11988 MARK TWAIN LANE</t>
  </si>
  <si>
    <t>1410 WEST LINE STREET, PO BOX 232</t>
  </si>
  <si>
    <t>52435 INFIRMARY ROAD</t>
  </si>
  <si>
    <t>FIRST AND HWY 54</t>
  </si>
  <si>
    <t>750 WEST COOPER, PO BOX 978</t>
  </si>
  <si>
    <t>715 S STATE ROUTE 19</t>
  </si>
  <si>
    <t>1705 EAST LAHARPE</t>
  </si>
  <si>
    <t>174 BALLPARK ROAD</t>
  </si>
  <si>
    <t>1801 TOWNE DRIVE</t>
  </si>
  <si>
    <t>206 WEST FIRST STREET</t>
  </si>
  <si>
    <t>2004 CRESTVIEW STREET, PO BOX 727</t>
  </si>
  <si>
    <t>1009 EAST OHIO</t>
  </si>
  <si>
    <t>23144 HIGHWAY 32</t>
  </si>
  <si>
    <t>400 LYON DRIVE</t>
  </si>
  <si>
    <t>416 SOUTH HIGH STREET</t>
  </si>
  <si>
    <t>1800 WHITE COLUMNS DRIVE</t>
  </si>
  <si>
    <t>1720 VIETH DR</t>
  </si>
  <si>
    <t>276 FOUNTAIN LANE</t>
  </si>
  <si>
    <t>3535 S NATIONAL AVE</t>
  </si>
  <si>
    <t>300 LIFE CARE LANE</t>
  </si>
  <si>
    <t>12120 CONWAY ROAD</t>
  </si>
  <si>
    <t>1201 HUNT AVENUE</t>
  </si>
  <si>
    <t>621 CARONDELET DRIVE</t>
  </si>
  <si>
    <t>2077 STADIUM DRIVE</t>
  </si>
  <si>
    <t>11221 NORTH NASHUA DRIVE</t>
  </si>
  <si>
    <t>2218 W 32ND STREET</t>
  </si>
  <si>
    <t>5300 BUTLER HILL ROAD</t>
  </si>
  <si>
    <t>77 MEDICAL DRIVE, PO BOX 628</t>
  </si>
  <si>
    <t>2920 FEE FEE ROAD</t>
  </si>
  <si>
    <t>401 MAR-LE DRIVE</t>
  </si>
  <si>
    <t>1901 BUENA VISTA AVENUE</t>
  </si>
  <si>
    <t>700 GARDEN PATH</t>
  </si>
  <si>
    <t>100 WOODLAND COURT</t>
  </si>
  <si>
    <t>4401 PARKER ROAD</t>
  </si>
  <si>
    <t>901 EAST HWY 174</t>
  </si>
  <si>
    <t>1000 W TENTH ST</t>
  </si>
  <si>
    <t>2041 SILVA LANE</t>
  </si>
  <si>
    <t>10954 KENNERLY ROAD</t>
  </si>
  <si>
    <t>308 CEDAR AVENUE, PO BOX 218</t>
  </si>
  <si>
    <t>2646 STATE ROUTE 76, PO BOX 309</t>
  </si>
  <si>
    <t>4009 GENE FIELD ROAD</t>
  </si>
  <si>
    <t>105 SOUTH SIXTH STREET</t>
  </si>
  <si>
    <t>550 WHITE ROAD</t>
  </si>
  <si>
    <t>6124 RAYTOWN ROAD</t>
  </si>
  <si>
    <t>875 DUNSFORD DRIVE</t>
  </si>
  <si>
    <t>13700 OLD HALLS FERRY ROAD</t>
  </si>
  <si>
    <t>850 COUNTRY MANOR LANE</t>
  </si>
  <si>
    <t>12145 BRIDGETON SQUARE DR</t>
  </si>
  <si>
    <t>1801 NORTH GAINES DRIVE</t>
  </si>
  <si>
    <t>705 GRAND CANYON DRIVE</t>
  </si>
  <si>
    <t>2001 JEFFERSON PARKWAY</t>
  </si>
  <si>
    <t>4624 LANSDOWNE AVENUE</t>
  </si>
  <si>
    <t>312 SOLLEY DRIVE</t>
  </si>
  <si>
    <t>1405 WEST GRAND AVENUE, PO BOX 525</t>
  </si>
  <si>
    <t>524 NORTH LAURA</t>
  </si>
  <si>
    <t>6301 EAST 125TH ST</t>
  </si>
  <si>
    <t>1410 HOSPITAL DRIVE</t>
  </si>
  <si>
    <t>1221 HIGHWAY 13 SOUTH</t>
  </si>
  <si>
    <t>2825 BLOOMFIELD ROAD</t>
  </si>
  <si>
    <t>PO BOX 266, 17528 STATE HIGHWAY 81</t>
  </si>
  <si>
    <t>1121 11TH STREET</t>
  </si>
  <si>
    <t>2203 EAST MECHANIC STREET</t>
  </si>
  <si>
    <t>403 WATERCRESS ROAD,  BOX 969</t>
  </si>
  <si>
    <t>196 HIGHWAY CC</t>
  </si>
  <si>
    <t>6768 NORTH HIGHWAY 67</t>
  </si>
  <si>
    <t>724 NORTHEAST 79TH TERRACE</t>
  </si>
  <si>
    <t>801 BALIFF DRIVE</t>
  </si>
  <si>
    <t>RR 2, BOX 2215</t>
  </si>
  <si>
    <t>1500 CALVARY CHURCH ROAD, PO BOX 680</t>
  </si>
  <si>
    <t>700 BIRCH LANE</t>
  </si>
  <si>
    <t>201 GRAND AVE</t>
  </si>
  <si>
    <t>615 SW OLDHAM PARKWAY</t>
  </si>
  <si>
    <t>4960 LACLEDE AVENUE</t>
  </si>
  <si>
    <t>4700 NW CLIFFVIEW DRIVE</t>
  </si>
  <si>
    <t>800 N ARTHUR ST, PO BOX 187</t>
  </si>
  <si>
    <t>415 S CATALPA STREET</t>
  </si>
  <si>
    <t>2001 NORTH KINGSHIGHWAY</t>
  </si>
  <si>
    <t>500 BARRETT DRIVE</t>
  </si>
  <si>
    <t>750 E HIGHWAY 22</t>
  </si>
  <si>
    <t>628 NORTH WEST STREET</t>
  </si>
  <si>
    <t>300 EAST HORNBECK STREET, PO BOX 940</t>
  </si>
  <si>
    <t>1108 WEST LIBERTY</t>
  </si>
  <si>
    <t>400 WEST PARK AVENUE</t>
  </si>
  <si>
    <t>5460 DELMAR BLVD</t>
  </si>
  <si>
    <t>996 STATE HIGHWAY 248</t>
  </si>
  <si>
    <t>910 SOUTH WEST AVE</t>
  </si>
  <si>
    <t>560 CORISANDE HILLS ROAD</t>
  </si>
  <si>
    <t>1106 SOUTH OAK</t>
  </si>
  <si>
    <t>250 E LOCUST</t>
  </si>
  <si>
    <t>1410 NORTH KENTUCKY AVENUE</t>
  </si>
  <si>
    <t>627 WESTWOOD DRIVE SOUTH</t>
  </si>
  <si>
    <t>615 RANCHO LANE</t>
  </si>
  <si>
    <t>10300 EAST TRUMAN RD</t>
  </si>
  <si>
    <t>315 HUNT STREET</t>
  </si>
  <si>
    <t>1310 HOVIS STREET</t>
  </si>
  <si>
    <t>700 EAST URBANDALE DRIVE</t>
  </si>
  <si>
    <t>300 LUNBECK, PO BOX 197</t>
  </si>
  <si>
    <t>410 WEST BENTON STREET</t>
  </si>
  <si>
    <t>11103 HISTORIC HWY 165</t>
  </si>
  <si>
    <t>1211 NORTH ASH STREET, PO BOX 879</t>
  </si>
  <si>
    <t>14701 OLIVE BLVD</t>
  </si>
  <si>
    <t>9503 HIGHWAY 100</t>
  </si>
  <si>
    <t>2100 BARNES</t>
  </si>
  <si>
    <t>4005 RIPA AVENUE</t>
  </si>
  <si>
    <t>403 EAST 10TH STREET</t>
  </si>
  <si>
    <t>2106 WEST MAIN, PO BOX 330</t>
  </si>
  <si>
    <t>100 WEST THOMAS AVENUE, PO BOX 188</t>
  </si>
  <si>
    <t>301 WEST DUNLOP STREET</t>
  </si>
  <si>
    <t>11900 JESSICA LANE</t>
  </si>
  <si>
    <t>6637 BERTHOLD AVENUE</t>
  </si>
  <si>
    <t>514 WEST FREMONT ROAD</t>
  </si>
  <si>
    <t>54 HOSPITAL DRIVE</t>
  </si>
  <si>
    <t>6400 THE CEDARS COURT</t>
  </si>
  <si>
    <t>600 EAST 7TH ST, PO BOX 415</t>
  </si>
  <si>
    <t>1145 EAST CHERRY STREET, PO BOX 130</t>
  </si>
  <si>
    <t>10303 STATE ROAD C</t>
  </si>
  <si>
    <t>1200 WEST COLLEGE STREET</t>
  </si>
  <si>
    <t>710 BROADRIDGE</t>
  </si>
  <si>
    <t>401 CORPORATE PARK DRIVE</t>
  </si>
  <si>
    <t>533 CANAAN ROAD, PO BOX 180</t>
  </si>
  <si>
    <t>2071 BARRON RD</t>
  </si>
  <si>
    <t>1305 SOUTH 7TH STREET</t>
  </si>
  <si>
    <t>11901 JESSICA LANE</t>
  </si>
  <si>
    <t>400 EAST HOSPITAL ROAD</t>
  </si>
  <si>
    <t>1000 PATTERSON STREET</t>
  </si>
  <si>
    <t>3001 MAY STREET</t>
  </si>
  <si>
    <t>606 WEST MISSOURI STREET</t>
  </si>
  <si>
    <t>1425  SOUTH LANDRUM</t>
  </si>
  <si>
    <t>106 HOSPITAL DRIVE</t>
  </si>
  <si>
    <t>400 WEST WALNUT LANE</t>
  </si>
  <si>
    <t>17451 EAST MEDICAL CENTER PARKWAY</t>
  </si>
  <si>
    <t>11278 SCHUETZ ROAD</t>
  </si>
  <si>
    <t>1300 COUNTY FARM ROAD</t>
  </si>
  <si>
    <t>328 MUNGER LANE</t>
  </si>
  <si>
    <t>128 NORTH HARDESTY</t>
  </si>
  <si>
    <t>1200 WEST HALL,  PO BOX 157</t>
  </si>
  <si>
    <t>811 OWEN MILL ROAD,  PO BOX 945</t>
  </si>
  <si>
    <t>301 SOUTH MAIN</t>
  </si>
  <si>
    <t>1734 MARKET STREET</t>
  </si>
  <si>
    <t>1000 NORTH  INDUSTRIAL DRIVE, PO BOX 199</t>
  </si>
  <si>
    <t>631 WEST MAIN STREET</t>
  </si>
  <si>
    <t>220 EUEL POLK DRIVE</t>
  </si>
  <si>
    <t>3535 EAST CHEROKEE</t>
  </si>
  <si>
    <t>18540 STATE HIGHWAY 16</t>
  </si>
  <si>
    <t>233 EAST  NORTON ROAD</t>
  </si>
  <si>
    <t>600 E SUNRISE DRIVE</t>
  </si>
  <si>
    <t>2401 WEST GRAND</t>
  </si>
  <si>
    <t>103 KENNEDY DRIVE</t>
  </si>
  <si>
    <t>118 TRENTON ROAD</t>
  </si>
  <si>
    <t>1525 WEST MONROE</t>
  </si>
  <si>
    <t>3038 WEST TRUMAN BLVD</t>
  </si>
  <si>
    <t>1260 NORTH JOHNSON STREET</t>
  </si>
  <si>
    <t>2963 DODDRIDGE AVENUE</t>
  </si>
  <si>
    <t>1010 STE GENEVIEVE DRIVE, PO BOX 426</t>
  </si>
  <si>
    <t>2201 GLENN HENDREN DR</t>
  </si>
  <si>
    <t>914 CHICKESAW STREET</t>
  </si>
  <si>
    <t>12273 STATE HIGHWAY 77, PO BOX 68</t>
  </si>
  <si>
    <t>1210 WEST ASHLAND</t>
  </si>
  <si>
    <t>3111 HIGHWAY A</t>
  </si>
  <si>
    <t>1035 PLAZA COURT NORTH</t>
  </si>
  <si>
    <t>540 NORTH HIGHWAY 51</t>
  </si>
  <si>
    <t>3105 BLUFF CREEK DRIVE</t>
  </si>
  <si>
    <t>4335 WEST PINE BLVD</t>
  </si>
  <si>
    <t>609 GOLF STREET</t>
  </si>
  <si>
    <t>2525 BOUTIN DRIVE</t>
  </si>
  <si>
    <t>1015  NORTH GRAND AVENUE</t>
  </si>
  <si>
    <t>307 N PINEVIEW STREET</t>
  </si>
  <si>
    <t>809 EAST GORDON, PO BOX 68</t>
  </si>
  <si>
    <t>1101 WEST OUTER 21 ROAD</t>
  </si>
  <si>
    <t>11400 HIDDEN LAKE DRIVE</t>
  </si>
  <si>
    <t>1501 SW 3RD STREET</t>
  </si>
  <si>
    <t>307 EAST SOUTH STREET</t>
  </si>
  <si>
    <t>105 SPRUCE STREET</t>
  </si>
  <si>
    <t>1 GEORGIAN GARDENS DRIVE</t>
  </si>
  <si>
    <t>501 SOUTH PARK</t>
  </si>
  <si>
    <t>2150 WEST RANDOLPH STREET</t>
  </si>
  <si>
    <t>119 WEST FOREST</t>
  </si>
  <si>
    <t>1687 WEST WASHINGTON</t>
  </si>
  <si>
    <t>35625 HIGHWAY 72, PO BOX 746</t>
  </si>
  <si>
    <t>1450 ASHLEY ROAD</t>
  </si>
  <si>
    <t>3201 PARKWOOD LANE</t>
  </si>
  <si>
    <t>2415 NORTH KINGSHIGHWAY</t>
  </si>
  <si>
    <t>902 MANOR DRIVE</t>
  </si>
  <si>
    <t>1101 WEST CLAY ROAD</t>
  </si>
  <si>
    <t>800 CHAMBERS ROAD</t>
  </si>
  <si>
    <t>1221 SOUTHGATE LANE</t>
  </si>
  <si>
    <t>1802 ST FRANCIS, PO BOX 827</t>
  </si>
  <si>
    <t>2323 SWOPE PARKWAY</t>
  </si>
  <si>
    <t>4401 NORTH HANLEY ROAD</t>
  </si>
  <si>
    <t>100 AUDSLEY DRIVE</t>
  </si>
  <si>
    <t>1600 EAST ROLLINS</t>
  </si>
  <si>
    <t>300 CEDAR STREET</t>
  </si>
  <si>
    <t>812 OLD EXETER ROAD</t>
  </si>
  <si>
    <t>1441 CHARIC DRIVE</t>
  </si>
  <si>
    <t>1218 WEST LOCUST, PO BOX 590</t>
  </si>
  <si>
    <t>1910 NURSING HOME ROAD, PO BOX 520</t>
  </si>
  <si>
    <t>117 SYCAMORE STREET, PO BOX 108</t>
  </si>
  <si>
    <t>410 H ROAD</t>
  </si>
  <si>
    <t>290 WEST STATE HWY 162</t>
  </si>
  <si>
    <t>315 SOUTH TILLEY STREET</t>
  </si>
  <si>
    <t>186 MILLAR ROAD, PO BOX 299</t>
  </si>
  <si>
    <t>1204 NORTH OUTER ROAD, PO BOX 668</t>
  </si>
  <si>
    <t>702 HIGHWAY 34 WEST</t>
  </si>
  <si>
    <t>940 MATTOX DRIVE</t>
  </si>
  <si>
    <t>1001 EAST NORTH STREET</t>
  </si>
  <si>
    <t>2702 DEBBIE LANE,  PO BOX 340</t>
  </si>
  <si>
    <t>3144 STATE HIGHWAY FF</t>
  </si>
  <si>
    <t>610 WEST SUNSET STREET</t>
  </si>
  <si>
    <t>103 EAST NURSERY</t>
  </si>
  <si>
    <t>1300 BROADWAY</t>
  </si>
  <si>
    <t>1609 SUNCHASE DRIVE</t>
  </si>
  <si>
    <t>401 NORTH MEDICAL DRIVE, PO BOX 247</t>
  </si>
  <si>
    <t>400 BROAD STREET</t>
  </si>
  <si>
    <t>202 EAST MILL STREET</t>
  </si>
  <si>
    <t>1010 HIGHWAY 24 &amp; 36 EAST</t>
  </si>
  <si>
    <t>800 SOUTH WHITE OAK</t>
  </si>
  <si>
    <t>7301 ST CHARLES ROCK RD</t>
  </si>
  <si>
    <t>4600 LITTLE BLUE PARKWAY</t>
  </si>
  <si>
    <t>1200 HOMELIFE PLAZA</t>
  </si>
  <si>
    <t>811 CENTER STREET</t>
  </si>
  <si>
    <t>2 HIGHWAY  Y, PO BOX 707</t>
  </si>
  <si>
    <t>500 CAYCE STREET</t>
  </si>
  <si>
    <t>1265 MCLARAN AVENUE</t>
  </si>
  <si>
    <t>2600 REDMAN ROAD</t>
  </si>
  <si>
    <t>230 SPENCER ROAD</t>
  </si>
  <si>
    <t>200 SOUTH ST</t>
  </si>
  <si>
    <t>814 WEST SOUTH AVENUE</t>
  </si>
  <si>
    <t>649 WEST ROLLA STREET</t>
  </si>
  <si>
    <t>205 SOUTH COLLEGE,  PO BOX 403</t>
  </si>
  <si>
    <t>930 NE DUNCAN ROAD</t>
  </si>
  <si>
    <t>10425 CHESTNUT DR</t>
  </si>
  <si>
    <t>721 WEST HARRISON</t>
  </si>
  <si>
    <t>111 EAST STREET</t>
  </si>
  <si>
    <t>723 SOUTH LACLEDE STATION RD</t>
  </si>
  <si>
    <t>477 COY BLVD, PO BOX 640</t>
  </si>
  <si>
    <t>518 E MARSHALL</t>
  </si>
  <si>
    <t>250 NEW FLORISSANT ROAD SOUTH</t>
  </si>
  <si>
    <t>851 THOROUGHFARE</t>
  </si>
  <si>
    <t>1209 STOKELAN</t>
  </si>
  <si>
    <t>3520 CHOUTEAU AVE</t>
  </si>
  <si>
    <t>111 DUNCAN MANSION ROAD</t>
  </si>
  <si>
    <t>430 SALCEDO ROAD, PO BOX 707</t>
  </si>
  <si>
    <t>201 SOUTH NORTHPARK LANE</t>
  </si>
  <si>
    <t>4700 BRANDON WOODS</t>
  </si>
  <si>
    <t>1108 CLARKE STREET</t>
  </si>
  <si>
    <t>939 EAST BIRCH</t>
  </si>
  <si>
    <t>515 PICNIC STREET</t>
  </si>
  <si>
    <t>1025 CHESTERFIELD POINTE PARKWAY</t>
  </si>
  <si>
    <t>501 MONROE,  PO BOX 19</t>
  </si>
  <si>
    <t>209 HICKORY STREET</t>
  </si>
  <si>
    <t>801 EUCLID, PO BOX 438</t>
  </si>
  <si>
    <t>850 HIGHWAY 60, PO BOX 885</t>
  </si>
  <si>
    <t>#2 NAZARETH LANE</t>
  </si>
  <si>
    <t>12110 HOLMES ROAD</t>
  </si>
  <si>
    <t>601 NORTH GALLOWAY ROAD</t>
  </si>
  <si>
    <t>3300 NEW HAVEN ROAD</t>
  </si>
  <si>
    <t>810 EAST EDWARDS STREET</t>
  </si>
  <si>
    <t>PO BOX 129, 215 EAST PRATT</t>
  </si>
  <si>
    <t>503 REGENT DRIVE</t>
  </si>
  <si>
    <t>1002 CENTRAL</t>
  </si>
  <si>
    <t>3001 EAST ELM</t>
  </si>
  <si>
    <t>200 SOUTH GERHART</t>
  </si>
  <si>
    <t>1505 MINER, PO BOX 248</t>
  </si>
  <si>
    <t>1800 WEIN STREET, PO BOX 468</t>
  </si>
  <si>
    <t>210 ELDON DRIVE</t>
  </si>
  <si>
    <t>1349 HIGHWAY 61, PO BOX 700</t>
  </si>
  <si>
    <t>404 E THIRD STREET, PO BOX 307</t>
  </si>
  <si>
    <t>505 WEST EVERGREEN</t>
  </si>
  <si>
    <t>5026 FARAON</t>
  </si>
  <si>
    <t>1220 EAST FAIRVIEW</t>
  </si>
  <si>
    <t>1510 BLUFF STREET</t>
  </si>
  <si>
    <t>3550 EAST BATTLEFIELD</t>
  </si>
  <si>
    <t>801 SOUTH COLBY</t>
  </si>
  <si>
    <t>210 WEST 8TH TERRACE</t>
  </si>
  <si>
    <t>1201 WEST 19TH STREET</t>
  </si>
  <si>
    <t>5000 SOUTH BROADWAY</t>
  </si>
  <si>
    <t>400 CARE CENTER DRIVE</t>
  </si>
  <si>
    <t>1016 W HIGHWAY 28</t>
  </si>
  <si>
    <t>3421 GASCONADE</t>
  </si>
  <si>
    <t>311 NORTH SPRING STREET</t>
  </si>
  <si>
    <t>1180 OLD JACKSON ROAD</t>
  </si>
  <si>
    <t>649 SOUTH WALNUT</t>
  </si>
  <si>
    <t>17108 US HIGHWAY 62</t>
  </si>
  <si>
    <t>603 HIGHWAY 62 WEST</t>
  </si>
  <si>
    <t>6814 SOBBIE ROAD</t>
  </si>
  <si>
    <t>307 SOUTH HIGHWAY 21</t>
  </si>
  <si>
    <t>1600 SOUTH KINGSHIGHWAY</t>
  </si>
  <si>
    <t>809 WEST BENTON, PO BOX 5</t>
  </si>
  <si>
    <t>2506 LINDEN TREE PARKWAY,  PO BOX 370</t>
  </si>
  <si>
    <t>3170 HIGHWAY 61 NORTH</t>
  </si>
  <si>
    <t>1800 S SWOPE DRIVE</t>
  </si>
  <si>
    <t>142 SHELBY PLAZA ROAD, PO BOX 529</t>
  </si>
  <si>
    <t>220 O'ROURKE DRIVE, PO BOX 1310</t>
  </si>
  <si>
    <t>8575 NORTH GRANBY AVE</t>
  </si>
  <si>
    <t>253 EAST HIGHWAY 116</t>
  </si>
  <si>
    <t>3625 MAGNOLIA AVENUE</t>
  </si>
  <si>
    <t>600 N E MEADOWVIEW DRIVE</t>
  </si>
  <si>
    <t>10 LAKE DRIVE</t>
  </si>
  <si>
    <t>200 THOMPSON DRIVE</t>
  </si>
  <si>
    <t>9350 GREEN PARK ROAD</t>
  </si>
  <si>
    <t>430 NORTH WEST STREET</t>
  </si>
  <si>
    <t>200 WEST 12TH STREET</t>
  </si>
  <si>
    <t>307 GRAND</t>
  </si>
  <si>
    <t>300 SOUTH HENRY CLAY BLVD</t>
  </si>
  <si>
    <t>804 WOLLARD BLVD</t>
  </si>
  <si>
    <t>9500 BELLEFONTAINE ROAD</t>
  </si>
  <si>
    <t>2108 SOUTH MITCHELL</t>
  </si>
  <si>
    <t>#1 ARBOR TERRACE</t>
  </si>
  <si>
    <t>2115 KAPPEL DRIVE</t>
  </si>
  <si>
    <t>1157 HIGHWAY 17</t>
  </si>
  <si>
    <t>3260 BAISCH DRIVE</t>
  </si>
  <si>
    <t>1311 E 28TH STREET</t>
  </si>
  <si>
    <t>1115 K LAND DRIVE, PO BOX 740</t>
  </si>
  <si>
    <t>3645 COOK AVE</t>
  </si>
  <si>
    <t>12498 SE HIGHWAY 116</t>
  </si>
  <si>
    <t>5303 BERMUDA DRIVE</t>
  </si>
  <si>
    <t>1127 TIMBER RUN DRIVE</t>
  </si>
  <si>
    <t>7001 CLEVELAND AVENUE</t>
  </si>
  <si>
    <t>601 EAST 14TH STREET, PO BOX 1706</t>
  </si>
  <si>
    <t>810 EAST WALNUT</t>
  </si>
  <si>
    <t>300 WEST FAIRVIEW</t>
  </si>
  <si>
    <t>1337 WEST GRAND</t>
  </si>
  <si>
    <t>1622 EAST 28TH STREET</t>
  </si>
  <si>
    <t>1502 WEST EDGEWOOD</t>
  </si>
  <si>
    <t>3060 ASHBY ROAD</t>
  </si>
  <si>
    <t>3333 BROWN ROAD</t>
  </si>
  <si>
    <t>1301 N ST JOE DRIVE</t>
  </si>
  <si>
    <t>11728 HIDDEN LAKE DRIVE</t>
  </si>
  <si>
    <t>1301 PARTRIDGE AVENUE</t>
  </si>
  <si>
    <t>610 HIGHWAY O, P.O. BOX 1068</t>
  </si>
  <si>
    <t>1630 RADIO HILL ROAD</t>
  </si>
  <si>
    <t>2005 SOUTH LEXINGTON</t>
  </si>
  <si>
    <t>2407 KENTUCKY STREET</t>
  </si>
  <si>
    <t>205 E CLAY AVE, PO BOX 247</t>
  </si>
  <si>
    <t>1100 PROGRESS PARKWAY</t>
  </si>
  <si>
    <t>470 RAINBOW DRIVE, PO BOX 273</t>
  </si>
  <si>
    <t>1201 S. POLK</t>
  </si>
  <si>
    <t>1531 NEBRASKA STREET, PO BOX 308</t>
  </si>
  <si>
    <t>717 NORTH SPRIGG</t>
  </si>
  <si>
    <t>601 WEST MORGAN STREET</t>
  </si>
  <si>
    <t>1347 EAST VALLEY WATERMILL ROAD</t>
  </si>
  <si>
    <t>12827 STATE HIGHWAY TT</t>
  </si>
  <si>
    <t>5500 SOUTH BROADWAY</t>
  </si>
  <si>
    <t>915 CARL ALLEN STREET</t>
  </si>
  <si>
    <t>1486 NORTH RIVERSIDE RD</t>
  </si>
  <si>
    <t>3002 NORTH 18TH ST</t>
  </si>
  <si>
    <t>400 TRI-COUNTY LANE,  PO BOX 756</t>
  </si>
  <si>
    <t>5943 TELEGRAPH ROAD</t>
  </si>
  <si>
    <t>1501 CHARBONIER ROAD</t>
  </si>
  <si>
    <t>8033 HOLMES</t>
  </si>
  <si>
    <t>111 MOCK AVENUE</t>
  </si>
  <si>
    <t>520 MANOR DRIVE</t>
  </si>
  <si>
    <t>205 TIMBERLINE DRIVE</t>
  </si>
  <si>
    <t>1317 NORTH 36TH STREET</t>
  </si>
  <si>
    <t>55774 STATE HIGHWAY 6</t>
  </si>
  <si>
    <t>9645 BIG BEND BLVD</t>
  </si>
  <si>
    <t>202 SOUTH WEST STREET, PO BOX 849</t>
  </si>
  <si>
    <t>322  OLD STATE ROAD</t>
  </si>
  <si>
    <t>600 BREEZE PARK DRIVE</t>
  </si>
  <si>
    <t>4301 MADISON AVENUE</t>
  </si>
  <si>
    <t>3660 SUMMIT</t>
  </si>
  <si>
    <t>403 WEST MAIN</t>
  </si>
  <si>
    <t>500 TRUMAN BOULEVARD</t>
  </si>
  <si>
    <t>1550 VILLAS DRIVE</t>
  </si>
  <si>
    <t>503 EAST FOURTH</t>
  </si>
  <si>
    <t>609 SOUTH RAILROAD STREET</t>
  </si>
  <si>
    <t>9353 SOUTH  BROADWAY</t>
  </si>
  <si>
    <t>610 PRIGGE ROAD</t>
  </si>
  <si>
    <t>1899 HIGHWAY 63</t>
  </si>
  <si>
    <t>2012 NIFONG BOULEVARD</t>
  </si>
  <si>
    <t>872 COLLEGE BOULEVARD</t>
  </si>
  <si>
    <t>402 WEST FIRST STREET</t>
  </si>
  <si>
    <t>300 SOUTH ST CHARLES STREET</t>
  </si>
  <si>
    <t>1003 SOUTH CEDAR STREET</t>
  </si>
  <si>
    <t>723 FIRST CAPITOL DRIVE</t>
  </si>
  <si>
    <t>1202 HEARTLAND ROAD</t>
  </si>
  <si>
    <t>2601 FAIR STREET</t>
  </si>
  <si>
    <t>1415 WEST WHITE OAK</t>
  </si>
  <si>
    <t>904 HALL AVENUE, PO BOX 279</t>
  </si>
  <si>
    <t>434 E SIGLER AVENUE</t>
  </si>
  <si>
    <t>307 SOUTH WOODS MILL ROAD</t>
  </si>
  <si>
    <t>7068 SOUTH OUTER 364</t>
  </si>
  <si>
    <t>100 OLD STAGECOACH ROAD</t>
  </si>
  <si>
    <t>10000 WORNALL ROAD</t>
  </si>
  <si>
    <t>611 NORTH COLLEGE</t>
  </si>
  <si>
    <t>706 SOUTH MITCHELL</t>
  </si>
  <si>
    <t>783 WEBER ROAD</t>
  </si>
  <si>
    <t>1514 WEST LARK</t>
  </si>
  <si>
    <t>PO BOX 170, 323 SOUTH HIGHWAY 169</t>
  </si>
  <si>
    <t>205 PROSPECT, PO BOX 8</t>
  </si>
  <si>
    <t>8100 WORNALL ROAD</t>
  </si>
  <si>
    <t>1500 WEST FOXWOOD DRIVE</t>
  </si>
  <si>
    <t>1707 WEST ELFINDALE STREET</t>
  </si>
  <si>
    <t>50 MERAMEC TRAILS DRIVE</t>
  </si>
  <si>
    <t>1313 SOUTH 25TH ST, PO BOX 430</t>
  </si>
  <si>
    <t>13612 BIG BEND ROAD</t>
  </si>
  <si>
    <t>1024 ADAMS STREET</t>
  </si>
  <si>
    <t>1700 MORNINGSIDE DRIVE</t>
  </si>
  <si>
    <t>1100 EAST MONTCLAIR</t>
  </si>
  <si>
    <t>1306 US HIGHWAY 63</t>
  </si>
  <si>
    <t>2939 MAGAZINE AVE</t>
  </si>
  <si>
    <t>3108 WEST TRUMAN BOULEVARD</t>
  </si>
  <si>
    <t>3980 SOUTH JACKSON DRIVE</t>
  </si>
  <si>
    <t>1003 MEADOWLARK LANE</t>
  </si>
  <si>
    <t>11515 TROOST</t>
  </si>
  <si>
    <t>11400 MEHL AVENUE</t>
  </si>
  <si>
    <t>5400 EXECUTIVE CENTRE PARKWAY</t>
  </si>
  <si>
    <t>1827 HWY B</t>
  </si>
  <si>
    <t>1814 OAK STREET</t>
  </si>
  <si>
    <t>1616 WEISENBORN ROAD</t>
  </si>
  <si>
    <t>4359 TAFT AVENUE</t>
  </si>
  <si>
    <t>800 SOUTH KINGSHIGHWAY</t>
  </si>
  <si>
    <t>12942 WORNALL ROAD</t>
  </si>
  <si>
    <t>894 LELAND AVENUE</t>
  </si>
  <si>
    <t>711 SOUTH  KIRKWOOD ROAD</t>
  </si>
  <si>
    <t>13230 MANCHESTER ROAD</t>
  </si>
  <si>
    <t>3405 WEST MT VERNON</t>
  </si>
  <si>
    <t>22371 STATE HIGHWAY 46, PO BOX 307</t>
  </si>
  <si>
    <t>1306 WEST MAIN STREET</t>
  </si>
  <si>
    <t>1201 GARDEN PLAZA DRIVE</t>
  </si>
  <si>
    <t>206 NORTH MAIN STREET</t>
  </si>
  <si>
    <t>3003 FALLING LEAF COURT</t>
  </si>
  <si>
    <t>505 COUCH AVENUE</t>
  </si>
  <si>
    <t>12284 DEPAUL DRIVE</t>
  </si>
  <si>
    <t>600 NORTH OHIO, PO BOX 98</t>
  </si>
  <si>
    <t>1200 MCCUTCHEN ROAD</t>
  </si>
  <si>
    <t>7900 LEE'S SUMMIT ROAD</t>
  </si>
  <si>
    <t>13277 STATE ROUTE D</t>
  </si>
  <si>
    <t>300 SOUTH COTTONWOOD AVENUE</t>
  </si>
  <si>
    <t>3222 SOUTH JOHN DUFFY DRIVE</t>
  </si>
  <si>
    <t>TWO MCKNIGHT PLACE</t>
  </si>
  <si>
    <t>15600 WOODS CHAPEL ROAD</t>
  </si>
  <si>
    <t>2735 EAGLESON DR</t>
  </si>
  <si>
    <t>811 NORTH 9TH STREET</t>
  </si>
  <si>
    <t>2810 SOUTH JACKSON AVENUE</t>
  </si>
  <si>
    <t>2475 BROADWAY</t>
  </si>
  <si>
    <t>30 13TH ST</t>
  </si>
  <si>
    <t>2621 15TH AVE S</t>
  </si>
  <si>
    <t>1807 24TH ST W</t>
  </si>
  <si>
    <t>402 SUMMIT AVE</t>
  </si>
  <si>
    <t>3940 RIMROCK RD</t>
  </si>
  <si>
    <t>171 HERITAGE WAY</t>
  </si>
  <si>
    <t>1130 17TH AVE S</t>
  </si>
  <si>
    <t>4720 23RD AVENUE</t>
  </si>
  <si>
    <t>2115 CENTRAL AVE</t>
  </si>
  <si>
    <t>1500 32ND ST S</t>
  </si>
  <si>
    <t>3018 RATTLESNAKE DR</t>
  </si>
  <si>
    <t>205 N TRACY AVE</t>
  </si>
  <si>
    <t>308 E THIRD ST</t>
  </si>
  <si>
    <t>2651 SOUTH AVE W</t>
  </si>
  <si>
    <t>2475 WINNE AVE</t>
  </si>
  <si>
    <t>510 S 14TH ST</t>
  </si>
  <si>
    <t>9 14TH AVE W</t>
  </si>
  <si>
    <t>1 S OAKS</t>
  </si>
  <si>
    <t>474 HWY 282</t>
  </si>
  <si>
    <t>3251 NETTIE ST</t>
  </si>
  <si>
    <t>1501 SAINT CHARLES ST</t>
  </si>
  <si>
    <t>408 WENDELL AVE</t>
  </si>
  <si>
    <t>615 MAIN ST</t>
  </si>
  <si>
    <t>1221 W DURSTON RD</t>
  </si>
  <si>
    <t>202 PROSPECT DR</t>
  </si>
  <si>
    <t>600 1ST AVE N</t>
  </si>
  <si>
    <t>440 W LAUREL AVE</t>
  </si>
  <si>
    <t>1000 6TH AVE N</t>
  </si>
  <si>
    <t>712 WIBAUX ST S</t>
  </si>
  <si>
    <t>2555 E BROADWAY</t>
  </si>
  <si>
    <t>2300 WILSON</t>
  </si>
  <si>
    <t>332 LEAVITT AVE</t>
  </si>
  <si>
    <t>10 MOUNTAIN VIEW DR</t>
  </si>
  <si>
    <t>104 N TRAUTMAN</t>
  </si>
  <si>
    <t>350 W PIKE AVE</t>
  </si>
  <si>
    <t>1225 PERRY LN</t>
  </si>
  <si>
    <t>1050 GRAND AVE</t>
  </si>
  <si>
    <t>1341 ROSEBUD LN</t>
  </si>
  <si>
    <t>400 VETERANS DR</t>
  </si>
  <si>
    <t>225 N 8TH ST</t>
  </si>
  <si>
    <t>2400 CONTINENTAL DR</t>
  </si>
  <si>
    <t>707 3RD ST SE</t>
  </si>
  <si>
    <t>215 SANDY ST</t>
  </si>
  <si>
    <t>2600 WILSON ST</t>
  </si>
  <si>
    <t>350 CONWAY DR</t>
  </si>
  <si>
    <t>820 3RD AVE</t>
  </si>
  <si>
    <t>24 13TH ST</t>
  </si>
  <si>
    <t>30 S RODNEY ST</t>
  </si>
  <si>
    <t>321 N FIFTH AVE</t>
  </si>
  <si>
    <t>805 SUNSET BLVD</t>
  </si>
  <si>
    <t>600 S 27TH ST</t>
  </si>
  <si>
    <t>104 14TH AVE NW</t>
  </si>
  <si>
    <t>3131 AMHERST AVE</t>
  </si>
  <si>
    <t>1415 YELLOWSTONE RIVER RD</t>
  </si>
  <si>
    <t>200 N OREGON ST</t>
  </si>
  <si>
    <t>57 MAIN ST</t>
  </si>
  <si>
    <t>1301 E BROADWAY</t>
  </si>
  <si>
    <t>125 AIRPORT RD</t>
  </si>
  <si>
    <t>185 CRESTLINE AVE</t>
  </si>
  <si>
    <t>801 S 3RD ST E</t>
  </si>
  <si>
    <t>1305 E 7TH ST</t>
  </si>
  <si>
    <t>1100 TEXAS AVE</t>
  </si>
  <si>
    <t>601 N 10TH ST</t>
  </si>
  <si>
    <t>211 N MAIN ST</t>
  </si>
  <si>
    <t>3155 AVE C</t>
  </si>
  <si>
    <t>2000 MONTANA AVE</t>
  </si>
  <si>
    <t>326 MADISON ST</t>
  </si>
  <si>
    <t>2800 10TH AVE N</t>
  </si>
  <si>
    <t>4600 38TH ST</t>
  </si>
  <si>
    <t>1750 SOUTH 20TH STREET</t>
  </si>
  <si>
    <t>2200 SOUTH 52ND STREET</t>
  </si>
  <si>
    <t>4102 WOOLWORTH AVENUE</t>
  </si>
  <si>
    <t>6315 O STREET</t>
  </si>
  <si>
    <t>4735 SOUTH 54TH STREET</t>
  </si>
  <si>
    <t>2525 SOUTH 135TH AVENUE</t>
  </si>
  <si>
    <t>1720 BURTON DRIVE</t>
  </si>
  <si>
    <t>4720 RANDOLPH STREET</t>
  </si>
  <si>
    <t>7410 MERCY ROAD</t>
  </si>
  <si>
    <t>3823 SOUTH 132ND STREET</t>
  </si>
  <si>
    <t>P O BOX 367, 615 EAST 9TH STREET</t>
  </si>
  <si>
    <t>P O BOX 950, 1633 SWEETWATER</t>
  </si>
  <si>
    <t>200 LEVI LANE</t>
  </si>
  <si>
    <t>4405 NORMAL BLVD</t>
  </si>
  <si>
    <t>1320 11TH AVENUE</t>
  </si>
  <si>
    <t>2325 LODGE DRIVE</t>
  </si>
  <si>
    <t>926 EAST E STREET</t>
  </si>
  <si>
    <t>309 NORTH MADISON STREET</t>
  </si>
  <si>
    <t>260 SOUTH 10TH STREET</t>
  </si>
  <si>
    <t>3501 DAKOTA AVENUE</t>
  </si>
  <si>
    <t>2305 SOUTH 10TH STREET</t>
  </si>
  <si>
    <t>P O BOX 1087, 309 WEST 7TH STREET</t>
  </si>
  <si>
    <t>2116 WEST FAIDLEY AVENUE</t>
  </si>
  <si>
    <t>3200 G STREET</t>
  </si>
  <si>
    <t>4000 WEST PHILIP AVENUE</t>
  </si>
  <si>
    <t>P O BOX 1990, 10 EAST 31ST STREET</t>
  </si>
  <si>
    <t>6809 N 68TH PLAZA</t>
  </si>
  <si>
    <t>3119 WEST FAIDLEY AVENUE</t>
  </si>
  <si>
    <t>P O BOX 107, 401 DARLENE STREET</t>
  </si>
  <si>
    <t>P O BOX 429, 1203 NORTH 13TH STREET</t>
  </si>
  <si>
    <t>1035 DIAMOND STREET</t>
  </si>
  <si>
    <t>1720 NORTH SPRUCE</t>
  </si>
  <si>
    <t>P O BOX 625, 2855 40TH AVENUE</t>
  </si>
  <si>
    <t>318 WEST 18TH STREET</t>
  </si>
  <si>
    <t>510 CENTENNIAL CIRCLE</t>
  </si>
  <si>
    <t>111 WEST 36TH STREET</t>
  </si>
  <si>
    <t>1006 M STREET</t>
  </si>
  <si>
    <t>5505 GROVER STREET</t>
  </si>
  <si>
    <t>12856 DEAUVILLE DRIVE</t>
  </si>
  <si>
    <t>1900 VICKI LANE</t>
  </si>
  <si>
    <t>P O BOX 407, 301 17TH STREET</t>
  </si>
  <si>
    <t>2550 NORTH NYE AVENUE</t>
  </si>
  <si>
    <t>602 SOUTH 18TH STREET</t>
  </si>
  <si>
    <t>610 NORTH DARR AVENUE</t>
  </si>
  <si>
    <t>1405 WEST HWY 34</t>
  </si>
  <si>
    <t>4809 REDMAN AVENUE</t>
  </si>
  <si>
    <t>PO BOX 756, 1102 NORTH HARRISON</t>
  </si>
  <si>
    <t>1420 NORTH 10TH STREET</t>
  </si>
  <si>
    <t>2023 COLFAX STREET</t>
  </si>
  <si>
    <t>703 SOUTH VIVIAN</t>
  </si>
  <si>
    <t>1322 U STREET</t>
  </si>
  <si>
    <t>1435 TOLEDO STREET</t>
  </si>
  <si>
    <t>2800 TOWLE STREET</t>
  </si>
  <si>
    <t>P O BOX 648, 202 NORTH ESTHER</t>
  </si>
  <si>
    <t>212 SUNRISE DRIVE</t>
  </si>
  <si>
    <t>300 WEST MEIGS STREET</t>
  </si>
  <si>
    <t>823 M STREET</t>
  </si>
  <si>
    <t>450 EAST 23RD STREET</t>
  </si>
  <si>
    <t>224 EAST SOUTH E STREET</t>
  </si>
  <si>
    <t>P O BOX 66, 1100 NORTH T STREET</t>
  </si>
  <si>
    <t>1800 14TH AVENUE</t>
  </si>
  <si>
    <t>1540 NORTH 72ND STREET</t>
  </si>
  <si>
    <t>1800 IRVING STREET</t>
  </si>
  <si>
    <t>P O BOX 159, 2600 NORTH LINCOLN AVENUE</t>
  </si>
  <si>
    <t>1100 WEST 1ST STREET</t>
  </si>
  <si>
    <t>1702 HILLCREST DRIVE</t>
  </si>
  <si>
    <t>20275 HOPPER STREET</t>
  </si>
  <si>
    <t>811 EAST 14TH STREET</t>
  </si>
  <si>
    <t>6032 VILLE DE SANTE DRIVE</t>
  </si>
  <si>
    <t>P O BOX F-1, 1622 WALNUT STREET</t>
  </si>
  <si>
    <t>P O BOX 189, 515 EAST MAIN STREET</t>
  </si>
  <si>
    <t>1700 FURNAS STREET</t>
  </si>
  <si>
    <t>P O BOX 307, 333 MAPLE STREET</t>
  </si>
  <si>
    <t>143 NORTH FULLERTON STREET</t>
  </si>
  <si>
    <t>11041 NORTH 137TH ST</t>
  </si>
  <si>
    <t>414 NORTH WILLSON</t>
  </si>
  <si>
    <t>700 HIGHWAY 6</t>
  </si>
  <si>
    <t>2720 SOUTH 17TH AVENUE</t>
  </si>
  <si>
    <t>2242 WRIGHT STREET</t>
  </si>
  <si>
    <t>2824 NORTH 66TH AVENUE</t>
  </si>
  <si>
    <t>420 GORDON AVENUE</t>
  </si>
  <si>
    <t>1105 9TH STREET</t>
  </si>
  <si>
    <t>1112 15TH STREET</t>
  </si>
  <si>
    <t>106 5TH STREET</t>
  </si>
  <si>
    <t>P O BOX 307, 300 NORTH SECOND ST</t>
  </si>
  <si>
    <t>P O BOX 513, 438 12TH STREET</t>
  </si>
  <si>
    <t>960 PROSPECT ROAD</t>
  </si>
  <si>
    <t>1505 NORTH ADAMS STREET</t>
  </si>
  <si>
    <t>401 NORTH 18TH STREET</t>
  </si>
  <si>
    <t>1350 CENTENNIAL AVENUE</t>
  </si>
  <si>
    <t>P O BOX 429, 2520 AVENUE M</t>
  </si>
  <si>
    <t>6101 NORMAL BLVD</t>
  </si>
  <si>
    <t>2900 WEST E STREET</t>
  </si>
  <si>
    <t>P O BOX 10, 100 WEST ELM AVENUE</t>
  </si>
  <si>
    <t>715 NORTH ST. JOSEPH AVENUE</t>
  </si>
  <si>
    <t>830 EAST 1ST STREET</t>
  </si>
  <si>
    <t>611 NORTH MAIN</t>
  </si>
  <si>
    <t>7915 NORTH 30TH STREET</t>
  </si>
  <si>
    <t>P O BOX 970, 1016 EAST 6TH STREET</t>
  </si>
  <si>
    <t>P O BOX 448, 601 MAIN STREET</t>
  </si>
  <si>
    <t>P O BOX 180, 601 WEST 4TH STREET</t>
  </si>
  <si>
    <t>409 NEELY STREET</t>
  </si>
  <si>
    <t>702 CEDAR AVENUE</t>
  </si>
  <si>
    <t>210 BROADWAY</t>
  </si>
  <si>
    <t>P O BOX 67, 811 SOUTH MAIN STREET</t>
  </si>
  <si>
    <t>719 NORTH BROWN STREET</t>
  </si>
  <si>
    <t>200 VALLEY VIEW DRIVE</t>
  </si>
  <si>
    <t>1710 IDAHO STREET</t>
  </si>
  <si>
    <t>3410 CENTRAL AVENUE</t>
  </si>
  <si>
    <t>706 JAMES STREET</t>
  </si>
  <si>
    <t>P O BOX 628, 410 BALL PARK ROAD</t>
  </si>
  <si>
    <t>2201 EAST 32ND STREET</t>
  </si>
  <si>
    <t>600 CENTER DRIVE</t>
  </si>
  <si>
    <t>105 EAST D STREET</t>
  </si>
  <si>
    <t>815 LOGAN STREET</t>
  </si>
  <si>
    <t>P O BOX 271, 1222 SOUTH 7TH STREET</t>
  </si>
  <si>
    <t>1401 EAST STREET</t>
  </si>
  <si>
    <t>PO BOX 250, 600 WEST KIMBALL STREET</t>
  </si>
  <si>
    <t>301 NORTH 13TH STREET</t>
  </si>
  <si>
    <t>411 WEST GENOA</t>
  </si>
  <si>
    <t>401 S 22ND STREET</t>
  </si>
  <si>
    <t>424 HARRISON</t>
  </si>
  <si>
    <t>255 F STREET</t>
  </si>
  <si>
    <t>703 NORTH MAIN STREET</t>
  </si>
  <si>
    <t>901 SOUTH 4TH STREET</t>
  </si>
  <si>
    <t>306 ASH STREET</t>
  </si>
  <si>
    <t>245 SOUTH 22ND STREET</t>
  </si>
  <si>
    <t>P O BOX 310, 318 N 3RD STREET</t>
  </si>
  <si>
    <t>109 NORTH 2ND STREET</t>
  </si>
  <si>
    <t>P O BOX 315, 607 SMITH AVENUE</t>
  </si>
  <si>
    <t>412 WEST 18TH STREET</t>
  </si>
  <si>
    <t>1104 THIRD AVENUE</t>
  </si>
  <si>
    <t>910 SOUTH 40TH STREET</t>
  </si>
  <si>
    <t>9401 ANDERMATT DRIVE</t>
  </si>
  <si>
    <t>PO BOX 520, 427 LEGION STREET</t>
  </si>
  <si>
    <t>800 STOEGER DRIVE</t>
  </si>
  <si>
    <t>607 NEBRASKA STREET</t>
  </si>
  <si>
    <t>505 O STREET</t>
  </si>
  <si>
    <t>636 NORTH LOCUST STREET</t>
  </si>
  <si>
    <t>1405 HERITAGE DRIVE</t>
  </si>
  <si>
    <t>RR 2 BOX 46, 1005 NORTH 8TH STREET</t>
  </si>
  <si>
    <t>400 EAST BIRCHWOOD DRIVE</t>
  </si>
  <si>
    <t>501 NORTH 13TH STREET</t>
  </si>
  <si>
    <t>1400 MARK DRIVE</t>
  </si>
  <si>
    <t>PO BOX A, 610 224TH STREET</t>
  </si>
  <si>
    <t>2700 LAVERNA STREET</t>
  </si>
  <si>
    <t>1133 NORTH THIRD ST</t>
  </si>
  <si>
    <t>7350 GRACELAND DRIVE</t>
  </si>
  <si>
    <t>3110 SCOTT CIRCLE</t>
  </si>
  <si>
    <t>4835 SOUTH 49TH STREET</t>
  </si>
  <si>
    <t>P O BOX 646, 407 DAKOTA STREET</t>
  </si>
  <si>
    <t>4330 SOUTH 144TH STREET</t>
  </si>
  <si>
    <t>930 2ND STREET</t>
  </si>
  <si>
    <t>P O BOX 350, 507 NORTH MAIN STREET</t>
  </si>
  <si>
    <t>1923 WEST 4TH AVENUE</t>
  </si>
  <si>
    <t>1120 WALNUT ST</t>
  </si>
  <si>
    <t>1043 10TH STREET</t>
  </si>
  <si>
    <t>927 SEVENTH STREET</t>
  </si>
  <si>
    <t>P O BOX 526, FIRST &amp; PADDOCK STREET</t>
  </si>
  <si>
    <t>1507 GOLD COAST ROAD</t>
  </si>
  <si>
    <t>P O BOX 757, 933 GRANT STREET</t>
  </si>
  <si>
    <t>71434 HWY 25, BOX 97</t>
  </si>
  <si>
    <t>125 EAST 23RD STREET</t>
  </si>
  <si>
    <t>810 EAST 7TH STREET</t>
  </si>
  <si>
    <t>P O BOX 340, 295 NORTH 8TH STREET</t>
  </si>
  <si>
    <t>PO BOX 97, 100 MINOR AVENUE</t>
  </si>
  <si>
    <t>P O BOX 166, 220 PARK AVENUE</t>
  </si>
  <si>
    <t>P O BOX A, 106 EAST 13TH STREET</t>
  </si>
  <si>
    <t>P O BOX 667, 1203 4TH STREET</t>
  </si>
  <si>
    <t>P O BOX 667, 909 17TH STREET</t>
  </si>
  <si>
    <t>1515 5TH STREET</t>
  </si>
  <si>
    <t>225 NORTH 56TH STREET</t>
  </si>
  <si>
    <t>410 WEST 5TH STREET</t>
  </si>
  <si>
    <t>610 SOUTH POLK STREET</t>
  </si>
  <si>
    <t>P O BOX 70, 905 FLOYD STREET</t>
  </si>
  <si>
    <t>515 WEST FIRST STREET</t>
  </si>
  <si>
    <t>2100 CIRCLE DRIVE</t>
  </si>
  <si>
    <t>400 EAST 7TH STREET</t>
  </si>
  <si>
    <t>P O BOX 219, 101 HARPER STREET</t>
  </si>
  <si>
    <t>9220 WESTERN AVENUE</t>
  </si>
  <si>
    <t>1001 SOUTH STREET</t>
  </si>
  <si>
    <t>600 BROOKESTONE MEADOWS PLAZA</t>
  </si>
  <si>
    <t>1106 NORTH SAUNDERS</t>
  </si>
  <si>
    <t>3210 N CLARKSON</t>
  </si>
  <si>
    <t>624 PINEWOOD AVENUE</t>
  </si>
  <si>
    <t>17600 ARBOR STREET</t>
  </si>
  <si>
    <t>207 SOUTH ENGDAHL AVENUE</t>
  </si>
  <si>
    <t>P O BOX 277, 2200 NORTH H STREET</t>
  </si>
  <si>
    <t>P O BOX 9, 1540 GROVE STREET</t>
  </si>
  <si>
    <t>P O BOX 289, 1603 MAIN STREET</t>
  </si>
  <si>
    <t>4061 TIMBERLINE STREET &amp; 4055 TIMBERLINE STRE</t>
  </si>
  <si>
    <t>201 E O'CONNOR AVENUE</t>
  </si>
  <si>
    <t>1723 23RD STREET</t>
  </si>
  <si>
    <t>6120 SOUTH 34TH STREET</t>
  </si>
  <si>
    <t>1131 PAPILLION PARKWAY</t>
  </si>
  <si>
    <t>549 KELLER DRIVE</t>
  </si>
  <si>
    <t>4715 38TH STREET</t>
  </si>
  <si>
    <t>1715 26TH STREET</t>
  </si>
  <si>
    <t>6082 GRAND LODGE AVENUE</t>
  </si>
  <si>
    <t>1ST AND A ST/ PO BOX 1510</t>
  </si>
  <si>
    <t>2832 S. MARYLAND PARKWAY</t>
  </si>
  <si>
    <t>5538 W DUNCAN DR</t>
  </si>
  <si>
    <t>P.O. BOX 940</t>
  </si>
  <si>
    <t>660 DESERT LN</t>
  </si>
  <si>
    <t>2045 SILVERADA BLVD</t>
  </si>
  <si>
    <t>2945 CASA VEGAS STREET</t>
  </si>
  <si>
    <t>2898 HIGHWAY 50 EAST</t>
  </si>
  <si>
    <t>118 EAST HASKELL ST</t>
  </si>
  <si>
    <t>1500 AVENUE G</t>
  </si>
  <si>
    <t>1835 ODDIE BLVD</t>
  </si>
  <si>
    <t>3215 E. CHEYENNE AVE.</t>
  </si>
  <si>
    <t>1180 E. LAKE MEAD DRIVE</t>
  </si>
  <si>
    <t>2035 W. CHARLESTON BLVD.</t>
  </si>
  <si>
    <t>100 DELMAR GARDENS DRIVE</t>
  </si>
  <si>
    <t>3101 PLUMAS</t>
  </si>
  <si>
    <t>1950 BARING BLVD</t>
  </si>
  <si>
    <t>1701 S. TORREY PINES DRIVE</t>
  </si>
  <si>
    <t>901 ADAMS BLVD.</t>
  </si>
  <si>
    <t>445 W. HOLCOMB LANE</t>
  </si>
  <si>
    <t>6151 VEGAS DRIVE</t>
  </si>
  <si>
    <t>2856 E. CHEYENNE AVE.</t>
  </si>
  <si>
    <t>3450 N BUFFALO DR</t>
  </si>
  <si>
    <t>3050 N ORMSBY</t>
  </si>
  <si>
    <t>272 PIONEER BLVD</t>
  </si>
  <si>
    <t>6021 W. CHEYENNE AVE.</t>
  </si>
  <si>
    <t>1500 W WARM SPRINGS RD</t>
  </si>
  <si>
    <t>1151 TORREY PINES DR.</t>
  </si>
  <si>
    <t>8501 DEL WEBB BLVD</t>
  </si>
  <si>
    <t>4501 NE BLAGG RD</t>
  </si>
  <si>
    <t>2325 E. HARMON AVE.</t>
  </si>
  <si>
    <t>555 HAMMILL LANE</t>
  </si>
  <si>
    <t>2850 RUBY VISTA DRIVE</t>
  </si>
  <si>
    <t>201 KOONTZ LANE</t>
  </si>
  <si>
    <t>601 ADAMS BOULEVARD</t>
  </si>
  <si>
    <t>100 VETERANS MEMORIAL DR</t>
  </si>
  <si>
    <t>1573  MULLER PKWY</t>
  </si>
  <si>
    <t>10550 PARK RUN DRIVE</t>
  </si>
  <si>
    <t>550 NORTH SHERMAN STREET</t>
  </si>
  <si>
    <t>10401 WEST CHARLESTON BLVD</t>
  </si>
  <si>
    <t>2250 E FLAMINGO RD</t>
  </si>
  <si>
    <t>2350 WINGFIELD HILLS DR</t>
  </si>
  <si>
    <t>6351 N FORT APACHE RD</t>
  </si>
  <si>
    <t>5840 W SUNSET RD</t>
  </si>
  <si>
    <t>2860 N TENAYA WAY</t>
  </si>
  <si>
    <t>6352 MEDICAL CENTER STREET</t>
  </si>
  <si>
    <t>80 HIGHLAND ST</t>
  </si>
  <si>
    <t>580 COURT STREET</t>
  </si>
  <si>
    <t>55 HARRIS ROAD</t>
  </si>
  <si>
    <t>700 HANOVER STREET</t>
  </si>
  <si>
    <t>33 CHRISTIAN AVENUE</t>
  </si>
  <si>
    <t>307 PLAZA DRIVE</t>
  </si>
  <si>
    <t>49 LYME ROAD</t>
  </si>
  <si>
    <t>273 COUNTY ROAD</t>
  </si>
  <si>
    <t>928 SOUTH STREET</t>
  </si>
  <si>
    <t>40 WHITEHALL ROAD</t>
  </si>
  <si>
    <t>1 VERNEY DRIVE</t>
  </si>
  <si>
    <t>198 PEARL STREET</t>
  </si>
  <si>
    <t>22 HUNT STREET</t>
  </si>
  <si>
    <t>191 HACKETT HILL ROAD</t>
  </si>
  <si>
    <t>8 PEABODY ROAD</t>
  </si>
  <si>
    <t>175 BLUEBERRY LANE</t>
  </si>
  <si>
    <t>290 HANOVER STREET</t>
  </si>
  <si>
    <t>80 LYME ROAD</t>
  </si>
  <si>
    <t>21 SEARLES ROAD</t>
  </si>
  <si>
    <t>19 NH ROUTE 104</t>
  </si>
  <si>
    <t>239 PLEASANT STREET</t>
  </si>
  <si>
    <t>117 NORTH ROAD</t>
  </si>
  <si>
    <t>276 COUNTY FARM ROAD</t>
  </si>
  <si>
    <t>400 MAST ROAD</t>
  </si>
  <si>
    <t>7 RIVERWOODS DRIVE</t>
  </si>
  <si>
    <t>RR #1 BOX 13K,  24 OLD ETNA ROAD</t>
  </si>
  <si>
    <t>677 COURT STREET</t>
  </si>
  <si>
    <t>25 RIDGEWOOD ROAD</t>
  </si>
  <si>
    <t>3855 DARTMOUTH COLLEGE HIGHWAY</t>
  </si>
  <si>
    <t>201 RIVER ROAD</t>
  </si>
  <si>
    <t>22 TUCK ROAD</t>
  </si>
  <si>
    <t>325 DANIEL WEBSTER HIGHWAY</t>
  </si>
  <si>
    <t>44 WEST WEBSTER STREET</t>
  </si>
  <si>
    <t>23 GEREMONTY DRIVE</t>
  </si>
  <si>
    <t>50 PHEASANT ROAD</t>
  </si>
  <si>
    <t>30 COLBY COURT</t>
  </si>
  <si>
    <t>40 CROSBY STREET</t>
  </si>
  <si>
    <t>298 MAIN STREET</t>
  </si>
  <si>
    <t>200 PLEASANT STREET</t>
  </si>
  <si>
    <t>8 HAMPTON ROAD</t>
  </si>
  <si>
    <t>8 SNOW ROAD</t>
  </si>
  <si>
    <t>29 PROVIDENCE AVENUE</t>
  </si>
  <si>
    <t>235 MYRTLE STREET</t>
  </si>
  <si>
    <t>71 ELM STREET</t>
  </si>
  <si>
    <t>195 DOVER POINT ROAD</t>
  </si>
  <si>
    <t>406 COURT STREET</t>
  </si>
  <si>
    <t>519 BRIDGE STREET</t>
  </si>
  <si>
    <t>20 PLANTATION DRIVE</t>
  </si>
  <si>
    <t>357 ISLAND POND ROAD</t>
  </si>
  <si>
    <t>7 BALDWIN STREET</t>
  </si>
  <si>
    <t>91 COUNTRY VILLAGE ROAD</t>
  </si>
  <si>
    <t>93 MAIN STREET</t>
  </si>
  <si>
    <t>20 MAITLAND STREET</t>
  </si>
  <si>
    <t>1276 HANOVER STREET</t>
  </si>
  <si>
    <t>901 SUNCOOK VALLEY HIGHWAY</t>
  </si>
  <si>
    <t>62 ROCHESTER HILL ROAD</t>
  </si>
  <si>
    <t>188 JONES AVENUE</t>
  </si>
  <si>
    <t>39 CLIPPER DRIVE</t>
  </si>
  <si>
    <t>1251 WHITE MOUNTAIN HIGHWAY</t>
  </si>
  <si>
    <t>136 A ARCH STREET</t>
  </si>
  <si>
    <t>480 DONALD STREET</t>
  </si>
  <si>
    <t>93 WATER VILLAGE ROAD</t>
  </si>
  <si>
    <t>495 MAMMOTH RD</t>
  </si>
  <si>
    <t>60 MIDDLE ROAD</t>
  </si>
  <si>
    <t>442 MAIN STREET</t>
  </si>
  <si>
    <t>PO BOX 400 67 SCHOOL STREET</t>
  </si>
  <si>
    <t>5 NURSING HOME DRIVE</t>
  </si>
  <si>
    <t>6 TERRACE STREET</t>
  </si>
  <si>
    <t>20 CHESTER ROAD</t>
  </si>
  <si>
    <t>29 CENTER STREET</t>
  </si>
  <si>
    <t>84 PINE STREET</t>
  </si>
  <si>
    <t>795 WASHINGTON ROAD</t>
  </si>
  <si>
    <t>203 LOWELL ROAD</t>
  </si>
  <si>
    <t>30 COUNTY DRIVE</t>
  </si>
  <si>
    <t>100 PLAINSBORO ROAD</t>
  </si>
  <si>
    <t>1621 ROUTE 22 WEST</t>
  </si>
  <si>
    <t>144 GALES DRIVE</t>
  </si>
  <si>
    <t>18 W LAUREL ROAD</t>
  </si>
  <si>
    <t>40 WATCHUNG WAY</t>
  </si>
  <si>
    <t>225 W JERSEY STREET</t>
  </si>
  <si>
    <t>1412 MARLTON PIKE</t>
  </si>
  <si>
    <t>849 BIG OAK ROAD</t>
  </si>
  <si>
    <t>625 STATE HIGHWAY 34</t>
  </si>
  <si>
    <t>230 E RIDGEWOOD AVE</t>
  </si>
  <si>
    <t>155 HAZEL STREET</t>
  </si>
  <si>
    <t>300 MEADOW LAKES</t>
  </si>
  <si>
    <t>1155 PLEASANT VALLEY WAY</t>
  </si>
  <si>
    <t>3718 CHURCH ROAD</t>
  </si>
  <si>
    <t>25 E LINDSLEY ROAD</t>
  </si>
  <si>
    <t>1104 TEANECK ROAD</t>
  </si>
  <si>
    <t>20 SUMMIT STREET</t>
  </si>
  <si>
    <t>118 PARSONAGE ROAD</t>
  </si>
  <si>
    <t>521 PINE BROOK ROAD</t>
  </si>
  <si>
    <t>1 O'BRIEN LANE</t>
  </si>
  <si>
    <t>1700 WYNWOOD DRIVE</t>
  </si>
  <si>
    <t>115 SUNSET ROAD</t>
  </si>
  <si>
    <t>51 MADISON AVE</t>
  </si>
  <si>
    <t>1100 CLEMATIS AVE</t>
  </si>
  <si>
    <t>101 WALNUT ST</t>
  </si>
  <si>
    <t>200 RT 10 WEST</t>
  </si>
  <si>
    <t>438 SALEM-WOODSTOWN ROAD</t>
  </si>
  <si>
    <t>210 ST MARY'S DRIVE</t>
  </si>
  <si>
    <t>99 MANHEIM AVENUE</t>
  </si>
  <si>
    <t>1610 RARITAN ROAD</t>
  </si>
  <si>
    <t>787 NORTHFIELD AVE</t>
  </si>
  <si>
    <t>3025 CHAPEL AVENUE WEST</t>
  </si>
  <si>
    <t>1506 GULLY ROAD</t>
  </si>
  <si>
    <t>430 SCHOOLEY'S MOUNTAIN RD</t>
  </si>
  <si>
    <t>309 BRIDGEBORO ROAD</t>
  </si>
  <si>
    <t>198 STEVENS AVE</t>
  </si>
  <si>
    <t>360 CHESTNUT STREET</t>
  </si>
  <si>
    <t>1040 ROUTE 36</t>
  </si>
  <si>
    <t>205 BIRCHWOOD AVE</t>
  </si>
  <si>
    <t>188 HIGHWAY 34</t>
  </si>
  <si>
    <t>2240 WHITEHORSE-MERCERVILLE ROAD</t>
  </si>
  <si>
    <t>59 BIRCH STREET</t>
  </si>
  <si>
    <t>1340 PARK AVE</t>
  </si>
  <si>
    <t>296 HAMBURG TURNPIKE</t>
  </si>
  <si>
    <t>234 CHESTNUT STREET</t>
  </si>
  <si>
    <t>2050 SIXTH AVE</t>
  </si>
  <si>
    <t>1048 GROVE STREET</t>
  </si>
  <si>
    <t>728 BUNN DRIVE</t>
  </si>
  <si>
    <t>130 TERHUNE DRIVE</t>
  </si>
  <si>
    <t>1501 STATE HWY 33</t>
  </si>
  <si>
    <t>9020 WALL STREET</t>
  </si>
  <si>
    <t>112 FRANKLIN CORNER ROAD</t>
  </si>
  <si>
    <t>485 RIVER AVE</t>
  </si>
  <si>
    <t>622 S LAUREL AVENUE</t>
  </si>
  <si>
    <t>415 SOUTHERN BLVD</t>
  </si>
  <si>
    <t>1515 LAMBERTS MILL ROAD</t>
  </si>
  <si>
    <t>439 BELLEVUE AVENUE</t>
  </si>
  <si>
    <t>395 LAKESIDE BLVD</t>
  </si>
  <si>
    <t>1045 E CHESTNUT AVE</t>
  </si>
  <si>
    <t>2381 LAWRENCEVILLE ROAD</t>
  </si>
  <si>
    <t>62 RICHMOND AVENUE</t>
  </si>
  <si>
    <t>532 FARVIEW AVE</t>
  </si>
  <si>
    <t>95 MT KEMBLE AVENUE</t>
  </si>
  <si>
    <t>1165 EASTON AVE</t>
  </si>
  <si>
    <t>1350 INMAN AVENUE</t>
  </si>
  <si>
    <t>555 CHESTNUT RIDGE ROAD</t>
  </si>
  <si>
    <t>875 ROUTE 202-206 NORTH</t>
  </si>
  <si>
    <t>1515 HULSE ROAD</t>
  </si>
  <si>
    <t>89 AVENUE AT THE COMMON</t>
  </si>
  <si>
    <t>249 HIGH STREET</t>
  </si>
  <si>
    <t>200 REYNOLDS AVE</t>
  </si>
  <si>
    <t>633 ROUTE 28</t>
  </si>
  <si>
    <t>303 ROCK AVE</t>
  </si>
  <si>
    <t>1140 BLACK OAK RIDGE ROAD</t>
  </si>
  <si>
    <t>84 COLD HILL ROAD</t>
  </si>
  <si>
    <t>ONE MEDFORD LEAS WAY</t>
  </si>
  <si>
    <t>865 STONE STREET</t>
  </si>
  <si>
    <t>101 NORTH GROVE STREET</t>
  </si>
  <si>
    <t>794 N FORKLANDING ROAD</t>
  </si>
  <si>
    <t>3371 ROUTE 27</t>
  </si>
  <si>
    <t>301 UNION STREET</t>
  </si>
  <si>
    <t>689 WEST MAIN ST</t>
  </si>
  <si>
    <t>77 MADISON AVENUE</t>
  </si>
  <si>
    <t>330 FRANKLIN TPK</t>
  </si>
  <si>
    <t>425 WOODBURY-TURNERSVILLE ROAD</t>
  </si>
  <si>
    <t>ONE FRIENDS DRIVE</t>
  </si>
  <si>
    <t>133 COUNTY ROAD</t>
  </si>
  <si>
    <t>902 JACKSONVILLE ROAD</t>
  </si>
  <si>
    <t>20 BREAKNECK ROAD</t>
  </si>
  <si>
    <t>1511 CLEMENTS BRIDGE RD</t>
  </si>
  <si>
    <t>185 TUCKERTON ROAD</t>
  </si>
  <si>
    <t>139 GRANT AVE</t>
  </si>
  <si>
    <t>2721 ROUTE 9</t>
  </si>
  <si>
    <t>303 ELM STREET</t>
  </si>
  <si>
    <t>270 ROUTE 28</t>
  </si>
  <si>
    <t>2150 ROUTE 38</t>
  </si>
  <si>
    <t>201 NEW ROAD AND CENTRAL AVE</t>
  </si>
  <si>
    <t>1302 LAUREL OAK ROAD</t>
  </si>
  <si>
    <t>901 ERNSTON ROAD</t>
  </si>
  <si>
    <t>962 RIVER AVE</t>
  </si>
  <si>
    <t>206 BERGEN AVE</t>
  </si>
  <si>
    <t>502 ROUTE 9 NORTH</t>
  </si>
  <si>
    <t>315 EAST LINDSLEY ROAD</t>
  </si>
  <si>
    <t>35 COTTAGE STREET</t>
  </si>
  <si>
    <t>1770 TOBIAS AVENUE</t>
  </si>
  <si>
    <t>1777 LAWRENCE STREET</t>
  </si>
  <si>
    <t>919 GREEN GROVE ROAD</t>
  </si>
  <si>
    <t>400 W STIMPSON AVE</t>
  </si>
  <si>
    <t>255 EAST MAIN ST</t>
  </si>
  <si>
    <t>390 RED SCHOOL LANE</t>
  </si>
  <si>
    <t>398 POMPTON AVENUE</t>
  </si>
  <si>
    <t>TWO COOPER PLAZA</t>
  </si>
  <si>
    <t>1211 RT 72 WEST</t>
  </si>
  <si>
    <t>2601 EVESHAM ROAD</t>
  </si>
  <si>
    <t>43 N WHITE HORSE PIKE</t>
  </si>
  <si>
    <t>66 WEST JIMMIE LEEDS ROAD</t>
  </si>
  <si>
    <t>930 CHURCH STREET</t>
  </si>
  <si>
    <t>1049 BURNT TAVERN ROAD</t>
  </si>
  <si>
    <t>1311 DURHAM AVENUE</t>
  </si>
  <si>
    <t>53 WALTER STREET</t>
  </si>
  <si>
    <t>536 RIDGE ROAD</t>
  </si>
  <si>
    <t>40 NORWOOD AVENUE</t>
  </si>
  <si>
    <t>1001 CENTER ST</t>
  </si>
  <si>
    <t>3001 EVESHAM ROAD</t>
  </si>
  <si>
    <t>56 HAMILTON AVENUE</t>
  </si>
  <si>
    <t>859 WEST BAY AVE</t>
  </si>
  <si>
    <t>1059 EDINBURG ROAD</t>
  </si>
  <si>
    <t>145 STATE PARK ROAD</t>
  </si>
  <si>
    <t>5101 NORTH PARK DRIVE</t>
  </si>
  <si>
    <t>1 LEISURE COURT</t>
  </si>
  <si>
    <t>144 MAGNOLIA DRIVE</t>
  </si>
  <si>
    <t>1433 RINGWOOD AVE</t>
  </si>
  <si>
    <t>535 EGG HARBOR ROAD</t>
  </si>
  <si>
    <t>1640 SOUTH LINCOLN AVENUE</t>
  </si>
  <si>
    <t>261 TERHUNE DRIVE</t>
  </si>
  <si>
    <t>325 JERSEY STREET</t>
  </si>
  <si>
    <t>65 JAY STREET</t>
  </si>
  <si>
    <t>449 S PENNSVILLE-AUBURN ROAD</t>
  </si>
  <si>
    <t>11 HISTORY LANE</t>
  </si>
  <si>
    <t>54 N SHARP STREET</t>
  </si>
  <si>
    <t>1020 PITNEY ROAD</t>
  </si>
  <si>
    <t>1399 CHAPEL AVE WEST</t>
  </si>
  <si>
    <t>550 JESSUP ROAD</t>
  </si>
  <si>
    <t>165 FAIRFIELD AVE</t>
  </si>
  <si>
    <t>99 MULFORD ROAD</t>
  </si>
  <si>
    <t>499 PINE BROOK ROAD</t>
  </si>
  <si>
    <t>2048 OAK TREE ROAD</t>
  </si>
  <si>
    <t>715 NORTH BEERS STREET</t>
  </si>
  <si>
    <t>15 DELLWOOD LANE</t>
  </si>
  <si>
    <t>6819 BOULEVARD EAST</t>
  </si>
  <si>
    <t>620 MONTGOMERY STREET</t>
  </si>
  <si>
    <t>1400 ROUTE 70</t>
  </si>
  <si>
    <t>1420 SOUTH BLACK HORSE PIKE</t>
  </si>
  <si>
    <t>1180 ROUTE 22 WEST</t>
  </si>
  <si>
    <t>600 PEMBERTON BROWN MILLS RD</t>
  </si>
  <si>
    <t>25 FIFTH AVENUE</t>
  </si>
  <si>
    <t>400 LOCUST STREET</t>
  </si>
  <si>
    <t>315 WEST MILL ROAD</t>
  </si>
  <si>
    <t>1351 OLD FREEHOLD ROAD</t>
  </si>
  <si>
    <t>1931 LAKEWOOD ROAD</t>
  </si>
  <si>
    <t>480 PARKWAY DRIVE</t>
  </si>
  <si>
    <t>1105 -1115 LINDEN STREET</t>
  </si>
  <si>
    <t>120 PARK END PLACE</t>
  </si>
  <si>
    <t>ONE DAVID BRAINERD DRIVE</t>
  </si>
  <si>
    <t>201 FIFTH AVENUE</t>
  </si>
  <si>
    <t>1400 WOODLAND AVE</t>
  </si>
  <si>
    <t>475 JACK MARTIN BLVD</t>
  </si>
  <si>
    <t>963 OCEAN AVE</t>
  </si>
  <si>
    <t>69 MAPLE ROAD</t>
  </si>
  <si>
    <t>10 BRUNSWICK AVENUE</t>
  </si>
  <si>
    <t>1417 BRACE ROAD</t>
  </si>
  <si>
    <t>104 PENSION ROAD</t>
  </si>
  <si>
    <t>2385 SPRINGFIELD AVENUE</t>
  </si>
  <si>
    <t>229 BATH AVENUE</t>
  </si>
  <si>
    <t>100 CHAPIN AVENUE</t>
  </si>
  <si>
    <t>175 BARTLEY ROAD</t>
  </si>
  <si>
    <t>100 MCCLELLAN STREET</t>
  </si>
  <si>
    <t>2020 RT 23 NORTH</t>
  </si>
  <si>
    <t>APPLEWOOD DRIVE</t>
  </si>
  <si>
    <t>3000 HILLTOP ROAD</t>
  </si>
  <si>
    <t>4 MOORE ROAD</t>
  </si>
  <si>
    <t>50 POLIFLY ROAD</t>
  </si>
  <si>
    <t>114 HAYES MILL ROAD</t>
  </si>
  <si>
    <t>50 LACEY ROAD</t>
  </si>
  <si>
    <t>2303 WEST BANGS AVE</t>
  </si>
  <si>
    <t>525 MONMOUTH STREET</t>
  </si>
  <si>
    <t>16 CRATETOWN ROAD</t>
  </si>
  <si>
    <t>540 WEST HANOVER AVENUE</t>
  </si>
  <si>
    <t>350 OXFORD ROAD</t>
  </si>
  <si>
    <t>1 LINDBERG AVENUE</t>
  </si>
  <si>
    <t>800 RIVER ROAD</t>
  </si>
  <si>
    <t>7600 RIVER ROAD</t>
  </si>
  <si>
    <t>96 PARKWAY AVENUE</t>
  </si>
  <si>
    <t>23 SCHOOLHOUSE ROAD</t>
  </si>
  <si>
    <t>178-198 OGDEN AVE</t>
  </si>
  <si>
    <t>843 WILBUR AVENUE</t>
  </si>
  <si>
    <t>94 STEVENS ROAD</t>
  </si>
  <si>
    <t>221 COUNTY ROAD</t>
  </si>
  <si>
    <t>3325 HIGHWAY 35</t>
  </si>
  <si>
    <t>290 RED SCHOOL LANE</t>
  </si>
  <si>
    <t>29 NORTH VERMONT AVE</t>
  </si>
  <si>
    <t>1-3 ST JOSEPH'S TERRACE</t>
  </si>
  <si>
    <t>4 PLAZA DRIVE</t>
  </si>
  <si>
    <t>6989 RT18</t>
  </si>
  <si>
    <t>311 S LIVINGSTON AVE</t>
  </si>
  <si>
    <t>512 UNION STREET</t>
  </si>
  <si>
    <t>527 RIVER AVE</t>
  </si>
  <si>
    <t>12-15 SADDLE RIVER ROAD</t>
  </si>
  <si>
    <t>21 POCONO ROAD</t>
  </si>
  <si>
    <t>2305 RANCOCAS ROAD</t>
  </si>
  <si>
    <t>77 EAST 43RD STREET</t>
  </si>
  <si>
    <t>1361 ROUTE 72 WEST</t>
  </si>
  <si>
    <t>1750 ROUTE 37 WEST</t>
  </si>
  <si>
    <t>1120 ALPS ROAD</t>
  </si>
  <si>
    <t>189 APPLEGARTH ROAD</t>
  </si>
  <si>
    <t>1633 HIGHWAY 22</t>
  </si>
  <si>
    <t>1 BISHOPS DRIVE</t>
  </si>
  <si>
    <t>600 KINDERKAMACK ROAD</t>
  </si>
  <si>
    <t>22 WEST JIMMIE LEEDS ROAD</t>
  </si>
  <si>
    <t>1213 WESTFIELD AVENUE</t>
  </si>
  <si>
    <t>415 JACK MARTIN BLVD</t>
  </si>
  <si>
    <t>298 BROADWAY</t>
  </si>
  <si>
    <t>615 23RD STREET</t>
  </si>
  <si>
    <t>1 VETERANS DRIVE</t>
  </si>
  <si>
    <t>507 ROUTE 530</t>
  </si>
  <si>
    <t>255 UNION AVE</t>
  </si>
  <si>
    <t>333 GRAND AVE</t>
  </si>
  <si>
    <t>700 TOWNBANK ROAD</t>
  </si>
  <si>
    <t>1801 OAKTREE ROAD</t>
  </si>
  <si>
    <t>135 SOUTH CENTER STREET</t>
  </si>
  <si>
    <t>292 APPLEGARTH ROAD</t>
  </si>
  <si>
    <t>2500 RIDGEWOOD ROAD</t>
  </si>
  <si>
    <t>65 NORTH SUSSEX STREET</t>
  </si>
  <si>
    <t>8000 FELLOWSHIP DRIVE</t>
  </si>
  <si>
    <t>110 GROVE AVE</t>
  </si>
  <si>
    <t>235 DOLPHIN AVE</t>
  </si>
  <si>
    <t>155 FORTIETH STREET</t>
  </si>
  <si>
    <t>100 KINDERKAMACK ROAD</t>
  </si>
  <si>
    <t>305 OLDHAM ROAD</t>
  </si>
  <si>
    <t>2 DEER PARK DRIVE</t>
  </si>
  <si>
    <t>111-115 GATES AVENUE</t>
  </si>
  <si>
    <t>3 INDUSTRIAL WAY EAST</t>
  </si>
  <si>
    <t>195 BELGROVE DRIVE</t>
  </si>
  <si>
    <t>380 DEMOTT LANE</t>
  </si>
  <si>
    <t>117 COUNTY ROAD 513</t>
  </si>
  <si>
    <t>300 OLD HOOK ROAD</t>
  </si>
  <si>
    <t>5000 WINDROW DRIVE</t>
  </si>
  <si>
    <t>560 BERKELEY AVENUE</t>
  </si>
  <si>
    <t>810 NEWMAN SPRINGS RD</t>
  </si>
  <si>
    <t>497 MT PROSPECT AVE</t>
  </si>
  <si>
    <t>301 SICOMAC AVE</t>
  </si>
  <si>
    <t>175 WEST HUDSON AVE</t>
  </si>
  <si>
    <t>129 MORRIS TURNPIKE</t>
  </si>
  <si>
    <t>111 ROUTE 516</t>
  </si>
  <si>
    <t>9 RIDGEDALE AVE</t>
  </si>
  <si>
    <t>ROUTE 1 &amp; 18</t>
  </si>
  <si>
    <t>100 WEST MAGNOLIA AVENUE</t>
  </si>
  <si>
    <t>115 DUTCH LANE ROAD</t>
  </si>
  <si>
    <t>140 SHEPHERD LANE</t>
  </si>
  <si>
    <t>ONE BAY AVE</t>
  </si>
  <si>
    <t>600 LINCOLN PARK EAST</t>
  </si>
  <si>
    <t>250 BLOOMFIELD AVE</t>
  </si>
  <si>
    <t>266 S ORANGE AVE</t>
  </si>
  <si>
    <t>2201 BAY AVENUE</t>
  </si>
  <si>
    <t>154 SUNNY SLOPE DRIVE</t>
  </si>
  <si>
    <t>2350 HOSPITAL ROAD</t>
  </si>
  <si>
    <t>70 MAIN STREET</t>
  </si>
  <si>
    <t>460 HADDON AVE</t>
  </si>
  <si>
    <t>256 COUNTY HOUSE ROAD</t>
  </si>
  <si>
    <t>1 SUMMIT AVENUE</t>
  </si>
  <si>
    <t>198 OLD BERGEN ROAD</t>
  </si>
  <si>
    <t>524 WARDELL ROAD</t>
  </si>
  <si>
    <t>103 PLEASANT VALLEY WAY</t>
  </si>
  <si>
    <t>1990 ROUTE 18 NORTH</t>
  </si>
  <si>
    <t>99 EAST MAIN STREET</t>
  </si>
  <si>
    <t>111 FINDERNE AVENUE</t>
  </si>
  <si>
    <t>1579 OLD FREEHOLD ROAD</t>
  </si>
  <si>
    <t>798 WILLOW GROVE STREET</t>
  </si>
  <si>
    <t>2300 HAMILTON AVE</t>
  </si>
  <si>
    <t>39 EAST MOUNTAIN ROAD</t>
  </si>
  <si>
    <t>W-90 RIDGEWOOD AVE</t>
  </si>
  <si>
    <t>535 N OAK AVE</t>
  </si>
  <si>
    <t>28 WASHINGTON STREET</t>
  </si>
  <si>
    <t>29 EAST 29TH STREET</t>
  </si>
  <si>
    <t>114 PITTSTOWN ROAD</t>
  </si>
  <si>
    <t>304 S. VAN DIEN AVE</t>
  </si>
  <si>
    <t>42 NORTH MOUNTAIN AVE</t>
  </si>
  <si>
    <t>35 B PIERMONT ROAD</t>
  </si>
  <si>
    <t>32 LAUREL AVENUE</t>
  </si>
  <si>
    <t>120 NOYES DRIVE</t>
  </si>
  <si>
    <t>200 BRISTOL GLEN DRIVE</t>
  </si>
  <si>
    <t>TWO MORRIS ROAD</t>
  </si>
  <si>
    <t>655 EAST JERSEY STREET</t>
  </si>
  <si>
    <t>100 MONROE STREET</t>
  </si>
  <si>
    <t>509 N BROAD STREET</t>
  </si>
  <si>
    <t>303 BANK AVE</t>
  </si>
  <si>
    <t>5 BROOK END DRIVE</t>
  </si>
  <si>
    <t>61 MAPLEWOOD AVENUE</t>
  </si>
  <si>
    <t>537 PAVONIA AVENUE</t>
  </si>
  <si>
    <t>75 OLD TOMS RIVER ROAD</t>
  </si>
  <si>
    <t>231 WARNER STREET</t>
  </si>
  <si>
    <t>1314 BRUNSWICK AVENUE</t>
  </si>
  <si>
    <t>151 NINTH AVENUE</t>
  </si>
  <si>
    <t>459 PASSAIC AVENUE</t>
  </si>
  <si>
    <t>300 BROADWAY</t>
  </si>
  <si>
    <t>132 EVERGREEN RD</t>
  </si>
  <si>
    <t>336 PROSPECT AVE</t>
  </si>
  <si>
    <t>100 LONG-A-COMING LANE</t>
  </si>
  <si>
    <t>18 BUTLER BOULEVARD</t>
  </si>
  <si>
    <t>38 FRENEAU AVENUE</t>
  </si>
  <si>
    <t>870 EAST ROUTE 70</t>
  </si>
  <si>
    <t>3200 HUDSON AVENUE</t>
  </si>
  <si>
    <t>1205 NORTH CHURCH STREET</t>
  </si>
  <si>
    <t>100 MAZDABROOK ROAD</t>
  </si>
  <si>
    <t>3002 ESSEX ROAD</t>
  </si>
  <si>
    <t>7 RYERSON AVENUE</t>
  </si>
  <si>
    <t>599 CRANBURY ROAD</t>
  </si>
  <si>
    <t>10 LINK DRIVE</t>
  </si>
  <si>
    <t>1660 WHITEHORSE-HAMILTON SQUARE ROAD</t>
  </si>
  <si>
    <t>595 COUNTY AVENUE</t>
  </si>
  <si>
    <t>493 BLACK OAK RIDGE ROAD</t>
  </si>
  <si>
    <t>1140 ROUTE 72 WEST</t>
  </si>
  <si>
    <t>68 PASSAIC AVENUE</t>
  </si>
  <si>
    <t>190  PARK AVENUE</t>
  </si>
  <si>
    <t>895 WESTFIELD AVENUE</t>
  </si>
  <si>
    <t>456 RAHWAY AVENUE</t>
  </si>
  <si>
    <t>2621 HIGHWAY 138</t>
  </si>
  <si>
    <t>100 HOLLINSHEAD SPRING ROAD</t>
  </si>
  <si>
    <t>1201 PARKWAY AVENUE</t>
  </si>
  <si>
    <t>151 MADISON AVENUE</t>
  </si>
  <si>
    <t>99 ROUTE 37 WEST</t>
  </si>
  <si>
    <t>4 CEDAR CREST VILLAGE DRIVE</t>
  </si>
  <si>
    <t>199 POWERVILLE ROAD</t>
  </si>
  <si>
    <t>96 PARKWAY</t>
  </si>
  <si>
    <t>61 W JIMMIE LEEDS ROAD</t>
  </si>
  <si>
    <t>524 NORTH WEST BLVD</t>
  </si>
  <si>
    <t>85 HARRETON ROAD</t>
  </si>
  <si>
    <t>1100 LAUREL OAK ROAD</t>
  </si>
  <si>
    <t>1086 DUMONT CIRCLE</t>
  </si>
  <si>
    <t>1725 MERIDIAN TRAIL</t>
  </si>
  <si>
    <t>544 TEANECK ROAD</t>
  </si>
  <si>
    <t>214 WEST JIMMIE LEEDS ROAD</t>
  </si>
  <si>
    <t>3419 HIGHWAY 9</t>
  </si>
  <si>
    <t>ONE CLARA MAASS DRIVE</t>
  </si>
  <si>
    <t>378 FRIES MILL ROAD</t>
  </si>
  <si>
    <t>680 BROADWAY SUITE 301</t>
  </si>
  <si>
    <t>3809 BAYSHORE ROAD</t>
  </si>
  <si>
    <t>1133 MARLBORO ROAD</t>
  </si>
  <si>
    <t>395 AMWELL ROAD</t>
  </si>
  <si>
    <t>101 WHIPPANY ROAD</t>
  </si>
  <si>
    <t>308 WILLOW AVENUE</t>
  </si>
  <si>
    <t>113 SOUTH ROUTE 73</t>
  </si>
  <si>
    <t>6818 DELILAH ROAD</t>
  </si>
  <si>
    <t>40 RIVERSIDE AVENUE</t>
  </si>
  <si>
    <t>685 SALINA ROAD</t>
  </si>
  <si>
    <t>212 MARTER AVENUE</t>
  </si>
  <si>
    <t>275 JOHN T O'LEARY BOULEVARD</t>
  </si>
  <si>
    <t>3 HAMILTON HEALTH PLACE</t>
  </si>
  <si>
    <t>702 N 13TH STREET</t>
  </si>
  <si>
    <t>635 HARKLE ROAD</t>
  </si>
  <si>
    <t>2216 LESTER DRIVE NE</t>
  </si>
  <si>
    <t>4210 SABANA GRANDE SE</t>
  </si>
  <si>
    <t>5900 FOREST HILLS DRIVE NE</t>
  </si>
  <si>
    <t>10501 LAGRIMA DE ORO NE</t>
  </si>
  <si>
    <t>8100 PALOMAS AVENUE</t>
  </si>
  <si>
    <t>5901 OURAY ROAD NW</t>
  </si>
  <si>
    <t>1650 GALISTEO STREET</t>
  </si>
  <si>
    <t>2029 SAGECREST COURT</t>
  </si>
  <si>
    <t>5715 NORTH LOVINGTON HIGHWAY</t>
  </si>
  <si>
    <t>7900 CONSTITUTION AVENUE NE</t>
  </si>
  <si>
    <t>205 MOONGLOW AVE.</t>
  </si>
  <si>
    <t>3200 MISSION ARCH DRIVE</t>
  </si>
  <si>
    <t>500 LOUISIANA BOULEVARD NE</t>
  </si>
  <si>
    <t>1005 LUJAN HILL ROAD</t>
  </si>
  <si>
    <t>10500 ACADEMY ROAD NE</t>
  </si>
  <si>
    <t>10101 LAGRIMA DE ORO ROAD NE</t>
  </si>
  <si>
    <t>1011 SOMBRILLO COURT</t>
  </si>
  <si>
    <t>1600 WEST AVE I</t>
  </si>
  <si>
    <t>840 LOBO CANYON ROAD</t>
  </si>
  <si>
    <t>720 HACIENDA STREET</t>
  </si>
  <si>
    <t>1509 UNIVERSITY BOULEVARD NE</t>
  </si>
  <si>
    <t>3101 NORTH FLORIDA AVENUE</t>
  </si>
  <si>
    <t>1400 NORTH SILVER STREET</t>
  </si>
  <si>
    <t>9150 MCMAHON BOULEVARD NW</t>
  </si>
  <si>
    <t>2301 COLLINS DRIVE</t>
  </si>
  <si>
    <t>803 HACIENDA LANE</t>
  </si>
  <si>
    <t>3025 TERRACE DRIVE</t>
  </si>
  <si>
    <t>1831 CAMINO DEL LLANO</t>
  </si>
  <si>
    <t>103 HOSPITAL LOOP NE</t>
  </si>
  <si>
    <t>3720 CHURCH ROCK ROAD</t>
  </si>
  <si>
    <t>500 CARE LANE</t>
  </si>
  <si>
    <t>1203 HIGHWAY 60 WEST</t>
  </si>
  <si>
    <t>5201 ROMA AVENUE NE</t>
  </si>
  <si>
    <t>1400 WEST 21ST STREET</t>
  </si>
  <si>
    <t>1201 NORTH NORRIS</t>
  </si>
  <si>
    <t>2221 DILLON</t>
  </si>
  <si>
    <t>900 WEST ASH STREET</t>
  </si>
  <si>
    <t>1660 HOSPITAL DRIVE</t>
  </si>
  <si>
    <t>806 WEST MAPLE STREET</t>
  </si>
  <si>
    <t>1601 SOUTH MAIN STREET</t>
  </si>
  <si>
    <t>1905 WEST PIERCE ST</t>
  </si>
  <si>
    <t>3514 FOWLER AVE</t>
  </si>
  <si>
    <t>8300 CONSTITUTION AVENUE NE</t>
  </si>
  <si>
    <t>419 HARDING STREET</t>
  </si>
  <si>
    <t>2430 WEST PIERCE STREET</t>
  </si>
  <si>
    <t>5419 N LOVINGTON HIGHWAY</t>
  </si>
  <si>
    <t>1101 WEST MURRAY DRIVE</t>
  </si>
  <si>
    <t>3695 HOT SPRINGS BOULEVARD</t>
  </si>
  <si>
    <t>1340 MAESTAS ROAD</t>
  </si>
  <si>
    <t>2905 EAST MISSOURI</t>
  </si>
  <si>
    <t>2884 NORTH ROAD RUNNER PARKWAY</t>
  </si>
  <si>
    <t>2101 BENSING ROAD</t>
  </si>
  <si>
    <t>800 SAGUARO TRAIL</t>
  </si>
  <si>
    <t>1604 WEST 18TH STREET</t>
  </si>
  <si>
    <t>454 LIPAN AVE</t>
  </si>
  <si>
    <t>1515 SOUTH SUNSET</t>
  </si>
  <si>
    <t>306 NIZHONI BLVD</t>
  </si>
  <si>
    <t>2701 RICHMOND DRIVE NE</t>
  </si>
  <si>
    <t>41 FORT BAYARD ROAD</t>
  </si>
  <si>
    <t>603 HADECO</t>
  </si>
  <si>
    <t>414 CAMINO DE LA PLACITA #24</t>
  </si>
  <si>
    <t>8820 HORIZON BOULEVARD NE</t>
  </si>
  <si>
    <t>5123 JUAN TABO BOULEVARD NE</t>
  </si>
  <si>
    <t>3620 LAS ESTANCIAS DR SW</t>
  </si>
  <si>
    <t>2410 19TH STREET, SE</t>
  </si>
  <si>
    <t>1402 WEST GILCHRIST AVE</t>
  </si>
  <si>
    <t>191 NORTH MAIN STREET</t>
  </si>
  <si>
    <t>515 MAIN STREET</t>
  </si>
  <si>
    <t>7571 STATE ROUTE 54</t>
  </si>
  <si>
    <t>134 HOMER AVENUE</t>
  </si>
  <si>
    <t>50 LEROY STREET</t>
  </si>
  <si>
    <t>214 KING STREET</t>
  </si>
  <si>
    <t>178 GRANDVIEW DRIVE</t>
  </si>
  <si>
    <t>101 DATES DRIVE</t>
  </si>
  <si>
    <t>2000 EAST MAIN STREET</t>
  </si>
  <si>
    <t>85 THORNTON AVENUE</t>
  </si>
  <si>
    <t>620 SLEEPY HOLLOW ROAD</t>
  </si>
  <si>
    <t>110 UTICA ROAD</t>
  </si>
  <si>
    <t>150 HIGHLAND AVENUE</t>
  </si>
  <si>
    <t>66 VAN CORTLANDT PARK SOUTH</t>
  </si>
  <si>
    <t>526 ALTAMONT AVE</t>
  </si>
  <si>
    <t>2975 INDEPENDENCE AVE</t>
  </si>
  <si>
    <t>318 SOUTH ALBANY STREET</t>
  </si>
  <si>
    <t>3200 BAYCHESTER AVENUE</t>
  </si>
  <si>
    <t>5901 PALISADE AVENUE</t>
  </si>
  <si>
    <t>1440 PORT WASHINGTON BLVD</t>
  </si>
  <si>
    <t>875 JERUSALEM AVENUE</t>
  </si>
  <si>
    <t>640 WEST BROADWAY</t>
  </si>
  <si>
    <t>214 W HOUSTON STREET</t>
  </si>
  <si>
    <t>3400 -26  CANNON PLACE</t>
  </si>
  <si>
    <t>3356 PERRY AVENUE</t>
  </si>
  <si>
    <t>400 NORTH MAIN STREET</t>
  </si>
  <si>
    <t>9 HILAIRE DRIVE</t>
  </si>
  <si>
    <t>13 11 VIRGINA ST</t>
  </si>
  <si>
    <t>199 N MIDDLETOWN ROAD</t>
  </si>
  <si>
    <t>1540 TOMLINSON AVENUE</t>
  </si>
  <si>
    <t>1339 YORK AVENUE</t>
  </si>
  <si>
    <t>48 COLONIAL DRIVE</t>
  </si>
  <si>
    <t>4459 BAILEY AVE</t>
  </si>
  <si>
    <t>2505 GRAND AVE</t>
  </si>
  <si>
    <t>900 MAIN ST</t>
  </si>
  <si>
    <t>78 BIRCHWOOD DR</t>
  </si>
  <si>
    <t>101 SOUTH STREET</t>
  </si>
  <si>
    <t>6131 BIG TREE ROAD BOX F</t>
  </si>
  <si>
    <t>835 HERKIMER STREET</t>
  </si>
  <si>
    <t>555 EAST MARKET STREET</t>
  </si>
  <si>
    <t>5353 MERRICK ROAD</t>
  </si>
  <si>
    <t>PO BOX 1079</t>
  </si>
  <si>
    <t>2300 CATHERINE STREET</t>
  </si>
  <si>
    <t>2316 BRUNER AVENUE</t>
  </si>
  <si>
    <t>65 ASHBURTON AVENUE</t>
  </si>
  <si>
    <t>1500 PORTLAND AVENUE</t>
  </si>
  <si>
    <t>425 BEACH AVENUE</t>
  </si>
  <si>
    <t>10 BERKSHIRE ROAD</t>
  </si>
  <si>
    <t>950 LINDEN STREET</t>
  </si>
  <si>
    <t>863 FRONT STREET</t>
  </si>
  <si>
    <t>847 COUNTY  HIGHWAY 122</t>
  </si>
  <si>
    <t>1752 PARK AVE</t>
  </si>
  <si>
    <t>128 BEACH 115TH STREET</t>
  </si>
  <si>
    <t>641 WEST 230TH ST</t>
  </si>
  <si>
    <t>4211 STATE HIGHWAY 220</t>
  </si>
  <si>
    <t>196-198 NORTH STREET</t>
  </si>
  <si>
    <t>515 AUDUBON AVENUE</t>
  </si>
  <si>
    <t>510 FIFTH AVENUE</t>
  </si>
  <si>
    <t>5606 15TH AVE</t>
  </si>
  <si>
    <t>2021 WINTON ROAD SOUTH</t>
  </si>
  <si>
    <t>460 BRIELLE AVE</t>
  </si>
  <si>
    <t>1070 LUTHER ROAD</t>
  </si>
  <si>
    <t>10570 BERGTOLD ROAD</t>
  </si>
  <si>
    <t>660 LOUISIANA AVE</t>
  </si>
  <si>
    <t>45 SIXTH STREET</t>
  </si>
  <si>
    <t>301 HACKETT BLVD</t>
  </si>
  <si>
    <t>157 15 19TH AVENUE</t>
  </si>
  <si>
    <t>405 CARLTON AVE</t>
  </si>
  <si>
    <t>271-11 76TH AVE</t>
  </si>
  <si>
    <t>35 15 PARSONS BLVD</t>
  </si>
  <si>
    <t>700 EAST BRIGHTON AVENUE</t>
  </si>
  <si>
    <t>71 44 YELLOWSTONE BLVD</t>
  </si>
  <si>
    <t>2478 JERUSALEM AVE</t>
  </si>
  <si>
    <t>2 MEDICAL PLAZA</t>
  </si>
  <si>
    <t>150 PRATHER AVENUE</t>
  </si>
  <si>
    <t>78 10 164TH STREET</t>
  </si>
  <si>
    <t>69 70 GRAND CENTRAL PARKWAY</t>
  </si>
  <si>
    <t>30 CRAGMERE ROAD</t>
  </si>
  <si>
    <t>119 15 27TH AVENUE</t>
  </si>
  <si>
    <t>212 40 HILLSIDE AVENUE</t>
  </si>
  <si>
    <t>275 W MERRICK ROAD</t>
  </si>
  <si>
    <t>2914 LINCOLN AVENUE</t>
  </si>
  <si>
    <t>839 SUFFOLK AVENUE</t>
  </si>
  <si>
    <t>243 ATLANTIC AVENUE</t>
  </si>
  <si>
    <t>574 FULTON STREET</t>
  </si>
  <si>
    <t>ONE LONG BEACH ROAD</t>
  </si>
  <si>
    <t>144 SO OXFORD ST</t>
  </si>
  <si>
    <t>64 HAGER STREET</t>
  </si>
  <si>
    <t>22-41 NEW HAVEN AVENUE</t>
  </si>
  <si>
    <t>315 BEACH 9TH STREET</t>
  </si>
  <si>
    <t>147 REIST STREET</t>
  </si>
  <si>
    <t>380 HENRY STREET</t>
  </si>
  <si>
    <t>7 ROUTE 25A</t>
  </si>
  <si>
    <t>2700 NORTH FOREST ROAD</t>
  </si>
  <si>
    <t>1455 CONEY ISLAND AVENUE</t>
  </si>
  <si>
    <t>2799 SHERIDAN DRIVE</t>
  </si>
  <si>
    <t>5949 BROADWAY</t>
  </si>
  <si>
    <t>5075 WEST SENECA TURNPIKE</t>
  </si>
  <si>
    <t>CEDAR LANE, PO BOX 928</t>
  </si>
  <si>
    <t>3220 HENRY HUDSON PARKWAY</t>
  </si>
  <si>
    <t>1 JANSEN ROAD PO BOX 909</t>
  </si>
  <si>
    <t>4101 E GENESEE ST</t>
  </si>
  <si>
    <t>275 CASTLETON AVENUE</t>
  </si>
  <si>
    <t>435 EAST HENRIETTA ROAD</t>
  </si>
  <si>
    <t>430 BEACH 68TH STREET</t>
  </si>
  <si>
    <t>612 ALLERTON AVENUE</t>
  </si>
  <si>
    <t>257 STATE ST</t>
  </si>
  <si>
    <t>ONE NORTON AVENUE</t>
  </si>
  <si>
    <t>40 PARK STREET</t>
  </si>
  <si>
    <t>160 SENECA ST</t>
  </si>
  <si>
    <t>141 DOSORIS LANE</t>
  </si>
  <si>
    <t>14012 ROUTE 31</t>
  </si>
  <si>
    <t>399 COUNTY LINE RD</t>
  </si>
  <si>
    <t>2700 EASTCHESTER ROAD</t>
  </si>
  <si>
    <t>215 CLINTON STREET</t>
  </si>
  <si>
    <t>193 CLINTON AVENUE</t>
  </si>
  <si>
    <t>222 WEST PEARL STREET</t>
  </si>
  <si>
    <t>114 WAWBEEK AVE</t>
  </si>
  <si>
    <t>220 WEST POST ROAD</t>
  </si>
  <si>
    <t>602 HUDSON ST</t>
  </si>
  <si>
    <t>1501 ROUTE 26 SOUTH,</t>
  </si>
  <si>
    <t>3155 GRACE AVENUE</t>
  </si>
  <si>
    <t>159 163 FRONT STREET - BOX 765</t>
  </si>
  <si>
    <t>404 LUDINGTONVILLE ROAD</t>
  </si>
  <si>
    <t>8533 JERICHO TPKE</t>
  </si>
  <si>
    <t>211 EAST 79 ST</t>
  </si>
  <si>
    <t>950 FLOYD AVENUE</t>
  </si>
  <si>
    <t>28652 STATE HIGHWAY 23</t>
  </si>
  <si>
    <t>GLENMERE COVE RD PO BOX 59</t>
  </si>
  <si>
    <t>25 FANNING STREET</t>
  </si>
  <si>
    <t>330 CHESTNUT STREET</t>
  </si>
  <si>
    <t>1312 CATON AVENUE</t>
  </si>
  <si>
    <t>1550 EMPIRE BLVD</t>
  </si>
  <si>
    <t>666 KAPPOCK STREET</t>
  </si>
  <si>
    <t>1229 TRUMANSBURG ROAD</t>
  </si>
  <si>
    <t>199 COMMUNITY DRIVE</t>
  </si>
  <si>
    <t>59 HETCHELTOWN ROAD</t>
  </si>
  <si>
    <t>116 EAST CASTLE STREET</t>
  </si>
  <si>
    <t>1146 WOODCREST AVENUE</t>
  </si>
  <si>
    <t>210 N MAIN STREET</t>
  </si>
  <si>
    <t>154 JEFFERSON HEIGHTS</t>
  </si>
  <si>
    <t>801 W 190TH ST</t>
  </si>
  <si>
    <t>537 ROUTE 22</t>
  </si>
  <si>
    <t>SANATORIUM ROAD</t>
  </si>
  <si>
    <t>ROUTE 100</t>
  </si>
  <si>
    <t>505 MT HOPE AVENUE</t>
  </si>
  <si>
    <t>85 BLOOMINGROVE DRIVE</t>
  </si>
  <si>
    <t>119 09 26TH AVENUE</t>
  </si>
  <si>
    <t>185 OLD MILITARY ROAD</t>
  </si>
  <si>
    <t>715 FALCONER STREET</t>
  </si>
  <si>
    <t>BRADLEY AVENUE</t>
  </si>
  <si>
    <t>676 PELHAM ROAD</t>
  </si>
  <si>
    <t>100 CASTLETON AVENUE</t>
  </si>
  <si>
    <t>PO BOX 2122</t>
  </si>
  <si>
    <t>37 MESIER AVENUE</t>
  </si>
  <si>
    <t>100 BALDWIN ROAD</t>
  </si>
  <si>
    <t>49 MARVIN AVENUE</t>
  </si>
  <si>
    <t>292 MAIN STREET</t>
  </si>
  <si>
    <t>813 FAY ROAD</t>
  </si>
  <si>
    <t>825 OLD COUNTRY RD</t>
  </si>
  <si>
    <t>661 N MAIN ST</t>
  </si>
  <si>
    <t>830 PARK AVENUE</t>
  </si>
  <si>
    <t>6585 BROADWAY</t>
  </si>
  <si>
    <t>2865 BRIGHTON 3RD STREET</t>
  </si>
  <si>
    <t>418 NORTH MAIN STREET</t>
  </si>
  <si>
    <t>3457 NOSTRAND AVENUE</t>
  </si>
  <si>
    <t>3700 OLD VESTAL ROAD</t>
  </si>
  <si>
    <t>140 BEACH 114TH STREET</t>
  </si>
  <si>
    <t>184 FINNEY BOULEVARD</t>
  </si>
  <si>
    <t>144-61 38TH AVE</t>
  </si>
  <si>
    <t>845 PALMER AVENUE</t>
  </si>
  <si>
    <t>41 MAINE AVENUE</t>
  </si>
  <si>
    <t>260 01 79TH AVENUE</t>
  </si>
  <si>
    <t>319 UPPER BROADWAY</t>
  </si>
  <si>
    <t>275 MORICHES ROAD</t>
  </si>
  <si>
    <t>152 SHERMAN AVENUE</t>
  </si>
  <si>
    <t>7009 RUMSEY STREET EXTENSION</t>
  </si>
  <si>
    <t>71 20 110TH STREET</t>
  </si>
  <si>
    <t>100 LAKE ROAD, PO BOX 319</t>
  </si>
  <si>
    <t>1000 HIGH ST</t>
  </si>
  <si>
    <t>200 OHIO STREET</t>
  </si>
  <si>
    <t>201 W MADISON AVENUE</t>
  </si>
  <si>
    <t>420 ROCKLAND ROAD</t>
  </si>
  <si>
    <t>59 20 VAN DOREN STREET</t>
  </si>
  <si>
    <t>77 JACKSON AVE</t>
  </si>
  <si>
    <t>3525 BAYCHESTER AVE</t>
  </si>
  <si>
    <t>434 MONROE AVENUE</t>
  </si>
  <si>
    <t>419 NORTH QUAKER LANE</t>
  </si>
  <si>
    <t>170 WARREN STREET</t>
  </si>
  <si>
    <t>200 BASSETT ROAD</t>
  </si>
  <si>
    <t>143 10 20TH AVE</t>
  </si>
  <si>
    <t>615 AVENUE C</t>
  </si>
  <si>
    <t>205 EAST FIRST STREET</t>
  </si>
  <si>
    <t>17 MADISON STREET</t>
  </si>
  <si>
    <t>140 MEISNER AVENUE</t>
  </si>
  <si>
    <t>191 06 HILLSIDE AVENUE</t>
  </si>
  <si>
    <t>150 RIVERSIDE DRIVE</t>
  </si>
  <si>
    <t>164 11 CHAPIN PARKWAY</t>
  </si>
  <si>
    <t>16 GUION PLACE</t>
  </si>
  <si>
    <t>918 JAMES STREET</t>
  </si>
  <si>
    <t>42158 STATE HIGHWAY 28</t>
  </si>
  <si>
    <t>5460 MELTZER COURT</t>
  </si>
  <si>
    <t>1177 EAST HENRIETTA RD</t>
  </si>
  <si>
    <t>3550 LEXINGTON AVENUE</t>
  </si>
  <si>
    <t>ONE TERRACE HEIGHTS</t>
  </si>
  <si>
    <t>350 PARRISH STREET</t>
  </si>
  <si>
    <t>37 NORTH CHEMUNG STREET</t>
  </si>
  <si>
    <t>1235 PELHAM PARKWAY NORTH</t>
  </si>
  <si>
    <t>6526 SPRINGBROOK, PO BOX 514</t>
  </si>
  <si>
    <t>119 - 19 GRAHAM COURT</t>
  </si>
  <si>
    <t>31 LOCKWOOD AVENUE</t>
  </si>
  <si>
    <t>99 EAST STATE STREET</t>
  </si>
  <si>
    <t>4570 ROUTE 60</t>
  </si>
  <si>
    <t>179 NORTH BROAD STREET</t>
  </si>
  <si>
    <t>2245 WEST STATE STREET</t>
  </si>
  <si>
    <t>3845 CARPENTER AVE</t>
  </si>
  <si>
    <t>211 CHURCH STREET</t>
  </si>
  <si>
    <t>2 COULTER ROAD</t>
  </si>
  <si>
    <t>42 41 201ST STREET</t>
  </si>
  <si>
    <t>140 WEST MAIN STREET</t>
  </si>
  <si>
    <t>476 CHRISTIAN HERALD ROAD</t>
  </si>
  <si>
    <t>2425 CLINTON AVENUE SOUTH</t>
  </si>
  <si>
    <t>1555 LONG POND ROAD</t>
  </si>
  <si>
    <t>301 NANTUCKET DRIVE</t>
  </si>
  <si>
    <t>135 VANDERBILT AVE</t>
  </si>
  <si>
    <t>3518 BAINBRIDGE AVENUE</t>
  </si>
  <si>
    <t>1800 BUTTERFIELD AVE</t>
  </si>
  <si>
    <t>220 STEUBEN STREET</t>
  </si>
  <si>
    <t>621 TENTH STREET</t>
  </si>
  <si>
    <t>100 NEW TURNPIKE ROAD</t>
  </si>
  <si>
    <t>6884 MAPLE AVE</t>
  </si>
  <si>
    <t>111 26 CORONA AVENUE</t>
  </si>
  <si>
    <t>225 MAPLE AVENUE</t>
  </si>
  <si>
    <t>555 ROCKAWAY PARKWAY</t>
  </si>
  <si>
    <t>3 ST ANTHONY STREET</t>
  </si>
  <si>
    <t>115 BROADWAY</t>
  </si>
  <si>
    <t>99 SIXTH AVENUE</t>
  </si>
  <si>
    <t>50 15 BEACH CHANNEL DRIVE</t>
  </si>
  <si>
    <t>1050 EAST 230TH STREET</t>
  </si>
  <si>
    <t>2781 ROUTE 9 , P O BOX 95</t>
  </si>
  <si>
    <t>49 OAKCREST AVE</t>
  </si>
  <si>
    <t>2850 GRAND ISLAND BLVD</t>
  </si>
  <si>
    <t>28 KELLOGG ROAD</t>
  </si>
  <si>
    <t>282 RIVERSIDE DR</t>
  </si>
  <si>
    <t>131 LAWRENCE STREET</t>
  </si>
  <si>
    <t>2817 ALBANY POST ROAD</t>
  </si>
  <si>
    <t>600 BATES ROAD</t>
  </si>
  <si>
    <t>115 PARK AVENUE</t>
  </si>
  <si>
    <t>260 VINEYARD AVE, RT 44/55</t>
  </si>
  <si>
    <t>200 DOUGLAS DRIVE</t>
  </si>
  <si>
    <t>340 EAST MONTAUK HIGHWAY</t>
  </si>
  <si>
    <t>6 FROWEIN ROAD</t>
  </si>
  <si>
    <t>100 SUNSET DRIVE</t>
  </si>
  <si>
    <t>4975 ALBANY POST ROAD</t>
  </si>
  <si>
    <t>21 FERNCLIFF DRIVE</t>
  </si>
  <si>
    <t>1529 NYE ROAD</t>
  </si>
  <si>
    <t>1700 PENFIELD RD</t>
  </si>
  <si>
    <t>5 CHURCH STREET</t>
  </si>
  <si>
    <t>7000 COLLAMER RD</t>
  </si>
  <si>
    <t>150 DARK HOLLOW ROAD</t>
  </si>
  <si>
    <t>3035 WEST 24TH ST</t>
  </si>
  <si>
    <t>128 PHOENIX MILLS CROSS ROAD</t>
  </si>
  <si>
    <t>ROUTE 40</t>
  </si>
  <si>
    <t>350 BEACH 54TH STREET</t>
  </si>
  <si>
    <t>61 35 DRY HARBOR ROAD</t>
  </si>
  <si>
    <t>87 SOUTH ROUTE 9W</t>
  </si>
  <si>
    <t>2157 MAIN STREET</t>
  </si>
  <si>
    <t>20 WOOD COURT</t>
  </si>
  <si>
    <t>100 SANDY DRIVE</t>
  </si>
  <si>
    <t>278 BANK STREET</t>
  </si>
  <si>
    <t>12 TIBBITS AVENUE</t>
  </si>
  <si>
    <t>780 ALBANY SHAKER ROAD</t>
  </si>
  <si>
    <t>142 27 FRANKLIN AVENUE</t>
  </si>
  <si>
    <t>323 GENESEE STREET</t>
  </si>
  <si>
    <t>7785 NORTH STATE STREET</t>
  </si>
  <si>
    <t>112 SKI BOWL ROAD</t>
  </si>
  <si>
    <t>133 PRATT ST</t>
  </si>
  <si>
    <t>375 EAST BAY DRIVE</t>
  </si>
  <si>
    <t>1503 MILITARY ROAD</t>
  </si>
  <si>
    <t>260 19 NASSAU BLVD</t>
  </si>
  <si>
    <t>222 EAST MAIN STREET</t>
  </si>
  <si>
    <t>89-40  135TH  STREET</t>
  </si>
  <si>
    <t>200 SEVENTH STREET</t>
  </si>
  <si>
    <t>154 NORTH PROSPECT AVENUE</t>
  </si>
  <si>
    <t>1335 PORTLAND AVE</t>
  </si>
  <si>
    <t>100 FRANKLIN STREET</t>
  </si>
  <si>
    <t>110 OREGON ROAD</t>
  </si>
  <si>
    <t>75 BEEKMAN STREET</t>
  </si>
  <si>
    <t>1160 TELLER AVE</t>
  </si>
  <si>
    <t>139 66 35TH AVENUE</t>
  </si>
  <si>
    <t>787 KING STREET</t>
  </si>
  <si>
    <t>520 BEACH 19TH STREET</t>
  </si>
  <si>
    <t>170 LAKE STREET</t>
  </si>
  <si>
    <t>99 GOLDEN HILL DRIVE</t>
  </si>
  <si>
    <t>1001 WEST STREET ROAD</t>
  </si>
  <si>
    <t>8101 STATE HIGHWAY 68</t>
  </si>
  <si>
    <t>88 OLD TOWN ROAD</t>
  </si>
  <si>
    <t>168 WEST MAIN STREET</t>
  </si>
  <si>
    <t>9 RESERVOIR ROAD</t>
  </si>
  <si>
    <t>10 CLAREMONT AVE</t>
  </si>
  <si>
    <t>453 PARK STREET</t>
  </si>
  <si>
    <t>227 MADISON STREET</t>
  </si>
  <si>
    <t>100 WEST KINGSBRIDGE ROAD</t>
  </si>
  <si>
    <t>172 MEADOW HILL ROAD</t>
  </si>
  <si>
    <t>180 WASHINGTON AVE EXT</t>
  </si>
  <si>
    <t>323 KINGS ROAD</t>
  </si>
  <si>
    <t>6745 PITTSFORD PALMYRA ROAD</t>
  </si>
  <si>
    <t>2235 MILLERSPORT HIGHWAY</t>
  </si>
  <si>
    <t>4915 10TH AVE</t>
  </si>
  <si>
    <t>2535 GENESEE STREET</t>
  </si>
  <si>
    <t>69 95 QUEENS MIDTOWN EXPRESSWAY</t>
  </si>
  <si>
    <t>989 BLOSSOM ROAD</t>
  </si>
  <si>
    <t>2050 TILDEN AVE</t>
  </si>
  <si>
    <t>3156 EAST AVENUE</t>
  </si>
  <si>
    <t>PO BOX 127</t>
  </si>
  <si>
    <t>103 WASHINGTON STREET</t>
  </si>
  <si>
    <t>2709 TRANSIT RD</t>
  </si>
  <si>
    <t>1019 WICKER STREET</t>
  </si>
  <si>
    <t>15 ST PAULS PLACE</t>
  </si>
  <si>
    <t>1000 PELHAM PARKWAY SOUTH</t>
  </si>
  <si>
    <t>10836 TEMPLE ROAD</t>
  </si>
  <si>
    <t>2401 LACONIA AVE</t>
  </si>
  <si>
    <t>395 SUNKEN MEADOW ROAD</t>
  </si>
  <si>
    <t>3 UPTON PARK</t>
  </si>
  <si>
    <t>17 SUNRISE TERRACE</t>
  </si>
  <si>
    <t>17 NARRAGANSETT AVENUE</t>
  </si>
  <si>
    <t>120 WEST 106TH STREET</t>
  </si>
  <si>
    <t>1072 GRAND CONCOURSE</t>
  </si>
  <si>
    <t>655 N LIBERTY STREET</t>
  </si>
  <si>
    <t>3530 WAYNE AVENUE</t>
  </si>
  <si>
    <t>8290 STATE RT 69</t>
  </si>
  <si>
    <t>645 W BROADWAY</t>
  </si>
  <si>
    <t>104 OLD NIAGARA ROAD</t>
  </si>
  <si>
    <t>191 BRADLEY AVE</t>
  </si>
  <si>
    <t>195 44 WOODHULL AVENUE</t>
  </si>
  <si>
    <t>2987 SENECA STREET</t>
  </si>
  <si>
    <t>91 31 175TH STREET</t>
  </si>
  <si>
    <t>1010 UNDERHILL AVE</t>
  </si>
  <si>
    <t>6060 ARMOR ROAD</t>
  </si>
  <si>
    <t>1280 ALBANY POST RD</t>
  </si>
  <si>
    <t>104 NORTH WASHINGTON STREET</t>
  </si>
  <si>
    <t>62 PROSPECT ST</t>
  </si>
  <si>
    <t>3015 W 29 ST</t>
  </si>
  <si>
    <t>1360 ROUTE 112</t>
  </si>
  <si>
    <t>127 SOUTH BROADWAY</t>
  </si>
  <si>
    <t>140 ST EDWARDS STREET</t>
  </si>
  <si>
    <t>25 BIALYSTOKER PLACE</t>
  </si>
  <si>
    <t>149 BALLSTON AVENUE</t>
  </si>
  <si>
    <t>601 HIGH AVENUE</t>
  </si>
  <si>
    <t>5434 SECOND AVENUE</t>
  </si>
  <si>
    <t>30 WEST 138TH STREET</t>
  </si>
  <si>
    <t>1270 67TH STREET</t>
  </si>
  <si>
    <t>4499 MANHATTAN COLLEGE PARKWAY</t>
  </si>
  <si>
    <t>90 NO MAIN STREET</t>
  </si>
  <si>
    <t>120 HIGHLAND AVENUE</t>
  </si>
  <si>
    <t>80 FAIRVIEW AVENUE</t>
  </si>
  <si>
    <t>8 BUSHEY BOULEVARD</t>
  </si>
  <si>
    <t>182 15 HILLSIDE AVENUE</t>
  </si>
  <si>
    <t>100 ST CAMILLUS WAY</t>
  </si>
  <si>
    <t>4540 LINCOLN DRIVE</t>
  </si>
  <si>
    <t>451 BROAD STREET</t>
  </si>
  <si>
    <t>585 SCHENECTADY AVE</t>
  </si>
  <si>
    <t>300 MADISON STREET</t>
  </si>
  <si>
    <t>111 BEACH DRIVE</t>
  </si>
  <si>
    <t>428 STATE ROUTE 146</t>
  </si>
  <si>
    <t>2150 BLEECKER STREET</t>
  </si>
  <si>
    <t>302 SWART HILL ROAD</t>
  </si>
  <si>
    <t>2266 CROPSEY AVENUE</t>
  </si>
  <si>
    <t>4290 MIDDLE SETTLEMENT ROAD</t>
  </si>
  <si>
    <t>217 EAST AVENUE</t>
  </si>
  <si>
    <t>42 GURNEY LANE</t>
  </si>
  <si>
    <t>270 NOSTRAND AVENUE</t>
  </si>
  <si>
    <t>1919 ELMWOOD AVENUE</t>
  </si>
  <si>
    <t>378 SYOSSET WOODBURY ROAD</t>
  </si>
  <si>
    <t>525 BEAHAN ROAD</t>
  </si>
  <si>
    <t>1072 HAVEMEYER AVENUE</t>
  </si>
  <si>
    <t>1740 84TH STREET</t>
  </si>
  <si>
    <t>255 WARNER AVENUE</t>
  </si>
  <si>
    <t>135 LINDEN BOULEVARD</t>
  </si>
  <si>
    <t>200 LAFAYETTE AVENUE</t>
  </si>
  <si>
    <t>11 MURRAY HILL DRIVE</t>
  </si>
  <si>
    <t>1500 NORTH JAMES STREET</t>
  </si>
  <si>
    <t>3062 COUNTY COMPLEX DRIVE</t>
  </si>
  <si>
    <t>3230 CHURCH STREET</t>
  </si>
  <si>
    <t>205 STATE STREET ROAD</t>
  </si>
  <si>
    <t>1325 BRENTWOOD ROAD</t>
  </si>
  <si>
    <t>170 WEST AVENUE</t>
  </si>
  <si>
    <t>1060 AMSTERDAM AVENUE</t>
  </si>
  <si>
    <t>353 BEACH 48TH STREET</t>
  </si>
  <si>
    <t>100 DANIEL DRIVE</t>
  </si>
  <si>
    <t>909 LINCOLN AVE</t>
  </si>
  <si>
    <t>161 JEFFERSON HEIGHTS</t>
  </si>
  <si>
    <t>4646 NINE MILE POINT ROAD</t>
  </si>
  <si>
    <t>1818 COMO PARK BLVD</t>
  </si>
  <si>
    <t>9822 ROUTE 16</t>
  </si>
  <si>
    <t>1045 WEST STREET</t>
  </si>
  <si>
    <t>801 CO OP CITY BLVD</t>
  </si>
  <si>
    <t>250 BEACH 17TH STREET</t>
  </si>
  <si>
    <t>3304 WATERBURY AVENUE</t>
  </si>
  <si>
    <t>220 TOWER STREET</t>
  </si>
  <si>
    <t>755 E MONROE STREET</t>
  </si>
  <si>
    <t>232 ACADEMY STREET</t>
  </si>
  <si>
    <t>331 RUSSELL STREET</t>
  </si>
  <si>
    <t>801 NORTH JAMES STREET</t>
  </si>
  <si>
    <t>303 EAST RIVER ROAD</t>
  </si>
  <si>
    <t>89 GROVE STREET</t>
  </si>
  <si>
    <t>1175 DELAWARE AVE</t>
  </si>
  <si>
    <t>447 449 LAKE SHORE DRIVE WEST</t>
  </si>
  <si>
    <t>25 SCHOENFELD BLVD</t>
  </si>
  <si>
    <t>16 FLYNN AVENUE</t>
  </si>
  <si>
    <t>1657 SUNSET AVE</t>
  </si>
  <si>
    <t>21 DANFORTH STREET</t>
  </si>
  <si>
    <t>3333 ELMWOOD AVENUE</t>
  </si>
  <si>
    <t>1485 DUMONT AVENUE</t>
  </si>
  <si>
    <t>110 30 221ST ST</t>
  </si>
  <si>
    <t>2806 GEORGE STREET</t>
  </si>
  <si>
    <t>810 20 ST MARKS AVENUE</t>
  </si>
  <si>
    <t>2178 NORTH FIFTH STREET</t>
  </si>
  <si>
    <t>490 PELHAM ROAD</t>
  </si>
  <si>
    <t>297 N BALLSTON AVE</t>
  </si>
  <si>
    <t>46 BROOKMEADE DRIVE</t>
  </si>
  <si>
    <t>40 KEOGH LANE</t>
  </si>
  <si>
    <t>182 HIGHLAND ROAD</t>
  </si>
  <si>
    <t>89 GENESEE STREET</t>
  </si>
  <si>
    <t>391 PELHAM ROAD</t>
  </si>
  <si>
    <t>520 PROSPECT PLACE</t>
  </si>
  <si>
    <t>40 HEYWARD STREET</t>
  </si>
  <si>
    <t>200 WASHINGTON AVE EXT</t>
  </si>
  <si>
    <t>256 SUNSET LAKE ROAD</t>
  </si>
  <si>
    <t>165 01 CHAPIN PARKWAY</t>
  </si>
  <si>
    <t>NY ROUTE 217</t>
  </si>
  <si>
    <t>2365 UNION ROAD</t>
  </si>
  <si>
    <t>10 MUNSON STREET</t>
  </si>
  <si>
    <t>101 ELM ST</t>
  </si>
  <si>
    <t>2749 LINDEN BLVD</t>
  </si>
  <si>
    <t>1014 DELAWARE AVE</t>
  </si>
  <si>
    <t>68 BUSHVILLE ROAD</t>
  </si>
  <si>
    <t>1205 DELAWARE AVENUE</t>
  </si>
  <si>
    <t>9876 LUCKEY DRIVE</t>
  </si>
  <si>
    <t>100 MILLER STREET</t>
  </si>
  <si>
    <t>2000 E GUNHILL ROAD</t>
  </si>
  <si>
    <t>3005 WATKINS ROAD</t>
  </si>
  <si>
    <t>163 SOUTH UNION ROAD</t>
  </si>
  <si>
    <t>2107 DITMAS AVENUE</t>
  </si>
  <si>
    <t>7264 NASH ROAD</t>
  </si>
  <si>
    <t>462 GRIDER STREET</t>
  </si>
  <si>
    <t>101 CREEKSIDE DRIVE</t>
  </si>
  <si>
    <t>1516 ORIENTAL BLVD</t>
  </si>
  <si>
    <t>121 DUNNING ROAD</t>
  </si>
  <si>
    <t>2340 CROPSEY AVENUE</t>
  </si>
  <si>
    <t>23 KIERNAN RD</t>
  </si>
  <si>
    <t>120 SYKES STREET</t>
  </si>
  <si>
    <t>2678 KINGSBRIDGE TERRACE</t>
  </si>
  <si>
    <t>4192A BOLIVAR ROAD</t>
  </si>
  <si>
    <t>S 4650 SOUTHWESTERN BLVD</t>
  </si>
  <si>
    <t>300 DORRANCE AVENUE</t>
  </si>
  <si>
    <t>1249 FIFTH AVENUE</t>
  </si>
  <si>
    <t>29 38 FAR ROCKAWAY BLVD</t>
  </si>
  <si>
    <t>254 ALEXANDER STREET</t>
  </si>
  <si>
    <t>445 TREMONT STREET</t>
  </si>
  <si>
    <t>7451 COUNTY HOUSE ROAD</t>
  </si>
  <si>
    <t>690 WEST GERMAN STREET</t>
  </si>
  <si>
    <t>1555 ROCKAWAY PARKWAY</t>
  </si>
  <si>
    <t>100 SOUTHERN BOULEVARD</t>
  </si>
  <si>
    <t>285 DEYO HILL ROAD</t>
  </si>
  <si>
    <t>1441 GATEWAY BOULEVARD</t>
  </si>
  <si>
    <t>2840 KNAPP ST</t>
  </si>
  <si>
    <t>4800 BEAR ROAD</t>
  </si>
  <si>
    <t>5775 MAELOU DRIVE</t>
  </si>
  <si>
    <t>2256 BURDETT AVENUE</t>
  </si>
  <si>
    <t>134 GREAT EAST NECK ROAD</t>
  </si>
  <si>
    <t>17 11 BROOKHAVEN AVENUE</t>
  </si>
  <si>
    <t>26 CASS STREET</t>
  </si>
  <si>
    <t>46 HARRIMAN DRIVE</t>
  </si>
  <si>
    <t>154  LAFAYETTE STREET</t>
  </si>
  <si>
    <t>539 ROUTE 22</t>
  </si>
  <si>
    <t>1300 ROANOKE AVENUE</t>
  </si>
  <si>
    <t>8565 JERICHO TURNPIKE</t>
  </si>
  <si>
    <t>ONE BETHESDA DRIVE</t>
  </si>
  <si>
    <t>160 EAST MAIN STREET</t>
  </si>
  <si>
    <t>284 TROY ROAD</t>
  </si>
  <si>
    <t>801 GAZZOLA BLVD</t>
  </si>
  <si>
    <t>311 W 231ST STREET</t>
  </si>
  <si>
    <t>68 HAUPPAUGE ROAD</t>
  </si>
  <si>
    <t>421 W COLUMBIA STREET</t>
  </si>
  <si>
    <t>900 FRANKLIN AVENUE</t>
  </si>
  <si>
    <t>1805 PROVIDENCE AVENUE</t>
  </si>
  <si>
    <t>300 COMMUNITY DRIVE</t>
  </si>
  <si>
    <t>50 SHEFFIELD AVENUE</t>
  </si>
  <si>
    <t>7 TIMMERMAN AVENUE</t>
  </si>
  <si>
    <t>600 MCCLELLAN STREET</t>
  </si>
  <si>
    <t>691 92ND STREET</t>
  </si>
  <si>
    <t>10421 STATE ROUTE 40</t>
  </si>
  <si>
    <t>7740 MEIGS ROAD</t>
  </si>
  <si>
    <t>25 N MALCOLM STREET</t>
  </si>
  <si>
    <t>6 MEDICAL PLAZA</t>
  </si>
  <si>
    <t>121 FRANKLIN PLACE</t>
  </si>
  <si>
    <t>63 OAKCREST AVENUE</t>
  </si>
  <si>
    <t>630 E 104TH STREET</t>
  </si>
  <si>
    <t>3023 ROUTE 430     PO BOX 400</t>
  </si>
  <si>
    <t>2323  EASTCHESTER ROAD</t>
  </si>
  <si>
    <t>144 45 87TH AVENUE</t>
  </si>
  <si>
    <t>1401 UNIVERSITY AVENUE</t>
  </si>
  <si>
    <t>140 BEACH 113TH STREET</t>
  </si>
  <si>
    <t>1 ELSIE STREET</t>
  </si>
  <si>
    <t>920 CHERRY RIDGE BLVD</t>
  </si>
  <si>
    <t>800 WEST CHESTNUT STREET</t>
  </si>
  <si>
    <t>475 NEW HEMPSTEAD ROAD</t>
  </si>
  <si>
    <t>125 ROCKEFELLER ROAD</t>
  </si>
  <si>
    <t>1410 SEAGIRT BLVD</t>
  </si>
  <si>
    <t>64 11 BEACH CHANNEL DRIVE</t>
  </si>
  <si>
    <t>273 MORICHES ROAD</t>
  </si>
  <si>
    <t>822 CEDAR AVENUE</t>
  </si>
  <si>
    <t>700 WHITE PLAINS ROAD</t>
  </si>
  <si>
    <t>845 ROUTES 5 AND 20</t>
  </si>
  <si>
    <t>299 EAST RIVER ROAD</t>
  </si>
  <si>
    <t>50 MAINE AVENUE</t>
  </si>
  <si>
    <t>2720 SURF AVENUE</t>
  </si>
  <si>
    <t>22 ROBERT R. KASIN WAY</t>
  </si>
  <si>
    <t>936 WOODYCREST AVENUE</t>
  </si>
  <si>
    <t>225 BENNETT ROAD</t>
  </si>
  <si>
    <t>1265 FULTON AVENUE</t>
  </si>
  <si>
    <t>110 BEAVER DAM ROAD</t>
  </si>
  <si>
    <t>391 NORTH COUNTRY ROAD</t>
  </si>
  <si>
    <t>2699 WEHRLE DRIVE</t>
  </si>
  <si>
    <t>100 PATRIOTS ROAD</t>
  </si>
  <si>
    <t>88 CALVARY DRIVE</t>
  </si>
  <si>
    <t>2920 TIBBITS AVENUE</t>
  </si>
  <si>
    <t>300 BROADWAY AVENUE</t>
  </si>
  <si>
    <t>516 WEST 126TH STREET</t>
  </si>
  <si>
    <t>900 INTERVALE AVENUE</t>
  </si>
  <si>
    <t>4600 SOUTHWOOD HEIGHTS DRIVE</t>
  </si>
  <si>
    <t>ONE COMMONS DRIVE</t>
  </si>
  <si>
    <t>1 WHITTIER WAY</t>
  </si>
  <si>
    <t>2 MERCYCARE LANE</t>
  </si>
  <si>
    <t>700 ISLAND COTTAGE ROAD</t>
  </si>
  <si>
    <t>178 50 LINDEN BLVD</t>
  </si>
  <si>
    <t>707 THROGS NECK EXPRESSWAY</t>
  </si>
  <si>
    <t>91 TOMPKINS AVENUE</t>
  </si>
  <si>
    <t>1 ABELE DRIVE</t>
  </si>
  <si>
    <t>2175 QUARRY RD</t>
  </si>
  <si>
    <t>6400 POWERS ROAD</t>
  </si>
  <si>
    <t>5901 LAC DE VILLE BLVD</t>
  </si>
  <si>
    <t>308 EAST 175 STREET</t>
  </si>
  <si>
    <t>45 RIVINGTON STREET</t>
  </si>
  <si>
    <t>78 OLD COUNTRY ROAD</t>
  </si>
  <si>
    <t>22 VAN DUZER PLACE</t>
  </si>
  <si>
    <t>20 PARK AVENUE</t>
  </si>
  <si>
    <t>500 HAHNEMANN TRAIL</t>
  </si>
  <si>
    <t>ONE GREENWICH STREET</t>
  </si>
  <si>
    <t>220 RICHMOND AVENUE</t>
  </si>
  <si>
    <t>3 SUMMIT COURT</t>
  </si>
  <si>
    <t>2600 NIAGARA FALLS BOULEVARD</t>
  </si>
  <si>
    <t>61 11 QUEENS BOULEVARD</t>
  </si>
  <si>
    <t>116 EAST 125TH ST</t>
  </si>
  <si>
    <t>2230 NORTH TRIPHAMMER ROAD</t>
  </si>
  <si>
    <t>1445 KEMBLE STREET</t>
  </si>
  <si>
    <t>185 OLD BROADWAY</t>
  </si>
  <si>
    <t>320 WEST MERRICK ROAD</t>
  </si>
  <si>
    <t>101 THEALL ROAD</t>
  </si>
  <si>
    <t>755 HEMPSTEAD TURNPIKE</t>
  </si>
  <si>
    <t>33 23 UNION STREET</t>
  </si>
  <si>
    <t>1305 NOTTINGHAM ROAD</t>
  </si>
  <si>
    <t>1650 CHAMPLIN AVENUE</t>
  </si>
  <si>
    <t>ONE WINGATE WAY</t>
  </si>
  <si>
    <t>36 17 PARSONS BOULEVARD</t>
  </si>
  <si>
    <t>594 ALBANY AVENUE</t>
  </si>
  <si>
    <t>67 SPRINGVALE ROAD</t>
  </si>
  <si>
    <t>800 FRONT STREET</t>
  </si>
  <si>
    <t>61 GRASSLANDS ROAD</t>
  </si>
  <si>
    <t>965 DUTCHESS TURNPIKE</t>
  </si>
  <si>
    <t>2237 LINDEN BOULEVARD</t>
  </si>
  <si>
    <t>325 NORTHERN BOULEVARD</t>
  </si>
  <si>
    <t>100 17  23RD AVENUE</t>
  </si>
  <si>
    <t>20 MANOR DRIVE</t>
  </si>
  <si>
    <t>725 RENAISSANCE DRIVE</t>
  </si>
  <si>
    <t>135 FRANKLIN AVENUE</t>
  </si>
  <si>
    <t>400 SOUTH SERVICE ROAD</t>
  </si>
  <si>
    <t>425 NATIONAL BOULEVARD</t>
  </si>
  <si>
    <t>70-05 35 AVENUE</t>
  </si>
  <si>
    <t>52 ROUTE 25A</t>
  </si>
  <si>
    <t>51 N RT 9W</t>
  </si>
  <si>
    <t>46 MT EBO ROAD NORTH</t>
  </si>
  <si>
    <t>2150 ST PAUL STREET</t>
  </si>
  <si>
    <t>48 CEDAR STREET</t>
  </si>
  <si>
    <t>140 MAIN STREET</t>
  </si>
  <si>
    <t>10 HASTINGS DRIVE</t>
  </si>
  <si>
    <t>120 ODELL AVENUE</t>
  </si>
  <si>
    <t>60 MERRICK AVENUE</t>
  </si>
  <si>
    <t>2090 ALBANY POST ROAD</t>
  </si>
  <si>
    <t>500 MATHER DRIVE</t>
  </si>
  <si>
    <t>1031 MICHIGAN AVE</t>
  </si>
  <si>
    <t>5537 EXPRESSWAY DRIVE NORTH</t>
  </si>
  <si>
    <t>1725 BRENTWOOD ROAD</t>
  </si>
  <si>
    <t>26-13  21ST STREET</t>
  </si>
  <si>
    <t>305 LOCUST AVENUE</t>
  </si>
  <si>
    <t>3115 HORSEBLOCK ROAD</t>
  </si>
  <si>
    <t>1500 BRECKNOCK ROAD</t>
  </si>
  <si>
    <t>5285 LEWISTON ROAD</t>
  </si>
  <si>
    <t>55 GRASSLAND ROAD</t>
  </si>
  <si>
    <t>300 GRANT AVENUE</t>
  </si>
  <si>
    <t>155 DEAN STREET</t>
  </si>
  <si>
    <t>ONE KENDAL WAY</t>
  </si>
  <si>
    <t>2999 SCHURZ AVENUE</t>
  </si>
  <si>
    <t>64 COUNTY ROAD 39</t>
  </si>
  <si>
    <t>10-42 MITCHELL AVENUE</t>
  </si>
  <si>
    <t>75 NORTH COUNTRY ROAD</t>
  </si>
  <si>
    <t>ONE FOX RUN LANE</t>
  </si>
  <si>
    <t>8900 VAN WYCK EXPRESSWAY</t>
  </si>
  <si>
    <t>4988 STATE HWY 30</t>
  </si>
  <si>
    <t>100 WOODLAND POND CIRCLE</t>
  </si>
  <si>
    <t>14 VILLAGE DRIVE</t>
  </si>
  <si>
    <t>40 AUTUMN DRIVE</t>
  </si>
  <si>
    <t>300 EAST OVERLOOK</t>
  </si>
  <si>
    <t>56-45 MAIN STREET</t>
  </si>
  <si>
    <t>45TH AVENUE AND PARSONS BOULEVARD</t>
  </si>
  <si>
    <t>22691 CAMPUS DRIVE</t>
  </si>
  <si>
    <t>555 ST JOSEPH'S BOULEVARD</t>
  </si>
  <si>
    <t>400 EAST MAIN STREET</t>
  </si>
  <si>
    <t>4900 BROAD ROAD</t>
  </si>
  <si>
    <t>1 HEALTHY WAY</t>
  </si>
  <si>
    <t>607 BEAMAN ST</t>
  </si>
  <si>
    <t>310 S MCCASKEY RD P O BOX 1128</t>
  </si>
  <si>
    <t>223 HOSPITAL STREET</t>
  </si>
  <si>
    <t>401 LAMBERT ROAD P O BOX 708</t>
  </si>
  <si>
    <t>1417 W PETTIGREW STREET</t>
  </si>
  <si>
    <t>2006 S 16TH STREET</t>
  </si>
  <si>
    <t>3350 SILAS CREEK PARKWAY</t>
  </si>
  <si>
    <t>615 RIDGE ROAD</t>
  </si>
  <si>
    <t>3724 WIRELESS DRIVE</t>
  </si>
  <si>
    <t>300 PROVIDENCE ROAD</t>
  </si>
  <si>
    <t>513 EAST WHITAKER MILL ROAD</t>
  </si>
  <si>
    <t>500 BEAVERDAM ROAD</t>
  </si>
  <si>
    <t>279 BRIAN CENTER DRIVE</t>
  </si>
  <si>
    <t>3223 CENTRAL AVENUE</t>
  </si>
  <si>
    <t>1201 CAROLINA STREET</t>
  </si>
  <si>
    <t>500 MOUNTAIN TOP DRIVE</t>
  </si>
  <si>
    <t>5229 APPOMATTOX ROAD</t>
  </si>
  <si>
    <t>2700 ROYAL COMMONS LANE</t>
  </si>
  <si>
    <t>1075 US HIGHWAY 17 SOUTH</t>
  </si>
  <si>
    <t>5755 SHATTALON DRIVE</t>
  </si>
  <si>
    <t>103 GOSSMAN DRIVE</t>
  </si>
  <si>
    <t>418 CHESTNUT STREET</t>
  </si>
  <si>
    <t>611 OLD US HIGHWAY 70 EAST</t>
  </si>
  <si>
    <t>616 WADE AVENUE</t>
  </si>
  <si>
    <t>1721 BALD HILL LOOP</t>
  </si>
  <si>
    <t>405 SOUTH GREENE STREET</t>
  </si>
  <si>
    <t>1515 W PETTIGREW STREET</t>
  </si>
  <si>
    <t>1150 PINE RUN DRIVE</t>
  </si>
  <si>
    <t>3100 ERWIN ROAD</t>
  </si>
  <si>
    <t>1804 FOREST HILLS ROAD</t>
  </si>
  <si>
    <t>4748 OLD SALISBURY ROAD</t>
  </si>
  <si>
    <t>411 S LASALLE STREET</t>
  </si>
  <si>
    <t>1839 ONSLOW DRIVE EXTENSION</t>
  </si>
  <si>
    <t>25 SUNNYBROOK ROAD</t>
  </si>
  <si>
    <t>200 TABERNACLE ROAD</t>
  </si>
  <si>
    <t>220 13TH AVENUE PLACE NW</t>
  </si>
  <si>
    <t>4230 NORTH ROXBORO ROAD</t>
  </si>
  <si>
    <t>188 OSCAR JUSTICE ROAD</t>
  </si>
  <si>
    <t>849 WATER WORKS ROAD</t>
  </si>
  <si>
    <t>511 WINDMILL STREET</t>
  </si>
  <si>
    <t>1795 WESTCHESTER DRIVE</t>
  </si>
  <si>
    <t>1820 BROOKWOOD AVENUE</t>
  </si>
  <si>
    <t>1900 W 1ST STREET</t>
  </si>
  <si>
    <t>1315 GREENSBORO ROAD</t>
  </si>
  <si>
    <t>700 JOHNSON RIDGE ROAD</t>
  </si>
  <si>
    <t>12019 VERHOEFF DRIVE</t>
  </si>
  <si>
    <t>1411 DOVE STREET</t>
  </si>
  <si>
    <t>208 CARY STREET</t>
  </si>
  <si>
    <t>75 FISHER LOOP</t>
  </si>
  <si>
    <t>600 FULLWOOD LANE</t>
  </si>
  <si>
    <t>509 WEST GANNON AVENUE</t>
  </si>
  <si>
    <t>3830 N MAIN STREET</t>
  </si>
  <si>
    <t>2140 MEDICAL PARK DRIVE</t>
  </si>
  <si>
    <t>24724 SOUTH BUSINESS 52</t>
  </si>
  <si>
    <t>360 OLD BALSAM ROAD</t>
  </si>
  <si>
    <t>500 EAST RHODE ISLAND AVENUE</t>
  </si>
  <si>
    <t>2401 WAYNE MEMORIAL DRIVE</t>
  </si>
  <si>
    <t>635 STATESVILLE BOULEVARD</t>
  </si>
  <si>
    <t>109 S HOLDEN ROAD</t>
  </si>
  <si>
    <t>3015 ENTERPRISE DRIVE</t>
  </si>
  <si>
    <t>600 CAROLINA VILLAGE ROAD SUITE Z</t>
  </si>
  <si>
    <t>560 JOHNSON RIDGE ROAD</t>
  </si>
  <si>
    <t>228 SMITH CHAPEL ROAD BOX 569</t>
  </si>
  <si>
    <t>70 OAK STREET</t>
  </si>
  <si>
    <t>520 VALLEY STREET</t>
  </si>
  <si>
    <t>1007 HOWARD STREET</t>
  </si>
  <si>
    <t>515 LAKE CONCORD ROAD</t>
  </si>
  <si>
    <t>3905 CLEMMONS ROAD</t>
  </si>
  <si>
    <t>801 GREENHAVEN DRIVE</t>
  </si>
  <si>
    <t>1000 COLLEGE STREET</t>
  </si>
  <si>
    <t>4801 RANDOLPH ROAD</t>
  </si>
  <si>
    <t>2221  WEST RALEIGH BOULEVARD</t>
  </si>
  <si>
    <t>322 NUWAY CIRCLE</t>
  </si>
  <si>
    <t>610 WEST FISHER STREET</t>
  </si>
  <si>
    <t>9200 GLENWATER DRIVE</t>
  </si>
  <si>
    <t>900 W DOLPHIN STREET</t>
  </si>
  <si>
    <t>706 PINEYWOOD ROAD</t>
  </si>
  <si>
    <t>119 GATLING STREET</t>
  </si>
  <si>
    <t>33426 OLD SALISBURY ROAD BOX 1250</t>
  </si>
  <si>
    <t>925 NEW GARDEN ROAD</t>
  </si>
  <si>
    <t>4911 BRIAN CENTER LANE</t>
  </si>
  <si>
    <t>209 BEASLEY STREET</t>
  </si>
  <si>
    <t>716 SIPES STREET</t>
  </si>
  <si>
    <t>1265 21 STREET NE</t>
  </si>
  <si>
    <t>820 KLUMAC ROAD</t>
  </si>
  <si>
    <t>230 EAST PRESNELL STREET</t>
  </si>
  <si>
    <t>312 WARREN AVENUE</t>
  </si>
  <si>
    <t>1410 EAST GASTON STREET</t>
  </si>
  <si>
    <t>1011 PORTERS NECK ROAD</t>
  </si>
  <si>
    <t>102 LEONARD AVENUE</t>
  </si>
  <si>
    <t>416 N HIGHLAND STREET</t>
  </si>
  <si>
    <t>211 MILTON BROWN HEIRS ROAD</t>
  </si>
  <si>
    <t>1341 PARADISE ROAD P O BOX 566</t>
  </si>
  <si>
    <t>POST OFFICE BOX 339</t>
  </si>
  <si>
    <t>903 W MAIN STREET BOX 879</t>
  </si>
  <si>
    <t>2910 MACGREGOR DOWNS</t>
  </si>
  <si>
    <t>969 COX ROAD</t>
  </si>
  <si>
    <t>4010 BRIDGES STREET EXTENSION</t>
  </si>
  <si>
    <t>401 N MORGAN STREET</t>
  </si>
  <si>
    <t>707 NORTH ELM STREET</t>
  </si>
  <si>
    <t>54 RED MULBERRY WAY</t>
  </si>
  <si>
    <t>91 VICTORIA ROAD</t>
  </si>
  <si>
    <t>POST OFFICE BOX 1940</t>
  </si>
  <si>
    <t>205 RATTLESNAKE TRAIL</t>
  </si>
  <si>
    <t>752 E CENTER AVENUE</t>
  </si>
  <si>
    <t>1000 WESLEY PINES ROAD</t>
  </si>
  <si>
    <t>2578 WEST 5TH STREET</t>
  </si>
  <si>
    <t>468 HIGHWAY 70 EAST</t>
  </si>
  <si>
    <t>430 BROOKWOOD AVENUE NE</t>
  </si>
  <si>
    <t>901 SOUTH HALSTEAD BOULEVARD</t>
  </si>
  <si>
    <t>106 CAMERON STREET</t>
  </si>
  <si>
    <t>413 WINECOFF SCHOOL ROAD</t>
  </si>
  <si>
    <t>109 FOOTHILLS DRIVE</t>
  </si>
  <si>
    <t>4130 US HWY 64 EAST</t>
  </si>
  <si>
    <t>542 ALLRED MILL ROAD</t>
  </si>
  <si>
    <t>410 BUCKNER BRANCH ROAD</t>
  </si>
  <si>
    <t>5701 FAYETTEVILLE ROAD</t>
  </si>
  <si>
    <t>1000 WESTERN BOULEVARD</t>
  </si>
  <si>
    <t>106 MOUNTAIN VISTA ROAD</t>
  </si>
  <si>
    <t>237 TRYON ROAD</t>
  </si>
  <si>
    <t>380 BREVARD ROAD</t>
  </si>
  <si>
    <t>750 WEAVER DAIRY ROAD</t>
  </si>
  <si>
    <t>2616 EAST 5TH STREET</t>
  </si>
  <si>
    <t>3000 HOLSTON LANE</t>
  </si>
  <si>
    <t>185 NORWOOD HOLLOW ROAD</t>
  </si>
  <si>
    <t>455 VICTORIA ROAD</t>
  </si>
  <si>
    <t>1016 FLETCHER STREET</t>
  </si>
  <si>
    <t>345 MANOR ROAD</t>
  </si>
  <si>
    <t>1402 PINCKNEY STREET</t>
  </si>
  <si>
    <t>115 N COUNTRY CLUB ROAD</t>
  </si>
  <si>
    <t>1199 HAYES FOREST DRIVE</t>
  </si>
  <si>
    <t>208 MERCER ROAD</t>
  </si>
  <si>
    <t>2600 OLD CHERRY POINT ROAD</t>
  </si>
  <si>
    <t>3532 DUNN ROAD</t>
  </si>
  <si>
    <t>1995 EAST CORNELIUS HARNETT BOULEVARD</t>
  </si>
  <si>
    <t>250 LOVERS LANE</t>
  </si>
  <si>
    <t>3100 TRAMWAY ROAD</t>
  </si>
  <si>
    <t>225 WHITE STREET</t>
  </si>
  <si>
    <t>120 SOUTHWOOD DRIVE BOX 379</t>
  </si>
  <si>
    <t>107 MAGNOLIA DRIVE</t>
  </si>
  <si>
    <t>78 WEAVER BOULEVARD</t>
  </si>
  <si>
    <t>307 OAKLAND AVENUE</t>
  </si>
  <si>
    <t>1510 HEBRON STREET</t>
  </si>
  <si>
    <t>1602 E FRANKLIN STREET</t>
  </si>
  <si>
    <t>430  WEST HEALTH CENTER DRIVE</t>
  </si>
  <si>
    <t>543 MAPLE AVENUE</t>
  </si>
  <si>
    <t>1624 HIGHLAND DRIVE</t>
  </si>
  <si>
    <t>1101 NORTH MORGAN STREET</t>
  </si>
  <si>
    <t>3031 TATE BOULEVARD SE</t>
  </si>
  <si>
    <t>306 DEER PARK ROAD</t>
  </si>
  <si>
    <t>1555 WILLIS AVENUE</t>
  </si>
  <si>
    <t>3701 WADE COBLE DRIVE</t>
  </si>
  <si>
    <t>820 WELLINGTON AVENUE</t>
  </si>
  <si>
    <t>515 BARBOUR ROAD</t>
  </si>
  <si>
    <t>4009 CRAIG AVENUE</t>
  </si>
  <si>
    <t>864 US HWY 158 BUSINESS WEST</t>
  </si>
  <si>
    <t>226 N OAKLAND AVENUE</t>
  </si>
  <si>
    <t>200 TRADE STREET</t>
  </si>
  <si>
    <t>5939 REDDMAN ROAD</t>
  </si>
  <si>
    <t>812 SHEPARD STREET</t>
  </si>
  <si>
    <t>507 FREMONT STREET</t>
  </si>
  <si>
    <t>100 SUNSET STREET</t>
  </si>
  <si>
    <t>581 NC HIGHWAY 16 SOUTH</t>
  </si>
  <si>
    <t>205 EAST KINGS HIGHWAY</t>
  </si>
  <si>
    <t>515 S GENERALS BOULEVARD</t>
  </si>
  <si>
    <t>214 LANEFIELD ROAD</t>
  </si>
  <si>
    <t>5593 OLD HAYWOOD ROAD</t>
  </si>
  <si>
    <t>1212 EAST SUNSET DRIVE</t>
  </si>
  <si>
    <t>111 HARRILSON STREET</t>
  </si>
  <si>
    <t>1810 CONCORD LAKE ROAD</t>
  </si>
  <si>
    <t>160 WINSTEAD AVENUE</t>
  </si>
  <si>
    <t>179 COMBS STREET</t>
  </si>
  <si>
    <t>1300 DON JUAN ROAD</t>
  </si>
  <si>
    <t>245 OLD MURPHY ROAD</t>
  </si>
  <si>
    <t>514 OLD MOUNT HOLLY ROAD</t>
  </si>
  <si>
    <t>1086 MAIN STREET NORTH</t>
  </si>
  <si>
    <t>1084 US 64 EAST</t>
  </si>
  <si>
    <t>804 SOUTH POPLAR STREET</t>
  </si>
  <si>
    <t>311 W PHIFER STREET</t>
  </si>
  <si>
    <t>1505 BRINGLE FERRY ROAD</t>
  </si>
  <si>
    <t>218 LAUREL CREEK COURT</t>
  </si>
  <si>
    <t>2401 SOUTH SIDE BOULEVARD</t>
  </si>
  <si>
    <t>400 VISION DRIVE</t>
  </si>
  <si>
    <t>830 ROCKFORD STREET</t>
  </si>
  <si>
    <t>POST OFFICE BOX 8495</t>
  </si>
  <si>
    <t>1206 N FULTON STREET</t>
  </si>
  <si>
    <t>625 BETHANY CHURCH ROAD BOX 38</t>
  </si>
  <si>
    <t>1404 N LAFAYETTE STREET</t>
  </si>
  <si>
    <t>550 GLENWOOD DRIVE</t>
  </si>
  <si>
    <t>901 BETHESDA ROAD</t>
  </si>
  <si>
    <t>200 HERITAGE DRIVE</t>
  </si>
  <si>
    <t>710 JULIAN ROAD</t>
  </si>
  <si>
    <t>1404 S SALISBURY AVENUE</t>
  </si>
  <si>
    <t>3907 CARATOKE HIGHWAY</t>
  </si>
  <si>
    <t>500 PROSPECT AVENUE</t>
  </si>
  <si>
    <t>290 KEEL ROAD</t>
  </si>
  <si>
    <t>HIGHWAY 177 S BOX 1489</t>
  </si>
  <si>
    <t>237 MULBERRY STREET</t>
  </si>
  <si>
    <t>540 WAUGH STREET</t>
  </si>
  <si>
    <t>2200 ELM DRIVE</t>
  </si>
  <si>
    <t>311 S CAMPBELL STREET</t>
  </si>
  <si>
    <t>323 BALDWIN ROAD</t>
  </si>
  <si>
    <t>417 CLOVERDALE ROAD</t>
  </si>
  <si>
    <t>70 SWEETEN CREEK ROAD</t>
  </si>
  <si>
    <t>2727 SHAMROCK DRIVE</t>
  </si>
  <si>
    <t>POST OFFICE BOX 248</t>
  </si>
  <si>
    <t>557 BROOKDALE DRIVE</t>
  </si>
  <si>
    <t>4414 WILKINSON BLVD</t>
  </si>
  <si>
    <t>101 CAROLINE AVENUE</t>
  </si>
  <si>
    <t>100 HEDRICK DRIVE</t>
  </si>
  <si>
    <t>901 RIDGE ROAD</t>
  </si>
  <si>
    <t>1870 PISGAH DRIVE</t>
  </si>
  <si>
    <t>HWY 305 NORTH</t>
  </si>
  <si>
    <t>830 BETHANY CHURCH ROAD</t>
  </si>
  <si>
    <t>1170 LINKHAW ROAD</t>
  </si>
  <si>
    <t>2275 RUIN CREEK ROAD</t>
  </si>
  <si>
    <t>204 DAIRY ROAD</t>
  </si>
  <si>
    <t>1478 RIVER ROAD</t>
  </si>
  <si>
    <t>415 ELDERBERRY LANE</t>
  </si>
  <si>
    <t>1245 PARK AVENUE</t>
  </si>
  <si>
    <t>290 CLEAR CREEK ROAD</t>
  </si>
  <si>
    <t>647 S RAILROAD STREET BOX 966</t>
  </si>
  <si>
    <t>711 SUSAN TART ROAD BOX 948</t>
  </si>
  <si>
    <t>701 PLANTATION ESTATES DRIVE</t>
  </si>
  <si>
    <t>600 BARRETT LANE</t>
  </si>
  <si>
    <t>2030 HARPER AVENUE NW</t>
  </si>
  <si>
    <t>116 LANE DRIVE</t>
  </si>
  <si>
    <t>5151 SARDIS ROAD</t>
  </si>
  <si>
    <t>2501 DOWNING STREET SW</t>
  </si>
  <si>
    <t>877 HILL EVERHART ROAD</t>
  </si>
  <si>
    <t>1704 NC HIGHWAY 39 N</t>
  </si>
  <si>
    <t>305 FOURTEENTH STREET</t>
  </si>
  <si>
    <t>779 WOODY DRIVE</t>
  </si>
  <si>
    <t>1306 SOUTH KING STREET</t>
  </si>
  <si>
    <t>1101 MAPLE CARE LANE</t>
  </si>
  <si>
    <t>100 SILVER BLUFF DRIVE</t>
  </si>
  <si>
    <t>1285 WEST A STREET</t>
  </si>
  <si>
    <t>1700 WAYNE MEMORIAL DRIVE</t>
  </si>
  <si>
    <t>280 SOUTH  BECKFORD DRIVE</t>
  </si>
  <si>
    <t>204 OLD HIGHWAY 74 EAST</t>
  </si>
  <si>
    <t>523 COUNTRY CLUB DRIVE</t>
  </si>
  <si>
    <t>2778 COUNTRY CLUB DRIVE</t>
  </si>
  <si>
    <t>2300 ABERDEEN BOULEVARD</t>
  </si>
  <si>
    <t>501 ESSEOLA CIRCLE</t>
  </si>
  <si>
    <t>1700 PAMALEE DRIVE</t>
  </si>
  <si>
    <t>728 PINEY GROVE ROAD</t>
  </si>
  <si>
    <t>811 SNOWBIRD ROAD</t>
  </si>
  <si>
    <t>300 NORTH MAIN STREET</t>
  </si>
  <si>
    <t>1303 HEALTH DRIVE</t>
  </si>
  <si>
    <t>202 SMOKETREE WAY</t>
  </si>
  <si>
    <t>604 STOKES STREET  EAST</t>
  </si>
  <si>
    <t>250 BISHOP LANE</t>
  </si>
  <si>
    <t>2502 S NC 119</t>
  </si>
  <si>
    <t>907 CUNNINGHAM ROAD</t>
  </si>
  <si>
    <t>1304 SE SECOND STREET</t>
  </si>
  <si>
    <t>POST OFFICE BOX 40</t>
  </si>
  <si>
    <t>4420 LAKE BOONE TRAIL</t>
  </si>
  <si>
    <t>300 BLAKE BOULEVARD</t>
  </si>
  <si>
    <t>836 HOSPITAL DRIVE</t>
  </si>
  <si>
    <t>403 CRESTVIEW AVENUE</t>
  </si>
  <si>
    <t>630 FODALE AVENUE</t>
  </si>
  <si>
    <t>1022 EASTERN AVENUE</t>
  </si>
  <si>
    <t>920 JR HIGH SCHOOL ROAD</t>
  </si>
  <si>
    <t>2461 LEGION ROAD</t>
  </si>
  <si>
    <t>2575 W 5TH STREET</t>
  </si>
  <si>
    <t>804 SOUTH LONG DRIVE</t>
  </si>
  <si>
    <t>1601 PURDUE DRIVE</t>
  </si>
  <si>
    <t>440 INGRAM ROAD EXT BOX 1750</t>
  </si>
  <si>
    <t>620 JOHNS ROAD</t>
  </si>
  <si>
    <t>4351 SOUTH MAIN STREET</t>
  </si>
  <si>
    <t>931 N ASPEN STREET</t>
  </si>
  <si>
    <t>1370 WEST D STREET</t>
  </si>
  <si>
    <t>620 TOM HUNTER ROAD</t>
  </si>
  <si>
    <t>1101 HARTWELL STREET</t>
  </si>
  <si>
    <t>7700 US 158 EAST</t>
  </si>
  <si>
    <t>1131 NORTH CHURCH STREET</t>
  </si>
  <si>
    <t>2051 COUNTY CLUB ROAD</t>
  </si>
  <si>
    <t>104 HOLCOMBE COVE ROAD</t>
  </si>
  <si>
    <t>8990 HIGHWAY 17 SOUTH</t>
  </si>
  <si>
    <t>7615 DALLAS CHERRYVILLE HIGHWAY</t>
  </si>
  <si>
    <t>1349 CRABTREE ROAD</t>
  </si>
  <si>
    <t>200 FLOWER-PRIDGEN DRIVE</t>
  </si>
  <si>
    <t>193 ASHEVILLE HIGHWAY</t>
  </si>
  <si>
    <t>204 OLD BRICKYARD ROAD</t>
  </si>
  <si>
    <t>6590 TRYON ROAD</t>
  </si>
  <si>
    <t>1403 CONNER DRIVE</t>
  </si>
  <si>
    <t>1735 TODDVILLE ROAD</t>
  </si>
  <si>
    <t>38 CARTERS ROAD</t>
  </si>
  <si>
    <t>1719 SWAN QUARTER ROAD</t>
  </si>
  <si>
    <t>6000 FAYETTEVILLE ROAD</t>
  </si>
  <si>
    <t>310 E WARDELL DRIVE</t>
  </si>
  <si>
    <t>1287 NEWSOME STREET</t>
  </si>
  <si>
    <t>516 WALL STREET</t>
  </si>
  <si>
    <t>1038 COLLEGE STREET</t>
  </si>
  <si>
    <t>3016 CANE CREEK ROAD</t>
  </si>
  <si>
    <t>2346 BARRINGTON CIRCLE</t>
  </si>
  <si>
    <t>1010 LAKEVIEW DRIVE</t>
  </si>
  <si>
    <t>142 BERMUDA VILLAGE DRIVE</t>
  </si>
  <si>
    <t>968 EAST WAIT AVENUE</t>
  </si>
  <si>
    <t>1984 US HIGHWAY 70</t>
  </si>
  <si>
    <t>17 CORNELIA DRIVE</t>
  </si>
  <si>
    <t>1987 HILTON STREET</t>
  </si>
  <si>
    <t>72 CHATHAM BUSINESS PARK</t>
  </si>
  <si>
    <t>1705 SOUTH TARBORO STREET</t>
  </si>
  <si>
    <t>149 FAIR HAVEN DRIVE</t>
  </si>
  <si>
    <t>551 KENT STREET</t>
  </si>
  <si>
    <t>215 LASH DRIVE</t>
  </si>
  <si>
    <t>801 PINEHURST AVENUE</t>
  </si>
  <si>
    <t>213 RICHMOND HILL DRIVE</t>
  </si>
  <si>
    <t>86 VALLEY HIDEAWAY DRIVE</t>
  </si>
  <si>
    <t>321 EAST CARVER STREET</t>
  </si>
  <si>
    <t>1000 TANDALL PLACE</t>
  </si>
  <si>
    <t>190 HOSPITAL DRIVE</t>
  </si>
  <si>
    <t>100 RICEVILLE ROAD</t>
  </si>
  <si>
    <t>300 MEADOWLAND DRIVE</t>
  </si>
  <si>
    <t>1770 OAK HOLLOW ROAD</t>
  </si>
  <si>
    <t>620 HEATHWOOD DRIVE</t>
  </si>
  <si>
    <t>5680 WINDY HILL DRIVE</t>
  </si>
  <si>
    <t>4000 GLENAIRE CIRCLE</t>
  </si>
  <si>
    <t>95 LOCUST STREET</t>
  </si>
  <si>
    <t>25 REYNOLDS MOUNTAIN BOULEVARD</t>
  </si>
  <si>
    <t>308 WEST MEADOWVIEW ROAD</t>
  </si>
  <si>
    <t>115 WHITE ROAD</t>
  </si>
  <si>
    <t>625 ASHLAND STREET</t>
  </si>
  <si>
    <t>2065 LYON STREET</t>
  </si>
  <si>
    <t>2059 TORREDGE ROAD</t>
  </si>
  <si>
    <t>619 LAUREL LAKE DRIVE</t>
  </si>
  <si>
    <t>2041 WILLOW ROAD</t>
  </si>
  <si>
    <t>300 MORRIS ROAD</t>
  </si>
  <si>
    <t>400 THOMPSON STREET</t>
  </si>
  <si>
    <t>518 OLD US HIGHWAY 221</t>
  </si>
  <si>
    <t>3003 KENSINGTON PARK DRIVE</t>
  </si>
  <si>
    <t>333 EAST LEE STREET</t>
  </si>
  <si>
    <t>1901 RANDOLPH ROAD</t>
  </si>
  <si>
    <t>121 RACINE DRIVE</t>
  </si>
  <si>
    <t>2415 SANDY PORTER ROAD</t>
  </si>
  <si>
    <t>180 SOUTHWOOD DRIVE BOX 708</t>
  </si>
  <si>
    <t>6001 WILORA LAKE ROAD</t>
  </si>
  <si>
    <t>6100 W FRIENDLY AVENUE</t>
  </si>
  <si>
    <t>55 ECHOTA CHURCH ROAD</t>
  </si>
  <si>
    <t>3864 SWEETEN CREEK ROAD</t>
  </si>
  <si>
    <t>604 LUCAS ROAD</t>
  </si>
  <si>
    <t>2000 SALEMTOWNE DRIVE</t>
  </si>
  <si>
    <t>400 PELT DRIVE</t>
  </si>
  <si>
    <t>5804 OLD PROVIDENCE ROAD</t>
  </si>
  <si>
    <t>1450 SHAIRE CENTER DRIVE</t>
  </si>
  <si>
    <t>HOSPITAL DRIVE</t>
  </si>
  <si>
    <t>110 MCCOTTER BOULEVARD</t>
  </si>
  <si>
    <t>1930 WEST SUGAR CREEK ROAD</t>
  </si>
  <si>
    <t>128 SNOW HILL ROAD</t>
  </si>
  <si>
    <t>210 FOXHALL ROAD</t>
  </si>
  <si>
    <t>214 COCHRAN AVENUE</t>
  </si>
  <si>
    <t>104 COLLEGE DRIVE</t>
  </si>
  <si>
    <t>2780 X-RAY DRIVE</t>
  </si>
  <si>
    <t>6920 MARCHING DUCK DRIVE</t>
  </si>
  <si>
    <t>791 BOONE STATION DRIVE</t>
  </si>
  <si>
    <t>8200 LITCHFORD ROAD</t>
  </si>
  <si>
    <t>1221 BROAD STREET</t>
  </si>
  <si>
    <t>2600 CROASDAILE FARM</t>
  </si>
  <si>
    <t>3315 FAITH CHURCH ROAD</t>
  </si>
  <si>
    <t>4412 SOUTH MAIN STREET</t>
  </si>
  <si>
    <t>924 N HOWE STREET</t>
  </si>
  <si>
    <t>4600 CUMBERLAND ROAD</t>
  </si>
  <si>
    <t>700 SOUTH HOLDEN ROAD</t>
  </si>
  <si>
    <t>5725 CAROLINA BEACH ROAD</t>
  </si>
  <si>
    <t>911 SOUTH HUGHES STREET</t>
  </si>
  <si>
    <t>915 PEE DEE ROAD</t>
  </si>
  <si>
    <t>911 WESTERN BOULEVARD</t>
  </si>
  <si>
    <t>2001 VANHAVEN DRIVE</t>
  </si>
  <si>
    <t>1000 HICKORY STREET</t>
  </si>
  <si>
    <t>3609 BOND STREET</t>
  </si>
  <si>
    <t>1210 EASTERN AVENUE</t>
  </si>
  <si>
    <t>6300 ROBERTA ROAD</t>
  </si>
  <si>
    <t>920 4TH STREET SOUTHWEST</t>
  </si>
  <si>
    <t>155 BLAKE BOULEVARD</t>
  </si>
  <si>
    <t>2315 HIGHWAY 242 NORTH</t>
  </si>
  <si>
    <t>1028 BLAIR STREET</t>
  </si>
  <si>
    <t>272 HIGHWAY 70</t>
  </si>
  <si>
    <t>86 OLD AIRPORT ROAD</t>
  </si>
  <si>
    <t>7166 JORDON ROAD</t>
  </si>
  <si>
    <t>3700 TAYLOR GLEN LANE</t>
  </si>
  <si>
    <t>3647 MILLER BRIDGE ROAD</t>
  </si>
  <si>
    <t>1575 JOHN KNOX DRIVE</t>
  </si>
  <si>
    <t>5201 CLARKS FORK DRIVE</t>
  </si>
  <si>
    <t>618-A S MAIN STREET</t>
  </si>
  <si>
    <t>1601 BRENNER AVE, BUILDNG #10</t>
  </si>
  <si>
    <t>310 COMMERCE DRIVE</t>
  </si>
  <si>
    <t>101 GREEN CEDAR LANE</t>
  </si>
  <si>
    <t>2702 FARRELL ROAD</t>
  </si>
  <si>
    <t>5100 MACKAY ROAD</t>
  </si>
  <si>
    <t>2305 SILVER STREAM LANE</t>
  </si>
  <si>
    <t>2420 LAKE WHEELER ROAD</t>
  </si>
  <si>
    <t>300 CLYNELISH CLOSE</t>
  </si>
  <si>
    <t>13825 HUNTON LANE</t>
  </si>
  <si>
    <t>2701 PICKETT ROAD</t>
  </si>
  <si>
    <t>316 NC HIGHWAY 801 SOUTH</t>
  </si>
  <si>
    <t>3625 WILLARD FARROW DRIVE</t>
  </si>
  <si>
    <t>8710 CYPRESS CLUB DRIVE</t>
  </si>
  <si>
    <t>1 MARITHE COURT</t>
  </si>
  <si>
    <t>5533 BURLINGTON ROAD</t>
  </si>
  <si>
    <t>1070 OLD OCEAN HIGHWAY</t>
  </si>
  <si>
    <t>700 HOWIE MINE ROAD</t>
  </si>
  <si>
    <t>5935 MOUNT SINAI ROAD</t>
  </si>
  <si>
    <t>2005 SHANNON GRAY COURT</t>
  </si>
  <si>
    <t>1401 71ST SCHOOL ROAD</t>
  </si>
  <si>
    <t>631 JUNCTION CREEK DRIVE</t>
  </si>
  <si>
    <t>3830 BLUE RIDGE ROAD</t>
  </si>
  <si>
    <t>1617  HENDERSONVELLE ROAD</t>
  </si>
  <si>
    <t>3800 INDEPENDENCE BOULEVARD</t>
  </si>
  <si>
    <t>62 LAKE EDEN ROAD</t>
  </si>
  <si>
    <t>2105 HOMESTEAD HILLS DRIVE</t>
  </si>
  <si>
    <t>2150 HULL ROAD</t>
  </si>
  <si>
    <t>410 S JUDD PARKWAY SE</t>
  </si>
  <si>
    <t>10506 CLEAR CREEK COMMERCE DRIVE</t>
  </si>
  <si>
    <t>10011 PROVIDENCE ROAD WEST</t>
  </si>
  <si>
    <t>5100 SHARON ROAD</t>
  </si>
  <si>
    <t>7449 FAIR OAKS DRIVE</t>
  </si>
  <si>
    <t>3510 WEST HIGHWAY 74</t>
  </si>
  <si>
    <t>19530 MOUNT ZION PARKWAY</t>
  </si>
  <si>
    <t>83 CAVALIER DRIVE</t>
  </si>
  <si>
    <t>195 SPRINGBROOK AVENUE</t>
  </si>
  <si>
    <t>1315 S UNIVERSITY DR</t>
  </si>
  <si>
    <t>600 S MAIN ST</t>
  </si>
  <si>
    <t>800 MAIN AVENUE SOUTH</t>
  </si>
  <si>
    <t>1307 N 7TH ST</t>
  </si>
  <si>
    <t>810 N WELO ST</t>
  </si>
  <si>
    <t>604 ASH AVE E</t>
  </si>
  <si>
    <t>325 E BREWSTER ST</t>
  </si>
  <si>
    <t>613 1ST AVE SW</t>
  </si>
  <si>
    <t>1200 ROBERTS AVE NE</t>
  </si>
  <si>
    <t>750 MAIN ST E</t>
  </si>
  <si>
    <t>1226 1ST AVE N</t>
  </si>
  <si>
    <t>1104  HWY 12</t>
  </si>
  <si>
    <t>615 6TH ST SE</t>
  </si>
  <si>
    <t>1 E MAIN ST</t>
  </si>
  <si>
    <t>1351 N BROADWAY</t>
  </si>
  <si>
    <t>201 8TH ST N</t>
  </si>
  <si>
    <t>409 S 3RD ST</t>
  </si>
  <si>
    <t>1116 9TH AVE</t>
  </si>
  <si>
    <t>950 DAKOTA AVE</t>
  </si>
  <si>
    <t>108 E NYHUS AVE</t>
  </si>
  <si>
    <t>118 22ND ST NE</t>
  </si>
  <si>
    <t>802 2ND ST NW</t>
  </si>
  <si>
    <t>500 DELANO AVE</t>
  </si>
  <si>
    <t>3400 NEBRASKA DRIVE</t>
  </si>
  <si>
    <t>2425 HILLVIEW AVE</t>
  </si>
  <si>
    <t>1021 N 26TH ST</t>
  </si>
  <si>
    <t>12 3RD ST SE</t>
  </si>
  <si>
    <t>242 10TH ST W</t>
  </si>
  <si>
    <t>609 4TH AVE NE</t>
  </si>
  <si>
    <t>1011 BOUNDARY ST NW</t>
  </si>
  <si>
    <t>400 S 4TH ST</t>
  </si>
  <si>
    <t>2900 14TH AVE S</t>
  </si>
  <si>
    <t>701 11TH ST</t>
  </si>
  <si>
    <t>620 14TH AVE NE</t>
  </si>
  <si>
    <t>1515 2ND AVE WEST</t>
  </si>
  <si>
    <t>709 4TH AVE NE</t>
  </si>
  <si>
    <t>305 8TH AVE NE</t>
  </si>
  <si>
    <t>4 N PARK ST</t>
  </si>
  <si>
    <t>979 CENTRAL AVE N</t>
  </si>
  <si>
    <t>1300 2ND PL NE</t>
  </si>
  <si>
    <t>3102 S UNIVERSITY DR</t>
  </si>
  <si>
    <t>501 19TH ST NE</t>
  </si>
  <si>
    <t>333 EASTERN AVE</t>
  </si>
  <si>
    <t>3534 UNIVERSITY DR S</t>
  </si>
  <si>
    <t>201 S UNIVERSITY DR</t>
  </si>
  <si>
    <t>804 MAIN ST W</t>
  </si>
  <si>
    <t>301 SOUTH COUNTY ROAD 12B</t>
  </si>
  <si>
    <t>851 4TH AVE E</t>
  </si>
  <si>
    <t>612 CENTER AVE N</t>
  </si>
  <si>
    <t>95 HILL TOP DR</t>
  </si>
  <si>
    <t>725 E 10TH ST</t>
  </si>
  <si>
    <t>602 E MAIN ST</t>
  </si>
  <si>
    <t>213 N 9TH ST</t>
  </si>
  <si>
    <t>113 5TH ST S</t>
  </si>
  <si>
    <t>501 E FRONT ST</t>
  </si>
  <si>
    <t>401 MILLIONAIRE AVE</t>
  </si>
  <si>
    <t>302 7TH AVE NE</t>
  </si>
  <si>
    <t>1303 27TH STREET NW</t>
  </si>
  <si>
    <t>311 E 4TH ST</t>
  </si>
  <si>
    <t>483 4TH ST SW</t>
  </si>
  <si>
    <t>608 4TH AVE SW</t>
  </si>
  <si>
    <t>201 14TH ST NW</t>
  </si>
  <si>
    <t>315 1ST ST SE</t>
  </si>
  <si>
    <t>110 HILLCREST DR</t>
  </si>
  <si>
    <t>300 MAIN ST S</t>
  </si>
  <si>
    <t>100 ELM AVE</t>
  </si>
  <si>
    <t>705 SE 4TH ST</t>
  </si>
  <si>
    <t>4000 24TH AVE S</t>
  </si>
  <si>
    <t>150 COUNTY RD 34</t>
  </si>
  <si>
    <t>1600 VETERANS DRIVE</t>
  </si>
  <si>
    <t>407 3RD AVE SE</t>
  </si>
  <si>
    <t>501 3RD AVE W</t>
  </si>
  <si>
    <t>900 E BROADWAY</t>
  </si>
  <si>
    <t>8885 HIGHWAY 10</t>
  </si>
  <si>
    <t>4255 30TH AVE S</t>
  </si>
  <si>
    <t>125 13TH AVENUE WEST</t>
  </si>
  <si>
    <t>301 LORRAIN DRIVE</t>
  </si>
  <si>
    <t>4580 COLEMAN STREET</t>
  </si>
  <si>
    <t>800 WEST MAIN STREET</t>
  </si>
  <si>
    <t>45 ST LAWRENCE DRIVE</t>
  </si>
  <si>
    <t>1400 WEST MAIN STREET</t>
  </si>
  <si>
    <t>2586 LAFEUILLE AVENUE</t>
  </si>
  <si>
    <t>18220 EUCLID AVE</t>
  </si>
  <si>
    <t>750 CHESTNUT STREET</t>
  </si>
  <si>
    <t>2116 DOVER CENTER RD</t>
  </si>
  <si>
    <t>1301 NORTH MONROE DRIVE</t>
  </si>
  <si>
    <t>1151 COLLEGE AVENUE</t>
  </si>
  <si>
    <t>3121 GLANZMAN RD</t>
  </si>
  <si>
    <t>12504 CEDAR ROAD</t>
  </si>
  <si>
    <t>4121 TOD AVENUE NW</t>
  </si>
  <si>
    <t>4001 ROSSLYN DRIVE</t>
  </si>
  <si>
    <t>4320 BRIDGETOWN ROAD</t>
  </si>
  <si>
    <t>ONE DAVID N MYERS PARKWAY</t>
  </si>
  <si>
    <t>1800 RIVERSIDE DRIVE</t>
  </si>
  <si>
    <t>26520 CENTER RIDGE RD</t>
  </si>
  <si>
    <t>1150 W MARKET ST</t>
  </si>
  <si>
    <t>2171 HARRISON AVENUE</t>
  </si>
  <si>
    <t>5100 HARROUN RD</t>
  </si>
  <si>
    <t>23900 CHAGRIN BLVD</t>
  </si>
  <si>
    <t>889 NORTH AURORA ROAD</t>
  </si>
  <si>
    <t>850 W POE ROAD</t>
  </si>
  <si>
    <t>3929 HOOVER ROAD</t>
  </si>
  <si>
    <t>7800 JANDARACRES DRIVE</t>
  </si>
  <si>
    <t>2500 METROHEALTH DRIVE</t>
  </si>
  <si>
    <t>7377 RIDGE RD</t>
  </si>
  <si>
    <t>2400 COLUMBIA RD</t>
  </si>
  <si>
    <t>425 LAURICELLA COURT</t>
  </si>
  <si>
    <t>1433 WALNUT STREET</t>
  </si>
  <si>
    <t>622 CENTER ST</t>
  </si>
  <si>
    <t>27100 CEDAR RD</t>
  </si>
  <si>
    <t>401 N BROADWAY ST</t>
  </si>
  <si>
    <t>797 E MARKET ST</t>
  </si>
  <si>
    <t>18627 SHURMER ROAD</t>
  </si>
  <si>
    <t>517 GYPSY LANE</t>
  </si>
  <si>
    <t>28303 DETROIT RD</t>
  </si>
  <si>
    <t>50 BLYMYER AVENUE</t>
  </si>
  <si>
    <t>17322 EUCLID AVE</t>
  </si>
  <si>
    <t>721 HICKORY ST</t>
  </si>
  <si>
    <t>4114 NORTH STATE ROUTE 376 NW</t>
  </si>
  <si>
    <t>510 OAK STREET</t>
  </si>
  <si>
    <t>2594 EAST HIGH AVENUE</t>
  </si>
  <si>
    <t>32900 DETROIT RD</t>
  </si>
  <si>
    <t>807 WEST AVE</t>
  </si>
  <si>
    <t>240 NORTHCREST DRIVE</t>
  </si>
  <si>
    <t>7450 KELLER ROAD</t>
  </si>
  <si>
    <t>195 EXECUTIVE DR</t>
  </si>
  <si>
    <t>5665 SOUTH AVE</t>
  </si>
  <si>
    <t>5970 KENWOOD ROAD</t>
  </si>
  <si>
    <t>126 WILSON DRIVE</t>
  </si>
  <si>
    <t>6455 PEARL RD</t>
  </si>
  <si>
    <t>1425 YORKLAND ROAD</t>
  </si>
  <si>
    <t>5501 VERULAM</t>
  </si>
  <si>
    <t>599 SOUTH SHAWNEE STREET</t>
  </si>
  <si>
    <t>140 OLD COUNTY LINE ROAD</t>
  </si>
  <si>
    <t>6898 HAMILTON MIDDLETOWN ROAD</t>
  </si>
  <si>
    <t>20265 EMERY RD</t>
  </si>
  <si>
    <t>4900 COOPER ROAD</t>
  </si>
  <si>
    <t>850 NELLIE STREET</t>
  </si>
  <si>
    <t>6830 NORTH HIGH STREET</t>
  </si>
  <si>
    <t>75 HALE STREET</t>
  </si>
  <si>
    <t>1140 KNOXVILLE ROAD</t>
  </si>
  <si>
    <t>60 WOOD ST</t>
  </si>
  <si>
    <t>1010 LINCOLN AVE</t>
  </si>
  <si>
    <t>218 ELM ST</t>
  </si>
  <si>
    <t>160 FOX RD</t>
  </si>
  <si>
    <t>1900 EAST MAIN STREET</t>
  </si>
  <si>
    <t>10357 VAN WERT DECATUR ROAD</t>
  </si>
  <si>
    <t>1030 HIGH ST</t>
  </si>
  <si>
    <t>6099 FAIRFIELD ROAD</t>
  </si>
  <si>
    <t>145 OLIVE ST</t>
  </si>
  <si>
    <t>605 BRADLEY RD</t>
  </si>
  <si>
    <t>1840 WEST HIGH STREET</t>
  </si>
  <si>
    <t>13900 DETROIT AVE</t>
  </si>
  <si>
    <t>147 GARFIELD ST</t>
  </si>
  <si>
    <t>1076 COSHOCTON AVE</t>
  </si>
  <si>
    <t>1912 HAYES AVE</t>
  </si>
  <si>
    <t>3102 ST CHARLES DRIVE</t>
  </si>
  <si>
    <t>3710 OLENTANGY RIVER ROAD</t>
  </si>
  <si>
    <t>1216 5TH AVE</t>
  </si>
  <si>
    <t>1302 MILLVILLE AVENUE</t>
  </si>
  <si>
    <t>512 CRESCENT DRIVE</t>
  </si>
  <si>
    <t>4645 LEWIS AVE</t>
  </si>
  <si>
    <t>225 W MAIN STREET</t>
  </si>
  <si>
    <t>2217 WEST AVE</t>
  </si>
  <si>
    <t>2728 BAILEY RD</t>
  </si>
  <si>
    <t>5425 HIGH MILL AVENUE NW</t>
  </si>
  <si>
    <t>9685 CHILLICOTHE RD</t>
  </si>
  <si>
    <t>2714 13TH STREET NW</t>
  </si>
  <si>
    <t>435 AVIS AVENUE NW</t>
  </si>
  <si>
    <t>2250 BANNING ROAD</t>
  </si>
  <si>
    <t>370 TARLTON ROAD</t>
  </si>
  <si>
    <t>3558 RIDGEWOOD RD</t>
  </si>
  <si>
    <t>705 FULTON STREET</t>
  </si>
  <si>
    <t>1500 MCKINLEY AVENUE</t>
  </si>
  <si>
    <t>1463 TALLMADGE ROAD</t>
  </si>
  <si>
    <t>750 BROWER ROAD</t>
  </si>
  <si>
    <t>625 PROBASCO STREET</t>
  </si>
  <si>
    <t>37603 EUCLID AVE</t>
  </si>
  <si>
    <t>7600 S RIDGE RD</t>
  </si>
  <si>
    <t>5790 DENLINGER ROAD</t>
  </si>
  <si>
    <t>23225 LORAIN RD</t>
  </si>
  <si>
    <t>2125 ROYCE STREET</t>
  </si>
  <si>
    <t>920 THURBER DRIVE WEST</t>
  </si>
  <si>
    <t>1211 W MARKET ST</t>
  </si>
  <si>
    <t>4110 EAST SMITHVILLE WESTERN ROAD</t>
  </si>
  <si>
    <t>250 GLENN AVENUE</t>
  </si>
  <si>
    <t>2631 COPLEY ROAD</t>
  </si>
  <si>
    <t>1150 WEST DOROTHY LANE</t>
  </si>
  <si>
    <t>4830 SALEM AVENUE</t>
  </si>
  <si>
    <t>409 BELLFONTAINE AVENUE</t>
  </si>
  <si>
    <t>5005 HIGBEE AVENUE NW</t>
  </si>
  <si>
    <t>7777 COOPER ROAD</t>
  </si>
  <si>
    <t>175 COMMUNITY DRIVE</t>
  </si>
  <si>
    <t>303 W LEGGETT ST</t>
  </si>
  <si>
    <t>100 ROGERS LANE</t>
  </si>
  <si>
    <t>1021 W POE RD</t>
  </si>
  <si>
    <t>12745 ELM CORNER ROAD</t>
  </si>
  <si>
    <t>2101 GREENDALE BOULEVARD</t>
  </si>
  <si>
    <t>2735 DARLINGTON RD</t>
  </si>
  <si>
    <t>85 THIRD STREET SE</t>
  </si>
  <si>
    <t>100 DON DESCH DRIVE</t>
  </si>
  <si>
    <t>308 WEST WARREN STREET</t>
  </si>
  <si>
    <t>370 E HOWARD ST</t>
  </si>
  <si>
    <t>957 BECKS KNOB ROAD</t>
  </si>
  <si>
    <t>585 NORTH STATE ROUTE 741</t>
  </si>
  <si>
    <t>170 PINECREST DRIVE</t>
  </si>
  <si>
    <t>11100 SPRINGFIELD PIKE</t>
  </si>
  <si>
    <t>935 ROSEWOOD DR</t>
  </si>
  <si>
    <t>1835 BELMORE AVE</t>
  </si>
  <si>
    <t>565 BRYN MAWR</t>
  </si>
  <si>
    <t>6757 MAYFIELD RD</t>
  </si>
  <si>
    <t>225 BRITTON LANE</t>
  </si>
  <si>
    <t>2535 FORT AMANDA ROAD</t>
  </si>
  <si>
    <t>6557 US 68 SOUTH</t>
  </si>
  <si>
    <t>908 SYMMES ROAD</t>
  </si>
  <si>
    <t>4911 COVENANT HOUSE DRIVE</t>
  </si>
  <si>
    <t>741 E WATER STREET</t>
  </si>
  <si>
    <t>4960 US 35 EAST</t>
  </si>
  <si>
    <t>4360 BRECKSVILLE RD</t>
  </si>
  <si>
    <t>1974 NORTH FAIRFIELD ROAD</t>
  </si>
  <si>
    <t>8211 WELLER ROAD</t>
  </si>
  <si>
    <t>5280 STATE ROUTES 62   68</t>
  </si>
  <si>
    <t>1001 MYERS ROAD</t>
  </si>
  <si>
    <t>5700 KARL ROAD</t>
  </si>
  <si>
    <t>670 E SR 18</t>
  </si>
  <si>
    <t>1919 BISHOP RD</t>
  </si>
  <si>
    <t>925 WAGNER AVE</t>
  </si>
  <si>
    <t>600 STERLING DR</t>
  </si>
  <si>
    <t>3600 FRANKLIN BOULEVARD</t>
  </si>
  <si>
    <t>1701 S JEFFERSON AVE</t>
  </si>
  <si>
    <t>38500 STATE ROUTE 160</t>
  </si>
  <si>
    <t>4102 ROCKY RIVER DR</t>
  </si>
  <si>
    <t>8668 STATE ROUTE 93</t>
  </si>
  <si>
    <t>1856 ADAMS LANE</t>
  </si>
  <si>
    <t>5200 CAMELOT DRIVE</t>
  </si>
  <si>
    <t>2159 DOGWOOD RIDGE ROAD</t>
  </si>
  <si>
    <t>5757 PONDEROSA DRIVE</t>
  </si>
  <si>
    <t>24613 BROADWAY AVENUE</t>
  </si>
  <si>
    <t>11750 KLINGER AVENUE NE</t>
  </si>
  <si>
    <t>13 AVALON ROAD</t>
  </si>
  <si>
    <t>7400 SWANEY ROAD</t>
  </si>
  <si>
    <t>401 SNYDER AVE</t>
  </si>
  <si>
    <t>755 OTTAWA STREET</t>
  </si>
  <si>
    <t>2270 WARRENSBURG ROAD</t>
  </si>
  <si>
    <t>3000 BETHEL RD</t>
  </si>
  <si>
    <t>486 S MAIN ST</t>
  </si>
  <si>
    <t>1320 MAHONING AVE NW</t>
  </si>
  <si>
    <t>717 NEIL AVENUE</t>
  </si>
  <si>
    <t>860 IRON AVENUE</t>
  </si>
  <si>
    <t>1865 COUNTRYSIDE DRIVE</t>
  </si>
  <si>
    <t>2317 EAST HOME ROAD</t>
  </si>
  <si>
    <t>1150 COLONY DRIVE</t>
  </si>
  <si>
    <t>ONE COUNTRY LANE</t>
  </si>
  <si>
    <t>6900 BEECHMONT AVENUE</t>
  </si>
  <si>
    <t>2299  S  YELLOW SPRINGS STREET</t>
  </si>
  <si>
    <t>75 MCMILLEN DRIVE</t>
  </si>
  <si>
    <t>375 WEST MAIN STREET</t>
  </si>
  <si>
    <t>501 NORTH SECOND STREET</t>
  </si>
  <si>
    <t>365 JOHNSON RD</t>
  </si>
  <si>
    <t>1100 EAST STATE ROAD</t>
  </si>
  <si>
    <t>66 NORWOOD AVE</t>
  </si>
  <si>
    <t>142 JENKINS MEMORIAL ROAD</t>
  </si>
  <si>
    <t>9001 W 130TH ST</t>
  </si>
  <si>
    <t>3245 VESTAL ROAD</t>
  </si>
  <si>
    <t>300 ARLINGTON AVENUE</t>
  </si>
  <si>
    <t>5199 EAST BROAD STREET</t>
  </si>
  <si>
    <t>2380 ST RT 68 S</t>
  </si>
  <si>
    <t>98 SOUTH 30TH STREET</t>
  </si>
  <si>
    <t>22 PARRISH ROAD</t>
  </si>
  <si>
    <t>934 STATE ROUTE 28</t>
  </si>
  <si>
    <t>1610 28TH STREET</t>
  </si>
  <si>
    <t>2140 POGUE AVENUE</t>
  </si>
  <si>
    <t>7143 ROUTE 23 SOUTH</t>
  </si>
  <si>
    <t>214 HARDING STREET</t>
  </si>
  <si>
    <t>1096 NORTH OHIO STREET</t>
  </si>
  <si>
    <t>36759 ROCKSPRINGS ROAD</t>
  </si>
  <si>
    <t>27601 WESTCHESTER PKWY</t>
  </si>
  <si>
    <t>4426 HOMESTEAD DR</t>
  </si>
  <si>
    <t>3953 NAVARRE AVE</t>
  </si>
  <si>
    <t>711 DAYTON-XENIA ROAD</t>
  </si>
  <si>
    <t>2025 WYOMING AVENUE</t>
  </si>
  <si>
    <t>1155 ATWATER AVENUE</t>
  </si>
  <si>
    <t>751 KENSINGTON STREET</t>
  </si>
  <si>
    <t>1965 E GYPSY LANE RD</t>
  </si>
  <si>
    <t>1735 BELMONT AVENUE</t>
  </si>
  <si>
    <t>501 PINECREST DRIVE</t>
  </si>
  <si>
    <t>4307 BRIDGETOWN ROAD</t>
  </si>
  <si>
    <t>717 SOUTH 30TH STREET</t>
  </si>
  <si>
    <t>4000 GOLDEN AGE DRIVE</t>
  </si>
  <si>
    <t>1701 LLANFAIR AVENUE</t>
  </si>
  <si>
    <t>3680 DOLSON COURT NW</t>
  </si>
  <si>
    <t>535 LEXINGTON AVENUE</t>
  </si>
  <si>
    <t>6922 OHIO AVENUE</t>
  </si>
  <si>
    <t>850 S MARSEILLES AVENUE</t>
  </si>
  <si>
    <t>6164 SALEM ROAD</t>
  </si>
  <si>
    <t>151 PRICE ROAD</t>
  </si>
  <si>
    <t>517 PARK STREET NW</t>
  </si>
  <si>
    <t>75 MOTE DRIVE</t>
  </si>
  <si>
    <t>2000 REGENCY MANOR CIRCLE</t>
  </si>
  <si>
    <t>1450 WEST MAIN STREET</t>
  </si>
  <si>
    <t>21800 CHARDON ROAD</t>
  </si>
  <si>
    <t>4420 SOUTH AVENUE</t>
  </si>
  <si>
    <t>1330 S FULTON ST</t>
  </si>
  <si>
    <t>1578 SHERMAN AVENUE</t>
  </si>
  <si>
    <t>164 LIBERTY ST</t>
  </si>
  <si>
    <t>6451 FAR HILLS AVENUE</t>
  </si>
  <si>
    <t>12200 STRAUSSER ST NW</t>
  </si>
  <si>
    <t>924 CHARLIE'S WAY</t>
  </si>
  <si>
    <t>37930 AIRPORT ROAD</t>
  </si>
  <si>
    <t>4381 TONAWANDA TRAIL</t>
  </si>
  <si>
    <t>8180 W STATE RT 163</t>
  </si>
  <si>
    <t>935 NORTH CASSADY AVENUE</t>
  </si>
  <si>
    <t>5155 NORTH HIGH STREET</t>
  </si>
  <si>
    <t>1315 KITCHEN AID WAY</t>
  </si>
  <si>
    <t>3003 WEST CISCO ROAD</t>
  </si>
  <si>
    <t>395 HARDING STREET</t>
  </si>
  <si>
    <t>417 SOUTH MAIN STREET</t>
  </si>
  <si>
    <t>600 N BRUSH ST</t>
  </si>
  <si>
    <t>2615 DERR ROAD</t>
  </si>
  <si>
    <t>3421 PINNACLE ROAD</t>
  </si>
  <si>
    <t>196 W MAIN ST</t>
  </si>
  <si>
    <t>107 NORTH PIKE STREET</t>
  </si>
  <si>
    <t>19900 CLARE AVE</t>
  </si>
  <si>
    <t>220 APPLEGROVE STREET NE</t>
  </si>
  <si>
    <t>904 ISAAC STREETS DRIVE</t>
  </si>
  <si>
    <t>212 FAIRVIEW AVENUE</t>
  </si>
  <si>
    <t>1600 SAINT PARIS PIKE</t>
  </si>
  <si>
    <t>3536 WASHINGTON AVE</t>
  </si>
  <si>
    <t>5999 BENDER ROAD</t>
  </si>
  <si>
    <t>1852 SINCLAIR AVENUE</t>
  </si>
  <si>
    <t>243 MARION DRIVE</t>
  </si>
  <si>
    <t>27500 MILL RD</t>
  </si>
  <si>
    <t>10540 FREMONT PIKE RD</t>
  </si>
  <si>
    <t>150 EAST HERMAN STREET</t>
  </si>
  <si>
    <t>2473 NORTH RD NE</t>
  </si>
  <si>
    <t>2820 GREENACRE DR</t>
  </si>
  <si>
    <t>5291 ASHLEY CIRCLE</t>
  </si>
  <si>
    <t>3650 BEAVERCREST DRIVE</t>
  </si>
  <si>
    <t>7025 CLOVERNOOK AVENUE</t>
  </si>
  <si>
    <t>839 EAST CHERRY STREET</t>
  </si>
  <si>
    <t>3472 HAMILTON MASON ROAD</t>
  </si>
  <si>
    <t>563 BROOKFIELD AVE SE</t>
  </si>
  <si>
    <t>391 CLARK DRIVE</t>
  </si>
  <si>
    <t>515 SOUTH MAPLE STREET</t>
  </si>
  <si>
    <t>2923 HAMILTON MASON ROAD</t>
  </si>
  <si>
    <t>68222 COMMERCIAL DRIVE</t>
  </si>
  <si>
    <t>6000 RIVERSIDE DR</t>
  </si>
  <si>
    <t>6940 STIEGLER LANE</t>
  </si>
  <si>
    <t>275 EAST SUNSET DRIVE</t>
  </si>
  <si>
    <t>1050 CLINTON STREET</t>
  </si>
  <si>
    <t>83 HIGH STREET</t>
  </si>
  <si>
    <t>24 NORTH HAMILTON STREET</t>
  </si>
  <si>
    <t>18621 NEFF RD</t>
  </si>
  <si>
    <t>90 NORTH FOURTH STREET</t>
  </si>
  <si>
    <t>328 WEST VINE STREET</t>
  </si>
  <si>
    <t>20311 PEMBERVILLE RD</t>
  </si>
  <si>
    <t>2425 KIMBERLY PARKWAY EAST</t>
  </si>
  <si>
    <t>800 S 15TH ST</t>
  </si>
  <si>
    <t>25 CHRISTOPHER DR</t>
  </si>
  <si>
    <t>1058 COLUMBUS ST</t>
  </si>
  <si>
    <t>755 SOUTH PLUM STREET</t>
  </si>
  <si>
    <t>920 SOUTH MAIN STREET</t>
  </si>
  <si>
    <t>648 LONGHORN STREET</t>
  </si>
  <si>
    <t>7148 WEST BLVD</t>
  </si>
  <si>
    <t>36855 RIDGE RD</t>
  </si>
  <si>
    <t>10515 E RIVER RD</t>
  </si>
  <si>
    <t>20 EASTER DRIVE</t>
  </si>
  <si>
    <t>10098 BIG BEAR CREEK RD</t>
  </si>
  <si>
    <t>141 SPRUCE LANE</t>
  </si>
  <si>
    <t>311 BUCKRIDGE ROAD</t>
  </si>
  <si>
    <t>25675 EAST MAIN STREET</t>
  </si>
  <si>
    <t>51 EAST 4TH STREET</t>
  </si>
  <si>
    <t>15028 OLD LINCOLNWAY EAST</t>
  </si>
  <si>
    <t>820 EAST CENTER STREET</t>
  </si>
  <si>
    <t>16101 EUCLID BEACH BLVD</t>
  </si>
  <si>
    <t>421 MISSION LANE</t>
  </si>
  <si>
    <t>230 CHERRY ST</t>
  </si>
  <si>
    <t>115 ELMWOOD CIRCLE</t>
  </si>
  <si>
    <t>804 SOUTH MUMAUGH ROAD</t>
  </si>
  <si>
    <t>164 OFFICE PARK DRIVE</t>
  </si>
  <si>
    <t>2950 WEST PARK DRIVE</t>
  </si>
  <si>
    <t>7770 COLUMBUS ROAD NE</t>
  </si>
  <si>
    <t>730 MILCREST DRIVE</t>
  </si>
  <si>
    <t>1649 PARK RD</t>
  </si>
  <si>
    <t>275 KIENLE DRIVE</t>
  </si>
  <si>
    <t>255 FRONT STREET</t>
  </si>
  <si>
    <t>1060 EASTWIND DRIVE</t>
  </si>
  <si>
    <t>44565 SUNSET ROAD</t>
  </si>
  <si>
    <t>221 NORTH SCHOOL STREET</t>
  </si>
  <si>
    <t>3313 WILMINGTON PIKE</t>
  </si>
  <si>
    <t>8885 BROWNING DRIVE</t>
  </si>
  <si>
    <t>524 JAMES WAY</t>
  </si>
  <si>
    <t>1170 W MANSFIELD STREET</t>
  </si>
  <si>
    <t>7743 COUNTY ROAD 1</t>
  </si>
  <si>
    <t>1141 NORTHVIEW DRIVE</t>
  </si>
  <si>
    <t>3364 KOLBE RD</t>
  </si>
  <si>
    <t>28546 STARBRIGHT BLVD</t>
  </si>
  <si>
    <t>1929 WHETSTONE STREET</t>
  </si>
  <si>
    <t>1957 NORTH LAKEMAN DRIVE</t>
  </si>
  <si>
    <t>5440 CHARLESGATE ROAD</t>
  </si>
  <si>
    <t>225 CLEVELAND AVENUE</t>
  </si>
  <si>
    <t>135 REICHART AVENUE</t>
  </si>
  <si>
    <t>105 MAJORA LANE</t>
  </si>
  <si>
    <t>563 COLONY PARK DRIVE</t>
  </si>
  <si>
    <t>2040 MCCREA STREET</t>
  </si>
  <si>
    <t>1300 HILL ROAD NORTH</t>
  </si>
  <si>
    <t>222 E BEECH ST</t>
  </si>
  <si>
    <t>4210 TELEGRAPH LANE</t>
  </si>
  <si>
    <t>450 OAK RIDGE BOULEVARD</t>
  </si>
  <si>
    <t>925 E 26TH ST</t>
  </si>
  <si>
    <t>727 EIGHTH STREET</t>
  </si>
  <si>
    <t>36 LEHMAN DR</t>
  </si>
  <si>
    <t>35990 WESTMINSTER AVE</t>
  </si>
  <si>
    <t>20 AMBERWOOD PKWY</t>
  </si>
  <si>
    <t>4400 VANNEST AVENUE</t>
  </si>
  <si>
    <t>906 SCIOTO ST</t>
  </si>
  <si>
    <t>20 LIVINGSTON AVENUE</t>
  </si>
  <si>
    <t>3995 COTTINGHAM DRIVE</t>
  </si>
  <si>
    <t>4780 KIRK RD</t>
  </si>
  <si>
    <t>800 MARKET AVENUE NORTH</t>
  </si>
  <si>
    <t>204 W MAIN ST</t>
  </si>
  <si>
    <t>6831 CHAPEL ROAD</t>
  </si>
  <si>
    <t>2801 E ROYALTON RD</t>
  </si>
  <si>
    <t>300 CHERRY ST</t>
  </si>
  <si>
    <t>300 23RD STREET NE</t>
  </si>
  <si>
    <t>14442 STATE ROUTE 33 WEST</t>
  </si>
  <si>
    <t>555 SPRINGBROOK DR</t>
  </si>
  <si>
    <t>272 BENEDICT AVE</t>
  </si>
  <si>
    <t>215 SETH AVENUE</t>
  </si>
  <si>
    <t>1500 E 191ST ST</t>
  </si>
  <si>
    <t>165 HIGHBLUFFS BLVD</t>
  </si>
  <si>
    <t>2565 NILES VIENNA RD</t>
  </si>
  <si>
    <t>2770 CLIME ROAD</t>
  </si>
  <si>
    <t>400 CAROLYN COURT</t>
  </si>
  <si>
    <t>5900 MEADOWCREEK DRIVE</t>
  </si>
  <si>
    <t>4 NEW MARKET DR</t>
  </si>
  <si>
    <t>375 GLENN AVENUE</t>
  </si>
  <si>
    <t>401 FOUNTAIN STREET</t>
  </si>
  <si>
    <t>355 WINDSOR LANE</t>
  </si>
  <si>
    <t>1995 EAST STATE STREET</t>
  </si>
  <si>
    <t>2000 VILLA ROAD</t>
  </si>
  <si>
    <t>38600 CENTER RIDGE RD</t>
  </si>
  <si>
    <t>4301 CLIME ROAD NORTH</t>
  </si>
  <si>
    <t>155 FIFTH ST NE</t>
  </si>
  <si>
    <t>575 S CLEVELAND MASSILLON ROAD</t>
  </si>
  <si>
    <t>115 OREGONIA ROAD</t>
  </si>
  <si>
    <t>8200 MENTOR HILLS DRIVE</t>
  </si>
  <si>
    <t>6210 CLEVES WARSAW PIKE</t>
  </si>
  <si>
    <t>60 MARIETTA ROAD</t>
  </si>
  <si>
    <t>95 BLACK DRIVE</t>
  </si>
  <si>
    <t>100 RESERVOIR ROAD</t>
  </si>
  <si>
    <t>55801 CONNO-MARA DRIVE</t>
  </si>
  <si>
    <t>16231 BROADWAY</t>
  </si>
  <si>
    <t>7250 OLD OAK BLVD</t>
  </si>
  <si>
    <t>955 GARDEN LAKE PKWY</t>
  </si>
  <si>
    <t>19859 ALEXANDER RD</t>
  </si>
  <si>
    <t>7260 RIDGE RD</t>
  </si>
  <si>
    <t>120 BROOKMONT RD</t>
  </si>
  <si>
    <t>9625 MARKET STREET</t>
  </si>
  <si>
    <t>620 WATER STREET</t>
  </si>
  <si>
    <t>12100 REED HARTMAN HIGHWAY</t>
  </si>
  <si>
    <t>70 NORMANDY DR</t>
  </si>
  <si>
    <t>8100 CLYO ROAD</t>
  </si>
  <si>
    <t>1899 GARFIELD RD</t>
  </si>
  <si>
    <t>405 GRAFTON AVENUE</t>
  </si>
  <si>
    <t>6430 POST RD</t>
  </si>
  <si>
    <t>1645 MAPLEWOOD DR</t>
  </si>
  <si>
    <t>2910 L'ERMITAGE PL</t>
  </si>
  <si>
    <t>333 PAGE STREET</t>
  </si>
  <si>
    <t>3800 SUMMIT GLEN DRIVE</t>
  </si>
  <si>
    <t>151 WEST GALBRAITH ROAD</t>
  </si>
  <si>
    <t>380 SUMMIT AVENUE</t>
  </si>
  <si>
    <t>5471 SCIOTO DARBY ROAD</t>
  </si>
  <si>
    <t>670 JARVIS RD</t>
  </si>
  <si>
    <t>20611 EUCLID AVE</t>
  </si>
  <si>
    <t>3 GATEWAY DR</t>
  </si>
  <si>
    <t>8 EAST PARK CIRCLE</t>
  </si>
  <si>
    <t>650 S MERIDIAN ROAD</t>
  </si>
  <si>
    <t>1960 MADISON ROAD</t>
  </si>
  <si>
    <t>3889 EAST GALBRAITH ROAD</t>
  </si>
  <si>
    <t>3232 NORTH COUNTY ROAD 25A</t>
  </si>
  <si>
    <t>2401 CASS RD</t>
  </si>
  <si>
    <t>3801 WOODRIDGE BOULEVARD</t>
  </si>
  <si>
    <t>1134 NORTH AVE</t>
  </si>
  <si>
    <t>700 HELEN STREET</t>
  </si>
  <si>
    <t>5740 DIBBLE ROAD</t>
  </si>
  <si>
    <t>444 CHERRY ST</t>
  </si>
  <si>
    <t>829 YELLOW SPRINGS - FAIRFIELD RD</t>
  </si>
  <si>
    <t>420 EAST FOURTH STREET</t>
  </si>
  <si>
    <t>401 W AIRPORT HWY</t>
  </si>
  <si>
    <t>907 AURORA RD</t>
  </si>
  <si>
    <t>555 ANTHONY WAYNE TRAIL</t>
  </si>
  <si>
    <t>1926 RIDGE AVENUE</t>
  </si>
  <si>
    <t>14519 DETROIT AVE</t>
  </si>
  <si>
    <t>411 SOUTH COLUMBUS STREET</t>
  </si>
  <si>
    <t>1621 S BYRNE RD</t>
  </si>
  <si>
    <t>6973 PEARL RD</t>
  </si>
  <si>
    <t>44 S SOUDER AVE</t>
  </si>
  <si>
    <t>747 S MT VERNON AVE</t>
  </si>
  <si>
    <t>11239 WATERVILLE ST</t>
  </si>
  <si>
    <t>5520 BROADVIEW RD</t>
  </si>
  <si>
    <t>5553 BROADVIEW RD</t>
  </si>
  <si>
    <t>26376 JOHN RD</t>
  </si>
  <si>
    <t>830 BOARDMAN CANFIELD RD</t>
  </si>
  <si>
    <t>37800 FRENCH CREEK RD</t>
  </si>
  <si>
    <t>1600 CRIDER RD</t>
  </si>
  <si>
    <t>7300 MCEWEN ROAD</t>
  </si>
  <si>
    <t>930 EAST PARK AVENUE</t>
  </si>
  <si>
    <t>620 E WATER ST</t>
  </si>
  <si>
    <t>2739 COUNTY  ROAD 91</t>
  </si>
  <si>
    <t>1050 NEAL ZICK ROAD</t>
  </si>
  <si>
    <t>1471 WILLS CREEK VALLEY DRIVE</t>
  </si>
  <si>
    <t>155 HERITAGE WOODS DRIVE</t>
  </si>
  <si>
    <t>4400 GLEN ESTE WITHAMSVILLE ROAD</t>
  </si>
  <si>
    <t>694 ISAAC PRUGH WAY</t>
  </si>
  <si>
    <t>550 MINER DR</t>
  </si>
  <si>
    <t>4590 KNIGHTSBRIDGE BLVD</t>
  </si>
  <si>
    <t>14961 N OLD 3C HIGHWAY</t>
  </si>
  <si>
    <t>3218 INDIAN RIPPLE ROAD</t>
  </si>
  <si>
    <t>200 WYANT RD</t>
  </si>
  <si>
    <t>5001 STATE ROUTE 60</t>
  </si>
  <si>
    <t>200 EAST STATE STREET</t>
  </si>
  <si>
    <t>9800 MARKET STREET</t>
  </si>
  <si>
    <t>202 WASHINGTON STREET NW</t>
  </si>
  <si>
    <t>1186 HADCOCK RD</t>
  </si>
  <si>
    <t>8065 DR FAUL ROAD</t>
  </si>
  <si>
    <t>3525 SCRANTON ROAD</t>
  </si>
  <si>
    <t>264 WILMINGTON AVENUE</t>
  </si>
  <si>
    <t>2932 SOUTH 5TH STREET</t>
  </si>
  <si>
    <t>117 BARTLETT STREET</t>
  </si>
  <si>
    <t>200 LAUREL LAKE DR</t>
  </si>
  <si>
    <t>144 EAST BROAD STREET</t>
  </si>
  <si>
    <t>850 EAST MIDLOTHIAN BLVD</t>
  </si>
  <si>
    <t>4401 W 150TH STREET</t>
  </si>
  <si>
    <t>7100 DEARWESTER DRIVE</t>
  </si>
  <si>
    <t>1700 HEINZERLING DRIVE</t>
  </si>
  <si>
    <t>12340 BASS LAKE ROAD</t>
  </si>
  <si>
    <t>5151 NORTH HAMILTON ROAD</t>
  </si>
  <si>
    <t>3550 SHAW AVENUE</t>
  </si>
  <si>
    <t>5460 CLEVELAND AVENUE</t>
  </si>
  <si>
    <t>200 ST CLAIR STREET</t>
  </si>
  <si>
    <t>4000 CROCKER ROAD</t>
  </si>
  <si>
    <t>1209 INDIANA AVENUE</t>
  </si>
  <si>
    <t>3800 PARK EAST</t>
  </si>
  <si>
    <t>570 NORTH ROCKY RIVER DRIVE</t>
  </si>
  <si>
    <t>8000 EVERGREEN RIDGE DRIVE</t>
  </si>
  <si>
    <t>5414 HANKINS ROAD</t>
  </si>
  <si>
    <t>369 N HIGH STREET</t>
  </si>
  <si>
    <t>1350 YAUGER ROAD</t>
  </si>
  <si>
    <t>806 E WASHINGTON STREET</t>
  </si>
  <si>
    <t>990 BAYLEY PLACE DRIVE</t>
  </si>
  <si>
    <t>6125 N MAIN STREET</t>
  </si>
  <si>
    <t>5070 LAMME ROAD</t>
  </si>
  <si>
    <t>461 SOUTH CANFIELD NILES ROAD</t>
  </si>
  <si>
    <t>3379 MAIN STREET</t>
  </si>
  <si>
    <t>24579 BROADWAY AVE</t>
  </si>
  <si>
    <t>300 EAST BATH ROAD</t>
  </si>
  <si>
    <t>18810 HARVARD AVE</t>
  </si>
  <si>
    <t>701 VILLA ROAD</t>
  </si>
  <si>
    <t>1104 WESLEY AVENUE</t>
  </si>
  <si>
    <t>31 MARANATHA DRIVE</t>
  </si>
  <si>
    <t>2186 AMBLESIDE RD</t>
  </si>
  <si>
    <t>2373 HARRISON AVENUE</t>
  </si>
  <si>
    <t>1290 FAIRCHILD AVENUE</t>
  </si>
  <si>
    <t>ST RT 314 NORTH</t>
  </si>
  <si>
    <t>3131 SMITH RD</t>
  </si>
  <si>
    <t>1670 CRIDER RD</t>
  </si>
  <si>
    <t>1720 CROSS STREET</t>
  </si>
  <si>
    <t>700 JASONWAY AVENUE</t>
  </si>
  <si>
    <t>825 JUNE STREET</t>
  </si>
  <si>
    <t>117 JACOB PARROTT BOULEVARD</t>
  </si>
  <si>
    <t>101 BISSELL RD</t>
  </si>
  <si>
    <t>29505 DETROIT RD</t>
  </si>
  <si>
    <t>2330 SMITH ROAD</t>
  </si>
  <si>
    <t>4293 MONROE ST</t>
  </si>
  <si>
    <t>5500 EAST BROAD STREET</t>
  </si>
  <si>
    <t>8064 SOUTH AVENUE</t>
  </si>
  <si>
    <t>501 WEST LEXINGTON ROAD</t>
  </si>
  <si>
    <t>2200 MILTON BOULEVARD</t>
  </si>
  <si>
    <t>3700 ENGLEWOOD DRIVE</t>
  </si>
  <si>
    <t>209 MERRIMAN RD</t>
  </si>
  <si>
    <t>1000 INDEPENDENCE RD</t>
  </si>
  <si>
    <t>3015 17TH STREET NW</t>
  </si>
  <si>
    <t>390 GABLES DRIVE</t>
  </si>
  <si>
    <t>500 COMMUNITY DRIVE</t>
  </si>
  <si>
    <t>1319 SPRING STREET</t>
  </si>
  <si>
    <t>1169 BRYDEN ROAD</t>
  </si>
  <si>
    <t>2181 AMBLESIDE RD</t>
  </si>
  <si>
    <t>563 W STREETSBORO ROAD</t>
  </si>
  <si>
    <t>13330 DETROIT AVE</t>
  </si>
  <si>
    <t>5040 PHILADELPHIA DRIVE</t>
  </si>
  <si>
    <t>1390 KING TREE DRIVE</t>
  </si>
  <si>
    <t>463 EAST PIKE STREET</t>
  </si>
  <si>
    <t>6606 CARNEGIE AVE</t>
  </si>
  <si>
    <t>100 SOUTH WHITEWOMAN STREET</t>
  </si>
  <si>
    <t>10270 BLACKLICK EASTERN ROAD NW</t>
  </si>
  <si>
    <t>4375 SOUTH COUNTY ROAD 25 A</t>
  </si>
  <si>
    <t>7801 DETROIT AVE</t>
  </si>
  <si>
    <t>620 W STRUB RD</t>
  </si>
  <si>
    <t>2051 COLLINGWOOD BLVD</t>
  </si>
  <si>
    <t>100 POWELL DRIVE</t>
  </si>
  <si>
    <t>9370 UNION CEMETERY ROAD</t>
  </si>
  <si>
    <t>1991 OTSEGO AVENUE</t>
  </si>
  <si>
    <t>620 EAST MAIN STREET</t>
  </si>
  <si>
    <t>2222 SPRINGDALE ROAD</t>
  </si>
  <si>
    <t>49 SHELDON RD</t>
  </si>
  <si>
    <t>411 WESTERN ROW ROAD</t>
  </si>
  <si>
    <t>11745 TOWNSHIP ROAD 145</t>
  </si>
  <si>
    <t>101 MILLS PLACE</t>
  </si>
  <si>
    <t>5757 WHITEFORD RD</t>
  </si>
  <si>
    <t>2316 SPRINGMILL ROAD</t>
  </si>
  <si>
    <t>200 MARKER ROAD</t>
  </si>
  <si>
    <t>3090 FIVE POINTS HARTFORD</t>
  </si>
  <si>
    <t>1001 BELLEFONTAINE AVE</t>
  </si>
  <si>
    <t>2308 RENO DRIVE NE</t>
  </si>
  <si>
    <t>3564 LAWSHE RD</t>
  </si>
  <si>
    <t>4111 HOLLAND SYLVANIA RD</t>
  </si>
  <si>
    <t>70 WINCHESTER RD</t>
  </si>
  <si>
    <t>1500 VILLA ROAD</t>
  </si>
  <si>
    <t>18697 BAGLEY ROAD</t>
  </si>
  <si>
    <t>700 MONROE ROAD</t>
  </si>
  <si>
    <t>73841 PLEASANT GROVE ROAD</t>
  </si>
  <si>
    <t>175 N LAKE STREET</t>
  </si>
  <si>
    <t>315 LILIENTHAL STREET</t>
  </si>
  <si>
    <t>22709 LAKE RD</t>
  </si>
  <si>
    <t>5232 BROADVIEW RD</t>
  </si>
  <si>
    <t>555 NORTH GLENN AVE</t>
  </si>
  <si>
    <t>1850 CROWN PARK COURT</t>
  </si>
  <si>
    <t>10098A BEAR CREEK ROAD</t>
  </si>
  <si>
    <t>140 N STATE STREET</t>
  </si>
  <si>
    <t>141 WILLETTSVILLE PIKE</t>
  </si>
  <si>
    <t>677 MARION CARDINGTON ROAD W</t>
  </si>
  <si>
    <t>2440 BATON ROUGE AVENUE</t>
  </si>
  <si>
    <t>15950 PIERCE ST</t>
  </si>
  <si>
    <t>405 NORTH PARK AVENUE</t>
  </si>
  <si>
    <t>1130 TOWER BLVD</t>
  </si>
  <si>
    <t>515 EAST MARTIN LUTHER KING DRIVE</t>
  </si>
  <si>
    <t>18901 LAKE SHORE BLVD</t>
  </si>
  <si>
    <t>1159 WYANDOTTE AVE</t>
  </si>
  <si>
    <t>7010 ROWAN HILL DRIVE</t>
  </si>
  <si>
    <t>10190 FAIRMOUNT RD</t>
  </si>
  <si>
    <t>4250 SODOM HUTCHINGS RD</t>
  </si>
  <si>
    <t>1605 NORTHWEST PROFESSIONAL PLAZA</t>
  </si>
  <si>
    <t>3231 MANLEY ROAD</t>
  </si>
  <si>
    <t>11230 STATE ROUTE 364</t>
  </si>
  <si>
    <t>600 KENDAL DRIVE</t>
  </si>
  <si>
    <t>300 OVERLOOK DRIVE</t>
  </si>
  <si>
    <t>60 WEST ST</t>
  </si>
  <si>
    <t>725 COLUMBUS AVE</t>
  </si>
  <si>
    <t>7007 POWERS BLVD</t>
  </si>
  <si>
    <t>730 WEST MARKET STREET</t>
  </si>
  <si>
    <t>1920 CLEVELAND RD W</t>
  </si>
  <si>
    <t>3756 W ERIE AVE</t>
  </si>
  <si>
    <t>907 EAST CENTRAL STREET</t>
  </si>
  <si>
    <t>2958 CANFIELD RD</t>
  </si>
  <si>
    <t>15100 BIRCHAVEN LANE</t>
  </si>
  <si>
    <t>514 WEST HIGH STREET</t>
  </si>
  <si>
    <t>100 PINE AVENUE</t>
  </si>
  <si>
    <t>2025 HAYES AVENUE</t>
  </si>
  <si>
    <t>1985 EAST PERSHING STREET</t>
  </si>
  <si>
    <t>440 LAFAYETTE AVENUE</t>
  </si>
  <si>
    <t>789 STONEYBROOK TRAIL</t>
  </si>
  <si>
    <t>2841 EAST DUBLIN-GRANVILLE ROAD</t>
  </si>
  <si>
    <t>323 FOREST AVENUE</t>
  </si>
  <si>
    <t>22 CLINTON STREET</t>
  </si>
  <si>
    <t>1120 SOUTH DUNAWAY STREET</t>
  </si>
  <si>
    <t>48444 BELL SCHOOL ROAD</t>
  </si>
  <si>
    <t>55 LAZELLE RD</t>
  </si>
  <si>
    <t>865 EAST IRON AVENUE</t>
  </si>
  <si>
    <t>8055 ADDISON ROAD SE</t>
  </si>
  <si>
    <t>7187 ST FRANCIS STREET,  NE</t>
  </si>
  <si>
    <t>175 CHILLICOTHE AVENUE</t>
  </si>
  <si>
    <t>10608 NAVARRE ROAD SW</t>
  </si>
  <si>
    <t>1650 SWAN CREEK LANE</t>
  </si>
  <si>
    <t>3800 BOARDWALK BLVD</t>
  </si>
  <si>
    <t>380 COLONIAL DRIVE</t>
  </si>
  <si>
    <t>2175 LEITER ROAD</t>
  </si>
  <si>
    <t>401 HARMAR STREET</t>
  </si>
  <si>
    <t>327 WEST MAIN STREET</t>
  </si>
  <si>
    <t>4734 GALLIA PIKE</t>
  </si>
  <si>
    <t>849 NORTH AURORA ROAD</t>
  </si>
  <si>
    <t>THREE MERIT DR</t>
  </si>
  <si>
    <t>330 SOUTHWEST AVE</t>
  </si>
  <si>
    <t>9901 JOHNNYCAKE RIDGE RD</t>
  </si>
  <si>
    <t>4910 ALGIRE RD</t>
  </si>
  <si>
    <t>250 DELAWARE ST</t>
  </si>
  <si>
    <t>416 WOOSTER ROAD</t>
  </si>
  <si>
    <t>8881 SCHAEFER ST</t>
  </si>
  <si>
    <t>1318 E MAIN STREET</t>
  </si>
  <si>
    <t>20017 STATE ROUTE 93 SOUTH</t>
  </si>
  <si>
    <t>3550 NORTHFIELD ROAD</t>
  </si>
  <si>
    <t>250 MANOR DRIVE</t>
  </si>
  <si>
    <t>5343 HAMILTON AVENUE</t>
  </si>
  <si>
    <t>6180 STATE ROUTE 83 N</t>
  </si>
  <si>
    <t>8097 HAMILTON AVENUE</t>
  </si>
  <si>
    <t>478 S SANDUSKY ST</t>
  </si>
  <si>
    <t>1420 SMITH KRAMER ROAD</t>
  </si>
  <si>
    <t>841 W MARION RD</t>
  </si>
  <si>
    <t>983 EXCHANGE ST</t>
  </si>
  <si>
    <t>304 HILTY DRIVE</t>
  </si>
  <si>
    <t>510 BUCKEYE STREET</t>
  </si>
  <si>
    <t>230 CONTINENTAL DRIVE</t>
  </si>
  <si>
    <t>208 NORTH CASSEL ROAD</t>
  </si>
  <si>
    <t>1552 NORTH HONEYTOWN ROAD</t>
  </si>
  <si>
    <t>9076 CUMBERLAND ROAD</t>
  </si>
  <si>
    <t>238 SOUTH WASHINGTON STREET</t>
  </si>
  <si>
    <t>6101 N SUMMIT ST</t>
  </si>
  <si>
    <t>4195 HAMILTON MASON ROAD</t>
  </si>
  <si>
    <t>3600 BUTZ RD</t>
  </si>
  <si>
    <t>1125 CLARION AVE</t>
  </si>
  <si>
    <t>730 HILLCREST DRIVE</t>
  </si>
  <si>
    <t>199 COUNTY ROAD 103</t>
  </si>
  <si>
    <t>10204 GRANGER ROAD</t>
  </si>
  <si>
    <t>839 W MAIN STREET</t>
  </si>
  <si>
    <t>2420 LAKE AVENUE</t>
  </si>
  <si>
    <t>11100 EUCLID AVE</t>
  </si>
  <si>
    <t>100 RED OAK DRIVE</t>
  </si>
  <si>
    <t>3291 NORTHPOINTE DRIVE</t>
  </si>
  <si>
    <t>351 LAHM DRIVE</t>
  </si>
  <si>
    <t>100 BERKELEY DRIVE</t>
  </si>
  <si>
    <t>19530 BAGLEY ROAD</t>
  </si>
  <si>
    <t>4650 ROCKY RIVER DR</t>
  </si>
  <si>
    <t>7120 PORT SYLVANIA DRIVE</t>
  </si>
  <si>
    <t>9184 MARKET ST</t>
  </si>
  <si>
    <t>47045 MOORE RIDGE ROAD</t>
  </si>
  <si>
    <t>510 TULLY STREET</t>
  </si>
  <si>
    <t>185 S MAIN ST</t>
  </si>
  <si>
    <t>2841  MUNDING DRIVE</t>
  </si>
  <si>
    <t>6765 STATE ROAD</t>
  </si>
  <si>
    <t>3916 PERKINS AVE</t>
  </si>
  <si>
    <t>214 S MUNSON RD</t>
  </si>
  <si>
    <t>2821 WOODLAWN AVENUE NW</t>
  </si>
  <si>
    <t>3363 RAGGED RIDGE ROAD</t>
  </si>
  <si>
    <t>1451 GAMBIER ROAD</t>
  </si>
  <si>
    <t>1223 MARKET AVENUE N</t>
  </si>
  <si>
    <t>2000 SHERMAN CIRCLE NE</t>
  </si>
  <si>
    <t>10603 DETROIT AVENUE</t>
  </si>
  <si>
    <t>8073 TYLERSVILLE ROAD</t>
  </si>
  <si>
    <t>1406 OAK HARBOR RD</t>
  </si>
  <si>
    <t>1600 PARK AVENUE</t>
  </si>
  <si>
    <t>2311 NAVE ROAD SE</t>
  </si>
  <si>
    <t>100 VISTA DRIVE</t>
  </si>
  <si>
    <t>2026 STATE ROUTE 45</t>
  </si>
  <si>
    <t>580 EAST WASHINGTON STREET</t>
  </si>
  <si>
    <t>14095 E CENTER ST</t>
  </si>
  <si>
    <t>1525 CRATER AVENUE</t>
  </si>
  <si>
    <t>167 NORTH STYGLER ROAD</t>
  </si>
  <si>
    <t>836 WEST 34TH STREET NW</t>
  </si>
  <si>
    <t>2511 BENTLEY DRIVE</t>
  </si>
  <si>
    <t>723 SOUTH SHOOP AVENUE</t>
  </si>
  <si>
    <t>717 NORTH SIXTH STREET</t>
  </si>
  <si>
    <t>404 E MCCREIGHT AVE</t>
  </si>
  <si>
    <t>1001 ALEX BELL ROAD</t>
  </si>
  <si>
    <t>7201 WADE PARK</t>
  </si>
  <si>
    <t>182 ST FRANCIS AVE</t>
  </si>
  <si>
    <t>22199 CENTER RIDGE RD</t>
  </si>
  <si>
    <t>250 CONTINENTAL DRIVE</t>
  </si>
  <si>
    <t>9014 CEDAR AVE</t>
  </si>
  <si>
    <t>2274 MCDERMOTT POND CREEK ROAD</t>
  </si>
  <si>
    <t>1885 N DAYTON LAKEVIEW RD</t>
  </si>
  <si>
    <t>4166 SOMERVILLE RD</t>
  </si>
  <si>
    <t>1802 CRAWFORD RD</t>
  </si>
  <si>
    <t>18840 FALLING WATER</t>
  </si>
  <si>
    <t>158 E MOUND ST</t>
  </si>
  <si>
    <t>1355 CHURCHILL HUBBARD RD</t>
  </si>
  <si>
    <t>1575 BRAINARD RD</t>
  </si>
  <si>
    <t>3 MASONIC DRIVE</t>
  </si>
  <si>
    <t>2320 W COUNTY RD 6</t>
  </si>
  <si>
    <t>136 S MAIN ST</t>
  </si>
  <si>
    <t>5467 CEDAR VILLAGE DRIVE</t>
  </si>
  <si>
    <t>3109 CAMPUS DR</t>
  </si>
  <si>
    <t>1980 LYNN DRIVE</t>
  </si>
  <si>
    <t>12496 PRINCETON RD</t>
  </si>
  <si>
    <t>10731 STATE ROUTE 118</t>
  </si>
  <si>
    <t>6831 NORTH CHESTNUT STREET</t>
  </si>
  <si>
    <t>66731 OLD TWENTY-ONE ROAD</t>
  </si>
  <si>
    <t>3310 ELM RD</t>
  </si>
  <si>
    <t>856 SOUTH RIVERSIDE DRIVE</t>
  </si>
  <si>
    <t>ONE AUDRICH SQUARE</t>
  </si>
  <si>
    <t>1211 W LIMA ST</t>
  </si>
  <si>
    <t>2340 AIRPORT DR</t>
  </si>
  <si>
    <t>31054 STATE ROUTE 93 NORTH</t>
  </si>
  <si>
    <t>213 US ROUTE 250</t>
  </si>
  <si>
    <t>4466 LYNNHAVEN AVENUE NE</t>
  </si>
  <si>
    <t>3399 MILL RUN DRIVE</t>
  </si>
  <si>
    <t>10856 STATE ROUTE 41</t>
  </si>
  <si>
    <t>410 W ELM STREET</t>
  </si>
  <si>
    <t>7220 PIPPIN RD</t>
  </si>
  <si>
    <t>4020 INDIAN RD</t>
  </si>
  <si>
    <t>09 876 COUNTY RD 16</t>
  </si>
  <si>
    <t>3627 HARVEY AVENUE</t>
  </si>
  <si>
    <t>8001 DAYTON SPRINGFIELD ROAD</t>
  </si>
  <si>
    <t>1715 MECHANICSBURG ROAD</t>
  </si>
  <si>
    <t>3904 NORTH BEND ROAD</t>
  </si>
  <si>
    <t>5691 THOMPSON ROAD</t>
  </si>
  <si>
    <t>1346 LINCOLN AVENUE</t>
  </si>
  <si>
    <t>320 ALBANY STREET</t>
  </si>
  <si>
    <t>13900 BENNETT ROAD</t>
  </si>
  <si>
    <t>4070 HAMILTON MASON ROAD</t>
  </si>
  <si>
    <t>233 N MAIN STREET</t>
  </si>
  <si>
    <t>1036 SOUTH PERRY STREET</t>
  </si>
  <si>
    <t>2000 CENTER ST</t>
  </si>
  <si>
    <t>8139 BEECHMONT AVE</t>
  </si>
  <si>
    <t>109 BLOSSOM LANE</t>
  </si>
  <si>
    <t>4880 TUTTLE ROAD</t>
  </si>
  <si>
    <t>603 EAST MAIN STREET</t>
  </si>
  <si>
    <t>2142 NORTH COVE BOULEVARD</t>
  </si>
  <si>
    <t>1280 FRIENDSHIP DRIVE</t>
  </si>
  <si>
    <t>11760 PELLSTON COURT</t>
  </si>
  <si>
    <t>1212 SOUTH ABBE ROAD</t>
  </si>
  <si>
    <t>68637 BANNOCK ROAD</t>
  </si>
  <si>
    <t>50 SOUTH FINDLAY STREET</t>
  </si>
  <si>
    <t>5625 EMERALD RIDGE PARKWAY</t>
  </si>
  <si>
    <t>9027 COLUMBIA ROAD</t>
  </si>
  <si>
    <t>24201 W 3RD ST</t>
  </si>
  <si>
    <t>1800 PRINCETON ROAD</t>
  </si>
  <si>
    <t>456 SEASONS RD</t>
  </si>
  <si>
    <t>2720 ALBON RD</t>
  </si>
  <si>
    <t>325 EAST CENTRAL AVENUE</t>
  </si>
  <si>
    <t>755 OHLTOWN ROAD</t>
  </si>
  <si>
    <t>1035 EAST LINCOLNWAY</t>
  </si>
  <si>
    <t>131 NORTH WHEELING STREET</t>
  </si>
  <si>
    <t>1425 EAST FIFTH STREET</t>
  </si>
  <si>
    <t>51999 GUIRINO DRIVE</t>
  </si>
  <si>
    <t>400 SEXTON STREET</t>
  </si>
  <si>
    <t>2001 PERRYSBURG HOLLAND ROAD</t>
  </si>
  <si>
    <t>825 STATE ROUTE 61</t>
  </si>
  <si>
    <t>6505 MARKET STREET</t>
  </si>
  <si>
    <t>17 FORRY STREET</t>
  </si>
  <si>
    <t>522 WESTERN AVENUE</t>
  </si>
  <si>
    <t>2436 OLD OXFORD ROAD</t>
  </si>
  <si>
    <t>7820 PLEASANTVILLE ROAD</t>
  </si>
  <si>
    <t>300 YANT STREET, NW</t>
  </si>
  <si>
    <t>4805 LANGLEY AVENUE</t>
  </si>
  <si>
    <t>813 1/2 MARION PIKE</t>
  </si>
  <si>
    <t>230 SOUTH CROWN HILL ROAD</t>
  </si>
  <si>
    <t>212 FOURTH STREET</t>
  </si>
  <si>
    <t>1520 HAWTHORNE AVENUE</t>
  </si>
  <si>
    <t>350 HANCOCK AVENUE</t>
  </si>
  <si>
    <t>1171 TOWNE STREET</t>
  </si>
  <si>
    <t>328 WEST SECOND STREET</t>
  </si>
  <si>
    <t>1785 FRESHLEY AVENUE</t>
  </si>
  <si>
    <t>1590 CHARTWELL STREET</t>
  </si>
  <si>
    <t>5640 COX-SMITH ROAD</t>
  </si>
  <si>
    <t>1925 E FOURTH ST</t>
  </si>
  <si>
    <t>451 VALLEY ROAD</t>
  </si>
  <si>
    <t>795 BARDSHAR ROAD</t>
  </si>
  <si>
    <t>6969 GLENMEADOW LANE</t>
  </si>
  <si>
    <t>883 WEST SPRING STREET</t>
  </si>
  <si>
    <t>330 BROADWAY EAST</t>
  </si>
  <si>
    <t>699 EAST COLUMBIA AVENUE</t>
  </si>
  <si>
    <t>1301 MYERS ROAD</t>
  </si>
  <si>
    <t>7000 COCHRAN ROAD</t>
  </si>
  <si>
    <t>430 SOUTH MAPLE STREET</t>
  </si>
  <si>
    <t>7040 HEPBURN ROAD</t>
  </si>
  <si>
    <t>11999 KLINGER AVENUE NE</t>
  </si>
  <si>
    <t>855 STAHLHEBER ROAD</t>
  </si>
  <si>
    <t>322 SOUTH CHARITY STREET</t>
  </si>
  <si>
    <t>201 BUCKEYE STREET</t>
  </si>
  <si>
    <t>2901 FAIR ROAD</t>
  </si>
  <si>
    <t>422 NORTH BURNETT ROAD</t>
  </si>
  <si>
    <t>540 GREAT OAKS TRAIL</t>
  </si>
  <si>
    <t>1500 SHERMAN AVENUE</t>
  </si>
  <si>
    <t>1251 EAST MAIN STREET</t>
  </si>
  <si>
    <t>4931 NETTLETON ROAD</t>
  </si>
  <si>
    <t>575 LOVERS LANE</t>
  </si>
  <si>
    <t>9640 SYLVANIA-METAMORA ROAD</t>
  </si>
  <si>
    <t>1122 TAYLOR STREET</t>
  </si>
  <si>
    <t>2150 MONTEGO DRIVE</t>
  </si>
  <si>
    <t>100 WILLOW BROOK WAY, SOUTH</t>
  </si>
  <si>
    <t>13093 INFIRMARY ROAD</t>
  </si>
  <si>
    <t>10680 STEINER ROAD</t>
  </si>
  <si>
    <t>102 BOYCE DRIVE</t>
  </si>
  <si>
    <t>75 KIMES LANE</t>
  </si>
  <si>
    <t>8028 HAMILTON AVENUE</t>
  </si>
  <si>
    <t>901 EAST MAIN STREET</t>
  </si>
  <si>
    <t>245 SOUTH BROADWAY</t>
  </si>
  <si>
    <t>130 BUENA VISTA STREET</t>
  </si>
  <si>
    <t>600 JOE E BROWN ROAD</t>
  </si>
  <si>
    <t>3875 EAST GALBRAITH ROAD</t>
  </si>
  <si>
    <t>4100 NORTH RIVER ROAD</t>
  </si>
  <si>
    <t>433 OBETZ ROAD</t>
  </si>
  <si>
    <t>5166 SPANSON DRIVE SE</t>
  </si>
  <si>
    <t>400 CARRIE AVENUE</t>
  </si>
  <si>
    <t>1010 TAYWOOD ROAD</t>
  </si>
  <si>
    <t>264 MOHICAN STREET NE</t>
  </si>
  <si>
    <t>335 TOWNSHIP ROAD 1026</t>
  </si>
  <si>
    <t>13315 DETROIT AVE</t>
  </si>
  <si>
    <t>290 NORTH COMMONS BLVD</t>
  </si>
  <si>
    <t>4748 OLDE PUMP STREET</t>
  </si>
  <si>
    <t>7830 N ST HWY 199 RR2</t>
  </si>
  <si>
    <t>87 STALEY ROAD</t>
  </si>
  <si>
    <t>7055 HIGH MILL AVENUE NW</t>
  </si>
  <si>
    <t>4800 CLAGUE ROAD</t>
  </si>
  <si>
    <t>8420 GEORGETOWN ROAD</t>
  </si>
  <si>
    <t>150 CLEVELAND STREET</t>
  </si>
  <si>
    <t>10267 NORTHFIELD ROAD</t>
  </si>
  <si>
    <t>2350 SOUTH CHERRY STREET</t>
  </si>
  <si>
    <t>4285 KENT RD</t>
  </si>
  <si>
    <t>6832 CONVENT BOULEVARD</t>
  </si>
  <si>
    <t>615 LATHAM LN</t>
  </si>
  <si>
    <t>200 EAST GLENDOLA AVENUE</t>
  </si>
  <si>
    <t>6727 CONTRERAS ROAD</t>
  </si>
  <si>
    <t>1610 FIRST STREET NE</t>
  </si>
  <si>
    <t>60583 STATE ROUTE 7</t>
  </si>
  <si>
    <t>1136 ADAIR AVENUE</t>
  </si>
  <si>
    <t>3434 STATE ROUTE 132</t>
  </si>
  <si>
    <t>970 SUMNER PARKWAY</t>
  </si>
  <si>
    <t>407 E LUTZ RD</t>
  </si>
  <si>
    <t>300 ASTORIA ROAD</t>
  </si>
  <si>
    <t>4035 INDIAN ROAD</t>
  </si>
  <si>
    <t>205 ROHR AVENUE NW</t>
  </si>
  <si>
    <t>196 COLONIAL DRIVE</t>
  </si>
  <si>
    <t>102 EAST SILVER STREET</t>
  </si>
  <si>
    <t>1650 ALLENTOWN ROAD</t>
  </si>
  <si>
    <t>7006 FULTON DRIVE, NW</t>
  </si>
  <si>
    <t>4531 COLUMBUS ROAD</t>
  </si>
  <si>
    <t>2550 CLEVELAND AVENUE NW</t>
  </si>
  <si>
    <t>7235 HERITAGESPRING DRIVE</t>
  </si>
  <si>
    <t>3500 SHILOH SPRINGS ROAD</t>
  </si>
  <si>
    <t>111 LAZELLE ROAD EAST</t>
  </si>
  <si>
    <t>400 BARKS ROAD WEST</t>
  </si>
  <si>
    <t>4121 KING ROAD</t>
  </si>
  <si>
    <t>500 SELFRIDGE STREET</t>
  </si>
  <si>
    <t>8902 DETROIT AVE</t>
  </si>
  <si>
    <t>709 ARMSTRONG LANE</t>
  </si>
  <si>
    <t>26 NORTH UNION STREET</t>
  </si>
  <si>
    <t>930 SOUTH WYNN ROAD</t>
  </si>
  <si>
    <t>740 CANONBY PLACE</t>
  </si>
  <si>
    <t>2158 COLUMBUS ROAD</t>
  </si>
  <si>
    <t>PO BOX 190</t>
  </si>
  <si>
    <t>476 RIDDLE ROAD</t>
  </si>
  <si>
    <t>5320 HARROUN ROAD</t>
  </si>
  <si>
    <t>4291 RICHMOND RD</t>
  </si>
  <si>
    <t>9840 MONTGOMERY ROAD</t>
  </si>
  <si>
    <t>10111 SIMONSON ROAD</t>
  </si>
  <si>
    <t>4557 QUICK RD</t>
  </si>
  <si>
    <t>205 EAST MAIN STREET</t>
  </si>
  <si>
    <t>3416 COLUMBUS AVE</t>
  </si>
  <si>
    <t>1140 SOUTH BROADWAY</t>
  </si>
  <si>
    <t>779 GLENDALE MILFORD ROAD</t>
  </si>
  <si>
    <t>1011 NORTH BYRNE ROAD</t>
  </si>
  <si>
    <t>1525 EAST WESTERN RESERVE ROAD</t>
  </si>
  <si>
    <t>250 CADIZ ROAD</t>
  </si>
  <si>
    <t>3464 SPRINGDALE ROAD</t>
  </si>
  <si>
    <t>8067 TOWNSHIP ROAD 334</t>
  </si>
  <si>
    <t>626 34TH STREET, NW</t>
  </si>
  <si>
    <t>5200 MARYMOUNT VILLAGE DRIVE</t>
  </si>
  <si>
    <t>430 N BROADWAY ST</t>
  </si>
  <si>
    <t>11900 FAIRHILL ROAD</t>
  </si>
  <si>
    <t>142 UNIVERSITY DRIVE</t>
  </si>
  <si>
    <t>303 NORTH MECCA STREET</t>
  </si>
  <si>
    <t>340 OAK STREET</t>
  </si>
  <si>
    <t>876 S GEYERS CHAPEL ROAD</t>
  </si>
  <si>
    <t>35755 DETROIT ROAD</t>
  </si>
  <si>
    <t>9055 WEST SPRAGUE ROAD</t>
  </si>
  <si>
    <t>2610 EAST AURORA ROAD</t>
  </si>
  <si>
    <t>11784 HAMILTON AVENUE</t>
  </si>
  <si>
    <t>1650 STATE ROUTE 28</t>
  </si>
  <si>
    <t>14900 PRIVATE DR</t>
  </si>
  <si>
    <t>2003 VETERANS BLVD</t>
  </si>
  <si>
    <t>100 MICHELLI STREET</t>
  </si>
  <si>
    <t>7400 HAZELTON ETNA ROAD SW</t>
  </si>
  <si>
    <t>3525 - 3533 RIVERS EDGE DRIVE</t>
  </si>
  <si>
    <t>1867 EAST 82ND STREET</t>
  </si>
  <si>
    <t>9400 NORTH SHORE BLVD</t>
  </si>
  <si>
    <t>4110 ROCKY RIVER DRIVE</t>
  </si>
  <si>
    <t>119 WEST HIGH STREET</t>
  </si>
  <si>
    <t>5069 OTTERBEIN WAY</t>
  </si>
  <si>
    <t>27705 WESTCHESTER PARKWAY</t>
  </si>
  <si>
    <t>500 STANTON BOULEVARD</t>
  </si>
  <si>
    <t>11230 PIPPIN ROAD</t>
  </si>
  <si>
    <t>101 AUXILIARY DRIVE</t>
  </si>
  <si>
    <t>840 SHERMAN STREET</t>
  </si>
  <si>
    <t>6725 THRUSH DRIVE</t>
  </si>
  <si>
    <t>9320 AVALON CIRCLE</t>
  </si>
  <si>
    <t>14100 ZION ROAD</t>
  </si>
  <si>
    <t>900 WEDGEWOOD CIRCLE</t>
  </si>
  <si>
    <t>444 NORTH MAIN STREET</t>
  </si>
  <si>
    <t>383 OPPORTUNITY WAY</t>
  </si>
  <si>
    <t>28450 WESTLAKE VILLAGE DRIVE</t>
  </si>
  <si>
    <t>4660 TRUEMAN BLVD</t>
  </si>
  <si>
    <t>5250 WINDSOR WAY</t>
  </si>
  <si>
    <t>105 ATRIUM DRIVE</t>
  </si>
  <si>
    <t>562 RICHMOND ROAD</t>
  </si>
  <si>
    <t>100 COVINGTON DRIVE</t>
  </si>
  <si>
    <t>16695 CHILLICOTHE ROAD</t>
  </si>
  <si>
    <t>4900 BABSON PLACE</t>
  </si>
  <si>
    <t>1242 CRESCENT DRIVE</t>
  </si>
  <si>
    <t>2300 CENTER ROAD</t>
  </si>
  <si>
    <t>2187 OVERLOOK ROAD</t>
  </si>
  <si>
    <t>600 WEST NATIONAL ROAD</t>
  </si>
  <si>
    <t>9928 VAIL DRIVE</t>
  </si>
  <si>
    <t>3999 ERIE AVENUE</t>
  </si>
  <si>
    <t>4787 TREMONT CLUB DRIVE</t>
  </si>
  <si>
    <t>4000 SINGING HILLS BVLD</t>
  </si>
  <si>
    <t>8700 MORAN ROAD</t>
  </si>
  <si>
    <t>14801 HOLLAND ROAD</t>
  </si>
  <si>
    <t>3537 12TH STREET, NW</t>
  </si>
  <si>
    <t>14976 BURBANK ROAD</t>
  </si>
  <si>
    <t>201 MARGE SCHOTT WAY</t>
  </si>
  <si>
    <t>4120 INTERCHANGE CORPORATE CENTER ROAD</t>
  </si>
  <si>
    <t>8757 BRECKSVILLE ROAD</t>
  </si>
  <si>
    <t>70 COLUMBUS CIRCLE</t>
  </si>
  <si>
    <t>1126 ADAIR AVENUE</t>
  </si>
  <si>
    <t>3210 WEST FORK ROAD</t>
  </si>
  <si>
    <t>3854 PARK OVERLOOKE DRIVE</t>
  </si>
  <si>
    <t>1069 KLOTZ ROAD</t>
  </si>
  <si>
    <t>101 WILLOW RIDGE DRIVE</t>
  </si>
  <si>
    <t>186 WEST BATH ROAD</t>
  </si>
  <si>
    <t>1212 WEST BARLOW ROAD</t>
  </si>
  <si>
    <t>1761 BEALL AVENUE</t>
  </si>
  <si>
    <t>6935 MONCLOVA ROAD</t>
  </si>
  <si>
    <t>699 EAST SMITH ROAD</t>
  </si>
  <si>
    <t>776 OLD STATE ROUTE 74</t>
  </si>
  <si>
    <t>345 EAST BOUNDARY STREET</t>
  </si>
  <si>
    <t>12469 FIVE POINT ROAD</t>
  </si>
  <si>
    <t>2225 TAYLOR PARK DRIVE</t>
  </si>
  <si>
    <t>1135 GAMBIER ROAD</t>
  </si>
  <si>
    <t>2971 MAPLE AVENUE</t>
  </si>
  <si>
    <t>8212 NORTH MAIN STREET</t>
  </si>
  <si>
    <t>175 CAPE MAY DRIVE</t>
  </si>
  <si>
    <t>1800 SINCLAIR AVENUE</t>
  </si>
  <si>
    <t>201 COURTHOUSE PARKWAY</t>
  </si>
  <si>
    <t>4075 WEST DUBLIN-GRANVILLE ROAD</t>
  </si>
  <si>
    <t>8551 DARROW ROAD</t>
  </si>
  <si>
    <t>695 WYCLIFFE DRIVE</t>
  </si>
  <si>
    <t>409 WARDS CORNER ROAD</t>
  </si>
  <si>
    <t>1545 FANGBONER RD</t>
  </si>
  <si>
    <t>147 PUTNAM PARKWAY</t>
  </si>
  <si>
    <t>6690 LIBERATION WAY</t>
  </si>
  <si>
    <t>708 MOORE ROAD</t>
  </si>
  <si>
    <t>37845 COLORADO AVENUE</t>
  </si>
  <si>
    <t>8440 LIVINGSTON ROAD</t>
  </si>
  <si>
    <t>20770 LORAIN ROAD</t>
  </si>
  <si>
    <t>402 LIBERTY WAY</t>
  </si>
  <si>
    <t>425 SOUTH CHILLICOTHE ROAD</t>
  </si>
  <si>
    <t>11501 HAMILTON AVENUE</t>
  </si>
  <si>
    <t>775 SOUTH STREET</t>
  </si>
  <si>
    <t>5000 SOWUL BOULEVARD</t>
  </si>
  <si>
    <t>4500 JOHN SHIELD PKWY</t>
  </si>
  <si>
    <t>900 17TH STREET</t>
  </si>
  <si>
    <t>1900 NORTH 14TH STREET</t>
  </si>
  <si>
    <t>905 SOUTH MAIN STREET</t>
  </si>
  <si>
    <t>430 NORTH MONTE VISTA</t>
  </si>
  <si>
    <t>1200 EAST PECAN ST</t>
  </si>
  <si>
    <t>100 NORTH 30TH STREET</t>
  </si>
  <si>
    <t>400 EAST CHESTNUT STREET</t>
  </si>
  <si>
    <t>1202 N MUSKOGEE PLACE</t>
  </si>
  <si>
    <t>105 WALL STREET</t>
  </si>
  <si>
    <t>700 W. 7TH STREET</t>
  </si>
  <si>
    <t>319 EAST JOSEPHINE</t>
  </si>
  <si>
    <t>2220 IOWA STREET</t>
  </si>
  <si>
    <t>1401 MORRIS DRIVE</t>
  </si>
  <si>
    <t>735 NORTH FOREMAN</t>
  </si>
  <si>
    <t>800 SHARE DRIVE</t>
  </si>
  <si>
    <t>510 EAST MAIN STREET</t>
  </si>
  <si>
    <t>5602 SOUTHWEST LEE BOULEVARD</t>
  </si>
  <si>
    <t>911 HOSPITAL DRIVE</t>
  </si>
  <si>
    <t>213 EAST REDWOOD</t>
  </si>
  <si>
    <t>501 FOURTEENTH STREET</t>
  </si>
  <si>
    <t>429 WEST ELM STREET</t>
  </si>
  <si>
    <t>100 VALLEY DRIVE</t>
  </si>
  <si>
    <t>1500 NORTH GREEN AVENUE</t>
  </si>
  <si>
    <t>1401 WEST LOCUST</t>
  </si>
  <si>
    <t>2401 W MAIN DEWEY</t>
  </si>
  <si>
    <t>2401 WRANGLER BOULEVARD</t>
  </si>
  <si>
    <t>6202 EAST 61ST STREET</t>
  </si>
  <si>
    <t>ONE CLARK BASS BLVD</t>
  </si>
  <si>
    <t>600 SOUTH MONROE STREET</t>
  </si>
  <si>
    <t>1407 WHISENNANT DRIVE</t>
  </si>
  <si>
    <t>2425 SOUTH MEMORIAL</t>
  </si>
  <si>
    <t>2900 PARKLAWN DRIVE</t>
  </si>
  <si>
    <t>905 BEALL ROAD</t>
  </si>
  <si>
    <t>940 SOUTHWEST 84TH STREET</t>
  </si>
  <si>
    <t>7000 NORTHWEST 32ND STREET</t>
  </si>
  <si>
    <t>1244 WOODLAND LOOP DRIVE</t>
  </si>
  <si>
    <t>3434 KENTUCKY PLACE</t>
  </si>
  <si>
    <t>1901 PARKVIEW DRIVE</t>
  </si>
  <si>
    <t>103 HAR-BER ROAD</t>
  </si>
  <si>
    <t>1100 WEST GEORGIA</t>
  </si>
  <si>
    <t>13500 BRANDON PLACE</t>
  </si>
  <si>
    <t>201 48TH AVENUE SOUTHWEST</t>
  </si>
  <si>
    <t>1305 SOUTHEAST ADAMS</t>
  </si>
  <si>
    <t>614 CHERRY STREET</t>
  </si>
  <si>
    <t>3401 WEST  GORE</t>
  </si>
  <si>
    <t>500 SOUTH YORK</t>
  </si>
  <si>
    <t>1201 DIERKS STREET</t>
  </si>
  <si>
    <t>5600 SOUTH WALKER</t>
  </si>
  <si>
    <t>321 SOUTHEAST 2ND STREET</t>
  </si>
  <si>
    <t>2400 WEST MODELLE</t>
  </si>
  <si>
    <t>2300 IOWA AVENUE</t>
  </si>
  <si>
    <t>1622 EAST BROADWAY</t>
  </si>
  <si>
    <t>1700 EAST 141ST  STREET</t>
  </si>
  <si>
    <t>430 BARTLES ROAD</t>
  </si>
  <si>
    <t>2400 SOUTHWEST 55TH STREET</t>
  </si>
  <si>
    <t>1921 NORTHEAST 21ST STREET</t>
  </si>
  <si>
    <t>2520 SOUTH RANKIN</t>
  </si>
  <si>
    <t>5800 WEST OKMULGEE</t>
  </si>
  <si>
    <t>1811 9TH STREET NORTHWEST</t>
  </si>
  <si>
    <t>700 WEST JONES</t>
  </si>
  <si>
    <t>1501 CLAYTON AVENUE</t>
  </si>
  <si>
    <t>1340 EAST 61ST STREET</t>
  </si>
  <si>
    <t>1709 SOUTH MAIN</t>
  </si>
  <si>
    <t>5170 SOUTH VANDALIA</t>
  </si>
  <si>
    <t>615 EAST REDWOOD</t>
  </si>
  <si>
    <t>841 NORTH 38TH STREET</t>
  </si>
  <si>
    <t>810 EAST CALIFORNIA</t>
  </si>
  <si>
    <t>1215 WEST 10TH STREET</t>
  </si>
  <si>
    <t>410 NORTH 30TH STREET</t>
  </si>
  <si>
    <t>1400 NORTHWEST 122ND STREET</t>
  </si>
  <si>
    <t>1201 NORTH VINITA AVENUE</t>
  </si>
  <si>
    <t>400 SOUTH SCOTT STREET</t>
  </si>
  <si>
    <t>200 HOME STREET</t>
  </si>
  <si>
    <t>505 EAST WILSHIRE BLVD</t>
  </si>
  <si>
    <t>3500 HASKELL BLVD</t>
  </si>
  <si>
    <t>1100 NORTH ASH STREET</t>
  </si>
  <si>
    <t>2024 TURNER ROAD</t>
  </si>
  <si>
    <t>429 E DOWNS AVENUE</t>
  </si>
  <si>
    <t>801 HWY 48 NORTH</t>
  </si>
  <si>
    <t>1103 WEST CHEROKEE</t>
  </si>
  <si>
    <t>320 CAREY STREET</t>
  </si>
  <si>
    <t>3233 NORTHWEST 10TH STREET</t>
  </si>
  <si>
    <t>600 24TH AVENUE SOUTHWEST</t>
  </si>
  <si>
    <t>824 SOUTH YUKON PARKWAY</t>
  </si>
  <si>
    <t>2154 SOUTH 85TH EAST AVENUE</t>
  </si>
  <si>
    <t>1306 EAST COLLEGE</t>
  </si>
  <si>
    <t>808 NORTHWEST M L KING AVENUE</t>
  </si>
  <si>
    <t>310 BROOKSIDE DRIVE</t>
  </si>
  <si>
    <t>1212 FOUR SEASONS DRIVE</t>
  </si>
  <si>
    <t>801 NORTH 193 EAST AVENUE</t>
  </si>
  <si>
    <t>815 NORTH COUNTRY CLUB ROAD</t>
  </si>
  <si>
    <t>1501 NORTH 8TH STREET</t>
  </si>
  <si>
    <t>1202 WEST GILMORE</t>
  </si>
  <si>
    <t>8200 NATIONAL AVENUE</t>
  </si>
  <si>
    <t>2316 MODELLE</t>
  </si>
  <si>
    <t>832 ISABEL SOUTHWEST</t>
  </si>
  <si>
    <t>959 SOUTHWEST 107TH STREET</t>
  </si>
  <si>
    <t>401 SOUTH MAIN</t>
  </si>
  <si>
    <t>111 WALNUT DRIVE</t>
  </si>
  <si>
    <t>201 WEST 5TH STREET</t>
  </si>
  <si>
    <t>6501 NORTH MACARTHUR</t>
  </si>
  <si>
    <t>113 EAST JONES</t>
  </si>
  <si>
    <t>709 NORTH LOWE</t>
  </si>
  <si>
    <t>310 WEST TAFT</t>
  </si>
  <si>
    <t>1025 NORTH ADAMS</t>
  </si>
  <si>
    <t>801 NORTH 6TH STREET</t>
  </si>
  <si>
    <t>1415 WEST 15TH STREET</t>
  </si>
  <si>
    <t>1153 CHEROKEE STREET</t>
  </si>
  <si>
    <t>318 SOUTH CHERRY</t>
  </si>
  <si>
    <t>503 SOUTH MAIN STREET</t>
  </si>
  <si>
    <t>1320 NORTHEAST 1ST PLACE</t>
  </si>
  <si>
    <t>1400 WEST FIRST STREET</t>
  </si>
  <si>
    <t>30049 EAST 151ST STREET SOUTH</t>
  </si>
  <si>
    <t>1400 NORTH COLLEGE</t>
  </si>
  <si>
    <t>301 C E COLSTON DRIVE</t>
  </si>
  <si>
    <t>7 NORTH COVINGTON</t>
  </si>
  <si>
    <t>511 EAST MAIN</t>
  </si>
  <si>
    <t>900 EAST AIRPORT ROAD</t>
  </si>
  <si>
    <t>SIXTH &amp; WOODLAND</t>
  </si>
  <si>
    <t>411 NORTH WEST STREET</t>
  </si>
  <si>
    <t>319 NORTH OWEN WALTERS BLVD</t>
  </si>
  <si>
    <t>1504 NORTH CEDAR AVENUE</t>
  </si>
  <si>
    <t>505 SOUTH 7TH STREET</t>
  </si>
  <si>
    <t>500 NORTH DAWSON STREET</t>
  </si>
  <si>
    <t>600 WEST FRONTAGE ROAD</t>
  </si>
  <si>
    <t>FIRST &amp; EMMERT STREET</t>
  </si>
  <si>
    <t>205 EAST POPLAR</t>
  </si>
  <si>
    <t>2120 NORTH BROADWAY</t>
  </si>
  <si>
    <t>2200 NORTH LYLE ROAD</t>
  </si>
  <si>
    <t>422 WEST LOCUST STREET</t>
  </si>
  <si>
    <t>210 SOUTH ADAIR</t>
  </si>
  <si>
    <t>2530 NORTH ELM STREET</t>
  </si>
  <si>
    <t>1530 NORTHEAST GRAND BLVD</t>
  </si>
  <si>
    <t>1001 SOUTH GEORGE NIGH EXPRESSWAY</t>
  </si>
  <si>
    <t>HIGHWAY 64 EAST</t>
  </si>
  <si>
    <t>105 WASHINGTON</t>
  </si>
  <si>
    <t>8515 NORTH 123RD EAST AVENUE</t>
  </si>
  <si>
    <t>404 EAST CIMARRON</t>
  </si>
  <si>
    <t>701 SOUTH 8TH STREET</t>
  </si>
  <si>
    <t>6500 NORTH PORTLAND AVENUE</t>
  </si>
  <si>
    <t>1705 BOREN BLVD</t>
  </si>
  <si>
    <t>5115 EAST 51ST STREET</t>
  </si>
  <si>
    <t>1119 EAST OWEN K GARRIOTT ROAD</t>
  </si>
  <si>
    <t>436 SOUTH JOE</t>
  </si>
  <si>
    <t>711 NORTH 5TH STREET</t>
  </si>
  <si>
    <t>3003 IOWA</t>
  </si>
  <si>
    <t>1100 OAK RIDGE DRIVE</t>
  </si>
  <si>
    <t>2500 SOUTH 12TH STREET</t>
  </si>
  <si>
    <t>5725 SOUTH ROSS</t>
  </si>
  <si>
    <t>1503 WEST HAR-BER ROAD</t>
  </si>
  <si>
    <t>721 WEST OLIVE</t>
  </si>
  <si>
    <t>205 NORTH LINCOLN AVENUE</t>
  </si>
  <si>
    <t>1008 ARKANSAS STREET</t>
  </si>
  <si>
    <t>400 SOUTHWEST O STREET</t>
  </si>
  <si>
    <t>1103 BIRCH STREET</t>
  </si>
  <si>
    <t>419 EAST OKLAHOMA</t>
  </si>
  <si>
    <t>920 EAST 16TH STREET</t>
  </si>
  <si>
    <t>602 NORTH  M STREET</t>
  </si>
  <si>
    <t>1401 4TH STREET</t>
  </si>
  <si>
    <t>604 LAKE MURRAY DRIVE</t>
  </si>
  <si>
    <t>9700 MASHBURN BLVD</t>
  </si>
  <si>
    <t>12600 EAST 73RD STREET NORTH</t>
  </si>
  <si>
    <t>1913 NORTHEAST 50TH STREET</t>
  </si>
  <si>
    <t>1220 EAST ELECTRIC BLVD</t>
  </si>
  <si>
    <t>200 WEST PARKLAND AVENUE</t>
  </si>
  <si>
    <t>564 STATE LINE ROAD</t>
  </si>
  <si>
    <t>1300 NORTH DRIVE</t>
  </si>
  <si>
    <t>1100 EAST STREET NORTHEAST</t>
  </si>
  <si>
    <t>10912 EAST 14TH STREET</t>
  </si>
  <si>
    <t>1200 WEST FINLEY</t>
  </si>
  <si>
    <t>4300 WEST HOUSTON</t>
  </si>
  <si>
    <t>1630 3RD AVENUE NORTHEAST</t>
  </si>
  <si>
    <t>701 SOUTH TAYLOR ROAD</t>
  </si>
  <si>
    <t>1033 HOSPITAL ROAD</t>
  </si>
  <si>
    <t>5701 WEST BRITTON ROAD</t>
  </si>
  <si>
    <t>1223 WEST BALTIMORE</t>
  </si>
  <si>
    <t>516 NORTH BROADWAY</t>
  </si>
  <si>
    <t>2301 BELL AVENUE</t>
  </si>
  <si>
    <t>2416 NORTH ANN ARBOR</t>
  </si>
  <si>
    <t>1300 WEST LINDSAY</t>
  </si>
  <si>
    <t>1210 SOUTH 6TH STREET</t>
  </si>
  <si>
    <t>200 NORTH EASTON</t>
  </si>
  <si>
    <t>1515 CANTERBURY BLVD</t>
  </si>
  <si>
    <t>2400 WHITES MEADOW DRIVE</t>
  </si>
  <si>
    <t>5801 NORTH OAKWOOD ROAD</t>
  </si>
  <si>
    <t>1165 SOUTH BRENNER ROAD</t>
  </si>
  <si>
    <t>106 WEST ADAMS</t>
  </si>
  <si>
    <t>1110 SOUTH CORNWELL DRIVE</t>
  </si>
  <si>
    <t>6312 NORTH PORTLAND</t>
  </si>
  <si>
    <t>405 NORTH CHOCTAW</t>
  </si>
  <si>
    <t>226 EAST MONROE STREET</t>
  </si>
  <si>
    <t>1415 SOUTH MAIN STREET</t>
  </si>
  <si>
    <t>1215 SOUTH WESTERN</t>
  </si>
  <si>
    <t>1200 WRANGLER BLVD</t>
  </si>
  <si>
    <t>76 WEST  RACHEL STREET</t>
  </si>
  <si>
    <t>112 NORTH WOODY GUTHRIE</t>
  </si>
  <si>
    <t>3601 NORTH COLUMBIA</t>
  </si>
  <si>
    <t>2200 COLTRANE ROAD</t>
  </si>
  <si>
    <t>300 SOUTH SEMINOLE</t>
  </si>
  <si>
    <t>1205 SOUTH 4TH STREET</t>
  </si>
  <si>
    <t>711 SOUTH BROADWAY</t>
  </si>
  <si>
    <t>MERIDIAN ROAD ROUTE 2 BOX 335</t>
  </si>
  <si>
    <t>605 EAST STATE ROAD</t>
  </si>
  <si>
    <t>104 SOUTHEAST 4TH STREET</t>
  </si>
  <si>
    <t>100 WEST GREEN AVENUE</t>
  </si>
  <si>
    <t>7019 NORTHWEST CACHE ROAD</t>
  </si>
  <si>
    <t>535 WEST FEDERAL STREET</t>
  </si>
  <si>
    <t>305 NORTH THORNTON</t>
  </si>
  <si>
    <t>204 WEST FIRST STREET</t>
  </si>
  <si>
    <t>2300 WEST NOBLE</t>
  </si>
  <si>
    <t>701 HIGHWAY 32</t>
  </si>
  <si>
    <t>6201 EAST 36TH STREET</t>
  </si>
  <si>
    <t>1400 NORTH WAVERLY</t>
  </si>
  <si>
    <t>915 NORTH 7TH AVENUE</t>
  </si>
  <si>
    <t>900 NORTH DIVISION</t>
  </si>
  <si>
    <t>201 WEST WALNUT</t>
  </si>
  <si>
    <t>2100 TOWNSEND DRIVE</t>
  </si>
  <si>
    <t>400 NORTH BROADWAY</t>
  </si>
  <si>
    <t>1120 ILLINOIS</t>
  </si>
  <si>
    <t>225 SOUTHWEST 35TH STREET</t>
  </si>
  <si>
    <t>4134 EAST 31ST STREET</t>
  </si>
  <si>
    <t>1400 SOUTH MAIN STREET</t>
  </si>
  <si>
    <t>1409 NORTH 17TH STREET</t>
  </si>
  <si>
    <t>502 WEST PINE</t>
  </si>
  <si>
    <t>6800 SOUTH GRANITE AVENUE</t>
  </si>
  <si>
    <t>1050 RAMBLING OAKS DRIVE</t>
  </si>
  <si>
    <t>107 EAST BARCLAY</t>
  </si>
  <si>
    <t>1413 SOUTH CHICKASAW</t>
  </si>
  <si>
    <t>931 NORTH COUNTRY CLUB ROAD</t>
  </si>
  <si>
    <t>1815 EAST SKELLY DRIVE</t>
  </si>
  <si>
    <t>PINE &amp; BRISTOW</t>
  </si>
  <si>
    <t>282 COUNTY ROAD 6300</t>
  </si>
  <si>
    <t>3333 EAST 28TH STREET</t>
  </si>
  <si>
    <t>101 SHERRARD DRIVE</t>
  </si>
  <si>
    <t>601 WEST 1ST STREET</t>
  </si>
  <si>
    <t>530 SOUTH LINWOOD</t>
  </si>
  <si>
    <t>18501 NORTHEAST 63RD STREET</t>
  </si>
  <si>
    <t>14901 NORTH PENN AVENUE</t>
  </si>
  <si>
    <t>822 WEST OSAGE</t>
  </si>
  <si>
    <t>1100 MEMORIAL DRIVE</t>
  </si>
  <si>
    <t>3800 WEST 71ST STREET SOUTH</t>
  </si>
  <si>
    <t>300 WEST WASHINGTON</t>
  </si>
  <si>
    <t>301 NORTH GARRETT</t>
  </si>
  <si>
    <t>208 EAST SANDERSON STREET</t>
  </si>
  <si>
    <t>1228 SOUTH PECAN</t>
  </si>
  <si>
    <t>411 S 4TH STREET</t>
  </si>
  <si>
    <t>39 EAST 33RD STREET</t>
  </si>
  <si>
    <t>705 EAST 3RD STREET</t>
  </si>
  <si>
    <t>1307 R D MILLER DRIVE</t>
  </si>
  <si>
    <t>615 EAST MORRIS STREET</t>
  </si>
  <si>
    <t>301 SOUTH OAKWOOD ROAD</t>
  </si>
  <si>
    <t>2552 EAST 21ST STREET</t>
  </si>
  <si>
    <t>702 SOUTH 9TH</t>
  </si>
  <si>
    <t>301 BROADWAY</t>
  </si>
  <si>
    <t>1001 HERITAGE WAY</t>
  </si>
  <si>
    <t>1200 WEST CANADIAN AVENUE</t>
  </si>
  <si>
    <t>1701 EAST 6TH STREET</t>
  </si>
  <si>
    <t>1904 NORTH HIGHWAY 81</t>
  </si>
  <si>
    <t>800 ARAPAHO AVENUE</t>
  </si>
  <si>
    <t>1402 NORTHWEST 7TH STREET</t>
  </si>
  <si>
    <t>906 NORTH BLVD</t>
  </si>
  <si>
    <t>2800 NORTH HICKORY STREET</t>
  </si>
  <si>
    <t>1410 NORTH CHOCTAW</t>
  </si>
  <si>
    <t>3804 NORTH BARR</t>
  </si>
  <si>
    <t>2300 WEST BROADWAY</t>
  </si>
  <si>
    <t>2610 CEDAR CREEK DRIVE</t>
  </si>
  <si>
    <t>1209 WEST MAIN</t>
  </si>
  <si>
    <t>1610 NORTH BRYAN AVENUE</t>
  </si>
  <si>
    <t>1700 NORTHWEST FORT SILL BLVD</t>
  </si>
  <si>
    <t>6912 NORTHWEST 23RD STREET</t>
  </si>
  <si>
    <t>315 WEST ELECTRIC AVENUE</t>
  </si>
  <si>
    <t>38801 HARDESTY ROAD</t>
  </si>
  <si>
    <t>632 SOUTHEAST 3RD STREET</t>
  </si>
  <si>
    <t>12 EAST CONNER</t>
  </si>
  <si>
    <t>7707 WEST BRITTON ROAD</t>
  </si>
  <si>
    <t>1061 NORTH ACCESS ROAD</t>
  </si>
  <si>
    <t>2801 NORTHWEST 61ST STREET</t>
  </si>
  <si>
    <t>1601 ACADEMY ROAD</t>
  </si>
  <si>
    <t>102 EAST LINE</t>
  </si>
  <si>
    <t>916 NOBLE</t>
  </si>
  <si>
    <t>17110 EAST 51ST STREET</t>
  </si>
  <si>
    <t>1401 NORTH LELIA</t>
  </si>
  <si>
    <t>1410 WEST WILLOW ROAD</t>
  </si>
  <si>
    <t>3501 W WASHINGTON</t>
  </si>
  <si>
    <t>6TH AND HIGHWAY 69</t>
  </si>
  <si>
    <t>801 NORTH  WASHINGTON</t>
  </si>
  <si>
    <t>8555 SOUTH LEWIS AVENUE</t>
  </si>
  <si>
    <t>HIGHWAY 152, BOX 465</t>
  </si>
  <si>
    <t>720 NORTH GALENA</t>
  </si>
  <si>
    <t>9221 HARMONY DRIVE</t>
  </si>
  <si>
    <t>103 SOUTHWEST 9TH STREET</t>
  </si>
  <si>
    <t>2333 TUSCANY BLVD</t>
  </si>
  <si>
    <t>1310 EAST CLEVELAND</t>
  </si>
  <si>
    <t>7604 QUANAH PARKER TRAILWAY</t>
  </si>
  <si>
    <t>2701 SOUTH 9TH STREET</t>
  </si>
  <si>
    <t>1500 SOUTH VIRGINIA STREET</t>
  </si>
  <si>
    <t>402 SOUTHEAST 6TH STREET</t>
  </si>
  <si>
    <t>111 13TH AVENUE NORTHWEST</t>
  </si>
  <si>
    <t>619 SPECK</t>
  </si>
  <si>
    <t>5721 S LEWIS AVE</t>
  </si>
  <si>
    <t>2025 EAST 71ST STREET</t>
  </si>
  <si>
    <t>801 B STREET</t>
  </si>
  <si>
    <t>6006 SE ADAMS BLVD</t>
  </si>
  <si>
    <t>730 SHARE DRIVE</t>
  </si>
  <si>
    <t>3110 HEALTHPLEX DRIVE</t>
  </si>
  <si>
    <t>1100 EAST 9TH STREET</t>
  </si>
  <si>
    <t>2700 NORTH HICKORY STREET</t>
  </si>
  <si>
    <t>3701 MARTIN LUTHER KING JR BLVD</t>
  </si>
  <si>
    <t>1301 NORTH 5TH STREET</t>
  </si>
  <si>
    <t>2416 WEST 51STSOUTH</t>
  </si>
  <si>
    <t>1600 EAST HIGHWAY</t>
  </si>
  <si>
    <t>10098 N 123 E AVE</t>
  </si>
  <si>
    <t>200 EAST 8TH STREET</t>
  </si>
  <si>
    <t>11 PALM STREET</t>
  </si>
  <si>
    <t>9400 ST ANN'S DRIVE</t>
  </si>
  <si>
    <t>2007 NW 52ND STREET</t>
  </si>
  <si>
    <t>1085 N. OREGON STREET</t>
  </si>
  <si>
    <t>3060 SE STARK STREET</t>
  </si>
  <si>
    <t>5905 SE POWELL VALLEY RD</t>
  </si>
  <si>
    <t>540 SOUTH MAIN STREET</t>
  </si>
  <si>
    <t>625 STEVENS STREET</t>
  </si>
  <si>
    <t>6530 SW 30TH AVENUE</t>
  </si>
  <si>
    <t>3959 SHERIDAN AVENUE</t>
  </si>
  <si>
    <t>745 NE 122ND AVENUE</t>
  </si>
  <si>
    <t>5330 NE PRESCOTT STREET</t>
  </si>
  <si>
    <t>1201 MCLEAN BLVD.</t>
  </si>
  <si>
    <t>1015 WEBBER ROAD</t>
  </si>
  <si>
    <t>2360 CHAMBERS STREET</t>
  </si>
  <si>
    <t>3540 SE FRANCIS STREET</t>
  </si>
  <si>
    <t>1710 NE FAIRVIEW AVENUE</t>
  </si>
  <si>
    <t>3955 SE 182ND AVENUE</t>
  </si>
  <si>
    <t>160 NE CONIFER BLVD</t>
  </si>
  <si>
    <t>1333 N. FIRST STREET</t>
  </si>
  <si>
    <t>2901 E. BARNETT ROAD</t>
  </si>
  <si>
    <t>729 HENDERSON ROAD</t>
  </si>
  <si>
    <t>1023 6TH AVE SW</t>
  </si>
  <si>
    <t>5701 SW MULTNOMAH BLVD</t>
  </si>
  <si>
    <t>700 S. J STREET</t>
  </si>
  <si>
    <t>601 EVERGREEN ROAD</t>
  </si>
  <si>
    <t>2300 WARREN STREET</t>
  </si>
  <si>
    <t>3320 SE HOLGATE</t>
  </si>
  <si>
    <t>1400 DIVISION STREET</t>
  </si>
  <si>
    <t>835 CRATER LAKE AVENUE</t>
  </si>
  <si>
    <t>16485 SW PACIFIC HIGHWAY</t>
  </si>
  <si>
    <t>3457 NE DIVISION</t>
  </si>
  <si>
    <t>9750 NE GLISAN STREET</t>
  </si>
  <si>
    <t>1401 BRYANT WILLIAMS DR.</t>
  </si>
  <si>
    <t>1876 NE HIGHWAY 20</t>
  </si>
  <si>
    <t>6040 SE BELMONT STREET</t>
  </si>
  <si>
    <t>1951 E. 21ST STREET</t>
  </si>
  <si>
    <t>525 W. UMPQUA STREET</t>
  </si>
  <si>
    <t>646 16TH STREET</t>
  </si>
  <si>
    <t>6125 SW BOUNDARY STREET</t>
  </si>
  <si>
    <t>3500 HILYARD STREET</t>
  </si>
  <si>
    <t>2075 NW HIGHLAND AVENUE</t>
  </si>
  <si>
    <t>2201 NW HIGHLAND AVENUE</t>
  </si>
  <si>
    <t>301 RIDINGS AVENUE</t>
  </si>
  <si>
    <t>740 NW HILL PLACE</t>
  </si>
  <si>
    <t>515 GRANT STREET</t>
  </si>
  <si>
    <t>3900 PACIFIC AVENUE</t>
  </si>
  <si>
    <t>1735 ADKINS STREET</t>
  </si>
  <si>
    <t>2890 OCEAN BLVD</t>
  </si>
  <si>
    <t>120 ELZORA STREET</t>
  </si>
  <si>
    <t>835 SW 11TH STREET</t>
  </si>
  <si>
    <t>600 RANCH ROAD</t>
  </si>
  <si>
    <t>1 PARK AVENUE</t>
  </si>
  <si>
    <t>14645 SW FARMINGTON ROAD</t>
  </si>
  <si>
    <t>1166 E. 28TH AVENUE</t>
  </si>
  <si>
    <t>350 S. 8TH</t>
  </si>
  <si>
    <t>1309 E. 27TH STREET</t>
  </si>
  <si>
    <t>1023 W. 25TH STREET</t>
  </si>
  <si>
    <t>441 WERTH BLVD</t>
  </si>
  <si>
    <t>175 NE 16TH STREET</t>
  </si>
  <si>
    <t>735 SOUTH 2ND STREET</t>
  </si>
  <si>
    <t>725 SE 202ND AVENUE</t>
  </si>
  <si>
    <t>425 ALEXANDER LOOP</t>
  </si>
  <si>
    <t>5601 SE 122ND AVENUE</t>
  </si>
  <si>
    <t>1525 MONMOUTH STREET</t>
  </si>
  <si>
    <t>4515 SUNNYSIDE ROAD SE</t>
  </si>
  <si>
    <t>405 NE 5TH STREET</t>
  </si>
  <si>
    <t>11850 SW ALLEN BLVD.</t>
  </si>
  <si>
    <t>135 MAPLE STREET</t>
  </si>
  <si>
    <t>1900 E. FULTON STREET</t>
  </si>
  <si>
    <t>13145 SE RIVER ROAD</t>
  </si>
  <si>
    <t>707 SW 37TH STREET</t>
  </si>
  <si>
    <t>220 E. HEREFORD</t>
  </si>
  <si>
    <t>3300 19TH AVENUE</t>
  </si>
  <si>
    <t>5353 COLUMBUS STREET SE</t>
  </si>
  <si>
    <t>377 NW JASPER STREET</t>
  </si>
  <si>
    <t>319 NE RUSSET</t>
  </si>
  <si>
    <t>91 ARIES LANE</t>
  </si>
  <si>
    <t>1475 SE 100TH AVENUE</t>
  </si>
  <si>
    <t>1778 NE CORNELL ROAD</t>
  </si>
  <si>
    <t>6010 SW SHATTUCK ROAD</t>
  </si>
  <si>
    <t>11325 NE WEIDLER</t>
  </si>
  <si>
    <t>805 19TH AVENUE SE</t>
  </si>
  <si>
    <t>1680 MOLALLA AVENUE</t>
  </si>
  <si>
    <t>75 SHORE DRIVE</t>
  </si>
  <si>
    <t>820 COTTAGE STREET NE</t>
  </si>
  <si>
    <t>421 S. EVANS STREET</t>
  </si>
  <si>
    <t>12441 SE STARK STREET</t>
  </si>
  <si>
    <t>530 BIRCH STREET</t>
  </si>
  <si>
    <t>3025 SW RESERVOIR DRIVE</t>
  </si>
  <si>
    <t>859 NE SIXTH STREET</t>
  </si>
  <si>
    <t>5210 RIVER ROAD N.</t>
  </si>
  <si>
    <t>3445 BOONE ROAD SE</t>
  </si>
  <si>
    <t>8607 SE CAUSEY AVENUE</t>
  </si>
  <si>
    <t>5737 NE 37TH AVENUE</t>
  </si>
  <si>
    <t>2625 KOOS BAY BLVD</t>
  </si>
  <si>
    <t>390 SE CHURCH STREET</t>
  </si>
  <si>
    <t>4062 ARLETA AVENUE NE</t>
  </si>
  <si>
    <t>950 NANDINA DRIVE</t>
  </si>
  <si>
    <t>280 ROWE STREET</t>
  </si>
  <si>
    <t>148 HOOD STREET</t>
  </si>
  <si>
    <t>1200 MIRA MAR AVENUE</t>
  </si>
  <si>
    <t>650 SE OAK STREET</t>
  </si>
  <si>
    <t>900 NE 27TH STREET</t>
  </si>
  <si>
    <t>637 ASH STREET</t>
  </si>
  <si>
    <t>700 VETERANS DRIVE</t>
  </si>
  <si>
    <t>8643 NE BEECH STREET</t>
  </si>
  <si>
    <t>1300 NE 16TH AVENUE</t>
  </si>
  <si>
    <t>1577 S IVY</t>
  </si>
  <si>
    <t>950 N. ELM STREET</t>
  </si>
  <si>
    <t>115 S. JAMES STREET</t>
  </si>
  <si>
    <t>970 W JUNIPER AVENUE</t>
  </si>
  <si>
    <t>10435 SE CORA STREET</t>
  </si>
  <si>
    <t>17360 HOLY NAMES DRIVE</t>
  </si>
  <si>
    <t>30900 SW PARKWAY AVENUE</t>
  </si>
  <si>
    <t>39 NE 102ND AVENUE</t>
  </si>
  <si>
    <t>440 NW HILLSIDE PARKWAY</t>
  </si>
  <si>
    <t>12045 SE STANLEY AVENUE</t>
  </si>
  <si>
    <t>4550 CARMAN DRIVE</t>
  </si>
  <si>
    <t>14145 SW 105TH STREET</t>
  </si>
  <si>
    <t>1060 D STREET WEST</t>
  </si>
  <si>
    <t>3550 SW BOND AVE</t>
  </si>
  <si>
    <t>411 SE SHERIDAN ROAD</t>
  </si>
  <si>
    <t>65 WEST 30TH AVENUE</t>
  </si>
  <si>
    <t>812 SE 48TH AVENUE</t>
  </si>
  <si>
    <t>2330 DEBOK ROAD</t>
  </si>
  <si>
    <t>19945 SW BOONES FERRY ROAD</t>
  </si>
  <si>
    <t>600 NORTH 5TH STREET</t>
  </si>
  <si>
    <t>724 PERSHING STREET</t>
  </si>
  <si>
    <t>225 SOUTH CENTER AVENUE</t>
  </si>
  <si>
    <t>809 TURNPIKE AVE</t>
  </si>
  <si>
    <t>1225 WARM SPRINGS AVE</t>
  </si>
  <si>
    <t>100 HOSPITAL AVENUE</t>
  </si>
  <si>
    <t>ONE HOSPITAL DRIVE</t>
  </si>
  <si>
    <t>4372 ROUTE 6</t>
  </si>
  <si>
    <t>601 PARK STREET</t>
  </si>
  <si>
    <t>290 HAIDA AVENUE</t>
  </si>
  <si>
    <t>501 EAST MAIN ST</t>
  </si>
  <si>
    <t>TWO CRESCENT PARK WEST</t>
  </si>
  <si>
    <t>350 BONAR AVENUE</t>
  </si>
  <si>
    <t>763 JOHNSONBURG ROAD</t>
  </si>
  <si>
    <t>81 HILLCREST DRIVE</t>
  </si>
  <si>
    <t>91 HOSPITAL DRIVE</t>
  </si>
  <si>
    <t>105 BURGESS DRIVE</t>
  </si>
  <si>
    <t>520 FRIENDSHIP STREET</t>
  </si>
  <si>
    <t>1616 HUNTINGDON PIKE</t>
  </si>
  <si>
    <t>1660 EASTON ROAD</t>
  </si>
  <si>
    <t>1050 BROADVIEW BOULEVARD</t>
  </si>
  <si>
    <t>2075 SCOTLAND AVENUE</t>
  </si>
  <si>
    <t>2600 WEST RUN ROAD</t>
  </si>
  <si>
    <t>246 FRIENDSHIP CIRCLE</t>
  </si>
  <si>
    <t>267 FREDERICK STREET</t>
  </si>
  <si>
    <t>601 ST JOHN STREET</t>
  </si>
  <si>
    <t>845 GERMANTOWN PIKE</t>
  </si>
  <si>
    <t>489 CASTLE SHANNON BLVD</t>
  </si>
  <si>
    <t>108 SOUTH MAIN STREET</t>
  </si>
  <si>
    <t>2025 WIGHTMAN STREET</t>
  </si>
  <si>
    <t>24 CREE DRIVE</t>
  </si>
  <si>
    <t>249 WEST MCMURRAY ROAD</t>
  </si>
  <si>
    <t>111 PERRYMONT ROAD</t>
  </si>
  <si>
    <t>2400 KINGSTON COURT</t>
  </si>
  <si>
    <t>3805 FIELD STREET</t>
  </si>
  <si>
    <t>607 EAST 26TH STREET</t>
  </si>
  <si>
    <t>26 ANN STREET</t>
  </si>
  <si>
    <t>2050 TREVORTON ROAD</t>
  </si>
  <si>
    <t>400 SOUTH MAIN STREET</t>
  </si>
  <si>
    <t>1037 SOUTH LOGAN BOULEVARD</t>
  </si>
  <si>
    <t>146 MARPLE ROAD</t>
  </si>
  <si>
    <t>1050 SOUTH GEORGE STREET</t>
  </si>
  <si>
    <t>448 OLD CLAIRTON ROAD</t>
  </si>
  <si>
    <t>2741 BOULEVARD AVENUE</t>
  </si>
  <si>
    <t>550 SOUTH NEGLEY AVENUE</t>
  </si>
  <si>
    <t>1205 SOUTH 28TH STREET</t>
  </si>
  <si>
    <t>2125 FAIRVIEW AVENUE</t>
  </si>
  <si>
    <t>1113 NORTH EASTON ROAD</t>
  </si>
  <si>
    <t>50 NORTH MALIN ROAD</t>
  </si>
  <si>
    <t>1925 TURNER STREET</t>
  </si>
  <si>
    <t>650 EDISON AVENUE</t>
  </si>
  <si>
    <t>277 HOFFMAN AVENUE</t>
  </si>
  <si>
    <t>225 PARK STREET</t>
  </si>
  <si>
    <t>1011 BERKS ROAD</t>
  </si>
  <si>
    <t>773 EAST HAVERFORD ROAD</t>
  </si>
  <si>
    <t>151 KEEFER LANE</t>
  </si>
  <si>
    <t>105 MALTA DRIVE</t>
  </si>
  <si>
    <t>1101 VINE STREET</t>
  </si>
  <si>
    <t>516 ST. MARY'S VILLA ROAD</t>
  </si>
  <si>
    <t>1175 MOSSER ROAD</t>
  </si>
  <si>
    <t>BOX 128, 2990 CARLISLE PK</t>
  </si>
  <si>
    <t>616 GOLF COURSE ROAD</t>
  </si>
  <si>
    <t>2109 RED LION ROAD</t>
  </si>
  <si>
    <t>ONE SOUTH HOME AVENUE</t>
  </si>
  <si>
    <t>DONEGAL TOWNSHIP, BOX Q</t>
  </si>
  <si>
    <t>2101 BELMONT AVENUE</t>
  </si>
  <si>
    <t>46 ERFORD ROAD</t>
  </si>
  <si>
    <t>2600 BELMONT AVENUE</t>
  </si>
  <si>
    <t>8015 LAWNDALE AVENUE</t>
  </si>
  <si>
    <t>500 EAST PHILADELPHIA AVENUE</t>
  </si>
  <si>
    <t>3625 NORTH PROGRESS AVE</t>
  </si>
  <si>
    <t>310 FISK STREET</t>
  </si>
  <si>
    <t>1555 EAST END BOULEVARD PLAINS TWP</t>
  </si>
  <si>
    <t>110 FREDONIA ROAD</t>
  </si>
  <si>
    <t>BOX 458, 223 PITTSBURGH ST</t>
  </si>
  <si>
    <t>P O BOX 928  500 WITTENBERG WAY</t>
  </si>
  <si>
    <t>1130 WEST CHESTER PIKE</t>
  </si>
  <si>
    <t>7650 ROUTE 309</t>
  </si>
  <si>
    <t>970 COLONIAL AVENUE</t>
  </si>
  <si>
    <t>803 NORTH WAHNETA ST</t>
  </si>
  <si>
    <t>51 ROUTE 204</t>
  </si>
  <si>
    <t>2050 OLD WEST CHESTER PIKE</t>
  </si>
  <si>
    <t>1267 SOUTH HILL ROAD</t>
  </si>
  <si>
    <t>32 SOUTH BETHLEHEM PIKE</t>
  </si>
  <si>
    <t>425 NORTH DUKE STREET</t>
  </si>
  <si>
    <t>BOYD STREET</t>
  </si>
  <si>
    <t>10400 ROOSEVELT AVENUE</t>
  </si>
  <si>
    <t>820 DURHAM ROAD   P.O. BOX 447</t>
  </si>
  <si>
    <t>35 ROSEMONT AVENUE</t>
  </si>
  <si>
    <t>2644 BRISTOL ROAD</t>
  </si>
  <si>
    <t>520 NEW CASTLE STREET</t>
  </si>
  <si>
    <t>100 ABBEYVILLE ROAD</t>
  </si>
  <si>
    <t>4850 ZUCK ROAD</t>
  </si>
  <si>
    <t>43 CHURCH LANE</t>
  </si>
  <si>
    <t>815 CHESTER PIKE</t>
  </si>
  <si>
    <t>2829 LITITZ PIKE</t>
  </si>
  <si>
    <t>227 WEST 22ND STREET</t>
  </si>
  <si>
    <t>100 LITTLE ROAD</t>
  </si>
  <si>
    <t>253 TWINING FORD ROAD</t>
  </si>
  <si>
    <t>136 DONAHOE MANOR ROAD</t>
  </si>
  <si>
    <t>770 POPLAR CHURCH ROAD</t>
  </si>
  <si>
    <t>336 SOUTH WEST END AVENUE</t>
  </si>
  <si>
    <t>220 S. FOURTH AVENUE</t>
  </si>
  <si>
    <t>2630 WOODLAND ROAD</t>
  </si>
  <si>
    <t>1001 EAST SECOND STREET</t>
  </si>
  <si>
    <t>500 CLARKSVILLE ROAD</t>
  </si>
  <si>
    <t>3726 EAST STATE STREET</t>
  </si>
  <si>
    <t>1120 MEETINGHOUSE ROAD</t>
  </si>
  <si>
    <t>1000 EAST WYOMISSING BLVD</t>
  </si>
  <si>
    <t>700 S. CAYUGA AVENUE</t>
  </si>
  <si>
    <t>75 HICKLE STREET</t>
  </si>
  <si>
    <t>339 EAST JAMESTOWN ROAD</t>
  </si>
  <si>
    <t>741 CHAMBERSBURG ROAD</t>
  </si>
  <si>
    <t>555 SOUTH MAIN STREET</t>
  </si>
  <si>
    <t>1548 SANS SOUCI PARKWAY</t>
  </si>
  <si>
    <t>1200 SPRING STREET</t>
  </si>
  <si>
    <t>5609 FIFTH AVENUE</t>
  </si>
  <si>
    <t>2401 WEST MARKET STREET</t>
  </si>
  <si>
    <t>25 WEST FIFTH STREET</t>
  </si>
  <si>
    <t>905 TOWER ROAD</t>
  </si>
  <si>
    <t>2629 TRENTON ROAD</t>
  </si>
  <si>
    <t>10 HART PLACE</t>
  </si>
  <si>
    <t>189 EAST TRESSLER BOULEVARD</t>
  </si>
  <si>
    <t>1521 WEST 54TH STREET</t>
  </si>
  <si>
    <t>535 NORTH 17TH STREET</t>
  </si>
  <si>
    <t>1000 STACIE DRIVE</t>
  </si>
  <si>
    <t>257 GEORGETOWN ROAD</t>
  </si>
  <si>
    <t>700 WALNUT BOTTOM ROAD</t>
  </si>
  <si>
    <t>824 ADAMS AVENUE</t>
  </si>
  <si>
    <t>211 NORTH 12TH STREET</t>
  </si>
  <si>
    <t>432 MAPLE STREET</t>
  </si>
  <si>
    <t>110 WEST WISSAHICKON AVE</t>
  </si>
  <si>
    <t>763 JOHNSONBURG RD</t>
  </si>
  <si>
    <t>1412 LANSDOWNE AVENUE</t>
  </si>
  <si>
    <t>3201 RIVER ROAD</t>
  </si>
  <si>
    <t>833 SOUTH MAIN STREET</t>
  </si>
  <si>
    <t>2872 TURNPIKE STREET</t>
  </si>
  <si>
    <t>500 WEST LAUREL STREET</t>
  </si>
  <si>
    <t>221 EAST BROWN STREET</t>
  </si>
  <si>
    <t>201 VILLAGE DRIVE</t>
  </si>
  <si>
    <t>118 PLEASANT ACRES RD,RD7</t>
  </si>
  <si>
    <t>31 NORTH PARK AVE EXT</t>
  </si>
  <si>
    <t>3300 LOGAN FERRY ROAD</t>
  </si>
  <si>
    <t>9209 RIDGE PIKE</t>
  </si>
  <si>
    <t>1229 WARM SPRINGS AVENUE</t>
  </si>
  <si>
    <t>147 OLD NEWPORT STREET</t>
  </si>
  <si>
    <t>9850 OLD PERRY HIGHWAY</t>
  </si>
  <si>
    <t>99 BARCLAY STREET</t>
  </si>
  <si>
    <t>BOX 100</t>
  </si>
  <si>
    <t>200 PAULINE DRIVE</t>
  </si>
  <si>
    <t>956 RAILROAD AVENUE</t>
  </si>
  <si>
    <t>680 LIONS HEALTH CAMP RD</t>
  </si>
  <si>
    <t>360 WEST RUDDLE STREET</t>
  </si>
  <si>
    <t>350 NORTH ELEVENTH ST</t>
  </si>
  <si>
    <t>37 CENTRAL AVENUE</t>
  </si>
  <si>
    <t>OLD SCHUYLKILL ROAD AT ROUTE 724</t>
  </si>
  <si>
    <t>1515 FAIRWAY</t>
  </si>
  <si>
    <t>200 S. MEADE STREET</t>
  </si>
  <si>
    <t>300 WEST LEMON STREET</t>
  </si>
  <si>
    <t>2499 ZERBE ROAD</t>
  </si>
  <si>
    <t>3001 LITITZ PIKE</t>
  </si>
  <si>
    <t>3500 WEST CHESTER PIKE</t>
  </si>
  <si>
    <t>600 W CHELTENHAM AVENUE</t>
  </si>
  <si>
    <t>700 LEONARD STREET</t>
  </si>
  <si>
    <t>30 WEST AVENUE</t>
  </si>
  <si>
    <t>8833 STENTON AVENUE</t>
  </si>
  <si>
    <t>163 SUMMIT DRIVE</t>
  </si>
  <si>
    <t>625 ROBERT FULTON HIGHWAY</t>
  </si>
  <si>
    <t>2990 HOLME AVENUE</t>
  </si>
  <si>
    <t>785 JOHNSONBURG ROAD</t>
  </si>
  <si>
    <t>8100 WASHINGTON LANE</t>
  </si>
  <si>
    <t>7 WEST PARK AVENUE</t>
  </si>
  <si>
    <t>PULASKI AND LEADER DRIVES</t>
  </si>
  <si>
    <t>615 WYOMING AVENUE</t>
  </si>
  <si>
    <t>205 EAST JOHNSON HIGHWAY</t>
  </si>
  <si>
    <t>1020 NORTH UNION STREET</t>
  </si>
  <si>
    <t>1070 STOUFFER AVENUE</t>
  </si>
  <si>
    <t>502 ELIZABETH DRIVE</t>
  </si>
  <si>
    <t>69 COTTAGE ROAD</t>
  </si>
  <si>
    <t>425 BUTTONWOOD STREET</t>
  </si>
  <si>
    <t>1883 SHUMWAY HILL ROAD</t>
  </si>
  <si>
    <t>905 PENLLYN PIKE</t>
  </si>
  <si>
    <t>110 EAST FOURTH STREET</t>
  </si>
  <si>
    <t>23 ELLEN MEMORIAL LANE</t>
  </si>
  <si>
    <t>1008 THOMPSON STREET</t>
  </si>
  <si>
    <t>6950 GERMANTOWN AVENUE</t>
  </si>
  <si>
    <t>8300 WEST RIDGE ROAD</t>
  </si>
  <si>
    <t>205 WATER STREET</t>
  </si>
  <si>
    <t>300 LEADER DRIVE</t>
  </si>
  <si>
    <t>945 DUKE STREET</t>
  </si>
  <si>
    <t>777 FERRY ROAD</t>
  </si>
  <si>
    <t>7 EAST LOCUST STREET</t>
  </si>
  <si>
    <t>313 COUNTY LINE ROAD</t>
  </si>
  <si>
    <t>151 GOODVIEW DRIVE</t>
  </si>
  <si>
    <t>4000 LINGLESTOWN ROAD</t>
  </si>
  <si>
    <t>276 GREEN AVE EXTENDED</t>
  </si>
  <si>
    <t>LANSDOWNE AND LINCOLN AVE</t>
  </si>
  <si>
    <t>210 BIG SPRING ROAD</t>
  </si>
  <si>
    <t>6596 ORPHANAGE ROAD</t>
  </si>
  <si>
    <t>1445 SYCAMORE ROAD</t>
  </si>
  <si>
    <t>100 LANCASTER AVENUE</t>
  </si>
  <si>
    <t>85 CHARITY PLACE</t>
  </si>
  <si>
    <t>249 MAUS DRIVE</t>
  </si>
  <si>
    <t>1695 LENAPE ROAD</t>
  </si>
  <si>
    <t>5225 WILSON LANE</t>
  </si>
  <si>
    <t>214 PEACH ORCHARD ROAD</t>
  </si>
  <si>
    <t>PO BOX 100 RT 926</t>
  </si>
  <si>
    <t>58 NEITZ ROAD</t>
  </si>
  <si>
    <t>700 BOWER HILL ROAD</t>
  </si>
  <si>
    <t>951 WASHINGTON AVENUE</t>
  </si>
  <si>
    <t>235 LANCASTER AVENUE</t>
  </si>
  <si>
    <t>800 KING RUSS ROAD</t>
  </si>
  <si>
    <t>101 LEADER DRIVE</t>
  </si>
  <si>
    <t>200 SECOND AVENUE</t>
  </si>
  <si>
    <t>228 SIEMON DRIVE</t>
  </si>
  <si>
    <t>745 CHIQUES HILL ROAD</t>
  </si>
  <si>
    <t>5416 EAST LAKE ROAD</t>
  </si>
  <si>
    <t>724 NORTH CHARLOTTE ST</t>
  </si>
  <si>
    <t>41 NEWPORT AVENUE</t>
  </si>
  <si>
    <t>4114 SCHAPER AVENUE</t>
  </si>
  <si>
    <t>1020 SOUTH MAIN STREET</t>
  </si>
  <si>
    <t>400 SAINT LUKE DR</t>
  </si>
  <si>
    <t>125 HOLLY ROAD</t>
  </si>
  <si>
    <t>252 BELMONT AVENUE</t>
  </si>
  <si>
    <t>120 LAKESIDE DRIVE</t>
  </si>
  <si>
    <t>8401  ROOSEVELT BOULEVARD</t>
  </si>
  <si>
    <t>108 TERRACE DRIVE</t>
  </si>
  <si>
    <t>401 UNIVERSITY DRIVE</t>
  </si>
  <si>
    <t>2 MANOR BOULEVARD</t>
  </si>
  <si>
    <t>801 EAST 16TH STREET</t>
  </si>
  <si>
    <t>208 PENNKNOLL ROAD</t>
  </si>
  <si>
    <t>6655 FRANKSTOWN AVENUE</t>
  </si>
  <si>
    <t>8301 ROOSEVELT BOULEVARD</t>
  </si>
  <si>
    <t>213 EAST MAIN STREET</t>
  </si>
  <si>
    <t>916 HICKORY STREET</t>
  </si>
  <si>
    <t>990 MEDICAL ROAD</t>
  </si>
  <si>
    <t>2021 WESTGATE DRIVE</t>
  </si>
  <si>
    <t>P O BOX 307</t>
  </si>
  <si>
    <t>333 NEWTOWN ROAD</t>
  </si>
  <si>
    <t>280 MIDDLE HOLLAND ROAD</t>
  </si>
  <si>
    <t>30 VIRGINIA DRIVE</t>
  </si>
  <si>
    <t>350 OLD GILKESON ROAD</t>
  </si>
  <si>
    <t>2480 SOUTH GRAND BLVD</t>
  </si>
  <si>
    <t>3120 HORSESHOE PIKE</t>
  </si>
  <si>
    <t>1200 GRUBB STREET</t>
  </si>
  <si>
    <t>200 LUTHER ROAD</t>
  </si>
  <si>
    <t>807 GOUCHER STREET</t>
  </si>
  <si>
    <t>1700 MARKET STREET</t>
  </si>
  <si>
    <t>1770 BARLEY ROAD</t>
  </si>
  <si>
    <t>100 MOUNT ALLEN DRIVE</t>
  </si>
  <si>
    <t>2004 OLD ARCH ROAD</t>
  </si>
  <si>
    <t>1001 PINE STREET</t>
  </si>
  <si>
    <t>1104 WELSH ROAD</t>
  </si>
  <si>
    <t>100 WEST QUEEN STREET</t>
  </si>
  <si>
    <t>1600 BLACK ROCK ROAD</t>
  </si>
  <si>
    <t>50 N. PENNSYLVANIA AVE.</t>
  </si>
  <si>
    <t>14663 ROUTE 68</t>
  </si>
  <si>
    <t>262 TOLL GATE ROAD</t>
  </si>
  <si>
    <t>1100 WEST LONG AVENUE</t>
  </si>
  <si>
    <t>1001-11 WALLACE STREET</t>
  </si>
  <si>
    <t>510 BROOKMONT DRIVE</t>
  </si>
  <si>
    <t>1000 EVERGREEN AVENUE</t>
  </si>
  <si>
    <t>350 S. CEDARBROOK ROAD</t>
  </si>
  <si>
    <t>264 ROUTE 6 &amp; 209</t>
  </si>
  <si>
    <t>600 EAST CATHEDRAL ROAD</t>
  </si>
  <si>
    <t>320 SOUTH MARKET STREET</t>
  </si>
  <si>
    <t>265 SOUTH MCKEAN STREET</t>
  </si>
  <si>
    <t>900 TUCK STREET</t>
  </si>
  <si>
    <t>ROUTE 413</t>
  </si>
  <si>
    <t>2628 ELMWOOD AVENUE</t>
  </si>
  <si>
    <t>1901 NORTH FIFTH STREET</t>
  </si>
  <si>
    <t>GRACEDALE AVENUE</t>
  </si>
  <si>
    <t>2125 ELIZABETH AVENUE</t>
  </si>
  <si>
    <t>GIRARD AND CORINTHIAN AVE</t>
  </si>
  <si>
    <t>773 SUMNEYTOWN PIKE</t>
  </si>
  <si>
    <t>397 HEMLOCK DRIVE</t>
  </si>
  <si>
    <t>1245 CHURCH ROAD</t>
  </si>
  <si>
    <t>1040-52 MARKET STREET</t>
  </si>
  <si>
    <t>550 EAST FURNANCE STREET</t>
  </si>
  <si>
    <t>463 NORTH HUNTER HWY</t>
  </si>
  <si>
    <t>1526 LOMBARD STREET</t>
  </si>
  <si>
    <t>640 WORTH STREET</t>
  </si>
  <si>
    <t>238 STREET ROAD</t>
  </si>
  <si>
    <t>4227 MANOR DRIVE</t>
  </si>
  <si>
    <t>411 N. MIDDLETOWN ROAD</t>
  </si>
  <si>
    <t>1404 GOLF PARK DRIVE</t>
  </si>
  <si>
    <t>701 SLATE BELT BLVD, RD 3</t>
  </si>
  <si>
    <t>728 NORRISTOWN ROAD</t>
  </si>
  <si>
    <t>735 SUSQUEHANNA ROAD</t>
  </si>
  <si>
    <t>3250 STATE ROAD</t>
  </si>
  <si>
    <t>100 HALCYON DRIVE</t>
  </si>
  <si>
    <t>44 DONALDSON ROAD</t>
  </si>
  <si>
    <t>227 SAND HILL ROAD</t>
  </si>
  <si>
    <t>10 VO TECH DRIVE</t>
  </si>
  <si>
    <t>341 NORTH RAILROAD ST</t>
  </si>
  <si>
    <t>660 NORTH BROAD STREET</t>
  </si>
  <si>
    <t>1390 CAMP HILL ROAD</t>
  </si>
  <si>
    <t>435 NORTH BROAD STREET</t>
  </si>
  <si>
    <t>901 COURT STREET</t>
  </si>
  <si>
    <t>301 VALLEY VIEW BOULEVARD</t>
  </si>
  <si>
    <t>ALBERT EINSTEIN MED CTR</t>
  </si>
  <si>
    <t>999 WEST HARRISBURG PIKE</t>
  </si>
  <si>
    <t>283 EAST LANCASTER AVENUE</t>
  </si>
  <si>
    <t>200 VETERANS LANE</t>
  </si>
  <si>
    <t>350 MANOR AVENUE</t>
  </si>
  <si>
    <t>715 HARBOR STREET</t>
  </si>
  <si>
    <t>1401 IVY HILL ROAD</t>
  </si>
  <si>
    <t>200 JHF DRIVE</t>
  </si>
  <si>
    <t>2029 WESTGATE DRIVE</t>
  </si>
  <si>
    <t>220 NEWRY STREET</t>
  </si>
  <si>
    <t>100 DOGWOOD DRIVE</t>
  </si>
  <si>
    <t>126 IRON BRIDGE ROAD</t>
  </si>
  <si>
    <t>1018-20 OAK LANE AVENUE</t>
  </si>
  <si>
    <t>222 WEST EDISON AVENUE</t>
  </si>
  <si>
    <t>7800 BUSTLETON AVENUE</t>
  </si>
  <si>
    <t>3876 SAXONBURG BOULEVARD</t>
  </si>
  <si>
    <t>685 ANGELA DRIVE</t>
  </si>
  <si>
    <t>2600 NORTHAMPTON STREET</t>
  </si>
  <si>
    <t>3000 WINDMILL ROAD</t>
  </si>
  <si>
    <t>185 SOUTH MOUNTAIN BOULEVARD</t>
  </si>
  <si>
    <t>850 PAPERMILL ROAD</t>
  </si>
  <si>
    <t>100 NORMAN DRIVE</t>
  </si>
  <si>
    <t>133 LAURELBROOKE DRIVE</t>
  </si>
  <si>
    <t>66 CAREY SCHOOL ROAD</t>
  </si>
  <si>
    <t>915 DELAWARE STREET</t>
  </si>
  <si>
    <t>530 MACOBY STREET</t>
  </si>
  <si>
    <t>101 E. WASHINGTON ST</t>
  </si>
  <si>
    <t>275 DOCK DRIVE</t>
  </si>
  <si>
    <t>2509 SOUTH FOURTH STREET</t>
  </si>
  <si>
    <t>1520 HARRISBURG PIKE</t>
  </si>
  <si>
    <t>ONE MASONIC DRIVE</t>
  </si>
  <si>
    <t>2344 PERRYSVILLE AVENUE</t>
  </si>
  <si>
    <t>1200 TEL HAI CIRCLE</t>
  </si>
  <si>
    <t>429 SOUTH MARKET STREET</t>
  </si>
  <si>
    <t>500 WEST HOSPITAL STREET</t>
  </si>
  <si>
    <t>750 SCHOOLEY AVENUE</t>
  </si>
  <si>
    <t>1000 MILL STREET</t>
  </si>
  <si>
    <t>1155 INDIAN SPRINGS ROAD</t>
  </si>
  <si>
    <t>383 MOUNTAIN VIEW DRIVE</t>
  </si>
  <si>
    <t>743 MAHONING STREET</t>
  </si>
  <si>
    <t>215 EAST WATER STREET</t>
  </si>
  <si>
    <t>900 MANCHESTER ROAD</t>
  </si>
  <si>
    <t>1320 MILL ROAD</t>
  </si>
  <si>
    <t>400 LANCASTER AVENUE</t>
  </si>
  <si>
    <t>36 OLD HICKORY RIDGE RD</t>
  </si>
  <si>
    <t>80 E. NORTHAMPTON STREET</t>
  </si>
  <si>
    <t>403 HAZLE TOWNSHIP BOULEVARD</t>
  </si>
  <si>
    <t>BUILDING #1</t>
  </si>
  <si>
    <t>8850 BARNES LAKE ROAD</t>
  </si>
  <si>
    <t>15900 ROUTE 6</t>
  </si>
  <si>
    <t>4 EAST CENTER STREET</t>
  </si>
  <si>
    <t>14714 PARK AVE EXTENSION</t>
  </si>
  <si>
    <t>2616 LOCUST GAP HIGHWAY</t>
  </si>
  <si>
    <t>125 SOUTH BROAD STREET</t>
  </si>
  <si>
    <t>800 HAUSMAN ROAD</t>
  </si>
  <si>
    <t>THIRD AVENUE EXTENSION</t>
  </si>
  <si>
    <t>400 HILLCREST AVENUE</t>
  </si>
  <si>
    <t>1293 GRANDVIEW ROAD</t>
  </si>
  <si>
    <t>2507 CHESTNUT STREET</t>
  </si>
  <si>
    <t>3590 WASHINGTON PIKE</t>
  </si>
  <si>
    <t>226 NORTH LINCOLN AVE</t>
  </si>
  <si>
    <t>316 EAST MARKET STREET</t>
  </si>
  <si>
    <t>209 ROBERTS ROAD</t>
  </si>
  <si>
    <t>234 CORAOPOLIS ROAD</t>
  </si>
  <si>
    <t>119 INDUSTRIAL PARK ROAD</t>
  </si>
  <si>
    <t>5827 MERIDIAN ROAD</t>
  </si>
  <si>
    <t>110 MCINTYRE ROAD</t>
  </si>
  <si>
    <t>21158 PAINT BOULEVARD</t>
  </si>
  <si>
    <t>701 ROUSE AVENUE</t>
  </si>
  <si>
    <t>349 VOTECH DRIVE</t>
  </si>
  <si>
    <t>1801 FOLKEMER CIRCLE</t>
  </si>
  <si>
    <t>201 FRANKLIN FARM LANE</t>
  </si>
  <si>
    <t>17350 OLD TURNPIKE ROAD</t>
  </si>
  <si>
    <t>22 CREE DRIVE</t>
  </si>
  <si>
    <t>300 KANE BOULEVARD</t>
  </si>
  <si>
    <t>411 1/2 W MAHONING STREET</t>
  </si>
  <si>
    <t>9108 STATE HIGHWAY 198</t>
  </si>
  <si>
    <t>951 BRODHEAD ROAD</t>
  </si>
  <si>
    <t>701 LANSDALE AVENUE</t>
  </si>
  <si>
    <t>49 WOODBINE LANE</t>
  </si>
  <si>
    <t>107 CURRY ROAD</t>
  </si>
  <si>
    <t>2500 ADAMS AVENUE</t>
  </si>
  <si>
    <t>417 ROUTE 28</t>
  </si>
  <si>
    <t>21 FAIRLANE ROAD</t>
  </si>
  <si>
    <t>4712 CHESTER AVENUE</t>
  </si>
  <si>
    <t>520 WEST MAIN STREET</t>
  </si>
  <si>
    <t>722 FURNACE HILL PIKE</t>
  </si>
  <si>
    <t>1277 COUNTRY CLUB ROAD</t>
  </si>
  <si>
    <t>207 WEST SUMMIT AVENUE</t>
  </si>
  <si>
    <t>1711 EAST BROAD STREET</t>
  </si>
  <si>
    <t>5300 CHESTER AVENUE</t>
  </si>
  <si>
    <t>1000 MASONIC DRIVE</t>
  </si>
  <si>
    <t>100 NINTH STREET</t>
  </si>
  <si>
    <t>955 RIVERMONT DRIVE</t>
  </si>
  <si>
    <t>81 STURGES ROAD</t>
  </si>
  <si>
    <t>419 WATERFORD STREET</t>
  </si>
  <si>
    <t>827 GEORGES STATION ROAD</t>
  </si>
  <si>
    <t>1075 OLD HARRISBURG ROAD</t>
  </si>
  <si>
    <t>800 MAPLE AVENUE</t>
  </si>
  <si>
    <t>682 PLEASANT DRIVE</t>
  </si>
  <si>
    <t>395 EAST MIDDLE ROAD</t>
  </si>
  <si>
    <t>30 FOURTH AVENUE</t>
  </si>
  <si>
    <t>2400 MCGINLEY ROAD</t>
  </si>
  <si>
    <t>477 BONNIEVILLE ROAD</t>
  </si>
  <si>
    <t>2849 BIG ROAD</t>
  </si>
  <si>
    <t>1000 CLAREMONT ROAD</t>
  </si>
  <si>
    <t>201 HOSPITAL DRIVE</t>
  </si>
  <si>
    <t>2 FRANKLIN TOWN BLVD</t>
  </si>
  <si>
    <t>8000 TWIN SILO DRIVE</t>
  </si>
  <si>
    <t>2170 RHINE STREET</t>
  </si>
  <si>
    <t>4142 MONROEVILLE BLVD</t>
  </si>
  <si>
    <t>835 SOUTH MAIN STREET</t>
  </si>
  <si>
    <t>149 WEST 22ND STREET</t>
  </si>
  <si>
    <t>129 FRANKLIN AVENUE</t>
  </si>
  <si>
    <t>300 CENTER AVENUE</t>
  </si>
  <si>
    <t>1000 WEST SOUTH STREET</t>
  </si>
  <si>
    <t>1900 RAVINE ROAD</t>
  </si>
  <si>
    <t>1198 W. WYLIE AVENUE</t>
  </si>
  <si>
    <t>120 TREXLER AVENUE</t>
  </si>
  <si>
    <t>200 BELLANN COURT</t>
  </si>
  <si>
    <t>900 THIRD AVE</t>
  </si>
  <si>
    <t>918 MAIN STREET</t>
  </si>
  <si>
    <t>134 MARWOOD ROAD</t>
  </si>
  <si>
    <t>115 SOUTH PROVIDENCE ROAD</t>
  </si>
  <si>
    <t>4401 HAVERFORD AVENUE</t>
  </si>
  <si>
    <t>7101 OLD YORK ROAD</t>
  </si>
  <si>
    <t>1290 BOYCE ROAD</t>
  </si>
  <si>
    <t>463 SPROUL ROAD</t>
  </si>
  <si>
    <t>440 NORTH RIVER STREET</t>
  </si>
  <si>
    <t>90 HUMBERT LANE</t>
  </si>
  <si>
    <t>2200 HILL CHURCH-HOUSTON ROAD</t>
  </si>
  <si>
    <t>18889 CROGHAN PIKE</t>
  </si>
  <si>
    <t>1200 BRAUN ROAD</t>
  </si>
  <si>
    <t>1028 EAST SECOND STREET</t>
  </si>
  <si>
    <t>50 LANG MAID LANE</t>
  </si>
  <si>
    <t>100 EDELLA ROAD</t>
  </si>
  <si>
    <t>1515 WAYNE AVENUE</t>
  </si>
  <si>
    <t>8580 VERREE ROAD</t>
  </si>
  <si>
    <t>1118 WOODWARD DRIVE</t>
  </si>
  <si>
    <t>101 EAST MOUNTAIN DRIVE</t>
  </si>
  <si>
    <t>999 HEIDRICK STREET</t>
  </si>
  <si>
    <t>500 WASHINGTON STREET</t>
  </si>
  <si>
    <t>300 EAST WINCHESTER AVE</t>
  </si>
  <si>
    <t>265 E. TOWNSHIP LINE ROAD</t>
  </si>
  <si>
    <t>10 WEST AVENUE</t>
  </si>
  <si>
    <t>1215 HULTON ROAD</t>
  </si>
  <si>
    <t>6300 GREENE STREET</t>
  </si>
  <si>
    <t>453 SOUTH MAIN ROAD</t>
  </si>
  <si>
    <t>100 LYNWOOD AVENUE</t>
  </si>
  <si>
    <t>1400 WAVERLY ROAD</t>
  </si>
  <si>
    <t>100 EIGHTH AVENUE</t>
  </si>
  <si>
    <t>1800 VILLAGE CIRCLE</t>
  </si>
  <si>
    <t>6375 CHAMBERSBURG ROAD</t>
  </si>
  <si>
    <t>3609 CHESTNUT STREET</t>
  </si>
  <si>
    <t>601 SOUTH CHURCH STREET</t>
  </si>
  <si>
    <t>PO BOX 680, S CHERRY ST</t>
  </si>
  <si>
    <t>498 WASHINGTON STREET</t>
  </si>
  <si>
    <t>245 OLD LAKE ROAD</t>
  </si>
  <si>
    <t>60 HIGHLAND ROAD</t>
  </si>
  <si>
    <t>5701 PHILLIPS AVENUE</t>
  </si>
  <si>
    <t>867 YORK ROAD</t>
  </si>
  <si>
    <t>2450 JOHN FRIES HIGHWAY</t>
  </si>
  <si>
    <t>1343 WEST BALTIMORE PIKE</t>
  </si>
  <si>
    <t>9896 BUSTLETON AVENUE</t>
  </si>
  <si>
    <t>800 WEST MINER STREET</t>
  </si>
  <si>
    <t>U.S. ROUTE 1</t>
  </si>
  <si>
    <t>500 LEWIS RUN ROAD</t>
  </si>
  <si>
    <t>1848 GREENTREE ROAD</t>
  </si>
  <si>
    <t>1717 SKYLINE DRIVE</t>
  </si>
  <si>
    <t>940 WALNUT BOTTOM ROAD</t>
  </si>
  <si>
    <t>39TH AND MARKET STREETS</t>
  </si>
  <si>
    <t>174 VIRGINIA AVENUE</t>
  </si>
  <si>
    <t>175 WEST NORTH STREET</t>
  </si>
  <si>
    <t>601 NORTH ITHAN AVENUE</t>
  </si>
  <si>
    <t>740 E. STATE STREET</t>
  </si>
  <si>
    <t>1950 CLIFFSIDE DRIVE</t>
  </si>
  <si>
    <t>146 EDGEHILL ROAD</t>
  </si>
  <si>
    <t>191 EVERGREEN MILL ROAD</t>
  </si>
  <si>
    <t>1265 SOUTH CEDAR CREST BLVD</t>
  </si>
  <si>
    <t>1001 VALLEY FORGE ROAD</t>
  </si>
  <si>
    <t>3000 FELLOWSHIP DRIVE</t>
  </si>
  <si>
    <t>7310 STENTON AVENUE</t>
  </si>
  <si>
    <t>2695 WINCHESTER DRIVE</t>
  </si>
  <si>
    <t>1201 RURAL AVENUE</t>
  </si>
  <si>
    <t>3205 SKIPPACK PIKE PO BOX 670</t>
  </si>
  <si>
    <t>590 SOUTH FIFTH AVENUE</t>
  </si>
  <si>
    <t>300 WILLOW VALLEY LAKES DRIVE</t>
  </si>
  <si>
    <t>745 NORTH HIGHLAND AVENUE</t>
  </si>
  <si>
    <t>900 EAST KING STREET</t>
  </si>
  <si>
    <t>17083 ROUTE 6</t>
  </si>
  <si>
    <t>351 CAUSEWAY DRIVE</t>
  </si>
  <si>
    <t>1675 SALTSBURG AVENUE</t>
  </si>
  <si>
    <t>502 EAST HOWARD STREET</t>
  </si>
  <si>
    <t>340 N. MIDDLETOWN ROAD</t>
  </si>
  <si>
    <t>184 BETHLEHEM PIKE</t>
  </si>
  <si>
    <t>113 WEST MCMURRAY ROAD</t>
  </si>
  <si>
    <t>801 N. HANOVER STREET</t>
  </si>
  <si>
    <t>102 CHANDRA DRIVE</t>
  </si>
  <si>
    <t>544 NORTH PENRYN ROAD</t>
  </si>
  <si>
    <t>4702 EAST MAIN STREET</t>
  </si>
  <si>
    <t>107 SUNNYVIEW CIRCLE</t>
  </si>
  <si>
    <t>5360 SALTSBURG ROAD</t>
  </si>
  <si>
    <t>350 HAWS LANE</t>
  </si>
  <si>
    <t>20 ORCHARD DRIVE</t>
  </si>
  <si>
    <t>2250 SHENANGO FREEWAY</t>
  </si>
  <si>
    <t>147 LAFAYETTE MANOR ROAD</t>
  </si>
  <si>
    <t>640 BETHLEHEM PIKE</t>
  </si>
  <si>
    <t>1001 EAST OREGON ROAD</t>
  </si>
  <si>
    <t>595 BIGLERVILLE ROAD</t>
  </si>
  <si>
    <t>2000 CAMBRIDGE AVENUE</t>
  </si>
  <si>
    <t>3300 DARBY ROAD</t>
  </si>
  <si>
    <t>442 WALNUT BOTTOM ROAD</t>
  </si>
  <si>
    <t>12 LUTHERAN HOME DRIVE</t>
  </si>
  <si>
    <t>333 WHEAT RIDGE DRIVE</t>
  </si>
  <si>
    <t>3952 COLUMBIA AVENUE</t>
  </si>
  <si>
    <t>100 WOODMONT ROAD</t>
  </si>
  <si>
    <t>470 MANOR AVE</t>
  </si>
  <si>
    <t>100 HIGH POINT DRIVE</t>
  </si>
  <si>
    <t>1480 OXFORD VALLEY ROAD</t>
  </si>
  <si>
    <t>801 RIDGE PIKE</t>
  </si>
  <si>
    <t>6445 GERMANTOWN AVENUE</t>
  </si>
  <si>
    <t>1201 SPRINGFIELD ROAD</t>
  </si>
  <si>
    <t>300 BARR STREET</t>
  </si>
  <si>
    <t>600 SCHOOL HOUSE ROAD</t>
  </si>
  <si>
    <t>245 EAST EIGHTH STREET</t>
  </si>
  <si>
    <t>1105 PERRY HIGHWAY</t>
  </si>
  <si>
    <t>3031 CHESTNUT HILL ROAD</t>
  </si>
  <si>
    <t>429 MANOR DRIVE</t>
  </si>
  <si>
    <t>1404 HAY STREET</t>
  </si>
  <si>
    <t>1000 SCHUYLKILL MANOR RD</t>
  </si>
  <si>
    <t>550 EAST MAIN STREET</t>
  </si>
  <si>
    <t>535 GRADYVILLE ROAD</t>
  </si>
  <si>
    <t>600 WEST VALLEY FORGE ROAD</t>
  </si>
  <si>
    <t>500 E. MARYLYN AVENUE</t>
  </si>
  <si>
    <t>495 WEST PATRIOT STREET</t>
  </si>
  <si>
    <t>5300 STANTON AVENUE</t>
  </si>
  <si>
    <t>9501 STATE ROAD</t>
  </si>
  <si>
    <t>141 HEISEY AVENUE</t>
  </si>
  <si>
    <t>5 SAINT FRANCIS WAY</t>
  </si>
  <si>
    <t>2880 HORSESHOE PIKE  PO BOX 137</t>
  </si>
  <si>
    <t>251 STENTON AVENUE</t>
  </si>
  <si>
    <t>700 NORTH FRANKLIN</t>
  </si>
  <si>
    <t>P O BOX 370, LAKE STREET</t>
  </si>
  <si>
    <t>890 WEATHERWOOD LANE</t>
  </si>
  <si>
    <t>6400 GREENE STREET</t>
  </si>
  <si>
    <t>20881 STATE HIGHWAY 198</t>
  </si>
  <si>
    <t>99 BETHANY ROAD</t>
  </si>
  <si>
    <t>535 MCFARLAND ROAD</t>
  </si>
  <si>
    <t>1648 HUNTINGDON PIKE</t>
  </si>
  <si>
    <t>3200 BENSALEM BOULEVARD</t>
  </si>
  <si>
    <t>125 W SCHOOLHOUSE LANE</t>
  </si>
  <si>
    <t>15 WEST WILLOW STREET</t>
  </si>
  <si>
    <t>450 WAUPELANI DRIVE</t>
  </si>
  <si>
    <t>ONE HOSPITAL WAY</t>
  </si>
  <si>
    <t>252 MAIN STREET</t>
  </si>
  <si>
    <t>P.O. BOX 320,  48 HAVEN LANE</t>
  </si>
  <si>
    <t>800 ELSIE STREET</t>
  </si>
  <si>
    <t>149 LAFAYETTE AVENUE</t>
  </si>
  <si>
    <t>1 LONGSDORF WAY</t>
  </si>
  <si>
    <t>90 MAIN STREET</t>
  </si>
  <si>
    <t>1000 ORWIGSBURG MANOR DR</t>
  </si>
  <si>
    <t>8221 LAMOR ROAD</t>
  </si>
  <si>
    <t>1 HEIDELBERG DRIVE</t>
  </si>
  <si>
    <t>2309 STAFFORD AVENUE</t>
  </si>
  <si>
    <t>500 ROUTE 909</t>
  </si>
  <si>
    <t>909 WEST STREET</t>
  </si>
  <si>
    <t>1211 WILMINGTON AVENUE</t>
  </si>
  <si>
    <t>ONE NOLTE DRIVE</t>
  </si>
  <si>
    <t>2000 CAMBRIDGE DRIVE</t>
  </si>
  <si>
    <t>576 FRED ROGERS DRIVE</t>
  </si>
  <si>
    <t>6212 WALNUT STREET</t>
  </si>
  <si>
    <t>1034 GROVE STREET</t>
  </si>
  <si>
    <t>2140 WARRENSVILLE ROAD</t>
  </si>
  <si>
    <t>437 GIVLER DRIVE</t>
  </si>
  <si>
    <t>425 WESTMINSTER AVENUE</t>
  </si>
  <si>
    <t>200 BERWICK ROAD</t>
  </si>
  <si>
    <t>81 DILLON DRIVE</t>
  </si>
  <si>
    <t>1700 NORMANDIE DRIVE</t>
  </si>
  <si>
    <t>194 SWINDERMAN ROAD</t>
  </si>
  <si>
    <t>225 EVERGREEN ROAD</t>
  </si>
  <si>
    <t>702 THIRD AVENUE</t>
  </si>
  <si>
    <t>5253 NATIONAL PIKE</t>
  </si>
  <si>
    <t>2301 EDINBORO ROAD</t>
  </si>
  <si>
    <t>100 SAINT FRANCIS DRIVE</t>
  </si>
  <si>
    <t>5865 ROUTE 154</t>
  </si>
  <si>
    <t>2751 DEKALB PIKE</t>
  </si>
  <si>
    <t>3430 HUNTINGDON PIKE</t>
  </si>
  <si>
    <t>25 COVE ROAD</t>
  </si>
  <si>
    <t>2335 MADISON AVENUE</t>
  </si>
  <si>
    <t>549 BALTIMORE PIKE</t>
  </si>
  <si>
    <t>55 SOUTH SECOND STREET</t>
  </si>
  <si>
    <t>250 NORTH BETHLEHEM PIKE</t>
  </si>
  <si>
    <t>770 S. HANOVER STREET</t>
  </si>
  <si>
    <t>1500 FIFTH AVENUE</t>
  </si>
  <si>
    <t>421 CHEW STREET</t>
  </si>
  <si>
    <t>450 EAST LINCOLN AVENUE</t>
  </si>
  <si>
    <t>200 PENNSYLVANIA AVENUE</t>
  </si>
  <si>
    <t>746 JEFFERSON AVENUE</t>
  </si>
  <si>
    <t>WILLOW AT FOURTH ST POB 1282</t>
  </si>
  <si>
    <t>37 WOODLANDS DRIVE</t>
  </si>
  <si>
    <t>5501 PERKIOMEN AVENUE</t>
  </si>
  <si>
    <t>1718 SPRING CREEK ROAD</t>
  </si>
  <si>
    <t>2802 PAPERMILL ROAD</t>
  </si>
  <si>
    <t>1425 PHILADELPHIA AVENUE</t>
  </si>
  <si>
    <t>540 COAL VALLEY ROAD</t>
  </si>
  <si>
    <t>4400 WEST GIRARD AVENUE</t>
  </si>
  <si>
    <t>17TH &amp; CHEW STS</t>
  </si>
  <si>
    <t>1194 NAAMANS CREEK ROAD</t>
  </si>
  <si>
    <t>3298 RIDGE ROAD</t>
  </si>
  <si>
    <t>675 WILLOW VALLEY SQUARE</t>
  </si>
  <si>
    <t>103 N. THIRTEENTH STREET</t>
  </si>
  <si>
    <t>700 E GILHAM ST</t>
  </si>
  <si>
    <t>121 WALNUT BOTTOM ROAD</t>
  </si>
  <si>
    <t>100 FAIRFIELD DRIVE</t>
  </si>
  <si>
    <t>1048 W BALTIMORE AVENUE</t>
  </si>
  <si>
    <t>410 TERRACE DRIVE</t>
  </si>
  <si>
    <t>2100 NORTH 49TH STREET</t>
  </si>
  <si>
    <t>45 NORTH SCOTT STREET</t>
  </si>
  <si>
    <t>1020 GREEN AVENUE</t>
  </si>
  <si>
    <t>120 KITTANNING CARE DRIVE</t>
  </si>
  <si>
    <t>4200 HOSPITAL ROAD</t>
  </si>
  <si>
    <t>600 SOUTH WYCOMBE AVE</t>
  </si>
  <si>
    <t>631 NORTH BROAD ST</t>
  </si>
  <si>
    <t>6351 WEST LAKE ROAD</t>
  </si>
  <si>
    <t>998 SOUTH RUSSELL STREET</t>
  </si>
  <si>
    <t>2601 HOLME AVENUE</t>
  </si>
  <si>
    <t>885 MACBETH DRIVE</t>
  </si>
  <si>
    <t>1700 PINE STREET</t>
  </si>
  <si>
    <t>360 WESTMINSTER DRIVE</t>
  </si>
  <si>
    <t>3485 DAVISVILLE ROAD</t>
  </si>
  <si>
    <t>6 GARDEN CENTER DRIVE</t>
  </si>
  <si>
    <t>1896 LEITHSVILLE ROAD</t>
  </si>
  <si>
    <t>1030 STATE STREET</t>
  </si>
  <si>
    <t>900 PORTER AVENUE</t>
  </si>
  <si>
    <t>200 LOTHROP STREET</t>
  </si>
  <si>
    <t>715 FREEPORT ROAD</t>
  </si>
  <si>
    <t>3349 WILMINGTON ROAD</t>
  </si>
  <si>
    <t>4025 GREEN POND ROAD</t>
  </si>
  <si>
    <t>850 NORRISTOWN ROAD</t>
  </si>
  <si>
    <t>2020 ADER ROAD</t>
  </si>
  <si>
    <t>745 GREENVILLE ROAD</t>
  </si>
  <si>
    <t>4363 NORTHERN PIKE</t>
  </si>
  <si>
    <t>35 FREEDOM BOULEVARD</t>
  </si>
  <si>
    <t>1000 SETON DRIVE</t>
  </si>
  <si>
    <t>2050 BARLEY ROAD</t>
  </si>
  <si>
    <t>211 EAST FIRST STREET</t>
  </si>
  <si>
    <t>505 WEYMAN ROAD</t>
  </si>
  <si>
    <t>3746 CEDAR RIDGE ROAD</t>
  </si>
  <si>
    <t>207 OTTAWA STREET</t>
  </si>
  <si>
    <t>8410 ROOSEVELT BLVD</t>
  </si>
  <si>
    <t>959 EAST STATE STREET</t>
  </si>
  <si>
    <t>5535 PEACH STREET</t>
  </si>
  <si>
    <t>100 TANDEM VILLAGE ROAD</t>
  </si>
  <si>
    <t>303 SMALLACOMBE DRIVE</t>
  </si>
  <si>
    <t>3410 W. PITTSBURGH RD</t>
  </si>
  <si>
    <t>4001 FORD ROAD</t>
  </si>
  <si>
    <t>4100 FREEMANSBURG AVENUE</t>
  </si>
  <si>
    <t>1425 HORSHAM ROAD</t>
  </si>
  <si>
    <t>433 S KINZER AVENUE</t>
  </si>
  <si>
    <t>404 EAST HARFORD STREET</t>
  </si>
  <si>
    <t>4855 WEST RIDGE ROAD</t>
  </si>
  <si>
    <t>1615 EAST BOOT ROAD  EAST GOSHEN</t>
  </si>
  <si>
    <t>318 SOUTH ORANGE STREET</t>
  </si>
  <si>
    <t>200 STOOPS DRIVE</t>
  </si>
  <si>
    <t>200 TAYLORSVILLE MOUNTAIN ROAD</t>
  </si>
  <si>
    <t>4112 SPRING HILL ROAD</t>
  </si>
  <si>
    <t>1300 BOWER HILL ROAD</t>
  </si>
  <si>
    <t>200 SYCAMORE DRIVE</t>
  </si>
  <si>
    <t>260 LION'S HILL ROAD</t>
  </si>
  <si>
    <t>PO BOX 248, 631 MAIN STREET</t>
  </si>
  <si>
    <t>2933 MCCARTHY STREET</t>
  </si>
  <si>
    <t>634 EAST BROAD STREET</t>
  </si>
  <si>
    <t>300 HALKET STREET</t>
  </si>
  <si>
    <t>105 MORTON AVENUE</t>
  </si>
  <si>
    <t>5000 SHANNONDELL DRIVE</t>
  </si>
  <si>
    <t>320 MAIN STREET</t>
  </si>
  <si>
    <t>238 SOUTH MARKET STREET</t>
  </si>
  <si>
    <t>725 PAUL STREET</t>
  </si>
  <si>
    <t>16000 ANN'S CHOICE WAY</t>
  </si>
  <si>
    <t>2855 SCHOENERSVILLE ROAD</t>
  </si>
  <si>
    <t>150 MUNDY STREET</t>
  </si>
  <si>
    <t>2100 UTZ TERRACE</t>
  </si>
  <si>
    <t>44 SOUTH MARKET STREET</t>
  </si>
  <si>
    <t>4000 FOX HOUND DRIVE</t>
  </si>
  <si>
    <t>315 EAST LONDON GROVE ROAD</t>
  </si>
  <si>
    <t>8601 STENTON AVENUE</t>
  </si>
  <si>
    <t>1028 BENTON AVENUE</t>
  </si>
  <si>
    <t>1361 EAST BOOT ROAD</t>
  </si>
  <si>
    <t>3026 MOUNT HOPE HOME ROAD</t>
  </si>
  <si>
    <t>208 FERNBROOK AVENUE</t>
  </si>
  <si>
    <t>5515 PEACH STREET</t>
  </si>
  <si>
    <t>120 SOUTH FILBERT ST</t>
  </si>
  <si>
    <t>500 MARIS GROVE WAY</t>
  </si>
  <si>
    <t>200 ADAMS AVE</t>
  </si>
  <si>
    <t>1 SHEPHERD'S WAY SUITE 100</t>
  </si>
  <si>
    <t>3000 BALFOUR CIRCLE</t>
  </si>
  <si>
    <t>420 SOUTH JACKSON STREET</t>
  </si>
  <si>
    <t>604 OAK STREET</t>
  </si>
  <si>
    <t>ONE PENN BOULEVARD</t>
  </si>
  <si>
    <t>370 WHITE STONE CORNER ROAD</t>
  </si>
  <si>
    <t>100 S JACKSON AVE</t>
  </si>
  <si>
    <t>787 GOUCHER STREET</t>
  </si>
  <si>
    <t>707 SHEPERDSTOWN RD</t>
  </si>
  <si>
    <t>1135 WEST CHOCOLATE AVENUE 2ND FLOOR</t>
  </si>
  <si>
    <t>475 MORGAN HIGHWAY</t>
  </si>
  <si>
    <t>1503 N CEDAR CREST BLVD</t>
  </si>
  <si>
    <t>200 SOUTH MAIN ST</t>
  </si>
  <si>
    <t>4365 NORTHERN PIKE</t>
  </si>
  <si>
    <t>355 AVE  FONT MARTELO</t>
  </si>
  <si>
    <t>2213 PONCE BY PASS</t>
  </si>
  <si>
    <t>ROAD 2 KM 39 5 BO ALGARROBO</t>
  </si>
  <si>
    <t>CALLE 4-L-10 URB COLINAS DEL OESTE</t>
  </si>
  <si>
    <t>CALLE COSME REPARTO SAN LUCAS ENTRADA SECTOR</t>
  </si>
  <si>
    <t>200 WAMPANOAG TRAIL</t>
  </si>
  <si>
    <t>79 BEACH STREET</t>
  </si>
  <si>
    <t>100 WAMPANOAG TRAIL</t>
  </si>
  <si>
    <t>1139 MAIN AVENUE</t>
  </si>
  <si>
    <t>660 COMMONWEALTH AVENUE</t>
  </si>
  <si>
    <t>1 SAINT ELIZABETH WAY</t>
  </si>
  <si>
    <t>49 OLD POCASSET ROAD</t>
  </si>
  <si>
    <t>54 BARKER AVENUE</t>
  </si>
  <si>
    <t>79 WATCH HILL ROAD</t>
  </si>
  <si>
    <t>100 CHAMBERS STREET</t>
  </si>
  <si>
    <t>83 CORONA STREET</t>
  </si>
  <si>
    <t>66 BENEFIT STREET</t>
  </si>
  <si>
    <t>544 PLEASANT STREET</t>
  </si>
  <si>
    <t>109 WEST SHORE ROAD</t>
  </si>
  <si>
    <t>100 SMITHFIELD ROAD</t>
  </si>
  <si>
    <t>7 CREEK LANE</t>
  </si>
  <si>
    <t>125 SCITUATE AVENUE</t>
  </si>
  <si>
    <t>398 BELLEVUE AVENUE</t>
  </si>
  <si>
    <t>333 GREEN END AVENUE</t>
  </si>
  <si>
    <t>610 SMITHFIELD ROAD</t>
  </si>
  <si>
    <t>31 PARADE STREET</t>
  </si>
  <si>
    <t>135 DODGE STREET</t>
  </si>
  <si>
    <t>80 DOUGLAS PIKE</t>
  </si>
  <si>
    <t>193 FOREST AVENUE</t>
  </si>
  <si>
    <t>262 POPLAR STREET</t>
  </si>
  <si>
    <t>1275 SOUTH BROADWAY</t>
  </si>
  <si>
    <t>303 RHODES AVENUE</t>
  </si>
  <si>
    <t>14 ROCK AVENUE</t>
  </si>
  <si>
    <t>180 LOG ROAD</t>
  </si>
  <si>
    <t>1 DAWN HILL</t>
  </si>
  <si>
    <t>1811 BROAD STREET</t>
  </si>
  <si>
    <t>100 RANDALL STREET</t>
  </si>
  <si>
    <t>2 CHERRY HILL ROAD</t>
  </si>
  <si>
    <t>2115 SOUTH COUNTY TRAIL, PO BOX 307</t>
  </si>
  <si>
    <t>1 EVERGREEN DRIVE</t>
  </si>
  <si>
    <t>981 KINGSTOWN ROAD</t>
  </si>
  <si>
    <t>135 TRIPPS LANE</t>
  </si>
  <si>
    <t>57 STOKES STREET</t>
  </si>
  <si>
    <t>4000 POST ROAD</t>
  </si>
  <si>
    <t>80 MORGAN AVENUE</t>
  </si>
  <si>
    <t>860 NORTH QUIDESSET ROAD</t>
  </si>
  <si>
    <t>70 GILL AVENUE</t>
  </si>
  <si>
    <t>575 SEVEN MILE ROAD</t>
  </si>
  <si>
    <t>239 LEGRIS AVENUE</t>
  </si>
  <si>
    <t>642 METACOM AVENUE</t>
  </si>
  <si>
    <t>568 CHILD STREET</t>
  </si>
  <si>
    <t>740 OAK HILL ROAD</t>
  </si>
  <si>
    <t>225 ELMWOOD AVENUE</t>
  </si>
  <si>
    <t>964 MAIN STREET</t>
  </si>
  <si>
    <t>70 HARRISON AVENUE</t>
  </si>
  <si>
    <t>30 SAYLES HILL ROAD</t>
  </si>
  <si>
    <t>600 VALLEY ROAD</t>
  </si>
  <si>
    <t>10 WOODLAND DRIVE</t>
  </si>
  <si>
    <t>4 ST JOSEPH STREET</t>
  </si>
  <si>
    <t>181 DAVIS DRIVE</t>
  </si>
  <si>
    <t>280 HIGH STREET</t>
  </si>
  <si>
    <t>546 MAIN STREET</t>
  </si>
  <si>
    <t>198 WATERMAN AVENUE</t>
  </si>
  <si>
    <t>50 MAUDE STREET</t>
  </si>
  <si>
    <t>15 SUMNER BROWN ROAD</t>
  </si>
  <si>
    <t>171 PLEASANT VIEW AVENUE</t>
  </si>
  <si>
    <t>735 PUTNAM PIKE</t>
  </si>
  <si>
    <t>557 WEAVER HILL ROAD</t>
  </si>
  <si>
    <t>30 ALEXANDER AVENUE</t>
  </si>
  <si>
    <t>100 BORDEN STREET</t>
  </si>
  <si>
    <t>60 MENDON ROAD</t>
  </si>
  <si>
    <t>111 SOUTH ANGELL STREET</t>
  </si>
  <si>
    <t>104 CLAY STREET</t>
  </si>
  <si>
    <t>833 BROADWAY</t>
  </si>
  <si>
    <t>999 SOUTH MAIN STREET</t>
  </si>
  <si>
    <t>25 ROBERTS WAY</t>
  </si>
  <si>
    <t>2052 PLAINFIELD PIKE</t>
  </si>
  <si>
    <t>10 RHODES AVENUE</t>
  </si>
  <si>
    <t>415 GARDNER ROAD</t>
  </si>
  <si>
    <t>60 EBEN BROWN LANE</t>
  </si>
  <si>
    <t>560 CUMBERLAND HILL ROAD</t>
  </si>
  <si>
    <t>309 SPRING STREET</t>
  </si>
  <si>
    <t>500 WATERFRONT DRIVE</t>
  </si>
  <si>
    <t>47 EAST KILLINGLY ROAD</t>
  </si>
  <si>
    <t>455 DOUGLAS AVENUE</t>
  </si>
  <si>
    <t>161 POST ROAD</t>
  </si>
  <si>
    <t>20 AUSTIN AVENUE</t>
  </si>
  <si>
    <t>353 BLACKSTONE BOULEVARD</t>
  </si>
  <si>
    <t>99 HILLSIDE AVENUE</t>
  </si>
  <si>
    <t>811  REYNOLDS ROAD</t>
  </si>
  <si>
    <t>2669 KINARD ST PO BOX 497</t>
  </si>
  <si>
    <t>1138 CHERAW HIGHWAY</t>
  </si>
  <si>
    <t>2829 E HWY 76</t>
  </si>
  <si>
    <t>701 CASHUA FERRY ROAD</t>
  </si>
  <si>
    <t>711 CHESTERFIELD HIGHWAY</t>
  </si>
  <si>
    <t>10 HOSPITAL ST BOX 550</t>
  </si>
  <si>
    <t>595 WEST CAROLINA AVENUE</t>
  </si>
  <si>
    <t>101 COTTAGE CREEK CIRCLE</t>
  </si>
  <si>
    <t>400 MOFFAT ROAD</t>
  </si>
  <si>
    <t>2601 FOREST DRIVE</t>
  </si>
  <si>
    <t>617 WEST MARION STREET</t>
  </si>
  <si>
    <t>1817 JONESVILLE HIGHWAY</t>
  </si>
  <si>
    <t>2451 FOREST DRIVE</t>
  </si>
  <si>
    <t>123 DUPONT DR</t>
  </si>
  <si>
    <t>208 JAMES STREET</t>
  </si>
  <si>
    <t>253 CRAIG MANOR ROAD</t>
  </si>
  <si>
    <t>200 ANNE DRIVE</t>
  </si>
  <si>
    <t>295 EAST PEARL STREET</t>
  </si>
  <si>
    <t>340 CEDAR SPRINGS ROAD</t>
  </si>
  <si>
    <t>63 BLACKSTOCK ROAD</t>
  </si>
  <si>
    <t>1330 KINARD STREET</t>
  </si>
  <si>
    <t>661 RUTHERFORD RD</t>
  </si>
  <si>
    <t>611 EAST HAMPTON STREET</t>
  </si>
  <si>
    <t>2715 SOUTH ISLAND ROAD</t>
  </si>
  <si>
    <t>1501 EAST GREENVILLE STREET</t>
  </si>
  <si>
    <t>401 WITSELL STREET</t>
  </si>
  <si>
    <t>379 PINEHAVEN STREET EXTENSION</t>
  </si>
  <si>
    <t>1180 WOLFE TRAIL</t>
  </si>
  <si>
    <t>83 THOMSON CIRCLE</t>
  </si>
  <si>
    <t>1 MEDICAL PARK DRIVE</t>
  </si>
  <si>
    <t>510 THOMPSON STREET</t>
  </si>
  <si>
    <t>437 EAST CAMBRIDGE STREET</t>
  </si>
  <si>
    <t>123 OAK STREET</t>
  </si>
  <si>
    <t>11 TODD DRIVE</t>
  </si>
  <si>
    <t>3001 BEECHAVEN ROAD</t>
  </si>
  <si>
    <t>9547 HIGHWAY 17, NORTH</t>
  </si>
  <si>
    <t>304 JACOBS HIGHWAY</t>
  </si>
  <si>
    <t>2200 HARDEN STREET</t>
  </si>
  <si>
    <t>101 LILA DOYLE DRIVE</t>
  </si>
  <si>
    <t>2555 KINARD STREET</t>
  </si>
  <si>
    <t>1110 MARSHALL ROAD</t>
  </si>
  <si>
    <t>1315 ROBERTS STREET</t>
  </si>
  <si>
    <t>581 NEWBERRY HIGHWAY</t>
  </si>
  <si>
    <t>2375 BAKER HOSP BLVD</t>
  </si>
  <si>
    <t>716 E CEDAR ROCK ST</t>
  </si>
  <si>
    <t>755 WHITMAN STREET SE</t>
  </si>
  <si>
    <t>3620 STEVENS STREET</t>
  </si>
  <si>
    <t>1915 EBENEZER RD</t>
  </si>
  <si>
    <t>111 SOUTH CONGRESS STREET</t>
  </si>
  <si>
    <t>411 ANSEL ST</t>
  </si>
  <si>
    <t>375 SERPENTINE DRIVE</t>
  </si>
  <si>
    <t>1727 BUCK SWAMP ROAD</t>
  </si>
  <si>
    <t>1434 N LIMESTONE ST</t>
  </si>
  <si>
    <t>400 LOCUST GROVE ROAD</t>
  </si>
  <si>
    <t>31 WREN STREET</t>
  </si>
  <si>
    <t>201 FORTRESS DRIVE</t>
  </si>
  <si>
    <t>8 NORTH TEXAS AVENUE</t>
  </si>
  <si>
    <t>439 NORTH STREET</t>
  </si>
  <si>
    <t>2416 SUNSET BOULEVARD</t>
  </si>
  <si>
    <t>601 SULPHUR SPRINGS ROAD</t>
  </si>
  <si>
    <t>880 CAROLINA AVENUE</t>
  </si>
  <si>
    <t>1018 N GUIGNARD</t>
  </si>
  <si>
    <t>921 BOWMAN ROAD</t>
  </si>
  <si>
    <t>900 NORTH MARQUIS HWY</t>
  </si>
  <si>
    <t>807 SOUTH EAST MAIN STREET</t>
  </si>
  <si>
    <t>413 LAKESIDE COURT</t>
  </si>
  <si>
    <t>5583 SUMMERTON HIGHWAY</t>
  </si>
  <si>
    <t>1207 NORTH CASHUA ROAD</t>
  </si>
  <si>
    <t>575 STONEWALL JACKSON BOULEVARD</t>
  </si>
  <si>
    <t>401 NELSON BOULEVARD</t>
  </si>
  <si>
    <t>710 15-401 BYPASS, WEST</t>
  </si>
  <si>
    <t>4438 PAMPLICO HIGHWAY</t>
  </si>
  <si>
    <t>3300 4TH AVENUE</t>
  </si>
  <si>
    <t>51 N MAIN ST</t>
  </si>
  <si>
    <t>261 S HERLONG AVE</t>
  </si>
  <si>
    <t>9285 MEDICAL PLAZA DR</t>
  </si>
  <si>
    <t>3514 SIDNEY ROAD</t>
  </si>
  <si>
    <t>151 LOVELY DRIVE</t>
  </si>
  <si>
    <t>1516 GRAYS HIGHWAY</t>
  </si>
  <si>
    <t>401 CHANDLER RD</t>
  </si>
  <si>
    <t>140 TOKEENA RD</t>
  </si>
  <si>
    <t>505 SOUTH LIVE OAK DRIVE</t>
  </si>
  <si>
    <t>709 RICE AVENUE</t>
  </si>
  <si>
    <t>905 DUKE STREET</t>
  </si>
  <si>
    <t>830 LAURENS STREET NORTH</t>
  </si>
  <si>
    <t>1049 ANNA KNAPP BOULEVARD</t>
  </si>
  <si>
    <t>120 LAMOTTE DRIVE</t>
  </si>
  <si>
    <t>1940 BOYD ROAD</t>
  </si>
  <si>
    <t>300 WOOD HAVEN DRIVE</t>
  </si>
  <si>
    <t>515 SOUTH WARLEY STREET</t>
  </si>
  <si>
    <t>2044 PAGELAND HWY</t>
  </si>
  <si>
    <t>920 TRAVELERS BOULEVARD</t>
  </si>
  <si>
    <t>722 SOUTH DARGAN STREET</t>
  </si>
  <si>
    <t>117 BELLEFIELD ROAD</t>
  </si>
  <si>
    <t>159 SEDGEWOOD DR</t>
  </si>
  <si>
    <t>1 HOKE SMITH BOULEVARD</t>
  </si>
  <si>
    <t>133 WEST CLARKE ROAD</t>
  </si>
  <si>
    <t>127 MURRAH DR</t>
  </si>
  <si>
    <t>501 GULLIVER ST</t>
  </si>
  <si>
    <t>146 BATTLESHIP ROAD</t>
  </si>
  <si>
    <t>601 DANTZLER STREET</t>
  </si>
  <si>
    <t>204 HOLIDAY ROAD</t>
  </si>
  <si>
    <t>1415 PARKWAY DRIVE</t>
  </si>
  <si>
    <t>2379 CYPRESS CIRCLE</t>
  </si>
  <si>
    <t>207 CHAPPELL DRIVE</t>
  </si>
  <si>
    <t>8020 WHITE AVENUE</t>
  </si>
  <si>
    <t>105 MEDFORD DRIVE</t>
  </si>
  <si>
    <t>1114 EAST GEORGIA ROAD</t>
  </si>
  <si>
    <t>1007 N KING ST</t>
  </si>
  <si>
    <t>213 TANGLEWOOD COURT</t>
  </si>
  <si>
    <t>1800 EAGLE LANDING BLVD</t>
  </si>
  <si>
    <t>400 WEBBER ROAD</t>
  </si>
  <si>
    <t>831 MCDOW DRIVE</t>
  </si>
  <si>
    <t>226 WA REEL DRIVE</t>
  </si>
  <si>
    <t>600 SULPHER SPRINGS ROAD</t>
  </si>
  <si>
    <t>901 MAPLE STREET</t>
  </si>
  <si>
    <t>1200 TALISMAN DRIVE</t>
  </si>
  <si>
    <t>5721 SPRINGFIELD HWY</t>
  </si>
  <si>
    <t>1850 CRESTVIEW ROAD</t>
  </si>
  <si>
    <t>1527 URBANA ROAD</t>
  </si>
  <si>
    <t>4605 BELTON HIGHWAY</t>
  </si>
  <si>
    <t>1150 STATE ROAD</t>
  </si>
  <si>
    <t>59 BLACKSTOCK ROAD</t>
  </si>
  <si>
    <t>2 GRIFFITH ROAD</t>
  </si>
  <si>
    <t>163 LOVE &amp; CARE ROAD</t>
  </si>
  <si>
    <t>2906 GEER HWY</t>
  </si>
  <si>
    <t>3525 AUGUSTUS ROAD</t>
  </si>
  <si>
    <t>56 GENESIS DRIVE</t>
  </si>
  <si>
    <t>1761 PINEWOOD ROAD</t>
  </si>
  <si>
    <t>550 EAST GATE DRIVE</t>
  </si>
  <si>
    <t>518 S MAIN STREET</t>
  </si>
  <si>
    <t>109 BENTZ ROAD</t>
  </si>
  <si>
    <t>252 LIBERTY STREET SOUTH</t>
  </si>
  <si>
    <t>82 N MAIN STREET</t>
  </si>
  <si>
    <t>406 WEST BROAD STREET</t>
  </si>
  <si>
    <t>1612 JONES BRIDGE ROAD</t>
  </si>
  <si>
    <t>350 AUSTIN GRAYBILL</t>
  </si>
  <si>
    <t>815 OLD CHEROKEE ROAD</t>
  </si>
  <si>
    <t>1305 BOILING SPRINGS ROAD</t>
  </si>
  <si>
    <t>4452 SOCASTEE BLVD</t>
  </si>
  <si>
    <t>9405 HWY 17 BYPASS</t>
  </si>
  <si>
    <t>87 BIRD SONG WAY</t>
  </si>
  <si>
    <t>255 MIDLAND PARKWAY</t>
  </si>
  <si>
    <t>2600 ELMS PLANTATION BLVD</t>
  </si>
  <si>
    <t>2993 SUNSET BLVD</t>
  </si>
  <si>
    <t>ONE MARTHA FRANKS DRIVE</t>
  </si>
  <si>
    <t>2514 FARAWAY DRIVE</t>
  </si>
  <si>
    <t>1330 TAYLOR AT MARION STREET</t>
  </si>
  <si>
    <t>1038 MCGILL LANE</t>
  </si>
  <si>
    <t>129 N WASHINGTON ST</t>
  </si>
  <si>
    <t>801 LEMON GRASS COURT</t>
  </si>
  <si>
    <t>7601 PARKLANE ROAD</t>
  </si>
  <si>
    <t>800 WEST MEETING STREET</t>
  </si>
  <si>
    <t>850 E. BUTLER RD.</t>
  </si>
  <si>
    <t>35 SOUTHPOINT DRIVE</t>
  </si>
  <si>
    <t>1137 SAM RITTENBURG BLVD</t>
  </si>
  <si>
    <t>3647 MAYBANK HIGHWAY</t>
  </si>
  <si>
    <t>22725 HIGHWAY 76 EAST</t>
  </si>
  <si>
    <t>1645 RIDGE ROAD</t>
  </si>
  <si>
    <t>157 HOME AVENUE</t>
  </si>
  <si>
    <t>1306 PELHAM RD</t>
  </si>
  <si>
    <t>1885 RIFLE RANGE ROAD</t>
  </si>
  <si>
    <t>3025 CHESBROUGH BLVD</t>
  </si>
  <si>
    <t>200 FORTRESS DRIVE</t>
  </si>
  <si>
    <t>300 AGAPE DRIVE</t>
  </si>
  <si>
    <t>120 LAKES AT LITCHFIELD DRIVE</t>
  </si>
  <si>
    <t>2230 ASHLEY CROSSING DRIVE</t>
  </si>
  <si>
    <t>5001 LITTLE RIVER ROAD</t>
  </si>
  <si>
    <t>807 NORTH MAIN STREET</t>
  </si>
  <si>
    <t>389 SERPENTINE DRIVE</t>
  </si>
  <si>
    <t>1215 WILDEWOOD DOWNS CIRCLE</t>
  </si>
  <si>
    <t>2461 SIDNEY ROAD</t>
  </si>
  <si>
    <t>100 FINLEY ROAD</t>
  </si>
  <si>
    <t>1530 PARKWAY</t>
  </si>
  <si>
    <t>201 W 9TH NORTH STREET</t>
  </si>
  <si>
    <t>110 SUMMIT HILLS DRIVE</t>
  </si>
  <si>
    <t>2320 HIGHWAY 378</t>
  </si>
  <si>
    <t>30 SPRINGCREST COURT</t>
  </si>
  <si>
    <t>801 MUSGROVE STREET</t>
  </si>
  <si>
    <t>50 ARBORTEUM WAY</t>
  </si>
  <si>
    <t>171 BRIGHTWATER DRIVE</t>
  </si>
  <si>
    <t>700 DAVEGA DRIVE</t>
  </si>
  <si>
    <t>3039 OKATIE HIGHWAY</t>
  </si>
  <si>
    <t>311 SIMPSON RD</t>
  </si>
  <si>
    <t>1075 HEATHER GREEN DRIVE</t>
  </si>
  <si>
    <t>1 STILL HOPES DRIVE</t>
  </si>
  <si>
    <t>2825 CARTER ROAD</t>
  </si>
  <si>
    <t>205 BUD NALLEY DRIVE</t>
  </si>
  <si>
    <t>1010 LAKE HUNTER CIRCLE</t>
  </si>
  <si>
    <t>1200 HOSPITAL DR 2ND FL</t>
  </si>
  <si>
    <t>401 9TH AVENUE NW  POST OFFICE BOX 1210</t>
  </si>
  <si>
    <t>300 22ND AVE</t>
  </si>
  <si>
    <t>501 SUMMIT ST</t>
  </si>
  <si>
    <t>525 N FOSTER</t>
  </si>
  <si>
    <t>305 S STATE ST  POST OFFICE BOX 4450</t>
  </si>
  <si>
    <t>801 E SIOUX</t>
  </si>
  <si>
    <t>400 8TH AVENUE NW</t>
  </si>
  <si>
    <t>1103 SOUTH SECOND STREET</t>
  </si>
  <si>
    <t>1345 MICHIGAN AVENUE SW</t>
  </si>
  <si>
    <t>300 PARK STREET   POST OFFICE BOX 408</t>
  </si>
  <si>
    <t>3900 S CATHY AVE</t>
  </si>
  <si>
    <t>1065 MONTGOMERY ST</t>
  </si>
  <si>
    <t>255 TEXAS ST</t>
  </si>
  <si>
    <t>717 EAST DAKOTA</t>
  </si>
  <si>
    <t>2200 13TH AVE</t>
  </si>
  <si>
    <t>215 SOUTH MAPLE STREET</t>
  </si>
  <si>
    <t>1015 MT VIEW RD</t>
  </si>
  <si>
    <t>6 E CHESTNUT</t>
  </si>
  <si>
    <t>3600 SOUTH NORTON AVENUE</t>
  </si>
  <si>
    <t>916 MOUNTAIN VIEW ROAD</t>
  </si>
  <si>
    <t>1700 NORTH HIGHWAY 281</t>
  </si>
  <si>
    <t>1002 NORTH JAY STREET</t>
  </si>
  <si>
    <t>1020 N 10TH STREET</t>
  </si>
  <si>
    <t>1500 W 38TH ST</t>
  </si>
  <si>
    <t>3901 S MARION RD</t>
  </si>
  <si>
    <t>401 WEST SECOND STREET</t>
  </si>
  <si>
    <t>950 EAST PARK STREET</t>
  </si>
  <si>
    <t>1106 NORTH SECOND STREET</t>
  </si>
  <si>
    <t>500 COLONIAL DRIVE</t>
  </si>
  <si>
    <t>120 CARE CENTER ROAD  POST OFFICE BOX 280</t>
  </si>
  <si>
    <t>2500 ARROWHEAD DR</t>
  </si>
  <si>
    <t>1100 4TH AVENUE EAST  POST OFFICE BOX 937</t>
  </si>
  <si>
    <t>718 NE 8TH ST</t>
  </si>
  <si>
    <t>1015 THIRD STREET EAST</t>
  </si>
  <si>
    <t>617 BLOEMENDAAL DRIVE  POST OFFICE BOX 728</t>
  </si>
  <si>
    <t>805 E 8TH ST</t>
  </si>
  <si>
    <t>106 BRADDOCK  POST OFFICE BOX 489</t>
  </si>
  <si>
    <t>201 8TH AVENUE NW</t>
  </si>
  <si>
    <t>803 PARK STREET   POST OFFICE BOX 139</t>
  </si>
  <si>
    <t>302 ST CLOUD STREET</t>
  </si>
  <si>
    <t>500 S OHLMAN</t>
  </si>
  <si>
    <t>101 CHURCH STREET</t>
  </si>
  <si>
    <t>1620 NORTH 7TH STREET</t>
  </si>
  <si>
    <t>600 SOUTH FRANKLIN ST  POST OFFICE BOX 486</t>
  </si>
  <si>
    <t>4513 SOUTH PRINCE OF PEACE PLACE</t>
  </si>
  <si>
    <t>415 FOURTH AVE NE</t>
  </si>
  <si>
    <t>312 EAST STATE ST</t>
  </si>
  <si>
    <t>2111 WEST 11TH STREET</t>
  </si>
  <si>
    <t>129 W HWY 12</t>
  </si>
  <si>
    <t>1201 HWY 71 SOUTH</t>
  </si>
  <si>
    <t>1224 S HIGH ST</t>
  </si>
  <si>
    <t>411 CALUMET AVENUE NW</t>
  </si>
  <si>
    <t>300 WEST HAZEL AVENUE</t>
  </si>
  <si>
    <t>1001 S EGAN AVE</t>
  </si>
  <si>
    <t>303 W 6TH AVE POST OFFICE BOX 247</t>
  </si>
  <si>
    <t>202 J AVENUE POST OFFICE BOX 40</t>
  </si>
  <si>
    <t>405 FIRST AVE</t>
  </si>
  <si>
    <t>606 W CEDAR</t>
  </si>
  <si>
    <t>404 EAST 6TH AVENUE</t>
  </si>
  <si>
    <t>2421 YORKSHIRE DR</t>
  </si>
  <si>
    <t>1401 PEARL ST</t>
  </si>
  <si>
    <t>611 EAST 2ND AVE</t>
  </si>
  <si>
    <t>700 WEST MAIN ST</t>
  </si>
  <si>
    <t>500 VERMILLION ST</t>
  </si>
  <si>
    <t>455 NORTH DAKOTA</t>
  </si>
  <si>
    <t>405 6TH AVENUE WEST</t>
  </si>
  <si>
    <t>300 N DOBSON ST</t>
  </si>
  <si>
    <t>410 8TH STREET SE</t>
  </si>
  <si>
    <t>410 SECOND STREET POST OFFICE BOX 337</t>
  </si>
  <si>
    <t>515 OHIO STREET</t>
  </si>
  <si>
    <t>130 6TH STREET</t>
  </si>
  <si>
    <t>1901 SOUTH HOLLY AVENUE</t>
  </si>
  <si>
    <t>740 EAST LAKE ST  POST OFFICE BOX 130</t>
  </si>
  <si>
    <t>2304 LAUREL STREET</t>
  </si>
  <si>
    <t>205 FJERESTAD AVENUE EAST   POST OFFICE BOX 1</t>
  </si>
  <si>
    <t>129 E CLAY ST</t>
  </si>
  <si>
    <t>1022 NORTH DAKOTA AVENUE</t>
  </si>
  <si>
    <t>949 HARMON STREET</t>
  </si>
  <si>
    <t>412 SOUTH MADISON  POST OFFICE BOX 327</t>
  </si>
  <si>
    <t>1311 VANDER HORCK  POST OFFICE BOX 939</t>
  </si>
  <si>
    <t>515 W HWY 46</t>
  </si>
  <si>
    <t>8001 W 5TH STREET  POST OFFICE BOX 556</t>
  </si>
  <si>
    <t>1120 EAST 7TH AVENUE</t>
  </si>
  <si>
    <t>2000 WESLEYAN BLVD</t>
  </si>
  <si>
    <t>200 SOUTH PATRICK AVENUE</t>
  </si>
  <si>
    <t>510 E 8TH ST POST OFFICE BOX 370</t>
  </si>
  <si>
    <t>402 S PINE STREET</t>
  </si>
  <si>
    <t>901 N MAIN ST POST OFFICE BOX 300</t>
  </si>
  <si>
    <t>920 4TH ST</t>
  </si>
  <si>
    <t>913 COLONEL PETE STREET</t>
  </si>
  <si>
    <t>401 SOUTH FIRST AVENUE  POST OFFICE BOX 68</t>
  </si>
  <si>
    <t>501 4TH ST</t>
  </si>
  <si>
    <t>315 NORTH WASHINGTON ST   POST OFFICE BOX 368</t>
  </si>
  <si>
    <t>85 1ST AVENUE EAST  POST OFFICE BOX 108</t>
  </si>
  <si>
    <t>103 N VIOLA ST</t>
  </si>
  <si>
    <t>4861 LINCOLN AVENUE</t>
  </si>
  <si>
    <t>421 EAST 4TH ST</t>
  </si>
  <si>
    <t>801 S MAIN POST OFFICE BOX 195</t>
  </si>
  <si>
    <t>50 SEVENTH ST SE POST OFFICE BOX 946</t>
  </si>
  <si>
    <t>1321 W DOW RUMMEL ST</t>
  </si>
  <si>
    <t>1400 THRESHER DR</t>
  </si>
  <si>
    <t>3012 E ASPEN BLVD</t>
  </si>
  <si>
    <t>720 PARKWAY</t>
  </si>
  <si>
    <t>408 SOUTH JOHNSTON STREET</t>
  </si>
  <si>
    <t>481 INTERSTATE DRIVE</t>
  </si>
  <si>
    <t>103 J V MANGUBAT DR</t>
  </si>
  <si>
    <t>631 RB WILSON DR</t>
  </si>
  <si>
    <t>1265 E COLLEGE ST</t>
  </si>
  <si>
    <t>851 LOCUST STREET</t>
  </si>
  <si>
    <t>2718 SQUIRREL HOLLOW DRIVE</t>
  </si>
  <si>
    <t>705 E POPLAR AVE</t>
  </si>
  <si>
    <t>4039 HIGHLAND ST</t>
  </si>
  <si>
    <t>726 MCFARLAND ST</t>
  </si>
  <si>
    <t>969 TENNESSEE AVE S</t>
  </si>
  <si>
    <t>400 TICKLE ST</t>
  </si>
  <si>
    <t>935 WAYNE ROAD</t>
  </si>
  <si>
    <t>100 OLD JEFFERSON ST</t>
  </si>
  <si>
    <t>520 W MAIN ST</t>
  </si>
  <si>
    <t>HWY 43 S BOX 847</t>
  </si>
  <si>
    <t>650 NUCKOLLS ROAD</t>
  </si>
  <si>
    <t>315 OAK ST BOX 550</t>
  </si>
  <si>
    <t>5001 EAST MAIN STREET</t>
  </si>
  <si>
    <t>244 OAKWOOD DR</t>
  </si>
  <si>
    <t>812 CHARLOTTE ST</t>
  </si>
  <si>
    <t>1 SISKEN PLAZA</t>
  </si>
  <si>
    <t>2700 PARKWOOD AVE</t>
  </si>
  <si>
    <t>2648 SEVIERVILLE RD</t>
  </si>
  <si>
    <t>3209 BRISTOL HWY</t>
  </si>
  <si>
    <t>2710 TROTWOOD AVE</t>
  </si>
  <si>
    <t>1414 COUNTY HOSPITAL RD</t>
  </si>
  <si>
    <t>8017 DOGWOOD LANE P O BOX A</t>
  </si>
  <si>
    <t>1850 OLD KNOXVILLE ROAD</t>
  </si>
  <si>
    <t>431 LARKIN SPRING RD</t>
  </si>
  <si>
    <t>928 OLD SMITHVILLE RD</t>
  </si>
  <si>
    <t>100 GREENWAY CIRCLE</t>
  </si>
  <si>
    <t>608 8TH AVE EAST</t>
  </si>
  <si>
    <t>1653 MOORESVILLE HIGHWAY</t>
  </si>
  <si>
    <t>809 EAST EMERALD AVE</t>
  </si>
  <si>
    <t>1204 FRYE ST</t>
  </si>
  <si>
    <t>993 E COLLEGE ST</t>
  </si>
  <si>
    <t>7424 MIDDLEBROOK PIKE</t>
  </si>
  <si>
    <t>2120 HIGHLAND AVE</t>
  </si>
  <si>
    <t>420 N UNIVERSITY ST</t>
  </si>
  <si>
    <t>101 WALNUT LANE</t>
  </si>
  <si>
    <t>815 SOUTH WALNUT AVENUE</t>
  </si>
  <si>
    <t>2626 WALKER RD</t>
  </si>
  <si>
    <t>329 MURFREESBORO RD</t>
  </si>
  <si>
    <t>5837 LYONS VIEW PIKE</t>
  </si>
  <si>
    <t>200 TORREY ROAD</t>
  </si>
  <si>
    <t>825 FISHER AVE P O BOX 549</t>
  </si>
  <si>
    <t>2380 BUFFALO ROAD</t>
  </si>
  <si>
    <t>3030 WALNUT GROVE RD</t>
  </si>
  <si>
    <t>308 LAKE DRIVE, PO BOX 550</t>
  </si>
  <si>
    <t>671 ALEXIAN WAY</t>
  </si>
  <si>
    <t>555 E BLEDSOE</t>
  </si>
  <si>
    <t>360 DELL TRAIL, PO BOX 878</t>
  </si>
  <si>
    <t>216 FAIRGROUND ST</t>
  </si>
  <si>
    <t>300 LABORATORY RD</t>
  </si>
  <si>
    <t>731 MIDDLE CREEK RD</t>
  </si>
  <si>
    <t>34 GRACEY ST</t>
  </si>
  <si>
    <t>5321 BEVERLY PARK CIRCLE</t>
  </si>
  <si>
    <t>415 CATLETT RD</t>
  </si>
  <si>
    <t>177 NORTH HIGHLAND</t>
  </si>
  <si>
    <t>220 LONGMIRE RD</t>
  </si>
  <si>
    <t>278 DRY VALLEY RD</t>
  </si>
  <si>
    <t>104 WATSON ROAD</t>
  </si>
  <si>
    <t>1105 SUNSWEPT DR</t>
  </si>
  <si>
    <t>141 N MCLEAN</t>
  </si>
  <si>
    <t>6025 PRIMACY PARKWAY</t>
  </si>
  <si>
    <t>2910 PEERLESS RD</t>
  </si>
  <si>
    <t>5580 ROANE STATE HWY</t>
  </si>
  <si>
    <t>1360 BYPASS ROAD</t>
  </si>
  <si>
    <t>1287 WEST MAIN</t>
  </si>
  <si>
    <t>2733 MCCAMPBELL AVENUE</t>
  </si>
  <si>
    <t>6007 PARK AVE</t>
  </si>
  <si>
    <t>131 N TUCKER</t>
  </si>
  <si>
    <t>932 BADDOUR PARKWAY</t>
  </si>
  <si>
    <t>537 SPRING STREET, PO BOX 399</t>
  </si>
  <si>
    <t>902 BUCHANAN RD</t>
  </si>
  <si>
    <t>200 STRAHL STREET</t>
  </si>
  <si>
    <t>421 OCALA DRIVE</t>
  </si>
  <si>
    <t>200 MAYFIELD DRIVE</t>
  </si>
  <si>
    <t>505 N ROAN STREET</t>
  </si>
  <si>
    <t>3549 NORRISWOOD</t>
  </si>
  <si>
    <t>504 ELMINGTON AVENUE</t>
  </si>
  <si>
    <t>80 JUSTICE ST</t>
  </si>
  <si>
    <t>500 HICKORY HOLLOW TERRACE</t>
  </si>
  <si>
    <t>835 UNION STREET</t>
  </si>
  <si>
    <t>112 HEALTH CARE DR</t>
  </si>
  <si>
    <t>501 AMANA AVENUE</t>
  </si>
  <si>
    <t>2035 STONEBROOK PLACE</t>
  </si>
  <si>
    <t>374 BRINK ST PO BOX 906</t>
  </si>
  <si>
    <t>438 NORTH WATER AVE</t>
  </si>
  <si>
    <t>2727 PALMYRA RD</t>
  </si>
  <si>
    <t>597 WEST FOREST AVENUE</t>
  </si>
  <si>
    <t>3535 KIRBY ROAD</t>
  </si>
  <si>
    <t>250 BELLEBROOK RD</t>
  </si>
  <si>
    <t>370 OLD SHACKLE ISLAND RD</t>
  </si>
  <si>
    <t>6733 QUINCE ROAD</t>
  </si>
  <si>
    <t>1000 ST LUKE DRIVE</t>
  </si>
  <si>
    <t>8249 STANDIFER GAP ROAD</t>
  </si>
  <si>
    <t>2421 JOHN B DENNIS HIGHWAY</t>
  </si>
  <si>
    <t>331 HINCH STREET</t>
  </si>
  <si>
    <t>635 HIGH STREET</t>
  </si>
  <si>
    <t>919 MEDICAL PARK DRIVE</t>
  </si>
  <si>
    <t>1026 MCFARLAND STREET</t>
  </si>
  <si>
    <t>415 PACE STREET</t>
  </si>
  <si>
    <t>1200 SPRUCE LANE</t>
  </si>
  <si>
    <t>955 GERMANTOWN PKWY</t>
  </si>
  <si>
    <t>3909 COVINGTON PIKE</t>
  </si>
  <si>
    <t>3568 APPLING ROAD</t>
  </si>
  <si>
    <t>629 HOSPITAL ROAD</t>
  </si>
  <si>
    <t>257 PATTON LANE</t>
  </si>
  <si>
    <t>239 HOSPITAL CIRCLE</t>
  </si>
  <si>
    <t>1265 UNION AVENUE</t>
  </si>
  <si>
    <t>725 CRUM STREET</t>
  </si>
  <si>
    <t>700 NUCKOLLS ROAD</t>
  </si>
  <si>
    <t>1076 CHAMBLISS ROAD</t>
  </si>
  <si>
    <t>1101 GLEN OAKS ROAD</t>
  </si>
  <si>
    <t>1530 MIDDLE TENNESSEE BLVD</t>
  </si>
  <si>
    <t>841 W. JAMES CAMPBELL BLVD.</t>
  </si>
  <si>
    <t>701 WEST MAIN BLVD</t>
  </si>
  <si>
    <t>1715 N JACKSON ST</t>
  </si>
  <si>
    <t>419 SOUTH KINGSTON STREET</t>
  </si>
  <si>
    <t>1020 RUNYAN DR</t>
  </si>
  <si>
    <t>1150 DOVECREST RD</t>
  </si>
  <si>
    <t>181 DUNLAP ROAD</t>
  </si>
  <si>
    <t>3530 KEITH ST NW</t>
  </si>
  <si>
    <t>1012 JAMESTOWN WAY</t>
  </si>
  <si>
    <t>283 W BROADWAY BLVD</t>
  </si>
  <si>
    <t>158 MT PELIA RD</t>
  </si>
  <si>
    <t>895 POWERS BLVD</t>
  </si>
  <si>
    <t>112 OLD DICKSON RD</t>
  </si>
  <si>
    <t>1520 GROVE ST BOX 190</t>
  </si>
  <si>
    <t>18805 ALBERTA DR</t>
  </si>
  <si>
    <t>649 MCMURRY BLVD</t>
  </si>
  <si>
    <t>12823 KINGSTON PIKE</t>
  </si>
  <si>
    <t>204 INDUSTRIAL PARK RD</t>
  </si>
  <si>
    <t>100 ELMHURST DR</t>
  </si>
  <si>
    <t>4343 ASHLAND CITY HWY</t>
  </si>
  <si>
    <t>600 SHAWANEE RD</t>
  </si>
  <si>
    <t>801 E MCKEE ST</t>
  </si>
  <si>
    <t>3939 HILLSBORO CIRCLE</t>
  </si>
  <si>
    <t>731 CASTLE HEIGHTS COURT</t>
  </si>
  <si>
    <t>PO BOX 10299</t>
  </si>
  <si>
    <t>1340 N GRUNDY QUARLES HWY P O BOX 7</t>
  </si>
  <si>
    <t>1710 BELCOURT AVENUE</t>
  </si>
  <si>
    <t>197 HOSPITAL DR</t>
  </si>
  <si>
    <t>336 WEST OLD ANDREW JOHNSON HWY</t>
  </si>
  <si>
    <t>136 DAVIS LANE</t>
  </si>
  <si>
    <t>886 HWY 411 NORTH</t>
  </si>
  <si>
    <t>332 RIVER ROAD</t>
  </si>
  <si>
    <t>40 NURSING HOME ROAD</t>
  </si>
  <si>
    <t>3051 BUFFALO ROAD</t>
  </si>
  <si>
    <t>3425 KNIGHT DRIVE</t>
  </si>
  <si>
    <t>8119 MEMPHIS-ARLINGTON ROAD</t>
  </si>
  <si>
    <t>215 RICHARDSON WAY</t>
  </si>
  <si>
    <t>1034 REELFOOT DRIVE</t>
  </si>
  <si>
    <t>307 N FIFTH ST BOX 5477</t>
  </si>
  <si>
    <t>287 BAKER STREET</t>
  </si>
  <si>
    <t>100 STALLING LANE</t>
  </si>
  <si>
    <t>240 HOSPITAL LANE, PO BOX 300</t>
  </si>
  <si>
    <t>36 BAZEBERRY ROAD</t>
  </si>
  <si>
    <t>PO BOX 658, 9210 APISON PIKE</t>
  </si>
  <si>
    <t>3641 MEMORIAL BLVD</t>
  </si>
  <si>
    <t>1500 FINCHER AVENUE</t>
  </si>
  <si>
    <t>3300 BROADWAY NE</t>
  </si>
  <si>
    <t>1234 FRYE STREET, PO BOX 786</t>
  </si>
  <si>
    <t>PO BOX 26 COFFEY LANE</t>
  </si>
  <si>
    <t>1641 HIGHWAY 19E</t>
  </si>
  <si>
    <t>3382 ANDERSONVILLE HIGHWAY</t>
  </si>
  <si>
    <t>456 WAYNE AVENUE</t>
  </si>
  <si>
    <t>215 HIGHLAND CIRCLE DRIVE</t>
  </si>
  <si>
    <t>2036 HIGHWAY 45 BYPASS</t>
  </si>
  <si>
    <t>166 COPPER BASIN INDUSTRIAL PARK PO BOX 518</t>
  </si>
  <si>
    <t>501 WEST ECONOMY ROAD</t>
  </si>
  <si>
    <t>111 E PEMBERTON STREET</t>
  </si>
  <si>
    <t>2501 RIVER ROAD</t>
  </si>
  <si>
    <t>32 MEMORIAL DRIVE</t>
  </si>
  <si>
    <t>4081 THORNTON TAYLOR PARKWAY</t>
  </si>
  <si>
    <t>25385 MAIN STREET</t>
  </si>
  <si>
    <t>520 OLD HIGHWAY 68</t>
  </si>
  <si>
    <t>105 ROWLAND</t>
  </si>
  <si>
    <t>117 N MAIN STREET</t>
  </si>
  <si>
    <t>1901 CLINCH AVE</t>
  </si>
  <si>
    <t>309 MAIN ST</t>
  </si>
  <si>
    <t>765 BERT JOHNSTON AVE P O BOX 544</t>
  </si>
  <si>
    <t>1250 FARROW ROAD</t>
  </si>
  <si>
    <t>41 HOSPITAL DRIVE, PO BOX 1067</t>
  </si>
  <si>
    <t>1636 WOODLAWN</t>
  </si>
  <si>
    <t>2400 MITCHELL STREET</t>
  </si>
  <si>
    <t>1559 NEW HIGHWAY 52</t>
  </si>
  <si>
    <t>201 EAST 10TH STREET</t>
  </si>
  <si>
    <t>3916 BOYDS BRIDGE PIKE</t>
  </si>
  <si>
    <t>8060 STINSON ROAD</t>
  </si>
  <si>
    <t>106 HOLT COURT</t>
  </si>
  <si>
    <t>214 NORTH WATER STREET</t>
  </si>
  <si>
    <t>215 LACKEY LANE</t>
  </si>
  <si>
    <t>400 NORTH STATE OF FRANKLIN ROAD</t>
  </si>
  <si>
    <t>150 OAK MANOR ROAD</t>
  </si>
  <si>
    <t>115 WOODLAWN DRIVE</t>
  </si>
  <si>
    <t>109 HWY 70 NORTH</t>
  </si>
  <si>
    <t>900 EAST OAK HILL AVENUE</t>
  </si>
  <si>
    <t>208 DUNCAN ST N</t>
  </si>
  <si>
    <t>410 W CRAWFORD AVENUE</t>
  </si>
  <si>
    <t>2865 MAIN STREET</t>
  </si>
  <si>
    <t>897 EVERGREEN STREET, PO BOX 769</t>
  </si>
  <si>
    <t>240 HANNAH ROAD</t>
  </si>
  <si>
    <t>2750 EXECUTIVE PARK PLACE</t>
  </si>
  <si>
    <t>202 EAST MTCS ROAD</t>
  </si>
  <si>
    <t>904 HIDDEN ACRES DR</t>
  </si>
  <si>
    <t>278 ROCKY HOLLOW ROAD</t>
  </si>
  <si>
    <t>11 BURTON HILLS BLVD</t>
  </si>
  <si>
    <t>5798 HIXSON HOME PLACE</t>
  </si>
  <si>
    <t>1630 E REELFOOT AVE</t>
  </si>
  <si>
    <t>415 COLE DRIVE</t>
  </si>
  <si>
    <t>811 KEYLON STREET</t>
  </si>
  <si>
    <t>200 SOUTH PARKWAY WEST</t>
  </si>
  <si>
    <t>129 HILLCREST DRIVE</t>
  </si>
  <si>
    <t>395 INTERSTATE DRIVE</t>
  </si>
  <si>
    <t>1927 MEMORIAL BOULEVARD</t>
  </si>
  <si>
    <t>26 SECOND STREET</t>
  </si>
  <si>
    <t>146 BUCK CREEK ROAD</t>
  </si>
  <si>
    <t>409 PARK AVENUE</t>
  </si>
  <si>
    <t>1224 TROTWOOD AVE</t>
  </si>
  <si>
    <t>121 PHYSICIANS DR</t>
  </si>
  <si>
    <t>220 STATE ROUTE 76</t>
  </si>
  <si>
    <t>2320 EAST LAMAR ALEXANDER PKWY</t>
  </si>
  <si>
    <t>901 COUNTY FARM RD</t>
  </si>
  <si>
    <t>701 SEQUOYAH ROAD</t>
  </si>
  <si>
    <t>2030 25TH AVE N</t>
  </si>
  <si>
    <t>405 TIMES AVE</t>
  </si>
  <si>
    <t>1536 APPLING CARE LANE</t>
  </si>
  <si>
    <t>100 CHERRYWOOD PLACE</t>
  </si>
  <si>
    <t>200 BIRCH ST</t>
  </si>
  <si>
    <t>120 CAVETT HILL LANE</t>
  </si>
  <si>
    <t>318 BILBREY STREET</t>
  </si>
  <si>
    <t>ONE SISKIN PLAZA</t>
  </si>
  <si>
    <t>508 MOSE DRIVE</t>
  </si>
  <si>
    <t>409 GRADY ROAD, PO BOX 957</t>
  </si>
  <si>
    <t>460 HANNINGS LANE</t>
  </si>
  <si>
    <t>880 SOUTH MOHAWK DRIVE</t>
  </si>
  <si>
    <t>5081 EASLEY AVENUE</t>
  </si>
  <si>
    <t>5070 SANDERLIN AVENUE</t>
  </si>
  <si>
    <t>444 ONE ELEVEN PLACE</t>
  </si>
  <si>
    <t>1513 N 2ND STREET</t>
  </si>
  <si>
    <t>119 KITTRELL ST, PO BOX 129</t>
  </si>
  <si>
    <t>727 EAST CHURCH STREET</t>
  </si>
  <si>
    <t>111 USSERY ROAD</t>
  </si>
  <si>
    <t>2084 W MAIN ST</t>
  </si>
  <si>
    <t>2380 JAMES ROAD</t>
  </si>
  <si>
    <t>700 WEAKLEY COUNTY NURSING HOME ROAD</t>
  </si>
  <si>
    <t>2650 NORTH MT JULIET ROAD</t>
  </si>
  <si>
    <t>435 OLD BROWNSVILLE RD</t>
  </si>
  <si>
    <t>3515 CHERE CAROL RD</t>
  </si>
  <si>
    <t>704 DUPREE ST</t>
  </si>
  <si>
    <t>1245 E COLLEGE ST</t>
  </si>
  <si>
    <t>1645 FLORENCE RD</t>
  </si>
  <si>
    <t>120 PITCOCK LANE</t>
  </si>
  <si>
    <t>1900 PARR AVENUE</t>
  </si>
  <si>
    <t>118 GLASS ST</t>
  </si>
  <si>
    <t>198 OLD FARMER ROAD</t>
  </si>
  <si>
    <t>524 WEST MAIN STREET</t>
  </si>
  <si>
    <t>726 KENTUCKY AVE</t>
  </si>
  <si>
    <t>835 EAST POPLAR AVENUE</t>
  </si>
  <si>
    <t>45 FOREST COVE</t>
  </si>
  <si>
    <t>2031 AVONDALE RD PBOX 446</t>
  </si>
  <si>
    <t>900 PROFESSIONAL PARK DRIVE</t>
  </si>
  <si>
    <t>978 HWY 11 SOUTH</t>
  </si>
  <si>
    <t>465 ISBILL RD</t>
  </si>
  <si>
    <t>1101 PERSIMMON RIDGE RD</t>
  </si>
  <si>
    <t>1423 MAIN STREET</t>
  </si>
  <si>
    <t>813 S DICKERSON RD</t>
  </si>
  <si>
    <t>1992 HWY 51 S</t>
  </si>
  <si>
    <t>800 VOLUNTEER DRIVE</t>
  </si>
  <si>
    <t>213 HERNDON DRIVE</t>
  </si>
  <si>
    <t>1666 HILLVIEW DRIVE</t>
  </si>
  <si>
    <t>1410 TROTWOOD AVENUE</t>
  </si>
  <si>
    <t>580 W MAIN STREET</t>
  </si>
  <si>
    <t>1124 NORTH MAIN</t>
  </si>
  <si>
    <t>301 WATAUGA AVE</t>
  </si>
  <si>
    <t>220 COLLEGE STREET</t>
  </si>
  <si>
    <t>412 JUANITA DRIVE</t>
  </si>
  <si>
    <t>803 SHANNONDALE WAY</t>
  </si>
  <si>
    <t>914 INDUSTRIAL PARK RD</t>
  </si>
  <si>
    <t>1633 HILLVIEW DRIVE</t>
  </si>
  <si>
    <t>211 COOL SPRINGS BLVD</t>
  </si>
  <si>
    <t>1758 HILLWOOD DRIVE</t>
  </si>
  <si>
    <t>901 N CHARLOTTE</t>
  </si>
  <si>
    <t>55 NURSING HOME RD</t>
  </si>
  <si>
    <t>791 OLD GRAY STATION ROAD</t>
  </si>
  <si>
    <t>704 5TH AVENUE EAST</t>
  </si>
  <si>
    <t>100 NETHERLAND LANE</t>
  </si>
  <si>
    <t>7930 WALKING HORSE CIRCLE</t>
  </si>
  <si>
    <t>2012 SHERWOOD DRIVE</t>
  </si>
  <si>
    <t>ONE VETERANS WAY</t>
  </si>
  <si>
    <t>3933 ALLENBROOKE COVE</t>
  </si>
  <si>
    <t>2002 GREER ROAD</t>
  </si>
  <si>
    <t>140 TECHNOLOGY LANE</t>
  </si>
  <si>
    <t>900 HERITAGE WAY</t>
  </si>
  <si>
    <t>670 HIGHWAY 13 SOUTH</t>
  </si>
  <si>
    <t>2805 CHARLES BRYAN RD</t>
  </si>
  <si>
    <t>4347 LEBANON ROAD</t>
  </si>
  <si>
    <t>118 HALLIBURTON DRIVE</t>
  </si>
  <si>
    <t>1755 ELDRIDGE</t>
  </si>
  <si>
    <t>10055 RHEA COUNTY HIGHWAY</t>
  </si>
  <si>
    <t>490 WEST POPLAR AVENUE</t>
  </si>
  <si>
    <t>8044 COLEY DAVIS ROAD</t>
  </si>
  <si>
    <t>350 EAST TICKLE STREET</t>
  </si>
  <si>
    <t>1406 MEDICAL CENTER DRIVE</t>
  </si>
  <si>
    <t>6801 MIDDLEBROOK PIKE</t>
  </si>
  <si>
    <t>202 ENON SPRINGS ROAD EAST</t>
  </si>
  <si>
    <t>127 E BROOKLYN AVENUE</t>
  </si>
  <si>
    <t>135 GENERATION DRIVE</t>
  </si>
  <si>
    <t>100 SAMARITAN WAY</t>
  </si>
  <si>
    <t>4200 MURFREESBORO PIKE</t>
  </si>
  <si>
    <t>1084 EAST COUNTY HOME ROAD</t>
  </si>
  <si>
    <t>1250 ROBINSON ROAD</t>
  </si>
  <si>
    <t>878-880 WEST MAIN STREET</t>
  </si>
  <si>
    <t>5911 SNOW HILL ROAD</t>
  </si>
  <si>
    <t>832 WEDGEWOOD AVENUE</t>
  </si>
  <si>
    <t>2871 HIGHWAY 31W</t>
  </si>
  <si>
    <t>124 JOHN REED HOME RD</t>
  </si>
  <si>
    <t>1321 CEDAR LANE</t>
  </si>
  <si>
    <t>306 W DUE WEST AVE</t>
  </si>
  <si>
    <t>2300 PAVILION DRIVE</t>
  </si>
  <si>
    <t>104 J V MANGUBAT DRIVE, PO BOX 510</t>
  </si>
  <si>
    <t>140 THORNE BOULEVARD</t>
  </si>
  <si>
    <t>101 POSEY AVENUE</t>
  </si>
  <si>
    <t>200 E ARIZONA</t>
  </si>
  <si>
    <t>101 AVENUE J</t>
  </si>
  <si>
    <t>1301 MONTGOMERY ROAD</t>
  </si>
  <si>
    <t>1900 HOSPITAL BLVD</t>
  </si>
  <si>
    <t>499 10TH STREET</t>
  </si>
  <si>
    <t>720 HOSPITAL DRIVE</t>
  </si>
  <si>
    <t>801 BEDELL AVE</t>
  </si>
  <si>
    <t>801 EAST THIRD</t>
  </si>
  <si>
    <t>1905 HWY 97 EAST</t>
  </si>
  <si>
    <t>1025 GARNER FIELD ROAD</t>
  </si>
  <si>
    <t>700 MEDICAL PARKWAY</t>
  </si>
  <si>
    <t>101 CIRCLE DRIVE</t>
  </si>
  <si>
    <t>224 E SECOND STREET</t>
  </si>
  <si>
    <t>215 CHISHOLM TRAIL</t>
  </si>
  <si>
    <t>632 N W SECOND STREET</t>
  </si>
  <si>
    <t>44 N CUMMINGS</t>
  </si>
  <si>
    <t>200 S IH 35</t>
  </si>
  <si>
    <t>1601 COLUMBIA STREET</t>
  </si>
  <si>
    <t>HWY 83 NORTH</t>
  </si>
  <si>
    <t>110 SHULT DR</t>
  </si>
  <si>
    <t>600 SOUTH BONHAM STREET</t>
  </si>
  <si>
    <t>304 S DAUGHERTY</t>
  </si>
  <si>
    <t>1021 HOLDEN STREET</t>
  </si>
  <si>
    <t>300 WILSON STREET</t>
  </si>
  <si>
    <t>2200 N BRYAN AVE</t>
  </si>
  <si>
    <t>705 EAST GREENWOOD AV</t>
  </si>
  <si>
    <t>200 SOUTH GENEVA STREET</t>
  </si>
  <si>
    <t>1020 S 4TH ST</t>
  </si>
  <si>
    <t>920 HILLCREST DR</t>
  </si>
  <si>
    <t>200 STADIUM DRIVE</t>
  </si>
  <si>
    <t>100 PARK ROAD</t>
  </si>
  <si>
    <t>303 SANDY CORNER RD</t>
  </si>
  <si>
    <t>1500 S SUNSET</t>
  </si>
  <si>
    <t>701 SE 5TH STREET</t>
  </si>
  <si>
    <t>200 MEMORIAL DRIVE</t>
  </si>
  <si>
    <t>4195 MILAM ST</t>
  </si>
  <si>
    <t>821 US HWY 81 W</t>
  </si>
  <si>
    <t>902 N MAIN ST</t>
  </si>
  <si>
    <t>2401 SOUTH 31ST ST</t>
  </si>
  <si>
    <t>1208 N LLANO</t>
  </si>
  <si>
    <t>7505 BELLERIVE</t>
  </si>
  <si>
    <t>2817 KENT STREET</t>
  </si>
  <si>
    <t>1314 3RD STREET</t>
  </si>
  <si>
    <t>5027 PECAN GROVE</t>
  </si>
  <si>
    <t>1855 CHEYENNE</t>
  </si>
  <si>
    <t>8001 WESTERN HILLS BLVD</t>
  </si>
  <si>
    <t>901 WILDROSE LN</t>
  </si>
  <si>
    <t>930 S BAXTER</t>
  </si>
  <si>
    <t>5756 N KNOLL DR</t>
  </si>
  <si>
    <t>616 W RUSSELL PL</t>
  </si>
  <si>
    <t>218 219 N KING ST</t>
  </si>
  <si>
    <t>1001 WALLACE BLVD</t>
  </si>
  <si>
    <t>2129 SKYLINE DR</t>
  </si>
  <si>
    <t>8383 MEADOW RD</t>
  </si>
  <si>
    <t>8223 BROADWAY</t>
  </si>
  <si>
    <t>1600 MURCHISON RD</t>
  </si>
  <si>
    <t>750 W TEXAS AVE</t>
  </si>
  <si>
    <t>7820 SKYLINE PARK DR</t>
  </si>
  <si>
    <t>413 GARLAND DR</t>
  </si>
  <si>
    <t>2501 MAPLE AVE</t>
  </si>
  <si>
    <t>1009 CLYDE ST</t>
  </si>
  <si>
    <t>300 N NEBRASKA</t>
  </si>
  <si>
    <t>900 S BAXTER AVE</t>
  </si>
  <si>
    <t>1200 S HALL ST</t>
  </si>
  <si>
    <t>820 JEFFREY DR</t>
  </si>
  <si>
    <t>424 N TARPEY RD</t>
  </si>
  <si>
    <t>1599 LOMALAND DR</t>
  </si>
  <si>
    <t>7625 GLENVIEW DR</t>
  </si>
  <si>
    <t>1555 POWELL AVENUE</t>
  </si>
  <si>
    <t>5700 E CENTRAL TEXAS EXPWY</t>
  </si>
  <si>
    <t>3000 CARDINAL DR</t>
  </si>
  <si>
    <t>4220 WELLS DR</t>
  </si>
  <si>
    <t>705 NE GEORGIA AVENUE</t>
  </si>
  <si>
    <t>8020 BLANCO RD</t>
  </si>
  <si>
    <t>611 N BROAD ST</t>
  </si>
  <si>
    <t>607 W AVE B</t>
  </si>
  <si>
    <t>5100 RANDOL MILL RD</t>
  </si>
  <si>
    <t>1521 E RUSK</t>
  </si>
  <si>
    <t>1700 MARLANDWOOD RD</t>
  </si>
  <si>
    <t>602 BABCOCK RD</t>
  </si>
  <si>
    <t>1200 LANE</t>
  </si>
  <si>
    <t>2003 N EDWARDS ST</t>
  </si>
  <si>
    <t>8800 FOURWINDS DR</t>
  </si>
  <si>
    <t>3002  AVE  Q</t>
  </si>
  <si>
    <t>200 RIVERSIDE DR</t>
  </si>
  <si>
    <t>4400 GULF ST</t>
  </si>
  <si>
    <t>204 WALTER ST</t>
  </si>
  <si>
    <t>1504 OAK ST</t>
  </si>
  <si>
    <t>280 MOFFITT DR</t>
  </si>
  <si>
    <t>2510 W 24TH ST</t>
  </si>
  <si>
    <t>414 JOHNSON DR</t>
  </si>
  <si>
    <t>1224 CORVADURA ST</t>
  </si>
  <si>
    <t>5607 EVERHART RD</t>
  </si>
  <si>
    <t>600 N CYNTHIA ST</t>
  </si>
  <si>
    <t>795 LINDBERGH DR</t>
  </si>
  <si>
    <t>601 E HWY 69</t>
  </si>
  <si>
    <t>1816 TILE FACTORY RD</t>
  </si>
  <si>
    <t>112 RUTH LYNN DR</t>
  </si>
  <si>
    <t>316 SW 25TH AVE</t>
  </si>
  <si>
    <t>6621 DAN DANCIGER RD</t>
  </si>
  <si>
    <t>1000 HWY 82 E</t>
  </si>
  <si>
    <t>521 W 7TH ST</t>
  </si>
  <si>
    <t>2322 MORGAN AVE</t>
  </si>
  <si>
    <t>3109 KINGS CT</t>
  </si>
  <si>
    <t>1150 E LOOP 304</t>
  </si>
  <si>
    <t>411 AIRPORT RD</t>
  </si>
  <si>
    <t>1800 13TH ST</t>
  </si>
  <si>
    <t>812 W HOUSTON AVE</t>
  </si>
  <si>
    <t>1105 ROCK PRAIRIE RD</t>
  </si>
  <si>
    <t>1413 W MAIN ST</t>
  </si>
  <si>
    <t>1950 S LAS VEGAS TRAIL</t>
  </si>
  <si>
    <t>604 FM 1293</t>
  </si>
  <si>
    <t>307 W CYPRESS ST</t>
  </si>
  <si>
    <t>2806 REAL ST</t>
  </si>
  <si>
    <t>101 N PARKWAY</t>
  </si>
  <si>
    <t>400 OLD SIDNEY RD</t>
  </si>
  <si>
    <t>3301 VIEW ST</t>
  </si>
  <si>
    <t>4713 BUSINESS 181 N</t>
  </si>
  <si>
    <t>1402 W ELM</t>
  </si>
  <si>
    <t>7499 STANWICK DR</t>
  </si>
  <si>
    <t>1000 WIGGINS PKWY</t>
  </si>
  <si>
    <t>631 LAKEVIEW BLVD</t>
  </si>
  <si>
    <t>1212 S BRIDGE</t>
  </si>
  <si>
    <t>510 PAREDES LINE RD</t>
  </si>
  <si>
    <t>2712 N HURSTVIEW</t>
  </si>
  <si>
    <t>2500 HINKLE DR</t>
  </si>
  <si>
    <t>1400 HILLTOP RD</t>
  </si>
  <si>
    <t>2035 N GRANBURY ST</t>
  </si>
  <si>
    <t>1802 S 31ST</t>
  </si>
  <si>
    <t>401 OWEN LN</t>
  </si>
  <si>
    <t>405 S COLLINS ST</t>
  </si>
  <si>
    <t>310 E LAWRENCE ST</t>
  </si>
  <si>
    <t>700 12TH ST</t>
  </si>
  <si>
    <t>1007 S WASHINGTON AVE</t>
  </si>
  <si>
    <t>424 S ADAMS ST</t>
  </si>
  <si>
    <t>9014 TIMBER PATH</t>
  </si>
  <si>
    <t>3326 BURGOYNE</t>
  </si>
  <si>
    <t>900 S 12TH ST</t>
  </si>
  <si>
    <t>1301 EDEN DR</t>
  </si>
  <si>
    <t>1900 W STATE HWY 6</t>
  </si>
  <si>
    <t>2101 TREASURE HILLS BLVD</t>
  </si>
  <si>
    <t>300 N BYNUM</t>
  </si>
  <si>
    <t>701 SAINT LOUIS AVE</t>
  </si>
  <si>
    <t>5601 PLUM CREEK DR</t>
  </si>
  <si>
    <t>2001 AVE E</t>
  </si>
  <si>
    <t>301 HOLLYBROOK DR</t>
  </si>
  <si>
    <t>7514 KINGSLEY ST</t>
  </si>
  <si>
    <t>1900 PINE</t>
  </si>
  <si>
    <t>3201 N FOURTH ST</t>
  </si>
  <si>
    <t>3901 MONTECITO DR</t>
  </si>
  <si>
    <t>1101 S ALAMEDA</t>
  </si>
  <si>
    <t>515 W ASHBY PL</t>
  </si>
  <si>
    <t>111 PARKS VILLAGE DR</t>
  </si>
  <si>
    <t>2018 PULLIAM</t>
  </si>
  <si>
    <t>202 FORTUNE DR</t>
  </si>
  <si>
    <t>1405 VALHALLA DR</t>
  </si>
  <si>
    <t>227 RUSSELL BLVD</t>
  </si>
  <si>
    <t>209 COUNTRY CLUB DR</t>
  </si>
  <si>
    <t>1525 TULL DR</t>
  </si>
  <si>
    <t>1575 BELVIDERE</t>
  </si>
  <si>
    <t>329 SCHOOL DR</t>
  </si>
  <si>
    <t>704 DOBKINS</t>
  </si>
  <si>
    <t>50 BRIGGS ST</t>
  </si>
  <si>
    <t>17600 CALI DR</t>
  </si>
  <si>
    <t>120 STATE LOOP 92</t>
  </si>
  <si>
    <t>11608 SCOTT SIMPSON DR</t>
  </si>
  <si>
    <t>1213 WATER ST</t>
  </si>
  <si>
    <t>8450 WILL CLAYTON PKWY</t>
  </si>
  <si>
    <t>3103 E AIRLINE DR</t>
  </si>
  <si>
    <t>207 E PARKERVILLE RD</t>
  </si>
  <si>
    <t>1661 W YOAKUM</t>
  </si>
  <si>
    <t>505 W CENTERVILLE RD</t>
  </si>
  <si>
    <t>2590 LOOP 337 N</t>
  </si>
  <si>
    <t>820 SMALL ST</t>
  </si>
  <si>
    <t>4401 GARTH RD</t>
  </si>
  <si>
    <t>613 EAKER ST</t>
  </si>
  <si>
    <t>7703 BRIARIDGE</t>
  </si>
  <si>
    <t>1670 LINGLEVILLE RD</t>
  </si>
  <si>
    <t>4001 HWY 59 NORTH</t>
  </si>
  <si>
    <t>2021 SHOAF DR</t>
  </si>
  <si>
    <t>107 STACY</t>
  </si>
  <si>
    <t>603 CORINNE ST</t>
  </si>
  <si>
    <t>2939 WOODLAND PARK DR</t>
  </si>
  <si>
    <t>1020 S 23RD ST</t>
  </si>
  <si>
    <t>1013 S BRYAN RD</t>
  </si>
  <si>
    <t>ONE HEARTLAND DR</t>
  </si>
  <si>
    <t>301 HUGULEY BLVD</t>
  </si>
  <si>
    <t>1705 JACKSON ST</t>
  </si>
  <si>
    <t>401 OAKWOOD BLVD</t>
  </si>
  <si>
    <t>512 DRAPER DR</t>
  </si>
  <si>
    <t>7302 OAK MANOR DR</t>
  </si>
  <si>
    <t>13631 ARDFIELD DR</t>
  </si>
  <si>
    <t>625 N MAIN ST</t>
  </si>
  <si>
    <t>169 MEDICAL DR</t>
  </si>
  <si>
    <t>2001 FOREST RIDGE DR</t>
  </si>
  <si>
    <t>11406 RUSTIC ROCK DRIVE</t>
  </si>
  <si>
    <t>8820 TOWN PARK DR</t>
  </si>
  <si>
    <t>440 E RUBEN TORRES BLVD</t>
  </si>
  <si>
    <t>5757 N KNOLL</t>
  </si>
  <si>
    <t>1401 ST JOSEPH PARKWAY</t>
  </si>
  <si>
    <t>1300 MEMORIAL DR</t>
  </si>
  <si>
    <t>211 E JASPER ST</t>
  </si>
  <si>
    <t>5301 BRYANT IRVIN RD</t>
  </si>
  <si>
    <t>4710 LEXINGTON BLVD</t>
  </si>
  <si>
    <t>10851 CRESCENT MOON DR</t>
  </si>
  <si>
    <t>501 OGDEN</t>
  </si>
  <si>
    <t>4825 WELLESLEY ST</t>
  </si>
  <si>
    <t>820 CAMELOT</t>
  </si>
  <si>
    <t>5550 HARVEST HILL RD</t>
  </si>
  <si>
    <t>8300 WURZBACH RD</t>
  </si>
  <si>
    <t>610 DESHONG DR</t>
  </si>
  <si>
    <t>2535 W PLEASANT RUN</t>
  </si>
  <si>
    <t>150 GIBSON RD</t>
  </si>
  <si>
    <t>2645 W RANDOL MILL RD</t>
  </si>
  <si>
    <t>603 E AVE J</t>
  </si>
  <si>
    <t>1884 LOOP 343 WEST</t>
  </si>
  <si>
    <t>1501 BURNET DRIVE</t>
  </si>
  <si>
    <t>700 W HIGHWAY 287 S</t>
  </si>
  <si>
    <t>215 E PLAZA BLVD</t>
  </si>
  <si>
    <t>777 N POST OAK RD</t>
  </si>
  <si>
    <t>504 N JOHN REDDITT DR</t>
  </si>
  <si>
    <t>169 S OAK ST</t>
  </si>
  <si>
    <t>1621 COIT RD</t>
  </si>
  <si>
    <t>6909 BURNET LN</t>
  </si>
  <si>
    <t>3800 W PARK BLVD</t>
  </si>
  <si>
    <t>1034 LIBERTY PARK DR</t>
  </si>
  <si>
    <t>1210 EASTWOOD DR</t>
  </si>
  <si>
    <t>311 W NOTTINGHAM</t>
  </si>
  <si>
    <t>803 S ALAMO</t>
  </si>
  <si>
    <t>405 DUNCAN PERRY RD</t>
  </si>
  <si>
    <t>4650 S PANTHER CREEK DR</t>
  </si>
  <si>
    <t>207 W MERRITT ST</t>
  </si>
  <si>
    <t>900 W LEUDA ST</t>
  </si>
  <si>
    <t>3759 VALLEY VIEW RD</t>
  </si>
  <si>
    <t>901 CENTRAL TEXAS EXPWY</t>
  </si>
  <si>
    <t>4252 BRYANT IRVIN RD</t>
  </si>
  <si>
    <t>300 ENTERPRISE AVE</t>
  </si>
  <si>
    <t>807 W BOIS D ARC</t>
  </si>
  <si>
    <t>9009 WHITE ROCK TR</t>
  </si>
  <si>
    <t>1606 MEMORIAL AVE</t>
  </si>
  <si>
    <t>1101 GRACE ST</t>
  </si>
  <si>
    <t>3800 MARINA DR</t>
  </si>
  <si>
    <t>9300 LAKEVIEW PKWY</t>
  </si>
  <si>
    <t>2601 NORTHWEST LOOP</t>
  </si>
  <si>
    <t>111 COLLEGE ST</t>
  </si>
  <si>
    <t>7827 PARK LN</t>
  </si>
  <si>
    <t>301 S PARK ST</t>
  </si>
  <si>
    <t>4511 CORONADO AVE</t>
  </si>
  <si>
    <t>555 RANCH RD 3237</t>
  </si>
  <si>
    <t>600 S HILLSIDE DR</t>
  </si>
  <si>
    <t>4301 S EXPRESSWAY 83</t>
  </si>
  <si>
    <t>2124 PALUXY HWY</t>
  </si>
  <si>
    <t>1700 N WASHINGTON</t>
  </si>
  <si>
    <t>4401 COLLEGE DR</t>
  </si>
  <si>
    <t>1302 W PAYNE ST</t>
  </si>
  <si>
    <t>11525 VISTA DEL SOL DR</t>
  </si>
  <si>
    <t>1201 N 15TH ST</t>
  </si>
  <si>
    <t>4710 SLIDE RD</t>
  </si>
  <si>
    <t>210 WEST WINDCREST ST</t>
  </si>
  <si>
    <t>4120 22ND PL</t>
  </si>
  <si>
    <t>2407 WEST MAIN STREET</t>
  </si>
  <si>
    <t>1600 JOSEPHINE ST</t>
  </si>
  <si>
    <t>1000 AVE J</t>
  </si>
  <si>
    <t>903 E HOUSTON ST</t>
  </si>
  <si>
    <t>910 E PIERSON ST</t>
  </si>
  <si>
    <t>1205 SANTA FE DR</t>
  </si>
  <si>
    <t>507 E GREEN ST</t>
  </si>
  <si>
    <t>3001 WESTWARD DR</t>
  </si>
  <si>
    <t>1900 MEDICAL PKWY</t>
  </si>
  <si>
    <t>200 SOUTHWEST 25TH AVE</t>
  </si>
  <si>
    <t>3001 S HOUSTON ST</t>
  </si>
  <si>
    <t>701 S MARKET ST</t>
  </si>
  <si>
    <t>300 LOOP 11</t>
  </si>
  <si>
    <t>1325 FIRST ST</t>
  </si>
  <si>
    <t>5000 FAWN MEADOW</t>
  </si>
  <si>
    <t>1907 REFINERY RD</t>
  </si>
  <si>
    <t>215 MARGARET ST</t>
  </si>
  <si>
    <t>505 S JOHN REDDITT DR</t>
  </si>
  <si>
    <t>1902 FM 3036</t>
  </si>
  <si>
    <t>4620 BELLAIRE BLVD</t>
  </si>
  <si>
    <t>6411 FANNIN</t>
  </si>
  <si>
    <t>300 WEST HIGHWAY 6</t>
  </si>
  <si>
    <t>300 E BAKER ST</t>
  </si>
  <si>
    <t>1010 W MAIN ST</t>
  </si>
  <si>
    <t>1661 S BUFFALO</t>
  </si>
  <si>
    <t>1316 S FLORIDA</t>
  </si>
  <si>
    <t>1101 N HAMPTON RD</t>
  </si>
  <si>
    <t>2428 BAHAMA DR</t>
  </si>
  <si>
    <t>524 VILLAGE RD</t>
  </si>
  <si>
    <t>300 NORTH HOSPITAL DRIVE</t>
  </si>
  <si>
    <t>200 NORTH 400 EAST</t>
  </si>
  <si>
    <t>1109 NORTH 100 WEST</t>
  </si>
  <si>
    <t>2700 WEST 5600 SOUTH</t>
  </si>
  <si>
    <t>2200 EAST 3300 SOUTH</t>
  </si>
  <si>
    <t>3430 HARRISON BOULEVARD</t>
  </si>
  <si>
    <t>815 SOUTH 200 WEST</t>
  </si>
  <si>
    <t>4600 SOUTH HIGHLAND DRIVE</t>
  </si>
  <si>
    <t>41 SOUTH 900 EAST</t>
  </si>
  <si>
    <t>818 NORTH 400 WEST</t>
  </si>
  <si>
    <t>163 EAST 1000 NORTH</t>
  </si>
  <si>
    <t>401 SOUTH 400 EAST</t>
  </si>
  <si>
    <t>1032 EAST 100 SOUTH</t>
  </si>
  <si>
    <t>524 EAST 800 NORTH</t>
  </si>
  <si>
    <t>6246 SOUTH REDWOOD ROAD</t>
  </si>
  <si>
    <t>1481 EAST 1450 SOUTH</t>
  </si>
  <si>
    <t>375 EAST 5350 SOUTH</t>
  </si>
  <si>
    <t>165 SOUTH 1000 EAST</t>
  </si>
  <si>
    <t>1205 EAST 4725 SOUTH</t>
  </si>
  <si>
    <t>4090 WEST PIONEER PARKWAY</t>
  </si>
  <si>
    <t>4285 SOUTH HIGHLAND DRIVE</t>
  </si>
  <si>
    <t>248 WEST 300 NORTH</t>
  </si>
  <si>
    <t>1053 WEST 1020 SOUTH</t>
  </si>
  <si>
    <t>3665 BRINKER AVENUE</t>
  </si>
  <si>
    <t>265 NORTH 300 WEST</t>
  </si>
  <si>
    <t>455 WEST MILL ROAD</t>
  </si>
  <si>
    <t>5865 SOUTH WASATCH DRIVE</t>
  </si>
  <si>
    <t>25 EAST ALPINE DRIVE</t>
  </si>
  <si>
    <t>140 EAST 200 SOUTH</t>
  </si>
  <si>
    <t>740 NORTH 300 EAST</t>
  </si>
  <si>
    <t>12702 SOUTH FORT STREET</t>
  </si>
  <si>
    <t>510 SOUTH 500 WEST</t>
  </si>
  <si>
    <t>775 NORTH 200 EAST</t>
  </si>
  <si>
    <t>3855 SOUTH 700 EAST</t>
  </si>
  <si>
    <t>451 EAST BISHOP FEDERAL LANE</t>
  </si>
  <si>
    <t>2730 EAST 3300 SOUTH</t>
  </si>
  <si>
    <t>350 EAST 300 NORTH</t>
  </si>
  <si>
    <t>1340 EAST 300 NORTH</t>
  </si>
  <si>
    <t>4035 SOUTH 500 EAST</t>
  </si>
  <si>
    <t>416 NORTH STATE STREET</t>
  </si>
  <si>
    <t>250 EAST 600 NORTH</t>
  </si>
  <si>
    <t>575 EAST 1400 SOUTH</t>
  </si>
  <si>
    <t>1100 NORTH 400 EAST</t>
  </si>
  <si>
    <t>3706 WEST 9000 SOUTH</t>
  </si>
  <si>
    <t>4782 SOUTH HOLLADAY BOULEVARD</t>
  </si>
  <si>
    <t>575 EAST 11000 SOUTH</t>
  </si>
  <si>
    <t>50 EAST 9000 SOUTH</t>
  </si>
  <si>
    <t>460 WEST 2600 SOUTH</t>
  </si>
  <si>
    <t>400 EAST 5350 SOUTH</t>
  </si>
  <si>
    <t>1480 NORTH 400 EAST</t>
  </si>
  <si>
    <t>5540 SOUTH 1050 EAST</t>
  </si>
  <si>
    <t>1001 NORTH 500 WEST</t>
  </si>
  <si>
    <t>500 EAST 1400 NORTH</t>
  </si>
  <si>
    <t>125 SOUTH 900 WEST</t>
  </si>
  <si>
    <t>835 EAST VINE STREET</t>
  </si>
  <si>
    <t>1216 EAST 1300 SOUTH</t>
  </si>
  <si>
    <t>55 SOUTH PROFESSIONAL WAY</t>
  </si>
  <si>
    <t>909 WEST 450 SOUTH</t>
  </si>
  <si>
    <t>1745 EAST 280 NORTH</t>
  </si>
  <si>
    <t>1201 EAST 4500 SOUTH</t>
  </si>
  <si>
    <t>1200 EAST 3900 SOUTH</t>
  </si>
  <si>
    <t>950 EAST 3300 SOUTH</t>
  </si>
  <si>
    <t>411 WEST 1325 NORTH</t>
  </si>
  <si>
    <t>242 NORTH 200 WEST</t>
  </si>
  <si>
    <t>2472 SOUTH 300 EAST</t>
  </si>
  <si>
    <t>160 WEST 500 NORTH</t>
  </si>
  <si>
    <t>76 SOUTH 500 EAST</t>
  </si>
  <si>
    <t>700 SOUTH FOOTHILL DRIVE</t>
  </si>
  <si>
    <t>178 SOUTH 1200 EAST</t>
  </si>
  <si>
    <t>69 EAST 100 SOUTH</t>
  </si>
  <si>
    <t>1497 EAST SKYLINE DRIVE</t>
  </si>
  <si>
    <t>523 NORTH MAIN STREET</t>
  </si>
  <si>
    <t>150 SOUTH WHITE SAGE AVENUE</t>
  </si>
  <si>
    <t>433 EAST 2700 SOUTH</t>
  </si>
  <si>
    <t>963 EAST 6600 SOUTH</t>
  </si>
  <si>
    <t>1490 EAST FOREMASTER DRIVE</t>
  </si>
  <si>
    <t>1430 EAST 4500 SOUTH</t>
  </si>
  <si>
    <t>350 SOUTH 400 EAST</t>
  </si>
  <si>
    <t>460 WEST 600 NORTH</t>
  </si>
  <si>
    <t>5323 SOUTH MURRAY BOULEVARD</t>
  </si>
  <si>
    <t>435 WEST CENTER STREET</t>
  </si>
  <si>
    <t>3419 WEST 12600 SOUTH</t>
  </si>
  <si>
    <t>1795 SOUTH CHELEMES WAY</t>
  </si>
  <si>
    <t>1992 SOUTH COLUMBIA LANE</t>
  </si>
  <si>
    <t>3251 WEST 5400 SOUTH</t>
  </si>
  <si>
    <t>1102 NORTH 1200 WEST</t>
  </si>
  <si>
    <t>125 EAST 600 NORTH</t>
  </si>
  <si>
    <t>1203 NORTH FAIRFIELD ROAD</t>
  </si>
  <si>
    <t>10 WEST 400 SOUTH</t>
  </si>
  <si>
    <t>1371 W SOUTH JORDAN PARKWAY</t>
  </si>
  <si>
    <t>370 WEST 500 NORTH</t>
  </si>
  <si>
    <t>538 SOUTH 500 EAST</t>
  </si>
  <si>
    <t>13747 SOUTH REDWOOD ROAD</t>
  </si>
  <si>
    <t>160 N 200 E</t>
  </si>
  <si>
    <t>1551 N MAIN STREET</t>
  </si>
  <si>
    <t>5648 SOUTH ADAMS AVE</t>
  </si>
  <si>
    <t>151 EAST CENTER STREET</t>
  </si>
  <si>
    <t>1012 WESTJORDAN RIVER BOULEVARD</t>
  </si>
  <si>
    <t>160 ALLEN ST</t>
  </si>
  <si>
    <t>43 STARR FARM RD</t>
  </si>
  <si>
    <t>61 GREENWAY DRIVE</t>
  </si>
  <si>
    <t>1200 CHRISTIAN STREET</t>
  </si>
  <si>
    <t>9 HAYWOOD AVENUE</t>
  </si>
  <si>
    <t>300 PEARL STREET</t>
  </si>
  <si>
    <t>30 PORTER DRIVE</t>
  </si>
  <si>
    <t>99 ALLEN STREET</t>
  </si>
  <si>
    <t>1248 HOSPITAL DRIVE</t>
  </si>
  <si>
    <t>98 HOSPITALITY DRIVE</t>
  </si>
  <si>
    <t>596 SHELDON ROAD</t>
  </si>
  <si>
    <t>187 OAK GROVE AVENUE</t>
  </si>
  <si>
    <t>105 CHESTER RD</t>
  </si>
  <si>
    <t>148 PROUTY DRIVE</t>
  </si>
  <si>
    <t>2 BLACKBERRY LANE</t>
  </si>
  <si>
    <t>160 HOSPITAL DRIVE</t>
  </si>
  <si>
    <t>98 STARR FARM RD</t>
  </si>
  <si>
    <t>325 NORTH STREET</t>
  </si>
  <si>
    <t>312 CRESCENT BLVD</t>
  </si>
  <si>
    <t>3086 GLOVER STREET</t>
  </si>
  <si>
    <t>378 PROSPECT STREET</t>
  </si>
  <si>
    <t>46 NICHOLS STREET</t>
  </si>
  <si>
    <t>475 ETHAN ALLEN AVENUE</t>
  </si>
  <si>
    <t>60 MAPLE LANE</t>
  </si>
  <si>
    <t>47 MAGGIE'S POND ROAD</t>
  </si>
  <si>
    <t>601 RED VILLAGE ROAD</t>
  </si>
  <si>
    <t>P.O. BOX 550</t>
  </si>
  <si>
    <t>49 CEDAR HILL DRIVE</t>
  </si>
  <si>
    <t>110 FAIRFAX ROAD</t>
  </si>
  <si>
    <t>PO BOX 24</t>
  </si>
  <si>
    <t>35 BEL-AIRE DRIVE</t>
  </si>
  <si>
    <t>80 MAPLE STREET</t>
  </si>
  <si>
    <t>8 GILL TERRACE</t>
  </si>
  <si>
    <t>71 RICHARDSON AVE</t>
  </si>
  <si>
    <t>7 FOREST HILL DRIVE</t>
  </si>
  <si>
    <t>200 WAKE ROBIN DRIVE</t>
  </si>
  <si>
    <t>577 WASHINGTON HIGHWAY</t>
  </si>
  <si>
    <t>100  15TH NW STREET</t>
  </si>
  <si>
    <t>58 CARROLL STREET</t>
  </si>
  <si>
    <t>245 MEDICAL PARK DRIVE</t>
  </si>
  <si>
    <t>100 FAIRVIEW DRIVE - PO BOX 817</t>
  </si>
  <si>
    <t>727 NORTH MAIN STREET</t>
  </si>
  <si>
    <t>600 WEST RIDGE ROAD</t>
  </si>
  <si>
    <t>200 HOSPITAL DRIVE</t>
  </si>
  <si>
    <t>141 BEN BOLT AVENUE</t>
  </si>
  <si>
    <t>3823 FRANKLIN RD, SW</t>
  </si>
  <si>
    <t>1510 COLLINGWOOD ROAD</t>
  </si>
  <si>
    <t>3615 WEST MAIN STREET</t>
  </si>
  <si>
    <t>2526 NORTH MAIN STREET</t>
  </si>
  <si>
    <t>2729 KING ST</t>
  </si>
  <si>
    <t>170 KENDAL DRIVE</t>
  </si>
  <si>
    <t>8575 RIXLEW LANE</t>
  </si>
  <si>
    <t>2125 HILLIARD ROAD</t>
  </si>
  <si>
    <t>1613 OAKWOOD STREET</t>
  </si>
  <si>
    <t>4800 FILLMORE AVE</t>
  </si>
  <si>
    <t>1005 HAMPTON BLVD</t>
  </si>
  <si>
    <t>1000 OLD DENBEIGH BOULEVARD</t>
  </si>
  <si>
    <t>2200 LANDOVER PLACE</t>
  </si>
  <si>
    <t>6800 LUCY CORR BLVD</t>
  </si>
  <si>
    <t>201 EPPS STREET</t>
  </si>
  <si>
    <t>1148 FIRST COLONIAL RD</t>
  </si>
  <si>
    <t>1945 ROANOKE BLVD</t>
  </si>
  <si>
    <t>327 HERSHBERGER RD NW</t>
  </si>
  <si>
    <t>1225 RESERVOIR STREET</t>
  </si>
  <si>
    <t>1600 WESTBROOK AVE</t>
  </si>
  <si>
    <t>2400 E PARHAM ROAD</t>
  </si>
  <si>
    <t>10701 MAIN STREET</t>
  </si>
  <si>
    <t>550 SOUTH CARLIN SPRINGS ROAD</t>
  </si>
  <si>
    <t>5615 SEMINOLE AVENUE</t>
  </si>
  <si>
    <t>450 PINEY FOREST RD</t>
  </si>
  <si>
    <t>688 KINGSBOROUGH SQUARE</t>
  </si>
  <si>
    <t>2420 PEMBERTON RD</t>
  </si>
  <si>
    <t>3300 RIVERMONT AVE</t>
  </si>
  <si>
    <t>26317 WEST WASHINGTON STREET</t>
  </si>
  <si>
    <t>1785 SOUTH HAYES STREET</t>
  </si>
  <si>
    <t>831 ELLERSLIE AVE</t>
  </si>
  <si>
    <t>1309 KEMPSVILLE RD</t>
  </si>
  <si>
    <t>300 HATCHER STREET</t>
  </si>
  <si>
    <t>501 VES RD</t>
  </si>
  <si>
    <t>3710 LEE HIGHWAY</t>
  </si>
  <si>
    <t>905 COUSINS AVENUE</t>
  </si>
  <si>
    <t>202 PAINTER ST</t>
  </si>
  <si>
    <t>3100 SHORE DRIVE</t>
  </si>
  <si>
    <t>245 NORTH STREET</t>
  </si>
  <si>
    <t>940 EAST LEE HIGHWAY</t>
  </si>
  <si>
    <t>157  ROSS CARTER BOULEVARD</t>
  </si>
  <si>
    <t>2045 VALLEY VIEW DRIVE</t>
  </si>
  <si>
    <t>315 EAST LEE HIGHWAY</t>
  </si>
  <si>
    <t>110 CHALMERS COURT</t>
  </si>
  <si>
    <t>1725 MAIN STREET</t>
  </si>
  <si>
    <t>380 MILLWOOD AVENUE</t>
  </si>
  <si>
    <t>1607 SPRUCE STREET</t>
  </si>
  <si>
    <t>287  EAST SOUTH BOULEVARD</t>
  </si>
  <si>
    <t>94 SOUTH AVENUE</t>
  </si>
  <si>
    <t>1221 ROSSER AVE</t>
  </si>
  <si>
    <t>900 LONDON BOULEVARD</t>
  </si>
  <si>
    <t>340 LYNN SHORES DRIVE</t>
  </si>
  <si>
    <t>2081 LANGHORNE ROAD</t>
  </si>
  <si>
    <t>121 BEN BOLT AVENUE</t>
  </si>
  <si>
    <t>1242 CEDARS CT</t>
  </si>
  <si>
    <t>6700 COLUMBIA PK</t>
  </si>
  <si>
    <t>324 KING GEORGE AVE SW</t>
  </si>
  <si>
    <t>100 FAIRVIEW DR</t>
  </si>
  <si>
    <t>132  LANCASTER DRIVE</t>
  </si>
  <si>
    <t>300 WESTMINSTER CANTERBURY DR</t>
  </si>
  <si>
    <t>508 RISON STREET</t>
  </si>
  <si>
    <t>600 W RIDGE RD</t>
  </si>
  <si>
    <t>3737 CATALPA AVE, PO BOX 711</t>
  </si>
  <si>
    <t>3440 S JEFFERSON STREET</t>
  </si>
  <si>
    <t>249  SOUTH NEWTOWN RD</t>
  </si>
  <si>
    <t>2978 CENTREVILLE ROAD</t>
  </si>
  <si>
    <t>100 EDGEMONT ROAD</t>
  </si>
  <si>
    <t>125 BUENA VISTA CIRCLE</t>
  </si>
  <si>
    <t>505 WEST RIO ROAD</t>
  </si>
  <si>
    <t>46531 HARY BYRD HIGHWAY</t>
  </si>
  <si>
    <t>2949 W FRONT ST</t>
  </si>
  <si>
    <t>2100 BRANDERMILL PKWY</t>
  </si>
  <si>
    <t>5500 WILLIAMSBURG LANDING DR</t>
  </si>
  <si>
    <t>456 E MAIN ST</t>
  </si>
  <si>
    <t>6401 AUBURN DR</t>
  </si>
  <si>
    <t>222 FULCHER STREET</t>
  </si>
  <si>
    <t>215 EVERGREEN AVE</t>
  </si>
  <si>
    <t>112 N CONSTITUTION DR</t>
  </si>
  <si>
    <t>1811 JAMESTOWN ROAD</t>
  </si>
  <si>
    <t>12185 GRAPEFIELD ROAD</t>
  </si>
  <si>
    <t>1722 LAWRENCEVILLE PLANK ROAD</t>
  </si>
  <si>
    <t>561 NORTH AIRPORT DRIVE</t>
  </si>
  <si>
    <t>3610 WINCHESTER DR</t>
  </si>
  <si>
    <t>1317 LOLA AVE</t>
  </si>
  <si>
    <t>9160  BELVOIR WOODS PKWY</t>
  </si>
  <si>
    <t>214 WEAVER AVE</t>
  </si>
  <si>
    <t>WESTWOOD MEDICAL PARK</t>
  </si>
  <si>
    <t>4201 GREENWOOD DRIVE</t>
  </si>
  <si>
    <t>595 VADEN DRIVE</t>
  </si>
  <si>
    <t>900 VIRGINIA AVENUE</t>
  </si>
  <si>
    <t>4 RIDGEWOOD PARKWAY</t>
  </si>
  <si>
    <t>8000 ILIFF DRIVE</t>
  </si>
  <si>
    <t>4775 BRIDGE ROAD</t>
  </si>
  <si>
    <t>720 ORCHARD AVENUE</t>
  </si>
  <si>
    <t>1527 GRANDIN ROAD SOUTHWEST</t>
  </si>
  <si>
    <t>901 EAST PRINCESS ANNE ROAD</t>
  </si>
  <si>
    <t>8111 TISWELL DRIVE</t>
  </si>
  <si>
    <t>1004 INDEPENDENCE BLVD</t>
  </si>
  <si>
    <t>78 MEDICAL CENTER DRIVE</t>
  </si>
  <si>
    <t>776 OAK GROVE RD PO BOX 1277</t>
  </si>
  <si>
    <t>240 RIVERSIDE DRIVE</t>
  </si>
  <si>
    <t>12475 LEE JACKSON MEMORIAL HIGHWAY</t>
  </si>
  <si>
    <t>188 OLD FINCASTLE ROAD</t>
  </si>
  <si>
    <t>167 SPRING STREET</t>
  </si>
  <si>
    <t>100 ALLEGHANY REGIONAL HOSPITAL LANE</t>
  </si>
  <si>
    <t>7246 FOREST HILL AVENUE</t>
  </si>
  <si>
    <t>250 PANTOPS MOUNTAIN RD</t>
  </si>
  <si>
    <t>730 LUNENBURG HIGHW</t>
  </si>
  <si>
    <t>7300 FOREST AVE</t>
  </si>
  <si>
    <t>4238 JAMES MADSON HIGHWAY</t>
  </si>
  <si>
    <t>5520 INDIAN RIVER ROAD</t>
  </si>
  <si>
    <t>360 HOSPITAL DRIVE</t>
  </si>
  <si>
    <t>5580 DANIEL SMITH ROAD</t>
  </si>
  <si>
    <t>1235 MT VERNON AVENUE</t>
  </si>
  <si>
    <t>2715 DOGTOWN ROAD</t>
  </si>
  <si>
    <t>1801 CAMELOT DRIVE</t>
  </si>
  <si>
    <t>3900 PLANK ROAD</t>
  </si>
  <si>
    <t>4142 BONNEY ROAD</t>
  </si>
  <si>
    <t>633 COOK AVENUE</t>
  </si>
  <si>
    <t>512 HOUSTON STREET</t>
  </si>
  <si>
    <t>NUMBER ONE AUTUMN COURT</t>
  </si>
  <si>
    <t>17405 LANKFORD HIGHWAY</t>
  </si>
  <si>
    <t>11 DAIRY LANE</t>
  </si>
  <si>
    <t>200 WEST CONSTANCE ROAD</t>
  </si>
  <si>
    <t>9640 BURKE LAKE ROAD</t>
  </si>
  <si>
    <t>1575 SCOTT DRIVE   ROUTE 5</t>
  </si>
  <si>
    <t>836 GLENDALE RD    PO BOX 229</t>
  </si>
  <si>
    <t>250 FLANK ROAD</t>
  </si>
  <si>
    <t>1401 HALSTEAD AVENUE</t>
  </si>
  <si>
    <t>100 COLONNADES HILL DRIVE</t>
  </si>
  <si>
    <t>30 MONTVUE DRIVE</t>
  </si>
  <si>
    <t>715 ARGYLL ST</t>
  </si>
  <si>
    <t>11611 ROBIOUS ROAD</t>
  </si>
  <si>
    <t>2580 PRUDEN BOULEVARD</t>
  </si>
  <si>
    <t>2966 SLATE CREEK ROAD</t>
  </si>
  <si>
    <t>200 HIOAKS ROAD</t>
  </si>
  <si>
    <t>122 MORVEN PARK ROAD NW</t>
  </si>
  <si>
    <t>339 WESTMINISTER DRIVE</t>
  </si>
  <si>
    <t>1 VANTAGE DRIVE</t>
  </si>
  <si>
    <t>8139 LEE DAVIS ROAD</t>
  </si>
  <si>
    <t>614 HASTINGS LANE</t>
  </si>
  <si>
    <t>2400 MCKINNEY BOULEVARD</t>
  </si>
  <si>
    <t>900 NORTH TAYLOR STREET</t>
  </si>
  <si>
    <t>3750 SENTARA WAY</t>
  </si>
  <si>
    <t>2400 LEE HIGHWAY, NORTH</t>
  </si>
  <si>
    <t>1776 CAMBRIDGE DRIVE</t>
  </si>
  <si>
    <t>3900 LLEWELLYN AVE</t>
  </si>
  <si>
    <t>4550 SHENANDOAH AVE N W</t>
  </si>
  <si>
    <t>235 OLD WATERFORD ROAD, NORTHWEST</t>
  </si>
  <si>
    <t>POST OFFICE BOX 887</t>
  </si>
  <si>
    <t>9468 HOSPITAL ROAD</t>
  </si>
  <si>
    <t>602 MADISON ROAD</t>
  </si>
  <si>
    <t>12185 CLIPPER DRIVE</t>
  </si>
  <si>
    <t>300 BLUE RIDGE  STREET</t>
  </si>
  <si>
    <t>210 ELM STREET</t>
  </si>
  <si>
    <t>1719 BELLEVUE AVENUE</t>
  </si>
  <si>
    <t>540 ABERTHAW AVENUE</t>
  </si>
  <si>
    <t>2230 EXECUTIVE DRIVE</t>
  </si>
  <si>
    <t>5100 FILLMORE AVENUE</t>
  </si>
  <si>
    <t>1600 JOHN ROLFE PARKWAY</t>
  </si>
  <si>
    <t>393 FRONT STREET</t>
  </si>
  <si>
    <t>705 CLEARVIEW DRIVE</t>
  </si>
  <si>
    <t>2401 LEE HIGHWAY</t>
  </si>
  <si>
    <t>2344 RIVERSIDE DRIVE</t>
  </si>
  <si>
    <t>23020 MAIN STREET</t>
  </si>
  <si>
    <t>120 ANDERSON AVENUE</t>
  </si>
  <si>
    <t>3600 MOUNTAIN ROAD</t>
  </si>
  <si>
    <t>10051 FOXES WAY</t>
  </si>
  <si>
    <t>400 WEST STRASBURG ROAD</t>
  </si>
  <si>
    <t>2406 ATHERHOLT ROAD</t>
  </si>
  <si>
    <t>2960 CHELSEA ROAD</t>
  </si>
  <si>
    <t>305 MARCELLA ROAD</t>
  </si>
  <si>
    <t>834 COMMERCE ST</t>
  </si>
  <si>
    <t>414 ALGONQUIN RD</t>
  </si>
  <si>
    <t>827 NORVIEW AVENUE</t>
  </si>
  <si>
    <t>13700 NORTH GAYTON ROAD</t>
  </si>
  <si>
    <t>20535 EARHART PLACE</t>
  </si>
  <si>
    <t>803 SOUTH MAIN ST</t>
  </si>
  <si>
    <t>1000 SHENANDOAH AVENUE</t>
  </si>
  <si>
    <t>119 BRICKYARD DRIVE</t>
  </si>
  <si>
    <t>621 BERRY HILL ROAD</t>
  </si>
  <si>
    <t>9229 ARLINGTON BLVD</t>
  </si>
  <si>
    <t>1225 CLINTWOOD MAIN STREET, ROUTE 607 PO BOX</t>
  </si>
  <si>
    <t>205 HOUSTON STREET</t>
  </si>
  <si>
    <t>16600 DANVILLE PIKE</t>
  </si>
  <si>
    <t>1200 ATLANTIC SHORES DRIVE</t>
  </si>
  <si>
    <t>4355 PHEASANT RIDGE ROAD, SW</t>
  </si>
  <si>
    <t>1150 NORTHWEST DRIVE</t>
  </si>
  <si>
    <t>4403 FOREST HILL AVENUE</t>
  </si>
  <si>
    <t>1150 MARSH STREET</t>
  </si>
  <si>
    <t>1017 GEORGE WASHINGTON HIGHWAY NORTH</t>
  </si>
  <si>
    <t>400 SOUTH INDEPENDENCE AVENUE</t>
  </si>
  <si>
    <t>101 JOHN ROLFE DRIVE</t>
  </si>
  <si>
    <t>5872 HANKS STREET  PO BOX 1087</t>
  </si>
  <si>
    <t>26181 PARKSLEY ROAD</t>
  </si>
  <si>
    <t>83 CROSSROADS LANE</t>
  </si>
  <si>
    <t>7120 BRADDOCK ROAD</t>
  </si>
  <si>
    <t>600 WALDEN ROAD</t>
  </si>
  <si>
    <t>2003 COBB STREET</t>
  </si>
  <si>
    <t>12997 NETTLES DRIVE</t>
  </si>
  <si>
    <t>113 BATTLE ROAD</t>
  </si>
  <si>
    <t>355 WILLIAM MILLS DRIVE</t>
  </si>
  <si>
    <t>1410 NORTH AUGUSTA STREET</t>
  </si>
  <si>
    <t>287 SCHOOL STREET</t>
  </si>
  <si>
    <t>150 KINGSLEY LANE</t>
  </si>
  <si>
    <t>23352 COURTHOUSE HIGHWAY</t>
  </si>
  <si>
    <t>237 FRANKLIN PIKE ROAD, SE</t>
  </si>
  <si>
    <t>990 HOLSTON RD</t>
  </si>
  <si>
    <t>9434 COEBURN MOUNTAIN ROAD</t>
  </si>
  <si>
    <t>208 HEALTH CARE DRIVE</t>
  </si>
  <si>
    <t>900 S MAIN ST</t>
  </si>
  <si>
    <t>7470 SPRING VILLAGE DR</t>
  </si>
  <si>
    <t>700 RANDOLPH STREET</t>
  </si>
  <si>
    <t>3610 SOUTH MAIN STREET</t>
  </si>
  <si>
    <t>650 NORTH JEFFERSON STREET</t>
  </si>
  <si>
    <t>8830 VIRGINIA STREET</t>
  </si>
  <si>
    <t>120 DOGWOOD LANE</t>
  </si>
  <si>
    <t>1000 FAIRVIEW HEIGHTS</t>
  </si>
  <si>
    <t>14906 JEFFERSON DAVIS HIGHWAY</t>
  </si>
  <si>
    <t>906 THOMPSON STREET</t>
  </si>
  <si>
    <t>173 BROCKMAN PARK DRIVE</t>
  </si>
  <si>
    <t>20 DELFAE DRIVE</t>
  </si>
  <si>
    <t>POST OFFICE BOX 2409</t>
  </si>
  <si>
    <t>100 ANNA GOODE WAY</t>
  </si>
  <si>
    <t>1028 TOPPING LANE</t>
  </si>
  <si>
    <t>11141 WARWICK BLVD</t>
  </si>
  <si>
    <t>6000 PATRIOTS COLONY DRIVE</t>
  </si>
  <si>
    <t>302 NORTH SECOND STREET</t>
  </si>
  <si>
    <t>120  OLD VIRGINIA AVENUE</t>
  </si>
  <si>
    <t>103 ROSEHILL DRIVE</t>
  </si>
  <si>
    <t>3837 BRANDON AVENUE</t>
  </si>
  <si>
    <t>310 THIRD STREET,  NE</t>
  </si>
  <si>
    <t>200 WEAVER AVENUE</t>
  </si>
  <si>
    <t>1165 PEPSI PLACE</t>
  </si>
  <si>
    <t>3433 SPRINGTREE DRIVE</t>
  </si>
  <si>
    <t>184 BUFFALO ROAD</t>
  </si>
  <si>
    <t>5539 HIGHWAY FORTY SEVEN</t>
  </si>
  <si>
    <t>1300 ENTERPRISE DRIVE</t>
  </si>
  <si>
    <t>7385 WALKER AVE</t>
  </si>
  <si>
    <t>100 FRANCIS MARION LANE, PO BOX 880</t>
  </si>
  <si>
    <t>1475 VIRGINIA AVENUE</t>
  </si>
  <si>
    <t>290 COMMONS PARKWAY</t>
  </si>
  <si>
    <t>3935 SUNNYSIDE DRIVE, SUITE A</t>
  </si>
  <si>
    <t>7501 HERITAGE VILLAGE PLAZA</t>
  </si>
  <si>
    <t>110 LAUCK DR</t>
  </si>
  <si>
    <t>8605 CENTREVILLE ROAD</t>
  </si>
  <si>
    <t>1901 LIBBIE AVE</t>
  </si>
  <si>
    <t>1604 OLD DONATION PKWY</t>
  </si>
  <si>
    <t>1601 BROADROCK BLVD</t>
  </si>
  <si>
    <t>9101 BON AIR CROSSINGS DRIVE</t>
  </si>
  <si>
    <t>ONE COLLEY AVENUE</t>
  </si>
  <si>
    <t>6106 HEALTH CENTER LANE</t>
  </si>
  <si>
    <t>955 HARPERSVILLE RD</t>
  </si>
  <si>
    <t>46 DIAMOND DRIVE</t>
  </si>
  <si>
    <t>100 RORER STREET</t>
  </si>
  <si>
    <t>PO BOX 191 RTE 15</t>
  </si>
  <si>
    <t>12001 IRON BRIDGE RD</t>
  </si>
  <si>
    <t>3900 WINDSOR HALL DRIVE</t>
  </si>
  <si>
    <t>1900 LAUDERDALE DRIVE</t>
  </si>
  <si>
    <t>250 GLEBE ROAD</t>
  </si>
  <si>
    <t>501 OAK AVENUE</t>
  </si>
  <si>
    <t>1000 LITTON LANE</t>
  </si>
  <si>
    <t>140 BRIMLEY DRIVE</t>
  </si>
  <si>
    <t>350 KING'S WAY ROAD</t>
  </si>
  <si>
    <t>15051 HARMONY HILLS LANE</t>
  </si>
  <si>
    <t>1739 KIRBY ROAD</t>
  </si>
  <si>
    <t>189 MONICA BLVD</t>
  </si>
  <si>
    <t>377 CLONCE ST</t>
  </si>
  <si>
    <t>7600 AUTUMN PARKWAY</t>
  </si>
  <si>
    <t>2800 GODWIN BOULEVARD</t>
  </si>
  <si>
    <t>100 PROCESSION WAY</t>
  </si>
  <si>
    <t>21160 MAPLE BRANCH TERRACE</t>
  </si>
  <si>
    <t>514 NORTH MAIN STREET</t>
  </si>
  <si>
    <t>1948 LANDSTOWN CENTRE WAY</t>
  </si>
  <si>
    <t>805 FRONT STREET</t>
  </si>
  <si>
    <t>1250 NORTHEAST 145TH STREET</t>
  </si>
  <si>
    <t>206 SOUTH TENTH AVENUE</t>
  </si>
  <si>
    <t>920 ANDERSON DRIVE</t>
  </si>
  <si>
    <t>2821 SOUTH WALDEN STREET</t>
  </si>
  <si>
    <t>6021 NORTH LIDGERWOOD</t>
  </si>
  <si>
    <t>6720 EAST GREEN LAKE WAY NORTH</t>
  </si>
  <si>
    <t>EAST 2903 25TH AVENUE</t>
  </si>
  <si>
    <t>820 NORTHWEST 95TH STREET</t>
  </si>
  <si>
    <t>1600 SLEATER KINNEY ROAD SE</t>
  </si>
  <si>
    <t>19301 KINGS GARDEN DRIVE NORTH</t>
  </si>
  <si>
    <t>44 GOETHALS DRIVE</t>
  </si>
  <si>
    <t>1710 PLAZA WAY</t>
  </si>
  <si>
    <t>420 SOUTHEAST MYRA ROAD</t>
  </si>
  <si>
    <t>1508 WEST SEVENTH AVENUE</t>
  </si>
  <si>
    <t>3035 CHERRY STREET</t>
  </si>
  <si>
    <t>505 NORTH 40TH AVENUE</t>
  </si>
  <si>
    <t>710 NORTH 39TH AVENUE</t>
  </si>
  <si>
    <t>2726 ALDERWOOD AVENUE</t>
  </si>
  <si>
    <t>4755 SOUTH 48TH</t>
  </si>
  <si>
    <t>802 WEST THIRD STREET</t>
  </si>
  <si>
    <t>1530 JAMES STREET</t>
  </si>
  <si>
    <t>EAST 17121 EIGHTH AVENUE</t>
  </si>
  <si>
    <t>414 S UNIVERSITY RD</t>
  </si>
  <si>
    <t>2701 CLARE AVENUE</t>
  </si>
  <si>
    <t>2004 N 22ND AVENUE</t>
  </si>
  <si>
    <t>650 WEST HEMLOCK ST</t>
  </si>
  <si>
    <t>2400 SAMISH WAY</t>
  </si>
  <si>
    <t>817 PIONEER AVENUE</t>
  </si>
  <si>
    <t>2102 SOUTH 96TH STREET</t>
  </si>
  <si>
    <t>7900 WILLOWS ROAD NORTHEAST</t>
  </si>
  <si>
    <t>4831 35TH AVENUE SOUTHWEST</t>
  </si>
  <si>
    <t>7411 PACIFIC AVENUE</t>
  </si>
  <si>
    <t>1116 E LAURIDSEN BOULEVARD</t>
  </si>
  <si>
    <t>1045 SOUTH 308TH STREET</t>
  </si>
  <si>
    <t>2830  I  STREET NORTHEAST</t>
  </si>
  <si>
    <t>4430 TALBOT ROAD SOUTH</t>
  </si>
  <si>
    <t>2717 DEXTER AVENUE NORTH</t>
  </si>
  <si>
    <t>400 EAST 33RD STREET</t>
  </si>
  <si>
    <t>2031 POTTERY AVENUE</t>
  </si>
  <si>
    <t>516 23RD AVE SE</t>
  </si>
  <si>
    <t>16357 AURORA AVENUE NORTH</t>
  </si>
  <si>
    <t>1105 27TH STREET</t>
  </si>
  <si>
    <t>2051 POTTERY AVENUE</t>
  </si>
  <si>
    <t>1200 BIRCHWOOD AVENUE</t>
  </si>
  <si>
    <t>721 OTIS AVENUE</t>
  </si>
  <si>
    <t>2430 NORTH 13TH STREET</t>
  </si>
  <si>
    <t>310 FOURTH STREET</t>
  </si>
  <si>
    <t>21400 72ND AVENUE WEST</t>
  </si>
  <si>
    <t>3919 SOUTH 19TH STREET</t>
  </si>
  <si>
    <t>140 SOUTH MARION AVENUE</t>
  </si>
  <si>
    <t>430 LILLY ROAD NORTHEAST</t>
  </si>
  <si>
    <t>NORTHWEST 1310 DEANE</t>
  </si>
  <si>
    <t>1150 WEST FAIRVIEW ROAD</t>
  </si>
  <si>
    <t>1031 SOUTHWEST 130TH STREET</t>
  </si>
  <si>
    <t>1505 SOUTHEAST CARPENTER ROAD</t>
  </si>
  <si>
    <t>495 NORTH THIRTEENTH STREET</t>
  </si>
  <si>
    <t>3600 EAST HARTSON AVENUE</t>
  </si>
  <si>
    <t>8507 NORTHEAST 8TH WAY</t>
  </si>
  <si>
    <t>817 EAST PLUM STREET</t>
  </si>
  <si>
    <t>2818 NORTHEAST 145TH STREET</t>
  </si>
  <si>
    <t>1050 E MOUNTAIN VIEW</t>
  </si>
  <si>
    <t>3625 EAST B STREET</t>
  </si>
  <si>
    <t>209 NORTH AHTANUM AVENUE</t>
  </si>
  <si>
    <t>1015 NORTH GARRISON ROAD</t>
  </si>
  <si>
    <t>1703 CALIFORNIA AVENUE SOUTHWEST</t>
  </si>
  <si>
    <t>8407 STEILACOOM BLVD SOUTHWEST</t>
  </si>
  <si>
    <t>2120 EAST DIVISION STREET</t>
  </si>
  <si>
    <t>740 NE DALLAS STREET</t>
  </si>
  <si>
    <t>1000 EAST ELEP STREET</t>
  </si>
  <si>
    <t>1500 3RD AVENUE</t>
  </si>
  <si>
    <t>13333 GREENWOOD AVENUE NORTH</t>
  </si>
  <si>
    <t>80 SOUTHWEST SECOND STREET</t>
  </si>
  <si>
    <t>506 SOUTH JACKSON</t>
  </si>
  <si>
    <t>1242 ELEVENTH STREET</t>
  </si>
  <si>
    <t>1506 RADIO ROAD</t>
  </si>
  <si>
    <t>910 16TH AVENUE</t>
  </si>
  <si>
    <t>5601 S ORCHARD STREET</t>
  </si>
  <si>
    <t>560 LEBO BOULEVARD</t>
  </si>
  <si>
    <t>1841 EAST UPRIVER DRIVE</t>
  </si>
  <si>
    <t>128 BEACON HILL DRIVE</t>
  </si>
  <si>
    <t>3121 SQUALICUM PARKWAY</t>
  </si>
  <si>
    <t>4001 CAPITOL MALL DR SOUTHWEST</t>
  </si>
  <si>
    <t>901 SHUMWAY RD</t>
  </si>
  <si>
    <t>920 12TH AVENUE SOUTHEAST</t>
  </si>
  <si>
    <t>751 KEARNEY STREET</t>
  </si>
  <si>
    <t>311 NORTHEAST 3RD STREET</t>
  </si>
  <si>
    <t>555 16TH AVENUE</t>
  </si>
  <si>
    <t>32300 FIRST AVENUE SOUTH</t>
  </si>
  <si>
    <t>300 SOUTH 18TH STREET</t>
  </si>
  <si>
    <t>1462 WEST STATE ROUTE 20</t>
  </si>
  <si>
    <t>3701 188TH STREET SOUTHWEST</t>
  </si>
  <si>
    <t>1100 EAST NELSON ROAD</t>
  </si>
  <si>
    <t>NORTH 6025 ASSEMBLY</t>
  </si>
  <si>
    <t>511 10TH AVENUE SOUTHEAST</t>
  </si>
  <si>
    <t>835 MADISON AVENUE NORTH</t>
  </si>
  <si>
    <t>1649 EAST 72ND</t>
  </si>
  <si>
    <t>1000 5TH AVENUE SOUTH</t>
  </si>
  <si>
    <t>151 BUENA VISTA DRIVE</t>
  </si>
  <si>
    <t>510 NORTH PARKWAY</t>
  </si>
  <si>
    <t>660 SPRING STREET</t>
  </si>
  <si>
    <t>10101 NORTHEAST 120TH STREET</t>
  </si>
  <si>
    <t>800 10TH STREET</t>
  </si>
  <si>
    <t>219 CEDAR AVENUE SOUTH</t>
  </si>
  <si>
    <t>5220 NORTHEAST HAZEL DELL AVENUE</t>
  </si>
  <si>
    <t>502 29TH STREET SOUTHEAST</t>
  </si>
  <si>
    <t>2219 NORTH 6TH STREET</t>
  </si>
  <si>
    <t>11411 BRIDGEPORT WAY</t>
  </si>
  <si>
    <t>702 NORTH 16TH AVENUE</t>
  </si>
  <si>
    <t>1100 JACKSON STREET</t>
  </si>
  <si>
    <t>1355 WEST MAIN STREET</t>
  </si>
  <si>
    <t>620 SOUTH HAZEL STREET</t>
  </si>
  <si>
    <t>500 EAST WEBSTER</t>
  </si>
  <si>
    <t>414 - 17TH SOUTHEAST</t>
  </si>
  <si>
    <t>1305 ALEXANDER STREET</t>
  </si>
  <si>
    <t>917 7TH AVENUE</t>
  </si>
  <si>
    <t>5129 HILLTOP ROAD</t>
  </si>
  <si>
    <t>4007 TIETON DRIVE</t>
  </si>
  <si>
    <t>1224 EAST WESTVIEW COURT</t>
  </si>
  <si>
    <t>919-109TH AVENUE NORTHEAST</t>
  </si>
  <si>
    <t>2702 SOUTH ELY</t>
  </si>
  <si>
    <t>917 SOUTH SCHEUBER ROAD</t>
  </si>
  <si>
    <t>2905 CONNELLY AVENUE</t>
  </si>
  <si>
    <t>12509 GREENWOOD AVENUE NORTH</t>
  </si>
  <si>
    <t>1036 EAST VICTORIA AVENUE</t>
  </si>
  <si>
    <t>7411 NORTH NEVADA</t>
  </si>
  <si>
    <t>911 21ST STREET</t>
  </si>
  <si>
    <t>1326 RED APPLE RD</t>
  </si>
  <si>
    <t>14820 EAST FOURTH</t>
  </si>
  <si>
    <t>1821 GROVE STREET</t>
  </si>
  <si>
    <t>3333 ENSIGN ROAD NORTHEAST</t>
  </si>
  <si>
    <t>801 SOUTHEAST PARK CREST AVENUE</t>
  </si>
  <si>
    <t>127 SECOND AVENUE SOUTHWEST</t>
  </si>
  <si>
    <t>4680 CORDATA PARKWAY</t>
  </si>
  <si>
    <t>456 C STREET</t>
  </si>
  <si>
    <t>15333 VASHON HIGHWAY SOUTHWEST</t>
  </si>
  <si>
    <t>2323 JENSEN STREET</t>
  </si>
  <si>
    <t>308 WEST EMMA</t>
  </si>
  <si>
    <t>2235 LAKE HEIGHTS DRIVE</t>
  </si>
  <si>
    <t>916 PACIFIC AVENUE 3RD-5TH FLOORS</t>
  </si>
  <si>
    <t>20420 MARINE DRIVE NORTHWEST</t>
  </si>
  <si>
    <t>855 AARON DRIVE</t>
  </si>
  <si>
    <t>5925 47TH AVENUE NE</t>
  </si>
  <si>
    <t>3801 SUMMITVIEW AVENUE</t>
  </si>
  <si>
    <t>203 WEST NACHES AVENUE</t>
  </si>
  <si>
    <t>EAST 10410 NINTH AVENUE</t>
  </si>
  <si>
    <t>625 OKANOGAN</t>
  </si>
  <si>
    <t>17 EAST 8TH AVENUE</t>
  </si>
  <si>
    <t>330 NORTH MADISON</t>
  </si>
  <si>
    <t>13023 GREENWOOD AVENUE NORTH</t>
  </si>
  <si>
    <t>3540 NORTHEAST 110TH STREET</t>
  </si>
  <si>
    <t>3725 PROVIDENCE POINT DRIVE SOUTHEAST</t>
  </si>
  <si>
    <t>534 BOYER AVENUE</t>
  </si>
  <si>
    <t>714 WEST PINE STREET</t>
  </si>
  <si>
    <t>1509 HARRISON AVENUE</t>
  </si>
  <si>
    <t>100 RIVER PLAZA</t>
  </si>
  <si>
    <t>707 -  228TH SOUTHWEST</t>
  </si>
  <si>
    <t>5821 188TH SOUTHWEST</t>
  </si>
  <si>
    <t>1301 N HIGHLANDS PARKWAY</t>
  </si>
  <si>
    <t>3309 45TH STREET COURT NORTHWEST</t>
  </si>
  <si>
    <t>1601 EAST YESLER WAY</t>
  </si>
  <si>
    <t>11 WEST ALOHA STREET</t>
  </si>
  <si>
    <t>N 1812 WALL STREET</t>
  </si>
  <si>
    <t>7500 SEWARD PARK AVENUE SOUTH</t>
  </si>
  <si>
    <t>10861 NE MANITOU PARK BLVD</t>
  </si>
  <si>
    <t>4416 SOUTH BRANDON STREET</t>
  </si>
  <si>
    <t>22 W 1ST STREET</t>
  </si>
  <si>
    <t>23620 MARINE VIEW DRIVE SOUTH</t>
  </si>
  <si>
    <t>P O BOX 370</t>
  </si>
  <si>
    <t>17127 15TH AVENUE NORTHEAST</t>
  </si>
  <si>
    <t>2520 MADISON</t>
  </si>
  <si>
    <t>9901 272ND PLACE NORTHWEST</t>
  </si>
  <si>
    <t>7125 FAUNTLEROY WAY SOUTHWEST</t>
  </si>
  <si>
    <t>1705 TERRACE AVENUE</t>
  </si>
  <si>
    <t>715 9TH AVENUE</t>
  </si>
  <si>
    <t>4700 PHINNEY AVENUE NORTH</t>
  </si>
  <si>
    <t>5520 BRIDGEPORT WAY WEST</t>
  </si>
  <si>
    <t>19160 FRONT STREET NORTHEAST</t>
  </si>
  <si>
    <t>1122 SOUTH 216TH STREET</t>
  </si>
  <si>
    <t>10901 - 176TH CIRCLE NORTHEAST</t>
  </si>
  <si>
    <t>6220 SOUTH ALASKA STREET</t>
  </si>
  <si>
    <t>2321 SCHOLD PLACE NORTHWEST</t>
  </si>
  <si>
    <t>400 - 29TH STREET NORTHEAST</t>
  </si>
  <si>
    <t>19235 - 15TH AVENUE NORTHWEST</t>
  </si>
  <si>
    <t>1040 SOUTH HENDERSON STREET</t>
  </si>
  <si>
    <t>1919  112TH STREET SOUTHWEST</t>
  </si>
  <si>
    <t>1630 43RD AVENUE EAST</t>
  </si>
  <si>
    <t>9827 NORTH NEVADA</t>
  </si>
  <si>
    <t>2929 SOUTH WATERFORD DRIVE</t>
  </si>
  <si>
    <t>2909 14TH AVENUE NORTHWEST</t>
  </si>
  <si>
    <t>2424 156TH AVENUE NORTHEAST</t>
  </si>
  <si>
    <t>800 NORTH MEDCALF</t>
  </si>
  <si>
    <t>9107 FORTUNA DRIVE</t>
  </si>
  <si>
    <t>916 PACIFIC AVENUE  - 6TH FLOOR</t>
  </si>
  <si>
    <t>153 JOHNS COURT</t>
  </si>
  <si>
    <t>101 EAST HAWTHORNE ROAD</t>
  </si>
  <si>
    <t>222 EAST FIFTH</t>
  </si>
  <si>
    <t>135 SOUTH 336TH STREET</t>
  </si>
  <si>
    <t>2611 SOUTH DEARBORN</t>
  </si>
  <si>
    <t>491 SOUTH 338TH STREET</t>
  </si>
  <si>
    <t>2800 SOUTH 224TH STREET,</t>
  </si>
  <si>
    <t>1745 PIKE AVENUE</t>
  </si>
  <si>
    <t>1811 EAST 22ND AVENUE</t>
  </si>
  <si>
    <t>1301 ORTING - KAPOWSIN HIGHWAY</t>
  </si>
  <si>
    <t>1141 BEACH DRIVE</t>
  </si>
  <si>
    <t>100 TIMBER RIDGE WAY NW</t>
  </si>
  <si>
    <t>22410 BENSON ROAD SE</t>
  </si>
  <si>
    <t>116 FAIRVIEW AVENUE N</t>
  </si>
  <si>
    <t>10631 8TH AVE NE</t>
  </si>
  <si>
    <t>2811 NE 139TH STREET</t>
  </si>
  <si>
    <t>1201 SOUTH MILLER STREET</t>
  </si>
  <si>
    <t>1334 TERRY AVE</t>
  </si>
  <si>
    <t>4524 INTELCO LOOP SE</t>
  </si>
  <si>
    <t>2508 7TH ST SOUTHEAST</t>
  </si>
  <si>
    <t>1320 MAPLEWOOD AVENUE</t>
  </si>
  <si>
    <t>20 HOSPITAL DRIVE</t>
  </si>
  <si>
    <t>#3 EAST BENJAMIN DRIVE</t>
  </si>
  <si>
    <t>400 FAIRVIEW HEIGHTS ROAD</t>
  </si>
  <si>
    <t>405 STANAFORD ROAD</t>
  </si>
  <si>
    <t>20 HOMESTEAD AVENUE</t>
  </si>
  <si>
    <t>1720 17TH STREET</t>
  </si>
  <si>
    <t>31 SAINT BARBARA'S ROAD</t>
  </si>
  <si>
    <t>1175 BEVERLY PIKE</t>
  </si>
  <si>
    <t>1924 GLEN WOOD PARK ROAD</t>
  </si>
  <si>
    <t>6500 MACCORKLE AVENUE SW</t>
  </si>
  <si>
    <t>2525 PENNSYLVANIA AVENUE</t>
  </si>
  <si>
    <t>159 EDGINGTON LANE</t>
  </si>
  <si>
    <t>209 CLOVER STREET</t>
  </si>
  <si>
    <t>117 HOSPITAL DRIVE</t>
  </si>
  <si>
    <t>2675 36TH STREET</t>
  </si>
  <si>
    <t>1379 VAN VOORHIS RD</t>
  </si>
  <si>
    <t>AMALIA DRIVE #1</t>
  </si>
  <si>
    <t>1275 SOUTHVIEW DRIVE</t>
  </si>
  <si>
    <t>1539 COUNTRY CLUB ROAD</t>
  </si>
  <si>
    <t>600 MEDICAL PARK</t>
  </si>
  <si>
    <t>30 MON GENERAL DRIVE</t>
  </si>
  <si>
    <t>101-13TH STREET</t>
  </si>
  <si>
    <t>152 SADDLESHOP ROAD</t>
  </si>
  <si>
    <t>39 CORTLAND ACRES LANE</t>
  </si>
  <si>
    <t>1200 SAND HILL ROAD</t>
  </si>
  <si>
    <t>107 MILLER DRIVE</t>
  </si>
  <si>
    <t>501 CALDWELL LANE</t>
  </si>
  <si>
    <t>2200 FLORAL STREET</t>
  </si>
  <si>
    <t>100 HILLCREST DRIVE</t>
  </si>
  <si>
    <t>300 SEVILLE ROAD</t>
  </si>
  <si>
    <t>255 SUNBRIDGE DRIVE</t>
  </si>
  <si>
    <t>300 MILLER ROAD</t>
  </si>
  <si>
    <t>225 RUSSELL  AVENUE</t>
  </si>
  <si>
    <t>183 HOLBROOK ROAD</t>
  </si>
  <si>
    <t>601 COLLIERS WAY</t>
  </si>
  <si>
    <t>363 SUNRISE BLVD</t>
  </si>
  <si>
    <t>WASHINGTON STREET AND 6TH AVENUE</t>
  </si>
  <si>
    <t>800 J D ANDERSON DRIVE</t>
  </si>
  <si>
    <t>723 SUMMERS STREET</t>
  </si>
  <si>
    <t>100 HEARTLAND DRIVE</t>
  </si>
  <si>
    <t>302 CEDAR RIDGE ROAD</t>
  </si>
  <si>
    <t>1631 RITTER DRIVE</t>
  </si>
  <si>
    <t>3819 CHESTERFIELD AVENUE</t>
  </si>
  <si>
    <t>345 POCAHONTAS TRAIL</t>
  </si>
  <si>
    <t>1716 GIHON ROAD</t>
  </si>
  <si>
    <t>111 FAIRGROUND ROAD</t>
  </si>
  <si>
    <t>161 BAKERS RIDGE ROAD</t>
  </si>
  <si>
    <t>8 ROSE STREET</t>
  </si>
  <si>
    <t>590 NORTH POPLAR FORK ROAD</t>
  </si>
  <si>
    <t>327 MEDICAL PARK DRIVE</t>
  </si>
  <si>
    <t>333 LAIDLEY STREET</t>
  </si>
  <si>
    <t>800 WHEELING AVENUE</t>
  </si>
  <si>
    <t>2900 FIRST STREET</t>
  </si>
  <si>
    <t>216 SAMARITAN CIRCLE</t>
  </si>
  <si>
    <t>432 KENMORE DRIVE</t>
  </si>
  <si>
    <t>100 PARKWAY DRIVE</t>
  </si>
  <si>
    <t>606 PENNSYLVANIA AVENUE</t>
  </si>
  <si>
    <t>135 SOUTHERN DRIVE</t>
  </si>
  <si>
    <t>70 VALLEY HAVEN DR</t>
  </si>
  <si>
    <t>68 GOOD SAMARITAN DRIVE</t>
  </si>
  <si>
    <t>ROUTE 4, BOX 20</t>
  </si>
  <si>
    <t>1340 HAL GREER BOULEVARD</t>
  </si>
  <si>
    <t>840 LEE ROAD</t>
  </si>
  <si>
    <t>95 HEALTHCARE DRIVE</t>
  </si>
  <si>
    <t>125 FOX LANE</t>
  </si>
  <si>
    <t>201 WOOD STREET OPERATIONS, LLC</t>
  </si>
  <si>
    <t>106 TYREE STREET</t>
  </si>
  <si>
    <t>2149 GREENBRIER STREET</t>
  </si>
  <si>
    <t>456 AUTUMN ACRES ROAD</t>
  </si>
  <si>
    <t>1000 WEST PARK AVENUE</t>
  </si>
  <si>
    <t>41 CRESTVIEW TERRACE</t>
  </si>
  <si>
    <t>1053 CLINIC DRIVE</t>
  </si>
  <si>
    <t>979 ROCKY HL</t>
  </si>
  <si>
    <t>ONE SUTPHIN DRIVE</t>
  </si>
  <si>
    <t>422  23RD STREET</t>
  </si>
  <si>
    <t>127 EARLY AVENUE</t>
  </si>
  <si>
    <t>501 ADAMS STREET</t>
  </si>
  <si>
    <t>100 HRESAN BOULEVARD</t>
  </si>
  <si>
    <t>1543 COUNTRY CLUB ROAD</t>
  </si>
  <si>
    <t>1263 SOUTH GEORGE STREET</t>
  </si>
  <si>
    <t>1600 27TH STREET</t>
  </si>
  <si>
    <t>199 COURT STREET</t>
  </si>
  <si>
    <t>ROUTE 103 VENUS ROAD</t>
  </si>
  <si>
    <t>DIANE DRIVE</t>
  </si>
  <si>
    <t>236 WARRIOR WAY</t>
  </si>
  <si>
    <t>411 ERBACON ROAD</t>
  </si>
  <si>
    <t>801 DAVISSON RUN ROAD</t>
  </si>
  <si>
    <t>50 MULBERRY TREE STREET</t>
  </si>
  <si>
    <t>6999 ROUTE 152</t>
  </si>
  <si>
    <t>1000 LINCOLN DRIVE</t>
  </si>
  <si>
    <t>198 JOHN COOK NURSING HOME ROAD</t>
  </si>
  <si>
    <t>200 MONDAY DRIVE</t>
  </si>
  <si>
    <t>18086 STATE ROUTE 55</t>
  </si>
  <si>
    <t>1000 ASSOCIATION DRIVE</t>
  </si>
  <si>
    <t>55 LOGAN MINGO MENTAL HEALTH CENTER ROAD</t>
  </si>
  <si>
    <t>260 SUNRISE BOULEVARD</t>
  </si>
  <si>
    <t>200 RITCHIE AVENUE</t>
  </si>
  <si>
    <t>2720 CHARLES TOWN ROAD</t>
  </si>
  <si>
    <t>80 MADDEX DRIVE</t>
  </si>
  <si>
    <t>859 DAYS DRIVE</t>
  </si>
  <si>
    <t>222 NICOLETTE ROAD</t>
  </si>
  <si>
    <t>825 SUMMIT STREET</t>
  </si>
  <si>
    <t>5 EVERETT TIBBS ROAD</t>
  </si>
  <si>
    <t>400 MCKINLEY STREET</t>
  </si>
  <si>
    <t>ROUTE 2, BOX 159A</t>
  </si>
  <si>
    <t>1600 BLAND STREET</t>
  </si>
  <si>
    <t>315 COURTHOUSE RD.</t>
  </si>
  <si>
    <t>ROUTE 1 BOX 101-A</t>
  </si>
  <si>
    <t>130 KAUFMAN DRIVE</t>
  </si>
  <si>
    <t>18 FOURTH STREET</t>
  </si>
  <si>
    <t>506 RIVERVIEW ROAD</t>
  </si>
  <si>
    <t>30 HIDDEN BROOK WAY</t>
  </si>
  <si>
    <t>300 BAKER LANE</t>
  </si>
  <si>
    <t>2817 NEW PINERY ROAD</t>
  </si>
  <si>
    <t>260 26TH STREET</t>
  </si>
  <si>
    <t>600 S WEBSTER AVE</t>
  </si>
  <si>
    <t>575 HOSPITAL RD</t>
  </si>
  <si>
    <t>321 RIVERSIDE DR</t>
  </si>
  <si>
    <t>4325 NAKOMA RD</t>
  </si>
  <si>
    <t>1700 C A BECKER DR</t>
  </si>
  <si>
    <t>13755 W FIELDPOINTE DR</t>
  </si>
  <si>
    <t>8615 W BELOIT RD</t>
  </si>
  <si>
    <t>4502 MILWAUKEE ST</t>
  </si>
  <si>
    <t>110 BELMONT RD</t>
  </si>
  <si>
    <t>2505 E BRADFORD AVE</t>
  </si>
  <si>
    <t>1351 WISCONSIN RIVER DR</t>
  </si>
  <si>
    <t>801 KLEIN DR</t>
  </si>
  <si>
    <t>9047 W GREENFIELD AVE</t>
  </si>
  <si>
    <t>1051 CLARK ST</t>
  </si>
  <si>
    <t>1703 60TH ST</t>
  </si>
  <si>
    <t>1100 LAKE VIEW DR</t>
  </si>
  <si>
    <t>531 E WASHINGTON ST</t>
  </si>
  <si>
    <t>1414 N PROSPECT AVE</t>
  </si>
  <si>
    <t>3100 WASHINGTON RD</t>
  </si>
  <si>
    <t>713 N LEONARD ST</t>
  </si>
  <si>
    <t>1350 RIVER RUN DR</t>
  </si>
  <si>
    <t>1300 N WATER ST</t>
  </si>
  <si>
    <t>1760 SHAWANO AVE</t>
  </si>
  <si>
    <t>313 STOUGHTON RD</t>
  </si>
  <si>
    <t>1810 KENSINGTON DR</t>
  </si>
  <si>
    <t>430 WILCOX ST</t>
  </si>
  <si>
    <t>1335 S ONEIDA ST</t>
  </si>
  <si>
    <t>2501 SHELBY RD</t>
  </si>
  <si>
    <t>718 JUPITER DRIVE</t>
  </si>
  <si>
    <t>115 E ARNDT ST</t>
  </si>
  <si>
    <t>1130 COLLINS ROAD</t>
  </si>
  <si>
    <t>1905 W HART RD</t>
  </si>
  <si>
    <t>265 S NATIONAL AVE</t>
  </si>
  <si>
    <t>3401 MAPLE GROVE DR</t>
  </si>
  <si>
    <t>S77 W12929 MCSHANE DR</t>
  </si>
  <si>
    <t>3415 N SHERIDAN RD</t>
  </si>
  <si>
    <t>8633 32ND AVE</t>
  </si>
  <si>
    <t>482 OAK STREET</t>
  </si>
  <si>
    <t>8800 HWY 61</t>
  </si>
  <si>
    <t>516 26TH AVE</t>
  </si>
  <si>
    <t>1850 BOWEN ST</t>
  </si>
  <si>
    <t>814 W 14TH ST</t>
  </si>
  <si>
    <t>333 W MAIN ST</t>
  </si>
  <si>
    <t>200 N SEVENTH AVE</t>
  </si>
  <si>
    <t>2961 ST ANTHONY DR</t>
  </si>
  <si>
    <t>1616 W BENDER RD</t>
  </si>
  <si>
    <t>41 RICKEL RD</t>
  </si>
  <si>
    <t>901 MULBERRY ST</t>
  </si>
  <si>
    <t>717 E ALFRED ST</t>
  </si>
  <si>
    <t>400 EAST 4TH ST</t>
  </si>
  <si>
    <t>1414 JEFFERSON ST</t>
  </si>
  <si>
    <t>8400 SHERIDAN RD</t>
  </si>
  <si>
    <t>2115 E WOODSTOCK PL</t>
  </si>
  <si>
    <t>1000 N WISCONSIN AVE</t>
  </si>
  <si>
    <t>905 E GENEVA ST</t>
  </si>
  <si>
    <t>6735 W BRADLEY RD</t>
  </si>
  <si>
    <t>2100 E SIXTH ST</t>
  </si>
  <si>
    <t>3939 S 92ND ST</t>
  </si>
  <si>
    <t>911 3RD ST  WEST</t>
  </si>
  <si>
    <t>650 PEARL ST  PO BOX 308</t>
  </si>
  <si>
    <t>6201 ELMWOOD AVE</t>
  </si>
  <si>
    <t>407 N EIGHTH ST</t>
  </si>
  <si>
    <t>428 N 6TH ST</t>
  </si>
  <si>
    <t>121 HOSPITAL DR</t>
  </si>
  <si>
    <t>720 E KINGS RD</t>
  </si>
  <si>
    <t>1436 S LINCOLN ST</t>
  </si>
  <si>
    <t>810 MEMORIAL DR</t>
  </si>
  <si>
    <t>N7135 ROCKY KNOLL PARKWAY</t>
  </si>
  <si>
    <t>410 ROEDL CT</t>
  </si>
  <si>
    <t>1401 CHURCHILL ST</t>
  </si>
  <si>
    <t>1640 SHAWANO AVE</t>
  </si>
  <si>
    <t>1250 EVERGREEN ST</t>
  </si>
  <si>
    <t>146 CLOVER ST</t>
  </si>
  <si>
    <t>70 GREENTREE RD</t>
  </si>
  <si>
    <t>702 W DOLF ST</t>
  </si>
  <si>
    <t>201 PARK ST, PO BOX 130</t>
  </si>
  <si>
    <t>1350 S MADISON ST</t>
  </si>
  <si>
    <t>1800 SHERMAN AVE</t>
  </si>
  <si>
    <t>109 N IOWA ST</t>
  </si>
  <si>
    <t>502 S HIGH ST</t>
  </si>
  <si>
    <t>1308 LINCOLN ST</t>
  </si>
  <si>
    <t>5778 CHAPIN ST</t>
  </si>
  <si>
    <t>2730 W RAMSEY AVE</t>
  </si>
  <si>
    <t>8014 BETHEL RD</t>
  </si>
  <si>
    <t>719 E CATHERINE ST  BOX 167</t>
  </si>
  <si>
    <t>430 MANOR DR</t>
  </si>
  <si>
    <t>2120 HEIGHTS DR</t>
  </si>
  <si>
    <t>25951 CIRCLE VIEW LANE</t>
  </si>
  <si>
    <t>9350 W FOND DU LAC AVE</t>
  </si>
  <si>
    <t>3107 WESTHILL DR</t>
  </si>
  <si>
    <t>1612 N 37TH ST</t>
  </si>
  <si>
    <t>1300 WEST SILVER SPRING DR</t>
  </si>
  <si>
    <t>323 W MONROE ST PO BOX 895</t>
  </si>
  <si>
    <t>207 PARKER ST</t>
  </si>
  <si>
    <t>19 W NEWTON ST PO BOX 311</t>
  </si>
  <si>
    <t>6201 MINERAL POINT RD</t>
  </si>
  <si>
    <t>800 COMPASSION WAY</t>
  </si>
  <si>
    <t>323 S 18TH AVE</t>
  </si>
  <si>
    <t>2815 COUNTY HIGHWAY I</t>
  </si>
  <si>
    <t>228 W MAIN ST</t>
  </si>
  <si>
    <t>1220 3RD AVE W</t>
  </si>
  <si>
    <t>10101 W WISCONSIN AVE</t>
  </si>
  <si>
    <t>200 MEMORIAL DR</t>
  </si>
  <si>
    <t>640 N MAIN ST</t>
  </si>
  <si>
    <t>1319 BEASER AVE</t>
  </si>
  <si>
    <t>1405 TRUAX BLVD</t>
  </si>
  <si>
    <t>1445 N 7TH ST</t>
  </si>
  <si>
    <t>3400 N CTY TRK HWY F  PO BOX 920</t>
  </si>
  <si>
    <t>300 RACE ST</t>
  </si>
  <si>
    <t>808 S WASHINGTON ST</t>
  </si>
  <si>
    <t>501 S WINSTED  PO BOX 759</t>
  </si>
  <si>
    <t>1800 NEW YORK AVE</t>
  </si>
  <si>
    <t>1505 ORRIN RD</t>
  </si>
  <si>
    <t>400 DERONDA ST</t>
  </si>
  <si>
    <t>W4266 COUNTY HIGHWAY X</t>
  </si>
  <si>
    <t>1010 E WAUSAU AVE</t>
  </si>
  <si>
    <t>500 GRANT AVE</t>
  </si>
  <si>
    <t>601 N BRIARCLIFF DR</t>
  </si>
  <si>
    <t>8274 E SAN RD</t>
  </si>
  <si>
    <t>400 COUNTY RD R</t>
  </si>
  <si>
    <t>729 PARK ST</t>
  </si>
  <si>
    <t>1610 HOOVER ST</t>
  </si>
  <si>
    <t>1475 BIRCH HILL LANE</t>
  </si>
  <si>
    <t>3821 S CHICAGO AVE</t>
  </si>
  <si>
    <t>2727 W MITCHELL ST</t>
  </si>
  <si>
    <t>N84 W17049 MENOMONEE AVE</t>
  </si>
  <si>
    <t>900 COLLEGE AVE W</t>
  </si>
  <si>
    <t>3216 W HIGHLAND BLVD</t>
  </si>
  <si>
    <t>470 GARFIELD AVE</t>
  </si>
  <si>
    <t>222 CHAPMAN RD</t>
  </si>
  <si>
    <t>6001 ALDERSON ST</t>
  </si>
  <si>
    <t>W180 N8071 TOWN HALL RD</t>
  </si>
  <si>
    <t>425 N UNIVERSITY DR</t>
  </si>
  <si>
    <t>18740 W BLUEMOUND RD</t>
  </si>
  <si>
    <t>1850 11TH ST</t>
  </si>
  <si>
    <t>3501 PARK LANE DR</t>
  </si>
  <si>
    <t>2305 SAN LUIS PLACE</t>
  </si>
  <si>
    <t>105 W PIONEER AVE</t>
  </si>
  <si>
    <t>130 STRAWBERRY LN</t>
  </si>
  <si>
    <t>14345 CTY HWY B</t>
  </si>
  <si>
    <t>1519 60TH ST</t>
  </si>
  <si>
    <t>9806 W LINCOLN AVE</t>
  </si>
  <si>
    <t>2901 FORBES AVE</t>
  </si>
  <si>
    <t>10775 NYMAN AVE</t>
  </si>
  <si>
    <t>600 E ELM ST</t>
  </si>
  <si>
    <t>1050 DIVISION ST</t>
  </si>
  <si>
    <t>2902 E AVENUE SOUTH</t>
  </si>
  <si>
    <t>301 CHERRY AVENUE WEST</t>
  </si>
  <si>
    <t>2021 S ALVERNO RD</t>
  </si>
  <si>
    <t>1505 BUTTS AVE</t>
  </si>
  <si>
    <t>1600 MAIN ST</t>
  </si>
  <si>
    <t>825 WESTERN AVE</t>
  </si>
  <si>
    <t>803 S UNIVERSITY AVE</t>
  </si>
  <si>
    <t>100 E HIGHLAND DR</t>
  </si>
  <si>
    <t>501 N LAKE ST</t>
  </si>
  <si>
    <t>307 ROYALL AVE  PO BOX 167</t>
  </si>
  <si>
    <t>198 COUNTY  DF</t>
  </si>
  <si>
    <t>2512 NEW PINE DR</t>
  </si>
  <si>
    <t>2575 S 7TH ST</t>
  </si>
  <si>
    <t>3129 MICHIGAN AVE</t>
  </si>
  <si>
    <t>701 WILLOW ST</t>
  </si>
  <si>
    <t>220 LOCKWOOD ST</t>
  </si>
  <si>
    <t>900 BOYCE DR</t>
  </si>
  <si>
    <t>344 LINCOLN AVE</t>
  </si>
  <si>
    <t>1900 AMERICAN EAGLE DR</t>
  </si>
  <si>
    <t>245 SYCAMORE ST</t>
  </si>
  <si>
    <t>1700 MIDWAY RD</t>
  </si>
  <si>
    <t>5595 CTY RD Z</t>
  </si>
  <si>
    <t>S830 - WESTLAND DR</t>
  </si>
  <si>
    <t>501 MADISON AVE</t>
  </si>
  <si>
    <t>1445 N FOURTH ST</t>
  </si>
  <si>
    <t>206 W PROSPECT ST</t>
  </si>
  <si>
    <t>3151 CTY RD CH</t>
  </si>
  <si>
    <t>960 S RAPIDS RD</t>
  </si>
  <si>
    <t>831 PINE BEACH RD</t>
  </si>
  <si>
    <t>1915 E TRIPOLI AVE</t>
  </si>
  <si>
    <t>1501 THOMPSON ST</t>
  </si>
  <si>
    <t>915 ELM AVE</t>
  </si>
  <si>
    <t>125 BYRD AVE</t>
  </si>
  <si>
    <t>677 E STATE ST</t>
  </si>
  <si>
    <t>403 N MAPLE ST</t>
  </si>
  <si>
    <t>2915 N MEADE ST</t>
  </si>
  <si>
    <t>7672 W MINERAL POINT RD</t>
  </si>
  <si>
    <t>1555 DOUSMAN ST</t>
  </si>
  <si>
    <t>185 CHET KRAUSE DR  PO BOX 237</t>
  </si>
  <si>
    <t>1311 TYLER ST</t>
  </si>
  <si>
    <t>903 MAIN AVE  PO BOX 460</t>
  </si>
  <si>
    <t>1451 CLEVELAND AVE</t>
  </si>
  <si>
    <t>3540 S 43RD ST</t>
  </si>
  <si>
    <t>10560 APPLEWOOD RD</t>
  </si>
  <si>
    <t>1320 WISCONSIN AVE</t>
  </si>
  <si>
    <t>425 SUMMIT ST</t>
  </si>
  <si>
    <t>1625 E MAIN ST</t>
  </si>
  <si>
    <t>7500 W DEAN RD</t>
  </si>
  <si>
    <t>425 DAVIS ST</t>
  </si>
  <si>
    <t>650 BIRCH ST</t>
  </si>
  <si>
    <t>1821 N 4TH AVE</t>
  </si>
  <si>
    <t>5790 S 27TH ST</t>
  </si>
  <si>
    <t>816 PORTER AVE</t>
  </si>
  <si>
    <t>220 SCHOLL CT</t>
  </si>
  <si>
    <t>709 MEADOW PARK DR, PO BOX 309</t>
  </si>
  <si>
    <t>607 BRONSON RD</t>
  </si>
  <si>
    <t>1902 MEAD AVE</t>
  </si>
  <si>
    <t>400 N MORRIS ST</t>
  </si>
  <si>
    <t>1663 E DIVISION ST</t>
  </si>
  <si>
    <t>3737 DICKINSON RD</t>
  </si>
  <si>
    <t>1100 E VERONA AVE</t>
  </si>
  <si>
    <t>2805 HUNTERS TRAIL</t>
  </si>
  <si>
    <t>1755 N BARKER RD</t>
  </si>
  <si>
    <t>700 CLARK ST</t>
  </si>
  <si>
    <t>634 CENTER ST</t>
  </si>
  <si>
    <t>517 E DIVISION ST</t>
  </si>
  <si>
    <t>9255 N 76TH ST</t>
  </si>
  <si>
    <t>3800 N 92ND ST</t>
  </si>
  <si>
    <t>700 SOUTH FREMONT</t>
  </si>
  <si>
    <t>3601 S CHICAGO AVE</t>
  </si>
  <si>
    <t>604 S WEBB ST</t>
  </si>
  <si>
    <t>19525 W NORTH AVE</t>
  </si>
  <si>
    <t>6800 N 76TH STREET</t>
  </si>
  <si>
    <t>555 N CHESTNUT ST</t>
  </si>
  <si>
    <t>331 BLY ST</t>
  </si>
  <si>
    <t>750 E LOUISIANA ST</t>
  </si>
  <si>
    <t>1510 FREMONT ST</t>
  </si>
  <si>
    <t>459 E FIRST STREET</t>
  </si>
  <si>
    <t>901 BRIDGE CREEK LANE</t>
  </si>
  <si>
    <t>354 N MAIN ST</t>
  </si>
  <si>
    <t>W76 N677 WAUWATOSA RD</t>
  </si>
  <si>
    <t>1226 BERLIN ST</t>
  </si>
  <si>
    <t>1840 N PROSPECT AVE</t>
  </si>
  <si>
    <t>300 VILLA DR</t>
  </si>
  <si>
    <t>645 N CHURCH ST</t>
  </si>
  <si>
    <t>1400 8TH AVE</t>
  </si>
  <si>
    <t>1020 HILL ST</t>
  </si>
  <si>
    <t>232 E SPRINGER AVE</t>
  </si>
  <si>
    <t>7500 W NORTH AVE</t>
  </si>
  <si>
    <t>1712 MONROE ST</t>
  </si>
  <si>
    <t>6263 N GREEN BAY AVE</t>
  </si>
  <si>
    <t>2600 S HERITAGE WOODS DR</t>
  </si>
  <si>
    <t>5404 W LOOMIS RD</t>
  </si>
  <si>
    <t>1130 N MARGARET</t>
  </si>
  <si>
    <t>50 WOLVERTON AVE</t>
  </si>
  <si>
    <t>3200 S 20TH ST</t>
  </si>
  <si>
    <t>802 E CTY HWY B</t>
  </si>
  <si>
    <t>225 N EAGLE ST</t>
  </si>
  <si>
    <t>3506 WASHINGTON RD</t>
  </si>
  <si>
    <t>1040 PILGRIM WAY</t>
  </si>
  <si>
    <t>257 W ST GEORGE AVE</t>
  </si>
  <si>
    <t>1229 S JACKSON ST</t>
  </si>
  <si>
    <t>1305 W WISCONSIN AVE</t>
  </si>
  <si>
    <t>3271 NORTH ST</t>
  </si>
  <si>
    <t>E7404A COUNTY RD BB</t>
  </si>
  <si>
    <t>1110 SECOND ST</t>
  </si>
  <si>
    <t>211 S CURTIS ST</t>
  </si>
  <si>
    <t>706 BRATLEY DR</t>
  </si>
  <si>
    <t>3014 ERIE AVE</t>
  </si>
  <si>
    <t>226 BORNEMANN ST</t>
  </si>
  <si>
    <t>200 S NINTH ST</t>
  </si>
  <si>
    <t>3300 W BREWSTER ST</t>
  </si>
  <si>
    <t>1235 S 24TH ST</t>
  </si>
  <si>
    <t>N27 W5707 LINCOLN BLVD</t>
  </si>
  <si>
    <t>1201 GARFIELD AVE</t>
  </si>
  <si>
    <t>1840 PRIDDY ST</t>
  </si>
  <si>
    <t>612 VIEW ST</t>
  </si>
  <si>
    <t>325 E FLORIDA AVE</t>
  </si>
  <si>
    <t>1119 N WISCONSIN ST</t>
  </si>
  <si>
    <t>435 W STARIN RD</t>
  </si>
  <si>
    <t>4545 N 92ND ST</t>
  </si>
  <si>
    <t>1970 NAVAJO ST</t>
  </si>
  <si>
    <t>430 S CLAY ST</t>
  </si>
  <si>
    <t>614 S ROCK AVE</t>
  </si>
  <si>
    <t>1001 E 11TH ST N</t>
  </si>
  <si>
    <t>33 EVERETT ST</t>
  </si>
  <si>
    <t>9449 W FOREST HOME AVE</t>
  </si>
  <si>
    <t>3505 COUNTY ROAD Y</t>
  </si>
  <si>
    <t>107 E BECKERT RD</t>
  </si>
  <si>
    <t>5301 W LINCOLN AVE</t>
  </si>
  <si>
    <t>612 E OAK ST</t>
  </si>
  <si>
    <t>9244 29TH AVE</t>
  </si>
  <si>
    <t>4500 W LOOMIS RD</t>
  </si>
  <si>
    <t>3613 S 13TH ST</t>
  </si>
  <si>
    <t>208 ELM ST PO BOX 9</t>
  </si>
  <si>
    <t>3431 N 13TH ST</t>
  </si>
  <si>
    <t>3205 WOOD RD</t>
  </si>
  <si>
    <t>1635 S 21ST STREET</t>
  </si>
  <si>
    <t>825 WHITING AVE</t>
  </si>
  <si>
    <t>250 LAWRENCE AVE</t>
  </si>
  <si>
    <t>35 N 28TH ST</t>
  </si>
  <si>
    <t>305 S CLARK ST</t>
  </si>
  <si>
    <t>316 EAST 14TH STREET</t>
  </si>
  <si>
    <t>3200 W PLEASANT VALLEY RD</t>
  </si>
  <si>
    <t>323 BLACK RIVER AVE</t>
  </si>
  <si>
    <t>N8114 COUNTY WW</t>
  </si>
  <si>
    <t>101 SUNSHINE BLVD  PO BOX 177</t>
  </si>
  <si>
    <t>3576A NU ROC LN</t>
  </si>
  <si>
    <t>620 GRAND VIEW AVE PO BOX 27</t>
  </si>
  <si>
    <t>1922 CTY RD NN</t>
  </si>
  <si>
    <t>1320 WISCONSIN ST</t>
  </si>
  <si>
    <t>595 PETERSON DR</t>
  </si>
  <si>
    <t>19475 SILVER CREEK RD</t>
  </si>
  <si>
    <t>316 SUNSET PLACE</t>
  </si>
  <si>
    <t>600 2ND AVE</t>
  </si>
  <si>
    <t>11040 NORTH STATE RD 77</t>
  </si>
  <si>
    <t>2330 N PROSPECT AVE</t>
  </si>
  <si>
    <t>320 N 7TH ST</t>
  </si>
  <si>
    <t>725 BUTLER AVE</t>
  </si>
  <si>
    <t>109 S ATWOOD AVENUE</t>
  </si>
  <si>
    <t>430 E DIVISION ST</t>
  </si>
  <si>
    <t>135 S GIBSON ST</t>
  </si>
  <si>
    <t>438 ASHFORD AVE  PO BOX 280</t>
  </si>
  <si>
    <t>N3150 HWY 81  PO BOX 768</t>
  </si>
  <si>
    <t>8301 OLD SAUK RD</t>
  </si>
  <si>
    <t>837 CTY RD NN E</t>
  </si>
  <si>
    <t>N26 W23977 WATERTOWN RD</t>
  </si>
  <si>
    <t>1130 N WESTFIELD ST</t>
  </si>
  <si>
    <t>660 E BIRCH AVE</t>
  </si>
  <si>
    <t>1702 S RIVER RD</t>
  </si>
  <si>
    <t>530 RIVER AVE S</t>
  </si>
  <si>
    <t>W173 N10915 BERNIES WAY</t>
  </si>
  <si>
    <t>1016 LAKESHORE DR</t>
  </si>
  <si>
    <t>244 N MACY ST</t>
  </si>
  <si>
    <t>303 S JEFFERSON ST</t>
  </si>
  <si>
    <t>251 FOREST LANE</t>
  </si>
  <si>
    <t>10330 PRAIRIE RIDGE BLVD</t>
  </si>
  <si>
    <t>2375 SINSINAWA RD</t>
  </si>
  <si>
    <t>330 ROBIN HOOD LN</t>
  </si>
  <si>
    <t>331 S WATER ST</t>
  </si>
  <si>
    <t>2121 PIONEER DR</t>
  </si>
  <si>
    <t>1 HAMILTON DR</t>
  </si>
  <si>
    <t>205 UNITED WAY</t>
  </si>
  <si>
    <t>1000 MINERAL POINT AVE PO BOX 5003</t>
  </si>
  <si>
    <t>2350 N DEWEY AVE</t>
  </si>
  <si>
    <t>12600 N PORT WASHINGTON RD #300</t>
  </si>
  <si>
    <t>6101 16TH ST</t>
  </si>
  <si>
    <t>101 FIRST ST</t>
  </si>
  <si>
    <t>1400 W SEMINARY ST</t>
  </si>
  <si>
    <t>725 KNAPP ST</t>
  </si>
  <si>
    <t>510 FIRST ST</t>
  </si>
  <si>
    <t>220 HAVEN DRIVE</t>
  </si>
  <si>
    <t>270 RIDGE ROAD</t>
  </si>
  <si>
    <t>9969 OLD HWY 70 RD</t>
  </si>
  <si>
    <t>18601 LINCOLN ST</t>
  </si>
  <si>
    <t>623 S SECOND ST</t>
  </si>
  <si>
    <t>814 JACKSON ST</t>
  </si>
  <si>
    <t>10995 N MARKET ST</t>
  </si>
  <si>
    <t>E401 23RD ST PO BOX 34</t>
  </si>
  <si>
    <t>209 WILDERNESS VIEW DRIVE</t>
  </si>
  <si>
    <t>916 E CLIFFORD ST</t>
  </si>
  <si>
    <t>S77 W18690 JANESVILLE RD</t>
  </si>
  <si>
    <t>13197 CHURCH ST</t>
  </si>
  <si>
    <t>21425 E SPRING ST</t>
  </si>
  <si>
    <t>N4231 STATE HWY 22</t>
  </si>
  <si>
    <t>110 PARK DRIVE</t>
  </si>
  <si>
    <t>5833 AMERICAN PARKWAY</t>
  </si>
  <si>
    <t>3150 GERSHWIN DRIVE</t>
  </si>
  <si>
    <t>104 E DALLAS ST  BOX 220</t>
  </si>
  <si>
    <t>2901 SOUTH OVERLAND ROAD</t>
  </si>
  <si>
    <t>450 LAKE DR</t>
  </si>
  <si>
    <t>912 MANOR DRIVE</t>
  </si>
  <si>
    <t>4810 BARBICAN AVE</t>
  </si>
  <si>
    <t>13900 W BURLEIGH RD</t>
  </si>
  <si>
    <t>3656 MALL DRIVE</t>
  </si>
  <si>
    <t>2195 NORTH SUMMIT VILLAGE WAY</t>
  </si>
  <si>
    <t>2105 E ENTERPRISE AVE</t>
  </si>
  <si>
    <t>3151 EDEN CT</t>
  </si>
  <si>
    <t>9632 W APPLETON AVE</t>
  </si>
  <si>
    <t>2650 65TH AVE</t>
  </si>
  <si>
    <t>8534 W MILL RD</t>
  </si>
  <si>
    <t>2175 E PARK AVE</t>
  </si>
  <si>
    <t>13025 EIGHTH ST</t>
  </si>
  <si>
    <t>7805 BIRCH ST</t>
  </si>
  <si>
    <t>1110 7TH AVE</t>
  </si>
  <si>
    <t>658 HOWISON CIRCLE</t>
  </si>
  <si>
    <t>651 HOWISON CIRCLE</t>
  </si>
  <si>
    <t>910 BEAR PAW AVE</t>
  </si>
  <si>
    <t>N2665 CTY RD QQ</t>
  </si>
  <si>
    <t>1401 W 5TH ST</t>
  </si>
  <si>
    <t>625 EAST BROADWAY</t>
  </si>
  <si>
    <t>255 N 30TH</t>
  </si>
  <si>
    <t>3128 BOXELDER DRIVE</t>
  </si>
  <si>
    <t>333 N BRIDGER AVE</t>
  </si>
  <si>
    <t>890 US HWY 20 SOUTH</t>
  </si>
  <si>
    <t>900 W 8TH ST</t>
  </si>
  <si>
    <t>4305 S POPLAR</t>
  </si>
  <si>
    <t>2700 E 12TH STREET</t>
  </si>
  <si>
    <t>1851 BIG HORN AVE</t>
  </si>
  <si>
    <t>707 SHERIDAN AVENUE</t>
  </si>
  <si>
    <t>1002 FOREST DRIVE</t>
  </si>
  <si>
    <t>1330 PRAIRIE AVENUE</t>
  </si>
  <si>
    <t>1445 UINTA DRIVE</t>
  </si>
  <si>
    <t>150 CARING WAY</t>
  </si>
  <si>
    <t>255 N 30TH STREET</t>
  </si>
  <si>
    <t>542 16TH STREET</t>
  </si>
  <si>
    <t>1325 SAGE STREET</t>
  </si>
  <si>
    <t>475 YELLOW CREEK ROAD</t>
  </si>
  <si>
    <t>1990 WEST LOUCKS STREET</t>
  </si>
  <si>
    <t>1108 BIRCH STREET</t>
  </si>
  <si>
    <t>60 MAGNOLIA</t>
  </si>
  <si>
    <t>503 S 18TH ST</t>
  </si>
  <si>
    <t>214 EAST 23RD STREET</t>
  </si>
  <si>
    <t>207 EAST HOLLY</t>
  </si>
  <si>
    <t>1901 HOWELL AVENUE</t>
  </si>
  <si>
    <t>4041 SOUTH POPLAR STREET</t>
  </si>
  <si>
    <t>4 NORTH FORK ROAD</t>
  </si>
  <si>
    <t>PO BOX 1325</t>
  </si>
  <si>
    <t>100 19TH ST</t>
  </si>
  <si>
    <t>2311 SHIRLEY COVE</t>
  </si>
  <si>
    <t>207 EAST HOLLY AVENUE / PO BOX 630</t>
  </si>
  <si>
    <t>7716 MANCHESTER AVENUE</t>
  </si>
  <si>
    <t>1201 WALNUT AVENUE</t>
  </si>
  <si>
    <t>10830 OXNARD STREET</t>
  </si>
  <si>
    <t>13000 VICTORY BLVD,</t>
  </si>
  <si>
    <t>4432 JAMES AVENUE</t>
  </si>
  <si>
    <t>4000 HARRISON STREET</t>
  </si>
  <si>
    <t>2411 W. TEMPLE STREET</t>
  </si>
  <si>
    <t>375 LAGUNA HONDA BLVD.</t>
  </si>
  <si>
    <t>12332 GARDEN GROVE BLVD.</t>
  </si>
  <si>
    <t>300 HOT SPRINGS RD</t>
  </si>
  <si>
    <t>2278 NICE STREET</t>
  </si>
  <si>
    <t>7781 GARFIELD AVENUE</t>
  </si>
  <si>
    <t>26303 WESTERN AVE.</t>
  </si>
  <si>
    <t>4681 EAGLE ROCK BLVD.</t>
  </si>
  <si>
    <t>222 WEST 39TH AVENUE</t>
  </si>
  <si>
    <t>3435 W BALL ROAD</t>
  </si>
  <si>
    <t>947 THIRD STREET</t>
  </si>
  <si>
    <t>6011 WEST BLVD</t>
  </si>
  <si>
    <t>10158 SUNLAND BLVD</t>
  </si>
  <si>
    <t>1334 S. HAM LANE</t>
  </si>
  <si>
    <t>729 BROWNING ROAD</t>
  </si>
  <si>
    <t>1323 17TH STREET</t>
  </si>
  <si>
    <t>10786 LIVE OAK AVENUE</t>
  </si>
  <si>
    <t>14165 PURCHE AVE.</t>
  </si>
  <si>
    <t>350 IRIS DRIVE</t>
  </si>
  <si>
    <t>1131 ARIZONA AVE.</t>
  </si>
  <si>
    <t>3737 DON FELIPE DRIVE</t>
  </si>
  <si>
    <t>118 B ST</t>
  </si>
  <si>
    <t>2910 MCCLURE STREET</t>
  </si>
  <si>
    <t>1990 FRUITDALE AVENUE</t>
  </si>
  <si>
    <t>2190 W. ADAMS BLVD.</t>
  </si>
  <si>
    <t>11701 STUDEBAKER ROAD</t>
  </si>
  <si>
    <t>2000 W WASHINGTON BL</t>
  </si>
  <si>
    <t>11600A INDIAN HILLS ROAD, MISSION HILLS, CA 9</t>
  </si>
  <si>
    <t>510 E. WASHINGTON AVENUE</t>
  </si>
  <si>
    <t>610 S FAIRMONT AVENUE</t>
  </si>
  <si>
    <t>545 WEST BEVERLY PLACE</t>
  </si>
  <si>
    <t>3136 NORTH DEL MAR AVENUE</t>
  </si>
  <si>
    <t>20090 STANTON AVENUE</t>
  </si>
  <si>
    <t>5318 MANZANITA  AVENUE</t>
  </si>
  <si>
    <t>82-262 VALENCIA AVENUE</t>
  </si>
  <si>
    <t>621 W BONITA AVE</t>
  </si>
  <si>
    <t>1055 N KINGSLEY DR</t>
  </si>
  <si>
    <t>11210 LOWER AZUSA RD.</t>
  </si>
  <si>
    <t>1700 E. WASHINGTON STREET</t>
  </si>
  <si>
    <t>720 EAST ROMIE LANE</t>
  </si>
  <si>
    <t>1929 N. FAIRVIEW STREET</t>
  </si>
  <si>
    <t>100 CALIFORNIA DRIVE</t>
  </si>
  <si>
    <t>1450 N. FAIR OAKS AVENUE</t>
  </si>
  <si>
    <t>455 FLORIN ROAD</t>
  </si>
  <si>
    <t>12023 LAKEWOOD BLVD.</t>
  </si>
  <si>
    <t>600 E WASHINGTON AVENUE</t>
  </si>
  <si>
    <t>1050 SAN MIGUEL ROAD</t>
  </si>
  <si>
    <t>2740 NORTH CALIFORNIA STREET</t>
  </si>
  <si>
    <t>5053 NORTH PECK RD.</t>
  </si>
  <si>
    <t>3541 PUENTE AVENUE</t>
  </si>
  <si>
    <t>1950 S. MOUNTAIN AVE</t>
  </si>
  <si>
    <t>8925 MINES AVENUE</t>
  </si>
  <si>
    <t>1850 ALICE STREET</t>
  </si>
  <si>
    <t>4109 EMERALD ST</t>
  </si>
  <si>
    <t>40131 HIGHWAY 49</t>
  </si>
  <si>
    <t>1401 NEW STINE ROAD</t>
  </si>
  <si>
    <t>3032 ROWENA AVE</t>
  </si>
  <si>
    <t>2030 EVERGREEN AVENUE</t>
  </si>
  <si>
    <t>1810 N. FAIR OAKS AVE</t>
  </si>
  <si>
    <t>101  MONROE STREET</t>
  </si>
  <si>
    <t>3700 H STREET</t>
  </si>
  <si>
    <t>4444 WEST MEADOW</t>
  </si>
  <si>
    <t>2373 COLORADO BLVD.</t>
  </si>
  <si>
    <t>450 HAYES LANE</t>
  </si>
  <si>
    <t>8425 IOWA STREET</t>
  </si>
  <si>
    <t>6025 PINE AVE</t>
  </si>
  <si>
    <t>6120 N. VINELAND AVE</t>
  </si>
  <si>
    <t>325 KEMPTON ST.</t>
  </si>
  <si>
    <t>1441 N MICHIGAN AVENUE</t>
  </si>
  <si>
    <t>15632 POMERADO ROAD</t>
  </si>
  <si>
    <t>7150 TAMPA AVE</t>
  </si>
  <si>
    <t>1020 SOUTH FAIRFAX AVE</t>
  </si>
  <si>
    <t>675 E BRADLEY</t>
  </si>
  <si>
    <t>555 EAST MEMORY LANE</t>
  </si>
  <si>
    <t>100 BARNET SEGAL LANE</t>
  </si>
  <si>
    <t>235 NUTMEG STREET</t>
  </si>
  <si>
    <t>710 W 13TH AVE</t>
  </si>
  <si>
    <t>3300 FRANKLIN STREET</t>
  </si>
  <si>
    <t>320 NORTH CRAWFORD STREET</t>
  </si>
  <si>
    <t>11300 FAIR OAKS BLVD.</t>
  </si>
  <si>
    <t>437 WEBSTER STREET</t>
  </si>
  <si>
    <t>7419 SKYWAY</t>
  </si>
  <si>
    <t>1700 S. IMPERIAL AVE</t>
  </si>
  <si>
    <t>6248 66TH AVENUE</t>
  </si>
  <si>
    <t>3275 VILLA LANE</t>
  </si>
  <si>
    <t>27555 RIMROCK ROAD</t>
  </si>
  <si>
    <t>5225 SOUTH J ST</t>
  </si>
  <si>
    <t>900 NORTH CHURCH STREET</t>
  </si>
  <si>
    <t>5125 MONTE VISTA ST.</t>
  </si>
  <si>
    <t>684 BENICIA DRIVE</t>
  </si>
  <si>
    <t>323 CAMPUS DRIVE</t>
  </si>
  <si>
    <t>668 E. BULLARD</t>
  </si>
  <si>
    <t>4301 GOLDEN CENTER DRIVE</t>
  </si>
  <si>
    <t>1044 HEARTWOOD AVE.</t>
  </si>
  <si>
    <t>1032 N. LINCOLN STREET</t>
  </si>
  <si>
    <t>3431 FOOTHILL BLVD.</t>
  </si>
  <si>
    <t>2633 WEST RUMBLE RD</t>
  </si>
  <si>
    <t>2018  N DEL ROSA AVE.</t>
  </si>
  <si>
    <t>3698 CALIFORNIA STREET</t>
  </si>
  <si>
    <t>14518 E. LOS ANGELES ST.</t>
  </si>
  <si>
    <t>1224 E STREET</t>
  </si>
  <si>
    <t>12696 MONTE VISTA ROAD</t>
  </si>
  <si>
    <t>1800 PUEBLO AVE</t>
  </si>
  <si>
    <t>4525 W. TULARE AVE.</t>
  </si>
  <si>
    <t>179 SOUTH FAIRVIEW LANE</t>
  </si>
  <si>
    <t>206 HOSPITAL CIRCLE</t>
  </si>
  <si>
    <t>1640 N. FAIR OAKS AVENUE</t>
  </si>
  <si>
    <t>81 PROFESSIONAL CENTER PARKWAY</t>
  </si>
  <si>
    <t>751 MEDICAL CENTER COURT</t>
  </si>
  <si>
    <t>9449 SAN FERNANDO ROAD</t>
  </si>
  <si>
    <t>2300 W. WASHINGTON BLVD.</t>
  </si>
  <si>
    <t>3400 BELL ROAD</t>
  </si>
  <si>
    <t>290 HEATHER CT</t>
  </si>
  <si>
    <t>1291 CRAIG AVENUE</t>
  </si>
  <si>
    <t>2309 ANTONIO AVE</t>
  </si>
  <si>
    <t>41-505 CARLOTTA DRIVE</t>
  </si>
  <si>
    <t>100 THORNDALE DRIVE</t>
  </si>
  <si>
    <t>1205 8TH STREET</t>
  </si>
  <si>
    <t>10121 PINE AVE.</t>
  </si>
  <si>
    <t>1900 SULLIVAN AVENUE</t>
  </si>
  <si>
    <t>1530 E CYPRESS WY</t>
  </si>
  <si>
    <t>438 W. LAS TUNAS DRIVE</t>
  </si>
  <si>
    <t>3630 IMPERIAL HWY.</t>
  </si>
  <si>
    <t>1111 E  TUOLUMNE ROAD</t>
  </si>
  <si>
    <t>3555 CESAR CHAVEZ STREET</t>
  </si>
  <si>
    <t>1685 SHAFFER RD</t>
  </si>
  <si>
    <t>2586 BUTHMANN AVE</t>
  </si>
  <si>
    <t>304 N. MELROSE DR</t>
  </si>
  <si>
    <t>39950 VISTA DEL SOL</t>
  </si>
  <si>
    <t>1131 N. CHINA LAKE BLVD.</t>
  </si>
  <si>
    <t>18811 FLORIDA ST</t>
  </si>
  <si>
    <t>16890 GREEN TREE BLVD</t>
  </si>
  <si>
    <t>8777 SKYWAY</t>
  </si>
  <si>
    <t>475 29TH STREET</t>
  </si>
  <si>
    <t>4060 E. WHITTIER BLVD.</t>
  </si>
  <si>
    <t>2211 MOUNT VERNON AVENUE</t>
  </si>
  <si>
    <t>24962 CALLE ARAGON</t>
  </si>
  <si>
    <t>347 ANDRIEUX ST</t>
  </si>
  <si>
    <t>1835 WEST LA VETA AVENUE</t>
  </si>
  <si>
    <t>6212 TUDOR WAY</t>
  </si>
  <si>
    <t>7801 RUSH RIVER DRIVE</t>
  </si>
  <si>
    <t>541 V AVENUE</t>
  </si>
  <si>
    <t>2120 STOCKTON BLVD</t>
  </si>
  <si>
    <t>1720 WEST ORANGE AVENUE</t>
  </si>
  <si>
    <t>5555 MONTGOMERY DRIVE</t>
  </si>
  <si>
    <t>214 SOUTH ATLANTIC BLVD.</t>
  </si>
  <si>
    <t>837 W. MANCHESTER AVE.</t>
  </si>
  <si>
    <t>890 EL CAMINO REAL</t>
  </si>
  <si>
    <t>1000 EXECUTIVE PARKWAY</t>
  </si>
  <si>
    <t>396 DORSEY DRIVE</t>
  </si>
  <si>
    <t>5017 E. CHAPMAN AVENUE</t>
  </si>
  <si>
    <t>2351 LOVERIDGE ROAD</t>
  </si>
  <si>
    <t>8778 CUYAMACA STREET</t>
  </si>
  <si>
    <t>331 ILENE STREET</t>
  </si>
  <si>
    <t>19191 HARVARD AVENUE</t>
  </si>
  <si>
    <t>16915 HIERBA DRIVE</t>
  </si>
  <si>
    <t>1717 WEST STETSON AVENUE</t>
  </si>
  <si>
    <t>15615 POMERADO RD</t>
  </si>
  <si>
    <t>1200 SPRINGFIELD DRIVE</t>
  </si>
  <si>
    <t>15115 S VERMONT AVE</t>
  </si>
  <si>
    <t>1517 EAST KNICKERBOCKER DRIVE</t>
  </si>
  <si>
    <t>25652 OLD TRABUCO ROAD</t>
  </si>
  <si>
    <t>5800 WEST WILSON STREET</t>
  </si>
  <si>
    <t>2118 MARGUERITE ST</t>
  </si>
  <si>
    <t>1720 CESAR E. CHAVEZ AVENUE</t>
  </si>
  <si>
    <t>210 40TH STREET WAY</t>
  </si>
  <si>
    <t>201 HARTNELL AVENUE</t>
  </si>
  <si>
    <t>15720 BERNARDO CENTER DRIVE</t>
  </si>
  <si>
    <t>3476 W. WILSON ST.</t>
  </si>
  <si>
    <t>944 REGAL ROAD</t>
  </si>
  <si>
    <t>11895 AVENUE OF INDUSTRY</t>
  </si>
  <si>
    <t>11680 WARNER AVENUE</t>
  </si>
  <si>
    <t>1130  LA PALMA AVE</t>
  </si>
  <si>
    <t>8781 LAKEVIEW AVENUE</t>
  </si>
  <si>
    <t>4301 CAROLINE COURT</t>
  </si>
  <si>
    <t>1550 THIRD STREET</t>
  </si>
  <si>
    <t>1111 E STANLEY BOULEVARD</t>
  </si>
  <si>
    <t>329 NORTH REAL ROAD</t>
  </si>
  <si>
    <t>7807 UPLANDS WAY</t>
  </si>
  <si>
    <t>1836 N. FAIR OAKS</t>
  </si>
  <si>
    <t>74-350 COUNTRY CLUB DRIVE</t>
  </si>
  <si>
    <t>5240 SEPULVEDA BLVD</t>
  </si>
  <si>
    <t>22103 REDWOOD ROAD</t>
  </si>
  <si>
    <t>22445 CUPERTINO ROAD</t>
  </si>
  <si>
    <t>14500 FRUITVALE AVENUE</t>
  </si>
  <si>
    <t>8151 BRUCEVILLE ROAD</t>
  </si>
  <si>
    <t>180 STARR AVENUE</t>
  </si>
  <si>
    <t>3565 E. IMPERIAL  HWY.</t>
  </si>
  <si>
    <t>585 NUT TREE COURT</t>
  </si>
  <si>
    <t>1618 LAUREL AVENUE</t>
  </si>
  <si>
    <t>2939 S. PEACH AVENUE</t>
  </si>
  <si>
    <t>8965 MAGNOLIA AVENUE</t>
  </si>
  <si>
    <t>514 NORTH BRIDGE STREET</t>
  </si>
  <si>
    <t>3620 B DALE RD.</t>
  </si>
  <si>
    <t>2120 BENTON DRIVE</t>
  </si>
  <si>
    <t>3020 EAST 15TH STREET</t>
  </si>
  <si>
    <t>18655 W. BERNARDO DRIVE</t>
  </si>
  <si>
    <t>2671 PLUMMER AVENUE</t>
  </si>
  <si>
    <t>3230 CARLSON BOULEVARD</t>
  </si>
  <si>
    <t>11162 PALM TERRACE LANE</t>
  </si>
  <si>
    <t>301 CENTINELA AVE</t>
  </si>
  <si>
    <t>1405 TERESA DR</t>
  </si>
  <si>
    <t>5043 N. PECK RD</t>
  </si>
  <si>
    <t>3232 E. ARTESIA BLVD.</t>
  </si>
  <si>
    <t>336 DIABLO ROAD</t>
  </si>
  <si>
    <t>1875 BARTON ROAD</t>
  </si>
  <si>
    <t>16237 VENTURA BLVD</t>
  </si>
  <si>
    <t>2070 CLINTON AVE</t>
  </si>
  <si>
    <t>285 WEST CHANSLOR WAY</t>
  </si>
  <si>
    <t>9107 N. DAVIS ROAD</t>
  </si>
  <si>
    <t>645 SOUTH BEACH BLVD.</t>
  </si>
  <si>
    <t>730 MAGNOLIA AVENUE</t>
  </si>
  <si>
    <t>23442 EL TORO ROAD</t>
  </si>
  <si>
    <t>160 S PATTERSON AVE</t>
  </si>
  <si>
    <t>555 SOUTH EL ENCANTO ROAD</t>
  </si>
  <si>
    <t>1633 SOUTH COURT STREET</t>
  </si>
  <si>
    <t>340 SOUTH ALVARADO STREET</t>
  </si>
  <si>
    <t>25919 GADING ROAD</t>
  </si>
  <si>
    <t>788 HOLMES STREET</t>
  </si>
  <si>
    <t>500 JESSIE AVENUE</t>
  </si>
  <si>
    <t>44610 MONTEREY AVENUE</t>
  </si>
  <si>
    <t>17040 ARNOLD DR.</t>
  </si>
  <si>
    <t>16530 S BROADWAY STREET</t>
  </si>
  <si>
    <t>401 W. ADA AVE.</t>
  </si>
  <si>
    <t>1150 NORTH INDIAN CANYON DRIVE</t>
  </si>
  <si>
    <t>718 BARTLETT AVE.</t>
  </si>
  <si>
    <t>4367 CONCORD BOULEVARD</t>
  </si>
  <si>
    <t>3775 MODOC RD</t>
  </si>
  <si>
    <t>211 SAXONY ROAD</t>
  </si>
  <si>
    <t>2000 WESTWOOD ROAD</t>
  </si>
  <si>
    <t>1233 A STREET</t>
  </si>
  <si>
    <t>1980 FELICITA ROAD</t>
  </si>
  <si>
    <t>842 EAST VILLA STREET</t>
  </si>
  <si>
    <t>1260 WILLIAMS WAY</t>
  </si>
  <si>
    <t>1580 BROADWAY</t>
  </si>
  <si>
    <t>2236 MERTON AVE.</t>
  </si>
  <si>
    <t>500 FIRST STREET</t>
  </si>
  <si>
    <t>1350 RECHE CANYON RD</t>
  </si>
  <si>
    <t>2131 WEST 3RD STREET</t>
  </si>
  <si>
    <t>2221 LINCOLN PARK AVE</t>
  </si>
  <si>
    <t>1145 W. REDONDO BEACH</t>
  </si>
  <si>
    <t>6821 24TH STREET</t>
  </si>
  <si>
    <t>6601 WHITE FEATHER ROAD</t>
  </si>
  <si>
    <t>1150 TILTON DRIVE</t>
  </si>
  <si>
    <t>3067 W ORANGE AVENUE</t>
  </si>
  <si>
    <t>1226 ROSSMOOR PARKWAY</t>
  </si>
  <si>
    <t>3900 GARFIELD AVENUE</t>
  </si>
  <si>
    <t>44567 NORTH 15TH ST. WEST</t>
  </si>
  <si>
    <t>1300 NORTH C ST</t>
  </si>
  <si>
    <t>2200 GRAMERCY DRIVE</t>
  </si>
  <si>
    <t>3201 FERNSIDE BLVD.</t>
  </si>
  <si>
    <t>24552 PASEO DE VALENCIA</t>
  </si>
  <si>
    <t>2400 WEST ACACIA AVENUE</t>
  </si>
  <si>
    <t>2270 ASHBY AVENUE</t>
  </si>
  <si>
    <t>41870 GARSTIN RD</t>
  </si>
  <si>
    <t>9289 BRANSTETTER PLACE</t>
  </si>
  <si>
    <t>199 E. WEBSTER ST</t>
  </si>
  <si>
    <t>1401 W BALL ROAD</t>
  </si>
  <si>
    <t>13075 BLACKBIRD STREET</t>
  </si>
  <si>
    <t>11959 APPLE VALLEY ROAD</t>
  </si>
  <si>
    <t>5445 EVERGLADES ST</t>
  </si>
  <si>
    <t>1509 TOKAY STREET</t>
  </si>
  <si>
    <t>1100 MARSHALL WAY</t>
  </si>
  <si>
    <t>120 JOSE FIGUERES AVENUE</t>
  </si>
  <si>
    <t>1812 VERDUGO BLVD</t>
  </si>
  <si>
    <t>851 LESLIE LANE</t>
  </si>
  <si>
    <t>430 WILLOW STREET</t>
  </si>
  <si>
    <t>2501 ALVIN AVENUE</t>
  </si>
  <si>
    <t>300 WEST HUNTINGTON DRIVE</t>
  </si>
  <si>
    <t>3805 DEXTER LANE</t>
  </si>
  <si>
    <t>9246 AVENIDA MIRAVILLA</t>
  </si>
  <si>
    <t>11970 4TH STREET</t>
  </si>
  <si>
    <t>5320 CARRINGTON CIRCLE</t>
  </si>
  <si>
    <t>3145 HIGH STREET</t>
  </si>
  <si>
    <t>1763 ROYAL OAKS DRIVE</t>
  </si>
  <si>
    <t>703 W HERBERT AVE</t>
  </si>
  <si>
    <t>275 GARNET WAY</t>
  </si>
  <si>
    <t>2525 BREA BLVD.</t>
  </si>
  <si>
    <t>6835 HAZELTINE AVE.</t>
  </si>
  <si>
    <t>1135 LEISURE COURT</t>
  </si>
  <si>
    <t>9333 LA MESA DRIVE</t>
  </si>
  <si>
    <t>23600 VIA ESPLENDOR</t>
  </si>
  <si>
    <t>501 E LOCUST</t>
  </si>
  <si>
    <t>1104 VENTURA AVE.</t>
  </si>
  <si>
    <t>19700 HESPERIAN BOULEVARD</t>
  </si>
  <si>
    <t>9000 LARKIN ROAD</t>
  </si>
  <si>
    <t>1770 W. LA HABRA BLVD.</t>
  </si>
  <si>
    <t>612 MAIN STREET</t>
  </si>
  <si>
    <t>1191 PHELPS AVE.</t>
  </si>
  <si>
    <t>415 P STREET</t>
  </si>
  <si>
    <t>7160 FAY AVENUE</t>
  </si>
  <si>
    <t>800 BLOSSOM HILL ROAD</t>
  </si>
  <si>
    <t>10805 EL CAMINO REAL</t>
  </si>
  <si>
    <t>3939 WALNUT AVE.</t>
  </si>
  <si>
    <t>320 CATTLE CALL DR.</t>
  </si>
  <si>
    <t>11900 E. ARTESIA BLVD.</t>
  </si>
  <si>
    <t>2600 SOUTH MAIN STREET</t>
  </si>
  <si>
    <t>2701 SOUTH BRISTOL STREET</t>
  </si>
  <si>
    <t>2361 EAST 29TH STREET</t>
  </si>
  <si>
    <t>5555 GROSSMONT CENTER DRIVE</t>
  </si>
  <si>
    <t>21820 CRAGGY VIEW ST.</t>
  </si>
  <si>
    <t>20554 ROSCOE BLVD</t>
  </si>
  <si>
    <t>15099 MISSION HILLS ROAD</t>
  </si>
  <si>
    <t>12831 MACLAY STREET</t>
  </si>
  <si>
    <t>2828 MEADOWLARK DRIVE</t>
  </si>
  <si>
    <t>2801 EUREKA WAY</t>
  </si>
  <si>
    <t>1575 BISHOP ST</t>
  </si>
  <si>
    <t>2105 FOREST AVENUE</t>
  </si>
  <si>
    <t>1550 SILVEIRA PARKWAY</t>
  </si>
  <si>
    <t>444 W LEXINGTON</t>
  </si>
  <si>
    <t>3330 WEST LOMITA BLVD</t>
  </si>
  <si>
    <t>212 WEST CHEVY CHASE DRIVE</t>
  </si>
  <si>
    <t>1208 S. CENTRAL AVE</t>
  </si>
  <si>
    <t>210 W. SAN BERNARDINO RD.</t>
  </si>
  <si>
    <t>3401 LEMON STREET</t>
  </si>
  <si>
    <t>1230 E. WINDSOR RD.</t>
  </si>
  <si>
    <t>14900 EL CAMINO REAL</t>
  </si>
  <si>
    <t>1212 FARROLL AVE</t>
  </si>
  <si>
    <t>1117 E DEVONSHIRE AVENUE</t>
  </si>
  <si>
    <t>2850 SIERRA SUNRISE TERRACE</t>
  </si>
  <si>
    <t>4033 SIXTH AVENUE EXT</t>
  </si>
  <si>
    <t>340 NORTHLAKE DRIVE</t>
  </si>
  <si>
    <t>4081 EAST OLYMPIC BLVD</t>
  </si>
  <si>
    <t>1900 ATRIUM PARKWAY</t>
  </si>
  <si>
    <t>350 TERRACINA BLVD.</t>
  </si>
  <si>
    <t>750 AUBURN RAVINE ROAD</t>
  </si>
  <si>
    <t>725 S. ORANGE AVENUE</t>
  </si>
  <si>
    <t>2889 SAN PASQUAL STREET</t>
  </si>
  <si>
    <t>14102 SPRINGDALE STREET</t>
  </si>
  <si>
    <t>650 W. ALLUVIAL</t>
  </si>
  <si>
    <t>12401 WASHINGTON BLVD.</t>
  </si>
  <si>
    <t>2140 CARLMONT DRIVE</t>
  </si>
  <si>
    <t>1100 WEST MORTON AVENUE</t>
  </si>
  <si>
    <t>1201 SOUTH ORANGE AVE.</t>
  </si>
  <si>
    <t>1001 POTRERO AVENUE</t>
  </si>
  <si>
    <t>1011 W. TULARE ROAD</t>
  </si>
  <si>
    <t>150 VIA MERIDA</t>
  </si>
  <si>
    <t>12681 HASTER STREET</t>
  </si>
  <si>
    <t>11510 IMPERIAL HIGHWAY</t>
  </si>
  <si>
    <t>201 EAST BASTANCHURY</t>
  </si>
  <si>
    <t>2257 FAIR OAKS BLVD.</t>
  </si>
  <si>
    <t>11630 SOUTH GREVILLEA AVE.</t>
  </si>
  <si>
    <t>1617 RAMIREZ STREET</t>
  </si>
  <si>
    <t>1790 MUIR ROAD</t>
  </si>
  <si>
    <t>11429 VENTURA BLVD</t>
  </si>
  <si>
    <t>3415 W BALL ROAD</t>
  </si>
  <si>
    <t>925 W. ALAMEDA AVE.</t>
  </si>
  <si>
    <t>1319 N. MADISON STREET</t>
  </si>
  <si>
    <t>326 MISSION AVENUE</t>
  </si>
  <si>
    <t>2170 SOUTH AVENUE</t>
  </si>
  <si>
    <t>580 SOUTH SAN VICENTE BLVD.</t>
  </si>
  <si>
    <t>5270 E LOS ANGELES AVE</t>
  </si>
  <si>
    <t>730 34TH STREET</t>
  </si>
  <si>
    <t>523 HAYES LANE</t>
  </si>
  <si>
    <t>22419 KENT AVENUE</t>
  </si>
  <si>
    <t>11441 VENTURA BLVD</t>
  </si>
  <si>
    <t>2601 EAST CHAPMAN AVENUE</t>
  </si>
  <si>
    <t>1975 TICE VALLEY BLVD.</t>
  </si>
  <si>
    <t>4768 PALM AVENUE</t>
  </si>
  <si>
    <t>530 WEST DUNNE AVENUE &amp; LA SELVA</t>
  </si>
  <si>
    <t>3110 WAGNER HEIGHTS ROAD</t>
  </si>
  <si>
    <t>7246 S. ROSEMEAD BLVD.</t>
  </si>
  <si>
    <t>6740 WILBUR AVE</t>
  </si>
  <si>
    <t>501 JESSIE AVENUE</t>
  </si>
  <si>
    <t>12151 DALE AVENUE</t>
  </si>
  <si>
    <t>11834 INGLEWOOD AVENUE</t>
  </si>
  <si>
    <t>247 E. BOBIER DRIVE</t>
  </si>
  <si>
    <t>3966 MARCASEL AVE</t>
  </si>
  <si>
    <t>2800 ESTATES DRIVE</t>
  </si>
  <si>
    <t>1661 PINE STREET</t>
  </si>
  <si>
    <t>1601 S BALDWIN AVE.</t>
  </si>
  <si>
    <t>2309 N SANTA FE AVE</t>
  </si>
  <si>
    <t>2222 N. HARBOR BLVD.</t>
  </si>
  <si>
    <t>955 23RD STREET</t>
  </si>
  <si>
    <t>19929 GREENLEY ROAD</t>
  </si>
  <si>
    <t>1740 SAN DIMAS AVENUE</t>
  </si>
  <si>
    <t>7447 SEPULVEDA BLVD</t>
  </si>
  <si>
    <t>3884 NOBEL DRIVE</t>
  </si>
  <si>
    <t>1665 EAST EIGHTH STREET</t>
  </si>
  <si>
    <t>47-763 MONROE AVENUE</t>
  </si>
  <si>
    <t>11600 EDUCATION STREET</t>
  </si>
  <si>
    <t>3140 EL CAMINO REAL</t>
  </si>
  <si>
    <t>13101 HARTFIELD AVE</t>
  </si>
  <si>
    <t>24100 MONROE AVENUE</t>
  </si>
  <si>
    <t>2021 ARIZONA AVE</t>
  </si>
  <si>
    <t>2125 NORTH OLIVE AVENUE</t>
  </si>
  <si>
    <t>2570 NEWPORT BLVD</t>
  </si>
  <si>
    <t>1586 W. SAN MARCOS BLVD</t>
  </si>
  <si>
    <t>8101 E HILL DRIVE</t>
  </si>
  <si>
    <t>120 CORNING AVENUE</t>
  </si>
  <si>
    <t>1441 BERKELEY DR</t>
  </si>
  <si>
    <t>20524 WISTERIA STREET</t>
  </si>
  <si>
    <t>2566 TREASURE DR</t>
  </si>
  <si>
    <t>31741 RANCHO VIEJO ROAD</t>
  </si>
  <si>
    <t>1260 E OHIO AVENUE</t>
  </si>
  <si>
    <t>1800 OLD TUSTIN ROAD</t>
  </si>
  <si>
    <t>465 W PUTNAM AVE</t>
  </si>
  <si>
    <t>2780 26TH AVENUE</t>
  </si>
  <si>
    <t>17803 IMPERIAL HIGHWAY</t>
  </si>
  <si>
    <t>1515 SHASTA DRIVE</t>
  </si>
  <si>
    <t>205 GRANADA ST</t>
  </si>
  <si>
    <t>350 CALLOWAY DRIVE, BUILDING C</t>
  </si>
  <si>
    <t>8515 CHOLLA AVE</t>
  </si>
  <si>
    <t>57333 JOSHUA LANE</t>
  </si>
  <si>
    <t>72-201 COUNTRY CLUB DRIVE</t>
  </si>
  <si>
    <t>151 PIONEER LANE</t>
  </si>
  <si>
    <t>1440 168TH AVENUE</t>
  </si>
  <si>
    <t>7002-4 EAST GAGE AVENUE</t>
  </si>
  <si>
    <t>7002 EAST GAGE AVENUE</t>
  </si>
  <si>
    <t>1880 DAWSON AVENUE</t>
  </si>
  <si>
    <t>2828 PICO BOULEVARD</t>
  </si>
  <si>
    <t>7926 S PAINTER AVE</t>
  </si>
  <si>
    <t>797 E FREMONT AVENUE</t>
  </si>
  <si>
    <t>17650 DEVONSHIRE STREET</t>
  </si>
  <si>
    <t>1291 S BERNARDO AVENUE</t>
  </si>
  <si>
    <t>4171 LAS PALMAS SQUARE</t>
  </si>
  <si>
    <t>250 FAIRVIEW RD</t>
  </si>
  <si>
    <t>700 EAST NAPLES COURT</t>
  </si>
  <si>
    <t>4800 DELTA AVENUE</t>
  </si>
  <si>
    <t>1821 E CHAPMAN AVE</t>
  </si>
  <si>
    <t>2240 NORTHROP AVE</t>
  </si>
  <si>
    <t>1355 CLAYTON ROAD</t>
  </si>
  <si>
    <t>1139 CIRBY WAY</t>
  </si>
  <si>
    <t>50 CONCORDIA LANE</t>
  </si>
  <si>
    <t>654 S. ANZA</t>
  </si>
  <si>
    <t>5001 EAST ANAHEIM STREET</t>
  </si>
  <si>
    <t>1950 CALLE BARCELONA</t>
  </si>
  <si>
    <t>1338 20TH STREET</t>
  </si>
  <si>
    <t>1652 MONO AVENUE</t>
  </si>
  <si>
    <t>1335 LAS VILLAS WAY</t>
  </si>
  <si>
    <t>3 PURSUIT</t>
  </si>
  <si>
    <t>1094 LAGUNA DRIVE</t>
  </si>
  <si>
    <t>3635 JEFFERSON AVENUE</t>
  </si>
  <si>
    <t>12260 FOOTHILL BLVD</t>
  </si>
  <si>
    <t>15100 S PRAIRIE</t>
  </si>
  <si>
    <t>2829 SHATTUCK AVENUE</t>
  </si>
  <si>
    <t>725 GROVE STREET</t>
  </si>
  <si>
    <t>4110 ALHAMBRA WAY</t>
  </si>
  <si>
    <t>22029 SATICOY STREET</t>
  </si>
  <si>
    <t>2626 GRAND AVENUE</t>
  </si>
  <si>
    <t>6812 N. OAK AVENUE</t>
  </si>
  <si>
    <t>40 CAMINO ALTO</t>
  </si>
  <si>
    <t>1275 CRANE STREET</t>
  </si>
  <si>
    <t>760 E BOBIER</t>
  </si>
  <si>
    <t>1428 W NORTH AVE</t>
  </si>
  <si>
    <t>2295 PLUMMER AVENUE</t>
  </si>
  <si>
    <t>527 S VALINDA AVENUE</t>
  </si>
  <si>
    <t>450 STANYAN STREET</t>
  </si>
  <si>
    <t>600 SAND HILL ROAD</t>
  </si>
  <si>
    <t>300 FOUNTAINGROVE PARKWAY</t>
  </si>
  <si>
    <t>1331 CAMDEN AVENUE</t>
  </si>
  <si>
    <t>1400 WEST GLENOAKS BLVD</t>
  </si>
  <si>
    <t>238 VIRGINIA AVENUE</t>
  </si>
  <si>
    <t>524 CALLAN AVENUE</t>
  </si>
  <si>
    <t>34400 MISSION BLVD</t>
  </si>
  <si>
    <t>1565 HILL ROAD</t>
  </si>
  <si>
    <t>7150 TAMPA AVENUE</t>
  </si>
  <si>
    <t>1611 HEIGHT STREET</t>
  </si>
  <si>
    <t>1322 WEST SIXTH STREET</t>
  </si>
  <si>
    <t>11620 WASHINGTON BLVD</t>
  </si>
  <si>
    <t>100 S RAYMOND AVE</t>
  </si>
  <si>
    <t>1833 10TH AVENUE</t>
  </si>
  <si>
    <t>1550 NORTH PARK AVENUE</t>
  </si>
  <si>
    <t>100 EAST VETERANS PARKWAY</t>
  </si>
  <si>
    <t>638 E COLORADO AVENUE</t>
  </si>
  <si>
    <t>21966 DOLORES STREET</t>
  </si>
  <si>
    <t>1609 TROUSDALE DRIVE</t>
  </si>
  <si>
    <t>3557 CAMPUS DR</t>
  </si>
  <si>
    <t>875 N BREA BLVD</t>
  </si>
  <si>
    <t>897 NORTH M STREET</t>
  </si>
  <si>
    <t>10631 VINEDALE STREET</t>
  </si>
  <si>
    <t>4515 HUNTINGTON DRIVE SOUTH</t>
  </si>
  <si>
    <t>1715 SOUTH CEDAR</t>
  </si>
  <si>
    <t>551 GIBSON AVENUE</t>
  </si>
  <si>
    <t>21863 VALLEJO STREET</t>
  </si>
  <si>
    <t>7922 PALM STREET</t>
  </si>
  <si>
    <t>151 CLAYDELLE AVE</t>
  </si>
  <si>
    <t>1309 ALLSTON WAY</t>
  </si>
  <si>
    <t>553 F STREET</t>
  </si>
  <si>
    <t>3828 DELMAS TERRACE</t>
  </si>
  <si>
    <t>3880 VIA LUCERO</t>
  </si>
  <si>
    <t>6000 SANTA ROSA ROAD</t>
  </si>
  <si>
    <t>1081 NORTH CHINA LAKE BOULEVARD</t>
  </si>
  <si>
    <t>1340 E MADISON AVE</t>
  </si>
  <si>
    <t>15731 MAUBERT AVENUE</t>
  </si>
  <si>
    <t>15823 SO. WESTERN AVE.</t>
  </si>
  <si>
    <t>730 17TH STREET</t>
  </si>
  <si>
    <t>8951 GRANITE HILL DRIVE</t>
  </si>
  <si>
    <t>4929 VAN NUYS BLVD</t>
  </si>
  <si>
    <t>11962 WOODSIDE AVENUE</t>
  </si>
  <si>
    <t>3400 LAGUNA STREET</t>
  </si>
  <si>
    <t>6101 FAIR OAKS BOULEVARD</t>
  </si>
  <si>
    <t>4280 CYPRESS DRIVE</t>
  </si>
  <si>
    <t>3400 KNIGHTON ROAD</t>
  </si>
  <si>
    <t>499 NORTH SABANA DRIVE</t>
  </si>
  <si>
    <t>ONE ST MARK'S PLACE</t>
  </si>
  <si>
    <t>12777 BEECHNUT ST</t>
  </si>
  <si>
    <t>700 S OSTROM ST</t>
  </si>
  <si>
    <t>636 CUPPLES RD</t>
  </si>
  <si>
    <t>300 E BROWN ST</t>
  </si>
  <si>
    <t>253 ENTERPRISE DR</t>
  </si>
  <si>
    <t>203 GIBBS BLVD</t>
  </si>
  <si>
    <t>2713 S COMMERCIAL AVE</t>
  </si>
  <si>
    <t>305 BONITA ST</t>
  </si>
  <si>
    <t>200 SOUTH B AVE</t>
  </si>
  <si>
    <t>1504 NORTH FIRST ST</t>
  </si>
  <si>
    <t>315 E 19TH</t>
  </si>
  <si>
    <t>1514 INDIAN CREEK RD</t>
  </si>
  <si>
    <t>2416 NW 18TH ST</t>
  </si>
  <si>
    <t>1101 E LAKE ST</t>
  </si>
  <si>
    <t>4910 WELLINGTON ST</t>
  </si>
  <si>
    <t>511 S BAILEY ST</t>
  </si>
  <si>
    <t>7304 GOOD SAMARITAN CT</t>
  </si>
  <si>
    <t>201 SYCAMORE SCHOOL RD</t>
  </si>
  <si>
    <t>100 BAILEY AVE</t>
  </si>
  <si>
    <t>7001 MCPHERSON RD</t>
  </si>
  <si>
    <t>230 S CLARK RD</t>
  </si>
  <si>
    <t>434 PAZA DR</t>
  </si>
  <si>
    <t>901 PENNSYLVANIA AVE</t>
  </si>
  <si>
    <t>406 E SEVENTH ST</t>
  </si>
  <si>
    <t>123 PECAN GROVE</t>
  </si>
  <si>
    <t>806 STEPHENS ST</t>
  </si>
  <si>
    <t>303 MURCHISON</t>
  </si>
  <si>
    <t>1110 WESTVIEW DR</t>
  </si>
  <si>
    <t>209 W HACKBERRY AVE</t>
  </si>
  <si>
    <t>1419 MAHLMAN ST</t>
  </si>
  <si>
    <t>1504 W KENTUCKY AVE</t>
  </si>
  <si>
    <t>502 EAST COKE RD</t>
  </si>
  <si>
    <t>208 SOUTH UTAH</t>
  </si>
  <si>
    <t>107 N MEDINA</t>
  </si>
  <si>
    <t>1200 7TH ST NW</t>
  </si>
  <si>
    <t>1100 W BROADWAY</t>
  </si>
  <si>
    <t>4200 SHEPHERD LN</t>
  </si>
  <si>
    <t>425 SW AVE F</t>
  </si>
  <si>
    <t>421 WEST F ST</t>
  </si>
  <si>
    <t>1101 W BROWN ST</t>
  </si>
  <si>
    <t>103 TEAKWOOD ST</t>
  </si>
  <si>
    <t>1303 E MAIN ST</t>
  </si>
  <si>
    <t>1900 O'NEAL ST</t>
  </si>
  <si>
    <t>670 W FOURTH ST</t>
  </si>
  <si>
    <t>208 MAPLE ST</t>
  </si>
  <si>
    <t>800 W HAYNIE ST</t>
  </si>
  <si>
    <t>2808 STONEYBROOK DRIVE</t>
  </si>
  <si>
    <t>4109 ALLENBROOK DR</t>
  </si>
  <si>
    <t>815 S VOSS RD</t>
  </si>
  <si>
    <t>2525 CENTERVILLE RD</t>
  </si>
  <si>
    <t>600 REUNION COURT</t>
  </si>
  <si>
    <t>7215 WINDFERN RD</t>
  </si>
  <si>
    <t>2701 HOSPITAL DR</t>
  </si>
  <si>
    <t>817 W CENTER</t>
  </si>
  <si>
    <t>4306 24TH ST</t>
  </si>
  <si>
    <t>825 W FAIRWINDS</t>
  </si>
  <si>
    <t>1725 OLD BRANDON RD</t>
  </si>
  <si>
    <t>305 FIFTH ST</t>
  </si>
  <si>
    <t>1400 N MAIN ST</t>
  </si>
  <si>
    <t>220 DAVENPORT ST</t>
  </si>
  <si>
    <t>2951 HWY 281</t>
  </si>
  <si>
    <t>1900 N FRANCES ST</t>
  </si>
  <si>
    <t>2301 N OREGON ST</t>
  </si>
  <si>
    <t>1111 ROCKINGHAM LN</t>
  </si>
  <si>
    <t>1310 E BROADWAY</t>
  </si>
  <si>
    <t>2135 N DENTON DR</t>
  </si>
  <si>
    <t>1112 GIBBINS RD</t>
  </si>
  <si>
    <t>3208 THUNDERBIRD LN</t>
  </si>
  <si>
    <t>800  W  13TH  ST</t>
  </si>
  <si>
    <t>6500 BRUSH COUNTRY RD</t>
  </si>
  <si>
    <t>825 W KEARNEY</t>
  </si>
  <si>
    <t>102 N BEECH ST</t>
  </si>
  <si>
    <t>3428 MOULTON RD</t>
  </si>
  <si>
    <t>93 ISAACKS RD</t>
  </si>
  <si>
    <t>601 MIDWESTERN PKWY</t>
  </si>
  <si>
    <t>211 N MAIN</t>
  </si>
  <si>
    <t>1100 N 4TH ST</t>
  </si>
  <si>
    <t>105 HOSPITAL DR</t>
  </si>
  <si>
    <t>2229 N CARROLL BLVD</t>
  </si>
  <si>
    <t>1939 BANDERA RD</t>
  </si>
  <si>
    <t>1025 W YEAGUA</t>
  </si>
  <si>
    <t>1315 EAST STATE HWY 22</t>
  </si>
  <si>
    <t>1400 LAKE SHORE DR</t>
  </si>
  <si>
    <t>3403 S VINE AVE</t>
  </si>
  <si>
    <t>600 MAPLE ST</t>
  </si>
  <si>
    <t>3800 ENGLEWOOD LN</t>
  </si>
  <si>
    <t>4800 WHITE SETTLEMENT RD</t>
  </si>
  <si>
    <t>510 N 3RD ST</t>
  </si>
  <si>
    <t>1004 S YOUNG</t>
  </si>
  <si>
    <t>2300 SOUTH OAK GROVE RD</t>
  </si>
  <si>
    <t>632 WINDSOR WAY</t>
  </si>
  <si>
    <t>647 US HWY 190 W</t>
  </si>
  <si>
    <t>1150 WHITLEY ROAD</t>
  </si>
  <si>
    <t>1401 W MAIN ST</t>
  </si>
  <si>
    <t>3201 N WARE RD</t>
  </si>
  <si>
    <t>1117 S ADAMS ST</t>
  </si>
  <si>
    <t>138 S FM 1329</t>
  </si>
  <si>
    <t>7181 CRESTWAY DR</t>
  </si>
  <si>
    <t>6600 NINTH AVE</t>
  </si>
  <si>
    <t>1801 PEARSON AVE</t>
  </si>
  <si>
    <t>603 S W 24TH ST</t>
  </si>
  <si>
    <t>2711 PINE TREE RD</t>
  </si>
  <si>
    <t>210 PIPELINE RD</t>
  </si>
  <si>
    <t>510 S FIRST ST</t>
  </si>
  <si>
    <t>1123 N BOLTON ST</t>
  </si>
  <si>
    <t>120 MEADOWVIEW DR</t>
  </si>
  <si>
    <t>4900 E BERRY</t>
  </si>
  <si>
    <t>658 SW 3RD ST</t>
  </si>
  <si>
    <t>1720 N MCDONALD</t>
  </si>
  <si>
    <t>101 S 34TH ST</t>
  </si>
  <si>
    <t>611 NW STALLINGS DR</t>
  </si>
  <si>
    <t>1244 STATE PARK RD</t>
  </si>
  <si>
    <t>7602 LOUIS PASTEUR ST</t>
  </si>
  <si>
    <t>501 N MAIN ST</t>
  </si>
  <si>
    <t>407 N COLLEGE ST</t>
  </si>
  <si>
    <t>1101 REBA MCENTIRE LN</t>
  </si>
  <si>
    <t>1720 N LOGAN ST</t>
  </si>
  <si>
    <t>214 JONES RD</t>
  </si>
  <si>
    <t>700 N HERNDON</t>
  </si>
  <si>
    <t>6602 MEMORIAL DR</t>
  </si>
  <si>
    <t>2000 BEAUMONT ST</t>
  </si>
  <si>
    <t>106 KAHN ST</t>
  </si>
  <si>
    <t>99 RIGBY OWEN RD</t>
  </si>
  <si>
    <t>246 HALEY DRIVE</t>
  </si>
  <si>
    <t>1405 HOLLAND</t>
  </si>
  <si>
    <t>6150 S LOOP EAST</t>
  </si>
  <si>
    <t>603 E PLANTATION RD</t>
  </si>
  <si>
    <t>1600 TEXAS ST</t>
  </si>
  <si>
    <t>704 N TAYLOR RD</t>
  </si>
  <si>
    <t>1307 MARTIN LUTHER KING DR</t>
  </si>
  <si>
    <t>12350 WOOD BAYOU DR</t>
  </si>
  <si>
    <t>3301 PARK ROW BLVD</t>
  </si>
  <si>
    <t>411 SPRING CREEK RD</t>
  </si>
  <si>
    <t>3702 COVE VIEW BLVD</t>
  </si>
  <si>
    <t>714 S AUSTIN</t>
  </si>
  <si>
    <t>1404 FRONT ST</t>
  </si>
  <si>
    <t>305 S PALESTINE ST</t>
  </si>
  <si>
    <t>3526 W ERWIN ST</t>
  </si>
  <si>
    <t>1700 E SAUNDERS ST</t>
  </si>
  <si>
    <t>413 E MANSFIELD CARDINAL</t>
  </si>
  <si>
    <t>901 SEVEN OAKS RD</t>
  </si>
  <si>
    <t>2231 HIGHWAY 80 E</t>
  </si>
  <si>
    <t>101 W. AVENUE E</t>
  </si>
  <si>
    <t>3000 N DANVILLE ST</t>
  </si>
  <si>
    <t>457 N MAIN ST</t>
  </si>
  <si>
    <t>300 S JACKSON ST</t>
  </si>
  <si>
    <t>1111 W SHORE DR</t>
  </si>
  <si>
    <t>9 MEDICAL DR</t>
  </si>
  <si>
    <t>501 YATES ST</t>
  </si>
  <si>
    <t>3505 OLD JACKSONVILLE RD</t>
  </si>
  <si>
    <t>222 N FARMER</t>
  </si>
  <si>
    <t>2224 N CARROLL BLVD</t>
  </si>
  <si>
    <t>1201 W HOUSTON ST</t>
  </si>
  <si>
    <t>15366 OAK ST</t>
  </si>
  <si>
    <t>1525 PLEASANT VALLEY RD</t>
  </si>
  <si>
    <t>696 FM 99</t>
  </si>
  <si>
    <t>831 TEHUACANA HWY</t>
  </si>
  <si>
    <t>606 COYOTE TR</t>
  </si>
  <si>
    <t>601 E REUNION ST</t>
  </si>
  <si>
    <t>1220 LOOP 459</t>
  </si>
  <si>
    <t>1020 N COUNTY RD WEST</t>
  </si>
  <si>
    <t>809 E NAVARRO</t>
  </si>
  <si>
    <t>520 BRADBURN RD</t>
  </si>
  <si>
    <t>811 GARNER RD</t>
  </si>
  <si>
    <t>411 ALABAMA AVE</t>
  </si>
  <si>
    <t>1800 N BROADWAY ST</t>
  </si>
  <si>
    <t>1321 W KENTUCKY</t>
  </si>
  <si>
    <t>210 WEST AVE</t>
  </si>
  <si>
    <t>725 MEDICAL DR</t>
  </si>
  <si>
    <t>1601 KIRKLAND DR</t>
  </si>
  <si>
    <t>1105 W HWY 418</t>
  </si>
  <si>
    <t>109 N MCKINNEY</t>
  </si>
  <si>
    <t>5301 UNIVERSITY AVE</t>
  </si>
  <si>
    <t>4934 S 7TH ST</t>
  </si>
  <si>
    <t>3505 S BUCKNER BLVD BLDG 4</t>
  </si>
  <si>
    <t>400 OLD AUSTIN HWY</t>
  </si>
  <si>
    <t>1203 F M 1277</t>
  </si>
  <si>
    <t>1010 DALLAS ST</t>
  </si>
  <si>
    <t>1220 SUNNY LANE</t>
  </si>
  <si>
    <t>721 AIRPORT DR</t>
  </si>
  <si>
    <t>224 E 6TH ST</t>
  </si>
  <si>
    <t>4006 VISTA RD</t>
  </si>
  <si>
    <t>1115 ANDERSON</t>
  </si>
  <si>
    <t>3500 PARK ST</t>
  </si>
  <si>
    <t>301 W CRINER ST</t>
  </si>
  <si>
    <t>6565 FANNIN</t>
  </si>
  <si>
    <t>1102 RIVER RD</t>
  </si>
  <si>
    <t>225 E WARD ST</t>
  </si>
  <si>
    <t>506 S 7TH ST</t>
  </si>
  <si>
    <t>619 N BRITAIN RD</t>
  </si>
  <si>
    <t>1105 FITZGERALD</t>
  </si>
  <si>
    <t>111 RUTHLYNN DR</t>
  </si>
  <si>
    <t>1219 EASTWOOD DR</t>
  </si>
  <si>
    <t>2131 ALPINE RD</t>
  </si>
  <si>
    <t>501 COTTAGE RD</t>
  </si>
  <si>
    <t>1110 RICE ST</t>
  </si>
  <si>
    <t>1803 HIGHWAY 243 EAST</t>
  </si>
  <si>
    <t>705 HWY 418 W</t>
  </si>
  <si>
    <t>206 W P ST</t>
  </si>
  <si>
    <t>225 S MAIN ST</t>
  </si>
  <si>
    <t>100 HERMANN DR</t>
  </si>
  <si>
    <t>1100 GALVESTON</t>
  </si>
  <si>
    <t>501 TIMPSON ST</t>
  </si>
  <si>
    <t>1405 E WASHINGTON</t>
  </si>
  <si>
    <t>2901 N 4TH ST</t>
  </si>
  <si>
    <t>206 STORRS</t>
  </si>
  <si>
    <t>318 CHAMBERS ST</t>
  </si>
  <si>
    <t>1111 AVENUE P</t>
  </si>
  <si>
    <t>1110 HWY 135 S</t>
  </si>
  <si>
    <t>3030  S  ROOSEVELT AVE</t>
  </si>
  <si>
    <t>4301 HOSPITAL DR</t>
  </si>
  <si>
    <t>1505 S CLOSNER</t>
  </si>
  <si>
    <t>1301 E QUEBEC AVE</t>
  </si>
  <si>
    <t>2815 MARTIN LUTHER KING JR BLVD</t>
  </si>
  <si>
    <t>2416 ELIZABETH LN</t>
  </si>
  <si>
    <t>2127 PRESTON ST</t>
  </si>
  <si>
    <t>400 S PETE DIAZ JR AVE</t>
  </si>
  <si>
    <t>7210 NORTHLINE DR</t>
  </si>
  <si>
    <t>500 VALLE VISTA DR</t>
  </si>
  <si>
    <t>905 OAKLAWN</t>
  </si>
  <si>
    <t>6250 HWY 83 84 AT ANTILLEY RD</t>
  </si>
  <si>
    <t>101 REESE DR</t>
  </si>
  <si>
    <t>16400 BLANCO RD</t>
  </si>
  <si>
    <t>1302 NOTTINGHAM ST</t>
  </si>
  <si>
    <t>503 OLD AUSTIN HIGHWAY</t>
  </si>
  <si>
    <t>1841 FLAMINGO</t>
  </si>
  <si>
    <t>2320 LAKE SHORE DR</t>
  </si>
  <si>
    <t>105 N MAIN ST</t>
  </si>
  <si>
    <t>3808 S CENTRAL EXPWY</t>
  </si>
  <si>
    <t>1400 BLACKSHILL DR</t>
  </si>
  <si>
    <t>201 E 15TH</t>
  </si>
  <si>
    <t>1401 HAMPTON RD</t>
  </si>
  <si>
    <t>624 N CONVERSE ST</t>
  </si>
  <si>
    <t>1615 ELEVENTH ST</t>
  </si>
  <si>
    <t>9009 FOREST LN</t>
  </si>
  <si>
    <t>7700 MESQUITE PASS</t>
  </si>
  <si>
    <t>3100 S RIGSBEE RD</t>
  </si>
  <si>
    <t>3625 GREEN CREST</t>
  </si>
  <si>
    <t>1501 S MAIN ST</t>
  </si>
  <si>
    <t>3509 ROGGE LN</t>
  </si>
  <si>
    <t>711 LUCAS ST</t>
  </si>
  <si>
    <t>3200 PARKWAY</t>
  </si>
  <si>
    <t>712 RAILROAD AVE</t>
  </si>
  <si>
    <t>1811 SIXTH ST</t>
  </si>
  <si>
    <t>709 W FIFTH ST</t>
  </si>
  <si>
    <t>1700 S EXPRESSWAY 77</t>
  </si>
  <si>
    <t>300 SALMON</t>
  </si>
  <si>
    <t>1301 MESA DR</t>
  </si>
  <si>
    <t>223 S RESLER</t>
  </si>
  <si>
    <t>114 MEDICAL DR</t>
  </si>
  <si>
    <t>600 BACON ST</t>
  </si>
  <si>
    <t>1109 N THIRD ST</t>
  </si>
  <si>
    <t>101 WOODLAND PARK DR</t>
  </si>
  <si>
    <t>401 N MAIN ST</t>
  </si>
  <si>
    <t>2606 HOSPITAL BVLD</t>
  </si>
  <si>
    <t>104 ENTERPRISE AVE</t>
  </si>
  <si>
    <t>1104 S WILLIAM ST</t>
  </si>
  <si>
    <t>2714 MORRISON</t>
  </si>
  <si>
    <t>316 GENERAL CAVAZOS BLVD</t>
  </si>
  <si>
    <t>3830 MUSTANG ROAD</t>
  </si>
  <si>
    <t>630 S 19TH</t>
  </si>
  <si>
    <t>1501 7TH ST</t>
  </si>
  <si>
    <t>6650 SOUTH SONCY ROAD</t>
  </si>
  <si>
    <t>3300 W 2ND AVE</t>
  </si>
  <si>
    <t>404 GOODWIN ST</t>
  </si>
  <si>
    <t>3515 S PARK AVE</t>
  </si>
  <si>
    <t>746 ALPINE DR</t>
  </si>
  <si>
    <t>2 TOWERS PARK LN</t>
  </si>
  <si>
    <t>605 W MULBERRY</t>
  </si>
  <si>
    <t>1015 N MAIN</t>
  </si>
  <si>
    <t>201 SOUTH JOHN REDDITT DRIVE</t>
  </si>
  <si>
    <t>1200 W 15TH ST</t>
  </si>
  <si>
    <t>1000 FM 3220</t>
  </si>
  <si>
    <t>5502 W 4TH ST</t>
  </si>
  <si>
    <t>535  N  PARK  ST</t>
  </si>
  <si>
    <t>4401 SPICEWOOD SPRINGS RD</t>
  </si>
  <si>
    <t>1000 S KIOWA ST</t>
  </si>
  <si>
    <t>810 INDUSTRIAL AVE</t>
  </si>
  <si>
    <t>101 MILLER DR</t>
  </si>
  <si>
    <t>333 MATLAGE WAY</t>
  </si>
  <si>
    <t>301 WEST PARK DRIVE</t>
  </si>
  <si>
    <t>1206 N TRAVIS ST</t>
  </si>
  <si>
    <t>8825 LAMPLIGHTER LN</t>
  </si>
  <si>
    <t>855 E BASSE RD</t>
  </si>
  <si>
    <t>617 W JANISCH ST</t>
  </si>
  <si>
    <t>1000 E MAIN ST</t>
  </si>
  <si>
    <t>1900 E CALIFORNIA ST</t>
  </si>
  <si>
    <t>1026 E GOODE ST</t>
  </si>
  <si>
    <t>306 CAROLYN  RD</t>
  </si>
  <si>
    <t>3601 N MACGREGOR</t>
  </si>
  <si>
    <t>135 1/2 HOSPITAL DR</t>
  </si>
  <si>
    <t>3400 E WALNUT</t>
  </si>
  <si>
    <t>169 LAKE PARK RD</t>
  </si>
  <si>
    <t>600 W 52ND ST</t>
  </si>
  <si>
    <t>508 PIERCE ST</t>
  </si>
  <si>
    <t>1181 N WILLIAMSON</t>
  </si>
  <si>
    <t>2600 PARKVIEW DR</t>
  </si>
  <si>
    <t>9001 N LOOP</t>
  </si>
  <si>
    <t>1019 HOLDEN ST</t>
  </si>
  <si>
    <t>6700 HERITAGE PARKWAY</t>
  </si>
  <si>
    <t>3002 W 2ND AVE</t>
  </si>
  <si>
    <t>3011 W ADAMS AVE</t>
  </si>
  <si>
    <t>600 W ROOSEVELT AVE</t>
  </si>
  <si>
    <t>4829 W LAWTHER DR</t>
  </si>
  <si>
    <t>3202 S WILLIS ST</t>
  </si>
  <si>
    <t>2800 MIDLAND DR</t>
  </si>
  <si>
    <t>2660 BRICKYARD RD</t>
  </si>
  <si>
    <t>4501 DUDMAR DR</t>
  </si>
  <si>
    <t>1448 HOUSTON ST</t>
  </si>
  <si>
    <t>307 WEST 8TH ST</t>
  </si>
  <si>
    <t>623 HWY 155N</t>
  </si>
  <si>
    <t>200 LIVE OAK ST</t>
  </si>
  <si>
    <t>3810 HALE ST</t>
  </si>
  <si>
    <t>201 E CHESTNUT ST</t>
  </si>
  <si>
    <t>550 E ANN ARBOR AVE</t>
  </si>
  <si>
    <t>5201 S WILLOW DR</t>
  </si>
  <si>
    <t>2001 6TH ST</t>
  </si>
  <si>
    <t>815  E  GRAYSON  ST</t>
  </si>
  <si>
    <t>2550 ZACATECAS DR</t>
  </si>
  <si>
    <t>507 W JACKSON ST</t>
  </si>
  <si>
    <t>1175 DENTON DR</t>
  </si>
  <si>
    <t>5801 BRYANT IRVIN RD</t>
  </si>
  <si>
    <t>1116 E LOOP 304</t>
  </si>
  <si>
    <t>4300 VISTA RD</t>
  </si>
  <si>
    <t>3007 N NAVARRO</t>
  </si>
  <si>
    <t>1301 S TERRELL ST</t>
  </si>
  <si>
    <t>1201 HOLLAND LAKE DR</t>
  </si>
  <si>
    <t>1001 CENTRAL BLVD</t>
  </si>
  <si>
    <t>7352 WOOLDRIDGE RD</t>
  </si>
  <si>
    <t>3301 E. MOCKINGBIRD LANE</t>
  </si>
  <si>
    <t>1215 ASHBY</t>
  </si>
  <si>
    <t>7171 BUFFALO GAP RD</t>
  </si>
  <si>
    <t>210 E 37TH ST</t>
  </si>
  <si>
    <t>2019 N FRAZIER</t>
  </si>
  <si>
    <t>11127 CIRCLE DR</t>
  </si>
  <si>
    <t>7500 OAKMONT BLVD</t>
  </si>
  <si>
    <t>1600 N I H 35</t>
  </si>
  <si>
    <t>808 GUADALUPE</t>
  </si>
  <si>
    <t>1500 S MAIN ST</t>
  </si>
  <si>
    <t>1637 N KING ST</t>
  </si>
  <si>
    <t>3010 BAMORE RD</t>
  </si>
  <si>
    <t>1200  JACKSON ST N</t>
  </si>
  <si>
    <t>4400 WALNUT ST</t>
  </si>
  <si>
    <t>7480 BEECHNUT</t>
  </si>
  <si>
    <t>320 GREENVILLE HIGHWAY</t>
  </si>
  <si>
    <t>801 CANTWELL LN</t>
  </si>
  <si>
    <t>7887 CAMBRIDGE ST</t>
  </si>
  <si>
    <t>3922 W RIVER DR</t>
  </si>
  <si>
    <t>301 W MARTIN ST</t>
  </si>
  <si>
    <t>200 E RYAN ST</t>
  </si>
  <si>
    <t>3505 S BUCKNER BLVD BLDG 2</t>
  </si>
  <si>
    <t>900 S STATE ST</t>
  </si>
  <si>
    <t>401 SWIFT ST</t>
  </si>
  <si>
    <t>6534 STUEBNER AIRLINE RD</t>
  </si>
  <si>
    <t>245 STATE HWY #153 WEST</t>
  </si>
  <si>
    <t>615 N WARE RD</t>
  </si>
  <si>
    <t>130 SPENCER LN</t>
  </si>
  <si>
    <t>2628 MILAM</t>
  </si>
  <si>
    <t>4150 COLLEGE ST</t>
  </si>
  <si>
    <t>721 W MULBERRY</t>
  </si>
  <si>
    <t>7400 CRESTWAY DR</t>
  </si>
  <si>
    <t>213 HERITAGE DR</t>
  </si>
  <si>
    <t>710 HWY 359 S</t>
  </si>
  <si>
    <t>615 LAWRENCE ST</t>
  </si>
  <si>
    <t>3505  S BUCKNER BLVD BLDG 3</t>
  </si>
  <si>
    <t>3315 CROSS TIMBERS RD</t>
  </si>
  <si>
    <t>406 COTTONWOOD ST</t>
  </si>
  <si>
    <t>700 S BOWIE DR</t>
  </si>
  <si>
    <t>315 W GIBSON</t>
  </si>
  <si>
    <t>409 S FILES ST</t>
  </si>
  <si>
    <t>815 N PEACH ST</t>
  </si>
  <si>
    <t>1405 W STOREY ST</t>
  </si>
  <si>
    <t>605 W 7TH ST</t>
  </si>
  <si>
    <t>3050 SUNNYBROOK RD</t>
  </si>
  <si>
    <t>936 W FOURTH ST</t>
  </si>
  <si>
    <t>501 N SYCAMORE</t>
  </si>
  <si>
    <t>1475 RAYNOLDS ST</t>
  </si>
  <si>
    <t>2001 SCENIC DR</t>
  </si>
  <si>
    <t>451 S EL CAMINO CROSSING</t>
  </si>
  <si>
    <t>110 E LIVE OAK ST</t>
  </si>
  <si>
    <t>1300 CARL RAMERT DR</t>
  </si>
  <si>
    <t>10450 GOSLING RD</t>
  </si>
  <si>
    <t>202 BILLIE DR</t>
  </si>
  <si>
    <t>519 NINTH AVE N</t>
  </si>
  <si>
    <t>1500 SUNSET DR</t>
  </si>
  <si>
    <t>1751 N 15TH ST</t>
  </si>
  <si>
    <t>301 LINCOLN PARK DR</t>
  </si>
  <si>
    <t>2443 W 16TH ST</t>
  </si>
  <si>
    <t>4315 HOPKINS AVE</t>
  </si>
  <si>
    <t>507 E W M WATSON BLVD</t>
  </si>
  <si>
    <t>941 SCOTLAND DR</t>
  </si>
  <si>
    <t>14655 PRESTON RD</t>
  </si>
  <si>
    <t>4201 STONEGATE BLVD</t>
  </si>
  <si>
    <t>1615 HILLENDAHL RD</t>
  </si>
  <si>
    <t>5515 GLEN LAKES DR</t>
  </si>
  <si>
    <t>3401 E AIRLINE DR</t>
  </si>
  <si>
    <t>3745 SUMMER CREST DR</t>
  </si>
  <si>
    <t>2729 PORTER AVE</t>
  </si>
  <si>
    <t>1003 COLUMBIA</t>
  </si>
  <si>
    <t>317 N CARANCAHUA</t>
  </si>
  <si>
    <t>2300 JACK FINNEY BLVD</t>
  </si>
  <si>
    <t>1321 PARK BAYOU DR</t>
  </si>
  <si>
    <t>3600 ANGLE AVE</t>
  </si>
  <si>
    <t>101 LIBERTY LN</t>
  </si>
  <si>
    <t>2918 DUNCANVILLE RD</t>
  </si>
  <si>
    <t>5215 S SUGAR RD</t>
  </si>
  <si>
    <t>5100 JOHN D RYAN BLVD</t>
  </si>
  <si>
    <t>2901 STERLING HART DR</t>
  </si>
  <si>
    <t>8810 LONG POINT DR</t>
  </si>
  <si>
    <t>321 N SHILOH RD</t>
  </si>
  <si>
    <t>7633 BELLFORT</t>
  </si>
  <si>
    <t>1402 E BROAD ST</t>
  </si>
  <si>
    <t>1737 N LOOP W</t>
  </si>
  <si>
    <t>1502 HOWARD ST</t>
  </si>
  <si>
    <t>606 W GRUY</t>
  </si>
  <si>
    <t>2505 S 37TH ST</t>
  </si>
  <si>
    <t>1215 HIGHWAY 124</t>
  </si>
  <si>
    <t>400 E SAYLES ST</t>
  </si>
  <si>
    <t>711 KINGS WAY</t>
  </si>
  <si>
    <t>703 TITUS STREET</t>
  </si>
  <si>
    <t>1351 SOUTH ELM STREET</t>
  </si>
  <si>
    <t>330 W CAMP WISDOM RD</t>
  </si>
  <si>
    <t>250 W BRITISH FLYING SCHOOL BLVD</t>
  </si>
  <si>
    <t>1241 WESTRIDGE AVE</t>
  </si>
  <si>
    <t>1515 N ELM ST</t>
  </si>
  <si>
    <t>10700 ROLATER DR</t>
  </si>
  <si>
    <t>910 S BEECH ST</t>
  </si>
  <si>
    <t>2700 S HENDERSON BLVD</t>
  </si>
  <si>
    <t>3130 S BRAHMA BLVD</t>
  </si>
  <si>
    <t>2404 HWY 155</t>
  </si>
  <si>
    <t>5300 ALTA MESA BLVD</t>
  </si>
  <si>
    <t>11001 CRESCENT MOON DR</t>
  </si>
  <si>
    <t>11902 RESOURCE PKWY</t>
  </si>
  <si>
    <t>8017 W VIRGINIA DR</t>
  </si>
  <si>
    <t>411 E COLLARD</t>
  </si>
  <si>
    <t>106 N BELTLINE RD</t>
  </si>
  <si>
    <t>841 RICE RD</t>
  </si>
  <si>
    <t>1800 WEST 9TH ST</t>
  </si>
  <si>
    <t>1010 EMERALD ISLE DR</t>
  </si>
  <si>
    <t>10880 EDGEMERE BLVD</t>
  </si>
  <si>
    <t>411 S MILLER</t>
  </si>
  <si>
    <t>8501 LAURENS LN</t>
  </si>
  <si>
    <t>2929 POST OAK BLVD</t>
  </si>
  <si>
    <t>330 E BAGLEY RD</t>
  </si>
  <si>
    <t>111 HOSPITAL DR</t>
  </si>
  <si>
    <t>1700 E STONE ST</t>
  </si>
  <si>
    <t>110 W HWY 64</t>
  </si>
  <si>
    <t>7200 NINTH AVE</t>
  </si>
  <si>
    <t>7146 BAKER BLVD</t>
  </si>
  <si>
    <t>2400 QUAKER AVE</t>
  </si>
  <si>
    <t>9114 ROYAL LN</t>
  </si>
  <si>
    <t>1901 W ELLIOTT</t>
  </si>
  <si>
    <t>902 E MAIN ST</t>
  </si>
  <si>
    <t>506 VAN NESS</t>
  </si>
  <si>
    <t>17231 MILL FOREST</t>
  </si>
  <si>
    <t>3921 N MAIN</t>
  </si>
  <si>
    <t>221 CEDAR DR</t>
  </si>
  <si>
    <t>2611 W 46TH AVE</t>
  </si>
  <si>
    <t>4810 KEMP BLVD</t>
  </si>
  <si>
    <t>4403 74TH ST</t>
  </si>
  <si>
    <t>1204 SHERMAN DR</t>
  </si>
  <si>
    <t>1424 MARTIN LUTHER KING JR LN</t>
  </si>
  <si>
    <t>5437 EISENHAUER RD</t>
  </si>
  <si>
    <t>2122 PARK BEND DR</t>
  </si>
  <si>
    <t>200 VETERANS DR</t>
  </si>
  <si>
    <t>2311 WEST WASHINGTON</t>
  </si>
  <si>
    <t>809 NE 4TH ST</t>
  </si>
  <si>
    <t>231 KINGWOOD ST</t>
  </si>
  <si>
    <t>1510 N PLANO RD</t>
  </si>
  <si>
    <t>615 FALTIN AVE</t>
  </si>
  <si>
    <t>1300 SEVEN OAKS RD</t>
  </si>
  <si>
    <t>1809 N HWY 87</t>
  </si>
  <si>
    <t>301 W RANDOL MILL RD</t>
  </si>
  <si>
    <t>1638 VZ CR 1803</t>
  </si>
  <si>
    <t>204 W NASH</t>
  </si>
  <si>
    <t>309 FIFTH ST</t>
  </si>
  <si>
    <t>1819 MEMORIAL DR</t>
  </si>
  <si>
    <t>310 S JUPITER</t>
  </si>
  <si>
    <t>4302 E SOUTHCROSS BLVD</t>
  </si>
  <si>
    <t>884 HWY 84 W</t>
  </si>
  <si>
    <t>1022 PRESIDENTIAL CORRIDOR HWY 21 E</t>
  </si>
  <si>
    <t>110 CHICKTOWN RD</t>
  </si>
  <si>
    <t>2333 MANOR DR</t>
  </si>
  <si>
    <t>1401 RICE RD</t>
  </si>
  <si>
    <t>3650 S IH 35 E</t>
  </si>
  <si>
    <t>3935 MEDICAL DR</t>
  </si>
  <si>
    <t>2108 15TH ST</t>
  </si>
  <si>
    <t>1008 ENTERPRISE BLVD</t>
  </si>
  <si>
    <t>11409 N CENTRAL EXPWY</t>
  </si>
  <si>
    <t>1600 GRAND LAKE DR</t>
  </si>
  <si>
    <t>921 NOLAN ST</t>
  </si>
  <si>
    <t>700 HEARNE ST</t>
  </si>
  <si>
    <t>1611 W ROYALL BLVD</t>
  </si>
  <si>
    <t>4521 AVE F</t>
  </si>
  <si>
    <t>808 S ROBB</t>
  </si>
  <si>
    <t>1106 GOLFVIEW</t>
  </si>
  <si>
    <t>208 N PRAIRIE ST</t>
  </si>
  <si>
    <t>601 TERRACE LN</t>
  </si>
  <si>
    <t>5500 SW 9TH AVE</t>
  </si>
  <si>
    <t>1500 AUTUMN DR</t>
  </si>
  <si>
    <t>1000 MCKINLEY ST</t>
  </si>
  <si>
    <t>900 S TEMPLE DR</t>
  </si>
  <si>
    <t>225 N SOWERS RD</t>
  </si>
  <si>
    <t>415 INDIAN OAKS DR</t>
  </si>
  <si>
    <t>3203 SAGE ST</t>
  </si>
  <si>
    <t>800 N COMMERCE ST</t>
  </si>
  <si>
    <t>810 S PORTER AVE</t>
  </si>
  <si>
    <t>521 S HEATHERWILDE BLVD</t>
  </si>
  <si>
    <t>12042 BITTERN HOLLOW</t>
  </si>
  <si>
    <t>121 FM 971</t>
  </si>
  <si>
    <t>2601 W RANDOL MILL RD</t>
  </si>
  <si>
    <t>12021 METRIC BLVD</t>
  </si>
  <si>
    <t>5311 BIG SPRING HWY</t>
  </si>
  <si>
    <t>206 N SMITH ST</t>
  </si>
  <si>
    <t>2504 BLISS SPILLAR ROAD</t>
  </si>
  <si>
    <t>7801 WOODWAY DR</t>
  </si>
  <si>
    <t>3710 4TH ST</t>
  </si>
  <si>
    <t>699 CAMPUS DR</t>
  </si>
  <si>
    <t>2510 W 8TH STREET</t>
  </si>
  <si>
    <t>159 MONTAGUE AVE</t>
  </si>
  <si>
    <t>401 W ARBROOK BLVD</t>
  </si>
  <si>
    <t>710 HWY 55</t>
  </si>
  <si>
    <t>609 RIO CONCHO DR</t>
  </si>
  <si>
    <t>2204 PEASE ST</t>
  </si>
  <si>
    <t>1960 BEDFORD RD</t>
  </si>
  <si>
    <t>2936 MARKUM DR</t>
  </si>
  <si>
    <t>12520 FM 1840</t>
  </si>
  <si>
    <t>901 DISCOVERY BLVD</t>
  </si>
  <si>
    <t>1213 N AVE B</t>
  </si>
  <si>
    <t>205 N BONNIE BRAE</t>
  </si>
  <si>
    <t>HWY 83 WEST</t>
  </si>
  <si>
    <t>907 GARWOOD</t>
  </si>
  <si>
    <t>1623 W NEW HOPE DR</t>
  </si>
  <si>
    <t>2501 MORRIS SHEPPARD DR</t>
  </si>
  <si>
    <t>1506 CHILDRESS ST</t>
  </si>
  <si>
    <t>1511 MARLANDWOOD RD</t>
  </si>
  <si>
    <t>2736 FARM TO MARKET 775</t>
  </si>
  <si>
    <t>810 E 13TH AVE</t>
  </si>
  <si>
    <t>5524 COWHORN CREEK</t>
  </si>
  <si>
    <t>1260 ABRAMS RD</t>
  </si>
  <si>
    <t>3101 S. MAIN ST</t>
  </si>
  <si>
    <t>5301 W DUVAL RD</t>
  </si>
  <si>
    <t>1008 CITIZENS TRAIL</t>
  </si>
  <si>
    <t>2500 SONGBIRD CIR</t>
  </si>
  <si>
    <t>2414 W FRANK AVE</t>
  </si>
  <si>
    <t>409 W GREEN</t>
  </si>
  <si>
    <t>501 N MEDFORD DR</t>
  </si>
  <si>
    <t>7804 VIRGIL ANTHONY BLVD</t>
  </si>
  <si>
    <t>1433 VETERANS MEMORIAL PARKWAY</t>
  </si>
  <si>
    <t>4920 ELIZABETH ST</t>
  </si>
  <si>
    <t>2101 NORTHGATE DR</t>
  </si>
  <si>
    <t>505 MADISON OAK DR</t>
  </si>
  <si>
    <t>1280 SETTLERS RIDGE RD</t>
  </si>
  <si>
    <t>1415 N 18TH ST</t>
  </si>
  <si>
    <t>507 WEST AVE</t>
  </si>
  <si>
    <t>1618 KIRBY RD</t>
  </si>
  <si>
    <t>605 W SEVENTH ST</t>
  </si>
  <si>
    <t>913 HWY 90 W</t>
  </si>
  <si>
    <t>705 N MAIN ST</t>
  </si>
  <si>
    <t>1108 E LOOP 304</t>
  </si>
  <si>
    <t>3825 VILLAGE CREEK RD</t>
  </si>
  <si>
    <t>1241 W MARSHALL HOWARD BLVD</t>
  </si>
  <si>
    <t>2505 E VILLA MARIA RD</t>
  </si>
  <si>
    <t>1505 W HWY 290</t>
  </si>
  <si>
    <t>716 MIMOSA STREET</t>
  </si>
  <si>
    <t>2210 HOWARD ST</t>
  </si>
  <si>
    <t>420 LANTERN BEND DR</t>
  </si>
  <si>
    <t>970 HILLTOP DR</t>
  </si>
  <si>
    <t>19424 MCKAY DR</t>
  </si>
  <si>
    <t>4225 LAKE ARTHUR DR</t>
  </si>
  <si>
    <t>2244 BRINKER RD</t>
  </si>
  <si>
    <t>300 NORTH ST</t>
  </si>
  <si>
    <t>1717 A NORFOLK AVE</t>
  </si>
  <si>
    <t>2212 W REAGAN ST</t>
  </si>
  <si>
    <t>5800 W BAKER RD</t>
  </si>
  <si>
    <t>1620 US 59 N</t>
  </si>
  <si>
    <t>8502 EDGEMERE</t>
  </si>
  <si>
    <t>721 DUNAWAY LN</t>
  </si>
  <si>
    <t>201 E THOMPSON ST</t>
  </si>
  <si>
    <t>2450 E FIFTH ST</t>
  </si>
  <si>
    <t>705 JACKSON ST</t>
  </si>
  <si>
    <t>1901 WHIPPOORWILL</t>
  </si>
  <si>
    <t>920 E AVE L</t>
  </si>
  <si>
    <t>2501 WESTERLAND DR</t>
  </si>
  <si>
    <t>4033 W 51ST AVE</t>
  </si>
  <si>
    <t>1620 MAGNOLIA</t>
  </si>
  <si>
    <t>8503 MYSTIC PARK</t>
  </si>
  <si>
    <t>11110 TOM ADAMS DR</t>
  </si>
  <si>
    <t>3001 W FOURTH AVE</t>
  </si>
  <si>
    <t>2208 N LOOP 250 W</t>
  </si>
  <si>
    <t>902 E HACKBERRY ST</t>
  </si>
  <si>
    <t>460 W MAIN ST</t>
  </si>
  <si>
    <t>2001 E 29TH ST</t>
  </si>
  <si>
    <t>100 GAY ST</t>
  </si>
  <si>
    <t>7400 CLAREWOOD DR</t>
  </si>
  <si>
    <t>8703 DAVIS BLVD</t>
  </si>
  <si>
    <t>202 W 3RD ST</t>
  </si>
  <si>
    <t>321 KILGORE DRIVE</t>
  </si>
  <si>
    <t>412 N DALTON</t>
  </si>
  <si>
    <t>4320 W 19TH ST</t>
  </si>
  <si>
    <t>900 WESTPARK WAY</t>
  </si>
  <si>
    <t>101 S LANCASTER</t>
  </si>
  <si>
    <t>4343 OAK GROVE BLVD</t>
  </si>
  <si>
    <t>300 HAPPY LN</t>
  </si>
  <si>
    <t>2201 MENARD HWY</t>
  </si>
  <si>
    <t>3727 W RANCH RD 1431</t>
  </si>
  <si>
    <t>700 E VISTA RIDGE MALL DR</t>
  </si>
  <si>
    <t>422 E 18TH ST</t>
  </si>
  <si>
    <t>1717 45THST</t>
  </si>
  <si>
    <t>3737 N GARLAND AVENUE</t>
  </si>
  <si>
    <t>106 DEL NORTE DR</t>
  </si>
  <si>
    <t>4949 RAVENSWOOD DR</t>
  </si>
  <si>
    <t>2109 SOUTH K ST</t>
  </si>
  <si>
    <t>100 N E LOOP 304</t>
  </si>
  <si>
    <t>1105 N MAGNOLIA</t>
  </si>
  <si>
    <t>2885 STILLHOUSE ROAD</t>
  </si>
  <si>
    <t>200 COUNTY RD 616</t>
  </si>
  <si>
    <t>207 S OLD BETSY RD</t>
  </si>
  <si>
    <t>1201 FM 2685</t>
  </si>
  <si>
    <t>520 SE 8TH ST</t>
  </si>
  <si>
    <t>3434 WATTERS RD</t>
  </si>
  <si>
    <t>4054 NORTHWEST LOOP</t>
  </si>
  <si>
    <t>4515 VILLAGE CREEK RD</t>
  </si>
  <si>
    <t>1704 N 1ST</t>
  </si>
  <si>
    <t>405 SHADY ACRES LANE</t>
  </si>
  <si>
    <t>210 GULF FREEWAY</t>
  </si>
  <si>
    <t>TEN MEDICAL CENTER DR</t>
  </si>
  <si>
    <t>11910 RICHMOND AVE</t>
  </si>
  <si>
    <t>9650 KENWORTHY ST</t>
  </si>
  <si>
    <t>301 E YUMA AVE</t>
  </si>
  <si>
    <t>1480 KATY FLEWELLEN</t>
  </si>
  <si>
    <t>2310 SOUTH ELDRIDGE PARKWAY</t>
  </si>
  <si>
    <t>7021 BRYANT IRVIN RD</t>
  </si>
  <si>
    <t>1915 GREENWOOD ST</t>
  </si>
  <si>
    <t>4925 ELIZABETH ST</t>
  </si>
  <si>
    <t>607 PARKSIDE DR</t>
  </si>
  <si>
    <t>300 HYDE ST</t>
  </si>
  <si>
    <t>2350 FM 1092</t>
  </si>
  <si>
    <t>101 SAN MARCUS</t>
  </si>
  <si>
    <t>619 W LIVE OAK RD</t>
  </si>
  <si>
    <t>931 N BROADWAY</t>
  </si>
  <si>
    <t>1100 W AVE J</t>
  </si>
  <si>
    <t>824 W MAYFIELD RD</t>
  </si>
  <si>
    <t>15880 WALLISVILLE ROAD</t>
  </si>
  <si>
    <t>320 LORENALY DR</t>
  </si>
  <si>
    <t>5101 MEDICAL DR</t>
  </si>
  <si>
    <t>1910 MEDI PARK DR</t>
  </si>
  <si>
    <t>1207 S REYNOLDS ST</t>
  </si>
  <si>
    <t>3801 CIMARRON</t>
  </si>
  <si>
    <t>2104 N KARNES</t>
  </si>
  <si>
    <t>2617 ANTILLEY ROAD</t>
  </si>
  <si>
    <t>438 HOUSTON-HARTE</t>
  </si>
  <si>
    <t>421 S BONNER</t>
  </si>
  <si>
    <t>700 DYER ST</t>
  </si>
  <si>
    <t>4201 FM 105</t>
  </si>
  <si>
    <t>3200 W. SLAUGHTER LANE</t>
  </si>
  <si>
    <t>8300 ELDORADO PKWY WEST</t>
  </si>
  <si>
    <t>2100 DOVE CROSSING LN</t>
  </si>
  <si>
    <t>1301 RICHARDSON DR</t>
  </si>
  <si>
    <t>4200 JACKSON AVE</t>
  </si>
  <si>
    <t>5455 KNICKERBOCKER RD</t>
  </si>
  <si>
    <t>6600 LANDS END COURT</t>
  </si>
  <si>
    <t>810 BELAIRE STREET</t>
  </si>
  <si>
    <t>46 MAY STREET</t>
  </si>
  <si>
    <t>1005 IRA E. WOODS PARKWAY</t>
  </si>
  <si>
    <t>4910 EMORY</t>
  </si>
  <si>
    <t>1010 E MCARTHUR ST</t>
  </si>
  <si>
    <t>2735 AIRLINE RD</t>
  </si>
  <si>
    <t>470 MOORE DR</t>
  </si>
  <si>
    <t>7080 CALDER</t>
  </si>
  <si>
    <t>8530 WOODWAY DRIVE</t>
  </si>
  <si>
    <t>224 W PLEASANT RUN RD</t>
  </si>
  <si>
    <t>2003 W HUTCHINS PLACE</t>
  </si>
  <si>
    <t>2091 BANDERA HWY</t>
  </si>
  <si>
    <t>8702 S COURSE DR</t>
  </si>
  <si>
    <t>540 HWY 29 E</t>
  </si>
  <si>
    <t>2530 CENTRAL PALM DR</t>
  </si>
  <si>
    <t>1000 SARA SWAMMY DR</t>
  </si>
  <si>
    <t>930 ROY RICHARD DR</t>
  </si>
  <si>
    <t>6230 WARREN ST</t>
  </si>
  <si>
    <t>420 MOODY ST</t>
  </si>
  <si>
    <t>1302 TOM TEMPLE DR</t>
  </si>
  <si>
    <t>1814 ATRIUM PLACE</t>
  </si>
  <si>
    <t>5600 DAVIS BLVD</t>
  </si>
  <si>
    <t>2245 MARSH LN</t>
  </si>
  <si>
    <t>2001 N JEFFERSON</t>
  </si>
  <si>
    <t>1917 LOHMANS CROSSING RD</t>
  </si>
  <si>
    <t>7100 TRAIL LAKE DR</t>
  </si>
  <si>
    <t>3106 BOB ROGERS DR</t>
  </si>
  <si>
    <t>8600 SKYLINE DR</t>
  </si>
  <si>
    <t>8306 HUEBNER RD</t>
  </si>
  <si>
    <t>8902 WEST RD</t>
  </si>
  <si>
    <t>701 N SARAH DEWITT</t>
  </si>
  <si>
    <t>3033 W GREEN OAKS BLVD</t>
  </si>
  <si>
    <t>201 SWIFT ST</t>
  </si>
  <si>
    <t>7100 MATLOCK RD</t>
  </si>
  <si>
    <t>983 N TEXAS STREET</t>
  </si>
  <si>
    <t>301 N MILLER RD</t>
  </si>
  <si>
    <t>910 MIDWESTERN PKWY</t>
  </si>
  <si>
    <t>1350 MAIN ST</t>
  </si>
  <si>
    <t>3617 O'HARE DR</t>
  </si>
  <si>
    <t>4616 NE STALLINGS DR</t>
  </si>
  <si>
    <t>315 W ANDERSON ST</t>
  </si>
  <si>
    <t>6200 N BRAESWOOD</t>
  </si>
  <si>
    <t>2620 W WALKER</t>
  </si>
  <si>
    <t>215 HIGHWAY 161 SOUTH</t>
  </si>
  <si>
    <t>4048 RED BLUFF ROAD</t>
  </si>
  <si>
    <t>2460 MARSH LN</t>
  </si>
  <si>
    <t>1020 TASCOSA RD</t>
  </si>
  <si>
    <t>18514 SONTERRA PLACE</t>
  </si>
  <si>
    <t>23775 KINGWOOD PLACE</t>
  </si>
  <si>
    <t>6850 RUFE SNOW DR</t>
  </si>
  <si>
    <t>4510 27TH ST</t>
  </si>
  <si>
    <t>106 N BARON</t>
  </si>
  <si>
    <t>250 SCHOOL STREET</t>
  </si>
  <si>
    <t>1401 EAGLE LAKE ROAD</t>
  </si>
  <si>
    <t>2201 HORSESHOE LN</t>
  </si>
  <si>
    <t>112 BARNETT BLVD</t>
  </si>
  <si>
    <t>431 N W 3RD ST</t>
  </si>
  <si>
    <t>2409 E HOLCOMBE BLVD</t>
  </si>
  <si>
    <t>510 E BONHAM</t>
  </si>
  <si>
    <t>1020 W 1ST ST</t>
  </si>
  <si>
    <t>7882 S HWY 181 (NO MAIL SERVICE)</t>
  </si>
  <si>
    <t>2202 N TRAVIS ST</t>
  </si>
  <si>
    <t>1601 NE MUSTANG</t>
  </si>
  <si>
    <t>920 E FM 1187</t>
  </si>
  <si>
    <t>333 NORTH FM 95</t>
  </si>
  <si>
    <t>419 S COCKRELL HILL RD</t>
  </si>
  <si>
    <t>3000 MOCKINGBIRD LN</t>
  </si>
  <si>
    <t>1373 NORTH AVENUE C</t>
  </si>
  <si>
    <t>1855 W GOODWIN</t>
  </si>
  <si>
    <t>220 E ASH STREET</t>
  </si>
  <si>
    <t>5505 NEW COPELAND RD</t>
  </si>
  <si>
    <t>1300 2ND ST</t>
  </si>
  <si>
    <t>1621 BUTLER</t>
  </si>
  <si>
    <t>5915 ELYSIAN FIELDS ROAD</t>
  </si>
  <si>
    <t>1850 W PLEASANT RUN RD</t>
  </si>
  <si>
    <t>6101 OHIO STE 500</t>
  </si>
  <si>
    <t>2900 STILLHOUSE ROAD</t>
  </si>
  <si>
    <t>2034 SUNDANCE PKWY</t>
  </si>
  <si>
    <t>1420 MCCREARY RD</t>
  </si>
  <si>
    <t>2875 SHILOH ROAD</t>
  </si>
  <si>
    <t>21727 PROVINCIAL BLVD</t>
  </si>
  <si>
    <t>23553 WEST FERNHURST DRIVE</t>
  </si>
  <si>
    <t>763 MARLANDWOOD RD</t>
  </si>
  <si>
    <t>206 WALLS DR</t>
  </si>
  <si>
    <t>2500 BARTON CREEK BLVD</t>
  </si>
  <si>
    <t>1040 W JEFFERSON ST</t>
  </si>
  <si>
    <t>2750 MILLER RANCH RD</t>
  </si>
  <si>
    <t>17751 PARK VALLEY DR</t>
  </si>
  <si>
    <t>3006 MCNIEL</t>
  </si>
  <si>
    <t>2000 W BAKER RD</t>
  </si>
  <si>
    <t>1400 HESTERS CROSSING</t>
  </si>
  <si>
    <t>218 BALTIC</t>
  </si>
  <si>
    <t>12001 SHADOW CREEK PARKWAY</t>
  </si>
  <si>
    <t>9602 HUFFMEISTER RD</t>
  </si>
  <si>
    <t>701 W BENNETT RD</t>
  </si>
  <si>
    <t>2485 S MAJOR DR</t>
  </si>
  <si>
    <t>1700 WOODGATE DRIVE</t>
  </si>
  <si>
    <t>1715 MARTIN DR</t>
  </si>
  <si>
    <t>8836 MARS DR</t>
  </si>
  <si>
    <t>200 CARLA ST</t>
  </si>
  <si>
    <t>4200 LIVE OAK ST</t>
  </si>
  <si>
    <t>5423 HAMILTON WOLFE RD</t>
  </si>
  <si>
    <t>901 W INTERSTATE 30</t>
  </si>
  <si>
    <t>3840 POINTE PARKWAY</t>
  </si>
  <si>
    <t>6050 HOSPITAL DR</t>
  </si>
  <si>
    <t>1401 MAX COPELAND DR</t>
  </si>
  <si>
    <t>6001 GEORGE BUSH DR</t>
  </si>
  <si>
    <t>430 OLD AUSTIN HWY</t>
  </si>
  <si>
    <t>4905 FLEMING STREET</t>
  </si>
  <si>
    <t>10127 HUEBNER RD</t>
  </si>
  <si>
    <t>1941 CHESTNUT ST</t>
  </si>
  <si>
    <t>1351 SADLER</t>
  </si>
  <si>
    <t>345 COUNTRY CLUB DR</t>
  </si>
  <si>
    <t>1050 GRAND BLVD.</t>
  </si>
  <si>
    <t>1511 MONTEZUMA STREET</t>
  </si>
  <si>
    <t>7107 QUEENSTON BLVD</t>
  </si>
  <si>
    <t>3000 HERRING AVE</t>
  </si>
  <si>
    <t>222 FM 1077</t>
  </si>
  <si>
    <t>9505 NORTH POINTE BLVD</t>
  </si>
  <si>
    <t>1414 COLLEGE STREET</t>
  </si>
  <si>
    <t>13500 BRETON RIDGE</t>
  </si>
  <si>
    <t>999 RAINTREE CIRCLE</t>
  </si>
  <si>
    <t>11020 DESSAU RD</t>
  </si>
  <si>
    <t>15015 CYPRESS WOODS MEDICAL DR</t>
  </si>
  <si>
    <t>1440 RIVER RD</t>
  </si>
  <si>
    <t>2530 GREENHILL RD</t>
  </si>
  <si>
    <t>107 E ROGERS</t>
  </si>
  <si>
    <t>1350 E LOOKOUT DR</t>
  </si>
  <si>
    <t>11830 NORTHPOINTE BOULEVARD</t>
  </si>
  <si>
    <t>104 REX KERWIN COURT</t>
  </si>
  <si>
    <t>6801 E RIVERSIDE DR</t>
  </si>
  <si>
    <t>1410 E SANDY LAKE RD</t>
  </si>
  <si>
    <t>721 S HWY 78</t>
  </si>
  <si>
    <t>170 STONEBRIDGE LANE</t>
  </si>
  <si>
    <t>3838 E SOUTHCROSS BLVD</t>
  </si>
  <si>
    <t>12921 MISTY WILLOW</t>
  </si>
  <si>
    <t>1424 FALLBROOK DRIVE</t>
  </si>
  <si>
    <t>1400 MEDICAL CENTER DRIVE</t>
  </si>
  <si>
    <t>850 12TH AVENUE</t>
  </si>
  <si>
    <t>3550 N SHILOH RD</t>
  </si>
  <si>
    <t>2265 S SYCAMORE ST</t>
  </si>
  <si>
    <t>1341 BLALOCK</t>
  </si>
  <si>
    <t>711 WEST BROADWAY</t>
  </si>
  <si>
    <t>2228 SEAWALL BLVD</t>
  </si>
  <si>
    <t>400 RANGER DR</t>
  </si>
  <si>
    <t>2650 ELKTON TRAIL</t>
  </si>
  <si>
    <t>9250 HUMBLE-WESTFIELD RD</t>
  </si>
  <si>
    <t>1112 SMITH DR</t>
  </si>
  <si>
    <t>12001 LONGHORN PARKWAY</t>
  </si>
  <si>
    <t>2101 FRATE BARKER RD</t>
  </si>
  <si>
    <t>8615 LULLWATER DR</t>
  </si>
  <si>
    <t>144 BULLDOG AVENUE</t>
  </si>
  <si>
    <t>3505 S BUCKNER BLVD BLDG 5</t>
  </si>
  <si>
    <t>1700 ONION CREEK PKWY</t>
  </si>
  <si>
    <t>1640 FAIRWAY</t>
  </si>
  <si>
    <t>1014 WINDSOR LAKE BOULEVARD</t>
  </si>
  <si>
    <t>1339 EASTWOOD DR</t>
  </si>
  <si>
    <t>561 E RIDGECREST RD</t>
  </si>
  <si>
    <t>2450 BICKERS ST</t>
  </si>
  <si>
    <t>4091 EASTCHESTER DRIVE</t>
  </si>
  <si>
    <t>2700 MEMORIAL PARK DR</t>
  </si>
  <si>
    <t>6640 IOLA AVENUE</t>
  </si>
  <si>
    <t>4011 WILLIAMS DR</t>
  </si>
  <si>
    <t>9922 STATE HWY. 151</t>
  </si>
  <si>
    <t>4141 S BRAESWOOD BLVD</t>
  </si>
  <si>
    <t>11169 SEAN HAGGERTY</t>
  </si>
  <si>
    <t>9525 GREENVILLE AVE</t>
  </si>
  <si>
    <t>6649 N RIVERSIDE DR</t>
  </si>
  <si>
    <t>16044 COUNTY ROAD 165</t>
  </si>
  <si>
    <t>369 MARS DR</t>
  </si>
  <si>
    <t>2401 DEVELOPMENT BLVD.</t>
  </si>
  <si>
    <t>501 E LAKE DR</t>
  </si>
  <si>
    <t>501 W AUSTIN ST</t>
  </si>
  <si>
    <t>6825 HARRY HINES BLVD</t>
  </si>
  <si>
    <t>150 S.E. 47TH STREET</t>
  </si>
  <si>
    <t>3210 W HWY 22</t>
  </si>
  <si>
    <t>6211 S NEW BRAUNFELS AVE</t>
  </si>
  <si>
    <t>8611 MAIN ST</t>
  </si>
  <si>
    <t>9801 S 1ST STREET</t>
  </si>
  <si>
    <t>1901 S TRADE DAYS BLVD</t>
  </si>
  <si>
    <t>3301 FM 3009</t>
  </si>
  <si>
    <t>2200 S LAKELINE BLVD</t>
  </si>
  <si>
    <t>5857 TIMBERGATE DR</t>
  </si>
  <si>
    <t>914 N BRAZOSPORT BLVD</t>
  </si>
  <si>
    <t>2501 MUSEUM WAY</t>
  </si>
  <si>
    <t>2000 HOLLY HALL ST</t>
  </si>
  <si>
    <t>204 OAK DRIVE SOUTH</t>
  </si>
  <si>
    <t>4100 COLLEGE PARK DR</t>
  </si>
  <si>
    <t>5020 SPACE CENTER BLVD</t>
  </si>
  <si>
    <t>2101 GREENHOUSE ROAD</t>
  </si>
  <si>
    <t>11466 HONOR LANE</t>
  </si>
  <si>
    <t>222 BERTETTI DR</t>
  </si>
  <si>
    <t>1701 TOURNAMENT TRAIL DR</t>
  </si>
  <si>
    <t>3730 W. OREM DRIVE</t>
  </si>
  <si>
    <t>18648 HILLCREST RD</t>
  </si>
  <si>
    <t>401 EAST BLUE BELL ROAD</t>
  </si>
  <si>
    <t>4600 HERITAGE TRACE PARKWAY</t>
  </si>
  <si>
    <t>507 MARTIN LUTHER KING BLVD</t>
  </si>
  <si>
    <t>3511 CORINTH PARKWAY</t>
  </si>
  <si>
    <t>3100 PETERS COLONY ROAD</t>
  </si>
  <si>
    <t>3030 FIG ST</t>
  </si>
  <si>
    <t>144 FM 1252 WEST</t>
  </si>
  <si>
    <t>11353 SUGAR PARK LANE</t>
  </si>
  <si>
    <t>1200 FERGUSON ST</t>
  </si>
  <si>
    <t>8707 LAKESIDE PARKWAY</t>
  </si>
  <si>
    <t>1101 WINDBELL DR</t>
  </si>
  <si>
    <t>1500 COTTONWOOD CREEK TRAIL</t>
  </si>
  <si>
    <t>9738 WESTOVER HILLS BLVD</t>
  </si>
  <si>
    <t>7910 FRANKFORD ROAD</t>
  </si>
  <si>
    <t>24025 KINGWOOD PLACE DRIVE</t>
  </si>
  <si>
    <t>9903 HUNTERS POND</t>
  </si>
  <si>
    <t>4900 EAST SAM HOUSTON PARKWAY SOUTH</t>
  </si>
  <si>
    <t>10800 FLORA MAE MEADOWS RD</t>
  </si>
  <si>
    <t>4422 RIVERSTONE BLVD</t>
  </si>
  <si>
    <t>5242 MEDICAL DRIVE</t>
  </si>
  <si>
    <t>14703 EAGLE VISTA DRIVE BLDG 601B</t>
  </si>
  <si>
    <t>6920 T.C. JESTER BLVD</t>
  </si>
  <si>
    <t>3350 BONNIE VIEW ROAD</t>
  </si>
  <si>
    <t>401 S E STALLINGS DR</t>
  </si>
  <si>
    <t>900 COLLEGE AVE</t>
  </si>
  <si>
    <t>10350 MONTANA AVENUE</t>
  </si>
  <si>
    <t>9101 PANTHER WAY</t>
  </si>
  <si>
    <t>355 FM 83 W</t>
  </si>
  <si>
    <t>4105 TERAVISTA CLUB DRIVE</t>
  </si>
  <si>
    <t>4503 S SUGAR RD</t>
  </si>
  <si>
    <t>6641 W AMARILLO BLVD</t>
  </si>
  <si>
    <t>5001 OFFICE PARK DRIVE</t>
  </si>
  <si>
    <t>2620 COMMUNICATIONS PKWY</t>
  </si>
  <si>
    <t>27840 JOHNSON ROAD</t>
  </si>
  <si>
    <t>201 WATERMERE DRIVE</t>
  </si>
  <si>
    <t>11855 LEBANON ROAD</t>
  </si>
  <si>
    <t>19638 STONE OAK PARKWAY</t>
  </si>
  <si>
    <t>5600 CHENEVERT STREET</t>
  </si>
  <si>
    <t>1303 HWY 290 E</t>
  </si>
  <si>
    <t>303 HOLLOW TREE LANE</t>
  </si>
  <si>
    <t>5665 CREEKSIDE FOREST DRIVE</t>
  </si>
  <si>
    <t>3443 N MACARTHUR BLVD</t>
  </si>
  <si>
    <t>4100 MOORES LN</t>
  </si>
  <si>
    <t>1011 MAINLAND CENTER DR</t>
  </si>
  <si>
    <t>535 S AUSTIN ROAD</t>
  </si>
  <si>
    <t>14100 KARISSA COURT</t>
  </si>
  <si>
    <t>4501 PLANO PARKWAY</t>
  </si>
  <si>
    <t>4312 S 31ST ST</t>
  </si>
  <si>
    <t>300 CROWNE POINT BLVD</t>
  </si>
  <si>
    <t>1501 W 29TH ST</t>
  </si>
  <si>
    <t>2170 NORTH LAKE FOREST DRIVE</t>
  </si>
  <si>
    <t>1154 EAST HAWKINS PARKWAY</t>
  </si>
  <si>
    <t>4101 LONG PRAIRIE ROAD</t>
  </si>
  <si>
    <t>1400 MAIN ST</t>
  </si>
  <si>
    <t>3640 HAMPTON DR</t>
  </si>
  <si>
    <t>1301 MALLETTE DRIVE</t>
  </si>
  <si>
    <t>14058 BEE CAVES PARKWAY, BLDG B</t>
  </si>
  <si>
    <t>900 GEORGE HOPPER ROAD</t>
  </si>
  <si>
    <t>950 CAMINO DEL REY DRIVE</t>
  </si>
  <si>
    <t>1690 N. TREADWAY BLVD.</t>
  </si>
  <si>
    <t>7930 NORTHAVEN ROAD</t>
  </si>
  <si>
    <t>2739 BABCOCK</t>
  </si>
  <si>
    <t>2930 CYPRESS GROVE MEADOWS</t>
  </si>
  <si>
    <t>3701 WASSON RD</t>
  </si>
  <si>
    <t>13428 BISSONNET</t>
  </si>
  <si>
    <t>149 KLATTENHOFF LANE</t>
  </si>
  <si>
    <t>1803 WESCOTT AVENUE</t>
  </si>
  <si>
    <t>611 ROSE MARIE BLVD</t>
  </si>
  <si>
    <t>503 MEADOW DRIVE</t>
  </si>
  <si>
    <t>1870 S JOHN KING BLVD</t>
  </si>
  <si>
    <t>2100 CANNON DR</t>
  </si>
  <si>
    <t>2000 WEST AUDIE MURPHY PKWAY</t>
  </si>
  <si>
    <t>OPP</t>
  </si>
  <si>
    <t>LUVERNE</t>
  </si>
  <si>
    <t>CENTRE</t>
  </si>
  <si>
    <t>WEDOWEE</t>
  </si>
  <si>
    <t>TALLASSEE</t>
  </si>
  <si>
    <t>HAMILTON</t>
  </si>
  <si>
    <t>FAYETTE</t>
  </si>
  <si>
    <t>CENTREVILLE</t>
  </si>
  <si>
    <t>MOULTON</t>
  </si>
  <si>
    <t>EUFAULA</t>
  </si>
  <si>
    <t>ASHLAND</t>
  </si>
  <si>
    <t>WINFIELD</t>
  </si>
  <si>
    <t>GREENSBORO</t>
  </si>
  <si>
    <t>CARROLLTON</t>
  </si>
  <si>
    <t>DEMOPOLIS</t>
  </si>
  <si>
    <t>HALEYVILLE</t>
  </si>
  <si>
    <t>TROY</t>
  </si>
  <si>
    <t>JACKSON</t>
  </si>
  <si>
    <t>GREENVILLE</t>
  </si>
  <si>
    <t>RUSSELLVILLE</t>
  </si>
  <si>
    <t>ATMORE</t>
  </si>
  <si>
    <t>SYLACAUGA</t>
  </si>
  <si>
    <t>SCOTTSBORO</t>
  </si>
  <si>
    <t>BIRMINGHAM</t>
  </si>
  <si>
    <t>MC CALLA</t>
  </si>
  <si>
    <t>ATHENS</t>
  </si>
  <si>
    <t>ELMORE</t>
  </si>
  <si>
    <t>CLANTON</t>
  </si>
  <si>
    <t>WETUMPKA</t>
  </si>
  <si>
    <t>TUSCUMBIA</t>
  </si>
  <si>
    <t>FLORENCE</t>
  </si>
  <si>
    <t>FOLEY</t>
  </si>
  <si>
    <t>NORTHPORT</t>
  </si>
  <si>
    <t>BREWTON</t>
  </si>
  <si>
    <t>MONTGOMERY</t>
  </si>
  <si>
    <t>YORK</t>
  </si>
  <si>
    <t>PLEASANT GROVE</t>
  </si>
  <si>
    <t>VALLEY</t>
  </si>
  <si>
    <t>CULLMAN</t>
  </si>
  <si>
    <t>DAPHNE</t>
  </si>
  <si>
    <t>BESSEMER</t>
  </si>
  <si>
    <t>HEFLIN</t>
  </si>
  <si>
    <t>BOAZ</t>
  </si>
  <si>
    <t>PRATTVILLE</t>
  </si>
  <si>
    <t>HANCEVILLE</t>
  </si>
  <si>
    <t>FALKVILLE</t>
  </si>
  <si>
    <t>ELBA</t>
  </si>
  <si>
    <t>SELMA</t>
  </si>
  <si>
    <t>EVERGREEN</t>
  </si>
  <si>
    <t>MOBILE</t>
  </si>
  <si>
    <t>ALTOONA</t>
  </si>
  <si>
    <t>MARION</t>
  </si>
  <si>
    <t>HUNTSVILLE</t>
  </si>
  <si>
    <t>TUSKEGEE</t>
  </si>
  <si>
    <t>DECATUR</t>
  </si>
  <si>
    <t>JASPER</t>
  </si>
  <si>
    <t>CORDOVA</t>
  </si>
  <si>
    <t>ANNISTON</t>
  </si>
  <si>
    <t>CITRONELLE</t>
  </si>
  <si>
    <t>CHATOM</t>
  </si>
  <si>
    <t>ROANOKE</t>
  </si>
  <si>
    <t>TRUSSVILLE</t>
  </si>
  <si>
    <t>OXFORD</t>
  </si>
  <si>
    <t>GARDENDALE</t>
  </si>
  <si>
    <t>ALICEVILLE</t>
  </si>
  <si>
    <t>DOUBLE SPRINGS</t>
  </si>
  <si>
    <t>REFORM</t>
  </si>
  <si>
    <t>LINEVILLE</t>
  </si>
  <si>
    <t>ALABASTER</t>
  </si>
  <si>
    <t>ARAB</t>
  </si>
  <si>
    <t>GUIN</t>
  </si>
  <si>
    <t>GENEVA</t>
  </si>
  <si>
    <t>DOTHAN</t>
  </si>
  <si>
    <t>FORT PAYNE</t>
  </si>
  <si>
    <t>ONEONTA</t>
  </si>
  <si>
    <t>TALLADEGA</t>
  </si>
  <si>
    <t>ALBERTVILLE</t>
  </si>
  <si>
    <t>BUTLER</t>
  </si>
  <si>
    <t>DADEVILLE</t>
  </si>
  <si>
    <t>UNION SPRINGS</t>
  </si>
  <si>
    <t>GLENCOE</t>
  </si>
  <si>
    <t>CROSSVILLE</t>
  </si>
  <si>
    <t>EUTAW</t>
  </si>
  <si>
    <t>PHENIX CITY</t>
  </si>
  <si>
    <t>GADSDEN</t>
  </si>
  <si>
    <t>GEORGIANA</t>
  </si>
  <si>
    <t>EIGHT MILE</t>
  </si>
  <si>
    <t>MOUNDVILLE</t>
  </si>
  <si>
    <t>PELL CITY</t>
  </si>
  <si>
    <t>ALEXANDER CITY</t>
  </si>
  <si>
    <t>OPELIKA</t>
  </si>
  <si>
    <t>PIEDMONT</t>
  </si>
  <si>
    <t>LANETT</t>
  </si>
  <si>
    <t>LAFAYETTE</t>
  </si>
  <si>
    <t>RED BAY</t>
  </si>
  <si>
    <t>ATTALLA</t>
  </si>
  <si>
    <t>GOODWATER</t>
  </si>
  <si>
    <t>COLLINSVILLE</t>
  </si>
  <si>
    <t>OZARK</t>
  </si>
  <si>
    <t>HUEYTOWN</t>
  </si>
  <si>
    <t>MADISON</t>
  </si>
  <si>
    <t>THOMASVILLE</t>
  </si>
  <si>
    <t>FAIRHOPE</t>
  </si>
  <si>
    <t>GUNTERSVILLE</t>
  </si>
  <si>
    <t>VERNON</t>
  </si>
  <si>
    <t>ENTERPRISE</t>
  </si>
  <si>
    <t>MONROEVILLE</t>
  </si>
  <si>
    <t>LINDEN</t>
  </si>
  <si>
    <t>KILLEN</t>
  </si>
  <si>
    <t>TUSCALOOSA</t>
  </si>
  <si>
    <t>ABBEVILLE</t>
  </si>
  <si>
    <t>CAMDEN</t>
  </si>
  <si>
    <t>SPANISH FORT</t>
  </si>
  <si>
    <t>JACKSONVILLE</t>
  </si>
  <si>
    <t>MUSCLE SHOALS</t>
  </si>
  <si>
    <t>GRAND BAY</t>
  </si>
  <si>
    <t>ASHVILLE</t>
  </si>
  <si>
    <t>CARBON HILL</t>
  </si>
  <si>
    <t>ANDALUSIA</t>
  </si>
  <si>
    <t>BAY MINETTE</t>
  </si>
  <si>
    <t>HARTFORD</t>
  </si>
  <si>
    <t>BRIDGEPORT</t>
  </si>
  <si>
    <t>HAYNEVILLE</t>
  </si>
  <si>
    <t>ROBERTSDALE</t>
  </si>
  <si>
    <t>MONTROSE</t>
  </si>
  <si>
    <t>OWENS CROSS ROADS</t>
  </si>
  <si>
    <t>FLORALA</t>
  </si>
  <si>
    <t>AUBURN</t>
  </si>
  <si>
    <t>COLUMBIANA</t>
  </si>
  <si>
    <t>DEATSVILLE</t>
  </si>
  <si>
    <t>HOOVER</t>
  </si>
  <si>
    <t>PALMER</t>
  </si>
  <si>
    <t>SOLDOTNA</t>
  </si>
  <si>
    <t>KETCHIKAN</t>
  </si>
  <si>
    <t>ANCHORAGE</t>
  </si>
  <si>
    <t>FAIRBANKS</t>
  </si>
  <si>
    <t>JUNEAU</t>
  </si>
  <si>
    <t>SITKA</t>
  </si>
  <si>
    <t>TUBA CITY</t>
  </si>
  <si>
    <t>PHOENIX</t>
  </si>
  <si>
    <t>TUCSON</t>
  </si>
  <si>
    <t>SCOTTSDALE</t>
  </si>
  <si>
    <t>MESA</t>
  </si>
  <si>
    <t>GREEN VALLEY</t>
  </si>
  <si>
    <t>TEMPE</t>
  </si>
  <si>
    <t>SIERRA VISTA</t>
  </si>
  <si>
    <t>FLAGSTAFF</t>
  </si>
  <si>
    <t>GLENDALE</t>
  </si>
  <si>
    <t>COTTONWOOD</t>
  </si>
  <si>
    <t>SEDONA</t>
  </si>
  <si>
    <t>CHANDLER</t>
  </si>
  <si>
    <t>YUMA</t>
  </si>
  <si>
    <t>BULLHEAD CITY</t>
  </si>
  <si>
    <t>LAKE HAVASU CITY</t>
  </si>
  <si>
    <t>SUN CITY WEST</t>
  </si>
  <si>
    <t>PEORIA</t>
  </si>
  <si>
    <t>APACHE JUNCTION</t>
  </si>
  <si>
    <t>PRESCOTT</t>
  </si>
  <si>
    <t>PAYSON</t>
  </si>
  <si>
    <t>CAMP VERDE</t>
  </si>
  <si>
    <t>SUN CITY</t>
  </si>
  <si>
    <t>YOUNGTOWN</t>
  </si>
  <si>
    <t>SHOW LOW</t>
  </si>
  <si>
    <t>GLOBE</t>
  </si>
  <si>
    <t>AVONDALE</t>
  </si>
  <si>
    <t>KINGMAN</t>
  </si>
  <si>
    <t>SAFFORD</t>
  </si>
  <si>
    <t>DOUGLAS</t>
  </si>
  <si>
    <t>BENSON</t>
  </si>
  <si>
    <t>SACATON</t>
  </si>
  <si>
    <t>SURPRISE</t>
  </si>
  <si>
    <t>PRESCOTT VALLEY</t>
  </si>
  <si>
    <t>WINSLOW</t>
  </si>
  <si>
    <t>GOODYEAR</t>
  </si>
  <si>
    <t>EAST FLAGSTAFF</t>
  </si>
  <si>
    <t>FOUNTAIN HILLS</t>
  </si>
  <si>
    <t>SELLS</t>
  </si>
  <si>
    <t>LITCHFIELD PARK</t>
  </si>
  <si>
    <t>CASA GRANDE</t>
  </si>
  <si>
    <t>LAKESIDE</t>
  </si>
  <si>
    <t>GILBERT</t>
  </si>
  <si>
    <t>ORO VALLEY</t>
  </si>
  <si>
    <t>DANVILLE</t>
  </si>
  <si>
    <t>MENA</t>
  </si>
  <si>
    <t>FORREST CITY</t>
  </si>
  <si>
    <t>PARAGOULD</t>
  </si>
  <si>
    <t>POCAHONTAS</t>
  </si>
  <si>
    <t>MONTICELLO</t>
  </si>
  <si>
    <t>MAGNOLIA</t>
  </si>
  <si>
    <t>STUTTGART</t>
  </si>
  <si>
    <t>ROGERS</t>
  </si>
  <si>
    <t>HOT SPRINGS</t>
  </si>
  <si>
    <t>FAYETTEVILLE</t>
  </si>
  <si>
    <t>JONESBORO</t>
  </si>
  <si>
    <t>VAN BUREN</t>
  </si>
  <si>
    <t>MCGEHEE</t>
  </si>
  <si>
    <t>SEARCY</t>
  </si>
  <si>
    <t>BELLA VISTA</t>
  </si>
  <si>
    <t>HORSESHOE BEND</t>
  </si>
  <si>
    <t>BATESVILLE</t>
  </si>
  <si>
    <t>MOUNTAIN VIEW</t>
  </si>
  <si>
    <t>MORRILTON</t>
  </si>
  <si>
    <t>CAVE CITY</t>
  </si>
  <si>
    <t>WALNUT RIDGE</t>
  </si>
  <si>
    <t>FAIRFIELD BAY</t>
  </si>
  <si>
    <t>ASH FLAT</t>
  </si>
  <si>
    <t>WYNNE</t>
  </si>
  <si>
    <t>HEBER SPRINGS</t>
  </si>
  <si>
    <t>MOUNTAIN HOME</t>
  </si>
  <si>
    <t>STAR CITY</t>
  </si>
  <si>
    <t>SPRINGDALE</t>
  </si>
  <si>
    <t>CLARKSVILLE</t>
  </si>
  <si>
    <t>DERMOTT</t>
  </si>
  <si>
    <t>DE WITT</t>
  </si>
  <si>
    <t>PIGGOTT</t>
  </si>
  <si>
    <t>NASHVILLE</t>
  </si>
  <si>
    <t>EL DORADO</t>
  </si>
  <si>
    <t>CONWAY</t>
  </si>
  <si>
    <t>LAKE VILLAGE</t>
  </si>
  <si>
    <t>CROSSETT</t>
  </si>
  <si>
    <t>HOT SPRINGS VILLAGE</t>
  </si>
  <si>
    <t>HARRISON</t>
  </si>
  <si>
    <t>TEXARKANA</t>
  </si>
  <si>
    <t>WEST MEMPHIS</t>
  </si>
  <si>
    <t>LITTLE ROCK</t>
  </si>
  <si>
    <t>BENTON</t>
  </si>
  <si>
    <t>WARREN</t>
  </si>
  <si>
    <t>NORTH LITTLE ROCK</t>
  </si>
  <si>
    <t>CABOT</t>
  </si>
  <si>
    <t>ARKADELPHIA</t>
  </si>
  <si>
    <t>GASSVILLE</t>
  </si>
  <si>
    <t>HELENA</t>
  </si>
  <si>
    <t>MCCRORY</t>
  </si>
  <si>
    <t>ASHDOWN</t>
  </si>
  <si>
    <t>HAZEN</t>
  </si>
  <si>
    <t>STAMPS</t>
  </si>
  <si>
    <t>DES ARC</t>
  </si>
  <si>
    <t>EUREKA SPRINGS</t>
  </si>
  <si>
    <t>PERRYVILLE</t>
  </si>
  <si>
    <t>SALEM</t>
  </si>
  <si>
    <t>SHERIDAN</t>
  </si>
  <si>
    <t>MOUNT IDA</t>
  </si>
  <si>
    <t>FORT SMITH</t>
  </si>
  <si>
    <t>MALVERN</t>
  </si>
  <si>
    <t>PINE BLUFF</t>
  </si>
  <si>
    <t>FLIPPIN</t>
  </si>
  <si>
    <t>DE QUEEN</t>
  </si>
  <si>
    <t>LONOKE</t>
  </si>
  <si>
    <t>DARDANELLE</t>
  </si>
  <si>
    <t>BERRYVILLE</t>
  </si>
  <si>
    <t>MANILA</t>
  </si>
  <si>
    <t>PARIS</t>
  </si>
  <si>
    <t>BOONEVILLE</t>
  </si>
  <si>
    <t>BEEBE</t>
  </si>
  <si>
    <t>BRYANT</t>
  </si>
  <si>
    <t>MONETTE</t>
  </si>
  <si>
    <t>LAKE CITY</t>
  </si>
  <si>
    <t>CARLISLE</t>
  </si>
  <si>
    <t>MELBOURNE</t>
  </si>
  <si>
    <t>NEWPORT</t>
  </si>
  <si>
    <t>TRUMANN</t>
  </si>
  <si>
    <t>HOPE</t>
  </si>
  <si>
    <t>ATKINS</t>
  </si>
  <si>
    <t>DIERKS</t>
  </si>
  <si>
    <t>MARSHALL</t>
  </si>
  <si>
    <t>SILOAM SPRINGS</t>
  </si>
  <si>
    <t>BENTONVILLE</t>
  </si>
  <si>
    <t>BLYTHEVILLE</t>
  </si>
  <si>
    <t>ALMA</t>
  </si>
  <si>
    <t>WHITE HALL</t>
  </si>
  <si>
    <t>SHERWOOD</t>
  </si>
  <si>
    <t>RISON</t>
  </si>
  <si>
    <t>GREENBRIER</t>
  </si>
  <si>
    <t>WALDRON</t>
  </si>
  <si>
    <t>HARRISBURG</t>
  </si>
  <si>
    <t>MARKED TREE</t>
  </si>
  <si>
    <t>RECTOR</t>
  </si>
  <si>
    <t>FORDYCE</t>
  </si>
  <si>
    <t>CALICO ROCK</t>
  </si>
  <si>
    <t>GLENWOOD</t>
  </si>
  <si>
    <t>PRAIRIE GROVE</t>
  </si>
  <si>
    <t>TAYLOR</t>
  </si>
  <si>
    <t>CLINTON</t>
  </si>
  <si>
    <t>JUDSONIA</t>
  </si>
  <si>
    <t>BARLING</t>
  </si>
  <si>
    <t>MAUMELLE</t>
  </si>
  <si>
    <t>COLLEGE STATION</t>
  </si>
  <si>
    <t>BRINKLEY</t>
  </si>
  <si>
    <t>CORNING</t>
  </si>
  <si>
    <t>GOSNELL</t>
  </si>
  <si>
    <t>OSCEOLA</t>
  </si>
  <si>
    <t>ENGLAND</t>
  </si>
  <si>
    <t>CHARLESTON</t>
  </si>
  <si>
    <t>OLA</t>
  </si>
  <si>
    <t>MARIANNA</t>
  </si>
  <si>
    <t>YELLVILLE</t>
  </si>
  <si>
    <t>KING CITY</t>
  </si>
  <si>
    <t>SONORA</t>
  </si>
  <si>
    <t>COLUSA</t>
  </si>
  <si>
    <t>REDLANDS</t>
  </si>
  <si>
    <t>LAKE VIEW TERRACE</t>
  </si>
  <si>
    <t>EUREKA</t>
  </si>
  <si>
    <t>MODESTO</t>
  </si>
  <si>
    <t>RESEDA</t>
  </si>
  <si>
    <t>FAIRFIELD</t>
  </si>
  <si>
    <t>POMONA</t>
  </si>
  <si>
    <t>SANTA CRUZ</t>
  </si>
  <si>
    <t>NEWBURY PARK</t>
  </si>
  <si>
    <t>LOS BANOS</t>
  </si>
  <si>
    <t>TORRANCE</t>
  </si>
  <si>
    <t>LOS ANGELES</t>
  </si>
  <si>
    <t>STOCKTON</t>
  </si>
  <si>
    <t>LONG BEACH</t>
  </si>
  <si>
    <t>RIVERSIDE</t>
  </si>
  <si>
    <t>PICO RIVERA</t>
  </si>
  <si>
    <t>CHOWCHILLA</t>
  </si>
  <si>
    <t>PLEASANT HILL</t>
  </si>
  <si>
    <t>LYNWOOD</t>
  </si>
  <si>
    <t>SAN GABRIEL</t>
  </si>
  <si>
    <t>EL CAJON</t>
  </si>
  <si>
    <t>ESCONDIDO</t>
  </si>
  <si>
    <t>SAN PEDRO</t>
  </si>
  <si>
    <t>GARDENA</t>
  </si>
  <si>
    <t>CORONADO</t>
  </si>
  <si>
    <t>VICTORVILLE</t>
  </si>
  <si>
    <t>LA MESA</t>
  </si>
  <si>
    <t>SAN LUIS OBISPO</t>
  </si>
  <si>
    <t>RIVERBANK</t>
  </si>
  <si>
    <t>MORAGA</t>
  </si>
  <si>
    <t>YUBA CITY</t>
  </si>
  <si>
    <t>GREENBRAE</t>
  </si>
  <si>
    <t>SAN PABLO</t>
  </si>
  <si>
    <t>EL MONTE</t>
  </si>
  <si>
    <t>SAN LEANDRO</t>
  </si>
  <si>
    <t>PACIFICA</t>
  </si>
  <si>
    <t>NEWPORT BEACH</t>
  </si>
  <si>
    <t>GRAND TERRACE</t>
  </si>
  <si>
    <t>SANTA MONICA</t>
  </si>
  <si>
    <t>DUARTE</t>
  </si>
  <si>
    <t>GRANADA HILLS</t>
  </si>
  <si>
    <t>TUJUNGA</t>
  </si>
  <si>
    <t>MADERA</t>
  </si>
  <si>
    <t>CONCORD</t>
  </si>
  <si>
    <t>MONTEBELLO</t>
  </si>
  <si>
    <t>OAKLAND</t>
  </si>
  <si>
    <t>MONTEREY PARK</t>
  </si>
  <si>
    <t>WHITTIER</t>
  </si>
  <si>
    <t>SAN FRANCISCO</t>
  </si>
  <si>
    <t>FOLSOM</t>
  </si>
  <si>
    <t>ROSEMEAD</t>
  </si>
  <si>
    <t>LEMON GROVE</t>
  </si>
  <si>
    <t>LOMA LINDA</t>
  </si>
  <si>
    <t>BALDWIN PARK</t>
  </si>
  <si>
    <t>SAN MATEO</t>
  </si>
  <si>
    <t>NORTH HOLLYWOOD</t>
  </si>
  <si>
    <t>CULVER CITY</t>
  </si>
  <si>
    <t>FRESNO</t>
  </si>
  <si>
    <t>ALHAMBRA</t>
  </si>
  <si>
    <t>SANTA ANA</t>
  </si>
  <si>
    <t>LOS ALTOS</t>
  </si>
  <si>
    <t>SUNNYVALE</t>
  </si>
  <si>
    <t>LIVERMORE</t>
  </si>
  <si>
    <t>RIALTO</t>
  </si>
  <si>
    <t>VALLEJO</t>
  </si>
  <si>
    <t>HEMET</t>
  </si>
  <si>
    <t>COSTA MESA</t>
  </si>
  <si>
    <t>CASTRO VALLEY</t>
  </si>
  <si>
    <t>WATSONVILLE</t>
  </si>
  <si>
    <t>LODI</t>
  </si>
  <si>
    <t>MERCED</t>
  </si>
  <si>
    <t>ORANGE</t>
  </si>
  <si>
    <t>CORONA</t>
  </si>
  <si>
    <t>LOMPOC</t>
  </si>
  <si>
    <t>CLAREMONT</t>
  </si>
  <si>
    <t>LOMITA</t>
  </si>
  <si>
    <t>SONOMA</t>
  </si>
  <si>
    <t>FREMONT</t>
  </si>
  <si>
    <t>SAN DIEGO</t>
  </si>
  <si>
    <t>N HOLLYWOOD</t>
  </si>
  <si>
    <t>RICHMOND</t>
  </si>
  <si>
    <t>TEMPLE CITY</t>
  </si>
  <si>
    <t>SACRAMENTO</t>
  </si>
  <si>
    <t>NORWALK</t>
  </si>
  <si>
    <t>FALLBROOK</t>
  </si>
  <si>
    <t>PACIFIC GROVE</t>
  </si>
  <si>
    <t>LANCASTER</t>
  </si>
  <si>
    <t>ELK GROVE</t>
  </si>
  <si>
    <t>SAN RAFAEL</t>
  </si>
  <si>
    <t>SALINAS</t>
  </si>
  <si>
    <t>SAN JOSE</t>
  </si>
  <si>
    <t>OCEANSIDE</t>
  </si>
  <si>
    <t>HAYWARD</t>
  </si>
  <si>
    <t>PASADENA</t>
  </si>
  <si>
    <t>THOUSAND OAKS</t>
  </si>
  <si>
    <t>CHULA VISTA</t>
  </si>
  <si>
    <t>MONROVIA</t>
  </si>
  <si>
    <t>UPLAND</t>
  </si>
  <si>
    <t>ARCADIA</t>
  </si>
  <si>
    <t>CARMICHAEL</t>
  </si>
  <si>
    <t>CUPERTINO</t>
  </si>
  <si>
    <t>HANFORD</t>
  </si>
  <si>
    <t>VACAVILLE</t>
  </si>
  <si>
    <t>SARATOGA</t>
  </si>
  <si>
    <t>WOODLAND</t>
  </si>
  <si>
    <t>WEST HILLS</t>
  </si>
  <si>
    <t>DINUBA</t>
  </si>
  <si>
    <t>COVINA</t>
  </si>
  <si>
    <t>FOWLER</t>
  </si>
  <si>
    <t>ANAHEIM</t>
  </si>
  <si>
    <t>HOLLISTER</t>
  </si>
  <si>
    <t>PORTOLA VALLEY</t>
  </si>
  <si>
    <t>TURLOCK</t>
  </si>
  <si>
    <t>SEBASTOPOL</t>
  </si>
  <si>
    <t>RED BLUFF</t>
  </si>
  <si>
    <t>ROSEVILLE</t>
  </si>
  <si>
    <t>PARADISE</t>
  </si>
  <si>
    <t>PLACERVILLE</t>
  </si>
  <si>
    <t>LAKEPORT</t>
  </si>
  <si>
    <t>REDDING</t>
  </si>
  <si>
    <t>GRASS VALLEY</t>
  </si>
  <si>
    <t>CHICO</t>
  </si>
  <si>
    <t>LOS GATOS</t>
  </si>
  <si>
    <t>DOWNEY</t>
  </si>
  <si>
    <t>INGLEWOOD</t>
  </si>
  <si>
    <t>ARTESIA</t>
  </si>
  <si>
    <t>PORTERVILLE</t>
  </si>
  <si>
    <t>YUCAIPA</t>
  </si>
  <si>
    <t>SANTA MARIA</t>
  </si>
  <si>
    <t>SAN BERNARDINO</t>
  </si>
  <si>
    <t>VENTURA</t>
  </si>
  <si>
    <t>FULLERTON</t>
  </si>
  <si>
    <t>BUENA PARK</t>
  </si>
  <si>
    <t>KINGSBURG</t>
  </si>
  <si>
    <t>GARDEN GROVE</t>
  </si>
  <si>
    <t>CAPISTRANO BEACH</t>
  </si>
  <si>
    <t>OXNARD</t>
  </si>
  <si>
    <t>SAN JACINTO</t>
  </si>
  <si>
    <t>BAKERSFIELD</t>
  </si>
  <si>
    <t>VISALIA</t>
  </si>
  <si>
    <t>OROVILLE</t>
  </si>
  <si>
    <t>ONTARIO</t>
  </si>
  <si>
    <t>LA HABRA</t>
  </si>
  <si>
    <t>SANTA CLARA</t>
  </si>
  <si>
    <t>PALO ALTO</t>
  </si>
  <si>
    <t>TULARE</t>
  </si>
  <si>
    <t>RIPON</t>
  </si>
  <si>
    <t>PITTSBURG</t>
  </si>
  <si>
    <t>SANTA BARBARA</t>
  </si>
  <si>
    <t>SPRING VALLEY</t>
  </si>
  <si>
    <t>BERKELEY</t>
  </si>
  <si>
    <t>MONTCLAIR</t>
  </si>
  <si>
    <t>NEWHALL</t>
  </si>
  <si>
    <t>UKIAH</t>
  </si>
  <si>
    <t>LA MIRADA</t>
  </si>
  <si>
    <t>CLOVERDALE</t>
  </si>
  <si>
    <t>ENCINITAS</t>
  </si>
  <si>
    <t>ORINDA</t>
  </si>
  <si>
    <t>GILROY</t>
  </si>
  <si>
    <t>REEDLEY</t>
  </si>
  <si>
    <t>WEED</t>
  </si>
  <si>
    <t>NEWMAN</t>
  </si>
  <si>
    <t>SANTA ROSA</t>
  </si>
  <si>
    <t>SUNLAND</t>
  </si>
  <si>
    <t>GALT</t>
  </si>
  <si>
    <t>OJAI</t>
  </si>
  <si>
    <t>FONTANA</t>
  </si>
  <si>
    <t>WEST SACRAMENTO</t>
  </si>
  <si>
    <t>HUNTINGTON BEACH</t>
  </si>
  <si>
    <t>MANTECA</t>
  </si>
  <si>
    <t>BELLFLOWER</t>
  </si>
  <si>
    <t>DAVIS</t>
  </si>
  <si>
    <t>CERES</t>
  </si>
  <si>
    <t>NATIONAL CITY</t>
  </si>
  <si>
    <t>SANTA PAULA</t>
  </si>
  <si>
    <t>LA CRESCENTA</t>
  </si>
  <si>
    <t>MONTEREY</t>
  </si>
  <si>
    <t>DALY CITY</t>
  </si>
  <si>
    <t>WEST COVINA</t>
  </si>
  <si>
    <t>SEAL BEACH</t>
  </si>
  <si>
    <t>LA JOLLA</t>
  </si>
  <si>
    <t>ANTIOCH</t>
  </si>
  <si>
    <t>HIGHLAND</t>
  </si>
  <si>
    <t>SHAFTER</t>
  </si>
  <si>
    <t>MORGAN HILL</t>
  </si>
  <si>
    <t>CAPITOLA</t>
  </si>
  <si>
    <t>PETALUMA</t>
  </si>
  <si>
    <t>GLENDORA</t>
  </si>
  <si>
    <t>LA VERNE</t>
  </si>
  <si>
    <t>SYLMAR</t>
  </si>
  <si>
    <t>CANOGA PARK</t>
  </si>
  <si>
    <t>SANGER</t>
  </si>
  <si>
    <t>ALAMEDA</t>
  </si>
  <si>
    <t>LAGUNA HILLS</t>
  </si>
  <si>
    <t>MILLBRAE</t>
  </si>
  <si>
    <t>TARZANA</t>
  </si>
  <si>
    <t>BURBANK</t>
  </si>
  <si>
    <t>SAN ANDREAS</t>
  </si>
  <si>
    <t>PANORAMA CITY</t>
  </si>
  <si>
    <t>HUNTINGTON PARK</t>
  </si>
  <si>
    <t>VAN NUYS</t>
  </si>
  <si>
    <t>NAPA</t>
  </si>
  <si>
    <t>OAKDALE</t>
  </si>
  <si>
    <t>PARAMOUNT</t>
  </si>
  <si>
    <t>LOS ALAMITOS</t>
  </si>
  <si>
    <t>PERRIS</t>
  </si>
  <si>
    <t>WALNUT CREEK</t>
  </si>
  <si>
    <t>WILLITS</t>
  </si>
  <si>
    <t>BELL</t>
  </si>
  <si>
    <t>BELL GARDENS</t>
  </si>
  <si>
    <t>PALM SPRINGS</t>
  </si>
  <si>
    <t>SUSANVILLE</t>
  </si>
  <si>
    <t>SHERMAN OAKS</t>
  </si>
  <si>
    <t>QUINCY</t>
  </si>
  <si>
    <t>HAWTHORNE</t>
  </si>
  <si>
    <t>WESTMINSTER</t>
  </si>
  <si>
    <t>SAN DIMAS</t>
  </si>
  <si>
    <t>CRESCENT CITY</t>
  </si>
  <si>
    <t>CLOVIS</t>
  </si>
  <si>
    <t>CHATSWORTH</t>
  </si>
  <si>
    <t>SOLVANG</t>
  </si>
  <si>
    <t>FORTUNA</t>
  </si>
  <si>
    <t>NORTH HILLS</t>
  </si>
  <si>
    <t>PLEASANTON</t>
  </si>
  <si>
    <t>DELANO</t>
  </si>
  <si>
    <t>EL SOBRANTE</t>
  </si>
  <si>
    <t>SOUTH GATE</t>
  </si>
  <si>
    <t>FORT BRAGG</t>
  </si>
  <si>
    <t>RANCHO CORDOVA</t>
  </si>
  <si>
    <t>CARLSBAD</t>
  </si>
  <si>
    <t>ALAMOSA</t>
  </si>
  <si>
    <t>CANON CITY</t>
  </si>
  <si>
    <t>FORT MORGAN</t>
  </si>
  <si>
    <t>STEAMBOAT SPRINGS</t>
  </si>
  <si>
    <t>FRISCO</t>
  </si>
  <si>
    <t>AURORA</t>
  </si>
  <si>
    <t>DENVER</t>
  </si>
  <si>
    <t>WHEAT RIDGE</t>
  </si>
  <si>
    <t>BOULDER</t>
  </si>
  <si>
    <t>ENGLEWOOD</t>
  </si>
  <si>
    <t>COLORADO SPRINGS</t>
  </si>
  <si>
    <t>LAKEWOOD</t>
  </si>
  <si>
    <t>GREELEY</t>
  </si>
  <si>
    <t>PUEBLO</t>
  </si>
  <si>
    <t>THORNTON</t>
  </si>
  <si>
    <t>GRAND JUNCTION</t>
  </si>
  <si>
    <t>LOVELAND</t>
  </si>
  <si>
    <t>FORT COLLINS</t>
  </si>
  <si>
    <t>GUNNISON</t>
  </si>
  <si>
    <t>STERLING</t>
  </si>
  <si>
    <t>CORTEZ</t>
  </si>
  <si>
    <t>BRUSH</t>
  </si>
  <si>
    <t>ESTES PARK</t>
  </si>
  <si>
    <t>MORRISON</t>
  </si>
  <si>
    <t>LONGMONT</t>
  </si>
  <si>
    <t>NORTHGLENN</t>
  </si>
  <si>
    <t>LITTLETON</t>
  </si>
  <si>
    <t>LA JUNTA</t>
  </si>
  <si>
    <t>SALIDA</t>
  </si>
  <si>
    <t>PALISADE</t>
  </si>
  <si>
    <t>ROCKY FORD</t>
  </si>
  <si>
    <t>CARBONDALE</t>
  </si>
  <si>
    <t>BRIGHTON</t>
  </si>
  <si>
    <t>DURANGO</t>
  </si>
  <si>
    <t>GLENWOOD SPRINGS</t>
  </si>
  <si>
    <t>DELTA</t>
  </si>
  <si>
    <t>PAONIA</t>
  </si>
  <si>
    <t>ECKERT</t>
  </si>
  <si>
    <t>BERTHOUD</t>
  </si>
  <si>
    <t>WINDSOR</t>
  </si>
  <si>
    <t>COMMERCE CITY</t>
  </si>
  <si>
    <t>BURLINGTON</t>
  </si>
  <si>
    <t>CASTLE ROCK</t>
  </si>
  <si>
    <t>MONTE VISTA</t>
  </si>
  <si>
    <t>LAMAR</t>
  </si>
  <si>
    <t>HOLYOKE</t>
  </si>
  <si>
    <t>MANCOS</t>
  </si>
  <si>
    <t>AKRON</t>
  </si>
  <si>
    <t>ORDWAY</t>
  </si>
  <si>
    <t>WRAY</t>
  </si>
  <si>
    <t>ARVADA</t>
  </si>
  <si>
    <t>CRIPPLE CREEK</t>
  </si>
  <si>
    <t>CENTENNIAL</t>
  </si>
  <si>
    <t>HOLLY</t>
  </si>
  <si>
    <t>OLATHE</t>
  </si>
  <si>
    <t>LAS ANIMAS</t>
  </si>
  <si>
    <t>PAGOSA SPRINGS</t>
  </si>
  <si>
    <t>GREENWOOD VILLAGE</t>
  </si>
  <si>
    <t>BROOMFIELD</t>
  </si>
  <si>
    <t>RIFLE</t>
  </si>
  <si>
    <t>CRAIG</t>
  </si>
  <si>
    <t>TRINIDAD</t>
  </si>
  <si>
    <t>HIGHLANDS RANCH</t>
  </si>
  <si>
    <t>LA JARA</t>
  </si>
  <si>
    <t>PARKER</t>
  </si>
  <si>
    <t>TRUMBULL</t>
  </si>
  <si>
    <t>MANCHESTER</t>
  </si>
  <si>
    <t>NORTH HAVEN</t>
  </si>
  <si>
    <t>CHESTER</t>
  </si>
  <si>
    <t>DANBURY</t>
  </si>
  <si>
    <t>PLAINVILLE</t>
  </si>
  <si>
    <t>SHELTON</t>
  </si>
  <si>
    <t>ENFIELD</t>
  </si>
  <si>
    <t>WALLINGFORD</t>
  </si>
  <si>
    <t>DERBY</t>
  </si>
  <si>
    <t>GLASTONBURY</t>
  </si>
  <si>
    <t>STAMFORD</t>
  </si>
  <si>
    <t>MILFORD</t>
  </si>
  <si>
    <t>GREENWICH</t>
  </si>
  <si>
    <t>OLD SAYBROOK</t>
  </si>
  <si>
    <t>DAYVILLE</t>
  </si>
  <si>
    <t>NORWICH</t>
  </si>
  <si>
    <t>WEST HARTFORD</t>
  </si>
  <si>
    <t>PLAINFIELD</t>
  </si>
  <si>
    <t>MIDDLETOWN</t>
  </si>
  <si>
    <t>WATERBURY</t>
  </si>
  <si>
    <t>TORRINGTON</t>
  </si>
  <si>
    <t>WATERFORD</t>
  </si>
  <si>
    <t>BLOOMFIELD</t>
  </si>
  <si>
    <t>GUILFORD</t>
  </si>
  <si>
    <t>MIDDLEBURY</t>
  </si>
  <si>
    <t>WATERTOWN</t>
  </si>
  <si>
    <t>NEW BRITAIN</t>
  </si>
  <si>
    <t>ROCKVILLE</t>
  </si>
  <si>
    <t>MERIDEN</t>
  </si>
  <si>
    <t>NEW LONDON</t>
  </si>
  <si>
    <t>FORESTVILLE</t>
  </si>
  <si>
    <t>SOUTHPORT</t>
  </si>
  <si>
    <t>WEST HAVEN</t>
  </si>
  <si>
    <t>CANAAN</t>
  </si>
  <si>
    <t>EAST HARTFORD</t>
  </si>
  <si>
    <t>PROSPECT</t>
  </si>
  <si>
    <t>NEW MILFORD</t>
  </si>
  <si>
    <t>ROCKY HILL</t>
  </si>
  <si>
    <t>PORTLAND</t>
  </si>
  <si>
    <t>SIMSBURY</t>
  </si>
  <si>
    <t>BRISTOL</t>
  </si>
  <si>
    <t>CHESHIRE</t>
  </si>
  <si>
    <t>HAMDEN</t>
  </si>
  <si>
    <t>KENSINGTON</t>
  </si>
  <si>
    <t>COLCHESTER</t>
  </si>
  <si>
    <t>COBALT</t>
  </si>
  <si>
    <t>SALISBURY</t>
  </si>
  <si>
    <t>NAUGATUCK</t>
  </si>
  <si>
    <t>SOUTHBURY</t>
  </si>
  <si>
    <t>BROOKLYN</t>
  </si>
  <si>
    <t>AVON</t>
  </si>
  <si>
    <t>FARMINGTON</t>
  </si>
  <si>
    <t>WINDHAM</t>
  </si>
  <si>
    <t>CROMWELL</t>
  </si>
  <si>
    <t>GROTON</t>
  </si>
  <si>
    <t>MYSTIC</t>
  </si>
  <si>
    <t>NEW HAVEN</t>
  </si>
  <si>
    <t>WESTPORT</t>
  </si>
  <si>
    <t>WOLCOTT</t>
  </si>
  <si>
    <t>NEWINGTON</t>
  </si>
  <si>
    <t>EAST HAVEN</t>
  </si>
  <si>
    <t>BRANFORD</t>
  </si>
  <si>
    <t>MOODUS</t>
  </si>
  <si>
    <t>WILTON</t>
  </si>
  <si>
    <t>ESSEX</t>
  </si>
  <si>
    <t>STAFFORD SPRINGS</t>
  </si>
  <si>
    <t>WOODBRIDGE</t>
  </si>
  <si>
    <t>SOUTHINGTON</t>
  </si>
  <si>
    <t>STRATFORD</t>
  </si>
  <si>
    <t>LITCHFIELD</t>
  </si>
  <si>
    <t>SUFFIELD</t>
  </si>
  <si>
    <t>PLYMOUTH</t>
  </si>
  <si>
    <t>NEWTOWN</t>
  </si>
  <si>
    <t>WINDSOR LOCKS</t>
  </si>
  <si>
    <t>EAST WINDSOR</t>
  </si>
  <si>
    <t>NEW CANAAN</t>
  </si>
  <si>
    <t>NORTH BRANFORD</t>
  </si>
  <si>
    <t>GRANBY</t>
  </si>
  <si>
    <t>NIANTIC</t>
  </si>
  <si>
    <t>PLANTSVILLE</t>
  </si>
  <si>
    <t>SHARON</t>
  </si>
  <si>
    <t>TOLLAND</t>
  </si>
  <si>
    <t>MARLBOROUGH</t>
  </si>
  <si>
    <t>SEYMOUR</t>
  </si>
  <si>
    <t>KENT</t>
  </si>
  <si>
    <t>RIDGEFIELD</t>
  </si>
  <si>
    <t>BETHEL</t>
  </si>
  <si>
    <t>MANSFIELD</t>
  </si>
  <si>
    <t>PUTNAM</t>
  </si>
  <si>
    <t>SOUTH WINDSOR</t>
  </si>
  <si>
    <t>DANIELSON</t>
  </si>
  <si>
    <t>WILLIMANTIC</t>
  </si>
  <si>
    <t>WEST REDDING</t>
  </si>
  <si>
    <t>DURHAM</t>
  </si>
  <si>
    <t>UNCASVILLE</t>
  </si>
  <si>
    <t>WILMINGTON</t>
  </si>
  <si>
    <t>HOCKESSIN</t>
  </si>
  <si>
    <t>SEAFORD</t>
  </si>
  <si>
    <t>DOVER</t>
  </si>
  <si>
    <t>SMYRNA</t>
  </si>
  <si>
    <t>NEWARK</t>
  </si>
  <si>
    <t>GEORGETOWN</t>
  </si>
  <si>
    <t>LEWES</t>
  </si>
  <si>
    <t>MILLSBORO</t>
  </si>
  <si>
    <t>NEW CASTLE</t>
  </si>
  <si>
    <t>DELMAR</t>
  </si>
  <si>
    <t>WASHINGTON</t>
  </si>
  <si>
    <t>JAY</t>
  </si>
  <si>
    <t>DEFUNIAK SPRINGS</t>
  </si>
  <si>
    <t>PERRY</t>
  </si>
  <si>
    <t>PORT SAINT JOE</t>
  </si>
  <si>
    <t>EUSTIS</t>
  </si>
  <si>
    <t>DAYTONA BEACH</t>
  </si>
  <si>
    <t>MIAMI</t>
  </si>
  <si>
    <t>NORTH MIAMI</t>
  </si>
  <si>
    <t>HOLLYWOOD</t>
  </si>
  <si>
    <t>SOUTH PASADENA</t>
  </si>
  <si>
    <t>PLANT CITY</t>
  </si>
  <si>
    <t>SEBRING</t>
  </si>
  <si>
    <t>NEW SMYRNA BEACH</t>
  </si>
  <si>
    <t>WEST PALM BEACH</t>
  </si>
  <si>
    <t>BRADENTON</t>
  </si>
  <si>
    <t>JUPITER</t>
  </si>
  <si>
    <t>SAINT PETERSBURG</t>
  </si>
  <si>
    <t>BOYNTON BEACH</t>
  </si>
  <si>
    <t>FORT LAUDERDALE</t>
  </si>
  <si>
    <t>BOCA RATON</t>
  </si>
  <si>
    <t>WILTON MANORS</t>
  </si>
  <si>
    <t>NORTH MIAMI BEACH</t>
  </si>
  <si>
    <t>LAKE WORTH</t>
  </si>
  <si>
    <t>BELLEAIR</t>
  </si>
  <si>
    <t>DUNEDIN</t>
  </si>
  <si>
    <t>TAMPA</t>
  </si>
  <si>
    <t>DELAND</t>
  </si>
  <si>
    <t>SARASOTA</t>
  </si>
  <si>
    <t>CALLAWAY</t>
  </si>
  <si>
    <t>PANAMA CITY</t>
  </si>
  <si>
    <t>TALLAHASSEE</t>
  </si>
  <si>
    <t>NEW PORT RICHEY</t>
  </si>
  <si>
    <t>PLANTATION</t>
  </si>
  <si>
    <t>WINTER HAVEN</t>
  </si>
  <si>
    <t>NAPLES</t>
  </si>
  <si>
    <t>CRESTVIEW</t>
  </si>
  <si>
    <t>GAINESVILLE</t>
  </si>
  <si>
    <t>OCALA</t>
  </si>
  <si>
    <t>MACCLENNY</t>
  </si>
  <si>
    <t>MIAMI BEACH</t>
  </si>
  <si>
    <t>FORT MYERS</t>
  </si>
  <si>
    <t>LARGO</t>
  </si>
  <si>
    <t>ROCKLEDGE</t>
  </si>
  <si>
    <t>CUTLER BAY</t>
  </si>
  <si>
    <t>POMPANO BEACH</t>
  </si>
  <si>
    <t>FORT PIERCE</t>
  </si>
  <si>
    <t>FORT WALTON BEACH</t>
  </si>
  <si>
    <t>PENSACOLA</t>
  </si>
  <si>
    <t>LAKE WALES</t>
  </si>
  <si>
    <t>GULFPORT</t>
  </si>
  <si>
    <t>CLEARWATER</t>
  </si>
  <si>
    <t>STUART</t>
  </si>
  <si>
    <t>TARPON SPRINGS</t>
  </si>
  <si>
    <t>CRAWFORDVILLE</t>
  </si>
  <si>
    <t>LAKELAND</t>
  </si>
  <si>
    <t>BARTOW</t>
  </si>
  <si>
    <t>PUNTA GORDA</t>
  </si>
  <si>
    <t>DANIA BEACH</t>
  </si>
  <si>
    <t>BROOKSVILLE</t>
  </si>
  <si>
    <t>HOBE SOUND</t>
  </si>
  <si>
    <t>AUBURNDALE</t>
  </si>
  <si>
    <t>LEESBURG</t>
  </si>
  <si>
    <t>WINTER PARK</t>
  </si>
  <si>
    <t>INVERNESS</t>
  </si>
  <si>
    <t>ORMOND BEACH</t>
  </si>
  <si>
    <t>SAINT AUGUSTINE</t>
  </si>
  <si>
    <t>CRYSTAL RIVER</t>
  </si>
  <si>
    <t>SUN CITY CENTER</t>
  </si>
  <si>
    <t>DADE CITY</t>
  </si>
  <si>
    <t>MERRITT ISLAND</t>
  </si>
  <si>
    <t>MILTON</t>
  </si>
  <si>
    <t>MOUNT DORA</t>
  </si>
  <si>
    <t>DELRAY BEACH</t>
  </si>
  <si>
    <t>LAUDERDALE LAKES</t>
  </si>
  <si>
    <t>CAPE CORAL</t>
  </si>
  <si>
    <t>APOPKA</t>
  </si>
  <si>
    <t>MIAMI SPRINGS</t>
  </si>
  <si>
    <t>TAMARAC</t>
  </si>
  <si>
    <t>WAUCHULA</t>
  </si>
  <si>
    <t>PORT CHARLOTTE</t>
  </si>
  <si>
    <t>ALTAMONTE SPRINGS</t>
  </si>
  <si>
    <t>ORANGE CITY</t>
  </si>
  <si>
    <t>WEST MELBOURNE</t>
  </si>
  <si>
    <t>LONGWOOD</t>
  </si>
  <si>
    <t>PALM HARBOR</t>
  </si>
  <si>
    <t>KISSIMMEE</t>
  </si>
  <si>
    <t>ORANGE PARK</t>
  </si>
  <si>
    <t>HUDSON</t>
  </si>
  <si>
    <t>SPRING HILL</t>
  </si>
  <si>
    <t>VERO BEACH</t>
  </si>
  <si>
    <t>TRENTON</t>
  </si>
  <si>
    <t>JUNO BEACH</t>
  </si>
  <si>
    <t>NORTH BAY VILLAGE</t>
  </si>
  <si>
    <t>PORT SAINT LUCIE</t>
  </si>
  <si>
    <t>SEMINOLE</t>
  </si>
  <si>
    <t>OLDSMAR</t>
  </si>
  <si>
    <t>PINELLAS PARK</t>
  </si>
  <si>
    <t>MAITLAND</t>
  </si>
  <si>
    <t>ORLANDO</t>
  </si>
  <si>
    <t>WINTER GARDEN</t>
  </si>
  <si>
    <t>SUNRISE</t>
  </si>
  <si>
    <t>HAINES CITY</t>
  </si>
  <si>
    <t>VENICE</t>
  </si>
  <si>
    <t>DELTONA</t>
  </si>
  <si>
    <t>TITUSVILLE</t>
  </si>
  <si>
    <t>LAKE PLACID</t>
  </si>
  <si>
    <t>LECANTO</t>
  </si>
  <si>
    <t>CLEWISTON</t>
  </si>
  <si>
    <t>PALM BAY</t>
  </si>
  <si>
    <t>WILLISTON</t>
  </si>
  <si>
    <t>FERNANDINA BEACH</t>
  </si>
  <si>
    <t>BLOUNTSTOWN</t>
  </si>
  <si>
    <t>OKEECHOBEE</t>
  </si>
  <si>
    <t>LANTANA</t>
  </si>
  <si>
    <t>GULF BREEZE</t>
  </si>
  <si>
    <t>STARKE</t>
  </si>
  <si>
    <t>ROYAL PALM BEACH</t>
  </si>
  <si>
    <t>HIALEAH</t>
  </si>
  <si>
    <t>CORAL SPRINGS</t>
  </si>
  <si>
    <t>MARGATE</t>
  </si>
  <si>
    <t>CLERMONT</t>
  </si>
  <si>
    <t>DEBARY</t>
  </si>
  <si>
    <t>BRANDON</t>
  </si>
  <si>
    <t>LEHIGH ACRES</t>
  </si>
  <si>
    <t>NORTH PORT</t>
  </si>
  <si>
    <t>HOLLY HILL</t>
  </si>
  <si>
    <t>SAINT CLOUD</t>
  </si>
  <si>
    <t>SANFORD</t>
  </si>
  <si>
    <t>HOMESTEAD</t>
  </si>
  <si>
    <t>BUNNELL</t>
  </si>
  <si>
    <t>SAFETY HARBOR</t>
  </si>
  <si>
    <t>HIALEAH GARDENS</t>
  </si>
  <si>
    <t>AVENTURA</t>
  </si>
  <si>
    <t>ZEPHYRHILLS</t>
  </si>
  <si>
    <t>MIRAMAR BEACH</t>
  </si>
  <si>
    <t>PALMETTO</t>
  </si>
  <si>
    <t>GREEN ACRES</t>
  </si>
  <si>
    <t>JACKSONVILLE BEACH</t>
  </si>
  <si>
    <t>BONIFAY</t>
  </si>
  <si>
    <t>PONTE VEDRA BEACH</t>
  </si>
  <si>
    <t>LAKE PARK</t>
  </si>
  <si>
    <t>KENDALL</t>
  </si>
  <si>
    <t>WILDWOOD</t>
  </si>
  <si>
    <t>PALATKA</t>
  </si>
  <si>
    <t>GRACEVILLE</t>
  </si>
  <si>
    <t>GREEN COVE SPRINGS</t>
  </si>
  <si>
    <t>SOUTH DAYTONA</t>
  </si>
  <si>
    <t>PEMBROKE PINES</t>
  </si>
  <si>
    <t>LAUDERHILL</t>
  </si>
  <si>
    <t>LABELLE</t>
  </si>
  <si>
    <t>DEERFIELD BEACH</t>
  </si>
  <si>
    <t>OCOEE</t>
  </si>
  <si>
    <t>CHIPLEY</t>
  </si>
  <si>
    <t>ATLANTIC BEACH</t>
  </si>
  <si>
    <t>HILLIARD</t>
  </si>
  <si>
    <t>PALM BEACH GARDENS</t>
  </si>
  <si>
    <t>PORT ORANGE</t>
  </si>
  <si>
    <t>DAVENPORT</t>
  </si>
  <si>
    <t>AVON PARK</t>
  </si>
  <si>
    <t>NICEVILLE</t>
  </si>
  <si>
    <t>PALM CITY</t>
  </si>
  <si>
    <t>RIVIERA BEACH</t>
  </si>
  <si>
    <t>CENTURY</t>
  </si>
  <si>
    <t>DESTIN</t>
  </si>
  <si>
    <t>WINTER SPRINGS</t>
  </si>
  <si>
    <t>VIERA</t>
  </si>
  <si>
    <t>PALM COAST</t>
  </si>
  <si>
    <t>MAYO</t>
  </si>
  <si>
    <t>COCONUT CREEK</t>
  </si>
  <si>
    <t>LADY LAKE</t>
  </si>
  <si>
    <t>LAND O LAKES</t>
  </si>
  <si>
    <t>BUSHNELL</t>
  </si>
  <si>
    <t>CROSS CITY</t>
  </si>
  <si>
    <t>PAHOKEE</t>
  </si>
  <si>
    <t>LAKE MARY</t>
  </si>
  <si>
    <t>HERNANDO</t>
  </si>
  <si>
    <t>OVIEDO</t>
  </si>
  <si>
    <t>ESTERO</t>
  </si>
  <si>
    <t>TRINITY</t>
  </si>
  <si>
    <t>CARRABELLE</t>
  </si>
  <si>
    <t>THE VILLAGES</t>
  </si>
  <si>
    <t>KEY WEST</t>
  </si>
  <si>
    <t>WELLINGTON</t>
  </si>
  <si>
    <t>TAVERNIER</t>
  </si>
  <si>
    <t>LUTZ</t>
  </si>
  <si>
    <t>CORAL GABLES</t>
  </si>
  <si>
    <t>PENNEY FARMS</t>
  </si>
  <si>
    <t>SEBASTIAN</t>
  </si>
  <si>
    <t>BONITA SPRINGS</t>
  </si>
  <si>
    <t>ELBERTON</t>
  </si>
  <si>
    <t>COMMERCE</t>
  </si>
  <si>
    <t>DEMOREST</t>
  </si>
  <si>
    <t>BAXLEY</t>
  </si>
  <si>
    <t>FITZGERALD</t>
  </si>
  <si>
    <t>SANDERSVILLE</t>
  </si>
  <si>
    <t>LOUISVILLE</t>
  </si>
  <si>
    <t>ADEL</t>
  </si>
  <si>
    <t>CORDELE</t>
  </si>
  <si>
    <t>MOULTRIE</t>
  </si>
  <si>
    <t>SWAINSBORO</t>
  </si>
  <si>
    <t>WAYNESBORO</t>
  </si>
  <si>
    <t>CAIRO</t>
  </si>
  <si>
    <t>JESUP</t>
  </si>
  <si>
    <t>BAINBRIDGE</t>
  </si>
  <si>
    <t>DAHLONEGA</t>
  </si>
  <si>
    <t>BLUE RIDGE</t>
  </si>
  <si>
    <t>DONALSONVILLE</t>
  </si>
  <si>
    <t>ELLIJAY</t>
  </si>
  <si>
    <t>ATLANTA</t>
  </si>
  <si>
    <t>AMERICUS</t>
  </si>
  <si>
    <t>MONROE</t>
  </si>
  <si>
    <t>COLQUITT</t>
  </si>
  <si>
    <t>ROSSVILLE</t>
  </si>
  <si>
    <t>AUGUSTA</t>
  </si>
  <si>
    <t>COLUMBUS</t>
  </si>
  <si>
    <t>ROYSTON</t>
  </si>
  <si>
    <t>SPRINGFIELD</t>
  </si>
  <si>
    <t>MARIETTA</t>
  </si>
  <si>
    <t>SAVANNAH</t>
  </si>
  <si>
    <t>NEWNAN</t>
  </si>
  <si>
    <t>RIVERDALE</t>
  </si>
  <si>
    <t>AUSTELL</t>
  </si>
  <si>
    <t>DALLAS</t>
  </si>
  <si>
    <t>EDISON</t>
  </si>
  <si>
    <t>WAYCROSS</t>
  </si>
  <si>
    <t>CAMILLA</t>
  </si>
  <si>
    <t>BLAKELY</t>
  </si>
  <si>
    <t>CUTHBERT</t>
  </si>
  <si>
    <t>DOUGLASVILLE</t>
  </si>
  <si>
    <t>LAGRANGE</t>
  </si>
  <si>
    <t>HIGH SHOALS</t>
  </si>
  <si>
    <t>ROME</t>
  </si>
  <si>
    <t>MACON</t>
  </si>
  <si>
    <t>COMER</t>
  </si>
  <si>
    <t>POOLER</t>
  </si>
  <si>
    <t>FAIRBURN</t>
  </si>
  <si>
    <t>WARRENTON</t>
  </si>
  <si>
    <t>TUCKER</t>
  </si>
  <si>
    <t>FLOWERY BRANCH</t>
  </si>
  <si>
    <t>THOMASTON</t>
  </si>
  <si>
    <t>EVANS</t>
  </si>
  <si>
    <t>IDEAL</t>
  </si>
  <si>
    <t>CALHOUN</t>
  </si>
  <si>
    <t>DALTON</t>
  </si>
  <si>
    <t>TOCCOA</t>
  </si>
  <si>
    <t>LAWRENCEVILLE</t>
  </si>
  <si>
    <t>DUBLIN</t>
  </si>
  <si>
    <t>OCONEE</t>
  </si>
  <si>
    <t>SOPERTON</t>
  </si>
  <si>
    <t>MONTEZUMA</t>
  </si>
  <si>
    <t>THOMSON</t>
  </si>
  <si>
    <t>VALDOSTA</t>
  </si>
  <si>
    <t>COVINGTON</t>
  </si>
  <si>
    <t>FORSYTH</t>
  </si>
  <si>
    <t>CEDARTOWN</t>
  </si>
  <si>
    <t>SPARTA</t>
  </si>
  <si>
    <t>LYONS</t>
  </si>
  <si>
    <t>BALDWIN</t>
  </si>
  <si>
    <t>CRAWFORD</t>
  </si>
  <si>
    <t>LUMBER CITY</t>
  </si>
  <si>
    <t>WRIGHTSVILLE</t>
  </si>
  <si>
    <t>FORT OGLETHORPE</t>
  </si>
  <si>
    <t>METTER</t>
  </si>
  <si>
    <t>TIFTON</t>
  </si>
  <si>
    <t>JEFFERSONVILLE</t>
  </si>
  <si>
    <t>WOODSTOCK</t>
  </si>
  <si>
    <t>ROSWELL</t>
  </si>
  <si>
    <t>CUMMING</t>
  </si>
  <si>
    <t>APPLING</t>
  </si>
  <si>
    <t>SUMMERVILLE</t>
  </si>
  <si>
    <t>BREMEN</t>
  </si>
  <si>
    <t>HARTWELL</t>
  </si>
  <si>
    <t>BARNESVILLE</t>
  </si>
  <si>
    <t>LA FAYETTE</t>
  </si>
  <si>
    <t>TOOMSBORO</t>
  </si>
  <si>
    <t>TYBEE ISLAND</t>
  </si>
  <si>
    <t>PEACHTREE CITY</t>
  </si>
  <si>
    <t>CARTERSVILLE</t>
  </si>
  <si>
    <t>MCDONOUGH</t>
  </si>
  <si>
    <t>GRAY</t>
  </si>
  <si>
    <t>CONYERS</t>
  </si>
  <si>
    <t>LITHONIA</t>
  </si>
  <si>
    <t>MILLEDGEVILLE</t>
  </si>
  <si>
    <t>COCHRAN</t>
  </si>
  <si>
    <t>RICHLAND</t>
  </si>
  <si>
    <t>DAWSON</t>
  </si>
  <si>
    <t>UNION POINT</t>
  </si>
  <si>
    <t>ASHBURN</t>
  </si>
  <si>
    <t>MC RAE</t>
  </si>
  <si>
    <t>QUITMAN</t>
  </si>
  <si>
    <t>CANTON</t>
  </si>
  <si>
    <t>KENNESAW</t>
  </si>
  <si>
    <t>LILBURN</t>
  </si>
  <si>
    <t>BRUNSWICK</t>
  </si>
  <si>
    <t>PULASKI</t>
  </si>
  <si>
    <t>ROBERTA</t>
  </si>
  <si>
    <t>GRIFFIN</t>
  </si>
  <si>
    <t>ROCKMART</t>
  </si>
  <si>
    <t>SOCIAL CIRCLE</t>
  </si>
  <si>
    <t>WINDER</t>
  </si>
  <si>
    <t>POWDER SPRINGS</t>
  </si>
  <si>
    <t>TWIN CITY</t>
  </si>
  <si>
    <t>PINEVIEW</t>
  </si>
  <si>
    <t>SYLVANIA</t>
  </si>
  <si>
    <t>PORT WENTWORTH</t>
  </si>
  <si>
    <t>PLAINS</t>
  </si>
  <si>
    <t>WARNER ROBINS</t>
  </si>
  <si>
    <t>MIDWAY</t>
  </si>
  <si>
    <t>EAST POINT</t>
  </si>
  <si>
    <t>CLEVELAND</t>
  </si>
  <si>
    <t>BYROMVILLE</t>
  </si>
  <si>
    <t>STONE MOUNTAIN</t>
  </si>
  <si>
    <t>UNION CITY</t>
  </si>
  <si>
    <t>REIDSVILLE</t>
  </si>
  <si>
    <t>WAVERLY HALL</t>
  </si>
  <si>
    <t>COLLEGE PARK</t>
  </si>
  <si>
    <t>SAINT SIMONS ISLAND</t>
  </si>
  <si>
    <t>HAWKINSVILLE</t>
  </si>
  <si>
    <t>BUCHANAN</t>
  </si>
  <si>
    <t>NAHUNTA</t>
  </si>
  <si>
    <t>EATONTON</t>
  </si>
  <si>
    <t>STATESBORO</t>
  </si>
  <si>
    <t>CLAXTON</t>
  </si>
  <si>
    <t>BUENA VISTA</t>
  </si>
  <si>
    <t>BUFORD</t>
  </si>
  <si>
    <t>WARM SPRINGS</t>
  </si>
  <si>
    <t>WHIGHAM</t>
  </si>
  <si>
    <t>OCILLA</t>
  </si>
  <si>
    <t>GIBSON</t>
  </si>
  <si>
    <t>GLENNVILLE</t>
  </si>
  <si>
    <t>RICHMOND HILL</t>
  </si>
  <si>
    <t>EASTMAN</t>
  </si>
  <si>
    <t>THUNDERBOLT</t>
  </si>
  <si>
    <t>ALBANY</t>
  </si>
  <si>
    <t>HAZLEHURST</t>
  </si>
  <si>
    <t>MARSHALLVILLE</t>
  </si>
  <si>
    <t>SYLVESTER</t>
  </si>
  <si>
    <t>FOLKSTON</t>
  </si>
  <si>
    <t>HOMERVILLE</t>
  </si>
  <si>
    <t>SNELLVILLE</t>
  </si>
  <si>
    <t>KEYSVILLE</t>
  </si>
  <si>
    <t>FORT VALLEY</t>
  </si>
  <si>
    <t>LUDOWICI</t>
  </si>
  <si>
    <t>ADRIAN</t>
  </si>
  <si>
    <t>STOCKBRIDGE</t>
  </si>
  <si>
    <t>WADLEY</t>
  </si>
  <si>
    <t>SAINT MARYS</t>
  </si>
  <si>
    <t>CLAYTON</t>
  </si>
  <si>
    <t>SUWANEE</t>
  </si>
  <si>
    <t>MOLENA</t>
  </si>
  <si>
    <t>BLAIRSVILLE</t>
  </si>
  <si>
    <t>FORT GAINES</t>
  </si>
  <si>
    <t>MILLEN</t>
  </si>
  <si>
    <t>HIAWASSEE</t>
  </si>
  <si>
    <t>VIDALIA</t>
  </si>
  <si>
    <t>TALKING ROCK</t>
  </si>
  <si>
    <t>HILO</t>
  </si>
  <si>
    <t>LIHUE</t>
  </si>
  <si>
    <t>HONOLULU</t>
  </si>
  <si>
    <t>KAHULUI</t>
  </si>
  <si>
    <t>WAHIAWA</t>
  </si>
  <si>
    <t>KEALAKEKUA</t>
  </si>
  <si>
    <t>KAPAA</t>
  </si>
  <si>
    <t>KANEOHE</t>
  </si>
  <si>
    <t>PEARL CITY</t>
  </si>
  <si>
    <t>WAIANAE</t>
  </si>
  <si>
    <t>KAPOLEI</t>
  </si>
  <si>
    <t>KAILUA KONA</t>
  </si>
  <si>
    <t>WAILUKU</t>
  </si>
  <si>
    <t>WAIMEA</t>
  </si>
  <si>
    <t>KOLOA</t>
  </si>
  <si>
    <t>HON</t>
  </si>
  <si>
    <t>BLACKFOOT</t>
  </si>
  <si>
    <t>WEISER</t>
  </si>
  <si>
    <t>POCATELLO</t>
  </si>
  <si>
    <t>CALDWELL</t>
  </si>
  <si>
    <t>PAYETTE</t>
  </si>
  <si>
    <t>NAMPA</t>
  </si>
  <si>
    <t>EMMETT</t>
  </si>
  <si>
    <t>LEWISTON</t>
  </si>
  <si>
    <t>BOISE</t>
  </si>
  <si>
    <t>COEUR D'ALENE</t>
  </si>
  <si>
    <t>OROFINO</t>
  </si>
  <si>
    <t>SANDPOINT</t>
  </si>
  <si>
    <t>SHOSHONE</t>
  </si>
  <si>
    <t>SILVERTON</t>
  </si>
  <si>
    <t>PRESTON</t>
  </si>
  <si>
    <t>RUPERT</t>
  </si>
  <si>
    <t>KELLOGG</t>
  </si>
  <si>
    <t>MOSCOW</t>
  </si>
  <si>
    <t>BURLEY</t>
  </si>
  <si>
    <t>BELLEVUE</t>
  </si>
  <si>
    <t>MONTPELIER</t>
  </si>
  <si>
    <t>ST MARIES</t>
  </si>
  <si>
    <t>GRANGEVILLE</t>
  </si>
  <si>
    <t>MC CALL</t>
  </si>
  <si>
    <t>KIMBERLY</t>
  </si>
  <si>
    <t>HOMEDALE</t>
  </si>
  <si>
    <t>BUHL</t>
  </si>
  <si>
    <t>IDAHO FALLS</t>
  </si>
  <si>
    <t>ASHTON</t>
  </si>
  <si>
    <t>TWIN FALLS</t>
  </si>
  <si>
    <t>REXBURG</t>
  </si>
  <si>
    <t>COEUR D ALENE</t>
  </si>
  <si>
    <t>MERIDIAN</t>
  </si>
  <si>
    <t>SALMON</t>
  </si>
  <si>
    <t>GOODING</t>
  </si>
  <si>
    <t>POST FALLS</t>
  </si>
  <si>
    <t>AMMON</t>
  </si>
  <si>
    <t>SHELBYVILLE</t>
  </si>
  <si>
    <t>MACOMB</t>
  </si>
  <si>
    <t>OLNEY</t>
  </si>
  <si>
    <t>PONTIAC</t>
  </si>
  <si>
    <t>PERU</t>
  </si>
  <si>
    <t>ELGIN</t>
  </si>
  <si>
    <t>DU QUOIN</t>
  </si>
  <si>
    <t>EVANSTON</t>
  </si>
  <si>
    <t>GALESBURG</t>
  </si>
  <si>
    <t>BLOOMINGTON</t>
  </si>
  <si>
    <t>MOUNT MORRIS</t>
  </si>
  <si>
    <t>MOLINE</t>
  </si>
  <si>
    <t>JOLIET</t>
  </si>
  <si>
    <t>NORMAL</t>
  </si>
  <si>
    <t>KANKAKEE</t>
  </si>
  <si>
    <t>NAPERVILLE</t>
  </si>
  <si>
    <t>WHEATON</t>
  </si>
  <si>
    <t>CHILLICOTHE</t>
  </si>
  <si>
    <t>STREATOR</t>
  </si>
  <si>
    <t>BERWYN</t>
  </si>
  <si>
    <t>OAK LAWN</t>
  </si>
  <si>
    <t>BELLEVILLE</t>
  </si>
  <si>
    <t>ELMHURST</t>
  </si>
  <si>
    <t>ALTON</t>
  </si>
  <si>
    <t>CHICAGO</t>
  </si>
  <si>
    <t>ROCKFORD</t>
  </si>
  <si>
    <t>MENDOTA</t>
  </si>
  <si>
    <t>NORTHBROOK</t>
  </si>
  <si>
    <t>HARVEY</t>
  </si>
  <si>
    <t>CHAMPAIGN</t>
  </si>
  <si>
    <t>MORTON GROVE</t>
  </si>
  <si>
    <t>ARLINGTON HTS</t>
  </si>
  <si>
    <t>FRANKLIN GROVE</t>
  </si>
  <si>
    <t>BRIDGEVIEW</t>
  </si>
  <si>
    <t>LAKE FOREST</t>
  </si>
  <si>
    <t>WESTMONT</t>
  </si>
  <si>
    <t>HAZEL CREST</t>
  </si>
  <si>
    <t>FREEPORT</t>
  </si>
  <si>
    <t>NILES</t>
  </si>
  <si>
    <t>PEORIA HEIGHTS</t>
  </si>
  <si>
    <t>HINSDALE</t>
  </si>
  <si>
    <t>MORTON</t>
  </si>
  <si>
    <t>EFFINGHAM</t>
  </si>
  <si>
    <t>CRYSTAL LAKE</t>
  </si>
  <si>
    <t>DEKALB</t>
  </si>
  <si>
    <t>EAST PEORIA</t>
  </si>
  <si>
    <t>PANA</t>
  </si>
  <si>
    <t>GLENVIEW</t>
  </si>
  <si>
    <t>EAST MOLINE</t>
  </si>
  <si>
    <t>PEKIN</t>
  </si>
  <si>
    <t>STAUNTON</t>
  </si>
  <si>
    <t>MARSEILLES</t>
  </si>
  <si>
    <t>LA GRANGE PARK</t>
  </si>
  <si>
    <t>RED BUD</t>
  </si>
  <si>
    <t>BELVIDERE</t>
  </si>
  <si>
    <t>EL PASO</t>
  </si>
  <si>
    <t>CARRIER MILLS</t>
  </si>
  <si>
    <t>PARK RIDGE</t>
  </si>
  <si>
    <t>NORRIDGE</t>
  </si>
  <si>
    <t>BLOOMINGDALE</t>
  </si>
  <si>
    <t>DES PLAINES</t>
  </si>
  <si>
    <t>SCHAUMBURG</t>
  </si>
  <si>
    <t>LIBERTYVILLE</t>
  </si>
  <si>
    <t>GILMAN</t>
  </si>
  <si>
    <t>URBANA</t>
  </si>
  <si>
    <t>GILLESPIE</t>
  </si>
  <si>
    <t>SULLIVAN</t>
  </si>
  <si>
    <t>MOUNT CARMEL</t>
  </si>
  <si>
    <t>ALTAMONT</t>
  </si>
  <si>
    <t>GLEN CARBON</t>
  </si>
  <si>
    <t>METROPOLIS</t>
  </si>
  <si>
    <t>ROCK ISLAND</t>
  </si>
  <si>
    <t>WATSEKA</t>
  </si>
  <si>
    <t>LA SALLE</t>
  </si>
  <si>
    <t>HOFFMAN ESTATES</t>
  </si>
  <si>
    <t>BATAVIA</t>
  </si>
  <si>
    <t>BREESE</t>
  </si>
  <si>
    <t>TOLUCA</t>
  </si>
  <si>
    <t>SHABBONA</t>
  </si>
  <si>
    <t>CASEY</t>
  </si>
  <si>
    <t>KEWANEE</t>
  </si>
  <si>
    <t>ELMWOOD PARK</t>
  </si>
  <si>
    <t>BENSENVILLE</t>
  </si>
  <si>
    <t>RICHTON PARK</t>
  </si>
  <si>
    <t>OTTAWA</t>
  </si>
  <si>
    <t>LINCOLN</t>
  </si>
  <si>
    <t>ST CHARLES</t>
  </si>
  <si>
    <t>LAKE BLUFF</t>
  </si>
  <si>
    <t>PRINCETON</t>
  </si>
  <si>
    <t>SAVOY</t>
  </si>
  <si>
    <t>BYRON</t>
  </si>
  <si>
    <t>TOULON</t>
  </si>
  <si>
    <t>ZION</t>
  </si>
  <si>
    <t>WATERLOO</t>
  </si>
  <si>
    <t>PAXTON</t>
  </si>
  <si>
    <t>DWIGHT</t>
  </si>
  <si>
    <t>MCHENRY</t>
  </si>
  <si>
    <t>CARLINVILLE</t>
  </si>
  <si>
    <t>OAK BROOK</t>
  </si>
  <si>
    <t>GENESEO</t>
  </si>
  <si>
    <t>JERSEYVILLE</t>
  </si>
  <si>
    <t>SKOKIE</t>
  </si>
  <si>
    <t>HOOPESTON</t>
  </si>
  <si>
    <t>OREGON</t>
  </si>
  <si>
    <t>NOKOMIS</t>
  </si>
  <si>
    <t>MATTOON</t>
  </si>
  <si>
    <t>HILLSBORO</t>
  </si>
  <si>
    <t>RUSHVILLE</t>
  </si>
  <si>
    <t>PIPER CITY</t>
  </si>
  <si>
    <t>DURAND</t>
  </si>
  <si>
    <t>TAYLORVILLE</t>
  </si>
  <si>
    <t>LOMBARD</t>
  </si>
  <si>
    <t>FREEBURG</t>
  </si>
  <si>
    <t>MOUNT VERNON</t>
  </si>
  <si>
    <t>MASCOUTAH</t>
  </si>
  <si>
    <t>AMBOY</t>
  </si>
  <si>
    <t>MELROSE PARK</t>
  </si>
  <si>
    <t>BOURBONNAIS</t>
  </si>
  <si>
    <t>BEECHER</t>
  </si>
  <si>
    <t>MOUNT ZION</t>
  </si>
  <si>
    <t>EDWARDSVILLE</t>
  </si>
  <si>
    <t>PROPHETSTOWN</t>
  </si>
  <si>
    <t>BARRINGTON</t>
  </si>
  <si>
    <t>GRANITE CITY</t>
  </si>
  <si>
    <t>ABINGDON</t>
  </si>
  <si>
    <t>LEBANON</t>
  </si>
  <si>
    <t>CAHOKIA</t>
  </si>
  <si>
    <t>CASEYVILLE</t>
  </si>
  <si>
    <t>METAMORA</t>
  </si>
  <si>
    <t>AVISTON</t>
  </si>
  <si>
    <t>LINDENHURST</t>
  </si>
  <si>
    <t>HENRY</t>
  </si>
  <si>
    <t>CAROL STREAM</t>
  </si>
  <si>
    <t>PALOS HEIGHTS</t>
  </si>
  <si>
    <t>SOUTH HOLLAND</t>
  </si>
  <si>
    <t>YORKVILLE</t>
  </si>
  <si>
    <t>CRETE</t>
  </si>
  <si>
    <t>WILLOWBROOK</t>
  </si>
  <si>
    <t>MASON CITY</t>
  </si>
  <si>
    <t>SWANSEA</t>
  </si>
  <si>
    <t>WAUKEGAN</t>
  </si>
  <si>
    <t>MORRIS</t>
  </si>
  <si>
    <t>FLORA</t>
  </si>
  <si>
    <t>CHICAGO HEIGHTS</t>
  </si>
  <si>
    <t>CHICAGO RIDGE</t>
  </si>
  <si>
    <t>ODIN</t>
  </si>
  <si>
    <t>PALOS HILLS</t>
  </si>
  <si>
    <t>WOOD RIVER</t>
  </si>
  <si>
    <t>GODFREY</t>
  </si>
  <si>
    <t>DOWNERS GROVE</t>
  </si>
  <si>
    <t>PALATINE</t>
  </si>
  <si>
    <t>WESTCHESTER</t>
  </si>
  <si>
    <t>WEST FRANKFORT</t>
  </si>
  <si>
    <t>CENTRALIA</t>
  </si>
  <si>
    <t>LE ROY</t>
  </si>
  <si>
    <t>HOMEWOOD</t>
  </si>
  <si>
    <t>ELK GROVE VILLAGE</t>
  </si>
  <si>
    <t>KNOXVILLE</t>
  </si>
  <si>
    <t>STREAMWOOD</t>
  </si>
  <si>
    <t>SOUTH BELOIT</t>
  </si>
  <si>
    <t>SILVIS</t>
  </si>
  <si>
    <t>EAST SAINT LOUIS</t>
  </si>
  <si>
    <t>GIFFORD</t>
  </si>
  <si>
    <t>BOLINGBROOK</t>
  </si>
  <si>
    <t>SANDWICH</t>
  </si>
  <si>
    <t>MOMENCE</t>
  </si>
  <si>
    <t>COLUMBIA</t>
  </si>
  <si>
    <t>CRESTWOOD</t>
  </si>
  <si>
    <t>SHERMAN</t>
  </si>
  <si>
    <t>WHEELING</t>
  </si>
  <si>
    <t>CAMP POINT</t>
  </si>
  <si>
    <t>POLO</t>
  </si>
  <si>
    <t>MARYVILLE</t>
  </si>
  <si>
    <t>CARLYLE</t>
  </si>
  <si>
    <t>EVERGREEN PARK</t>
  </si>
  <si>
    <t>BURNHAM</t>
  </si>
  <si>
    <t>CICERO</t>
  </si>
  <si>
    <t>LA GRANGE</t>
  </si>
  <si>
    <t>MINONK</t>
  </si>
  <si>
    <t>ITASCA</t>
  </si>
  <si>
    <t>ROSICLARE</t>
  </si>
  <si>
    <t>ROBINSON</t>
  </si>
  <si>
    <t>MOUNT CARROLL</t>
  </si>
  <si>
    <t>HAVANA</t>
  </si>
  <si>
    <t>MATTESON</t>
  </si>
  <si>
    <t>VIRDEN</t>
  </si>
  <si>
    <t>INDIAN HEAD PARK</t>
  </si>
  <si>
    <t>LINCOLNWOOD</t>
  </si>
  <si>
    <t>FAIRBURY</t>
  </si>
  <si>
    <t>SOUTH ELGIN</t>
  </si>
  <si>
    <t>DOLTON</t>
  </si>
  <si>
    <t>NEWTON</t>
  </si>
  <si>
    <t>LAKE ZURICH</t>
  </si>
  <si>
    <t>BUFFALO GROVE</t>
  </si>
  <si>
    <t>MOUNT STERLING</t>
  </si>
  <si>
    <t>BROOKFIELD</t>
  </si>
  <si>
    <t>WEST CHICAGO</t>
  </si>
  <si>
    <t>PITTSFIELD</t>
  </si>
  <si>
    <t>FLANAGAN</t>
  </si>
  <si>
    <t>PROSPECT HEIGHTS</t>
  </si>
  <si>
    <t>ST ELMO</t>
  </si>
  <si>
    <t>HICKORY HILLS</t>
  </si>
  <si>
    <t>LONG GROVE</t>
  </si>
  <si>
    <t>LANSING</t>
  </si>
  <si>
    <t>VIENNA</t>
  </si>
  <si>
    <t>ALEDO</t>
  </si>
  <si>
    <t>WAUCONDA</t>
  </si>
  <si>
    <t>ELDORADO</t>
  </si>
  <si>
    <t>SOUTH CHICAGO HEIGHT</t>
  </si>
  <si>
    <t>ORLAND PARK</t>
  </si>
  <si>
    <t>LEWISTOWN</t>
  </si>
  <si>
    <t>LEMONT</t>
  </si>
  <si>
    <t>VANDALIA</t>
  </si>
  <si>
    <t>DIXON</t>
  </si>
  <si>
    <t>HARDIN</t>
  </si>
  <si>
    <t>GIBSON CITY</t>
  </si>
  <si>
    <t>COBDEN</t>
  </si>
  <si>
    <t>HIGHLAND PARK</t>
  </si>
  <si>
    <t>WILMETTE</t>
  </si>
  <si>
    <t>HIGHWOOD</t>
  </si>
  <si>
    <t>HILLSIDE</t>
  </si>
  <si>
    <t>MIDLOTHIAN</t>
  </si>
  <si>
    <t>BEMENT</t>
  </si>
  <si>
    <t>BEARDSTOWN</t>
  </si>
  <si>
    <t>DANFORTH</t>
  </si>
  <si>
    <t>NORTHLAKE</t>
  </si>
  <si>
    <t>MCLEANSBORO</t>
  </si>
  <si>
    <t>TINLEY PARK</t>
  </si>
  <si>
    <t>FOREST PARK</t>
  </si>
  <si>
    <t>ROCHELLE</t>
  </si>
  <si>
    <t>ROCK FALLS</t>
  </si>
  <si>
    <t>COLFAX</t>
  </si>
  <si>
    <t>COULTERVILLE</t>
  </si>
  <si>
    <t>ANNA</t>
  </si>
  <si>
    <t>HARVARD</t>
  </si>
  <si>
    <t>CARMI</t>
  </si>
  <si>
    <t>ARTHUR</t>
  </si>
  <si>
    <t>NEW BADEN</t>
  </si>
  <si>
    <t>LINCOLNSHIRE</t>
  </si>
  <si>
    <t>NEOGA</t>
  </si>
  <si>
    <t>OSWEGO</t>
  </si>
  <si>
    <t>MENDON</t>
  </si>
  <si>
    <t>HERRIN</t>
  </si>
  <si>
    <t>CHRISMAN</t>
  </si>
  <si>
    <t>PRAIRIE CITY</t>
  </si>
  <si>
    <t>MOUNT PULASKI</t>
  </si>
  <si>
    <t>ENERGY</t>
  </si>
  <si>
    <t>ARCOLA</t>
  </si>
  <si>
    <t>BARRY</t>
  </si>
  <si>
    <t>PALOS PARK</t>
  </si>
  <si>
    <t>RIDGWAY</t>
  </si>
  <si>
    <t>MONMOUTH</t>
  </si>
  <si>
    <t>LISLE</t>
  </si>
  <si>
    <t>WALNUT</t>
  </si>
  <si>
    <t>ROSELLE</t>
  </si>
  <si>
    <t>PETERSBURG</t>
  </si>
  <si>
    <t>LOVES PARK</t>
  </si>
  <si>
    <t>STICKNEY</t>
  </si>
  <si>
    <t>CLIFTON</t>
  </si>
  <si>
    <t>TUSCOLA</t>
  </si>
  <si>
    <t>BURR RIDGE</t>
  </si>
  <si>
    <t>OBLONG</t>
  </si>
  <si>
    <t>VIRGINIA</t>
  </si>
  <si>
    <t>STRONGHURST</t>
  </si>
  <si>
    <t>FARMER CITY</t>
  </si>
  <si>
    <t>WINCHESTER</t>
  </si>
  <si>
    <t>CHENOA</t>
  </si>
  <si>
    <t>GOLDEN</t>
  </si>
  <si>
    <t>BRADLEY</t>
  </si>
  <si>
    <t>GREENUP</t>
  </si>
  <si>
    <t>LENA</t>
  </si>
  <si>
    <t>NEW ATHENS</t>
  </si>
  <si>
    <t>GRAYVILLE</t>
  </si>
  <si>
    <t>LA HARPE</t>
  </si>
  <si>
    <t>LACON</t>
  </si>
  <si>
    <t>BARTLETT</t>
  </si>
  <si>
    <t>MARENGO</t>
  </si>
  <si>
    <t>ROUND LAKE BEACH</t>
  </si>
  <si>
    <t>CISNE</t>
  </si>
  <si>
    <t>GIRARD</t>
  </si>
  <si>
    <t>GALENA</t>
  </si>
  <si>
    <t>HANOVER PARK</t>
  </si>
  <si>
    <t>CUBA</t>
  </si>
  <si>
    <t>SHOREWOOD</t>
  </si>
  <si>
    <t>FULTON</t>
  </si>
  <si>
    <t>MOWEAQUA</t>
  </si>
  <si>
    <t>NORTH AURORA</t>
  </si>
  <si>
    <t>PINCKNEYVILLE</t>
  </si>
  <si>
    <t>HOMER GLEN</t>
  </si>
  <si>
    <t>CONNERSVILLE</t>
  </si>
  <si>
    <t>INDIANAPOLIS</t>
  </si>
  <si>
    <t>WARSAW</t>
  </si>
  <si>
    <t>ANDERSON</t>
  </si>
  <si>
    <t>WABASH</t>
  </si>
  <si>
    <t>GREENWOOD</t>
  </si>
  <si>
    <t>MUNCIE</t>
  </si>
  <si>
    <t>VINCENNES</t>
  </si>
  <si>
    <t>HUNTINGTON</t>
  </si>
  <si>
    <t>LAWRENCEBURG</t>
  </si>
  <si>
    <t>LA PORTE</t>
  </si>
  <si>
    <t>KOKOMO</t>
  </si>
  <si>
    <t>NEW ALBANY</t>
  </si>
  <si>
    <t>BEECH GROVE</t>
  </si>
  <si>
    <t>ELKHART</t>
  </si>
  <si>
    <t>FORT WAYNE</t>
  </si>
  <si>
    <t>BEDFORD</t>
  </si>
  <si>
    <t>SOUTH BEND</t>
  </si>
  <si>
    <t>EVANSVILLE</t>
  </si>
  <si>
    <t>NOBLESVILLE</t>
  </si>
  <si>
    <t>MISHAWAKA</t>
  </si>
  <si>
    <t>GREENFIELD</t>
  </si>
  <si>
    <t>FRENCH LICK</t>
  </si>
  <si>
    <t>COLUMBIA CITY</t>
  </si>
  <si>
    <t>MUNSTER</t>
  </si>
  <si>
    <t>VALPARAISO</t>
  </si>
  <si>
    <t>TERRE HAUTE</t>
  </si>
  <si>
    <t>MICHIGAN CITY</t>
  </si>
  <si>
    <t>WEST LAFAYETTE</t>
  </si>
  <si>
    <t>CARMEL</t>
  </si>
  <si>
    <t>MARTINSVILLE</t>
  </si>
  <si>
    <t>PORTAGE</t>
  </si>
  <si>
    <t>WESTFIELD</t>
  </si>
  <si>
    <t>GREENCASTLE</t>
  </si>
  <si>
    <t>GOSHEN</t>
  </si>
  <si>
    <t>BROWNSBURG</t>
  </si>
  <si>
    <t>HANOVER</t>
  </si>
  <si>
    <t>GREENSBURG</t>
  </si>
  <si>
    <t>CROWN POINT</t>
  </si>
  <si>
    <t>HUNTINGBURG</t>
  </si>
  <si>
    <t>DYER</t>
  </si>
  <si>
    <t>GAS CITY</t>
  </si>
  <si>
    <t>LOGANSPORT</t>
  </si>
  <si>
    <t>YORKTOWN</t>
  </si>
  <si>
    <t>CHESTERTON</t>
  </si>
  <si>
    <t>HOBART</t>
  </si>
  <si>
    <t>NEWBURGH</t>
  </si>
  <si>
    <t>CRAWFORDSVILLE</t>
  </si>
  <si>
    <t>LOOGOOTEE</t>
  </si>
  <si>
    <t>SCOTTSBURG</t>
  </si>
  <si>
    <t>DALE</t>
  </si>
  <si>
    <t>ROCKPORT</t>
  </si>
  <si>
    <t>DILLSBORO</t>
  </si>
  <si>
    <t>KNOX</t>
  </si>
  <si>
    <t>LIGONIER</t>
  </si>
  <si>
    <t>RENSSELAER</t>
  </si>
  <si>
    <t>DELPHI</t>
  </si>
  <si>
    <t>FRANKFORT</t>
  </si>
  <si>
    <t>JASONVILLE</t>
  </si>
  <si>
    <t>CORYDON</t>
  </si>
  <si>
    <t>MITCHELL</t>
  </si>
  <si>
    <t>PAOLI</t>
  </si>
  <si>
    <t>OSSIAN</t>
  </si>
  <si>
    <t>PENDLETON</t>
  </si>
  <si>
    <t>MERRILLVILLE</t>
  </si>
  <si>
    <t>LEAVENWORTH</t>
  </si>
  <si>
    <t>NEW HARMONY</t>
  </si>
  <si>
    <t>BLUFFTON</t>
  </si>
  <si>
    <t>ROCHESTER</t>
  </si>
  <si>
    <t>TELL CITY</t>
  </si>
  <si>
    <t>KENDALLVILLE</t>
  </si>
  <si>
    <t>LINTON</t>
  </si>
  <si>
    <t>WHITING</t>
  </si>
  <si>
    <t>WINAMAC</t>
  </si>
  <si>
    <t>LOWELL</t>
  </si>
  <si>
    <t>ANGOLA</t>
  </si>
  <si>
    <t>VEVAY</t>
  </si>
  <si>
    <t>BERNE</t>
  </si>
  <si>
    <t>BROOKVILLE</t>
  </si>
  <si>
    <t>RISING SUN</t>
  </si>
  <si>
    <t>PARKER CITY</t>
  </si>
  <si>
    <t>CENTERVILLE</t>
  </si>
  <si>
    <t>FERDINAND</t>
  </si>
  <si>
    <t>OWENSVILLE</t>
  </si>
  <si>
    <t>BRAZIL</t>
  </si>
  <si>
    <t>LIBERTY</t>
  </si>
  <si>
    <t>BOONVILLE</t>
  </si>
  <si>
    <t>GREENTOWN</t>
  </si>
  <si>
    <t>AVILLA</t>
  </si>
  <si>
    <t>ALEXANDRIA</t>
  </si>
  <si>
    <t>ELWOOD</t>
  </si>
  <si>
    <t>ELLETTSVILLE</t>
  </si>
  <si>
    <t>GARY</t>
  </si>
  <si>
    <t>ODON</t>
  </si>
  <si>
    <t>KNIGHTSVILLE</t>
  </si>
  <si>
    <t>LA FONTAINE</t>
  </si>
  <si>
    <t>TIPTON</t>
  </si>
  <si>
    <t>OAKLAND CITY</t>
  </si>
  <si>
    <t>MOORESVILLE</t>
  </si>
  <si>
    <t>WILLIAMSPORT</t>
  </si>
  <si>
    <t>MC CORDSVILLE</t>
  </si>
  <si>
    <t>DUNKIRK</t>
  </si>
  <si>
    <t>DEMOTTE</t>
  </si>
  <si>
    <t>WALKERTON</t>
  </si>
  <si>
    <t>HARTFORD CITY</t>
  </si>
  <si>
    <t>NEW CARLISLE</t>
  </si>
  <si>
    <t>SYRACUSE</t>
  </si>
  <si>
    <t>WAKARUSA</t>
  </si>
  <si>
    <t>GARRETT</t>
  </si>
  <si>
    <t>CULVER</t>
  </si>
  <si>
    <t>MULBERRY</t>
  </si>
  <si>
    <t>BROWNSTOWN</t>
  </si>
  <si>
    <t>CHESTERFIELD</t>
  </si>
  <si>
    <t>ZIONSVILLE</t>
  </si>
  <si>
    <t>WINONA LAKE</t>
  </si>
  <si>
    <t>SPENCER</t>
  </si>
  <si>
    <t>EAST CHICAGO</t>
  </si>
  <si>
    <t>NORTH MANCHESTER</t>
  </si>
  <si>
    <t>SELLERSBURG</t>
  </si>
  <si>
    <t>NORTH VERNON</t>
  </si>
  <si>
    <t>MARKLE</t>
  </si>
  <si>
    <t>FREELANDVILLE</t>
  </si>
  <si>
    <t>MORRISTOWN</t>
  </si>
  <si>
    <t>DONALDSON</t>
  </si>
  <si>
    <t>OAKTOWN</t>
  </si>
  <si>
    <t>BROOK</t>
  </si>
  <si>
    <t>OSGOOD</t>
  </si>
  <si>
    <t>MILAN</t>
  </si>
  <si>
    <t>NOTRE DAME</t>
  </si>
  <si>
    <t>FRANCESVILLE</t>
  </si>
  <si>
    <t>ALBION</t>
  </si>
  <si>
    <t>ATTICA</t>
  </si>
  <si>
    <t>FISHERS</t>
  </si>
  <si>
    <t>LEO</t>
  </si>
  <si>
    <t>SAINT MARY OF THE WO</t>
  </si>
  <si>
    <t>CARROLL</t>
  </si>
  <si>
    <t>KEOKUK</t>
  </si>
  <si>
    <t>FORT MADISON</t>
  </si>
  <si>
    <t>SPIRIT LAKE</t>
  </si>
  <si>
    <t>GRINNELL</t>
  </si>
  <si>
    <t>DES MOINES</t>
  </si>
  <si>
    <t>CEDAR RAPIDS</t>
  </si>
  <si>
    <t>CHARLES CITY</t>
  </si>
  <si>
    <t>IOWA CITY</t>
  </si>
  <si>
    <t>DUBUQUE</t>
  </si>
  <si>
    <t>WEST BURLINGTON</t>
  </si>
  <si>
    <t>MADRID</t>
  </si>
  <si>
    <t>STRAWBERRY POINT</t>
  </si>
  <si>
    <t>SERGEANT BLUFF</t>
  </si>
  <si>
    <t>MOUNT PLEASANT</t>
  </si>
  <si>
    <t>ELK HORN</t>
  </si>
  <si>
    <t>FORT DODGE</t>
  </si>
  <si>
    <t>CLARINDA</t>
  </si>
  <si>
    <t>SIOUX CITY</t>
  </si>
  <si>
    <t>ANKENY</t>
  </si>
  <si>
    <t>INDIANOLA</t>
  </si>
  <si>
    <t>POLK CITY</t>
  </si>
  <si>
    <t>OSAGE</t>
  </si>
  <si>
    <t>OELWEIN</t>
  </si>
  <si>
    <t>HARTLEY</t>
  </si>
  <si>
    <t>DECORAH</t>
  </si>
  <si>
    <t>ODEBOLT</t>
  </si>
  <si>
    <t>ROCK RAPIDS</t>
  </si>
  <si>
    <t>RED OAK</t>
  </si>
  <si>
    <t>WEST UNION</t>
  </si>
  <si>
    <t>WINTERSET</t>
  </si>
  <si>
    <t>VILLISCA</t>
  </si>
  <si>
    <t>ALGONA</t>
  </si>
  <si>
    <t>ESTHERVILLE</t>
  </si>
  <si>
    <t>DUNLAP</t>
  </si>
  <si>
    <t>DAYTON</t>
  </si>
  <si>
    <t>CEDAR FALLS</t>
  </si>
  <si>
    <t>CRESTON</t>
  </si>
  <si>
    <t>COUNCIL BLUFFS</t>
  </si>
  <si>
    <t>LOGAN</t>
  </si>
  <si>
    <t>KEOSAUQUA</t>
  </si>
  <si>
    <t>LE MARS</t>
  </si>
  <si>
    <t>IDA GROVE</t>
  </si>
  <si>
    <t>HOLSTEIN</t>
  </si>
  <si>
    <t>GRANGER</t>
  </si>
  <si>
    <t>MARSHALLTOWN</t>
  </si>
  <si>
    <t>SAINT ANSGAR</t>
  </si>
  <si>
    <t>OTTUMWA</t>
  </si>
  <si>
    <t>FOREST CITY</t>
  </si>
  <si>
    <t>CORALVILLE</t>
  </si>
  <si>
    <t>PELLA</t>
  </si>
  <si>
    <t>ANITA</t>
  </si>
  <si>
    <t>LAURENS</t>
  </si>
  <si>
    <t>MEDIAPOLIS</t>
  </si>
  <si>
    <t>MOUNT AYR</t>
  </si>
  <si>
    <t>MANLY</t>
  </si>
  <si>
    <t>AUDUBON</t>
  </si>
  <si>
    <t>JEFFERSON</t>
  </si>
  <si>
    <t>WELLMAN</t>
  </si>
  <si>
    <t>LENOX</t>
  </si>
  <si>
    <t>MANSON</t>
  </si>
  <si>
    <t>FONTANELLE</t>
  </si>
  <si>
    <t>DENISON</t>
  </si>
  <si>
    <t>POSTVILLE</t>
  </si>
  <si>
    <t>WAUKON</t>
  </si>
  <si>
    <t>GRUNDY CENTER</t>
  </si>
  <si>
    <t>HAWARDEN</t>
  </si>
  <si>
    <t>GEORGE</t>
  </si>
  <si>
    <t>HULL</t>
  </si>
  <si>
    <t>NEWELL</t>
  </si>
  <si>
    <t>LEON</t>
  </si>
  <si>
    <t>PANORA</t>
  </si>
  <si>
    <t>CONRAD</t>
  </si>
  <si>
    <t>ONAWA</t>
  </si>
  <si>
    <t>DONNELLSON</t>
  </si>
  <si>
    <t>MECHANICSVILLE</t>
  </si>
  <si>
    <t>MITCHELLVILLE</t>
  </si>
  <si>
    <t>MAPLETON</t>
  </si>
  <si>
    <t>OSKALOOSA</t>
  </si>
  <si>
    <t>BETTENDORF</t>
  </si>
  <si>
    <t>ELDORA</t>
  </si>
  <si>
    <t>INWOOD</t>
  </si>
  <si>
    <t>ROCKWELL CITY</t>
  </si>
  <si>
    <t>TRAER</t>
  </si>
  <si>
    <t>WEST BRANCH</t>
  </si>
  <si>
    <t>ATLANTIC</t>
  </si>
  <si>
    <t>AVOCA</t>
  </si>
  <si>
    <t>NEW HAMPTON</t>
  </si>
  <si>
    <t>LA PORTE CITY</t>
  </si>
  <si>
    <t>MC GREGOR</t>
  </si>
  <si>
    <t>INDEPENDENCE</t>
  </si>
  <si>
    <t>CHARITON</t>
  </si>
  <si>
    <t>SHELL ROCK</t>
  </si>
  <si>
    <t>FONDA</t>
  </si>
  <si>
    <t>ALBIA</t>
  </si>
  <si>
    <t>LAMONI</t>
  </si>
  <si>
    <t>AMANA</t>
  </si>
  <si>
    <t>ZEARING</t>
  </si>
  <si>
    <t>CORRECTIONVILLE</t>
  </si>
  <si>
    <t>PLEASANTVILLE</t>
  </si>
  <si>
    <t>SIGOURNEY</t>
  </si>
  <si>
    <t>KINGSLEY</t>
  </si>
  <si>
    <t>CHEROKEE</t>
  </si>
  <si>
    <t>MORNING SUN</t>
  </si>
  <si>
    <t>STANTON</t>
  </si>
  <si>
    <t>GUTTENBERG</t>
  </si>
  <si>
    <t>HUBBARD</t>
  </si>
  <si>
    <t>ALLISON</t>
  </si>
  <si>
    <t>DUMONT</t>
  </si>
  <si>
    <t>BATTLE CREEK</t>
  </si>
  <si>
    <t>SAC CITY</t>
  </si>
  <si>
    <t>GOWRIE</t>
  </si>
  <si>
    <t>APLINGTON</t>
  </si>
  <si>
    <t>NORA SPRINGS</t>
  </si>
  <si>
    <t>BELLE PLAINE</t>
  </si>
  <si>
    <t>WEST DES MOINES</t>
  </si>
  <si>
    <t>GRISWOLD</t>
  </si>
  <si>
    <t>EMMETSBURG</t>
  </si>
  <si>
    <t>ARMSTRONG</t>
  </si>
  <si>
    <t>HAMPTON</t>
  </si>
  <si>
    <t>KEOTA</t>
  </si>
  <si>
    <t>GREENE</t>
  </si>
  <si>
    <t>WOODBINE</t>
  </si>
  <si>
    <t>COON RAPIDS</t>
  </si>
  <si>
    <t>STORM LAKE</t>
  </si>
  <si>
    <t>NEVADA</t>
  </si>
  <si>
    <t>CLARION</t>
  </si>
  <si>
    <t>BRITT</t>
  </si>
  <si>
    <t>GARNER</t>
  </si>
  <si>
    <t>CLEAR LAKE</t>
  </si>
  <si>
    <t>LAKE MILLS</t>
  </si>
  <si>
    <t>EARLING</t>
  </si>
  <si>
    <t>MANILLA</t>
  </si>
  <si>
    <t>HARLAN</t>
  </si>
  <si>
    <t>MISSOURI VALLEY</t>
  </si>
  <si>
    <t>ANAMOSA</t>
  </si>
  <si>
    <t>PLEASANT VALLEY</t>
  </si>
  <si>
    <t>WHEATLAND</t>
  </si>
  <si>
    <t>EDGEWOOD</t>
  </si>
  <si>
    <t>BELMOND</t>
  </si>
  <si>
    <t>SHEFFIELD</t>
  </si>
  <si>
    <t>ELMA</t>
  </si>
  <si>
    <t>PRIMGHAR</t>
  </si>
  <si>
    <t>LONE TREE</t>
  </si>
  <si>
    <t>STATE CENTER</t>
  </si>
  <si>
    <t>ELKADER</t>
  </si>
  <si>
    <t>IOWA FALLS</t>
  </si>
  <si>
    <t>MARCUS</t>
  </si>
  <si>
    <t>BAXTER</t>
  </si>
  <si>
    <t>SIBLEY</t>
  </si>
  <si>
    <t>SIOUX RAPIDS</t>
  </si>
  <si>
    <t>REMSEN</t>
  </si>
  <si>
    <t>ROCKWELL</t>
  </si>
  <si>
    <t>BANCROFT</t>
  </si>
  <si>
    <t>WEBSTER CITY</t>
  </si>
  <si>
    <t>EXIRA</t>
  </si>
  <si>
    <t>ALBERT CITY</t>
  </si>
  <si>
    <t>POMEROY</t>
  </si>
  <si>
    <t>AFTON</t>
  </si>
  <si>
    <t>WEST LIBERTY</t>
  </si>
  <si>
    <t>AMES</t>
  </si>
  <si>
    <t>STORY CITY</t>
  </si>
  <si>
    <t>TITONKA</t>
  </si>
  <si>
    <t>MUSCATINE</t>
  </si>
  <si>
    <t>OGDEN</t>
  </si>
  <si>
    <t>STACYVILLE</t>
  </si>
  <si>
    <t>WAVERLY</t>
  </si>
  <si>
    <t>ACKLEY</t>
  </si>
  <si>
    <t>WEST BEND</t>
  </si>
  <si>
    <t>GLADBROOK</t>
  </si>
  <si>
    <t>JOHNSTON</t>
  </si>
  <si>
    <t>TOLEDO</t>
  </si>
  <si>
    <t>WAPELLO</t>
  </si>
  <si>
    <t>NORTH ENGLISH</t>
  </si>
  <si>
    <t>CLEARFIELD</t>
  </si>
  <si>
    <t>SUTHERLAND</t>
  </si>
  <si>
    <t>URBANDALE</t>
  </si>
  <si>
    <t>TAMA</t>
  </si>
  <si>
    <t>KANAWHA</t>
  </si>
  <si>
    <t>BOONE</t>
  </si>
  <si>
    <t>KALONA</t>
  </si>
  <si>
    <t>SIDNEY</t>
  </si>
  <si>
    <t>COLUMBUS JUNCTION</t>
  </si>
  <si>
    <t>NORTHWOOD</t>
  </si>
  <si>
    <t>RUTHVEN</t>
  </si>
  <si>
    <t>WALL LAKE</t>
  </si>
  <si>
    <t>CRESCO</t>
  </si>
  <si>
    <t>TRIPOLI</t>
  </si>
  <si>
    <t>LAKE VIEW</t>
  </si>
  <si>
    <t>EAGLE GROVE</t>
  </si>
  <si>
    <t>SUMNER</t>
  </si>
  <si>
    <t>DYSART</t>
  </si>
  <si>
    <t>MAQUOKETA</t>
  </si>
  <si>
    <t>REINBECK</t>
  </si>
  <si>
    <t>GUTHRIE CENTER</t>
  </si>
  <si>
    <t>SHENANDOAH</t>
  </si>
  <si>
    <t>HUMBOLDT</t>
  </si>
  <si>
    <t>AURELIA</t>
  </si>
  <si>
    <t>HIAWATHA</t>
  </si>
  <si>
    <t>RICEVILLE</t>
  </si>
  <si>
    <t>TABOR</t>
  </si>
  <si>
    <t>WAYLAND</t>
  </si>
  <si>
    <t>SOLON</t>
  </si>
  <si>
    <t>VINTON</t>
  </si>
  <si>
    <t>WILLIAMSBURG</t>
  </si>
  <si>
    <t>CASCADE</t>
  </si>
  <si>
    <t>WEST POINT</t>
  </si>
  <si>
    <t>SANBORN</t>
  </si>
  <si>
    <t>WAUKEE</t>
  </si>
  <si>
    <t>BUFFALO CENTER</t>
  </si>
  <si>
    <t>CLARENCE</t>
  </si>
  <si>
    <t>DALLAS CENTER</t>
  </si>
  <si>
    <t>KEYSTONE</t>
  </si>
  <si>
    <t>GRIMES</t>
  </si>
  <si>
    <t>FORT SCOTT</t>
  </si>
  <si>
    <t>JUNCTION CITY</t>
  </si>
  <si>
    <t>MOUNDRIDGE</t>
  </si>
  <si>
    <t>MCPHERSON</t>
  </si>
  <si>
    <t>ULYSSES</t>
  </si>
  <si>
    <t>ARKANSAS CITY</t>
  </si>
  <si>
    <t>DODGE CITY</t>
  </si>
  <si>
    <t>WICHITA</t>
  </si>
  <si>
    <t>TOPEKA</t>
  </si>
  <si>
    <t>OSAWATOMIE</t>
  </si>
  <si>
    <t>MANHATTAN</t>
  </si>
  <si>
    <t>HUTCHINSON</t>
  </si>
  <si>
    <t>LENEXA</t>
  </si>
  <si>
    <t>MERRIAM</t>
  </si>
  <si>
    <t>SALINA</t>
  </si>
  <si>
    <t>GARDNER</t>
  </si>
  <si>
    <t>HAYSVILLE</t>
  </si>
  <si>
    <t>KANSAS CITY</t>
  </si>
  <si>
    <t>ATCHISON</t>
  </si>
  <si>
    <t>OVERBROOK</t>
  </si>
  <si>
    <t>LAWRENCE</t>
  </si>
  <si>
    <t>ANDOVER</t>
  </si>
  <si>
    <t>OVERLAND PARK</t>
  </si>
  <si>
    <t>LIBERAL</t>
  </si>
  <si>
    <t>COFFEYVILLE</t>
  </si>
  <si>
    <t>EMPORIA</t>
  </si>
  <si>
    <t>GARDEN CITY</t>
  </si>
  <si>
    <t>DOWNS</t>
  </si>
  <si>
    <t>COLBY</t>
  </si>
  <si>
    <t>WILSON</t>
  </si>
  <si>
    <t>PARSONS</t>
  </si>
  <si>
    <t>CHANUTE</t>
  </si>
  <si>
    <t>TONGANOXIE</t>
  </si>
  <si>
    <t>WATHENA</t>
  </si>
  <si>
    <t>ONAGA</t>
  </si>
  <si>
    <t>ROSE HILL</t>
  </si>
  <si>
    <t>COTTONWOOD FALLS</t>
  </si>
  <si>
    <t>MORAN</t>
  </si>
  <si>
    <t>IOLA</t>
  </si>
  <si>
    <t>ELLSWORTH</t>
  </si>
  <si>
    <t>SEDAN</t>
  </si>
  <si>
    <t>LARNED</t>
  </si>
  <si>
    <t>LOUISBURG</t>
  </si>
  <si>
    <t>COUNCIL GROVE</t>
  </si>
  <si>
    <t>SABETHA</t>
  </si>
  <si>
    <t>ABILENE</t>
  </si>
  <si>
    <t>WELLSVILLE</t>
  </si>
  <si>
    <t>SEDGWICK</t>
  </si>
  <si>
    <t>OSAGE CITY</t>
  </si>
  <si>
    <t>SHAWNEE</t>
  </si>
  <si>
    <t>WAKEFIELD</t>
  </si>
  <si>
    <t>KINSLEY</t>
  </si>
  <si>
    <t>PAOLA</t>
  </si>
  <si>
    <t>MINNEAPOLIS</t>
  </si>
  <si>
    <t>RUSSELL</t>
  </si>
  <si>
    <t>GREAT BEND</t>
  </si>
  <si>
    <t>DOUGLASS</t>
  </si>
  <si>
    <t>GODDARD</t>
  </si>
  <si>
    <t>SMITH CENTER</t>
  </si>
  <si>
    <t>CLAY CENTER</t>
  </si>
  <si>
    <t>PRATT</t>
  </si>
  <si>
    <t>NEODESHA</t>
  </si>
  <si>
    <t>HAYS</t>
  </si>
  <si>
    <t>NORTONVILLE</t>
  </si>
  <si>
    <t>ELLIS</t>
  </si>
  <si>
    <t>CHERRYVALE</t>
  </si>
  <si>
    <t>BALDWIN CITY</t>
  </si>
  <si>
    <t>PRAIRIE VILLAGE</t>
  </si>
  <si>
    <t>ST FRANCIS</t>
  </si>
  <si>
    <t>BELOIT</t>
  </si>
  <si>
    <t>MARYSVILLE</t>
  </si>
  <si>
    <t>ARMA</t>
  </si>
  <si>
    <t>ELLINWOOD</t>
  </si>
  <si>
    <t>OBERLIN</t>
  </si>
  <si>
    <t>WAMEGO</t>
  </si>
  <si>
    <t>GOODLAND</t>
  </si>
  <si>
    <t>FRONTENAC</t>
  </si>
  <si>
    <t>ATWOOD</t>
  </si>
  <si>
    <t>LA CROSSE</t>
  </si>
  <si>
    <t>SOUTH HUTCHINSON</t>
  </si>
  <si>
    <t>HESSTON</t>
  </si>
  <si>
    <t>YATES CENTER</t>
  </si>
  <si>
    <t>CHETOPA</t>
  </si>
  <si>
    <t>CHENEY</t>
  </si>
  <si>
    <t>BONNER SPRINGS</t>
  </si>
  <si>
    <t>NORTH NEWTON</t>
  </si>
  <si>
    <t>GOESSEL</t>
  </si>
  <si>
    <t>BUHLER</t>
  </si>
  <si>
    <t>INMAN</t>
  </si>
  <si>
    <t>OSBORNE</t>
  </si>
  <si>
    <t>BEL AIRE</t>
  </si>
  <si>
    <t>EASTON</t>
  </si>
  <si>
    <t>CONCORDIA</t>
  </si>
  <si>
    <t>SENECA</t>
  </si>
  <si>
    <t>GARNETT</t>
  </si>
  <si>
    <t>HOLTON</t>
  </si>
  <si>
    <t>HOWARD</t>
  </si>
  <si>
    <t>HALSTEAD</t>
  </si>
  <si>
    <t>WHITEWATER</t>
  </si>
  <si>
    <t>ESKRIDGE</t>
  </si>
  <si>
    <t>MULVANE</t>
  </si>
  <si>
    <t>PEABODY</t>
  </si>
  <si>
    <t>SAINT PAUL</t>
  </si>
  <si>
    <t>BAXTER SPRINGS</t>
  </si>
  <si>
    <t>WESTMORELAND</t>
  </si>
  <si>
    <t>DE SOTO</t>
  </si>
  <si>
    <t>GLASCO</t>
  </si>
  <si>
    <t>CHAPMAN</t>
  </si>
  <si>
    <t>LEONARDVILLE</t>
  </si>
  <si>
    <t>MOUNT HOPE</t>
  </si>
  <si>
    <t>PRETTY PRAIRIE</t>
  </si>
  <si>
    <t>HERINGTON</t>
  </si>
  <si>
    <t>CLYDE</t>
  </si>
  <si>
    <t>LINN</t>
  </si>
  <si>
    <t>BUCKLIN</t>
  </si>
  <si>
    <t>EUDORA</t>
  </si>
  <si>
    <t>CONWAY SPRINGS</t>
  </si>
  <si>
    <t>NORTON</t>
  </si>
  <si>
    <t>LINDSBORG</t>
  </si>
  <si>
    <t>LITTLE RIVER</t>
  </si>
  <si>
    <t>WAKEENEY</t>
  </si>
  <si>
    <t>SHARON SPGS</t>
  </si>
  <si>
    <t>SCOTT CITY</t>
  </si>
  <si>
    <t>ST JOHN</t>
  </si>
  <si>
    <t>STAFFORD</t>
  </si>
  <si>
    <t>CUNNINGHAM</t>
  </si>
  <si>
    <t>HORTON</t>
  </si>
  <si>
    <t>WHITESBURG</t>
  </si>
  <si>
    <t>MAYSVILLE</t>
  </si>
  <si>
    <t>MIDDLESBORO</t>
  </si>
  <si>
    <t>FLEMINGSBURG</t>
  </si>
  <si>
    <t>LEITCHFIELD</t>
  </si>
  <si>
    <t>CYNTHIANA</t>
  </si>
  <si>
    <t>CORBIN</t>
  </si>
  <si>
    <t>TOMPKINSVILLE</t>
  </si>
  <si>
    <t>MAYFIELD</t>
  </si>
  <si>
    <t>BOWLING GREEN</t>
  </si>
  <si>
    <t>LOUISA</t>
  </si>
  <si>
    <t>LONDON</t>
  </si>
  <si>
    <t>MURRAY</t>
  </si>
  <si>
    <t>MORGANTOWN</t>
  </si>
  <si>
    <t>MADISONVILLE</t>
  </si>
  <si>
    <t>CAMPBELLSVILLE</t>
  </si>
  <si>
    <t>HODGENVILLE</t>
  </si>
  <si>
    <t>LEXINGTON</t>
  </si>
  <si>
    <t>HOPKINSVILLE</t>
  </si>
  <si>
    <t>OWENSBORO</t>
  </si>
  <si>
    <t>GLASGOW</t>
  </si>
  <si>
    <t>PIKEVILLE</t>
  </si>
  <si>
    <t>BEREA</t>
  </si>
  <si>
    <t>ELIZABETHTOWN</t>
  </si>
  <si>
    <t>HENDERSON</t>
  </si>
  <si>
    <t>DAWSON SPRINGS</t>
  </si>
  <si>
    <t>HAZARD</t>
  </si>
  <si>
    <t>BARDSTOWN</t>
  </si>
  <si>
    <t>HINDMAN</t>
  </si>
  <si>
    <t>PRESTONSBURG</t>
  </si>
  <si>
    <t>SOMERSET</t>
  </si>
  <si>
    <t>MOREHEAD</t>
  </si>
  <si>
    <t>BARBOURVILLE</t>
  </si>
  <si>
    <t>WOODBURN</t>
  </si>
  <si>
    <t>PADUCAH</t>
  </si>
  <si>
    <t>SOUTH WILLIAMSON</t>
  </si>
  <si>
    <t>RADCLIFF</t>
  </si>
  <si>
    <t>PINEVILLE</t>
  </si>
  <si>
    <t>HYDEN</t>
  </si>
  <si>
    <t>CALVERT CITY</t>
  </si>
  <si>
    <t>FORT THOMAS</t>
  </si>
  <si>
    <t>HARRODSBURG</t>
  </si>
  <si>
    <t>PINE KNOT</t>
  </si>
  <si>
    <t>CAMPTON</t>
  </si>
  <si>
    <t>EDMONTON</t>
  </si>
  <si>
    <t>NICHOLASVILLE</t>
  </si>
  <si>
    <t>SALYERSVILLE</t>
  </si>
  <si>
    <t>PHELPS</t>
  </si>
  <si>
    <t>ELKHORN CITY</t>
  </si>
  <si>
    <t>VANCEBURG</t>
  </si>
  <si>
    <t>VILLA HILLS</t>
  </si>
  <si>
    <t>STANFORD</t>
  </si>
  <si>
    <t>BRODHEAD</t>
  </si>
  <si>
    <t>ANNVILLE</t>
  </si>
  <si>
    <t>FLATWOODS</t>
  </si>
  <si>
    <t>CADIZ</t>
  </si>
  <si>
    <t>GRAYSON</t>
  </si>
  <si>
    <t>OWINGSVILLE</t>
  </si>
  <si>
    <t>WURTLAND</t>
  </si>
  <si>
    <t>WILLIAMSTOWN</t>
  </si>
  <si>
    <t>JEFFERSONTOWN</t>
  </si>
  <si>
    <t>BURKESVILLE</t>
  </si>
  <si>
    <t>NERINX</t>
  </si>
  <si>
    <t>PEWEE VALLEY</t>
  </si>
  <si>
    <t>SOUTH SHORE</t>
  </si>
  <si>
    <t>HARDINSBURG</t>
  </si>
  <si>
    <t>JAMESTOWN</t>
  </si>
  <si>
    <t>SEBREE</t>
  </si>
  <si>
    <t>SAINT CATHARINE</t>
  </si>
  <si>
    <t>KUTTAWA</t>
  </si>
  <si>
    <t>LA CENTER</t>
  </si>
  <si>
    <t>SCOTTSVILLE</t>
  </si>
  <si>
    <t>TAYLORSVILLE</t>
  </si>
  <si>
    <t>MORGANFIELD</t>
  </si>
  <si>
    <t>BEAVER DAM</t>
  </si>
  <si>
    <t>BEATTYVILLE</t>
  </si>
  <si>
    <t>PEMBROKE</t>
  </si>
  <si>
    <t>IRVINE</t>
  </si>
  <si>
    <t>BRANDENBURG</t>
  </si>
  <si>
    <t>FORDSVILLE</t>
  </si>
  <si>
    <t>MOUNT OLIVET</t>
  </si>
  <si>
    <t>OWENTON</t>
  </si>
  <si>
    <t>INEZ</t>
  </si>
  <si>
    <t>HORSE CAVE</t>
  </si>
  <si>
    <t>BARDWELL</t>
  </si>
  <si>
    <t>LEWISPORT</t>
  </si>
  <si>
    <t>ELKTON</t>
  </si>
  <si>
    <t>BROWNSVILLE</t>
  </si>
  <si>
    <t>PAINTSVILLE</t>
  </si>
  <si>
    <t>SANDY HOOK</t>
  </si>
  <si>
    <t>FRENCHBURG</t>
  </si>
  <si>
    <t>CUMBERLAND</t>
  </si>
  <si>
    <t>ERLANGER</t>
  </si>
  <si>
    <t>ELSMERE</t>
  </si>
  <si>
    <t>MOUNT WASHINGTON</t>
  </si>
  <si>
    <t>HANSON</t>
  </si>
  <si>
    <t>WILMORE</t>
  </si>
  <si>
    <t>COLD SPRING</t>
  </si>
  <si>
    <t>DERIDDER</t>
  </si>
  <si>
    <t>JENNINGS</t>
  </si>
  <si>
    <t>OAK GROVE</t>
  </si>
  <si>
    <t>SPRINGHILL</t>
  </si>
  <si>
    <t>WINNFIELD</t>
  </si>
  <si>
    <t>MARKSVILLE</t>
  </si>
  <si>
    <t>HOMER</t>
  </si>
  <si>
    <t>BASTROP</t>
  </si>
  <si>
    <t>KINDER</t>
  </si>
  <si>
    <t>WINNSBORO</t>
  </si>
  <si>
    <t>JENA</t>
  </si>
  <si>
    <t>RAYVILLE</t>
  </si>
  <si>
    <t>VILLE PLATTE</t>
  </si>
  <si>
    <t>SHREVEPORT</t>
  </si>
  <si>
    <t>BATON ROUGE</t>
  </si>
  <si>
    <t>NEW ORLEANS</t>
  </si>
  <si>
    <t>GRETNA</t>
  </si>
  <si>
    <t>SLIDELL</t>
  </si>
  <si>
    <t>WEST MONROE</t>
  </si>
  <si>
    <t>KENNER</t>
  </si>
  <si>
    <t>HOUMA</t>
  </si>
  <si>
    <t>METAIRIE</t>
  </si>
  <si>
    <t>MARRERO</t>
  </si>
  <si>
    <t>NATCHITOCHES</t>
  </si>
  <si>
    <t>DESTREHAN</t>
  </si>
  <si>
    <t>BOSSIER CITY</t>
  </si>
  <si>
    <t>POLLOCK</t>
  </si>
  <si>
    <t>SLAUGHTER</t>
  </si>
  <si>
    <t>RUSTON</t>
  </si>
  <si>
    <t>THIBODAUX</t>
  </si>
  <si>
    <t>MANDEVILLE</t>
  </si>
  <si>
    <t>MINDEN</t>
  </si>
  <si>
    <t>FERRIDAY</t>
  </si>
  <si>
    <t>LAPLACE</t>
  </si>
  <si>
    <t>LUTCHER</t>
  </si>
  <si>
    <t>RACELAND</t>
  </si>
  <si>
    <t>MANY</t>
  </si>
  <si>
    <t>BREAUX BRIDGE</t>
  </si>
  <si>
    <t>KAPLAN</t>
  </si>
  <si>
    <t>OPELOUSAS</t>
  </si>
  <si>
    <t>FRANKLINTON</t>
  </si>
  <si>
    <t>VIVIAN</t>
  </si>
  <si>
    <t>NEW IBERIA</t>
  </si>
  <si>
    <t>GONZALES</t>
  </si>
  <si>
    <t>PLAQUEMINE</t>
  </si>
  <si>
    <t>MAURICE</t>
  </si>
  <si>
    <t>LACOMBE</t>
  </si>
  <si>
    <t>AMITE</t>
  </si>
  <si>
    <t>LULING</t>
  </si>
  <si>
    <t>ZACHARY</t>
  </si>
  <si>
    <t>PLAIN DEALING</t>
  </si>
  <si>
    <t>HARAHAN</t>
  </si>
  <si>
    <t>LAKE CHARLES</t>
  </si>
  <si>
    <t>ARNAUDVILLE</t>
  </si>
  <si>
    <t>MORGAN CITY</t>
  </si>
  <si>
    <t>DELHI</t>
  </si>
  <si>
    <t>BERNICE</t>
  </si>
  <si>
    <t>RINGGOLD</t>
  </si>
  <si>
    <t>ROSEPINE</t>
  </si>
  <si>
    <t>PATTERSON</t>
  </si>
  <si>
    <t>CROWLEY</t>
  </si>
  <si>
    <t>SULPHUR</t>
  </si>
  <si>
    <t>FARMERVILLE</t>
  </si>
  <si>
    <t>TALLULAH</t>
  </si>
  <si>
    <t>NEW ROADS</t>
  </si>
  <si>
    <t>MERRYVILLE</t>
  </si>
  <si>
    <t>GUEYDAN</t>
  </si>
  <si>
    <t>RAYNE</t>
  </si>
  <si>
    <t>JONESVILLE</t>
  </si>
  <si>
    <t>BELLE CHASSE</t>
  </si>
  <si>
    <t>LEESVILLE</t>
  </si>
  <si>
    <t>HAMMOND</t>
  </si>
  <si>
    <t>SAINT MARTINVILLE</t>
  </si>
  <si>
    <t>MANSURA</t>
  </si>
  <si>
    <t>DONALDSONVILLE</t>
  </si>
  <si>
    <t>NAPOLEONVILLE</t>
  </si>
  <si>
    <t>DENHAM SPRINGS</t>
  </si>
  <si>
    <t>WISNER</t>
  </si>
  <si>
    <t>ZWOLLE</t>
  </si>
  <si>
    <t>SAINT FRANCISVILLE</t>
  </si>
  <si>
    <t>HAYNESVILLE</t>
  </si>
  <si>
    <t>WELSH</t>
  </si>
  <si>
    <t>DEQUINCY</t>
  </si>
  <si>
    <t>KENTWOOD</t>
  </si>
  <si>
    <t>SIMMESPORT</t>
  </si>
  <si>
    <t>EUNICE</t>
  </si>
  <si>
    <t>HESSMER</t>
  </si>
  <si>
    <t>BAKER</t>
  </si>
  <si>
    <t>COUSHATTA</t>
  </si>
  <si>
    <t>CHURCH POINT</t>
  </si>
  <si>
    <t>JEANERETTE</t>
  </si>
  <si>
    <t>CENTER POINT</t>
  </si>
  <si>
    <t>PINE PRAIRIE</t>
  </si>
  <si>
    <t>CARENCRO</t>
  </si>
  <si>
    <t>DUPONT</t>
  </si>
  <si>
    <t>BASILE</t>
  </si>
  <si>
    <t>LOCKPORT</t>
  </si>
  <si>
    <t>LAKE PROVIDENCE</t>
  </si>
  <si>
    <t>BROUSSARD</t>
  </si>
  <si>
    <t>MER ROUGE</t>
  </si>
  <si>
    <t>PORT ALLEN</t>
  </si>
  <si>
    <t>BUNKIE</t>
  </si>
  <si>
    <t>MAMOU</t>
  </si>
  <si>
    <t>BOGALUSA</t>
  </si>
  <si>
    <t>RESERVE</t>
  </si>
  <si>
    <t>FORT KENT</t>
  </si>
  <si>
    <t>DOVER FOXCROFT</t>
  </si>
  <si>
    <t>MARS HILL</t>
  </si>
  <si>
    <t>BANGOR</t>
  </si>
  <si>
    <t>ORONO</t>
  </si>
  <si>
    <t>SKOWHEGAN</t>
  </si>
  <si>
    <t>BREWER</t>
  </si>
  <si>
    <t>KENNEBUNK</t>
  </si>
  <si>
    <t>FRYEBURG</t>
  </si>
  <si>
    <t>DAMARISCOTTA</t>
  </si>
  <si>
    <t>WESTBROOK</t>
  </si>
  <si>
    <t>SCARBOROUGH</t>
  </si>
  <si>
    <t>BRIDGTON</t>
  </si>
  <si>
    <t>DEER ISLE</t>
  </si>
  <si>
    <t>SOUTH PARIS</t>
  </si>
  <si>
    <t>BATH</t>
  </si>
  <si>
    <t>YARMOUTH</t>
  </si>
  <si>
    <t>HOULTON</t>
  </si>
  <si>
    <t>NORTH BERWICK</t>
  </si>
  <si>
    <t>WATERVILLE</t>
  </si>
  <si>
    <t>NORWAY</t>
  </si>
  <si>
    <t>RUMFORD</t>
  </si>
  <si>
    <t>PRESQUE ISLE</t>
  </si>
  <si>
    <t>SACO</t>
  </si>
  <si>
    <t>BIDDEFORD</t>
  </si>
  <si>
    <t>MACHIAS</t>
  </si>
  <si>
    <t>COOPERS MILLS</t>
  </si>
  <si>
    <t>FALMOUTH</t>
  </si>
  <si>
    <t>MADAWASKA</t>
  </si>
  <si>
    <t>DEXTER</t>
  </si>
  <si>
    <t>CARIBOU</t>
  </si>
  <si>
    <t>MILBRIDGE</t>
  </si>
  <si>
    <t>SO PORTLAND</t>
  </si>
  <si>
    <t>BELFAST</t>
  </si>
  <si>
    <t>ROCKLAND</t>
  </si>
  <si>
    <t>WEST PARIS</t>
  </si>
  <si>
    <t>EAGLE LAKE</t>
  </si>
  <si>
    <t>KITTERY</t>
  </si>
  <si>
    <t>WINTHROP</t>
  </si>
  <si>
    <t>BAR HARBOR</t>
  </si>
  <si>
    <t>HOWLAND</t>
  </si>
  <si>
    <t>FRENCHVILLE</t>
  </si>
  <si>
    <t>MILLINOCKET</t>
  </si>
  <si>
    <t>BOOTHBAY HARBOR</t>
  </si>
  <si>
    <t>BINGHAM</t>
  </si>
  <si>
    <t>GORHAM</t>
  </si>
  <si>
    <t>JONESPORT</t>
  </si>
  <si>
    <t>HARTLAND</t>
  </si>
  <si>
    <t>PATTEN</t>
  </si>
  <si>
    <t>FREDERICK</t>
  </si>
  <si>
    <t>ANNAPOLIS</t>
  </si>
  <si>
    <t>LEONARDTOWN</t>
  </si>
  <si>
    <t>BALTIMORE</t>
  </si>
  <si>
    <t>HYATTSVILLE</t>
  </si>
  <si>
    <t>CHEVY CHASE</t>
  </si>
  <si>
    <t>HAVRE DE GRACE</t>
  </si>
  <si>
    <t>TOWSON</t>
  </si>
  <si>
    <t>CRISFIELD</t>
  </si>
  <si>
    <t>ADELPHI</t>
  </si>
  <si>
    <t>PIKESVILLE</t>
  </si>
  <si>
    <t>DENTON</t>
  </si>
  <si>
    <t>RANDALLSTOWN</t>
  </si>
  <si>
    <t>BROOKLYN PARK</t>
  </si>
  <si>
    <t>BETHESDA</t>
  </si>
  <si>
    <t>CATONSVILLE</t>
  </si>
  <si>
    <t>GAITHERSBURG</t>
  </si>
  <si>
    <t>LAPLATA</t>
  </si>
  <si>
    <t>LANHAM</t>
  </si>
  <si>
    <t>HAGERSTOWN</t>
  </si>
  <si>
    <t>FROSTBURG</t>
  </si>
  <si>
    <t>TIMONIUM</t>
  </si>
  <si>
    <t>CROFTON</t>
  </si>
  <si>
    <t>SNOW HILL</t>
  </si>
  <si>
    <t>COCKEYSVILLE</t>
  </si>
  <si>
    <t>BERLIN</t>
  </si>
  <si>
    <t>SYKESVILLE</t>
  </si>
  <si>
    <t>POCOMOKE CITY</t>
  </si>
  <si>
    <t>DUNDALK</t>
  </si>
  <si>
    <t>GLEN BURNIE</t>
  </si>
  <si>
    <t>LAUREL</t>
  </si>
  <si>
    <t>LEXINGTON PARK</t>
  </si>
  <si>
    <t>SEVERNA PARK</t>
  </si>
  <si>
    <t>BOONSBORO</t>
  </si>
  <si>
    <t>FORT WASHINGTON</t>
  </si>
  <si>
    <t>GAMBRILLS</t>
  </si>
  <si>
    <t>ELLICOTT CITY</t>
  </si>
  <si>
    <t>CHARLOTTE HALL</t>
  </si>
  <si>
    <t>POTOMAC</t>
  </si>
  <si>
    <t>PRINCESS ANNE</t>
  </si>
  <si>
    <t>ARNOLD</t>
  </si>
  <si>
    <t>PRINCE FREDERICK</t>
  </si>
  <si>
    <t>CAMBRIDGE</t>
  </si>
  <si>
    <t>REISTERSTOWN</t>
  </si>
  <si>
    <t>FOREST HILL</t>
  </si>
  <si>
    <t>BRADDOCK HEIGHTS</t>
  </si>
  <si>
    <t>SANDY SPRING</t>
  </si>
  <si>
    <t>LUTHERVILLE</t>
  </si>
  <si>
    <t>BELCAMP</t>
  </si>
  <si>
    <t>CHESTERTOWN</t>
  </si>
  <si>
    <t>CROWNSVILLE</t>
  </si>
  <si>
    <t>WESTERNPORT</t>
  </si>
  <si>
    <t>GRANTSVILLE</t>
  </si>
  <si>
    <t>BOWIE</t>
  </si>
  <si>
    <t>EMMITSBURG</t>
  </si>
  <si>
    <t>MOUNT AIRY</t>
  </si>
  <si>
    <t>SOLOMONS</t>
  </si>
  <si>
    <t>WALDORF</t>
  </si>
  <si>
    <t>GLEN ARM</t>
  </si>
  <si>
    <t>EDGEWATER</t>
  </si>
  <si>
    <t>LONACONING</t>
  </si>
  <si>
    <t>PARKVILLE</t>
  </si>
  <si>
    <t>BEL AIR</t>
  </si>
  <si>
    <t>WALKERSVILLE</t>
  </si>
  <si>
    <t>BURTONSVILLE</t>
  </si>
  <si>
    <t>NORTH BETHESDA</t>
  </si>
  <si>
    <t>TAKOMA PARK</t>
  </si>
  <si>
    <t>ADAMSTOWN</t>
  </si>
  <si>
    <t>GLENARDEN</t>
  </si>
  <si>
    <t>TANEYTOWN</t>
  </si>
  <si>
    <t>ELKRIDGE</t>
  </si>
  <si>
    <t>WHITE PLAINS</t>
  </si>
  <si>
    <t>NANTUCKET</t>
  </si>
  <si>
    <t>HOLDEN</t>
  </si>
  <si>
    <t>MELROSE</t>
  </si>
  <si>
    <t>WORCESTER</t>
  </si>
  <si>
    <t>WEST ROXBURY</t>
  </si>
  <si>
    <t>BROCKTON</t>
  </si>
  <si>
    <t>LEOMINSTER</t>
  </si>
  <si>
    <t>LONGMEADOW</t>
  </si>
  <si>
    <t>BRAINTREE</t>
  </si>
  <si>
    <t>WEYMOUTH</t>
  </si>
  <si>
    <t>TAUNTON</t>
  </si>
  <si>
    <t>W CONCORD</t>
  </si>
  <si>
    <t>FAIRHAVEN</t>
  </si>
  <si>
    <t>BEVERLY</t>
  </si>
  <si>
    <t>MALDEN</t>
  </si>
  <si>
    <t>MIDDLEBORO</t>
  </si>
  <si>
    <t>SAUGUS</t>
  </si>
  <si>
    <t>COHASSET</t>
  </si>
  <si>
    <t>HYDE PARK</t>
  </si>
  <si>
    <t>WEST CONCORD</t>
  </si>
  <si>
    <t>AGAWAM</t>
  </si>
  <si>
    <t>FRAMINGHAM</t>
  </si>
  <si>
    <t>ACTON</t>
  </si>
  <si>
    <t>FALL RIVER</t>
  </si>
  <si>
    <t>DANVERS</t>
  </si>
  <si>
    <t>BOSTON</t>
  </si>
  <si>
    <t>NORWOOD</t>
  </si>
  <si>
    <t>FITCHBURG</t>
  </si>
  <si>
    <t>HAVERHILL</t>
  </si>
  <si>
    <t>WELLESLEY FMS</t>
  </si>
  <si>
    <t>NORTH EASTON</t>
  </si>
  <si>
    <t>AMESBURY</t>
  </si>
  <si>
    <t>GREAT BARRINGTON</t>
  </si>
  <si>
    <t>SOUTH DARTMOUTH</t>
  </si>
  <si>
    <t>ATTLEBORO</t>
  </si>
  <si>
    <t>WESTBOROUGH</t>
  </si>
  <si>
    <t>NORTHBRIDGE</t>
  </si>
  <si>
    <t>CHICOPEE</t>
  </si>
  <si>
    <t>HINGHAM</t>
  </si>
  <si>
    <t>NORTHAMPTON</t>
  </si>
  <si>
    <t>WEST SPRINGFIELD</t>
  </si>
  <si>
    <t>NEW BEDFORD</t>
  </si>
  <si>
    <t>HAMPDEN</t>
  </si>
  <si>
    <t>WELLESLEY</t>
  </si>
  <si>
    <t>NEWBURYPORT</t>
  </si>
  <si>
    <t>STONEHAM</t>
  </si>
  <si>
    <t>DUXBURY</t>
  </si>
  <si>
    <t>NEEDHAM</t>
  </si>
  <si>
    <t>SCITUATE</t>
  </si>
  <si>
    <t>WEBSTER</t>
  </si>
  <si>
    <t>SOUTHBRIDGE</t>
  </si>
  <si>
    <t>WILBRAHAM</t>
  </si>
  <si>
    <t>ATHOL</t>
  </si>
  <si>
    <t>REVERE</t>
  </si>
  <si>
    <t>EAST LONGMEADOW</t>
  </si>
  <si>
    <t>EVERETT</t>
  </si>
  <si>
    <t>WHITINSVILLE</t>
  </si>
  <si>
    <t>WEST NEWTON</t>
  </si>
  <si>
    <t>SOUTH DENNIS</t>
  </si>
  <si>
    <t>DEDHAM</t>
  </si>
  <si>
    <t>EAST BRIDGEWATER</t>
  </si>
  <si>
    <t>NORTH CHATHAM</t>
  </si>
  <si>
    <t>METHUEN</t>
  </si>
  <si>
    <t>WEST BOYLSTON</t>
  </si>
  <si>
    <t>MEDFORD</t>
  </si>
  <si>
    <t>NORTH ADAMS</t>
  </si>
  <si>
    <t>LYNN</t>
  </si>
  <si>
    <t>BOURNE</t>
  </si>
  <si>
    <t>SOUTH YARMOUTH</t>
  </si>
  <si>
    <t>RANDOLPH</t>
  </si>
  <si>
    <t>WEST BROOKFIELD</t>
  </si>
  <si>
    <t>LEEDS</t>
  </si>
  <si>
    <t>WEST YARMOUTH</t>
  </si>
  <si>
    <t>BALDWINVILLE</t>
  </si>
  <si>
    <t>WOBURN</t>
  </si>
  <si>
    <t>MARBLEHEAD</t>
  </si>
  <si>
    <t>NORTHBOROUGH</t>
  </si>
  <si>
    <t>LAKEVILLE</t>
  </si>
  <si>
    <t>WALTHAM</t>
  </si>
  <si>
    <t>MEDWAY</t>
  </si>
  <si>
    <t>BELMONT</t>
  </si>
  <si>
    <t>AMHERST</t>
  </si>
  <si>
    <t>AYER</t>
  </si>
  <si>
    <t>BREWSTER</t>
  </si>
  <si>
    <t>W ROXBURY</t>
  </si>
  <si>
    <t>READING</t>
  </si>
  <si>
    <t>ABINGTON</t>
  </si>
  <si>
    <t>DORCHESTER</t>
  </si>
  <si>
    <t>STOUGHTON</t>
  </si>
  <si>
    <t>CHELSEA</t>
  </si>
  <si>
    <t>GLOUCESTER</t>
  </si>
  <si>
    <t>SOMERVILLE</t>
  </si>
  <si>
    <t>NAHANT</t>
  </si>
  <si>
    <t>NORTH ATTLEBORO</t>
  </si>
  <si>
    <t>WRENTHAM</t>
  </si>
  <si>
    <t>NORTH READING</t>
  </si>
  <si>
    <t>NORWELL</t>
  </si>
  <si>
    <t>WAREHAM</t>
  </si>
  <si>
    <t>SHREWSBURY</t>
  </si>
  <si>
    <t>CHELMSFORD</t>
  </si>
  <si>
    <t>WESTON</t>
  </si>
  <si>
    <t>HYANNIS</t>
  </si>
  <si>
    <t>BROOKLINE</t>
  </si>
  <si>
    <t>NORTH ANDOVER</t>
  </si>
  <si>
    <t>NATICK</t>
  </si>
  <si>
    <t>HARWICH</t>
  </si>
  <si>
    <t>TURNERS FALLS</t>
  </si>
  <si>
    <t>WESTWOOD</t>
  </si>
  <si>
    <t>SUDBURY</t>
  </si>
  <si>
    <t>MATTAPAN</t>
  </si>
  <si>
    <t>WALPOLE</t>
  </si>
  <si>
    <t>BUZZARDS BAY</t>
  </si>
  <si>
    <t>KINGSTON</t>
  </si>
  <si>
    <t>BILLERICA</t>
  </si>
  <si>
    <t>TEWKSBURY</t>
  </si>
  <si>
    <t>WABAN</t>
  </si>
  <si>
    <t>CHESTNUT HILL</t>
  </si>
  <si>
    <t>ARLINGTON</t>
  </si>
  <si>
    <t>WESTFORD</t>
  </si>
  <si>
    <t>NORTH DIGHTON</t>
  </si>
  <si>
    <t>S NATICK</t>
  </si>
  <si>
    <t>BRIDGEWATER</t>
  </si>
  <si>
    <t>MIDDLEBOROUGH</t>
  </si>
  <si>
    <t>OAK BLUFFS</t>
  </si>
  <si>
    <t>PROVINCETOWN</t>
  </si>
  <si>
    <t>CHARLTON</t>
  </si>
  <si>
    <t>MEDFIELD</t>
  </si>
  <si>
    <t>RAYNHAM</t>
  </si>
  <si>
    <t>ROCHDALE</t>
  </si>
  <si>
    <t>N FALMOUTH</t>
  </si>
  <si>
    <t>NEWTON UPPER FALLS</t>
  </si>
  <si>
    <t>ROWLEY</t>
  </si>
  <si>
    <t>MASHPEE</t>
  </si>
  <si>
    <t>HADLEY</t>
  </si>
  <si>
    <t>WEST BRIDGEWATER</t>
  </si>
  <si>
    <t>HOLLISTON</t>
  </si>
  <si>
    <t>SUNDERLAND</t>
  </si>
  <si>
    <t>MILLBURY</t>
  </si>
  <si>
    <t>BLACKSTONE</t>
  </si>
  <si>
    <t>LEE</t>
  </si>
  <si>
    <t>TOPSFIELD</t>
  </si>
  <si>
    <t>SOUTH HADLEY</t>
  </si>
  <si>
    <t>UXBRIDGE</t>
  </si>
  <si>
    <t>SANDISFIELD</t>
  </si>
  <si>
    <t>IRON MOUNTAIN</t>
  </si>
  <si>
    <t>HANCOCK</t>
  </si>
  <si>
    <t>HART</t>
  </si>
  <si>
    <t>MANISTEE</t>
  </si>
  <si>
    <t>MUSKEGON</t>
  </si>
  <si>
    <t>GAYLORD</t>
  </si>
  <si>
    <t>COLDWATER</t>
  </si>
  <si>
    <t>HASTINGS</t>
  </si>
  <si>
    <t>TAWAS CITY</t>
  </si>
  <si>
    <t>REDFORD</t>
  </si>
  <si>
    <t>OKEMOS</t>
  </si>
  <si>
    <t>CLARE</t>
  </si>
  <si>
    <t>BELLAIRE</t>
  </si>
  <si>
    <t>CHARLOTTE</t>
  </si>
  <si>
    <t>BAD AXE</t>
  </si>
  <si>
    <t>IONIA</t>
  </si>
  <si>
    <t>HARBOR SPRINGS</t>
  </si>
  <si>
    <t>GRAND RAPIDS</t>
  </si>
  <si>
    <t>ROCHESTER HILLS</t>
  </si>
  <si>
    <t>GRANDVILLE</t>
  </si>
  <si>
    <t>SAINT IGNACE</t>
  </si>
  <si>
    <t>ESSEXVILLE</t>
  </si>
  <si>
    <t>KALAMAZOO</t>
  </si>
  <si>
    <t>LAKEVIEW</t>
  </si>
  <si>
    <t>SAGINAW</t>
  </si>
  <si>
    <t>LIVONIA</t>
  </si>
  <si>
    <t>LAPEER</t>
  </si>
  <si>
    <t>EAST JORDAN</t>
  </si>
  <si>
    <t>SOUTH LYON</t>
  </si>
  <si>
    <t>CORUNNA</t>
  </si>
  <si>
    <t>POWERS</t>
  </si>
  <si>
    <t>LUDINGTON</t>
  </si>
  <si>
    <t>MARLETTE</t>
  </si>
  <si>
    <t>HOLLAND</t>
  </si>
  <si>
    <t>TRAVERSE CITY</t>
  </si>
  <si>
    <t>CARO</t>
  </si>
  <si>
    <t>CADILLAC</t>
  </si>
  <si>
    <t>DETROIT</t>
  </si>
  <si>
    <t>GROSSE POINTE WOODS</t>
  </si>
  <si>
    <t>FLUSHING</t>
  </si>
  <si>
    <t>L' ANSE</t>
  </si>
  <si>
    <t>MANISTIQUE</t>
  </si>
  <si>
    <t>MOUNT CLEMENS</t>
  </si>
  <si>
    <t>SANDUSKY</t>
  </si>
  <si>
    <t>ONTONAGON</t>
  </si>
  <si>
    <t>STEVENSVILLE</t>
  </si>
  <si>
    <t>GRAND BLANC</t>
  </si>
  <si>
    <t>FRANKENMUTH</t>
  </si>
  <si>
    <t>ESCANABA</t>
  </si>
  <si>
    <t>FLINT</t>
  </si>
  <si>
    <t>MADISON HEIGHTS</t>
  </si>
  <si>
    <t>STANDISH</t>
  </si>
  <si>
    <t>HILLSDALE</t>
  </si>
  <si>
    <t>GRAYLING</t>
  </si>
  <si>
    <t>REED CITY</t>
  </si>
  <si>
    <t>WHITEHALL</t>
  </si>
  <si>
    <t>SUTTONS BAY</t>
  </si>
  <si>
    <t>ALLEGAN</t>
  </si>
  <si>
    <t>CLAWSON</t>
  </si>
  <si>
    <t>BLOOMFIELD HILLS</t>
  </si>
  <si>
    <t>ANN ARBOR</t>
  </si>
  <si>
    <t>WESTLAND</t>
  </si>
  <si>
    <t>EAST LANSING</t>
  </si>
  <si>
    <t>SALINE</t>
  </si>
  <si>
    <t>MIDLAND</t>
  </si>
  <si>
    <t>DIMONDALE</t>
  </si>
  <si>
    <t>CRYSTAL FALLS</t>
  </si>
  <si>
    <t>STERLING HEIGHTS</t>
  </si>
  <si>
    <t>SOUTHGATE</t>
  </si>
  <si>
    <t>KINGSFORD</t>
  </si>
  <si>
    <t>SOUTH HAVEN</t>
  </si>
  <si>
    <t>HOLT</t>
  </si>
  <si>
    <t>ALPENA</t>
  </si>
  <si>
    <t>CASS CITY</t>
  </si>
  <si>
    <t>WEST BLOOMFIELD</t>
  </si>
  <si>
    <t>SAULT SAINTE MARIE</t>
  </si>
  <si>
    <t>CEDAR SPRINGS</t>
  </si>
  <si>
    <t>HARBOR BEACH</t>
  </si>
  <si>
    <t>SOUTHFIELD</t>
  </si>
  <si>
    <t>RIVERVIEW</t>
  </si>
  <si>
    <t>CENTER LINE</t>
  </si>
  <si>
    <t>BIG RAPIDS</t>
  </si>
  <si>
    <t>SAINT CLAIR SHORES</t>
  </si>
  <si>
    <t>ISHPEMING</t>
  </si>
  <si>
    <t>FERNDALE</t>
  </si>
  <si>
    <t>SAINT LOUIS</t>
  </si>
  <si>
    <t>HUDSONVILLE</t>
  </si>
  <si>
    <t>HOWELL</t>
  </si>
  <si>
    <t>GLADWIN</t>
  </si>
  <si>
    <t>STURGIS</t>
  </si>
  <si>
    <t>ZEELAND</t>
  </si>
  <si>
    <t>FENTON</t>
  </si>
  <si>
    <t>CASSOPOLIS</t>
  </si>
  <si>
    <t>LAMONT</t>
  </si>
  <si>
    <t>GRAND HAVEN</t>
  </si>
  <si>
    <t>BELDING</t>
  </si>
  <si>
    <t>SPRING ARBOR</t>
  </si>
  <si>
    <t>PORT HURON</t>
  </si>
  <si>
    <t>EAST CHINA</t>
  </si>
  <si>
    <t>YALE</t>
  </si>
  <si>
    <t>SPRING LAKE</t>
  </si>
  <si>
    <t>WOODHAVEN</t>
  </si>
  <si>
    <t>ROSE CITY</t>
  </si>
  <si>
    <t>HAMTRAMCK</t>
  </si>
  <si>
    <t>BAY CITY</t>
  </si>
  <si>
    <t>ORION</t>
  </si>
  <si>
    <t>CLINTON TOWNSHIP</t>
  </si>
  <si>
    <t>KALKASKA</t>
  </si>
  <si>
    <t>MUNISING</t>
  </si>
  <si>
    <t>FORT GRATIOT</t>
  </si>
  <si>
    <t>HILLMAN</t>
  </si>
  <si>
    <t>DEARBORN HEIGHTS</t>
  </si>
  <si>
    <t>PETOSKEY</t>
  </si>
  <si>
    <t>WHITE LAKE</t>
  </si>
  <si>
    <t>ROYAL OAK</t>
  </si>
  <si>
    <t>MATTAWAN</t>
  </si>
  <si>
    <t>MC BAIN</t>
  </si>
  <si>
    <t>ALLEN PARK</t>
  </si>
  <si>
    <t>WYOMING</t>
  </si>
  <si>
    <t>DECKERVILLE</t>
  </si>
  <si>
    <t>ALLENDALE</t>
  </si>
  <si>
    <t>FRASER</t>
  </si>
  <si>
    <t>CLARKSTON</t>
  </si>
  <si>
    <t>FARMINGTON HILLS</t>
  </si>
  <si>
    <t>FARWELL</t>
  </si>
  <si>
    <t>PLAINWELL</t>
  </si>
  <si>
    <t>OWOSSO</t>
  </si>
  <si>
    <t>HARPER WOODS</t>
  </si>
  <si>
    <t>LAKE ORION</t>
  </si>
  <si>
    <t>ORCHARD LAKE</t>
  </si>
  <si>
    <t>DEARBORN</t>
  </si>
  <si>
    <t>YPSILANTI</t>
  </si>
  <si>
    <t>SHELBY TOWNSHIP</t>
  </si>
  <si>
    <t>ROSCOMMON</t>
  </si>
  <si>
    <t>PERRINTON</t>
  </si>
  <si>
    <t>CLIO</t>
  </si>
  <si>
    <t>HOUGHTON LAKE</t>
  </si>
  <si>
    <t>WAYNE</t>
  </si>
  <si>
    <t>NORTH MUSKEGON</t>
  </si>
  <si>
    <t>CHARLEVOIX</t>
  </si>
  <si>
    <t>CHESTERFIELD TOWNSHI</t>
  </si>
  <si>
    <t>NOVI</t>
  </si>
  <si>
    <t>ASHLEY</t>
  </si>
  <si>
    <t>BENTON HARBOR</t>
  </si>
  <si>
    <t>WHITMORE LAKE</t>
  </si>
  <si>
    <t>HUBBELL</t>
  </si>
  <si>
    <t>ROGERS CITY</t>
  </si>
  <si>
    <t>NEGAUNEE</t>
  </si>
  <si>
    <t>MENOMINEE</t>
  </si>
  <si>
    <t>TECUMSEH</t>
  </si>
  <si>
    <t>IRONWOOD</t>
  </si>
  <si>
    <t>CHEBOYGAN</t>
  </si>
  <si>
    <t>OVID</t>
  </si>
  <si>
    <t>MAPLE CITY</t>
  </si>
  <si>
    <t>STEPHENSON</t>
  </si>
  <si>
    <t>KAWKAWLIN</t>
  </si>
  <si>
    <t>IRON RIVER</t>
  </si>
  <si>
    <t>SAINT JOHNS</t>
  </si>
  <si>
    <t>ST JOSEPH</t>
  </si>
  <si>
    <t>MAYVILLE</t>
  </si>
  <si>
    <t>ARMADA</t>
  </si>
  <si>
    <t>UTICA</t>
  </si>
  <si>
    <t>BRIDGMAN</t>
  </si>
  <si>
    <t>HARRISVILLE</t>
  </si>
  <si>
    <t>CARSON CITY</t>
  </si>
  <si>
    <t>CHESANING</t>
  </si>
  <si>
    <t>TEMPERANCE</t>
  </si>
  <si>
    <t>DOWAGIAC</t>
  </si>
  <si>
    <t>GR BLANC</t>
  </si>
  <si>
    <t>BEVERLY HILLS</t>
  </si>
  <si>
    <t>ROMEO</t>
  </si>
  <si>
    <t>WORTHINGTON</t>
  </si>
  <si>
    <t>FAIRMONT</t>
  </si>
  <si>
    <t>ELK RIVER</t>
  </si>
  <si>
    <t>COLUMBIA HEIGHTS</t>
  </si>
  <si>
    <t>CARLTON</t>
  </si>
  <si>
    <t>BEMIDJI</t>
  </si>
  <si>
    <t>CLOQUET</t>
  </si>
  <si>
    <t>MOORHEAD</t>
  </si>
  <si>
    <t>FARIBAULT</t>
  </si>
  <si>
    <t>SAINT LOUIS PARK</t>
  </si>
  <si>
    <t>WAYZATA</t>
  </si>
  <si>
    <t>WINONA</t>
  </si>
  <si>
    <t>AITKIN</t>
  </si>
  <si>
    <t>EVELETH</t>
  </si>
  <si>
    <t>ONAMIA</t>
  </si>
  <si>
    <t>ELY</t>
  </si>
  <si>
    <t>NEW HOPE</t>
  </si>
  <si>
    <t>NEW BRIGHTON</t>
  </si>
  <si>
    <t>GOLDEN VALLEY</t>
  </si>
  <si>
    <t>WEST SAINT PAUL</t>
  </si>
  <si>
    <t>FOREST LAKE</t>
  </si>
  <si>
    <t>FRIDLEY</t>
  </si>
  <si>
    <t>ANOKA</t>
  </si>
  <si>
    <t>STILLWATER</t>
  </si>
  <si>
    <t>SPRING PARK</t>
  </si>
  <si>
    <t>DETROIT LAKES</t>
  </si>
  <si>
    <t>BURNSVILLE</t>
  </si>
  <si>
    <t>DULUTH</t>
  </si>
  <si>
    <t>MAPLEWOOD</t>
  </si>
  <si>
    <t>RED WING</t>
  </si>
  <si>
    <t>SLEEPY EYE</t>
  </si>
  <si>
    <t>APPLETON</t>
  </si>
  <si>
    <t>CROSBY</t>
  </si>
  <si>
    <t>WACONIA</t>
  </si>
  <si>
    <t>WOODBURY</t>
  </si>
  <si>
    <t>REDWOOD FALLS</t>
  </si>
  <si>
    <t>MAHNOMEN</t>
  </si>
  <si>
    <t>HIBBING</t>
  </si>
  <si>
    <t>NORTHFIELD</t>
  </si>
  <si>
    <t>GRANITE FALLS</t>
  </si>
  <si>
    <t>LONG PRAIRIE</t>
  </si>
  <si>
    <t>CHISHOLM</t>
  </si>
  <si>
    <t>HALLOCK</t>
  </si>
  <si>
    <t>CROOKSTON</t>
  </si>
  <si>
    <t>THIEF RIVER FALLS</t>
  </si>
  <si>
    <t>PAYNESVILLE</t>
  </si>
  <si>
    <t>LITTLE FALLS</t>
  </si>
  <si>
    <t>MONTEVIDEO</t>
  </si>
  <si>
    <t>APPLE VALLEY</t>
  </si>
  <si>
    <t>BRECKENRIDGE</t>
  </si>
  <si>
    <t>ST ANTHONY</t>
  </si>
  <si>
    <t>SAUK RAPIDS</t>
  </si>
  <si>
    <t>RICHFIELD</t>
  </si>
  <si>
    <t>HOWARD LAKE</t>
  </si>
  <si>
    <t>ROBBINSDALE</t>
  </si>
  <si>
    <t>INVER GROVE HEIGHTS</t>
  </si>
  <si>
    <t>PIERZ</t>
  </si>
  <si>
    <t>CRYSTAL</t>
  </si>
  <si>
    <t>OLIVIA</t>
  </si>
  <si>
    <t>MORA</t>
  </si>
  <si>
    <t>HOPKINS</t>
  </si>
  <si>
    <t>FRAZEE</t>
  </si>
  <si>
    <t>WHITE BEAR LAKE</t>
  </si>
  <si>
    <t>ERSKINE</t>
  </si>
  <si>
    <t>CANNON FALLS</t>
  </si>
  <si>
    <t>BAGLEY</t>
  </si>
  <si>
    <t>EDEN PRAIRIE</t>
  </si>
  <si>
    <t>TRIMONT</t>
  </si>
  <si>
    <t>NEW RICHLAND</t>
  </si>
  <si>
    <t>AUSTIN</t>
  </si>
  <si>
    <t>INTERNATIONAL FALLS</t>
  </si>
  <si>
    <t>LA CRESCENT</t>
  </si>
  <si>
    <t>WALKER</t>
  </si>
  <si>
    <t>IVANHOE</t>
  </si>
  <si>
    <t>CHISAGO CITY</t>
  </si>
  <si>
    <t>WARROAD</t>
  </si>
  <si>
    <t>SARTELL</t>
  </si>
  <si>
    <t>EXCELSIOR</t>
  </si>
  <si>
    <t>FAIRFAX</t>
  </si>
  <si>
    <t>ALBERT LEA</t>
  </si>
  <si>
    <t>SAUK CENTRE</t>
  </si>
  <si>
    <t>DODGE CENTER</t>
  </si>
  <si>
    <t>PLAINVIEW</t>
  </si>
  <si>
    <t>TRUMAN</t>
  </si>
  <si>
    <t>RUSH CITY</t>
  </si>
  <si>
    <t>STEWARTVILLE</t>
  </si>
  <si>
    <t>MCINTOSH</t>
  </si>
  <si>
    <t>TYLER</t>
  </si>
  <si>
    <t>WATKINS</t>
  </si>
  <si>
    <t>PINE ISLAND</t>
  </si>
  <si>
    <t>ANNANDALE</t>
  </si>
  <si>
    <t>GRAND MEADOW</t>
  </si>
  <si>
    <t>NORTH BRANCH</t>
  </si>
  <si>
    <t>TRACY</t>
  </si>
  <si>
    <t>BLUE EARTH</t>
  </si>
  <si>
    <t>PELICAN RAPIDS</t>
  </si>
  <si>
    <t>PINE CITY</t>
  </si>
  <si>
    <t>WAITE PARK</t>
  </si>
  <si>
    <t>ZUMBROTA</t>
  </si>
  <si>
    <t>LAMBERTON</t>
  </si>
  <si>
    <t>KENYON</t>
  </si>
  <si>
    <t>OWATONNA</t>
  </si>
  <si>
    <t>GRAND MARAIS</t>
  </si>
  <si>
    <t>SLAYTON</t>
  </si>
  <si>
    <t>WASECA</t>
  </si>
  <si>
    <t>MANKATO</t>
  </si>
  <si>
    <t>COOK</t>
  </si>
  <si>
    <t>RUSHFORD</t>
  </si>
  <si>
    <t>WABASSO</t>
  </si>
  <si>
    <t>LE CENTER</t>
  </si>
  <si>
    <t>BATTLE LAKE</t>
  </si>
  <si>
    <t>PARK RAPIDS</t>
  </si>
  <si>
    <t>WILLMAR</t>
  </si>
  <si>
    <t>COKATO</t>
  </si>
  <si>
    <t>LE SUEUR</t>
  </si>
  <si>
    <t>BELGRADE</t>
  </si>
  <si>
    <t>TWIN VALLEY</t>
  </si>
  <si>
    <t>STAPLES</t>
  </si>
  <si>
    <t>MILACA</t>
  </si>
  <si>
    <t>CHATFIELD</t>
  </si>
  <si>
    <t>ARDEN HILLS</t>
  </si>
  <si>
    <t>DEER RIVER</t>
  </si>
  <si>
    <t>SPRING GROVE</t>
  </si>
  <si>
    <t>HAYFIELD</t>
  </si>
  <si>
    <t>CANBY</t>
  </si>
  <si>
    <t>WELLS</t>
  </si>
  <si>
    <t>JANESVILLE</t>
  </si>
  <si>
    <t>SHAKOPEE</t>
  </si>
  <si>
    <t>ORTONVILLE</t>
  </si>
  <si>
    <t>FERGUS FALLS</t>
  </si>
  <si>
    <t>SANDSTONE</t>
  </si>
  <si>
    <t>WINSTED</t>
  </si>
  <si>
    <t>BROOKLYN CENTER</t>
  </si>
  <si>
    <t>OSTRANDER</t>
  </si>
  <si>
    <t>OSAKIS</t>
  </si>
  <si>
    <t>HENDRICKS</t>
  </si>
  <si>
    <t>KARLSTAD</t>
  </si>
  <si>
    <t>ROSEAU</t>
  </si>
  <si>
    <t>TWO HARBORS</t>
  </si>
  <si>
    <t>BUFFALO</t>
  </si>
  <si>
    <t>BELVIEW</t>
  </si>
  <si>
    <t>PINE RIVER</t>
  </si>
  <si>
    <t>BLOOMING PRAIRIE</t>
  </si>
  <si>
    <t>PERHAM</t>
  </si>
  <si>
    <t>WABASHA</t>
  </si>
  <si>
    <t>BRAINERD</t>
  </si>
  <si>
    <t>NEW ULM</t>
  </si>
  <si>
    <t>MOOSE LAKE</t>
  </si>
  <si>
    <t>MINNEOTA</t>
  </si>
  <si>
    <t>MAPLE PLAIN</t>
  </si>
  <si>
    <t>CALEDONIA</t>
  </si>
  <si>
    <t>ST PETER</t>
  </si>
  <si>
    <t>ADA</t>
  </si>
  <si>
    <t>ADAMS</t>
  </si>
  <si>
    <t>FOSSTON</t>
  </si>
  <si>
    <t>NEW PRAGUE</t>
  </si>
  <si>
    <t>CLARISSA</t>
  </si>
  <si>
    <t>MADELIA</t>
  </si>
  <si>
    <t>CLEARBROOK</t>
  </si>
  <si>
    <t>HARMONY</t>
  </si>
  <si>
    <t>BIGFORK</t>
  </si>
  <si>
    <t>DASSEL</t>
  </si>
  <si>
    <t>REDLAKE</t>
  </si>
  <si>
    <t>MABEL</t>
  </si>
  <si>
    <t>STARBUCK</t>
  </si>
  <si>
    <t>HENNING</t>
  </si>
  <si>
    <t>LITTLEFORK</t>
  </si>
  <si>
    <t>FERTILE</t>
  </si>
  <si>
    <t>HILLS</t>
  </si>
  <si>
    <t>MOUNTAIN LAKE</t>
  </si>
  <si>
    <t>CLARKFIELD</t>
  </si>
  <si>
    <t>BALATON</t>
  </si>
  <si>
    <t>RENVILLE</t>
  </si>
  <si>
    <t>WINDOM</t>
  </si>
  <si>
    <t>ULEN</t>
  </si>
  <si>
    <t>EDGERTON</t>
  </si>
  <si>
    <t>NEW YORK MILLS</t>
  </si>
  <si>
    <t>MENAHGA</t>
  </si>
  <si>
    <t>BROWNS VALLEY</t>
  </si>
  <si>
    <t>HOUSTON</t>
  </si>
  <si>
    <t>HALSTAD</t>
  </si>
  <si>
    <t>FULDA</t>
  </si>
  <si>
    <t>LAKEFIELD</t>
  </si>
  <si>
    <t>CLARA CITY</t>
  </si>
  <si>
    <t>BARRETT</t>
  </si>
  <si>
    <t>BAUDETTE</t>
  </si>
  <si>
    <t>WADENA</t>
  </si>
  <si>
    <t>PARKERS PRAIRIE</t>
  </si>
  <si>
    <t>BUFFALO LAKE</t>
  </si>
  <si>
    <t>PIPESTONE</t>
  </si>
  <si>
    <t>ST JAMES</t>
  </si>
  <si>
    <t>MORGAN</t>
  </si>
  <si>
    <t>BLACKDUCK</t>
  </si>
  <si>
    <t>CHASKA</t>
  </si>
  <si>
    <t>OAK PARK HEIGHTS</t>
  </si>
  <si>
    <t>IUKA</t>
  </si>
  <si>
    <t>HOLLY SPRINGS</t>
  </si>
  <si>
    <t>BAY SPRINGS</t>
  </si>
  <si>
    <t>EUPORA</t>
  </si>
  <si>
    <t>AMORY</t>
  </si>
  <si>
    <t>PHILADELPHIA</t>
  </si>
  <si>
    <t>STARKVILLE</t>
  </si>
  <si>
    <t>WATER VALLEY</t>
  </si>
  <si>
    <t>ROLLING FORK</t>
  </si>
  <si>
    <t>MAGEE</t>
  </si>
  <si>
    <t>PRENTISS</t>
  </si>
  <si>
    <t>BILOXI</t>
  </si>
  <si>
    <t>ABERDEEN</t>
  </si>
  <si>
    <t>TYLERTOWN</t>
  </si>
  <si>
    <t>MCCOMB</t>
  </si>
  <si>
    <t>RIPLEY</t>
  </si>
  <si>
    <t>GRENADA</t>
  </si>
  <si>
    <t>TUPELO</t>
  </si>
  <si>
    <t>CARTHAGE</t>
  </si>
  <si>
    <t>SOUTHAVEN</t>
  </si>
  <si>
    <t>CORINTH</t>
  </si>
  <si>
    <t>RULEVILLE</t>
  </si>
  <si>
    <t>VICKSBURG</t>
  </si>
  <si>
    <t>PICAYUNE</t>
  </si>
  <si>
    <t>OCEAN SPRINGS</t>
  </si>
  <si>
    <t>YAZOO CITY</t>
  </si>
  <si>
    <t>PETAL</t>
  </si>
  <si>
    <t>MENDENHALL</t>
  </si>
  <si>
    <t>HATTIESBURG</t>
  </si>
  <si>
    <t>RICHTON</t>
  </si>
  <si>
    <t>BALDWYN</t>
  </si>
  <si>
    <t>BROOKHAVEN</t>
  </si>
  <si>
    <t>DIAMONDHEAD</t>
  </si>
  <si>
    <t>NATCHEZ</t>
  </si>
  <si>
    <t>MOSS POINT</t>
  </si>
  <si>
    <t>LEAKESVILLE</t>
  </si>
  <si>
    <t>LUCEDALE</t>
  </si>
  <si>
    <t>KOSCIUSKO</t>
  </si>
  <si>
    <t>PORT GIBSON</t>
  </si>
  <si>
    <t>PASCAGOULA</t>
  </si>
  <si>
    <t>MEADVILLE</t>
  </si>
  <si>
    <t>COLLINS</t>
  </si>
  <si>
    <t>WIGGINS</t>
  </si>
  <si>
    <t>DE KALB</t>
  </si>
  <si>
    <t>BELZONI</t>
  </si>
  <si>
    <t>UNION</t>
  </si>
  <si>
    <t>CLARKSDALE</t>
  </si>
  <si>
    <t>PONTOTOC</t>
  </si>
  <si>
    <t>RIDGELAND</t>
  </si>
  <si>
    <t>SARDIS</t>
  </si>
  <si>
    <t>HORN LAKE</t>
  </si>
  <si>
    <t>VAIDEN</t>
  </si>
  <si>
    <t>V'BURG</t>
  </si>
  <si>
    <t>PASS CHRISTIAN</t>
  </si>
  <si>
    <t>GAUTIER</t>
  </si>
  <si>
    <t>CRYSTAL SPRINGS</t>
  </si>
  <si>
    <t>SHELBY</t>
  </si>
  <si>
    <t>SENATOBIA</t>
  </si>
  <si>
    <t>BYHALIA</t>
  </si>
  <si>
    <t>BAY SAINT LOUIS</t>
  </si>
  <si>
    <t>DIBERVILLE</t>
  </si>
  <si>
    <t>BRUCE</t>
  </si>
  <si>
    <t>PEARL</t>
  </si>
  <si>
    <t>DURANT</t>
  </si>
  <si>
    <t>TUNICA</t>
  </si>
  <si>
    <t>ELLISVILLE</t>
  </si>
  <si>
    <t>LUMBERTON</t>
  </si>
  <si>
    <t>RALEIGH</t>
  </si>
  <si>
    <t>KIRKSVILLE</t>
  </si>
  <si>
    <t>CAMERON</t>
  </si>
  <si>
    <t>HAYTI</t>
  </si>
  <si>
    <t>MOBERLY</t>
  </si>
  <si>
    <t>WARRENSBURG</t>
  </si>
  <si>
    <t>BOLIVAR</t>
  </si>
  <si>
    <t>TOWN AND COUNTRY</t>
  </si>
  <si>
    <t>CABOOL</t>
  </si>
  <si>
    <t>CAMDENTON</t>
  </si>
  <si>
    <t>LEES SUMMIT</t>
  </si>
  <si>
    <t>HANNIBAL</t>
  </si>
  <si>
    <t>FLORISSANT</t>
  </si>
  <si>
    <t>SAINT CHARLES</t>
  </si>
  <si>
    <t>VALLEY PARK</t>
  </si>
  <si>
    <t>SAINT ROBERT</t>
  </si>
  <si>
    <t>SUNSET HILLS</t>
  </si>
  <si>
    <t>CAPE GIRARDEAU</t>
  </si>
  <si>
    <t>SEDALIA</t>
  </si>
  <si>
    <t>WEST PLAINS</t>
  </si>
  <si>
    <t>DESLOGE</t>
  </si>
  <si>
    <t>KENNETT</t>
  </si>
  <si>
    <t>MARCELINE</t>
  </si>
  <si>
    <t>OSAGE BEACH</t>
  </si>
  <si>
    <t>JOPLIN</t>
  </si>
  <si>
    <t>WRIGHT CITY</t>
  </si>
  <si>
    <t>POPLAR BLUFF</t>
  </si>
  <si>
    <t>JEFFERSON CITY</t>
  </si>
  <si>
    <t>NEW MADRID</t>
  </si>
  <si>
    <t>STEELE</t>
  </si>
  <si>
    <t>HERCULANEUM</t>
  </si>
  <si>
    <t>SAINT JAMES</t>
  </si>
  <si>
    <t>CRANE</t>
  </si>
  <si>
    <t>BRIDGETON</t>
  </si>
  <si>
    <t>PALMYRA</t>
  </si>
  <si>
    <t>HERMITAGE</t>
  </si>
  <si>
    <t>THAYER</t>
  </si>
  <si>
    <t>AVA</t>
  </si>
  <si>
    <t>BELLEVIEW</t>
  </si>
  <si>
    <t>NEOSHO</t>
  </si>
  <si>
    <t>ROLLA</t>
  </si>
  <si>
    <t>KIMBERLING CITY</t>
  </si>
  <si>
    <t>WEBB CITY</t>
  </si>
  <si>
    <t>MARYLAND HEIGHTS</t>
  </si>
  <si>
    <t>WENTZVILLE</t>
  </si>
  <si>
    <t>O FALLON</t>
  </si>
  <si>
    <t>NIXA</t>
  </si>
  <si>
    <t>BLACK JACK</t>
  </si>
  <si>
    <t>REPUBLIC</t>
  </si>
  <si>
    <t>JONESBURG</t>
  </si>
  <si>
    <t>WILLOW SPRINGS</t>
  </si>
  <si>
    <t>SAINT JOSEPH</t>
  </si>
  <si>
    <t>PACIFIC</t>
  </si>
  <si>
    <t>RAYTOWN</t>
  </si>
  <si>
    <t>CREVE COEUR</t>
  </si>
  <si>
    <t>HARRISONVILLE</t>
  </si>
  <si>
    <t>BALLWIN</t>
  </si>
  <si>
    <t>GRANDVIEW</t>
  </si>
  <si>
    <t>EXCELSIOR SPRINGS</t>
  </si>
  <si>
    <t>BIRCH TREE</t>
  </si>
  <si>
    <t>FESTUS</t>
  </si>
  <si>
    <t>WAYNESVILLE</t>
  </si>
  <si>
    <t>HUMANSVILLE</t>
  </si>
  <si>
    <t>SIKESTON</t>
  </si>
  <si>
    <t>SENATH</t>
  </si>
  <si>
    <t>BRANSON</t>
  </si>
  <si>
    <t>CALIFORNIA</t>
  </si>
  <si>
    <t>MOUNTAIN GROVE</t>
  </si>
  <si>
    <t>GIDEON</t>
  </si>
  <si>
    <t>MONETT</t>
  </si>
  <si>
    <t>CENTER</t>
  </si>
  <si>
    <t>CEDAR HILL</t>
  </si>
  <si>
    <t>LOWRY CITY</t>
  </si>
  <si>
    <t>MOKANE</t>
  </si>
  <si>
    <t>GERALD</t>
  </si>
  <si>
    <t>BETHANY</t>
  </si>
  <si>
    <t>EL DORADO SPRINGS</t>
  </si>
  <si>
    <t>SMITHVILLE</t>
  </si>
  <si>
    <t>WILLARD</t>
  </si>
  <si>
    <t>CASSVILLE</t>
  </si>
  <si>
    <t>ELLINGTON</t>
  </si>
  <si>
    <t>RAYMORE</t>
  </si>
  <si>
    <t>MEXICO</t>
  </si>
  <si>
    <t>KAHOKA</t>
  </si>
  <si>
    <t>SAINTE GENEVIEVE</t>
  </si>
  <si>
    <t>CHAFFEE</t>
  </si>
  <si>
    <t>SAINT CLAIR</t>
  </si>
  <si>
    <t>PUXICO</t>
  </si>
  <si>
    <t>ODESSA</t>
  </si>
  <si>
    <t>DONIPHAN</t>
  </si>
  <si>
    <t>STANBERRY</t>
  </si>
  <si>
    <t>FREDERICKTOWN</t>
  </si>
  <si>
    <t>POTOSI</t>
  </si>
  <si>
    <t>MARSHFIELD</t>
  </si>
  <si>
    <t>VERSAILLES</t>
  </si>
  <si>
    <t>FERGUSON</t>
  </si>
  <si>
    <t>TARKIO</t>
  </si>
  <si>
    <t>PORTAGEVILLE</t>
  </si>
  <si>
    <t>ADVANCE</t>
  </si>
  <si>
    <t>EAST PRAIRIE</t>
  </si>
  <si>
    <t>MARBLE HILL</t>
  </si>
  <si>
    <t>ELDON</t>
  </si>
  <si>
    <t>ASH GROVE</t>
  </si>
  <si>
    <t>MONROE CITY</t>
  </si>
  <si>
    <t>VIBURNUM</t>
  </si>
  <si>
    <t>SAINT PETERS</t>
  </si>
  <si>
    <t>HARTVILLE</t>
  </si>
  <si>
    <t>MARIONVILLE</t>
  </si>
  <si>
    <t>BLUE SPRINGS</t>
  </si>
  <si>
    <t>WEBSTER GROVES</t>
  </si>
  <si>
    <t>SWEET SPRINGS</t>
  </si>
  <si>
    <t>SILEX</t>
  </si>
  <si>
    <t>NEW FLORENCE</t>
  </si>
  <si>
    <t>LICKING</t>
  </si>
  <si>
    <t>LA BELLE</t>
  </si>
  <si>
    <t>SARCOXIE</t>
  </si>
  <si>
    <t>HERMANN</t>
  </si>
  <si>
    <t>STOVER</t>
  </si>
  <si>
    <t>STRAFFORD</t>
  </si>
  <si>
    <t>LAWSON</t>
  </si>
  <si>
    <t>HIGGINSVILLE</t>
  </si>
  <si>
    <t>STEELVILLE</t>
  </si>
  <si>
    <t>SAINT ELIZABETH</t>
  </si>
  <si>
    <t>CAMPBELL</t>
  </si>
  <si>
    <t>BERTRAND</t>
  </si>
  <si>
    <t>SHELBINA</t>
  </si>
  <si>
    <t>PLATTE CITY</t>
  </si>
  <si>
    <t>PLATTSBURG</t>
  </si>
  <si>
    <t>BONNE TERRE</t>
  </si>
  <si>
    <t>LOCKWOOD</t>
  </si>
  <si>
    <t>BRAYMER</t>
  </si>
  <si>
    <t>NORMANDY</t>
  </si>
  <si>
    <t>GALLATIN</t>
  </si>
  <si>
    <t>OVERLAND</t>
  </si>
  <si>
    <t>PARK HILLS</t>
  </si>
  <si>
    <t>LAURIE</t>
  </si>
  <si>
    <t>LOUISIANA</t>
  </si>
  <si>
    <t>ROCK PORT</t>
  </si>
  <si>
    <t>MOUND CITY</t>
  </si>
  <si>
    <t>EDINA</t>
  </si>
  <si>
    <t>COLE CAMP</t>
  </si>
  <si>
    <t>CARUTHERSVILLE</t>
  </si>
  <si>
    <t>GRANT CITY</t>
  </si>
  <si>
    <t>MATTHEWS</t>
  </si>
  <si>
    <t>WESTPHALIA</t>
  </si>
  <si>
    <t>BELTON</t>
  </si>
  <si>
    <t>MEMPHIS</t>
  </si>
  <si>
    <t>LA PLATA</t>
  </si>
  <si>
    <t>GOWER</t>
  </si>
  <si>
    <t>PILOT GROVE</t>
  </si>
  <si>
    <t>QUEEN CITY</t>
  </si>
  <si>
    <t>ELSBERRY</t>
  </si>
  <si>
    <t>UNIONVILLE</t>
  </si>
  <si>
    <t>UNIVERSITY CITY</t>
  </si>
  <si>
    <t>KIRKWOOD</t>
  </si>
  <si>
    <t>DES PERES</t>
  </si>
  <si>
    <t>APPLETON CITY</t>
  </si>
  <si>
    <t>HAVRE</t>
  </si>
  <si>
    <t>GREAT FALLS</t>
  </si>
  <si>
    <t>BILLINGS</t>
  </si>
  <si>
    <t>KALISPELL</t>
  </si>
  <si>
    <t>MISSOULA</t>
  </si>
  <si>
    <t>BOZEMAN</t>
  </si>
  <si>
    <t>LIBBY</t>
  </si>
  <si>
    <t>LIVINGSTON</t>
  </si>
  <si>
    <t>POLSON</t>
  </si>
  <si>
    <t>RED LODGE</t>
  </si>
  <si>
    <t>CLANCY</t>
  </si>
  <si>
    <t>BUTTE</t>
  </si>
  <si>
    <t>FORT BENTON</t>
  </si>
  <si>
    <t>ANACONDA</t>
  </si>
  <si>
    <t>GLENDIVE</t>
  </si>
  <si>
    <t>PLENTYWOOD</t>
  </si>
  <si>
    <t>WOLF POINT</t>
  </si>
  <si>
    <t>WIBAUX</t>
  </si>
  <si>
    <t>MILES CITY</t>
  </si>
  <si>
    <t>JORDAN</t>
  </si>
  <si>
    <t>BROADUS</t>
  </si>
  <si>
    <t>COLUMBIA FALLS</t>
  </si>
  <si>
    <t>CUT BANK</t>
  </si>
  <si>
    <t>EKALAKA</t>
  </si>
  <si>
    <t>DILLON</t>
  </si>
  <si>
    <t>CHINOOK</t>
  </si>
  <si>
    <t>MALTA</t>
  </si>
  <si>
    <t>WHITEFISH</t>
  </si>
  <si>
    <t>ENNIS</t>
  </si>
  <si>
    <t>OMAHA</t>
  </si>
  <si>
    <t>FALLS CITY</t>
  </si>
  <si>
    <t>STROMSBURG</t>
  </si>
  <si>
    <t>ALLIANCE</t>
  </si>
  <si>
    <t>HOLDREGE</t>
  </si>
  <si>
    <t>GERING</t>
  </si>
  <si>
    <t>COLERIDGE</t>
  </si>
  <si>
    <t>DAVID CITY</t>
  </si>
  <si>
    <t>SOUTH SIOUX CITY</t>
  </si>
  <si>
    <t>MCCOOK</t>
  </si>
  <si>
    <t>GRAND ISLAND</t>
  </si>
  <si>
    <t>NORTH PLATTE</t>
  </si>
  <si>
    <t>KEARNEY</t>
  </si>
  <si>
    <t>HARTINGTON</t>
  </si>
  <si>
    <t>NORFOLK</t>
  </si>
  <si>
    <t>OGALLALA</t>
  </si>
  <si>
    <t>COZAD</t>
  </si>
  <si>
    <t>SCOTTSBLUFF</t>
  </si>
  <si>
    <t>PLATTSMOUTH</t>
  </si>
  <si>
    <t>O' NEILL</t>
  </si>
  <si>
    <t>NEBRASKA CITY</t>
  </si>
  <si>
    <t>SCHUYLER</t>
  </si>
  <si>
    <t>WAUSA</t>
  </si>
  <si>
    <t>CLARKSON</t>
  </si>
  <si>
    <t>TEKAMAH</t>
  </si>
  <si>
    <t>BROKEN BOW</t>
  </si>
  <si>
    <t>NELIGH</t>
  </si>
  <si>
    <t>BEATRICE</t>
  </si>
  <si>
    <t>ELKHORN</t>
  </si>
  <si>
    <t>PIERCE</t>
  </si>
  <si>
    <t>AINSWORTH</t>
  </si>
  <si>
    <t>BLUE HILL</t>
  </si>
  <si>
    <t>CENTRAL CITY</t>
  </si>
  <si>
    <t>BLAIR</t>
  </si>
  <si>
    <t>CHADRON</t>
  </si>
  <si>
    <t>EDGAR</t>
  </si>
  <si>
    <t>PAWNEE CITY</t>
  </si>
  <si>
    <t>GOTHENBURG</t>
  </si>
  <si>
    <t>KENESAW</t>
  </si>
  <si>
    <t>WILBER</t>
  </si>
  <si>
    <t>ARAPAHOE</t>
  </si>
  <si>
    <t>VALENTINE</t>
  </si>
  <si>
    <t>ATKINSON</t>
  </si>
  <si>
    <t>PENDER</t>
  </si>
  <si>
    <t>SUPERIOR</t>
  </si>
  <si>
    <t>VERDIGRE</t>
  </si>
  <si>
    <t>PONCA</t>
  </si>
  <si>
    <t>WYMORE</t>
  </si>
  <si>
    <t>SCRIBNER</t>
  </si>
  <si>
    <t>ST EDWARD</t>
  </si>
  <si>
    <t>RAVENNA</t>
  </si>
  <si>
    <t>BEEMER</t>
  </si>
  <si>
    <t>HAY SPRINGS</t>
  </si>
  <si>
    <t>NEWMAN GROVE</t>
  </si>
  <si>
    <t>WAUNETA</t>
  </si>
  <si>
    <t>EMERSON</t>
  </si>
  <si>
    <t>RED CLOUD</t>
  </si>
  <si>
    <t>ST PAUL</t>
  </si>
  <si>
    <t>LOUP CITY</t>
  </si>
  <si>
    <t>HOOPER</t>
  </si>
  <si>
    <t>WAHOO</t>
  </si>
  <si>
    <t>BENKELMAN</t>
  </si>
  <si>
    <t>DODGE</t>
  </si>
  <si>
    <t>NORTH BEND</t>
  </si>
  <si>
    <t>PAPILLION</t>
  </si>
  <si>
    <t>IMPERIAL</t>
  </si>
  <si>
    <t>KIMBALL</t>
  </si>
  <si>
    <t>BURWELL</t>
  </si>
  <si>
    <t>HEBRON</t>
  </si>
  <si>
    <t>BAYARD</t>
  </si>
  <si>
    <t>DESHLER</t>
  </si>
  <si>
    <t>BEAVER CITY</t>
  </si>
  <si>
    <t>SUTTON</t>
  </si>
  <si>
    <t>SEWARD</t>
  </si>
  <si>
    <t>CREIGHTON</t>
  </si>
  <si>
    <t>LAS VEGAS</t>
  </si>
  <si>
    <t>YERINGTON</t>
  </si>
  <si>
    <t>RENO</t>
  </si>
  <si>
    <t>WINNEMUCCA</t>
  </si>
  <si>
    <t>SPARKS</t>
  </si>
  <si>
    <t>NORTH LAS VEGAS</t>
  </si>
  <si>
    <t>BOULDER CITY</t>
  </si>
  <si>
    <t>MESQUITE</t>
  </si>
  <si>
    <t>PAHRUMP</t>
  </si>
  <si>
    <t>ELKO</t>
  </si>
  <si>
    <t>GARDNERVILLE</t>
  </si>
  <si>
    <t>FALLON</t>
  </si>
  <si>
    <t>LACONIA</t>
  </si>
  <si>
    <t>KEENE</t>
  </si>
  <si>
    <t>NASHUA</t>
  </si>
  <si>
    <t>PORTSMOUTH</t>
  </si>
  <si>
    <t>DERRY</t>
  </si>
  <si>
    <t>MEREDITH</t>
  </si>
  <si>
    <t>BRENTWOOD</t>
  </si>
  <si>
    <t>GOFFSTOWN</t>
  </si>
  <si>
    <t>EXETER</t>
  </si>
  <si>
    <t>NORTH HAVERHILL</t>
  </si>
  <si>
    <t>BOSCAWEN</t>
  </si>
  <si>
    <t>PETERBOROUGH</t>
  </si>
  <si>
    <t>JAFFREY</t>
  </si>
  <si>
    <t>FRANCONIA</t>
  </si>
  <si>
    <t>EPSOM</t>
  </si>
  <si>
    <t>WOLFEBORO</t>
  </si>
  <si>
    <t>NORTH CONWAY</t>
  </si>
  <si>
    <t>OSSIPEE</t>
  </si>
  <si>
    <t>UNITY</t>
  </si>
  <si>
    <t>WHITEFIELD</t>
  </si>
  <si>
    <t>RYE</t>
  </si>
  <si>
    <t>PLAINSBORO</t>
  </si>
  <si>
    <t>BOUND BROOK</t>
  </si>
  <si>
    <t>NEW PROVIDENCE</t>
  </si>
  <si>
    <t>BERKELEY HEIGHTS</t>
  </si>
  <si>
    <t>ELIZABETH</t>
  </si>
  <si>
    <t>CHERRY HILL</t>
  </si>
  <si>
    <t>PITTSGROVE</t>
  </si>
  <si>
    <t>MATAWAN</t>
  </si>
  <si>
    <t>PARAMUS</t>
  </si>
  <si>
    <t>HIGHTSTOWN</t>
  </si>
  <si>
    <t>WEST ORANGE</t>
  </si>
  <si>
    <t>MOUNT LAUREL</t>
  </si>
  <si>
    <t>CEDAR GROVE</t>
  </si>
  <si>
    <t>TEANECK</t>
  </si>
  <si>
    <t>LINCOLN PARK</t>
  </si>
  <si>
    <t>CINNAMINSON</t>
  </si>
  <si>
    <t>NEPTUNE</t>
  </si>
  <si>
    <t>SUCCASUNNA</t>
  </si>
  <si>
    <t>SCOTCH PLAINS</t>
  </si>
  <si>
    <t>WALL</t>
  </si>
  <si>
    <t>HACKETTSTOWN</t>
  </si>
  <si>
    <t>MOORESTOWN</t>
  </si>
  <si>
    <t>JERSEY CITY</t>
  </si>
  <si>
    <t>PASSAIC</t>
  </si>
  <si>
    <t>ATLANTIC HIGHLANDS</t>
  </si>
  <si>
    <t>CRANFORD</t>
  </si>
  <si>
    <t>HOLMDEL</t>
  </si>
  <si>
    <t>MERCERVILLE</t>
  </si>
  <si>
    <t>PATERSON</t>
  </si>
  <si>
    <t>NEPTUNE CITY</t>
  </si>
  <si>
    <t>HAMILTON SQUARE</t>
  </si>
  <si>
    <t>NORTH BERGEN</t>
  </si>
  <si>
    <t>HAZLET</t>
  </si>
  <si>
    <t>CHATHAM</t>
  </si>
  <si>
    <t>BAYVILLE</t>
  </si>
  <si>
    <t>VINELAND</t>
  </si>
  <si>
    <t>WOODCLIFF LAKE</t>
  </si>
  <si>
    <t>PT PLEASANT</t>
  </si>
  <si>
    <t>PARSIPPANY</t>
  </si>
  <si>
    <t>RARITAN</t>
  </si>
  <si>
    <t>GREEN BROOK</t>
  </si>
  <si>
    <t>MENDHAM</t>
  </si>
  <si>
    <t>RAHWAY</t>
  </si>
  <si>
    <t>EAST ORANGE</t>
  </si>
  <si>
    <t>MAPLE SHADE</t>
  </si>
  <si>
    <t>FRANKLIN PARK</t>
  </si>
  <si>
    <t>HACKENSACK</t>
  </si>
  <si>
    <t>FREEHOLD</t>
  </si>
  <si>
    <t>RIDGEWOOD</t>
  </si>
  <si>
    <t>BLACKWOOD</t>
  </si>
  <si>
    <t>WOODSTOWN</t>
  </si>
  <si>
    <t>TENAFLY</t>
  </si>
  <si>
    <t>DEPTFORD</t>
  </si>
  <si>
    <t>EATONTOWN</t>
  </si>
  <si>
    <t>OCEAN VIEW</t>
  </si>
  <si>
    <t>PERTH AMBOY</t>
  </si>
  <si>
    <t>LINWOOD</t>
  </si>
  <si>
    <t>VOORHEES</t>
  </si>
  <si>
    <t>SOUTH AMBOY</t>
  </si>
  <si>
    <t>KEARNY</t>
  </si>
  <si>
    <t>CAPE MAY COURT HOUSE</t>
  </si>
  <si>
    <t>PHILLIPSBURG</t>
  </si>
  <si>
    <t>MANAHAWKIN</t>
  </si>
  <si>
    <t>HAMMONTON</t>
  </si>
  <si>
    <t>GALLOWAY TOWNSHIP</t>
  </si>
  <si>
    <t>BRICK</t>
  </si>
  <si>
    <t>SOUTH PLAINFIELD</t>
  </si>
  <si>
    <t>LITTLE EGG HARBOR TW</t>
  </si>
  <si>
    <t>BARNEGAT</t>
  </si>
  <si>
    <t>PENNSAUKEN</t>
  </si>
  <si>
    <t>FLEMINGTON</t>
  </si>
  <si>
    <t>HASKELL</t>
  </si>
  <si>
    <t>SEWELL</t>
  </si>
  <si>
    <t>CARNEYS POINT</t>
  </si>
  <si>
    <t>MILLVILLE</t>
  </si>
  <si>
    <t>ABSECON</t>
  </si>
  <si>
    <t>WEST DEPTFORD</t>
  </si>
  <si>
    <t>WEST CALDWELL</t>
  </si>
  <si>
    <t>MOUNTAINSIDE</t>
  </si>
  <si>
    <t>PEMBERTON</t>
  </si>
  <si>
    <t>TOMS RIVER</t>
  </si>
  <si>
    <t>MONROE TOWNSHIP</t>
  </si>
  <si>
    <t>WEST MILFORD</t>
  </si>
  <si>
    <t>ENGLISHTOWN</t>
  </si>
  <si>
    <t>VAUXHALL</t>
  </si>
  <si>
    <t>LONG BRANCH</t>
  </si>
  <si>
    <t>RED BANK</t>
  </si>
  <si>
    <t>ATCO</t>
  </si>
  <si>
    <t>MORRIS PLAINS</t>
  </si>
  <si>
    <t>ROCHELLE PARK</t>
  </si>
  <si>
    <t>CRESSKILL</t>
  </si>
  <si>
    <t>ATLANTIC CITY</t>
  </si>
  <si>
    <t>OLD BRIDGE</t>
  </si>
  <si>
    <t>FAIRLAWN</t>
  </si>
  <si>
    <t>DENVILLE</t>
  </si>
  <si>
    <t>WATCHUNG</t>
  </si>
  <si>
    <t>ORADELL</t>
  </si>
  <si>
    <t>CLARK</t>
  </si>
  <si>
    <t>CAPE MAY</t>
  </si>
  <si>
    <t>BASKING RIDGE</t>
  </si>
  <si>
    <t>IRVINGTON</t>
  </si>
  <si>
    <t>MONMOUTH JUNCTION</t>
  </si>
  <si>
    <t>OCEAN GROVE</t>
  </si>
  <si>
    <t>FRENCHTOWN</t>
  </si>
  <si>
    <t>LINCROFT</t>
  </si>
  <si>
    <t>WYCKOFF</t>
  </si>
  <si>
    <t>FLORHAM PARK</t>
  </si>
  <si>
    <t>NEW BRUNSWICK</t>
  </si>
  <si>
    <t>MAYWOOD</t>
  </si>
  <si>
    <t>TOTOWA</t>
  </si>
  <si>
    <t>OCEAN CITY</t>
  </si>
  <si>
    <t>ALLENWOOD</t>
  </si>
  <si>
    <t>COLLINGSWOOD</t>
  </si>
  <si>
    <t>CLARKSBORO</t>
  </si>
  <si>
    <t>TINTON FALLS</t>
  </si>
  <si>
    <t>MARLTON</t>
  </si>
  <si>
    <t>HILLSBOROUGH</t>
  </si>
  <si>
    <t>PITMAN</t>
  </si>
  <si>
    <t>BAYONNE</t>
  </si>
  <si>
    <t>PITTSTOWN</t>
  </si>
  <si>
    <t>ROCKLEIGH</t>
  </si>
  <si>
    <t>KEANSBURG</t>
  </si>
  <si>
    <t>RINGWOOD</t>
  </si>
  <si>
    <t>RIVERTON</t>
  </si>
  <si>
    <t>CRANBURY</t>
  </si>
  <si>
    <t>PARSIPPANY TROY HILL</t>
  </si>
  <si>
    <t>EAST BRUNSWICK</t>
  </si>
  <si>
    <t>HAMILTON TOWNSHIP</t>
  </si>
  <si>
    <t>SECAUCUS</t>
  </si>
  <si>
    <t>SKILLMAN</t>
  </si>
  <si>
    <t>EWING</t>
  </si>
  <si>
    <t>POMPTON PLAINS</t>
  </si>
  <si>
    <t>BOONTON</t>
  </si>
  <si>
    <t>NORTH CAPE MAY</t>
  </si>
  <si>
    <t>WHIPPANY</t>
  </si>
  <si>
    <t>HOBOKEN</t>
  </si>
  <si>
    <t>EGG HARBOR TOWNSHIP</t>
  </si>
  <si>
    <t>SANTA FE</t>
  </si>
  <si>
    <t>ALBUQUERQUE</t>
  </si>
  <si>
    <t>RIO RANCHO</t>
  </si>
  <si>
    <t>LAS CRUCES</t>
  </si>
  <si>
    <t>HOBBS</t>
  </si>
  <si>
    <t>ALAMOGORDO</t>
  </si>
  <si>
    <t>LOS ALAMOS</t>
  </si>
  <si>
    <t>LOVINGTON</t>
  </si>
  <si>
    <t>GRANTS</t>
  </si>
  <si>
    <t>ESPANOLA</t>
  </si>
  <si>
    <t>T OR C</t>
  </si>
  <si>
    <t>BELEN</t>
  </si>
  <si>
    <t>GALLUP</t>
  </si>
  <si>
    <t>AZTEC</t>
  </si>
  <si>
    <t>SOCORRO</t>
  </si>
  <si>
    <t>DEMING</t>
  </si>
  <si>
    <t>RATON</t>
  </si>
  <si>
    <t>SILVER CITY</t>
  </si>
  <si>
    <t>TAOS</t>
  </si>
  <si>
    <t>PORTALES</t>
  </si>
  <si>
    <t>MESCALERO</t>
  </si>
  <si>
    <t>LORDSBURG</t>
  </si>
  <si>
    <t>OLEAN</t>
  </si>
  <si>
    <t>CORTLAND</t>
  </si>
  <si>
    <t>POTSDAM</t>
  </si>
  <si>
    <t>OGDENSBURG</t>
  </si>
  <si>
    <t>COBLESKILL</t>
  </si>
  <si>
    <t>ITHACA</t>
  </si>
  <si>
    <t>PEEKSKILL</t>
  </si>
  <si>
    <t>BRIARCLIFF MANOR</t>
  </si>
  <si>
    <t>BRONX</t>
  </si>
  <si>
    <t>SCHENECTADY</t>
  </si>
  <si>
    <t>PORT WASHINGTON</t>
  </si>
  <si>
    <t>UNIONDALE</t>
  </si>
  <si>
    <t>NEW YORK</t>
  </si>
  <si>
    <t>FAR ROCKAWAY</t>
  </si>
  <si>
    <t>NANUET</t>
  </si>
  <si>
    <t>HORSEHEADS</t>
  </si>
  <si>
    <t>ROOSEVELT ISLAND</t>
  </si>
  <si>
    <t>HUNTINGTON STATION</t>
  </si>
  <si>
    <t>MORRISVILLE</t>
  </si>
  <si>
    <t>ELMIRA</t>
  </si>
  <si>
    <t>MASSAPEQUA</t>
  </si>
  <si>
    <t>MORAVIA</t>
  </si>
  <si>
    <t>CORTLANDT MANOR</t>
  </si>
  <si>
    <t>YONKERS</t>
  </si>
  <si>
    <t>WEST BABYLON</t>
  </si>
  <si>
    <t>BINGHAMTON</t>
  </si>
  <si>
    <t>GLOVERSVILLE</t>
  </si>
  <si>
    <t>ROCKAWAY PARK</t>
  </si>
  <si>
    <t>OWEGO</t>
  </si>
  <si>
    <t>STATEN ISLAND</t>
  </si>
  <si>
    <t>EAST GREENBUSH</t>
  </si>
  <si>
    <t>MALONE</t>
  </si>
  <si>
    <t>WHITESTONE</t>
  </si>
  <si>
    <t>NEW HYDE PARK</t>
  </si>
  <si>
    <t>FOREST HILLS</t>
  </si>
  <si>
    <t>BELLMORE</t>
  </si>
  <si>
    <t>GLEN COVE</t>
  </si>
  <si>
    <t>SUFFERN</t>
  </si>
  <si>
    <t>QUEENS VILLAGE</t>
  </si>
  <si>
    <t>LYNBROOK</t>
  </si>
  <si>
    <t>EAST FARMINGDALE</t>
  </si>
  <si>
    <t>ISLAND PARK</t>
  </si>
  <si>
    <t>WILLIAMSVILLE</t>
  </si>
  <si>
    <t>SMITHTOWN</t>
  </si>
  <si>
    <t>GETZVILLE</t>
  </si>
  <si>
    <t>TONAWANDA</t>
  </si>
  <si>
    <t>OSSINING</t>
  </si>
  <si>
    <t>NEW PALTZ</t>
  </si>
  <si>
    <t>ARVERNE</t>
  </si>
  <si>
    <t>AMITYVILLE</t>
  </si>
  <si>
    <t>TUPPER LAKE</t>
  </si>
  <si>
    <t>VESTAL</t>
  </si>
  <si>
    <t>HOLMES</t>
  </si>
  <si>
    <t>GREAT NECK</t>
  </si>
  <si>
    <t>SCOTIA</t>
  </si>
  <si>
    <t>RIVERHEAD</t>
  </si>
  <si>
    <t>CANANDAIGUA</t>
  </si>
  <si>
    <t>CATSKILL</t>
  </si>
  <si>
    <t>PURDY STATION</t>
  </si>
  <si>
    <t>SOMERS</t>
  </si>
  <si>
    <t>NEW ROCHELLE</t>
  </si>
  <si>
    <t>GREENPORT</t>
  </si>
  <si>
    <t>WAPPINGERS FALLS</t>
  </si>
  <si>
    <t>HEMPSTEAD</t>
  </si>
  <si>
    <t>EAST AURORA</t>
  </si>
  <si>
    <t>PENN YAN</t>
  </si>
  <si>
    <t>MAMARONECK</t>
  </si>
  <si>
    <t>ROCKVILLE CENTRE</t>
  </si>
  <si>
    <t>GLEN OAKS</t>
  </si>
  <si>
    <t>FORT EDWARD</t>
  </si>
  <si>
    <t>GLENS FALLS</t>
  </si>
  <si>
    <t>VALLEY COTTAGE</t>
  </si>
  <si>
    <t>PORT CHESTER</t>
  </si>
  <si>
    <t>MEDINA</t>
  </si>
  <si>
    <t>JOHNSTOWN</t>
  </si>
  <si>
    <t>ROSCOE</t>
  </si>
  <si>
    <t>SCARSDALE</t>
  </si>
  <si>
    <t>HORNELL</t>
  </si>
  <si>
    <t>GRANVILLE</t>
  </si>
  <si>
    <t>HOLLIS</t>
  </si>
  <si>
    <t>JAMAICA</t>
  </si>
  <si>
    <t>MARGARETVILLE</t>
  </si>
  <si>
    <t>MOHEGAN LAKE</t>
  </si>
  <si>
    <t>NEW BERLIN</t>
  </si>
  <si>
    <t>RHINEBECK</t>
  </si>
  <si>
    <t>GERRY</t>
  </si>
  <si>
    <t>SARATOGA SPRINGS</t>
  </si>
  <si>
    <t>CLIFTON SPRINGS</t>
  </si>
  <si>
    <t>BAYSIDE</t>
  </si>
  <si>
    <t>ENDICOTT</t>
  </si>
  <si>
    <t>MONTOUR FALLS</t>
  </si>
  <si>
    <t>NIAGARA FALLS</t>
  </si>
  <si>
    <t>SODUS</t>
  </si>
  <si>
    <t>MONSEY</t>
  </si>
  <si>
    <t>DOBBS FERRY</t>
  </si>
  <si>
    <t>ILION</t>
  </si>
  <si>
    <t>MIDDLE ISLAND</t>
  </si>
  <si>
    <t>JOHNSON CITY</t>
  </si>
  <si>
    <t>EAST ISLIP</t>
  </si>
  <si>
    <t>CENTER MORICHES</t>
  </si>
  <si>
    <t>STAATSBURG</t>
  </si>
  <si>
    <t>PENFIELD</t>
  </si>
  <si>
    <t>SPENCERPORT</t>
  </si>
  <si>
    <t>EAST SYRACUSE</t>
  </si>
  <si>
    <t>PORT JEFFERSON</t>
  </si>
  <si>
    <t>COOPERSTOWN</t>
  </si>
  <si>
    <t>ARGYLE</t>
  </si>
  <si>
    <t>MIDDLE VILLAGE</t>
  </si>
  <si>
    <t>HAVERSTRAW</t>
  </si>
  <si>
    <t>TARRYTOWN</t>
  </si>
  <si>
    <t>AMSTERDAM</t>
  </si>
  <si>
    <t>ONEIDA</t>
  </si>
  <si>
    <t>LOWVILLE</t>
  </si>
  <si>
    <t>NORTH CREEK</t>
  </si>
  <si>
    <t>KENMORE</t>
  </si>
  <si>
    <t>LITTLE NECK</t>
  </si>
  <si>
    <t>SPRINGVILLE</t>
  </si>
  <si>
    <t>PLATTSBURGH</t>
  </si>
  <si>
    <t>POUGHKEEPSIE</t>
  </si>
  <si>
    <t>PAWLING</t>
  </si>
  <si>
    <t>FAIRPORT</t>
  </si>
  <si>
    <t>MASPETH</t>
  </si>
  <si>
    <t>NEW HARTFORD</t>
  </si>
  <si>
    <t>NEWFANE</t>
  </si>
  <si>
    <t>TICONDEROGA</t>
  </si>
  <si>
    <t>KINGS PARK</t>
  </si>
  <si>
    <t>ORISKANY</t>
  </si>
  <si>
    <t>WEST SENECA</t>
  </si>
  <si>
    <t>ORCHARD PARK</t>
  </si>
  <si>
    <t>CROTON ON HUDSON</t>
  </si>
  <si>
    <t>HERKIMER</t>
  </si>
  <si>
    <t>PORT JEFFERSON STATI</t>
  </si>
  <si>
    <t>BALLSTON SPA</t>
  </si>
  <si>
    <t>CASTLETON ON HUDSON</t>
  </si>
  <si>
    <t>JAMAICA EST</t>
  </si>
  <si>
    <t>GASPORT</t>
  </si>
  <si>
    <t>SALAMANCA</t>
  </si>
  <si>
    <t>WEST ISLIP</t>
  </si>
  <si>
    <t>MINOA</t>
  </si>
  <si>
    <t>QUEENSBURY</t>
  </si>
  <si>
    <t>ROSLYN HEIGHTS</t>
  </si>
  <si>
    <t>VALATIE</t>
  </si>
  <si>
    <t>BAY SHORE</t>
  </si>
  <si>
    <t>BROCKPORT</t>
  </si>
  <si>
    <t>CHITTENANGO</t>
  </si>
  <si>
    <t>MASSENA</t>
  </si>
  <si>
    <t>PATCHOGUE</t>
  </si>
  <si>
    <t>HOOSICK FALLS</t>
  </si>
  <si>
    <t>EDEN</t>
  </si>
  <si>
    <t>ALLEGANY</t>
  </si>
  <si>
    <t>PHILMONT</t>
  </si>
  <si>
    <t>CHEEKTOWAGA</t>
  </si>
  <si>
    <t>LEROY</t>
  </si>
  <si>
    <t>SAYVILLE</t>
  </si>
  <si>
    <t>HARRIS</t>
  </si>
  <si>
    <t>HOUGHTON</t>
  </si>
  <si>
    <t>GOWANDA</t>
  </si>
  <si>
    <t>NORTH TONAWANDA</t>
  </si>
  <si>
    <t>PAINTED POST</t>
  </si>
  <si>
    <t>CAMPBELL HALL</t>
  </si>
  <si>
    <t>HAMBURG</t>
  </si>
  <si>
    <t>NESCONSET</t>
  </si>
  <si>
    <t>LIVERPOOL</t>
  </si>
  <si>
    <t>PALATINE BRIDGE</t>
  </si>
  <si>
    <t>PURDYS</t>
  </si>
  <si>
    <t>PORT JERVIS</t>
  </si>
  <si>
    <t>EAST PATCHOGUE</t>
  </si>
  <si>
    <t>COMMACK</t>
  </si>
  <si>
    <t>COHOES</t>
  </si>
  <si>
    <t>VALLEY STREAM</t>
  </si>
  <si>
    <t>NISKAYUNA</t>
  </si>
  <si>
    <t>MANHASSET</t>
  </si>
  <si>
    <t>SAINT JOHNSVILLE</t>
  </si>
  <si>
    <t>BALDWINSVILLE</t>
  </si>
  <si>
    <t>WOODMERE</t>
  </si>
  <si>
    <t>GREENHURST</t>
  </si>
  <si>
    <t>NEW CITY</t>
  </si>
  <si>
    <t>IRVING</t>
  </si>
  <si>
    <t>BEACON</t>
  </si>
  <si>
    <t>STONYBROOK</t>
  </si>
  <si>
    <t>JAMESVILLE</t>
  </si>
  <si>
    <t>LAKE KATRINE</t>
  </si>
  <si>
    <t>GHENT</t>
  </si>
  <si>
    <t>GUILDERLAND</t>
  </si>
  <si>
    <t>CLIFTON PARK</t>
  </si>
  <si>
    <t>WESTHAMPTON</t>
  </si>
  <si>
    <t>WARWICK</t>
  </si>
  <si>
    <t>PITTSFORD</t>
  </si>
  <si>
    <t>FISHKILL</t>
  </si>
  <si>
    <t>WOODSIDE</t>
  </si>
  <si>
    <t>HASTINGS ON HUDSON</t>
  </si>
  <si>
    <t>VALHALLA</t>
  </si>
  <si>
    <t>EAST ELMHURST</t>
  </si>
  <si>
    <t>FRANKLIN SQUARE</t>
  </si>
  <si>
    <t>MELVILLE</t>
  </si>
  <si>
    <t>JACKSON HEIGHTS</t>
  </si>
  <si>
    <t>WEST HAVERSTRAW</t>
  </si>
  <si>
    <t>EAST MEADOW</t>
  </si>
  <si>
    <t>SOUTH SETAUKET</t>
  </si>
  <si>
    <t>HOLTSVILLE</t>
  </si>
  <si>
    <t>ASTORIA</t>
  </si>
  <si>
    <t>SLEEPY HOLLOW</t>
  </si>
  <si>
    <t>SOUTH HAMPTON</t>
  </si>
  <si>
    <t>ENDWELL</t>
  </si>
  <si>
    <t>SLINGERLANDS</t>
  </si>
  <si>
    <t>MOUNT KISCO</t>
  </si>
  <si>
    <t>WILLIAMSTON</t>
  </si>
  <si>
    <t>MOCKSVILLE</t>
  </si>
  <si>
    <t>BISCOE</t>
  </si>
  <si>
    <t>WINSTON-SALEM</t>
  </si>
  <si>
    <t>ROXBORO</t>
  </si>
  <si>
    <t>ASHEVILLE</t>
  </si>
  <si>
    <t>ASHEBORO</t>
  </si>
  <si>
    <t>PLEASANT GARDEN</t>
  </si>
  <si>
    <t>ELIZABETH CITY</t>
  </si>
  <si>
    <t>SOUTHERN PINES</t>
  </si>
  <si>
    <t>BLOWING ROCK</t>
  </si>
  <si>
    <t>BLACK MOUNTAIN</t>
  </si>
  <si>
    <t>WADESBORO</t>
  </si>
  <si>
    <t>HICKORY</t>
  </si>
  <si>
    <t>RUTHERFORDTON</t>
  </si>
  <si>
    <t>WALNUT COVE</t>
  </si>
  <si>
    <t>HIGH POINT</t>
  </si>
  <si>
    <t>ELKIN</t>
  </si>
  <si>
    <t>HUNTERSVILLE</t>
  </si>
  <si>
    <t>MAGGIE VALLEY</t>
  </si>
  <si>
    <t>ZEBULON</t>
  </si>
  <si>
    <t>ALBEMARLE</t>
  </si>
  <si>
    <t>GOLDSBORO</t>
  </si>
  <si>
    <t>HENDERSONVILLE</t>
  </si>
  <si>
    <t>MOUNT OLIVE</t>
  </si>
  <si>
    <t>TRYON</t>
  </si>
  <si>
    <t>STATESVILLE</t>
  </si>
  <si>
    <t>CLEMMONS</t>
  </si>
  <si>
    <t>WILKESBORO</t>
  </si>
  <si>
    <t>ROCKY MOUNT</t>
  </si>
  <si>
    <t>LENOIR</t>
  </si>
  <si>
    <t>SILER CITY</t>
  </si>
  <si>
    <t>KENANSVILLE</t>
  </si>
  <si>
    <t>KINGS MOUNTAIN</t>
  </si>
  <si>
    <t>KINSTON</t>
  </si>
  <si>
    <t>LINCOLNTON</t>
  </si>
  <si>
    <t>GASTONIA</t>
  </si>
  <si>
    <t>EDENTON</t>
  </si>
  <si>
    <t>YADKINVILLE</t>
  </si>
  <si>
    <t>MOREHEAD CITY</t>
  </si>
  <si>
    <t>LILLINGTON</t>
  </si>
  <si>
    <t>SMITHFIELD</t>
  </si>
  <si>
    <t>PINEHURST</t>
  </si>
  <si>
    <t>SEALEVEL</t>
  </si>
  <si>
    <t>LAKE WACCAMAW</t>
  </si>
  <si>
    <t>MORGANTON</t>
  </si>
  <si>
    <t>MURPHY</t>
  </si>
  <si>
    <t>BRYSON CITY</t>
  </si>
  <si>
    <t>TARBORO</t>
  </si>
  <si>
    <t>CHAPEL HILL</t>
  </si>
  <si>
    <t>BANNER ELK</t>
  </si>
  <si>
    <t>WHITEVILLE</t>
  </si>
  <si>
    <t>BREVARD</t>
  </si>
  <si>
    <t>NEW BERN</t>
  </si>
  <si>
    <t>EASTOVER</t>
  </si>
  <si>
    <t>WEAVERVILLE</t>
  </si>
  <si>
    <t>DREXEL</t>
  </si>
  <si>
    <t>NAGS HEAD</t>
  </si>
  <si>
    <t>NEBO</t>
  </si>
  <si>
    <t>BURGAW</t>
  </si>
  <si>
    <t>MILLS RIVER</t>
  </si>
  <si>
    <t>CHERRYVILLE</t>
  </si>
  <si>
    <t>KANNAPOLIS</t>
  </si>
  <si>
    <t>HERTFORD</t>
  </si>
  <si>
    <t>STANLEY</t>
  </si>
  <si>
    <t>YANCEYVILLE</t>
  </si>
  <si>
    <t>MARSHVILLE</t>
  </si>
  <si>
    <t>SPRUCE PINE</t>
  </si>
  <si>
    <t>RAEFORD</t>
  </si>
  <si>
    <t>WINSTON SALEM</t>
  </si>
  <si>
    <t>BARCO</t>
  </si>
  <si>
    <t>GRANTSBORO</t>
  </si>
  <si>
    <t>HAMLET</t>
  </si>
  <si>
    <t>SHALLOTTE</t>
  </si>
  <si>
    <t>LAURINBURG</t>
  </si>
  <si>
    <t>SYLVA</t>
  </si>
  <si>
    <t>WELDON</t>
  </si>
  <si>
    <t>WINNABOW</t>
  </si>
  <si>
    <t>WALLACE</t>
  </si>
  <si>
    <t>DUNN</t>
  </si>
  <si>
    <t>ROANOKE RAPIDS</t>
  </si>
  <si>
    <t>GRAHAM</t>
  </si>
  <si>
    <t>HAMPSTEAD</t>
  </si>
  <si>
    <t>SALUDA</t>
  </si>
  <si>
    <t>KERNERSVILLE</t>
  </si>
  <si>
    <t>ROBBINSVILLE</t>
  </si>
  <si>
    <t>RICH SQUARE</t>
  </si>
  <si>
    <t>AHOSKIE</t>
  </si>
  <si>
    <t>MEBANE</t>
  </si>
  <si>
    <t>FALCON</t>
  </si>
  <si>
    <t>SCOTLAND NECK</t>
  </si>
  <si>
    <t>ROCKINGHAM</t>
  </si>
  <si>
    <t>KING</t>
  </si>
  <si>
    <t>FARMVILLE</t>
  </si>
  <si>
    <t>NORTH WILKESBORO</t>
  </si>
  <si>
    <t>STOKESDALE</t>
  </si>
  <si>
    <t>CANDLER</t>
  </si>
  <si>
    <t>POLLOCKSVILLE</t>
  </si>
  <si>
    <t>CARY</t>
  </si>
  <si>
    <t>GATESVILLE</t>
  </si>
  <si>
    <t>SWANQUARTER</t>
  </si>
  <si>
    <t>BERMUDA RUN</t>
  </si>
  <si>
    <t>WAKE FOREST</t>
  </si>
  <si>
    <t>SWANNANOA</t>
  </si>
  <si>
    <t>PITTSBORO</t>
  </si>
  <si>
    <t>BOSTIC</t>
  </si>
  <si>
    <t>ANDREWS</t>
  </si>
  <si>
    <t>HAYESVILLE</t>
  </si>
  <si>
    <t>KNIGHTDALE</t>
  </si>
  <si>
    <t>HIGHLANDS</t>
  </si>
  <si>
    <t>CONNELLYS SPRINGS</t>
  </si>
  <si>
    <t>ARCHDALE</t>
  </si>
  <si>
    <t>ARDEN</t>
  </si>
  <si>
    <t>HAVELOCK</t>
  </si>
  <si>
    <t>AYDEN</t>
  </si>
  <si>
    <t>FLAT ROCK</t>
  </si>
  <si>
    <t>FUQUAY VARINA</t>
  </si>
  <si>
    <t>INDIAN TRAIL</t>
  </si>
  <si>
    <t>APEX</t>
  </si>
  <si>
    <t>CONOVER</t>
  </si>
  <si>
    <t>FLETCHER</t>
  </si>
  <si>
    <t>RAMSEUR</t>
  </si>
  <si>
    <t>CONNELLY SPG</t>
  </si>
  <si>
    <t>MCLEANSVILLE</t>
  </si>
  <si>
    <t>BOLIVIA</t>
  </si>
  <si>
    <t>WAXHAW</t>
  </si>
  <si>
    <t>MINT HILL</t>
  </si>
  <si>
    <t>CORNELIUS</t>
  </si>
  <si>
    <t>FARGO</t>
  </si>
  <si>
    <t>MINOT</t>
  </si>
  <si>
    <t>RUGBY</t>
  </si>
  <si>
    <t>WAHPETON</t>
  </si>
  <si>
    <t>TIOGA</t>
  </si>
  <si>
    <t>GLEN ULLIN</t>
  </si>
  <si>
    <t>HANKINSON</t>
  </si>
  <si>
    <t>NEW ROCKFORD</t>
  </si>
  <si>
    <t>HETTINGER</t>
  </si>
  <si>
    <t>CARRINGTON</t>
  </si>
  <si>
    <t>ELLENDALE</t>
  </si>
  <si>
    <t>STRASBURG</t>
  </si>
  <si>
    <t>LANGDON</t>
  </si>
  <si>
    <t>HATTON</t>
  </si>
  <si>
    <t>MCVILLE</t>
  </si>
  <si>
    <t>BEULAH</t>
  </si>
  <si>
    <t>BOWMAN</t>
  </si>
  <si>
    <t>WALHALLA</t>
  </si>
  <si>
    <t>BISMARCK</t>
  </si>
  <si>
    <t>DICKINSON</t>
  </si>
  <si>
    <t>GARRISON</t>
  </si>
  <si>
    <t>MANDAN</t>
  </si>
  <si>
    <t>WISHEK</t>
  </si>
  <si>
    <t>GRAND FORKS</t>
  </si>
  <si>
    <t>CANDO</t>
  </si>
  <si>
    <t>DEVILS LAKE</t>
  </si>
  <si>
    <t>WATFORD CITY</t>
  </si>
  <si>
    <t>VALLEY CITY</t>
  </si>
  <si>
    <t>GRAFTON</t>
  </si>
  <si>
    <t>CAVALIER</t>
  </si>
  <si>
    <t>PARK RIVER</t>
  </si>
  <si>
    <t>KILLDEER</t>
  </si>
  <si>
    <t>BOTTINEAU</t>
  </si>
  <si>
    <t>MOHALL</t>
  </si>
  <si>
    <t>OAKES</t>
  </si>
  <si>
    <t>ANETA</t>
  </si>
  <si>
    <t>LARIMORE</t>
  </si>
  <si>
    <t>MOTT</t>
  </si>
  <si>
    <t>NAPOLEON</t>
  </si>
  <si>
    <t>FORMAN</t>
  </si>
  <si>
    <t>LAKOTA</t>
  </si>
  <si>
    <t>LAMOURE</t>
  </si>
  <si>
    <t>ENDERLIN</t>
  </si>
  <si>
    <t>VELVA</t>
  </si>
  <si>
    <t>NEW SALEM</t>
  </si>
  <si>
    <t>LISBON</t>
  </si>
  <si>
    <t>RICHARDTON</t>
  </si>
  <si>
    <t>WEST FARGO</t>
  </si>
  <si>
    <t>TIFFIN</t>
  </si>
  <si>
    <t>CINCINNATI</t>
  </si>
  <si>
    <t>WESTLAKE</t>
  </si>
  <si>
    <t>XENIA</t>
  </si>
  <si>
    <t>BEACHWOOD</t>
  </si>
  <si>
    <t>GROVE CITY</t>
  </si>
  <si>
    <t>PARMA</t>
  </si>
  <si>
    <t>COSHOCTON</t>
  </si>
  <si>
    <t>GREEN SPRINGS</t>
  </si>
  <si>
    <t>STRONGSVILLE</t>
  </si>
  <si>
    <t>YOUNGSTOWN</t>
  </si>
  <si>
    <t>MCCONNELSVILLE</t>
  </si>
  <si>
    <t>NEW PHILADELPHIA</t>
  </si>
  <si>
    <t>ELYRIA</t>
  </si>
  <si>
    <t>PARMA HEIGHTS</t>
  </si>
  <si>
    <t>LIMA</t>
  </si>
  <si>
    <t>WESTERVILLE</t>
  </si>
  <si>
    <t>NORTH RANDALL</t>
  </si>
  <si>
    <t>ST MARYS</t>
  </si>
  <si>
    <t>PAINESVILLE</t>
  </si>
  <si>
    <t>WAPAKONETA</t>
  </si>
  <si>
    <t>VAN WERT</t>
  </si>
  <si>
    <t>BAY VILLAGE</t>
  </si>
  <si>
    <t>PIQUA</t>
  </si>
  <si>
    <t>WADSWORTH</t>
  </si>
  <si>
    <t>STEUBENVILLE</t>
  </si>
  <si>
    <t>ASHTABULA</t>
  </si>
  <si>
    <t>CUYAHOGA FALLS</t>
  </si>
  <si>
    <t>MASSILLON</t>
  </si>
  <si>
    <t>KIRTLAND</t>
  </si>
  <si>
    <t>CIRCLEVILLE</t>
  </si>
  <si>
    <t>WILLOUGHBY</t>
  </si>
  <si>
    <t>NORTH OLMSTED</t>
  </si>
  <si>
    <t>WOOSTER</t>
  </si>
  <si>
    <t>WASHINGTON COURT HOU</t>
  </si>
  <si>
    <t>KETTERING</t>
  </si>
  <si>
    <t>WAUSEON</t>
  </si>
  <si>
    <t>FINDLAY</t>
  </si>
  <si>
    <t>BARBERTON</t>
  </si>
  <si>
    <t>GALLIPOLIS</t>
  </si>
  <si>
    <t>GALION</t>
  </si>
  <si>
    <t>EAST CLEVELAND</t>
  </si>
  <si>
    <t>MAYFIELD HEIGHTS</t>
  </si>
  <si>
    <t>BEAVERCREEK</t>
  </si>
  <si>
    <t>CELINA</t>
  </si>
  <si>
    <t>WICKLIFFE</t>
  </si>
  <si>
    <t>NORTH BALTIMORE</t>
  </si>
  <si>
    <t>DEFIANCE</t>
  </si>
  <si>
    <t>ZANESVILLE</t>
  </si>
  <si>
    <t>WHEELERSBURG</t>
  </si>
  <si>
    <t>KALIDA</t>
  </si>
  <si>
    <t>DELAWARE</t>
  </si>
  <si>
    <t>WEST JEFFERSON</t>
  </si>
  <si>
    <t>NEWCOMERSTOWN</t>
  </si>
  <si>
    <t>WELLSTON</t>
  </si>
  <si>
    <t>NORTH ROYALTON</t>
  </si>
  <si>
    <t>CONNEAUT</t>
  </si>
  <si>
    <t>PIKETON</t>
  </si>
  <si>
    <t>CHEVIOT</t>
  </si>
  <si>
    <t>HEATH</t>
  </si>
  <si>
    <t>UPPER SANDUSKY</t>
  </si>
  <si>
    <t>NAVARRE</t>
  </si>
  <si>
    <t>EUCLID</t>
  </si>
  <si>
    <t>PORT CLINTON</t>
  </si>
  <si>
    <t>CANAL FULTON</t>
  </si>
  <si>
    <t>WOODSFIELD</t>
  </si>
  <si>
    <t>OAK HARBOR</t>
  </si>
  <si>
    <t>NORTH CANTON</t>
  </si>
  <si>
    <t>CENTERBURG</t>
  </si>
  <si>
    <t>PERRYSBURG</t>
  </si>
  <si>
    <t>YELLOW SPRINGS</t>
  </si>
  <si>
    <t>LORAIN</t>
  </si>
  <si>
    <t>BLANCHESTER</t>
  </si>
  <si>
    <t>MASURY</t>
  </si>
  <si>
    <t>EATON</t>
  </si>
  <si>
    <t>RITTMAN</t>
  </si>
  <si>
    <t>IRONTON</t>
  </si>
  <si>
    <t>SEVILLE</t>
  </si>
  <si>
    <t>MINSTER</t>
  </si>
  <si>
    <t>MARTINS FERRY</t>
  </si>
  <si>
    <t>PEMBERVILLE</t>
  </si>
  <si>
    <t>FOSTORIA</t>
  </si>
  <si>
    <t>NEW LEXINGTON</t>
  </si>
  <si>
    <t>COLUMBIA STATION</t>
  </si>
  <si>
    <t>LUCASVILLE</t>
  </si>
  <si>
    <t>BIDWELL</t>
  </si>
  <si>
    <t>COOLVILLE</t>
  </si>
  <si>
    <t>THE PLAINS</t>
  </si>
  <si>
    <t>WEST CARROLLTON</t>
  </si>
  <si>
    <t>BELLEFONTAINE</t>
  </si>
  <si>
    <t>BUCYRUS</t>
  </si>
  <si>
    <t>SOUTH POINT</t>
  </si>
  <si>
    <t>BELLBROOK</t>
  </si>
  <si>
    <t>HUBER HEIGHTS</t>
  </si>
  <si>
    <t>WINTERSVILLE</t>
  </si>
  <si>
    <t>MILLERSBURG</t>
  </si>
  <si>
    <t>TALLMADGE</t>
  </si>
  <si>
    <t>PICKERINGTON</t>
  </si>
  <si>
    <t>VERMILION</t>
  </si>
  <si>
    <t>MIAMISBURG</t>
  </si>
  <si>
    <t>CANAL WINCHESTER</t>
  </si>
  <si>
    <t>NORTH RIDGEVILLE</t>
  </si>
  <si>
    <t>AUSTINTOWN</t>
  </si>
  <si>
    <t>BROADVIEW HEIGHTS</t>
  </si>
  <si>
    <t>GENOA</t>
  </si>
  <si>
    <t>MINERVA</t>
  </si>
  <si>
    <t>HICKSVILLE</t>
  </si>
  <si>
    <t>GIBSONBURG</t>
  </si>
  <si>
    <t>MENTOR</t>
  </si>
  <si>
    <t>DOYLESTOWN</t>
  </si>
  <si>
    <t>ST CLAIRSVILLE</t>
  </si>
  <si>
    <t>MIDDLEBURG HEIGHTS</t>
  </si>
  <si>
    <t>WALTON HILLS</t>
  </si>
  <si>
    <t>NORTH LIMA</t>
  </si>
  <si>
    <t>CHARDON</t>
  </si>
  <si>
    <t>STREETSBORO</t>
  </si>
  <si>
    <t>STOW</t>
  </si>
  <si>
    <t>MIDDLEPORT</t>
  </si>
  <si>
    <t>BROOK PARK</t>
  </si>
  <si>
    <t>KINGSVILLE</t>
  </si>
  <si>
    <t>FAIRBORN</t>
  </si>
  <si>
    <t>SPENCERVILLE</t>
  </si>
  <si>
    <t>SWANTON</t>
  </si>
  <si>
    <t>SAGAMORE HILLS</t>
  </si>
  <si>
    <t>LOUDONVILLE</t>
  </si>
  <si>
    <t>WHITEHOUSE</t>
  </si>
  <si>
    <t>OLMSTED TWP</t>
  </si>
  <si>
    <t>BOARDMAN</t>
  </si>
  <si>
    <t>COPLEY</t>
  </si>
  <si>
    <t>SUNBURY</t>
  </si>
  <si>
    <t>PATASKALA</t>
  </si>
  <si>
    <t>MINERAL RIDGE</t>
  </si>
  <si>
    <t>BRYAN</t>
  </si>
  <si>
    <t>CHESTERVILLE</t>
  </si>
  <si>
    <t>KENTON</t>
  </si>
  <si>
    <t>NEWTON FALLS</t>
  </si>
  <si>
    <t>AVON LAKE</t>
  </si>
  <si>
    <t>MORROW</t>
  </si>
  <si>
    <t>TIPP CITY</t>
  </si>
  <si>
    <t>MASON</t>
  </si>
  <si>
    <t>NEW LEBANON</t>
  </si>
  <si>
    <t>PEEBLES</t>
  </si>
  <si>
    <t>ADENA</t>
  </si>
  <si>
    <t>ROCKY RIVER</t>
  </si>
  <si>
    <t>WASHINGTON CH</t>
  </si>
  <si>
    <t>MIDDLEFIELD</t>
  </si>
  <si>
    <t>NEWBURY</t>
  </si>
  <si>
    <t>MAUMEE</t>
  </si>
  <si>
    <t>HURON</t>
  </si>
  <si>
    <t>BLOOMVILLE</t>
  </si>
  <si>
    <t>CALCUTTA</t>
  </si>
  <si>
    <t>CRESTLINE</t>
  </si>
  <si>
    <t>FRANKLIN FURNACE</t>
  </si>
  <si>
    <t>RICHMOND HEIGHTS</t>
  </si>
  <si>
    <t>BELLVILLE</t>
  </si>
  <si>
    <t>SHAKER HEIGHTS</t>
  </si>
  <si>
    <t>MOUNT GILEAD</t>
  </si>
  <si>
    <t>PANDORA</t>
  </si>
  <si>
    <t>BOWERSTON</t>
  </si>
  <si>
    <t>PAULDING</t>
  </si>
  <si>
    <t>GARFIELD HEIGHTS</t>
  </si>
  <si>
    <t>CRIDERSVILLE</t>
  </si>
  <si>
    <t>HOPEDALE</t>
  </si>
  <si>
    <t>CONVOY</t>
  </si>
  <si>
    <t>WEST CHESTER</t>
  </si>
  <si>
    <t>AUSTINBURG</t>
  </si>
  <si>
    <t>SABINA</t>
  </si>
  <si>
    <t>BURTON</t>
  </si>
  <si>
    <t>GAHANNA</t>
  </si>
  <si>
    <t>MCDERMOTT</t>
  </si>
  <si>
    <t>LYNDHURST</t>
  </si>
  <si>
    <t>ORRVILLE</t>
  </si>
  <si>
    <t>HUNTSBURG</t>
  </si>
  <si>
    <t>MCARTHUR</t>
  </si>
  <si>
    <t>NEW CONCORD</t>
  </si>
  <si>
    <t>OLMSTED FALLS</t>
  </si>
  <si>
    <t>SPRINGBORO</t>
  </si>
  <si>
    <t>DELPHOS</t>
  </si>
  <si>
    <t>STRUTHERS</t>
  </si>
  <si>
    <t>SAINT HENRY</t>
  </si>
  <si>
    <t>COAL GROVE</t>
  </si>
  <si>
    <t>GLENWILLOW</t>
  </si>
  <si>
    <t>LEIPSIC</t>
  </si>
  <si>
    <t>BALTIC</t>
  </si>
  <si>
    <t>HOLGATE</t>
  </si>
  <si>
    <t>UHRICHSVILLE</t>
  </si>
  <si>
    <t>MAYFIELD VILLAGE</t>
  </si>
  <si>
    <t>ORWELL</t>
  </si>
  <si>
    <t>CHAGRIN FALLS</t>
  </si>
  <si>
    <t>CHAMPION</t>
  </si>
  <si>
    <t>SHADYSIDE</t>
  </si>
  <si>
    <t>AMELIA</t>
  </si>
  <si>
    <t>ARCHBOLD</t>
  </si>
  <si>
    <t>GERMANTOWN</t>
  </si>
  <si>
    <t>TROTWOOD</t>
  </si>
  <si>
    <t>EAST LIVERPOOL</t>
  </si>
  <si>
    <t>PENINSULA</t>
  </si>
  <si>
    <t>KIRKERSVILLE</t>
  </si>
  <si>
    <t>POLAND</t>
  </si>
  <si>
    <t>TWINSBURG</t>
  </si>
  <si>
    <t>MONCLOVA</t>
  </si>
  <si>
    <t>THORNVILLE</t>
  </si>
  <si>
    <t>NEW MIDDLETOWN</t>
  </si>
  <si>
    <t>EAST PALESTINE</t>
  </si>
  <si>
    <t>MAINEVILLE</t>
  </si>
  <si>
    <t>WARRENSVILLE HEIGHTS</t>
  </si>
  <si>
    <t>BRECKSVILLE</t>
  </si>
  <si>
    <t>BEAVER CREEK</t>
  </si>
  <si>
    <t>REYNOLDSBURG</t>
  </si>
  <si>
    <t>WASHINGTN C H</t>
  </si>
  <si>
    <t>FAIRVIEW PARK</t>
  </si>
  <si>
    <t>WOODWARD</t>
  </si>
  <si>
    <t>PONCA CITY</t>
  </si>
  <si>
    <t>SHATTUCK</t>
  </si>
  <si>
    <t>ALTUS</t>
  </si>
  <si>
    <t>CLAREMORE</t>
  </si>
  <si>
    <t>POTEAU</t>
  </si>
  <si>
    <t>BRISTOW</t>
  </si>
  <si>
    <t>CHICKASHA</t>
  </si>
  <si>
    <t>OKMULGEE</t>
  </si>
  <si>
    <t>VINITA</t>
  </si>
  <si>
    <t>ALVA</t>
  </si>
  <si>
    <t>ANTLERS</t>
  </si>
  <si>
    <t>LAWTON</t>
  </si>
  <si>
    <t>SAYRE</t>
  </si>
  <si>
    <t>SALLISAW</t>
  </si>
  <si>
    <t>PAULS VALLEY</t>
  </si>
  <si>
    <t>PURCELL</t>
  </si>
  <si>
    <t>STILWELL</t>
  </si>
  <si>
    <t>HENRYETTA</t>
  </si>
  <si>
    <t>TULSA</t>
  </si>
  <si>
    <t>MCALESTER</t>
  </si>
  <si>
    <t>ENID</t>
  </si>
  <si>
    <t>DUNCAN</t>
  </si>
  <si>
    <t>MIDWEST CITY</t>
  </si>
  <si>
    <t>KINGFISHER</t>
  </si>
  <si>
    <t>OKLAHOMA CITY</t>
  </si>
  <si>
    <t>BARTLESVILLE</t>
  </si>
  <si>
    <t>EL RENO</t>
  </si>
  <si>
    <t>GROVE</t>
  </si>
  <si>
    <t>JONES</t>
  </si>
  <si>
    <t>NORMAN</t>
  </si>
  <si>
    <t>IDABEL</t>
  </si>
  <si>
    <t>TAHLEQUAH</t>
  </si>
  <si>
    <t>MUSKOGEE</t>
  </si>
  <si>
    <t>CHECOTAH</t>
  </si>
  <si>
    <t>GLENPOOL</t>
  </si>
  <si>
    <t>DEWEY</t>
  </si>
  <si>
    <t>EDMOND</t>
  </si>
  <si>
    <t>ARDMORE</t>
  </si>
  <si>
    <t>BROKEN ARROW</t>
  </si>
  <si>
    <t>WYNNEWOOD</t>
  </si>
  <si>
    <t>DEL CITY</t>
  </si>
  <si>
    <t>POCOLA</t>
  </si>
  <si>
    <t>WAURIKA</t>
  </si>
  <si>
    <t>HOLDENVILLE</t>
  </si>
  <si>
    <t>LINDSAY</t>
  </si>
  <si>
    <t>MANGUM</t>
  </si>
  <si>
    <t>YUKON</t>
  </si>
  <si>
    <t>MADILL</t>
  </si>
  <si>
    <t>CATOOSA</t>
  </si>
  <si>
    <t>NOBLE</t>
  </si>
  <si>
    <t>SPIRO</t>
  </si>
  <si>
    <t>CHOUTEAU</t>
  </si>
  <si>
    <t>SAPULPA</t>
  </si>
  <si>
    <t>SAND SPRINGS</t>
  </si>
  <si>
    <t>WAKITA</t>
  </si>
  <si>
    <t>SKIATOOK</t>
  </si>
  <si>
    <t>GORE</t>
  </si>
  <si>
    <t>PRYOR</t>
  </si>
  <si>
    <t>WEWOKA</t>
  </si>
  <si>
    <t>COWETA</t>
  </si>
  <si>
    <t>CORDELL</t>
  </si>
  <si>
    <t>COALGATE</t>
  </si>
  <si>
    <t>MEEKER</t>
  </si>
  <si>
    <t>OKEMAH</t>
  </si>
  <si>
    <t>TALIHINA</t>
  </si>
  <si>
    <t>FORT GIBSON</t>
  </si>
  <si>
    <t>MOORE</t>
  </si>
  <si>
    <t>WEATHERFORD</t>
  </si>
  <si>
    <t>WARNER</t>
  </si>
  <si>
    <t>OWASSO</t>
  </si>
  <si>
    <t>MANNFORD</t>
  </si>
  <si>
    <t>MCLOUD</t>
  </si>
  <si>
    <t>NOWATA</t>
  </si>
  <si>
    <t>JENKS</t>
  </si>
  <si>
    <t>STROUD</t>
  </si>
  <si>
    <t>WAGONER</t>
  </si>
  <si>
    <t>ARKOMA</t>
  </si>
  <si>
    <t>GUTHRIE</t>
  </si>
  <si>
    <t>PAWNEE</t>
  </si>
  <si>
    <t>PRAGUE</t>
  </si>
  <si>
    <t>COLCORD</t>
  </si>
  <si>
    <t>HARTSHORNE</t>
  </si>
  <si>
    <t>HUGO</t>
  </si>
  <si>
    <t>ROLAND</t>
  </si>
  <si>
    <t>BINGER</t>
  </si>
  <si>
    <t>ELK CITY</t>
  </si>
  <si>
    <t>BLACKWELL</t>
  </si>
  <si>
    <t>ALLEN</t>
  </si>
  <si>
    <t>HARRAH</t>
  </si>
  <si>
    <t>CORN</t>
  </si>
  <si>
    <t>BIXBY</t>
  </si>
  <si>
    <t>MARLOW</t>
  </si>
  <si>
    <t>COMANCHE</t>
  </si>
  <si>
    <t>TUTTLE</t>
  </si>
  <si>
    <t>TEMPLE</t>
  </si>
  <si>
    <t>VIAN</t>
  </si>
  <si>
    <t>HEAVENER</t>
  </si>
  <si>
    <t>INOLA</t>
  </si>
  <si>
    <t>DRUMRIGHT</t>
  </si>
  <si>
    <t>COLBERT</t>
  </si>
  <si>
    <t>CUSHING</t>
  </si>
  <si>
    <t>ANADARKO</t>
  </si>
  <si>
    <t>CRESCENT</t>
  </si>
  <si>
    <t>PAWHUSKA</t>
  </si>
  <si>
    <t>BARNSDALL</t>
  </si>
  <si>
    <t>HENNESSEY</t>
  </si>
  <si>
    <t>HYDRO</t>
  </si>
  <si>
    <t>STIGLER</t>
  </si>
  <si>
    <t>QUINTON</t>
  </si>
  <si>
    <t>FAIRLAND</t>
  </si>
  <si>
    <t>CALERA</t>
  </si>
  <si>
    <t>GUYMON</t>
  </si>
  <si>
    <t>GEARY</t>
  </si>
  <si>
    <t>WILBURTON</t>
  </si>
  <si>
    <t>ATOKA</t>
  </si>
  <si>
    <t>MOORELAND</t>
  </si>
  <si>
    <t>VICI</t>
  </si>
  <si>
    <t>SNYDER</t>
  </si>
  <si>
    <t>TONKAWA</t>
  </si>
  <si>
    <t>BEAVER</t>
  </si>
  <si>
    <t>GRESHAM</t>
  </si>
  <si>
    <t>MOUNT ANGEL</t>
  </si>
  <si>
    <t>EUGENE</t>
  </si>
  <si>
    <t>THE DALLES</t>
  </si>
  <si>
    <t>GRANTS PASS</t>
  </si>
  <si>
    <t>CORVALLIS</t>
  </si>
  <si>
    <t>HOOD RIVER</t>
  </si>
  <si>
    <t>OREGON CITY</t>
  </si>
  <si>
    <t>TIGARD</t>
  </si>
  <si>
    <t>KLAMATH FALLS</t>
  </si>
  <si>
    <t>BEND</t>
  </si>
  <si>
    <t>ROSEBURG</t>
  </si>
  <si>
    <t>MOLALLA</t>
  </si>
  <si>
    <t>COTTAGE GROVE</t>
  </si>
  <si>
    <t>FOREST GROVE</t>
  </si>
  <si>
    <t>COOS BAY</t>
  </si>
  <si>
    <t>MILTON FREEWATER</t>
  </si>
  <si>
    <t>REEDSPORT</t>
  </si>
  <si>
    <t>BROOKINGS</t>
  </si>
  <si>
    <t>BEAVERTON</t>
  </si>
  <si>
    <t>MCMINNVILLE</t>
  </si>
  <si>
    <t>NEWBERG</t>
  </si>
  <si>
    <t>MADRAS</t>
  </si>
  <si>
    <t>CRESWELL</t>
  </si>
  <si>
    <t>MILWAUKIE</t>
  </si>
  <si>
    <t>GLADSTONE</t>
  </si>
  <si>
    <t>LA GRANDE</t>
  </si>
  <si>
    <t>SAINT HELENS</t>
  </si>
  <si>
    <t>REDMOND</t>
  </si>
  <si>
    <t>KEIZER</t>
  </si>
  <si>
    <t>HAPPY VALLEY</t>
  </si>
  <si>
    <t>SUBLIMITY</t>
  </si>
  <si>
    <t>SWEET HOME</t>
  </si>
  <si>
    <t>WHEELER</t>
  </si>
  <si>
    <t>MYRTLE POINT</t>
  </si>
  <si>
    <t>PRINEVILLE</t>
  </si>
  <si>
    <t>HERMISTON</t>
  </si>
  <si>
    <t>LAKE OSWEGO</t>
  </si>
  <si>
    <t>WILSONVILLE</t>
  </si>
  <si>
    <t>VALE</t>
  </si>
  <si>
    <t>WEST LINN</t>
  </si>
  <si>
    <t>TUALATIN</t>
  </si>
  <si>
    <t>ELLWOOD CITY</t>
  </si>
  <si>
    <t>HUNTINGDON</t>
  </si>
  <si>
    <t>DUBOIS</t>
  </si>
  <si>
    <t>KANE</t>
  </si>
  <si>
    <t>HONESDALE</t>
  </si>
  <si>
    <t>WAYNESBURG</t>
  </si>
  <si>
    <t>PUNXSUTAWNEY</t>
  </si>
  <si>
    <t>TOWANDA</t>
  </si>
  <si>
    <t>ZELIENOPLE</t>
  </si>
  <si>
    <t>MEADOWBROOK</t>
  </si>
  <si>
    <t>WARRINGTON</t>
  </si>
  <si>
    <t>BRACKENRIDGE</t>
  </si>
  <si>
    <t>CHAMBERSBURG</t>
  </si>
  <si>
    <t>MUNHALL</t>
  </si>
  <si>
    <t>ALLENTOWN</t>
  </si>
  <si>
    <t>PLYMOUTH MEETING</t>
  </si>
  <si>
    <t>PITTSBURGH</t>
  </si>
  <si>
    <t>RICHLANDTOWN</t>
  </si>
  <si>
    <t>LOCK HAVEN</t>
  </si>
  <si>
    <t>MCMURRAY</t>
  </si>
  <si>
    <t>ERIE</t>
  </si>
  <si>
    <t>OAKMONT</t>
  </si>
  <si>
    <t>COAL TOWNSHIP</t>
  </si>
  <si>
    <t>HOLLIDAYSBURG</t>
  </si>
  <si>
    <t>BROOMALL</t>
  </si>
  <si>
    <t>CLAIRTON</t>
  </si>
  <si>
    <t>SCRANTON</t>
  </si>
  <si>
    <t>WILLOW GROVE</t>
  </si>
  <si>
    <t>WINDBER</t>
  </si>
  <si>
    <t>LEESPORT</t>
  </si>
  <si>
    <t>BRYN MAWR</t>
  </si>
  <si>
    <t>TREXLERTOWN</t>
  </si>
  <si>
    <t>NEW OXFORD</t>
  </si>
  <si>
    <t>ALIQUIPPA</t>
  </si>
  <si>
    <t>TOPTON</t>
  </si>
  <si>
    <t>CHICORA</t>
  </si>
  <si>
    <t>CAMP HILL</t>
  </si>
  <si>
    <t>SHILLINGTON</t>
  </si>
  <si>
    <t>WILKES BARRE</t>
  </si>
  <si>
    <t>SAXONBURG</t>
  </si>
  <si>
    <t>MARS</t>
  </si>
  <si>
    <t>COOPERSBURG</t>
  </si>
  <si>
    <t>SELINSGROVE</t>
  </si>
  <si>
    <t>HAVERTOWN</t>
  </si>
  <si>
    <t>AMBLER</t>
  </si>
  <si>
    <t>CORNWALL</t>
  </si>
  <si>
    <t>BUCKINGHAM</t>
  </si>
  <si>
    <t>ROSEMONT</t>
  </si>
  <si>
    <t>NEW WILMINGTON</t>
  </si>
  <si>
    <t>PROSPECT PARK</t>
  </si>
  <si>
    <t>LOWER BURRELL</t>
  </si>
  <si>
    <t>RICHBORO</t>
  </si>
  <si>
    <t>WEST READING</t>
  </si>
  <si>
    <t>ROSLYN</t>
  </si>
  <si>
    <t>COUDERSPORT</t>
  </si>
  <si>
    <t>GWYNEDD</t>
  </si>
  <si>
    <t>UNIONTOWN</t>
  </si>
  <si>
    <t>GETTYSBURG</t>
  </si>
  <si>
    <t>BETHLEHEM</t>
  </si>
  <si>
    <t>POTTSVILLE</t>
  </si>
  <si>
    <t>LANSDALE</t>
  </si>
  <si>
    <t>LEVITTOWN</t>
  </si>
  <si>
    <t>LEWISBURG</t>
  </si>
  <si>
    <t>HAZLETON</t>
  </si>
  <si>
    <t>BEAVER FALLS</t>
  </si>
  <si>
    <t>LEHIGHTON</t>
  </si>
  <si>
    <t>FLOURTOWN</t>
  </si>
  <si>
    <t>DARBY</t>
  </si>
  <si>
    <t>PHOENIXVILLE</t>
  </si>
  <si>
    <t>SUSQUEHANNA</t>
  </si>
  <si>
    <t>FRACKVILLE</t>
  </si>
  <si>
    <t>EAST STROUDSBURG</t>
  </si>
  <si>
    <t>CANONSBURG</t>
  </si>
  <si>
    <t>MURRYSVILLE</t>
  </si>
  <si>
    <t>WHITE MARSH</t>
  </si>
  <si>
    <t>NANTICOKE</t>
  </si>
  <si>
    <t>WEXFORD</t>
  </si>
  <si>
    <t>KENNETT SQUARE</t>
  </si>
  <si>
    <t>INDIANA</t>
  </si>
  <si>
    <t>COALDALE</t>
  </si>
  <si>
    <t>WELLSBORO</t>
  </si>
  <si>
    <t>POTTSTOWN</t>
  </si>
  <si>
    <t>RYDAL</t>
  </si>
  <si>
    <t>LITITZ</t>
  </si>
  <si>
    <t>NARVON</t>
  </si>
  <si>
    <t>NEWTOWN SQUARE</t>
  </si>
  <si>
    <t>WYNDMOOR</t>
  </si>
  <si>
    <t>QUARRYVILLE</t>
  </si>
  <si>
    <t>WYNCOTE</t>
  </si>
  <si>
    <t>MYERSTOWN</t>
  </si>
  <si>
    <t>NORRISTOWN</t>
  </si>
  <si>
    <t>MIFFLIN</t>
  </si>
  <si>
    <t>SPRING HOUSE</t>
  </si>
  <si>
    <t>BRADFORD</t>
  </si>
  <si>
    <t>EMPORIUM</t>
  </si>
  <si>
    <t>JERSEY SHORE</t>
  </si>
  <si>
    <t>HATBORO</t>
  </si>
  <si>
    <t>APOLLO</t>
  </si>
  <si>
    <t>YEADON</t>
  </si>
  <si>
    <t>NEWVILLE</t>
  </si>
  <si>
    <t>MONTOURSVILLE</t>
  </si>
  <si>
    <t>VALENCIA</t>
  </si>
  <si>
    <t>NORTH HUNTINGDON</t>
  </si>
  <si>
    <t>MECHANICSBURG</t>
  </si>
  <si>
    <t>MCCONNELLSBURG</t>
  </si>
  <si>
    <t>NORTHUMBERLAND</t>
  </si>
  <si>
    <t>TYRONE</t>
  </si>
  <si>
    <t>DEVON</t>
  </si>
  <si>
    <t>CHRISTIANA</t>
  </si>
  <si>
    <t>QUAKERTOWN</t>
  </si>
  <si>
    <t>OLYPHANT</t>
  </si>
  <si>
    <t>SCHUYLKILL HAVEN</t>
  </si>
  <si>
    <t>MIFFLINTOWN</t>
  </si>
  <si>
    <t>BERWICK</t>
  </si>
  <si>
    <t>NEW BLOOMFIELD</t>
  </si>
  <si>
    <t>WARMINSTER</t>
  </si>
  <si>
    <t>TUNKHANNOCK</t>
  </si>
  <si>
    <t>HONEY BROOK</t>
  </si>
  <si>
    <t>RENOVO</t>
  </si>
  <si>
    <t>DALLASTOWN</t>
  </si>
  <si>
    <t>ROYERSFORD</t>
  </si>
  <si>
    <t>SLIGO</t>
  </si>
  <si>
    <t>LANGHORNE</t>
  </si>
  <si>
    <t>EFFORT</t>
  </si>
  <si>
    <t>WEATHERLY</t>
  </si>
  <si>
    <t>KITTANNING</t>
  </si>
  <si>
    <t>NAZARETH</t>
  </si>
  <si>
    <t>LAURELDALE</t>
  </si>
  <si>
    <t>DRUMS</t>
  </si>
  <si>
    <t>CORRY</t>
  </si>
  <si>
    <t>SOUTHAMPTON</t>
  </si>
  <si>
    <t>STROUDSBURG</t>
  </si>
  <si>
    <t>LAKE ARIEL</t>
  </si>
  <si>
    <t>LOWER GWYNEDD</t>
  </si>
  <si>
    <t>SELLERSVILLE</t>
  </si>
  <si>
    <t>MEDIA</t>
  </si>
  <si>
    <t>TREMONT</t>
  </si>
  <si>
    <t>OIL CITY</t>
  </si>
  <si>
    <t>PHILIPSBURG</t>
  </si>
  <si>
    <t>SARVER</t>
  </si>
  <si>
    <t>CHESWICK</t>
  </si>
  <si>
    <t>SINKING SPRING</t>
  </si>
  <si>
    <t>MOUNTAIN TOP</t>
  </si>
  <si>
    <t>GLENSIDE</t>
  </si>
  <si>
    <t>CRANBERRY TOWNSHIP</t>
  </si>
  <si>
    <t>PENNSBURG</t>
  </si>
  <si>
    <t>MARTINSBURG</t>
  </si>
  <si>
    <t>DUNMORE</t>
  </si>
  <si>
    <t>MUNCY</t>
  </si>
  <si>
    <t>STEVENS</t>
  </si>
  <si>
    <t>SOUTH MOUNTAIN</t>
  </si>
  <si>
    <t>MT CARMEL</t>
  </si>
  <si>
    <t>BRIDGEVILLE</t>
  </si>
  <si>
    <t>PITTSTON</t>
  </si>
  <si>
    <t>CORAOPOLIS</t>
  </si>
  <si>
    <t>GIBSONIA</t>
  </si>
  <si>
    <t>SHIPPENVILLE</t>
  </si>
  <si>
    <t>YOUNGSVILLE</t>
  </si>
  <si>
    <t>MILLMONT</t>
  </si>
  <si>
    <t>CONNEAUTVILLE</t>
  </si>
  <si>
    <t>MONONGAHELA</t>
  </si>
  <si>
    <t>SOUDERTON</t>
  </si>
  <si>
    <t>SEWICKLEY</t>
  </si>
  <si>
    <t>MCKEESPORT</t>
  </si>
  <si>
    <t>PECKVILLE</t>
  </si>
  <si>
    <t>EDINBORO</t>
  </si>
  <si>
    <t>HARLEYSVILLE</t>
  </si>
  <si>
    <t>CURWENSVILLE</t>
  </si>
  <si>
    <t>MEYERSDALE</t>
  </si>
  <si>
    <t>BLUE BELL</t>
  </si>
  <si>
    <t>KUTZTOWN</t>
  </si>
  <si>
    <t>LAPORTE</t>
  </si>
  <si>
    <t>OAK LANE</t>
  </si>
  <si>
    <t>WILKES-BARRE</t>
  </si>
  <si>
    <t>ORBISONIA</t>
  </si>
  <si>
    <t>BETHEL PARK</t>
  </si>
  <si>
    <t>CLARKS SUMMIT</t>
  </si>
  <si>
    <t>ELKINS PARK</t>
  </si>
  <si>
    <t>GLADWYNE</t>
  </si>
  <si>
    <t>MARIENVILLE</t>
  </si>
  <si>
    <t>STATE COLLEGE</t>
  </si>
  <si>
    <t>WILLOW STREET</t>
  </si>
  <si>
    <t>SMETHPORT</t>
  </si>
  <si>
    <t>BELLEFONTE</t>
  </si>
  <si>
    <t>DUNCANNON</t>
  </si>
  <si>
    <t>MANHEIM</t>
  </si>
  <si>
    <t>VERONA</t>
  </si>
  <si>
    <t>MONTGOMERYVILLE</t>
  </si>
  <si>
    <t>WYOMISSING</t>
  </si>
  <si>
    <t>HAVERFORD</t>
  </si>
  <si>
    <t>TELFORD</t>
  </si>
  <si>
    <t>EPHRATA</t>
  </si>
  <si>
    <t>DOWNINGTOWN</t>
  </si>
  <si>
    <t>YARDLEY</t>
  </si>
  <si>
    <t>LAFAYETTE HILL</t>
  </si>
  <si>
    <t>WATSONTOWN</t>
  </si>
  <si>
    <t>EBENSBURG</t>
  </si>
  <si>
    <t>KING OF PRUSSIA</t>
  </si>
  <si>
    <t>SAEGERTOWN</t>
  </si>
  <si>
    <t>LATROBE</t>
  </si>
  <si>
    <t>BENSALEM</t>
  </si>
  <si>
    <t>MARKLEYSBURG</t>
  </si>
  <si>
    <t>TURTLE CREEK</t>
  </si>
  <si>
    <t>TAMAQUA</t>
  </si>
  <si>
    <t>BROCKWAY</t>
  </si>
  <si>
    <t>ORWIGSBURG</t>
  </si>
  <si>
    <t>MERCER</t>
  </si>
  <si>
    <t>WERNERSVILLE</t>
  </si>
  <si>
    <t>DAVIDSVILLE</t>
  </si>
  <si>
    <t>ORANGEVILLE</t>
  </si>
  <si>
    <t>FORKSVILLE</t>
  </si>
  <si>
    <t>HUNTINGDON VALLEY</t>
  </si>
  <si>
    <t>GLEN MILLS</t>
  </si>
  <si>
    <t>WAYMART</t>
  </si>
  <si>
    <t>MACUNGIE</t>
  </si>
  <si>
    <t>JEFFERSON HILLS</t>
  </si>
  <si>
    <t>BOOTHWYN</t>
  </si>
  <si>
    <t>BLOOMSBURG</t>
  </si>
  <si>
    <t>SHIPPENSBURG</t>
  </si>
  <si>
    <t>COAL RUN</t>
  </si>
  <si>
    <t>PHILA</t>
  </si>
  <si>
    <t>HELLERTOWN</t>
  </si>
  <si>
    <t>BADEN</t>
  </si>
  <si>
    <t>SCOTTDALE</t>
  </si>
  <si>
    <t>JEANNETTE</t>
  </si>
  <si>
    <t>WEST BRANDYWINE</t>
  </si>
  <si>
    <t>ALLISON PARK</t>
  </si>
  <si>
    <t>NORTH WALES</t>
  </si>
  <si>
    <t>NEW HOLLAND</t>
  </si>
  <si>
    <t>WEST GROVE</t>
  </si>
  <si>
    <t>RIDLEY PARK</t>
  </si>
  <si>
    <t>ELIZABETHVILLE</t>
  </si>
  <si>
    <t>HUMMELSTOWN</t>
  </si>
  <si>
    <t>HUMACAO</t>
  </si>
  <si>
    <t>PONCE</t>
  </si>
  <si>
    <t>VEGA BAJA</t>
  </si>
  <si>
    <t>HORMIGUEROS</t>
  </si>
  <si>
    <t>RIO PIEDRAS</t>
  </si>
  <si>
    <t>EAST PROVIDENCE</t>
  </si>
  <si>
    <t>WESTERLY</t>
  </si>
  <si>
    <t>EAST GREENWICH</t>
  </si>
  <si>
    <t>PROVIDENCE</t>
  </si>
  <si>
    <t>PAWTUCKET</t>
  </si>
  <si>
    <t>NORTH PROVIDENCE</t>
  </si>
  <si>
    <t>CRANSTON</t>
  </si>
  <si>
    <t>WOONSOCKET</t>
  </si>
  <si>
    <t>PASCOAG</t>
  </si>
  <si>
    <t>WEST KINGSTON</t>
  </si>
  <si>
    <t>SOUTH KINGSTOWN</t>
  </si>
  <si>
    <t>NORTH KINGSTOWN</t>
  </si>
  <si>
    <t>WEST WARWICK</t>
  </si>
  <si>
    <t>MANVILLE</t>
  </si>
  <si>
    <t>COVENTRY</t>
  </si>
  <si>
    <t>CENTRAL FALLS</t>
  </si>
  <si>
    <t>NORTH SMITHFIELD</t>
  </si>
  <si>
    <t>FOSTER</t>
  </si>
  <si>
    <t>BARNWELL</t>
  </si>
  <si>
    <t>NEWBERRY</t>
  </si>
  <si>
    <t>BENNETTSVILLE</t>
  </si>
  <si>
    <t>MULLINS</t>
  </si>
  <si>
    <t>DARLINGTON</t>
  </si>
  <si>
    <t>CHERAW</t>
  </si>
  <si>
    <t>MANNING</t>
  </si>
  <si>
    <t>VARNVILLE</t>
  </si>
  <si>
    <t>GREER</t>
  </si>
  <si>
    <t>AIKEN</t>
  </si>
  <si>
    <t>EASLEY</t>
  </si>
  <si>
    <t>SPARTANBURG</t>
  </si>
  <si>
    <t>WALTERBORO</t>
  </si>
  <si>
    <t>ORANGEBURG</t>
  </si>
  <si>
    <t>GAFFNEY</t>
  </si>
  <si>
    <t>BEAUFORT</t>
  </si>
  <si>
    <t>MYRTLE BEACH</t>
  </si>
  <si>
    <t>PICKENS</t>
  </si>
  <si>
    <t>LORIS</t>
  </si>
  <si>
    <t>ROCK HILL</t>
  </si>
  <si>
    <t>FORK</t>
  </si>
  <si>
    <t>WHITE ROCK</t>
  </si>
  <si>
    <t>BAMBERG</t>
  </si>
  <si>
    <t>WEST COLUMBIA</t>
  </si>
  <si>
    <t>SUMTER</t>
  </si>
  <si>
    <t>MT PLEASANT</t>
  </si>
  <si>
    <t>HARTSVILLE</t>
  </si>
  <si>
    <t>SIMPSONVILLE</t>
  </si>
  <si>
    <t>KINGSTREE</t>
  </si>
  <si>
    <t>MONCKS CORNER</t>
  </si>
  <si>
    <t>SAINT GEORGE</t>
  </si>
  <si>
    <t>HILTON HEAD ISLAND</t>
  </si>
  <si>
    <t>RIDGEWAY</t>
  </si>
  <si>
    <t>FOUNTAIN INN</t>
  </si>
  <si>
    <t>SAINT MATTHEWS</t>
  </si>
  <si>
    <t>MC CORMICK</t>
  </si>
  <si>
    <t>BISHOPVILLE</t>
  </si>
  <si>
    <t>WOODRUFF</t>
  </si>
  <si>
    <t>HANAHAN</t>
  </si>
  <si>
    <t>EDGEFIELD</t>
  </si>
  <si>
    <t>NORTH AUGUSTA</t>
  </si>
  <si>
    <t>SUMMERTON</t>
  </si>
  <si>
    <t>SIX MILE</t>
  </si>
  <si>
    <t>ESTILL</t>
  </si>
  <si>
    <t>IVA</t>
  </si>
  <si>
    <t>BLACKVILLE</t>
  </si>
  <si>
    <t>N CHARLESTON</t>
  </si>
  <si>
    <t>SAINT STEPHEN</t>
  </si>
  <si>
    <t>JOHNS ISLAND</t>
  </si>
  <si>
    <t>PAWLEYS ISLAND</t>
  </si>
  <si>
    <t>TRAVELERS REST</t>
  </si>
  <si>
    <t>OKATIE</t>
  </si>
  <si>
    <t>YANKTON</t>
  </si>
  <si>
    <t>PIERRE</t>
  </si>
  <si>
    <t>MILBANK</t>
  </si>
  <si>
    <t>GREGORY</t>
  </si>
  <si>
    <t>SIOUX FALLS</t>
  </si>
  <si>
    <t>CUSTER</t>
  </si>
  <si>
    <t>RAPID CITY</t>
  </si>
  <si>
    <t>BELLE FOURCHE</t>
  </si>
  <si>
    <t>SISSETON</t>
  </si>
  <si>
    <t>SPEARFISH</t>
  </si>
  <si>
    <t>MOBRIDGE</t>
  </si>
  <si>
    <t>REDFIELD</t>
  </si>
  <si>
    <t>IPSWICH</t>
  </si>
  <si>
    <t>WINNER</t>
  </si>
  <si>
    <t>ARMOUR</t>
  </si>
  <si>
    <t>LAKE NORDEN</t>
  </si>
  <si>
    <t>ALCESTER</t>
  </si>
  <si>
    <t>ELK POINT</t>
  </si>
  <si>
    <t>DE SMET</t>
  </si>
  <si>
    <t>BERESFORD</t>
  </si>
  <si>
    <t>LENNOX</t>
  </si>
  <si>
    <t>FAULKTON</t>
  </si>
  <si>
    <t>FLANDREAU</t>
  </si>
  <si>
    <t>CANISTOTA</t>
  </si>
  <si>
    <t>CORSICA</t>
  </si>
  <si>
    <t>LEMMON</t>
  </si>
  <si>
    <t>TRIPP</t>
  </si>
  <si>
    <t>HIGHMORE</t>
  </si>
  <si>
    <t>WAKONDA</t>
  </si>
  <si>
    <t>SCOTLAND</t>
  </si>
  <si>
    <t>LAKE ANDES</t>
  </si>
  <si>
    <t>TYNDALL</t>
  </si>
  <si>
    <t>ESTELLINE</t>
  </si>
  <si>
    <t>IRENE</t>
  </si>
  <si>
    <t>NEW UNDERWOOD</t>
  </si>
  <si>
    <t>BRITTON</t>
  </si>
  <si>
    <t>WAGNER</t>
  </si>
  <si>
    <t>BOWDLE</t>
  </si>
  <si>
    <t>WHITE</t>
  </si>
  <si>
    <t>FREEMAN</t>
  </si>
  <si>
    <t>MENNO</t>
  </si>
  <si>
    <t>GARRETSON</t>
  </si>
  <si>
    <t>WILMOT</t>
  </si>
  <si>
    <t>VIBORG</t>
  </si>
  <si>
    <t>ROSHOLT</t>
  </si>
  <si>
    <t>SELBY</t>
  </si>
  <si>
    <t>MILLER</t>
  </si>
  <si>
    <t>DELL RAPIDS</t>
  </si>
  <si>
    <t>ROGERSVILLE</t>
  </si>
  <si>
    <t>SELMER</t>
  </si>
  <si>
    <t>DYERSBURG</t>
  </si>
  <si>
    <t>ERIN</t>
  </si>
  <si>
    <t>DICKSON</t>
  </si>
  <si>
    <t>CHATTANOOGA</t>
  </si>
  <si>
    <t>TAZEWELL</t>
  </si>
  <si>
    <t>MC MINNVILLE</t>
  </si>
  <si>
    <t>ERWIN</t>
  </si>
  <si>
    <t>MURFREESBORO</t>
  </si>
  <si>
    <t>COOKEVILLE</t>
  </si>
  <si>
    <t>LAFOLLETTE</t>
  </si>
  <si>
    <t>SIGNAL MOUNTAIN</t>
  </si>
  <si>
    <t>OAK RIDGE</t>
  </si>
  <si>
    <t>SEVIERVILLE</t>
  </si>
  <si>
    <t>ROCKWOOD</t>
  </si>
  <si>
    <t>NEW TAZEWELL</t>
  </si>
  <si>
    <t>KINGSPORT</t>
  </si>
  <si>
    <t>SPRING CITY</t>
  </si>
  <si>
    <t>MOUNTAIN CITY</t>
  </si>
  <si>
    <t>ELIZABETHTON</t>
  </si>
  <si>
    <t>HARRIMAN</t>
  </si>
  <si>
    <t>GREENEVILLE</t>
  </si>
  <si>
    <t>CHURCH HILL</t>
  </si>
  <si>
    <t>TULLAHOMA</t>
  </si>
  <si>
    <t>WARTBURG</t>
  </si>
  <si>
    <t>BLOUNTVILLE</t>
  </si>
  <si>
    <t>MARTIN</t>
  </si>
  <si>
    <t>LOUDON</t>
  </si>
  <si>
    <t>ROCKY TOP</t>
  </si>
  <si>
    <t>GAINESBORO</t>
  </si>
  <si>
    <t>ETOWAH</t>
  </si>
  <si>
    <t>LYNCHBURG</t>
  </si>
  <si>
    <t>WHITES CREEK</t>
  </si>
  <si>
    <t>MAYNARDVILLE</t>
  </si>
  <si>
    <t>TIPTONVILLE</t>
  </si>
  <si>
    <t>JELLICO</t>
  </si>
  <si>
    <t>COLLEGEDALE</t>
  </si>
  <si>
    <t>EAST RIDGE</t>
  </si>
  <si>
    <t>RUTLEDGE</t>
  </si>
  <si>
    <t>ANDERSONVILLE</t>
  </si>
  <si>
    <t>DUCKTOWN</t>
  </si>
  <si>
    <t>ASHLAND CITY</t>
  </si>
  <si>
    <t>SWEETWATER</t>
  </si>
  <si>
    <t>BRUCETON</t>
  </si>
  <si>
    <t>RIDGELY</t>
  </si>
  <si>
    <t>RED BOILING SPRINGS</t>
  </si>
  <si>
    <t>SOUTH PITTSBURG</t>
  </si>
  <si>
    <t>MC KENZIE</t>
  </si>
  <si>
    <t>DRESDEN</t>
  </si>
  <si>
    <t>HIXSON</t>
  </si>
  <si>
    <t>PIGEON FORGE</t>
  </si>
  <si>
    <t>BYRDSTOWN</t>
  </si>
  <si>
    <t>MONTEAGLE</t>
  </si>
  <si>
    <t>ROAN MOUNTAIN</t>
  </si>
  <si>
    <t>ADAMSVILLE</t>
  </si>
  <si>
    <t>SODDY-DAISY</t>
  </si>
  <si>
    <t>MILLINGTON</t>
  </si>
  <si>
    <t>HOHENWALD</t>
  </si>
  <si>
    <t>MOUNT JULIET</t>
  </si>
  <si>
    <t>GALLAWAY</t>
  </si>
  <si>
    <t>DECATURVILLE</t>
  </si>
  <si>
    <t>JONESBOROUGH</t>
  </si>
  <si>
    <t>SNEEDVILLE</t>
  </si>
  <si>
    <t>GOODLETTSVILLE</t>
  </si>
  <si>
    <t>BELLS</t>
  </si>
  <si>
    <t>ALAMO</t>
  </si>
  <si>
    <t>PURYEAR</t>
  </si>
  <si>
    <t>DANDRIDGE</t>
  </si>
  <si>
    <t>CHUCKEY</t>
  </si>
  <si>
    <t>RIDGETOP</t>
  </si>
  <si>
    <t>COLLIERVILLE</t>
  </si>
  <si>
    <t>OLD HICKORY</t>
  </si>
  <si>
    <t>OOLTEWAH</t>
  </si>
  <si>
    <t>WHITE HOUSE</t>
  </si>
  <si>
    <t>LIMESTONE</t>
  </si>
  <si>
    <t>ANSON</t>
  </si>
  <si>
    <t>FLORESVILLE</t>
  </si>
  <si>
    <t>DEL RIO</t>
  </si>
  <si>
    <t>HEREFORD</t>
  </si>
  <si>
    <t>JOURDANTON</t>
  </si>
  <si>
    <t>UVALDE</t>
  </si>
  <si>
    <t>BRENHAM</t>
  </si>
  <si>
    <t>DUMAS</t>
  </si>
  <si>
    <t>JACKSBORO</t>
  </si>
  <si>
    <t>HAMLIN</t>
  </si>
  <si>
    <t>PEARSALL</t>
  </si>
  <si>
    <t>CHILDRESS</t>
  </si>
  <si>
    <t>MEXIA</t>
  </si>
  <si>
    <t>EASTLAND</t>
  </si>
  <si>
    <t>GLEN ROSE</t>
  </si>
  <si>
    <t>LAMESA</t>
  </si>
  <si>
    <t>CANADIAN</t>
  </si>
  <si>
    <t>NOCONA</t>
  </si>
  <si>
    <t>EL CAMPO</t>
  </si>
  <si>
    <t>LITTLEFIELD</t>
  </si>
  <si>
    <t>KNOX CITY</t>
  </si>
  <si>
    <t>LEVELLAND</t>
  </si>
  <si>
    <t>BEAUMONT</t>
  </si>
  <si>
    <t>NEW BRAUNFELS</t>
  </si>
  <si>
    <t>SAN ANGELO</t>
  </si>
  <si>
    <t>FREDERICKSBURG</t>
  </si>
  <si>
    <t>CORPUS CHRISTI</t>
  </si>
  <si>
    <t>SAN ANTONIO</t>
  </si>
  <si>
    <t>FORT WORTH</t>
  </si>
  <si>
    <t>ALICE</t>
  </si>
  <si>
    <t>AMARILLO</t>
  </si>
  <si>
    <t>WHITE SETTLEMENT</t>
  </si>
  <si>
    <t>LAKE JACKSON</t>
  </si>
  <si>
    <t>WACO</t>
  </si>
  <si>
    <t>SAN JUAN</t>
  </si>
  <si>
    <t>TEXAS CITY</t>
  </si>
  <si>
    <t>NORTH RICHLAND HILLS</t>
  </si>
  <si>
    <t>KILLEEN</t>
  </si>
  <si>
    <t>LAMPASAS</t>
  </si>
  <si>
    <t>COPPERAS COVE</t>
  </si>
  <si>
    <t>LAREDO</t>
  </si>
  <si>
    <t>HONDO</t>
  </si>
  <si>
    <t>GROVES</t>
  </si>
  <si>
    <t>YOAKUM</t>
  </si>
  <si>
    <t>MCALLEN</t>
  </si>
  <si>
    <t>PALESTINE</t>
  </si>
  <si>
    <t>LONGVIEW</t>
  </si>
  <si>
    <t>MINERAL WELLS</t>
  </si>
  <si>
    <t>CROCKETT</t>
  </si>
  <si>
    <t>SULPHUR SPRINGS</t>
  </si>
  <si>
    <t>WAXAHACHIE</t>
  </si>
  <si>
    <t>KOUNTZE</t>
  </si>
  <si>
    <t>ALVARADO</t>
  </si>
  <si>
    <t>BEEVILLE</t>
  </si>
  <si>
    <t>WESLACO</t>
  </si>
  <si>
    <t>HURST</t>
  </si>
  <si>
    <t>KERRVILLE</t>
  </si>
  <si>
    <t>CLEBURNE</t>
  </si>
  <si>
    <t>CLAUDE</t>
  </si>
  <si>
    <t>HARLINGEN</t>
  </si>
  <si>
    <t>LUFKIN</t>
  </si>
  <si>
    <t>WHARTON</t>
  </si>
  <si>
    <t>NACOGDOCHES</t>
  </si>
  <si>
    <t>KARNES CITY</t>
  </si>
  <si>
    <t>KATY</t>
  </si>
  <si>
    <t>POTEET</t>
  </si>
  <si>
    <t>HUMBLE</t>
  </si>
  <si>
    <t>VICTORIA</t>
  </si>
  <si>
    <t>ARANSAS PASS</t>
  </si>
  <si>
    <t>GARLAND</t>
  </si>
  <si>
    <t>GRAND PRAIRIE</t>
  </si>
  <si>
    <t>BAYTOWN</t>
  </si>
  <si>
    <t>STEPHENVILLE</t>
  </si>
  <si>
    <t>MISSION</t>
  </si>
  <si>
    <t>BURLESON</t>
  </si>
  <si>
    <t>ROUND ROCK</t>
  </si>
  <si>
    <t>BOERNE</t>
  </si>
  <si>
    <t>MISSOURI CITY</t>
  </si>
  <si>
    <t>ROBSTOWN</t>
  </si>
  <si>
    <t>RUSK</t>
  </si>
  <si>
    <t>BROWNWOOD</t>
  </si>
  <si>
    <t>VAN</t>
  </si>
  <si>
    <t>PLANO</t>
  </si>
  <si>
    <t>SEGUIN</t>
  </si>
  <si>
    <t>THE WOODLANDS</t>
  </si>
  <si>
    <t>LEAGUE CITY</t>
  </si>
  <si>
    <t>HENRIETTA</t>
  </si>
  <si>
    <t>WICHITA FALLS</t>
  </si>
  <si>
    <t>ROWLETT</t>
  </si>
  <si>
    <t>SCHULENBURG</t>
  </si>
  <si>
    <t>GRANBURY</t>
  </si>
  <si>
    <t>WIMBERLEY</t>
  </si>
  <si>
    <t>PILOT POINT</t>
  </si>
  <si>
    <t>LUBBOCK</t>
  </si>
  <si>
    <t>LLANO</t>
  </si>
  <si>
    <t>SAN MARCOS</t>
  </si>
  <si>
    <t>KAUFMAN</t>
  </si>
  <si>
    <t>LINDALE</t>
  </si>
  <si>
    <t>BORGER</t>
  </si>
  <si>
    <t>DESOTO</t>
  </si>
  <si>
    <t>PORT LAVACA</t>
  </si>
  <si>
    <t>PRICE</t>
  </si>
  <si>
    <t>PANGUITCH</t>
  </si>
  <si>
    <t>ROY</t>
  </si>
  <si>
    <t>SALT LAKE CITY</t>
  </si>
  <si>
    <t>BRIGHAM CITY</t>
  </si>
  <si>
    <t>BLANDING</t>
  </si>
  <si>
    <t>BOUNTIFUL</t>
  </si>
  <si>
    <t>ST GEORGE</t>
  </si>
  <si>
    <t>WASHINGTON TERRACE</t>
  </si>
  <si>
    <t>WEST VALLEY CITY</t>
  </si>
  <si>
    <t>PROVO</t>
  </si>
  <si>
    <t>ROOSEVELT</t>
  </si>
  <si>
    <t>FERRON</t>
  </si>
  <si>
    <t>TOOELE</t>
  </si>
  <si>
    <t>OREM</t>
  </si>
  <si>
    <t>DRAPER</t>
  </si>
  <si>
    <t>VERNAL</t>
  </si>
  <si>
    <t>AMERICAN FORK</t>
  </si>
  <si>
    <t>HURRICANE</t>
  </si>
  <si>
    <t>NEPHI</t>
  </si>
  <si>
    <t>WEST JORDAN</t>
  </si>
  <si>
    <t>SANDY</t>
  </si>
  <si>
    <t>CEDAR CITY</t>
  </si>
  <si>
    <t>HEBER CITY</t>
  </si>
  <si>
    <t>PAROWAN</t>
  </si>
  <si>
    <t>TREMONTON</t>
  </si>
  <si>
    <t>LAYTON</t>
  </si>
  <si>
    <t>CENTERFIELD</t>
  </si>
  <si>
    <t>SOUTH JORDAN</t>
  </si>
  <si>
    <t>IVINS</t>
  </si>
  <si>
    <t>SPANISH FORK</t>
  </si>
  <si>
    <t>MIDVALE</t>
  </si>
  <si>
    <t>RUTLAND</t>
  </si>
  <si>
    <t>WHITE RIVER JUNCTION</t>
  </si>
  <si>
    <t>SAINT JOHNSBURY</t>
  </si>
  <si>
    <t>BARRE</t>
  </si>
  <si>
    <t>SAINT ALBANS</t>
  </si>
  <si>
    <t>BRATTLEBORO</t>
  </si>
  <si>
    <t>BENNINGTON</t>
  </si>
  <si>
    <t>GLOVER</t>
  </si>
  <si>
    <t>BARTON</t>
  </si>
  <si>
    <t>LYNDONVILLE</t>
  </si>
  <si>
    <t>ST ALBANS</t>
  </si>
  <si>
    <t>LUDLOW</t>
  </si>
  <si>
    <t>SHELBURNE</t>
  </si>
  <si>
    <t>WYTHEVILLE</t>
  </si>
  <si>
    <t>GALAX</t>
  </si>
  <si>
    <t>MANASSAS</t>
  </si>
  <si>
    <t>NEWPORT NEWS</t>
  </si>
  <si>
    <t>HOPEWELL</t>
  </si>
  <si>
    <t>VIRGINIA BEACH</t>
  </si>
  <si>
    <t>HARRISONBURG</t>
  </si>
  <si>
    <t>CHESAPEAKE</t>
  </si>
  <si>
    <t>CHILHOWIE</t>
  </si>
  <si>
    <t>DUFFIELD</t>
  </si>
  <si>
    <t>BIG STONE GAP</t>
  </si>
  <si>
    <t>NEW MARKET</t>
  </si>
  <si>
    <t>CLIFTON FORGE</t>
  </si>
  <si>
    <t>CHARLOTTESVILLE</t>
  </si>
  <si>
    <t>FALLS CHURCH</t>
  </si>
  <si>
    <t>HERNDON</t>
  </si>
  <si>
    <t>SOUTH HILL</t>
  </si>
  <si>
    <t>RICHLANDS</t>
  </si>
  <si>
    <t>HILLSVILLE</t>
  </si>
  <si>
    <t>APPOMATTOX</t>
  </si>
  <si>
    <t>BASTIAN</t>
  </si>
  <si>
    <t>HIGHLAND SPRINGS</t>
  </si>
  <si>
    <t>ALTAVISTA</t>
  </si>
  <si>
    <t>FORT BELVOIR</t>
  </si>
  <si>
    <t>BLUEFIELD</t>
  </si>
  <si>
    <t>DUNN LORING</t>
  </si>
  <si>
    <t>SUFFOLK</t>
  </si>
  <si>
    <t>FISHERSVILLE</t>
  </si>
  <si>
    <t>BASSETT</t>
  </si>
  <si>
    <t>FINCASTLE</t>
  </si>
  <si>
    <t>LOW MOOR</t>
  </si>
  <si>
    <t>FORK UNION</t>
  </si>
  <si>
    <t>GOOCHLAND</t>
  </si>
  <si>
    <t>BROOKNEAL</t>
  </si>
  <si>
    <t>NELSONIA</t>
  </si>
  <si>
    <t>BURKE</t>
  </si>
  <si>
    <t>LURAY</t>
  </si>
  <si>
    <t>GRUNDY</t>
  </si>
  <si>
    <t>POQUOSON</t>
  </si>
  <si>
    <t>COLONIAL BEACH</t>
  </si>
  <si>
    <t>NASSAWADOX</t>
  </si>
  <si>
    <t>CULPEPER</t>
  </si>
  <si>
    <t>LAKE RIDGE</t>
  </si>
  <si>
    <t>LOVINGSTON</t>
  </si>
  <si>
    <t>COURTLAND</t>
  </si>
  <si>
    <t>GLEN ALLEN</t>
  </si>
  <si>
    <t>KING GEORGE</t>
  </si>
  <si>
    <t>FRONT ROYAL</t>
  </si>
  <si>
    <t>DILLWYN</t>
  </si>
  <si>
    <t>SOUTH BOSTON</t>
  </si>
  <si>
    <t>CLINTWOOD</t>
  </si>
  <si>
    <t>EAST LEXINGTON</t>
  </si>
  <si>
    <t>LAUREL FORK</t>
  </si>
  <si>
    <t>TAPPAHANNOCK</t>
  </si>
  <si>
    <t>PARKSLEY</t>
  </si>
  <si>
    <t>STANARDSVILLE</t>
  </si>
  <si>
    <t>KILMARNOCK</t>
  </si>
  <si>
    <t>FLOYD</t>
  </si>
  <si>
    <t>WISE</t>
  </si>
  <si>
    <t>PENNINGTON GAP</t>
  </si>
  <si>
    <t>RADFORD</t>
  </si>
  <si>
    <t>BLACKSBURG</t>
  </si>
  <si>
    <t>RICH CREEK</t>
  </si>
  <si>
    <t>CHASE CITY</t>
  </si>
  <si>
    <t>DALEVILLE</t>
  </si>
  <si>
    <t>BON AIR</t>
  </si>
  <si>
    <t>MC LEAN</t>
  </si>
  <si>
    <t>WEBER CITY</t>
  </si>
  <si>
    <t>RURAL RETREAT</t>
  </si>
  <si>
    <t>ISSAQUAH</t>
  </si>
  <si>
    <t>SEATTLE</t>
  </si>
  <si>
    <t>YAKIMA</t>
  </si>
  <si>
    <t>SPOKANE</t>
  </si>
  <si>
    <t>LACEY</t>
  </si>
  <si>
    <t>WALLA WALLA</t>
  </si>
  <si>
    <t>COLLEGE PLACE</t>
  </si>
  <si>
    <t>KENNEWICK</t>
  </si>
  <si>
    <t>HOQUIAM</t>
  </si>
  <si>
    <t>BELLINGHAM</t>
  </si>
  <si>
    <t>TACOMA</t>
  </si>
  <si>
    <t>TOPPENISH</t>
  </si>
  <si>
    <t>SPOKANE VALLEY</t>
  </si>
  <si>
    <t>BREMERTON</t>
  </si>
  <si>
    <t>PASCO</t>
  </si>
  <si>
    <t>SEQUIM</t>
  </si>
  <si>
    <t>CASHMERE</t>
  </si>
  <si>
    <t>PORT ANGELES</t>
  </si>
  <si>
    <t>FEDERAL WAY</t>
  </si>
  <si>
    <t>RENTON</t>
  </si>
  <si>
    <t>VANCOUVER</t>
  </si>
  <si>
    <t>PORT ORCHARD</t>
  </si>
  <si>
    <t>PUYALLUP</t>
  </si>
  <si>
    <t>ANACORTES</t>
  </si>
  <si>
    <t>SUNNYSIDE</t>
  </si>
  <si>
    <t>EDMONDS</t>
  </si>
  <si>
    <t>OLYMPIA</t>
  </si>
  <si>
    <t>PULLMAN</t>
  </si>
  <si>
    <t>BURIEN</t>
  </si>
  <si>
    <t>OTHELLO</t>
  </si>
  <si>
    <t>MOSES LAKE</t>
  </si>
  <si>
    <t>ELLENSBURG</t>
  </si>
  <si>
    <t>WAPATO</t>
  </si>
  <si>
    <t>CAMAS</t>
  </si>
  <si>
    <t>COLVILLE</t>
  </si>
  <si>
    <t>RITZVILLE</t>
  </si>
  <si>
    <t>OMAK</t>
  </si>
  <si>
    <t>PORT TOWNSEND</t>
  </si>
  <si>
    <t>COUPEVILLE</t>
  </si>
  <si>
    <t>SEDRO WOOLLEY</t>
  </si>
  <si>
    <t>LYNNWOOD</t>
  </si>
  <si>
    <t>BAINBRIDGE ISLAND</t>
  </si>
  <si>
    <t>BATTLE GROUND</t>
  </si>
  <si>
    <t>FRIDAY HARBOR</t>
  </si>
  <si>
    <t>KIRKLAND</t>
  </si>
  <si>
    <t>SNOHOMISH</t>
  </si>
  <si>
    <t>RAYMOND</t>
  </si>
  <si>
    <t>CHEWELAH</t>
  </si>
  <si>
    <t>WENATCHEE</t>
  </si>
  <si>
    <t>SOAP LAKE</t>
  </si>
  <si>
    <t>BLAINE</t>
  </si>
  <si>
    <t>VASHON</t>
  </si>
  <si>
    <t>ENUMCLAW</t>
  </si>
  <si>
    <t>UNION GAP</t>
  </si>
  <si>
    <t>STANWOOD</t>
  </si>
  <si>
    <t>LYNDEN</t>
  </si>
  <si>
    <t>SELAH</t>
  </si>
  <si>
    <t>TEKOA</t>
  </si>
  <si>
    <t>BOTHELL</t>
  </si>
  <si>
    <t>GIG HARBOR</t>
  </si>
  <si>
    <t>TONASKET</t>
  </si>
  <si>
    <t>MCKENNA</t>
  </si>
  <si>
    <t>UNIVERSITY PLACE</t>
  </si>
  <si>
    <t>POULSBO</t>
  </si>
  <si>
    <t>SILVERDALE</t>
  </si>
  <si>
    <t>MONTESANO</t>
  </si>
  <si>
    <t>MERCER ISLAND</t>
  </si>
  <si>
    <t>ORTING</t>
  </si>
  <si>
    <t>RETSIL</t>
  </si>
  <si>
    <t>RONCEVERTE</t>
  </si>
  <si>
    <t>NEW MARTINSVILLE</t>
  </si>
  <si>
    <t>SUMMERSVILLE</t>
  </si>
  <si>
    <t>BECKLEY</t>
  </si>
  <si>
    <t>ELKINS</t>
  </si>
  <si>
    <t>WEIRTON</t>
  </si>
  <si>
    <t>PARKERSBURG</t>
  </si>
  <si>
    <t>BUCKHANNON</t>
  </si>
  <si>
    <t>HILLTOP</t>
  </si>
  <si>
    <t>THOMAS</t>
  </si>
  <si>
    <t>POINT PLEASANT</t>
  </si>
  <si>
    <t>DUNBAR</t>
  </si>
  <si>
    <t>MOUNDSVILLE</t>
  </si>
  <si>
    <t>WILLIAMSON</t>
  </si>
  <si>
    <t>KINGWOOD</t>
  </si>
  <si>
    <t>ROMNEY</t>
  </si>
  <si>
    <t>SISSONVILLE</t>
  </si>
  <si>
    <t>DANIELS</t>
  </si>
  <si>
    <t>WHITE SULPHUR SPRING</t>
  </si>
  <si>
    <t>GLENVILLE</t>
  </si>
  <si>
    <t>GLEN DALE</t>
  </si>
  <si>
    <t>BELINGTON</t>
  </si>
  <si>
    <t>CLARKSBURG</t>
  </si>
  <si>
    <t>RAINELLE</t>
  </si>
  <si>
    <t>KEYSER</t>
  </si>
  <si>
    <t>WELLSBURG</t>
  </si>
  <si>
    <t>FOLLANSBEE</t>
  </si>
  <si>
    <t>PHILIPPI</t>
  </si>
  <si>
    <t>SISTERSVILLE</t>
  </si>
  <si>
    <t>ANSTED</t>
  </si>
  <si>
    <t>BERKELEY SPRINGS</t>
  </si>
  <si>
    <t>IVYDALE</t>
  </si>
  <si>
    <t>MARMET</t>
  </si>
  <si>
    <t>CHARLES TOWN</t>
  </si>
  <si>
    <t>JANE LEW</t>
  </si>
  <si>
    <t>FORT ASHBY</t>
  </si>
  <si>
    <t>NEW RICHMOND</t>
  </si>
  <si>
    <t>COWEN</t>
  </si>
  <si>
    <t>SOUTH CHARLESTON</t>
  </si>
  <si>
    <t>HINTON</t>
  </si>
  <si>
    <t>RAVENSWOOD</t>
  </si>
  <si>
    <t>SHEPHERDSTOWN</t>
  </si>
  <si>
    <t>MARLINTON</t>
  </si>
  <si>
    <t>LINDSIDE</t>
  </si>
  <si>
    <t>RICHWOOD</t>
  </si>
  <si>
    <t>CULLODEN</t>
  </si>
  <si>
    <t>PRAIRIE DU SAC</t>
  </si>
  <si>
    <t>GREEN BAY</t>
  </si>
  <si>
    <t>PEWAUKEE</t>
  </si>
  <si>
    <t>RACINE</t>
  </si>
  <si>
    <t>WEST ALLIS</t>
  </si>
  <si>
    <t>MILWAUKEE</t>
  </si>
  <si>
    <t>PORT EDWARDS</t>
  </si>
  <si>
    <t>WAUNAKEE</t>
  </si>
  <si>
    <t>REEDSBURG</t>
  </si>
  <si>
    <t>KENOSHA</t>
  </si>
  <si>
    <t>WAUSAU</t>
  </si>
  <si>
    <t>WEST SALEM</t>
  </si>
  <si>
    <t>WISCONSIN RAPIDS</t>
  </si>
  <si>
    <t>PLATTEVILLE</t>
  </si>
  <si>
    <t>WAUKESHA</t>
  </si>
  <si>
    <t>FORT ATKINSON</t>
  </si>
  <si>
    <t>FOND DU LAC</t>
  </si>
  <si>
    <t>MUSKEGO</t>
  </si>
  <si>
    <t>OSHKOSH</t>
  </si>
  <si>
    <t>STURGEON BAY</t>
  </si>
  <si>
    <t>SUN PRAIRIE</t>
  </si>
  <si>
    <t>WEYAUWEGA</t>
  </si>
  <si>
    <t>MANAWA</t>
  </si>
  <si>
    <t>BARABOO</t>
  </si>
  <si>
    <t>MUSCODA</t>
  </si>
  <si>
    <t>DELAVAN</t>
  </si>
  <si>
    <t>MERRILL</t>
  </si>
  <si>
    <t>RIB LAKE</t>
  </si>
  <si>
    <t>MIDDLETON</t>
  </si>
  <si>
    <t>MOUNT HOREB</t>
  </si>
  <si>
    <t>TOMAHAWK</t>
  </si>
  <si>
    <t>SHAWANO</t>
  </si>
  <si>
    <t>CHILTON</t>
  </si>
  <si>
    <t>WAUPACA</t>
  </si>
  <si>
    <t>WILLIAMS BAY</t>
  </si>
  <si>
    <t>CLINTONVILLE</t>
  </si>
  <si>
    <t>FRIENDSHIP</t>
  </si>
  <si>
    <t>STEVENS POINT</t>
  </si>
  <si>
    <t>MINERAL POINT</t>
  </si>
  <si>
    <t>KEWAUNEE</t>
  </si>
  <si>
    <t>ARPIN</t>
  </si>
  <si>
    <t>SURING</t>
  </si>
  <si>
    <t>EAU CLAIRE</t>
  </si>
  <si>
    <t>RICHLAND CENTER</t>
  </si>
  <si>
    <t>WYOCENA</t>
  </si>
  <si>
    <t>BOSCOBEL</t>
  </si>
  <si>
    <t>RICE LAKE</t>
  </si>
  <si>
    <t>DODGEVILLE</t>
  </si>
  <si>
    <t>CHIPPEWA FALLS</t>
  </si>
  <si>
    <t>WAUWATOSA</t>
  </si>
  <si>
    <t>MONDOVI</t>
  </si>
  <si>
    <t>RIVER FALLS</t>
  </si>
  <si>
    <t>MANITOWOC</t>
  </si>
  <si>
    <t>WISCONSIN DELLS</t>
  </si>
  <si>
    <t>CUBA CITY</t>
  </si>
  <si>
    <t>SPRING GREEN</t>
  </si>
  <si>
    <t>AMERY</t>
  </si>
  <si>
    <t>OWEN</t>
  </si>
  <si>
    <t>OMRO</t>
  </si>
  <si>
    <t>SOUTH RANGE</t>
  </si>
  <si>
    <t>BLACK RIVER FALLS</t>
  </si>
  <si>
    <t>ANTIGO</t>
  </si>
  <si>
    <t>NEW HOLSTEIN</t>
  </si>
  <si>
    <t>SOUTH MILWAUKEE</t>
  </si>
  <si>
    <t>MENOMONEE FALLS</t>
  </si>
  <si>
    <t>LADYSMITH</t>
  </si>
  <si>
    <t>SCHOFIELD</t>
  </si>
  <si>
    <t>FENNIMORE</t>
  </si>
  <si>
    <t>CRANDON</t>
  </si>
  <si>
    <t>MENOMONIE</t>
  </si>
  <si>
    <t>ABBOTSFORD</t>
  </si>
  <si>
    <t>MAUSTON</t>
  </si>
  <si>
    <t>PLUM CITY</t>
  </si>
  <si>
    <t>TOMAH</t>
  </si>
  <si>
    <t>ONALASKA</t>
  </si>
  <si>
    <t>OCONTO FALLS</t>
  </si>
  <si>
    <t>PESHTIGO</t>
  </si>
  <si>
    <t>ELROY</t>
  </si>
  <si>
    <t>SHEBOYGAN</t>
  </si>
  <si>
    <t>WOODVILLE</t>
  </si>
  <si>
    <t>RHINELANDER</t>
  </si>
  <si>
    <t>FALL CREEK</t>
  </si>
  <si>
    <t>SLINGER</t>
  </si>
  <si>
    <t>SAUK CITY</t>
  </si>
  <si>
    <t>MENASHA</t>
  </si>
  <si>
    <t>NIAGARA</t>
  </si>
  <si>
    <t>THORP</t>
  </si>
  <si>
    <t>MARINETTE</t>
  </si>
  <si>
    <t>SAINT FRANCIS</t>
  </si>
  <si>
    <t>BLOOMER</t>
  </si>
  <si>
    <t>NEENAH</t>
  </si>
  <si>
    <t>CRIVITZ</t>
  </si>
  <si>
    <t>SISTER BAY</t>
  </si>
  <si>
    <t>WILD ROSE</t>
  </si>
  <si>
    <t>DE PERE</t>
  </si>
  <si>
    <t>BLACK EARTH</t>
  </si>
  <si>
    <t>PRAIRIE DU CHIEN</t>
  </si>
  <si>
    <t>WITTENBERG</t>
  </si>
  <si>
    <t>WAUPUN</t>
  </si>
  <si>
    <t>ST CROIX FALLS</t>
  </si>
  <si>
    <t>ALGOMA</t>
  </si>
  <si>
    <t>CEDARBURG</t>
  </si>
  <si>
    <t>HURLEY</t>
  </si>
  <si>
    <t>UNION GROVE</t>
  </si>
  <si>
    <t>ELMWOOD</t>
  </si>
  <si>
    <t>GREENDALE</t>
  </si>
  <si>
    <t>MARKESAN</t>
  </si>
  <si>
    <t>SHELL LAKE</t>
  </si>
  <si>
    <t>GRANTSBURG</t>
  </si>
  <si>
    <t>OCONOMOWOC</t>
  </si>
  <si>
    <t>EAST TROY</t>
  </si>
  <si>
    <t>VIROQUA</t>
  </si>
  <si>
    <t>PEPIN</t>
  </si>
  <si>
    <t>LAKE GENEVA</t>
  </si>
  <si>
    <t>WASHBURN</t>
  </si>
  <si>
    <t>DOUSMAN</t>
  </si>
  <si>
    <t>LITTLE CHUTE</t>
  </si>
  <si>
    <t>NEW LISBON</t>
  </si>
  <si>
    <t>HALES CORNERS</t>
  </si>
  <si>
    <t>GLENWOOD CITY</t>
  </si>
  <si>
    <t>STRUM</t>
  </si>
  <si>
    <t>PARK FALLS</t>
  </si>
  <si>
    <t>KAUKAUNA</t>
  </si>
  <si>
    <t>WESTBY</t>
  </si>
  <si>
    <t>MOUNT CALVARY</t>
  </si>
  <si>
    <t>SOLDIERS GROVE</t>
  </si>
  <si>
    <t>LAONA</t>
  </si>
  <si>
    <t>PHILLIPS</t>
  </si>
  <si>
    <t>GALESVILLE</t>
  </si>
  <si>
    <t>NEILLSVILLE</t>
  </si>
  <si>
    <t>NEW GLARUS</t>
  </si>
  <si>
    <t>CORNELL</t>
  </si>
  <si>
    <t>LOMIRA</t>
  </si>
  <si>
    <t>MUKWONAGO</t>
  </si>
  <si>
    <t>BARRON</t>
  </si>
  <si>
    <t>PRAIRIE FARM</t>
  </si>
  <si>
    <t>MONTELLO</t>
  </si>
  <si>
    <t>PLEASANT PRAIRIE</t>
  </si>
  <si>
    <t>HAZEL GREEN</t>
  </si>
  <si>
    <t>GILLETT</t>
  </si>
  <si>
    <t>TWO RIVERS</t>
  </si>
  <si>
    <t>FREDERIC</t>
  </si>
  <si>
    <t>MEQUON</t>
  </si>
  <si>
    <t>OCONTO</t>
  </si>
  <si>
    <t>CHETEK</t>
  </si>
  <si>
    <t>SPOONER</t>
  </si>
  <si>
    <t>SHEBOYGAN FALLS</t>
  </si>
  <si>
    <t>WALWORTH</t>
  </si>
  <si>
    <t>MINOCQUA</t>
  </si>
  <si>
    <t>LUCK</t>
  </si>
  <si>
    <t>PIGEON FALLS</t>
  </si>
  <si>
    <t>MELLEN</t>
  </si>
  <si>
    <t>OSSEO</t>
  </si>
  <si>
    <t>LARAMIE</t>
  </si>
  <si>
    <t>CHEYENNE</t>
  </si>
  <si>
    <t>PINEDALE</t>
  </si>
  <si>
    <t>BASIN</t>
  </si>
  <si>
    <t>GILLETTE</t>
  </si>
  <si>
    <t>CASPER</t>
  </si>
  <si>
    <t>CODY</t>
  </si>
  <si>
    <t>GREEN RIVER</t>
  </si>
  <si>
    <t>LANDER</t>
  </si>
  <si>
    <t>RAWLINS</t>
  </si>
  <si>
    <t>ROCK SPRINGS</t>
  </si>
  <si>
    <t>WORLAND</t>
  </si>
  <si>
    <t>FORT WASHAKIE</t>
  </si>
  <si>
    <t>THERMOPOLIS</t>
  </si>
  <si>
    <t>PLAYA DEL REY</t>
  </si>
  <si>
    <t>MENTONE</t>
  </si>
  <si>
    <t>FILLMORE</t>
  </si>
  <si>
    <t>MISSION HILLS</t>
  </si>
  <si>
    <t>INDIO</t>
  </si>
  <si>
    <t>COLTON</t>
  </si>
  <si>
    <t>YOUNTVILLE</t>
  </si>
  <si>
    <t>OAKHURST</t>
  </si>
  <si>
    <t>POWAY</t>
  </si>
  <si>
    <t>WILLOWS</t>
  </si>
  <si>
    <t>FAIR OAKS</t>
  </si>
  <si>
    <t>EL CENTRO</t>
  </si>
  <si>
    <t>BARSTOW</t>
  </si>
  <si>
    <t>ARVIN</t>
  </si>
  <si>
    <t>WILLIAMS</t>
  </si>
  <si>
    <t>SUN VALLEY</t>
  </si>
  <si>
    <t>TEMPLETON</t>
  </si>
  <si>
    <t>CAMARILLO</t>
  </si>
  <si>
    <t>PALM DESERT</t>
  </si>
  <si>
    <t>TRUCKEE</t>
  </si>
  <si>
    <t>ATWATER</t>
  </si>
  <si>
    <t>VISTA</t>
  </si>
  <si>
    <t>RANCHO MIRAGE</t>
  </si>
  <si>
    <t>RIDGECREST</t>
  </si>
  <si>
    <t>SAN BRUNO</t>
  </si>
  <si>
    <t>SANTEE</t>
  </si>
  <si>
    <t>MARTINEZ</t>
  </si>
  <si>
    <t>BANNING</t>
  </si>
  <si>
    <t>DOS PALOS</t>
  </si>
  <si>
    <t>FOUNTAIN VALLEY</t>
  </si>
  <si>
    <t>CITRUS HEIGHTS</t>
  </si>
  <si>
    <t>EL CERRITO</t>
  </si>
  <si>
    <t>MORRO BAY</t>
  </si>
  <si>
    <t>ENCINO</t>
  </si>
  <si>
    <t>BLYTHE</t>
  </si>
  <si>
    <t>CITY OF INDUSTRY</t>
  </si>
  <si>
    <t>PORTOLA</t>
  </si>
  <si>
    <t>JOSHUA TREE</t>
  </si>
  <si>
    <t>BIG BEAR LAKE</t>
  </si>
  <si>
    <t>CLEARLAKE</t>
  </si>
  <si>
    <t>CHERRY VALLEY</t>
  </si>
  <si>
    <t>ALTA LOMA</t>
  </si>
  <si>
    <t>LONE PINE</t>
  </si>
  <si>
    <t>SOLEDAD</t>
  </si>
  <si>
    <t>COALINGA</t>
  </si>
  <si>
    <t>ATASCADERO</t>
  </si>
  <si>
    <t>BRAWLEY</t>
  </si>
  <si>
    <t>ARROYO GRANDE</t>
  </si>
  <si>
    <t>WESTLAKE VILLAGE</t>
  </si>
  <si>
    <t>STUDIO CITY</t>
  </si>
  <si>
    <t>SOUTH LAKE TAHOE</t>
  </si>
  <si>
    <t>SIMI VALLEY</t>
  </si>
  <si>
    <t>COMPTON</t>
  </si>
  <si>
    <t>MURRIETA</t>
  </si>
  <si>
    <t>MILPITAS</t>
  </si>
  <si>
    <t>SAN JUAN CAPISTRANO</t>
  </si>
  <si>
    <t>YORBA LINDA</t>
  </si>
  <si>
    <t>YUCCA VALLEY</t>
  </si>
  <si>
    <t>BISHOP</t>
  </si>
  <si>
    <t>SIGNAL HILL</t>
  </si>
  <si>
    <t>NORTHRIDGE</t>
  </si>
  <si>
    <t>EAST LONG BEACH</t>
  </si>
  <si>
    <t>ALISO VIEJO</t>
  </si>
  <si>
    <t>REDWOOD CITY</t>
  </si>
  <si>
    <t>LAWNDALE</t>
  </si>
  <si>
    <t>HEALDSBURG</t>
  </si>
  <si>
    <t>MILL VALLEY</t>
  </si>
  <si>
    <t>MENLO PARK</t>
  </si>
  <si>
    <t>NOVATO</t>
  </si>
  <si>
    <t>BURLINGAME</t>
  </si>
  <si>
    <t>BREA</t>
  </si>
  <si>
    <t>BARRIGADA</t>
  </si>
  <si>
    <t>WYLIE</t>
  </si>
  <si>
    <t>MCKINNEY</t>
  </si>
  <si>
    <t>COLEMAN</t>
  </si>
  <si>
    <t>CROWELL</t>
  </si>
  <si>
    <t>BROWNFIELD</t>
  </si>
  <si>
    <t>ELECTRA</t>
  </si>
  <si>
    <t>BURKBURNETT</t>
  </si>
  <si>
    <t>FRANKSTON</t>
  </si>
  <si>
    <t>ROSENBERG</t>
  </si>
  <si>
    <t>PAMPA</t>
  </si>
  <si>
    <t>LOCKHART</t>
  </si>
  <si>
    <t>BALCH SPRINGS</t>
  </si>
  <si>
    <t>MUNDAY</t>
  </si>
  <si>
    <t>HEARNE</t>
  </si>
  <si>
    <t>HONEY GROVE</t>
  </si>
  <si>
    <t>HALLETTSVILLE</t>
  </si>
  <si>
    <t>GIDDINGS</t>
  </si>
  <si>
    <t>ITALY</t>
  </si>
  <si>
    <t>GEORGE WEST</t>
  </si>
  <si>
    <t>TERRELL</t>
  </si>
  <si>
    <t>RICHARDSON</t>
  </si>
  <si>
    <t>CUERO</t>
  </si>
  <si>
    <t>OLTON</t>
  </si>
  <si>
    <t>BREMOND</t>
  </si>
  <si>
    <t>GROESBECK</t>
  </si>
  <si>
    <t>VAN ALSTYNE</t>
  </si>
  <si>
    <t>KELLER</t>
  </si>
  <si>
    <t>EDNA</t>
  </si>
  <si>
    <t>PORT ARTHUR</t>
  </si>
  <si>
    <t>JUSTIN</t>
  </si>
  <si>
    <t>WHITNEY</t>
  </si>
  <si>
    <t>ROSEBUD</t>
  </si>
  <si>
    <t>KIRBYVILLE</t>
  </si>
  <si>
    <t>CONROE</t>
  </si>
  <si>
    <t>CLUTE</t>
  </si>
  <si>
    <t>HUGHES SPRINGS</t>
  </si>
  <si>
    <t>CORSICANA</t>
  </si>
  <si>
    <t>GRAND SALINE</t>
  </si>
  <si>
    <t>GALVESTON</t>
  </si>
  <si>
    <t>TULIA</t>
  </si>
  <si>
    <t>CISCO</t>
  </si>
  <si>
    <t>KENNEDALE</t>
  </si>
  <si>
    <t>BONHAM</t>
  </si>
  <si>
    <t>VALLEY MILLS</t>
  </si>
  <si>
    <t>WILLIS</t>
  </si>
  <si>
    <t>CROSBYTON</t>
  </si>
  <si>
    <t>LYTLE</t>
  </si>
  <si>
    <t>MATHIS</t>
  </si>
  <si>
    <t>DE LEON</t>
  </si>
  <si>
    <t>BALLINGER</t>
  </si>
  <si>
    <t>SILSBEE</t>
  </si>
  <si>
    <t>SWEENY</t>
  </si>
  <si>
    <t>SAN AUGUSTINE</t>
  </si>
  <si>
    <t>BAIRD</t>
  </si>
  <si>
    <t>GOLIAD</t>
  </si>
  <si>
    <t>CARRIZO SPRINGS</t>
  </si>
  <si>
    <t>BANGS</t>
  </si>
  <si>
    <t>GOLDTHWAITE</t>
  </si>
  <si>
    <t>DEER PARK</t>
  </si>
  <si>
    <t>VIDOR</t>
  </si>
  <si>
    <t>NAVASOTA</t>
  </si>
  <si>
    <t>ROCKWALL</t>
  </si>
  <si>
    <t>MARLIN</t>
  </si>
  <si>
    <t>RALLS</t>
  </si>
  <si>
    <t>OVERTON</t>
  </si>
  <si>
    <t>EDINBURG</t>
  </si>
  <si>
    <t>SEAGOVILLE</t>
  </si>
  <si>
    <t>RIO GRANDE CITY</t>
  </si>
  <si>
    <t>FRIONA</t>
  </si>
  <si>
    <t>FLATONIA</t>
  </si>
  <si>
    <t>CONVERSE</t>
  </si>
  <si>
    <t>BIG SPRING</t>
  </si>
  <si>
    <t>HICO</t>
  </si>
  <si>
    <t>RAYMONDVILLE</t>
  </si>
  <si>
    <t>STOCKDALE</t>
  </si>
  <si>
    <t>IOWA PARK</t>
  </si>
  <si>
    <t>SHEPHERD</t>
  </si>
  <si>
    <t>LOCKNEY</t>
  </si>
  <si>
    <t>DEVINE</t>
  </si>
  <si>
    <t>ALVIN</t>
  </si>
  <si>
    <t>SLATON</t>
  </si>
  <si>
    <t>MONAHANS</t>
  </si>
  <si>
    <t>SUGAR LAND</t>
  </si>
  <si>
    <t>ANGLETON</t>
  </si>
  <si>
    <t>PEARLAND</t>
  </si>
  <si>
    <t>LEWISVILLE</t>
  </si>
  <si>
    <t>GORMAN</t>
  </si>
  <si>
    <t>WILLS POINT</t>
  </si>
  <si>
    <t>ROBERT LEE</t>
  </si>
  <si>
    <t>GILMER</t>
  </si>
  <si>
    <t>ARCHER CITY</t>
  </si>
  <si>
    <t>EAGLE PASS</t>
  </si>
  <si>
    <t>BURNET</t>
  </si>
  <si>
    <t>FALFURRIAS</t>
  </si>
  <si>
    <t>MINEOLA</t>
  </si>
  <si>
    <t>BRONTE</t>
  </si>
  <si>
    <t>REFUGIO</t>
  </si>
  <si>
    <t>FRIENDSWOOD</t>
  </si>
  <si>
    <t>BROOKSHIRE</t>
  </si>
  <si>
    <t>TOMBALL</t>
  </si>
  <si>
    <t>FLOWER MOUND</t>
  </si>
  <si>
    <t>SAN SABA</t>
  </si>
  <si>
    <t>POST</t>
  </si>
  <si>
    <t>SINTON</t>
  </si>
  <si>
    <t>FORT STOCKTON</t>
  </si>
  <si>
    <t>DAINGERFIELD</t>
  </si>
  <si>
    <t>HEBBRONVILLE</t>
  </si>
  <si>
    <t>WINNIE</t>
  </si>
  <si>
    <t>KEMP</t>
  </si>
  <si>
    <t>DUNCANVILLE</t>
  </si>
  <si>
    <t>KILGORE</t>
  </si>
  <si>
    <t>RISING STAR</t>
  </si>
  <si>
    <t>JUNCTION</t>
  </si>
  <si>
    <t>COOPER</t>
  </si>
  <si>
    <t>RICHLAND HILLS</t>
  </si>
  <si>
    <t>WINTERS</t>
  </si>
  <si>
    <t>WHITESBORO</t>
  </si>
  <si>
    <t>KERENS</t>
  </si>
  <si>
    <t>COMFORT</t>
  </si>
  <si>
    <t>STERLING CITY</t>
  </si>
  <si>
    <t>PECOS</t>
  </si>
  <si>
    <t>TEAGUE</t>
  </si>
  <si>
    <t>MALAKOFF</t>
  </si>
  <si>
    <t>GRAPEVINE</t>
  </si>
  <si>
    <t>BENBROOK</t>
  </si>
  <si>
    <t>DIBOLL</t>
  </si>
  <si>
    <t>HARKER HEIGHTS</t>
  </si>
  <si>
    <t>PFLUGERVILLE</t>
  </si>
  <si>
    <t>WEIMAR</t>
  </si>
  <si>
    <t>MANCHACA</t>
  </si>
  <si>
    <t>BANDERA</t>
  </si>
  <si>
    <t>CAMP WOOD</t>
  </si>
  <si>
    <t>CEDAR PARK</t>
  </si>
  <si>
    <t>SHINER</t>
  </si>
  <si>
    <t>HEMPHILL</t>
  </si>
  <si>
    <t>LA VERNIA</t>
  </si>
  <si>
    <t>PERRYTON</t>
  </si>
  <si>
    <t>WATAUGA</t>
  </si>
  <si>
    <t>MCLEAN</t>
  </si>
  <si>
    <t>CASTROVILLE</t>
  </si>
  <si>
    <t>DRIPPING SPRINGS</t>
  </si>
  <si>
    <t>AZLE</t>
  </si>
  <si>
    <t>LEONARD</t>
  </si>
  <si>
    <t>RANGER</t>
  </si>
  <si>
    <t>MENARD</t>
  </si>
  <si>
    <t>HALE CENTER</t>
  </si>
  <si>
    <t>EULESS</t>
  </si>
  <si>
    <t>BRADY</t>
  </si>
  <si>
    <t>KINGSLAND</t>
  </si>
  <si>
    <t>MC ALLEN</t>
  </si>
  <si>
    <t>GLADEWATER</t>
  </si>
  <si>
    <t>MERKEL</t>
  </si>
  <si>
    <t>CLARENDON</t>
  </si>
  <si>
    <t>CORRIGAN</t>
  </si>
  <si>
    <t>ASPERMONT</t>
  </si>
  <si>
    <t>MULESHOE</t>
  </si>
  <si>
    <t>ROCKDALE</t>
  </si>
  <si>
    <t>BERTRAM</t>
  </si>
  <si>
    <t>SCHERTZ</t>
  </si>
  <si>
    <t>LAKEWAY</t>
  </si>
  <si>
    <t>EMORY</t>
  </si>
  <si>
    <t>SEALY</t>
  </si>
  <si>
    <t>HIGHLAND VILLAGE</t>
  </si>
  <si>
    <t>PREMONT</t>
  </si>
  <si>
    <t>GROVETON</t>
  </si>
  <si>
    <t>KENEDY</t>
  </si>
  <si>
    <t>DIMMITT</t>
  </si>
  <si>
    <t>HEWITT</t>
  </si>
  <si>
    <t>ZAPATA</t>
  </si>
  <si>
    <t>ROYSE CITY</t>
  </si>
  <si>
    <t>MARBLE FALLS</t>
  </si>
  <si>
    <t>LA MARQUE</t>
  </si>
  <si>
    <t>COLORADO CITY</t>
  </si>
  <si>
    <t>SPRING</t>
  </si>
  <si>
    <t>GANADO</t>
  </si>
  <si>
    <t>COPPELL</t>
  </si>
  <si>
    <t>SOUTHLAKE</t>
  </si>
  <si>
    <t>DENVER CITY</t>
  </si>
  <si>
    <t>KYLE</t>
  </si>
  <si>
    <t>FORNEY</t>
  </si>
  <si>
    <t>COTULLA</t>
  </si>
  <si>
    <t>BELLMEAD</t>
  </si>
  <si>
    <t>NEEDVILLE</t>
  </si>
  <si>
    <t>WILLOW PARK</t>
  </si>
  <si>
    <t>BEE CAVE</t>
  </si>
  <si>
    <t>HUTTO</t>
  </si>
  <si>
    <t>WEST</t>
  </si>
  <si>
    <t>FARMERSVILLE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</si>
  <si>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</si>
  <si>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</si>
  <si>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</si>
  <si>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</si>
  <si>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</si>
  <si>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</si>
  <si>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</si>
  <si>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</si>
  <si>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</si>
  <si>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</si>
  <si>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</si>
  <si>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</si>
  <si>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</si>
  <si>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</si>
  <si>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</si>
  <si>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</si>
  <si>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</si>
  <si>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</si>
  <si>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</si>
  <si>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</si>
  <si>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</si>
  <si>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</si>
  <si>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</si>
  <si>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</si>
  <si>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</si>
  <si>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</si>
  <si>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</si>
  <si>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</si>
  <si>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</si>
  <si>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</si>
  <si>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</si>
  <si>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</si>
  <si>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</si>
  <si>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</si>
  <si>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</si>
  <si>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</si>
  <si>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</si>
  <si>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</si>
  <si>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</si>
  <si>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PR</t>
  </si>
  <si>
    <t>RI</t>
  </si>
  <si>
    <t>SC</t>
  </si>
  <si>
    <t>SD</t>
  </si>
  <si>
    <t>TN</t>
  </si>
  <si>
    <t>TX</t>
  </si>
  <si>
    <t>UT</t>
  </si>
  <si>
    <t>VT</t>
  </si>
  <si>
    <t>VA</t>
  </si>
  <si>
    <t>WA</t>
  </si>
  <si>
    <t>WV</t>
  </si>
  <si>
    <t>WI</t>
  </si>
  <si>
    <t>WY</t>
  </si>
  <si>
    <t>GU</t>
  </si>
  <si>
    <t>CRENSHAW</t>
  </si>
  <si>
    <t>BIBB</t>
  </si>
  <si>
    <t>BARBOUR</t>
  </si>
  <si>
    <t>CLAY</t>
  </si>
  <si>
    <t>HALE</t>
  </si>
  <si>
    <t>WINSTON</t>
  </si>
  <si>
    <t>PIKE</t>
  </si>
  <si>
    <t>CLARKE</t>
  </si>
  <si>
    <t>ESCAMBIA</t>
  </si>
  <si>
    <t>LAUDERDALE</t>
  </si>
  <si>
    <t>CHAMBERS</t>
  </si>
  <si>
    <t>AUTAUGA</t>
  </si>
  <si>
    <t>COFFEE</t>
  </si>
  <si>
    <t>CONECUH</t>
  </si>
  <si>
    <t>BLOUNT</t>
  </si>
  <si>
    <t>CHOCTAW</t>
  </si>
  <si>
    <t>TALLAPOOSA</t>
  </si>
  <si>
    <t>BULLOCK</t>
  </si>
  <si>
    <t>COOSA</t>
  </si>
  <si>
    <t>WILCOX</t>
  </si>
  <si>
    <t>LOWNDES</t>
  </si>
  <si>
    <t>MATANUSKA SUSITNA</t>
  </si>
  <si>
    <t>KENAI PENINSULA</t>
  </si>
  <si>
    <t>KETCHIKAN GATEWAY</t>
  </si>
  <si>
    <t>FAIRBANKS NORTH STAR</t>
  </si>
  <si>
    <t>COCONINO</t>
  </si>
  <si>
    <t>MARICOPA</t>
  </si>
  <si>
    <t>PIMA</t>
  </si>
  <si>
    <t>COCHISE</t>
  </si>
  <si>
    <t>YAVAPAI</t>
  </si>
  <si>
    <t>MOHAVE</t>
  </si>
  <si>
    <t>PINAL</t>
  </si>
  <si>
    <t>GILA</t>
  </si>
  <si>
    <t>NAVAJO</t>
  </si>
  <si>
    <t>YELL</t>
  </si>
  <si>
    <t>POLK</t>
  </si>
  <si>
    <t>OUACHITA</t>
  </si>
  <si>
    <t>DREW</t>
  </si>
  <si>
    <t>ARKANSAS</t>
  </si>
  <si>
    <t>CRAIGHEAD</t>
  </si>
  <si>
    <t>DESHA</t>
  </si>
  <si>
    <t>IZARD</t>
  </si>
  <si>
    <t>STONE</t>
  </si>
  <si>
    <t>SHARP</t>
  </si>
  <si>
    <t>CROSS</t>
  </si>
  <si>
    <t>JOHNSON</t>
  </si>
  <si>
    <t>CHICOT</t>
  </si>
  <si>
    <t>FAULKNER</t>
  </si>
  <si>
    <t>CRITTENDEN</t>
  </si>
  <si>
    <t>PRAIRIE</t>
  </si>
  <si>
    <t>POPE</t>
  </si>
  <si>
    <t>GRANT</t>
  </si>
  <si>
    <t>HOT SPRING</t>
  </si>
  <si>
    <t>SEVIER</t>
  </si>
  <si>
    <t>MISSISSIPPI</t>
  </si>
  <si>
    <t>POINSETT</t>
  </si>
  <si>
    <t>SCOTT</t>
  </si>
  <si>
    <t>TUOLUMNE</t>
  </si>
  <si>
    <t>STANISLAUS</t>
  </si>
  <si>
    <t>SOLANO</t>
  </si>
  <si>
    <t>SAN JOAQUIN</t>
  </si>
  <si>
    <t>CONTRA COSTA</t>
  </si>
  <si>
    <t>SUTTER</t>
  </si>
  <si>
    <t>MARIN</t>
  </si>
  <si>
    <t>KINGS</t>
  </si>
  <si>
    <t>YOLO</t>
  </si>
  <si>
    <t>PLACER</t>
  </si>
  <si>
    <t>SAN BENITO</t>
  </si>
  <si>
    <t>TEHAMA</t>
  </si>
  <si>
    <t>LAKE</t>
  </si>
  <si>
    <t>SHASTA</t>
  </si>
  <si>
    <t>KERN</t>
  </si>
  <si>
    <t>MENDOCINO</t>
  </si>
  <si>
    <t>SISKIYOU</t>
  </si>
  <si>
    <t>CALAVERAS</t>
  </si>
  <si>
    <t>AMADOR</t>
  </si>
  <si>
    <t>LASSEN</t>
  </si>
  <si>
    <t>PLUMAS</t>
  </si>
  <si>
    <t>DEL NORTE</t>
  </si>
  <si>
    <t>ROUTT</t>
  </si>
  <si>
    <t>SUMMIT</t>
  </si>
  <si>
    <t>WELD</t>
  </si>
  <si>
    <t>LARIMER</t>
  </si>
  <si>
    <t>OTERO</t>
  </si>
  <si>
    <t>GARFIELD</t>
  </si>
  <si>
    <t>KIT CARSON</t>
  </si>
  <si>
    <t>RIO GRANDE</t>
  </si>
  <si>
    <t>PROWERS</t>
  </si>
  <si>
    <t>TELLER</t>
  </si>
  <si>
    <t>BENT</t>
  </si>
  <si>
    <t>ARCHULETA</t>
  </si>
  <si>
    <t>MOFFAT</t>
  </si>
  <si>
    <t>CONEJOS</t>
  </si>
  <si>
    <t>MIDDLESEX</t>
  </si>
  <si>
    <t>SUSSEX</t>
  </si>
  <si>
    <t>DISTRICT OF COLUMBIA</t>
  </si>
  <si>
    <t>WALTON</t>
  </si>
  <si>
    <t>GULF</t>
  </si>
  <si>
    <t>VOLUSIA</t>
  </si>
  <si>
    <t>MIAMI-DADE</t>
  </si>
  <si>
    <t>BROWARD</t>
  </si>
  <si>
    <t>PINELLAS</t>
  </si>
  <si>
    <t>DUVAL</t>
  </si>
  <si>
    <t>PALM BEACH</t>
  </si>
  <si>
    <t>MANATEE</t>
  </si>
  <si>
    <t>BAY</t>
  </si>
  <si>
    <t>COLLIER</t>
  </si>
  <si>
    <t>OKALOOSA</t>
  </si>
  <si>
    <t>ALACHUA</t>
  </si>
  <si>
    <t>SAINT LUCIE</t>
  </si>
  <si>
    <t>WAKULLA</t>
  </si>
  <si>
    <t>CITRUS</t>
  </si>
  <si>
    <t>HARDEE</t>
  </si>
  <si>
    <t>INDIAN RIVER</t>
  </si>
  <si>
    <t>GILCHRIST</t>
  </si>
  <si>
    <t>HENDRY</t>
  </si>
  <si>
    <t>LEVY</t>
  </si>
  <si>
    <t>NASSAU</t>
  </si>
  <si>
    <t>FLAGLER</t>
  </si>
  <si>
    <t>SUWANNEE</t>
  </si>
  <si>
    <t>DIXIE</t>
  </si>
  <si>
    <t>ELBERT</t>
  </si>
  <si>
    <t>HABERSHAM</t>
  </si>
  <si>
    <t>BEN HILL</t>
  </si>
  <si>
    <t>CRISP</t>
  </si>
  <si>
    <t>EMANUEL</t>
  </si>
  <si>
    <t>GRADY</t>
  </si>
  <si>
    <t>LUMPKIN</t>
  </si>
  <si>
    <t>FANNIN</t>
  </si>
  <si>
    <t>HALL</t>
  </si>
  <si>
    <t>MUSCOGEE</t>
  </si>
  <si>
    <t>COBB</t>
  </si>
  <si>
    <t>WARE</t>
  </si>
  <si>
    <t>EARLY</t>
  </si>
  <si>
    <t>TROUP</t>
  </si>
  <si>
    <t>WILKES</t>
  </si>
  <si>
    <t>UPSON</t>
  </si>
  <si>
    <t>GORDON</t>
  </si>
  <si>
    <t>WHITFIELD</t>
  </si>
  <si>
    <t>BERRIEN</t>
  </si>
  <si>
    <t>STEPHENS</t>
  </si>
  <si>
    <t>GWINNETT</t>
  </si>
  <si>
    <t>TREUTLEN</t>
  </si>
  <si>
    <t>MCDUFFIE</t>
  </si>
  <si>
    <t>TOOMBS</t>
  </si>
  <si>
    <t>BANKS</t>
  </si>
  <si>
    <t>OGLETHORPE</t>
  </si>
  <si>
    <t>TELFAIR</t>
  </si>
  <si>
    <t>TIFT</t>
  </si>
  <si>
    <t>TWIGGS</t>
  </si>
  <si>
    <t>CHATTOOGA</t>
  </si>
  <si>
    <t>HARALSON</t>
  </si>
  <si>
    <t>WILKINSON</t>
  </si>
  <si>
    <t>BLECKLEY</t>
  </si>
  <si>
    <t>STEWART</t>
  </si>
  <si>
    <t>TURNER</t>
  </si>
  <si>
    <t>BROOKS</t>
  </si>
  <si>
    <t>BACON</t>
  </si>
  <si>
    <t>GLYNN</t>
  </si>
  <si>
    <t>SPALDING</t>
  </si>
  <si>
    <t>BARROW</t>
  </si>
  <si>
    <t>SCREVEN</t>
  </si>
  <si>
    <t>DADE</t>
  </si>
  <si>
    <t>BUTTS</t>
  </si>
  <si>
    <t>DOOLY</t>
  </si>
  <si>
    <t>TATTNALL</t>
  </si>
  <si>
    <t>BRANTLEY</t>
  </si>
  <si>
    <t>BULLOCH</t>
  </si>
  <si>
    <t>MERIWETHER</t>
  </si>
  <si>
    <t>IRWIN</t>
  </si>
  <si>
    <t>GLASCOCK</t>
  </si>
  <si>
    <t>HEARD</t>
  </si>
  <si>
    <t>DOUGHERTY</t>
  </si>
  <si>
    <t>JEFF DAVIS</t>
  </si>
  <si>
    <t>WORTH</t>
  </si>
  <si>
    <t>CLINCH</t>
  </si>
  <si>
    <t>PEACH</t>
  </si>
  <si>
    <t>LONG</t>
  </si>
  <si>
    <t>RABUN</t>
  </si>
  <si>
    <t>JENKINS</t>
  </si>
  <si>
    <t>TOWNS</t>
  </si>
  <si>
    <t>LANIER</t>
  </si>
  <si>
    <t>HAWAII</t>
  </si>
  <si>
    <t>KAUAI</t>
  </si>
  <si>
    <t>MAUI</t>
  </si>
  <si>
    <t>BANNOCK</t>
  </si>
  <si>
    <t>CANYON</t>
  </si>
  <si>
    <t>GEM</t>
  </si>
  <si>
    <t>NEZ PERCE</t>
  </si>
  <si>
    <t>KOOTENAI</t>
  </si>
  <si>
    <t>BONNER</t>
  </si>
  <si>
    <t>MINIDOKA</t>
  </si>
  <si>
    <t>LATAH</t>
  </si>
  <si>
    <t>CASSIA</t>
  </si>
  <si>
    <t>BEAR LAKE</t>
  </si>
  <si>
    <t>BENEWAH</t>
  </si>
  <si>
    <t>IDAHO</t>
  </si>
  <si>
    <t>OWYHEE</t>
  </si>
  <si>
    <t>BONNEVILLE</t>
  </si>
  <si>
    <t>LEMHI</t>
  </si>
  <si>
    <t>BOND</t>
  </si>
  <si>
    <t>BUREAU</t>
  </si>
  <si>
    <t>OGLE</t>
  </si>
  <si>
    <t>WILL</t>
  </si>
  <si>
    <t>DUPAGE</t>
  </si>
  <si>
    <t>SANGAMON</t>
  </si>
  <si>
    <t>WINNEBAGO</t>
  </si>
  <si>
    <t>CHRISTIAN</t>
  </si>
  <si>
    <t>WHITESIDE</t>
  </si>
  <si>
    <t>MACOUPIN</t>
  </si>
  <si>
    <t>WOODFORD</t>
  </si>
  <si>
    <t>IROQUOIS</t>
  </si>
  <si>
    <t>MASSAC</t>
  </si>
  <si>
    <t>STARK</t>
  </si>
  <si>
    <t>FORD</t>
  </si>
  <si>
    <t>JERSEY</t>
  </si>
  <si>
    <t>COLES</t>
  </si>
  <si>
    <t>BROWN</t>
  </si>
  <si>
    <t>PIATT</t>
  </si>
  <si>
    <t>CASS</t>
  </si>
  <si>
    <t>ALEXANDER</t>
  </si>
  <si>
    <t>DEWITT</t>
  </si>
  <si>
    <t>JO DAVIESS</t>
  </si>
  <si>
    <t>RUSH</t>
  </si>
  <si>
    <t>TIPPECANOE</t>
  </si>
  <si>
    <t>VANDERBURGH</t>
  </si>
  <si>
    <t>VERMILLION</t>
  </si>
  <si>
    <t>WHITLEY</t>
  </si>
  <si>
    <t>BARTHOLOMEW</t>
  </si>
  <si>
    <t>PORTER</t>
  </si>
  <si>
    <t>VIGO</t>
  </si>
  <si>
    <t>DAVIESS</t>
  </si>
  <si>
    <t>FOUNTAIN</t>
  </si>
  <si>
    <t>WARRICK</t>
  </si>
  <si>
    <t>POSEY</t>
  </si>
  <si>
    <t>STEUBEN</t>
  </si>
  <si>
    <t>SWITZERLAND</t>
  </si>
  <si>
    <t>PARKE</t>
  </si>
  <si>
    <t>OHIO</t>
  </si>
  <si>
    <t>BLACKFORD</t>
  </si>
  <si>
    <t>POWESHIEK</t>
  </si>
  <si>
    <t>BLACK HAWK</t>
  </si>
  <si>
    <t>CERRO GORDO</t>
  </si>
  <si>
    <t>PAGE</t>
  </si>
  <si>
    <t>OBRIEN</t>
  </si>
  <si>
    <t>WINNESHIEK</t>
  </si>
  <si>
    <t>SAC</t>
  </si>
  <si>
    <t>LYON</t>
  </si>
  <si>
    <t>KOSSUTH</t>
  </si>
  <si>
    <t>EMMET</t>
  </si>
  <si>
    <t>POTTAWATTAMIE</t>
  </si>
  <si>
    <t>IDA</t>
  </si>
  <si>
    <t>APPANOOSE</t>
  </si>
  <si>
    <t>ADAIR</t>
  </si>
  <si>
    <t>ALLAMAKEE</t>
  </si>
  <si>
    <t>SIOUX</t>
  </si>
  <si>
    <t>MONONA</t>
  </si>
  <si>
    <t>CEDAR</t>
  </si>
  <si>
    <t>MAHASKA</t>
  </si>
  <si>
    <t>CHICKASAW</t>
  </si>
  <si>
    <t>LUCAS</t>
  </si>
  <si>
    <t>IOWA</t>
  </si>
  <si>
    <t>STORY</t>
  </si>
  <si>
    <t>WRIGHT</t>
  </si>
  <si>
    <t>BREMER</t>
  </si>
  <si>
    <t>MILLS</t>
  </si>
  <si>
    <t>BOURBON</t>
  </si>
  <si>
    <t>COFFEY</t>
  </si>
  <si>
    <t>COWLEY</t>
  </si>
  <si>
    <t>RILEY</t>
  </si>
  <si>
    <t>WYANDOTTE</t>
  </si>
  <si>
    <t>FINNEY</t>
  </si>
  <si>
    <t>LABETTE</t>
  </si>
  <si>
    <t>POTTAWATOMIE</t>
  </si>
  <si>
    <t>CHASE</t>
  </si>
  <si>
    <t>CHAUTAUQUA</t>
  </si>
  <si>
    <t>NEMAHA</t>
  </si>
  <si>
    <t>SMITH</t>
  </si>
  <si>
    <t>EDWARDS</t>
  </si>
  <si>
    <t>RICE</t>
  </si>
  <si>
    <t>WABAUNSEE</t>
  </si>
  <si>
    <t>WOODSON</t>
  </si>
  <si>
    <t>CLOUD</t>
  </si>
  <si>
    <t>ELK</t>
  </si>
  <si>
    <t>TREGO</t>
  </si>
  <si>
    <t>MEADE</t>
  </si>
  <si>
    <t>LETCHER</t>
  </si>
  <si>
    <t>FLEMING</t>
  </si>
  <si>
    <t>GRAVES</t>
  </si>
  <si>
    <t>CALLOWAY</t>
  </si>
  <si>
    <t>MUHLENBERG</t>
  </si>
  <si>
    <t>NICHOLAS</t>
  </si>
  <si>
    <t>LARUE</t>
  </si>
  <si>
    <t>GARRARD</t>
  </si>
  <si>
    <t>BARREN</t>
  </si>
  <si>
    <t>BREATHITT</t>
  </si>
  <si>
    <t>BOYLE</t>
  </si>
  <si>
    <t>NELSON</t>
  </si>
  <si>
    <t>KNOTT</t>
  </si>
  <si>
    <t>ROWAN</t>
  </si>
  <si>
    <t>ROCKCASTLE</t>
  </si>
  <si>
    <t>MCCRACKEN</t>
  </si>
  <si>
    <t>OLDHAM</t>
  </si>
  <si>
    <t>LESLIE</t>
  </si>
  <si>
    <t>MCCREARY</t>
  </si>
  <si>
    <t>WOLFE</t>
  </si>
  <si>
    <t>METCALFE</t>
  </si>
  <si>
    <t>JESSAMINE</t>
  </si>
  <si>
    <t>MAGOFFIN</t>
  </si>
  <si>
    <t>LEWIS</t>
  </si>
  <si>
    <t>TRIGG</t>
  </si>
  <si>
    <t>CARTER</t>
  </si>
  <si>
    <t>GREEN</t>
  </si>
  <si>
    <t>OWSLEY</t>
  </si>
  <si>
    <t>BRECKINRIDGE</t>
  </si>
  <si>
    <t>BALLARD</t>
  </si>
  <si>
    <t>HICKMAN</t>
  </si>
  <si>
    <t>SIMPSON</t>
  </si>
  <si>
    <t>BRACKEN</t>
  </si>
  <si>
    <t>POWELL</t>
  </si>
  <si>
    <t>TRIMBLE</t>
  </si>
  <si>
    <t>ROBERTSON</t>
  </si>
  <si>
    <t>BOYD</t>
  </si>
  <si>
    <t>TODD</t>
  </si>
  <si>
    <t>EDMONSON</t>
  </si>
  <si>
    <t>ELLIOTT</t>
  </si>
  <si>
    <t>MENIFEE</t>
  </si>
  <si>
    <t>BULLITT</t>
  </si>
  <si>
    <t>BEAUREGARD</t>
  </si>
  <si>
    <t>JEFFERSON DAVIS</t>
  </si>
  <si>
    <t>WEST CARROLL</t>
  </si>
  <si>
    <t>WINN</t>
  </si>
  <si>
    <t>AVOYELLES</t>
  </si>
  <si>
    <t>CLAIBORNE</t>
  </si>
  <si>
    <t>MOREHOUSE</t>
  </si>
  <si>
    <t>EVANGELINE</t>
  </si>
  <si>
    <t>CADDO</t>
  </si>
  <si>
    <t>EAST BATON ROUGE</t>
  </si>
  <si>
    <t>ORLEANS</t>
  </si>
  <si>
    <t>EAST FELICIANA</t>
  </si>
  <si>
    <t>SAINT TAMMANY</t>
  </si>
  <si>
    <t>TERREBONNE</t>
  </si>
  <si>
    <t>BOSSIER</t>
  </si>
  <si>
    <t>LAFOURCHE</t>
  </si>
  <si>
    <t>ST JOHN THE BAPTIST</t>
  </si>
  <si>
    <t>SABINE</t>
  </si>
  <si>
    <t>SAINT MARTIN</t>
  </si>
  <si>
    <t>SAINT LANDRY</t>
  </si>
  <si>
    <t>IBERIA</t>
  </si>
  <si>
    <t>ASCENSION</t>
  </si>
  <si>
    <t>IBERVILLE</t>
  </si>
  <si>
    <t>BIENVILLE</t>
  </si>
  <si>
    <t>TANGIPAHOA</t>
  </si>
  <si>
    <t>CALCASIEU</t>
  </si>
  <si>
    <t>SAINT MARY</t>
  </si>
  <si>
    <t>RAPIDES</t>
  </si>
  <si>
    <t>ACADIA</t>
  </si>
  <si>
    <t>POINTE COUPEE</t>
  </si>
  <si>
    <t>CATAHOULA</t>
  </si>
  <si>
    <t>PLAQUEMINES</t>
  </si>
  <si>
    <t>ASSUMPTION</t>
  </si>
  <si>
    <t>WEST FELICIANA</t>
  </si>
  <si>
    <t>RED RIVER</t>
  </si>
  <si>
    <t>EAST CARROLL</t>
  </si>
  <si>
    <t>WEST BATON ROUGE</t>
  </si>
  <si>
    <t>SAINT HELENA</t>
  </si>
  <si>
    <t>AROOSTOOK</t>
  </si>
  <si>
    <t>PISCATAQUIS</t>
  </si>
  <si>
    <t>ANDROSCOGGIN</t>
  </si>
  <si>
    <t>PENOBSCOT</t>
  </si>
  <si>
    <t>KENNEBEC</t>
  </si>
  <si>
    <t>SAGADAHOC</t>
  </si>
  <si>
    <t>WALDO</t>
  </si>
  <si>
    <t>ANNE ARUNDEL</t>
  </si>
  <si>
    <t>WICOMICO</t>
  </si>
  <si>
    <t>TALBOT</t>
  </si>
  <si>
    <t>PRINCE GEORGES</t>
  </si>
  <si>
    <t>BALTIMORE CITY</t>
  </si>
  <si>
    <t>HARFORD</t>
  </si>
  <si>
    <t>CAROLINE</t>
  </si>
  <si>
    <t>CHARLES</t>
  </si>
  <si>
    <t>CECIL</t>
  </si>
  <si>
    <t>QUEEN ANNES</t>
  </si>
  <si>
    <t>CALVERT</t>
  </si>
  <si>
    <t>BERKSHIRE</t>
  </si>
  <si>
    <t>HAMPSHIRE</t>
  </si>
  <si>
    <t>BARNSTABLE</t>
  </si>
  <si>
    <t>DUKES</t>
  </si>
  <si>
    <t>OCEANA</t>
  </si>
  <si>
    <t>BENZIE</t>
  </si>
  <si>
    <t>OTSEGO</t>
  </si>
  <si>
    <t>BRANCH</t>
  </si>
  <si>
    <t>IOSCO</t>
  </si>
  <si>
    <t>INGHAM</t>
  </si>
  <si>
    <t>GRATIOT</t>
  </si>
  <si>
    <t>WASHTENAW</t>
  </si>
  <si>
    <t>ANTRIM</t>
  </si>
  <si>
    <t>GOGEBIC</t>
  </si>
  <si>
    <t>ISABELLA</t>
  </si>
  <si>
    <t>MACKINAC</t>
  </si>
  <si>
    <t>MONTCALM</t>
  </si>
  <si>
    <t>SHIAWASSEE</t>
  </si>
  <si>
    <t>SANILAC</t>
  </si>
  <si>
    <t>NEWAYGO</t>
  </si>
  <si>
    <t>GRAND TRAVERSE</t>
  </si>
  <si>
    <t>GENESEE</t>
  </si>
  <si>
    <t>BARAGA</t>
  </si>
  <si>
    <t>SCHOOLCRAFT</t>
  </si>
  <si>
    <t>LENAWEE</t>
  </si>
  <si>
    <t>ARENAC</t>
  </si>
  <si>
    <t>LEELANAU</t>
  </si>
  <si>
    <t>IRON</t>
  </si>
  <si>
    <t>CHIPPEWA</t>
  </si>
  <si>
    <t>MECOSTA</t>
  </si>
  <si>
    <t>OGEMAW</t>
  </si>
  <si>
    <t>OSCODA</t>
  </si>
  <si>
    <t>ALGER</t>
  </si>
  <si>
    <t>MONTMORENCY</t>
  </si>
  <si>
    <t>MISSAUKEE</t>
  </si>
  <si>
    <t>ALCONA</t>
  </si>
  <si>
    <t>NOBLES</t>
  </si>
  <si>
    <t>SHERBURNE</t>
  </si>
  <si>
    <t>RAMSEY</t>
  </si>
  <si>
    <t>BELTRAMI</t>
  </si>
  <si>
    <t>HENNEPIN</t>
  </si>
  <si>
    <t>MCLEOD</t>
  </si>
  <si>
    <t>ISANTI</t>
  </si>
  <si>
    <t>MILLE LACS</t>
  </si>
  <si>
    <t>OLMSTED</t>
  </si>
  <si>
    <t>DAKOTA</t>
  </si>
  <si>
    <t>BECKER</t>
  </si>
  <si>
    <t>GOODHUE</t>
  </si>
  <si>
    <t>SWIFT</t>
  </si>
  <si>
    <t>CROW WING</t>
  </si>
  <si>
    <t>CARVER</t>
  </si>
  <si>
    <t>REDWOOD</t>
  </si>
  <si>
    <t>YELLOW MEDICINE</t>
  </si>
  <si>
    <t>KITTSON</t>
  </si>
  <si>
    <t>PENNINGTON</t>
  </si>
  <si>
    <t>STEARNS</t>
  </si>
  <si>
    <t>WILKIN</t>
  </si>
  <si>
    <t>KANABEC</t>
  </si>
  <si>
    <t>MOWER</t>
  </si>
  <si>
    <t>KOOCHICHING</t>
  </si>
  <si>
    <t>CHISAGO</t>
  </si>
  <si>
    <t>FREEBORN</t>
  </si>
  <si>
    <t>KANDIYOHI</t>
  </si>
  <si>
    <t>OTTER TAIL</t>
  </si>
  <si>
    <t>PINE</t>
  </si>
  <si>
    <t>LAC QUI PARLE</t>
  </si>
  <si>
    <t>BIG STONE</t>
  </si>
  <si>
    <t>NICOLLET</t>
  </si>
  <si>
    <t>WATONWAN</t>
  </si>
  <si>
    <t>ROCK</t>
  </si>
  <si>
    <t>TRAVERSE</t>
  </si>
  <si>
    <t>LAKE OF THE WOODS</t>
  </si>
  <si>
    <t>TISHOMINGO</t>
  </si>
  <si>
    <t>NESHOBA</t>
  </si>
  <si>
    <t>OKTIBBEHA</t>
  </si>
  <si>
    <t>YALOBUSHA</t>
  </si>
  <si>
    <t>SHARKEY</t>
  </si>
  <si>
    <t>SUNFLOWER</t>
  </si>
  <si>
    <t>WALTHALL</t>
  </si>
  <si>
    <t>TIPPAH</t>
  </si>
  <si>
    <t>HINDS</t>
  </si>
  <si>
    <t>RANKIN</t>
  </si>
  <si>
    <t>LEAKE</t>
  </si>
  <si>
    <t>ALCORN</t>
  </si>
  <si>
    <t>PANOLA</t>
  </si>
  <si>
    <t>PEARL RIVER</t>
  </si>
  <si>
    <t>YAZOO</t>
  </si>
  <si>
    <t>FORREST</t>
  </si>
  <si>
    <t>LEFLORE</t>
  </si>
  <si>
    <t>ITAWAMBA</t>
  </si>
  <si>
    <t>ATTALA</t>
  </si>
  <si>
    <t>COPIAH</t>
  </si>
  <si>
    <t>KEMPER</t>
  </si>
  <si>
    <t>HUMPHREYS</t>
  </si>
  <si>
    <t>COAHOMA</t>
  </si>
  <si>
    <t>TATE</t>
  </si>
  <si>
    <t>TEXAS</t>
  </si>
  <si>
    <t>BATES</t>
  </si>
  <si>
    <t>NODAWAY</t>
  </si>
  <si>
    <t>PEMISCOT</t>
  </si>
  <si>
    <t>SAINT FRANCOIS</t>
  </si>
  <si>
    <t>STODDARD</t>
  </si>
  <si>
    <t>LACLEDE</t>
  </si>
  <si>
    <t>PETTIS</t>
  </si>
  <si>
    <t>DUNKLIN</t>
  </si>
  <si>
    <t>COLE</t>
  </si>
  <si>
    <t>MARIES</t>
  </si>
  <si>
    <t>SAINT LOUIS CITY</t>
  </si>
  <si>
    <t>SHANNON</t>
  </si>
  <si>
    <t>PLATTE</t>
  </si>
  <si>
    <t>TANEY</t>
  </si>
  <si>
    <t>MONITEAU</t>
  </si>
  <si>
    <t>MCDONALD</t>
  </si>
  <si>
    <t>REYNOLDS</t>
  </si>
  <si>
    <t>AUDRAIN</t>
  </si>
  <si>
    <t>GENTRY</t>
  </si>
  <si>
    <t>DENT</t>
  </si>
  <si>
    <t>GASCONADE</t>
  </si>
  <si>
    <t>BOLLINGER</t>
  </si>
  <si>
    <t>RAY</t>
  </si>
  <si>
    <t>ANDREW</t>
  </si>
  <si>
    <t>LEWIS AND CLARK</t>
  </si>
  <si>
    <t>HILL</t>
  </si>
  <si>
    <t>YELLOWSTONE</t>
  </si>
  <si>
    <t>FERGUS</t>
  </si>
  <si>
    <t>FLATHEAD</t>
  </si>
  <si>
    <t>PARK</t>
  </si>
  <si>
    <t>CARBON</t>
  </si>
  <si>
    <t>SILVER BOW</t>
  </si>
  <si>
    <t>SANDERS</t>
  </si>
  <si>
    <t>POWDER RIVER</t>
  </si>
  <si>
    <t>RAVALLI</t>
  </si>
  <si>
    <t>GLACIER</t>
  </si>
  <si>
    <t>PONDERA</t>
  </si>
  <si>
    <t>BEAVERHEAD</t>
  </si>
  <si>
    <t>BOX BUTTE</t>
  </si>
  <si>
    <t>GAGE</t>
  </si>
  <si>
    <t>SCOTTS BLUFF</t>
  </si>
  <si>
    <t>RED WILLOW</t>
  </si>
  <si>
    <t>BURT</t>
  </si>
  <si>
    <t>KEITH</t>
  </si>
  <si>
    <t>OTOE</t>
  </si>
  <si>
    <t>NANCE</t>
  </si>
  <si>
    <t>ANTELOPE</t>
  </si>
  <si>
    <t>SARPY</t>
  </si>
  <si>
    <t>SAUNDERS</t>
  </si>
  <si>
    <t>MERRICK</t>
  </si>
  <si>
    <t>DAWES</t>
  </si>
  <si>
    <t>CUMING</t>
  </si>
  <si>
    <t>FURNAS</t>
  </si>
  <si>
    <t>CHERRY</t>
  </si>
  <si>
    <t>THURSTON</t>
  </si>
  <si>
    <t>NUCKOLLS</t>
  </si>
  <si>
    <t>GOSPER</t>
  </si>
  <si>
    <t>MORRILL</t>
  </si>
  <si>
    <t>DUNDY</t>
  </si>
  <si>
    <t>HITCHCOCK</t>
  </si>
  <si>
    <t>MINERAL</t>
  </si>
  <si>
    <t>WASHOE</t>
  </si>
  <si>
    <t>WHITE PINE</t>
  </si>
  <si>
    <t>NYE</t>
  </si>
  <si>
    <t>CHURCHILL</t>
  </si>
  <si>
    <t>BELKNAP</t>
  </si>
  <si>
    <t>MERRIMACK</t>
  </si>
  <si>
    <t>COOS</t>
  </si>
  <si>
    <t>BERGEN</t>
  </si>
  <si>
    <t>OCEAN</t>
  </si>
  <si>
    <t>HUNTERDON</t>
  </si>
  <si>
    <t>EDDY</t>
  </si>
  <si>
    <t>BERNALILLO</t>
  </si>
  <si>
    <t>SANDOVAL</t>
  </si>
  <si>
    <t>DONA ANA</t>
  </si>
  <si>
    <t>LEA</t>
  </si>
  <si>
    <t>CHAVES</t>
  </si>
  <si>
    <t>CIBOLA</t>
  </si>
  <si>
    <t>RIO ARRIBA</t>
  </si>
  <si>
    <t>SIERRA</t>
  </si>
  <si>
    <t>SAN MIGUEL</t>
  </si>
  <si>
    <t>MCKINLEY</t>
  </si>
  <si>
    <t>CURRY</t>
  </si>
  <si>
    <t>LUNA</t>
  </si>
  <si>
    <t>HIDALGO</t>
  </si>
  <si>
    <t>CATTARAUGUS</t>
  </si>
  <si>
    <t>SAINT LAWRENCE</t>
  </si>
  <si>
    <t>SCHOHARIE</t>
  </si>
  <si>
    <t>TOMPKINS</t>
  </si>
  <si>
    <t>CAYUGA</t>
  </si>
  <si>
    <t>QUEENS</t>
  </si>
  <si>
    <t>CHEMUNG</t>
  </si>
  <si>
    <t>BROOME</t>
  </si>
  <si>
    <t>CHENANGO</t>
  </si>
  <si>
    <t>ONONDAGA</t>
  </si>
  <si>
    <t>ULSTER</t>
  </si>
  <si>
    <t>DUTCHESS</t>
  </si>
  <si>
    <t>YATES</t>
  </si>
  <si>
    <t>SAMPSON</t>
  </si>
  <si>
    <t>DAVIE</t>
  </si>
  <si>
    <t>NEW HANOVER</t>
  </si>
  <si>
    <t>PERSON</t>
  </si>
  <si>
    <t>MECKLENBURG</t>
  </si>
  <si>
    <t>WAKE</t>
  </si>
  <si>
    <t>BUNCOMBE</t>
  </si>
  <si>
    <t>DAVIDSON</t>
  </si>
  <si>
    <t>PASQUOTANK</t>
  </si>
  <si>
    <t>ROBESON</t>
  </si>
  <si>
    <t>ONSLOW</t>
  </si>
  <si>
    <t>CATAWBA</t>
  </si>
  <si>
    <t>RUTHERFORD</t>
  </si>
  <si>
    <t>STOKES</t>
  </si>
  <si>
    <t>ALAMANCE</t>
  </si>
  <si>
    <t>SURRY</t>
  </si>
  <si>
    <t>HALIFAX</t>
  </si>
  <si>
    <t>HAYWOOD</t>
  </si>
  <si>
    <t>STANLY</t>
  </si>
  <si>
    <t>IREDELL</t>
  </si>
  <si>
    <t>CABARRUS</t>
  </si>
  <si>
    <t>NASH</t>
  </si>
  <si>
    <t>DUPLIN</t>
  </si>
  <si>
    <t>GASTON</t>
  </si>
  <si>
    <t>CHOWAN</t>
  </si>
  <si>
    <t>MCDOWELL</t>
  </si>
  <si>
    <t>YADKIN</t>
  </si>
  <si>
    <t>PITT</t>
  </si>
  <si>
    <t>CARTERET</t>
  </si>
  <si>
    <t>HARNETT</t>
  </si>
  <si>
    <t>SWAIN</t>
  </si>
  <si>
    <t>EDGECOMBE</t>
  </si>
  <si>
    <t>AVERY</t>
  </si>
  <si>
    <t>TRANSYLVANIA</t>
  </si>
  <si>
    <t>BLADEN</t>
  </si>
  <si>
    <t>CRAVEN</t>
  </si>
  <si>
    <t>DARE</t>
  </si>
  <si>
    <t>ALLEGHANY</t>
  </si>
  <si>
    <t>PERQUIMANS</t>
  </si>
  <si>
    <t>CASWELL</t>
  </si>
  <si>
    <t>HOKE</t>
  </si>
  <si>
    <t>CURRITUCK</t>
  </si>
  <si>
    <t>PAMLICO</t>
  </si>
  <si>
    <t>ASHE</t>
  </si>
  <si>
    <t>YANCEY</t>
  </si>
  <si>
    <t>VANCE</t>
  </si>
  <si>
    <t>BERTIE</t>
  </si>
  <si>
    <t>GATES</t>
  </si>
  <si>
    <t>HYDE</t>
  </si>
  <si>
    <t>WARD</t>
  </si>
  <si>
    <t>GRIGGS</t>
  </si>
  <si>
    <t>TRAILL</t>
  </si>
  <si>
    <t>MOUNTRAIL</t>
  </si>
  <si>
    <t>DICKEY</t>
  </si>
  <si>
    <t>EMMONS</t>
  </si>
  <si>
    <t>PEMBINA</t>
  </si>
  <si>
    <t>BURLEIGH</t>
  </si>
  <si>
    <t>TOWNER</t>
  </si>
  <si>
    <t>MCKENZIE</t>
  </si>
  <si>
    <t>BARNES</t>
  </si>
  <si>
    <t>STUTSMAN</t>
  </si>
  <si>
    <t>WALSH</t>
  </si>
  <si>
    <t>SARGENT</t>
  </si>
  <si>
    <t>RANSOM</t>
  </si>
  <si>
    <t>DIVIDE</t>
  </si>
  <si>
    <t>CUYAHOGA</t>
  </si>
  <si>
    <t>DARKE</t>
  </si>
  <si>
    <t>WOOD</t>
  </si>
  <si>
    <t>MAHONING</t>
  </si>
  <si>
    <t>TUSCARAWAS</t>
  </si>
  <si>
    <t>AUGLAIZE</t>
  </si>
  <si>
    <t>PICKAWAY</t>
  </si>
  <si>
    <t>SCIOTO</t>
  </si>
  <si>
    <t>GALLIA</t>
  </si>
  <si>
    <t>MUSKINGUM</t>
  </si>
  <si>
    <t>HOCKING</t>
  </si>
  <si>
    <t>MEIGS</t>
  </si>
  <si>
    <t>WYANDOT</t>
  </si>
  <si>
    <t>PREBLE</t>
  </si>
  <si>
    <t>ROSS</t>
  </si>
  <si>
    <t>GEAUGA</t>
  </si>
  <si>
    <t>GUERNSEY</t>
  </si>
  <si>
    <t>KAY</t>
  </si>
  <si>
    <t>HARMON</t>
  </si>
  <si>
    <t>LE FLORE</t>
  </si>
  <si>
    <t>CREEK</t>
  </si>
  <si>
    <t>TILLMAN</t>
  </si>
  <si>
    <t>WOODS</t>
  </si>
  <si>
    <t>PUSHMATAHA</t>
  </si>
  <si>
    <t>BECKHAM</t>
  </si>
  <si>
    <t>SEQUOYAH</t>
  </si>
  <si>
    <t>KIOWA</t>
  </si>
  <si>
    <t>GARVIN</t>
  </si>
  <si>
    <t>MCCLAIN</t>
  </si>
  <si>
    <t>OKLAHOMA</t>
  </si>
  <si>
    <t>MCCURTAIN</t>
  </si>
  <si>
    <t>PAYNE</t>
  </si>
  <si>
    <t>HUGHES</t>
  </si>
  <si>
    <t>HARPER</t>
  </si>
  <si>
    <t>MAYES</t>
  </si>
  <si>
    <t>WASHITA</t>
  </si>
  <si>
    <t>LOVE</t>
  </si>
  <si>
    <t>COAL</t>
  </si>
  <si>
    <t>OKFUSKEE</t>
  </si>
  <si>
    <t>LATIMER</t>
  </si>
  <si>
    <t>MAJOR</t>
  </si>
  <si>
    <t>COTTON</t>
  </si>
  <si>
    <t>ALFALFA</t>
  </si>
  <si>
    <t>MALHEUR</t>
  </si>
  <si>
    <t>MULTNOMAH</t>
  </si>
  <si>
    <t>LANE</t>
  </si>
  <si>
    <t>WASCO</t>
  </si>
  <si>
    <t>JOSEPHINE</t>
  </si>
  <si>
    <t>CLACKAMAS</t>
  </si>
  <si>
    <t>KLAMATH</t>
  </si>
  <si>
    <t>DESCHUTES</t>
  </si>
  <si>
    <t>CLATSOP</t>
  </si>
  <si>
    <t>UMATILLA</t>
  </si>
  <si>
    <t>YAMHILL</t>
  </si>
  <si>
    <t>TILLAMOOK</t>
  </si>
  <si>
    <t>CROOK</t>
  </si>
  <si>
    <t>MCKEAN</t>
  </si>
  <si>
    <t>CAMBRIA</t>
  </si>
  <si>
    <t>BUCKS</t>
  </si>
  <si>
    <t>ALLEGHENY</t>
  </si>
  <si>
    <t>LEHIGH</t>
  </si>
  <si>
    <t>LACKAWANNA</t>
  </si>
  <si>
    <t>DAUPHIN</t>
  </si>
  <si>
    <t>BERKS</t>
  </si>
  <si>
    <t>LUZERNE</t>
  </si>
  <si>
    <t>POTTER</t>
  </si>
  <si>
    <t>SCHUYLKILL</t>
  </si>
  <si>
    <t>JUNIATA</t>
  </si>
  <si>
    <t>LYCOMING</t>
  </si>
  <si>
    <t>VENANGO</t>
  </si>
  <si>
    <t>MONTOUR</t>
  </si>
  <si>
    <t>FOREST</t>
  </si>
  <si>
    <t>MARLBORO</t>
  </si>
  <si>
    <t>COLLETON</t>
  </si>
  <si>
    <t>HORRY</t>
  </si>
  <si>
    <t>KERSHAW</t>
  </si>
  <si>
    <t>MCCORMICK</t>
  </si>
  <si>
    <t>CODINGTON</t>
  </si>
  <si>
    <t>DAVISON</t>
  </si>
  <si>
    <t>BEADLE</t>
  </si>
  <si>
    <t>MINNEHAHA</t>
  </si>
  <si>
    <t>ROBERTS</t>
  </si>
  <si>
    <t>KINGSBURY</t>
  </si>
  <si>
    <t>SPINK</t>
  </si>
  <si>
    <t>EDMUNDS</t>
  </si>
  <si>
    <t>DAY</t>
  </si>
  <si>
    <t>MINER</t>
  </si>
  <si>
    <t>FAULK</t>
  </si>
  <si>
    <t>MOODY</t>
  </si>
  <si>
    <t>PERKINS</t>
  </si>
  <si>
    <t>BON HOMME</t>
  </si>
  <si>
    <t>CHARLES MIX</t>
  </si>
  <si>
    <t>DEUEL</t>
  </si>
  <si>
    <t>HAND</t>
  </si>
  <si>
    <t>GILES</t>
  </si>
  <si>
    <t>HAWKINS</t>
  </si>
  <si>
    <t>MCNAIRY</t>
  </si>
  <si>
    <t>HAMBLEN</t>
  </si>
  <si>
    <t>HARDEMAN</t>
  </si>
  <si>
    <t>MAURY</t>
  </si>
  <si>
    <t>UNICOI</t>
  </si>
  <si>
    <t>MCMINN</t>
  </si>
  <si>
    <t>SEQUATCHIE</t>
  </si>
  <si>
    <t>OBION</t>
  </si>
  <si>
    <t>ROANE</t>
  </si>
  <si>
    <t>RHEA</t>
  </si>
  <si>
    <t>WEAKLEY</t>
  </si>
  <si>
    <t>TROUSDALE</t>
  </si>
  <si>
    <t>GRAINGER</t>
  </si>
  <si>
    <t>CHEATHAM</t>
  </si>
  <si>
    <t>FENTRESS</t>
  </si>
  <si>
    <t>PICKETT</t>
  </si>
  <si>
    <t>CANNON</t>
  </si>
  <si>
    <t>COCKE</t>
  </si>
  <si>
    <t>BOSQUE</t>
  </si>
  <si>
    <t>NOLAN</t>
  </si>
  <si>
    <t>YOUNG</t>
  </si>
  <si>
    <t>COOKE</t>
  </si>
  <si>
    <t>VAL VERDE</t>
  </si>
  <si>
    <t>DEAF SMITH</t>
  </si>
  <si>
    <t>ATASCOSA</t>
  </si>
  <si>
    <t>JACK</t>
  </si>
  <si>
    <t>FRIO</t>
  </si>
  <si>
    <t>COLORADO</t>
  </si>
  <si>
    <t>SOMERVELL</t>
  </si>
  <si>
    <t>MONTAGUE</t>
  </si>
  <si>
    <t>WILBARGER</t>
  </si>
  <si>
    <t>BAYLOR</t>
  </si>
  <si>
    <t>LAMB</t>
  </si>
  <si>
    <t>HOCKLEY</t>
  </si>
  <si>
    <t>COMAL</t>
  </si>
  <si>
    <t>TOM GREEN</t>
  </si>
  <si>
    <t>BRAZOS</t>
  </si>
  <si>
    <t>NUECES</t>
  </si>
  <si>
    <t>BEXAR</t>
  </si>
  <si>
    <t>TARRANT</t>
  </si>
  <si>
    <t>JIM WELLS</t>
  </si>
  <si>
    <t>BRAZORIA</t>
  </si>
  <si>
    <t>MCLENNAN</t>
  </si>
  <si>
    <t>CORYELL</t>
  </si>
  <si>
    <t>WEBB</t>
  </si>
  <si>
    <t>TITUS</t>
  </si>
  <si>
    <t>LAVACA</t>
  </si>
  <si>
    <t>GREGG</t>
  </si>
  <si>
    <t>PALO PINTO</t>
  </si>
  <si>
    <t>MATAGORDA</t>
  </si>
  <si>
    <t>TRAVIS</t>
  </si>
  <si>
    <t>BEE</t>
  </si>
  <si>
    <t>KERR</t>
  </si>
  <si>
    <t>ANGELINA</t>
  </si>
  <si>
    <t>ECTOR</t>
  </si>
  <si>
    <t>KARNES</t>
  </si>
  <si>
    <t>ERATH</t>
  </si>
  <si>
    <t>SAN PATRICIO</t>
  </si>
  <si>
    <t>CONCHO</t>
  </si>
  <si>
    <t>FORT BEND</t>
  </si>
  <si>
    <t>VAN ZANDT</t>
  </si>
  <si>
    <t>COLLIN</t>
  </si>
  <si>
    <t>GUADALUPE</t>
  </si>
  <si>
    <t>HOOD</t>
  </si>
  <si>
    <t>ARANSAS</t>
  </si>
  <si>
    <t>WEBER</t>
  </si>
  <si>
    <t>SALT LAKE</t>
  </si>
  <si>
    <t>BOX ELDER</t>
  </si>
  <si>
    <t>CACHE</t>
  </si>
  <si>
    <t>UTAH</t>
  </si>
  <si>
    <t>DUCHESNE</t>
  </si>
  <si>
    <t>EMERY</t>
  </si>
  <si>
    <t>UINTAH</t>
  </si>
  <si>
    <t>JUAB</t>
  </si>
  <si>
    <t>WASATCH</t>
  </si>
  <si>
    <t>MILLARD</t>
  </si>
  <si>
    <t>SANPETE</t>
  </si>
  <si>
    <t>CHITTENDEN</t>
  </si>
  <si>
    <t>ADDISON</t>
  </si>
  <si>
    <t>LAMOILLE</t>
  </si>
  <si>
    <t>NORTON CITY</t>
  </si>
  <si>
    <t>SMYTH</t>
  </si>
  <si>
    <t>FRANKLIN CITY</t>
  </si>
  <si>
    <t>GREENSVILLE</t>
  </si>
  <si>
    <t>WYTHE</t>
  </si>
  <si>
    <t>GALAX CITY</t>
  </si>
  <si>
    <t>ROANOKE CITY</t>
  </si>
  <si>
    <t>SALEM CITY</t>
  </si>
  <si>
    <t>DANVILLE CITY</t>
  </si>
  <si>
    <t>ALEXANDRIA CITY</t>
  </si>
  <si>
    <t>LEXINGTON CITY</t>
  </si>
  <si>
    <t>PRINCE WILLIAM</t>
  </si>
  <si>
    <t>HENRICO</t>
  </si>
  <si>
    <t>NORFOLK CITY</t>
  </si>
  <si>
    <t>NEWPORT NEWS CITY</t>
  </si>
  <si>
    <t>LYNCHBURG CITY</t>
  </si>
  <si>
    <t>HOPEWELL CITY</t>
  </si>
  <si>
    <t>VIRGINIA BEACH CITY</t>
  </si>
  <si>
    <t>HARRISONBURG CITY</t>
  </si>
  <si>
    <t>FAIRFAX CITY</t>
  </si>
  <si>
    <t>CHESAPEAKE CITY</t>
  </si>
  <si>
    <t>PETERSBURG CITY</t>
  </si>
  <si>
    <t>COLONIAL HEIGHTS CITY</t>
  </si>
  <si>
    <t>BRISTOL CITY</t>
  </si>
  <si>
    <t>WINCHESTER CITY</t>
  </si>
  <si>
    <t>MARTINSVILLE CITY</t>
  </si>
  <si>
    <t>WAYNESBORO CITY</t>
  </si>
  <si>
    <t>PORTSMOUTH CITY</t>
  </si>
  <si>
    <t>CHARLOTTESVILLE CITY</t>
  </si>
  <si>
    <t>BUENA VISTA CITY</t>
  </si>
  <si>
    <t>LOUDOUN</t>
  </si>
  <si>
    <t>JAMES CITY</t>
  </si>
  <si>
    <t>BLAND</t>
  </si>
  <si>
    <t>PITTSYLVANIA</t>
  </si>
  <si>
    <t>SUFFOLK CITY</t>
  </si>
  <si>
    <t>BOTETOURT</t>
  </si>
  <si>
    <t>RICHMOND CITY</t>
  </si>
  <si>
    <t>FLUVANNA</t>
  </si>
  <si>
    <t>FAUQUIER</t>
  </si>
  <si>
    <t>SPOTSYLVANIA</t>
  </si>
  <si>
    <t>STAUNTON CITY</t>
  </si>
  <si>
    <t>ACCOMACK</t>
  </si>
  <si>
    <t>PRINCE EDWARD</t>
  </si>
  <si>
    <t>POQUOSON CITY</t>
  </si>
  <si>
    <t>HAMPTON CITY</t>
  </si>
  <si>
    <t>KING WILLIAM</t>
  </si>
  <si>
    <t>PATRICK</t>
  </si>
  <si>
    <t>DICKENSON</t>
  </si>
  <si>
    <t>ISLE OF WIGHT</t>
  </si>
  <si>
    <t>NOTTOWAY</t>
  </si>
  <si>
    <t>RADFORD CITY</t>
  </si>
  <si>
    <t>MANASSAS CITY</t>
  </si>
  <si>
    <t>GRAYS HARBOR</t>
  </si>
  <si>
    <t>WHATCOM</t>
  </si>
  <si>
    <t>KITSAP</t>
  </si>
  <si>
    <t>CLALLAM</t>
  </si>
  <si>
    <t>CHELAN</t>
  </si>
  <si>
    <t>SKAGIT</t>
  </si>
  <si>
    <t>COWLITZ</t>
  </si>
  <si>
    <t>WHITMAN</t>
  </si>
  <si>
    <t>KITTITAS</t>
  </si>
  <si>
    <t>ASOTIN</t>
  </si>
  <si>
    <t>OKANOGAN</t>
  </si>
  <si>
    <t>ISLAND</t>
  </si>
  <si>
    <t>PEND OREILLE</t>
  </si>
  <si>
    <t>WETZEL</t>
  </si>
  <si>
    <t>CABELL</t>
  </si>
  <si>
    <t>MONONGALIA</t>
  </si>
  <si>
    <t>UPSHUR</t>
  </si>
  <si>
    <t>MINGO</t>
  </si>
  <si>
    <t>BROOKE</t>
  </si>
  <si>
    <t>SUMMERS</t>
  </si>
  <si>
    <t>HARDY</t>
  </si>
  <si>
    <t>BRAXTON</t>
  </si>
  <si>
    <t>RITCHIE</t>
  </si>
  <si>
    <t>PLEASANTS</t>
  </si>
  <si>
    <t>SAUK</t>
  </si>
  <si>
    <t>SAINT CROIX</t>
  </si>
  <si>
    <t>DANE</t>
  </si>
  <si>
    <t>MARATHON</t>
  </si>
  <si>
    <t>OUTAGAMIE</t>
  </si>
  <si>
    <t>GREEN LAKE</t>
  </si>
  <si>
    <t>DOOR</t>
  </si>
  <si>
    <t>CALUMET</t>
  </si>
  <si>
    <t>LANGLADE</t>
  </si>
  <si>
    <t>SAWYER</t>
  </si>
  <si>
    <t>WAUSHARA</t>
  </si>
  <si>
    <t>OZAUKEE</t>
  </si>
  <si>
    <t>BURNETT</t>
  </si>
  <si>
    <t>BAYFIELD</t>
  </si>
  <si>
    <t>TREMPEALEAU</t>
  </si>
  <si>
    <t>TETON</t>
  </si>
  <si>
    <t>SUBLETTE</t>
  </si>
  <si>
    <t>BIG HORN</t>
  </si>
  <si>
    <t>NATRONA</t>
  </si>
  <si>
    <t>UINTA</t>
  </si>
  <si>
    <t>WASHAKIE</t>
  </si>
  <si>
    <t>GLENN</t>
  </si>
  <si>
    <t>INYO</t>
  </si>
  <si>
    <t>YUBA</t>
  </si>
  <si>
    <t>GUAM</t>
  </si>
  <si>
    <t>FOARD</t>
  </si>
  <si>
    <t>TERRY</t>
  </si>
  <si>
    <t>HUNT</t>
  </si>
  <si>
    <t>CAMP</t>
  </si>
  <si>
    <t>CALLAHAN</t>
  </si>
  <si>
    <t>PARMER</t>
  </si>
  <si>
    <t>FALLS</t>
  </si>
  <si>
    <t>NAVARRO</t>
  </si>
  <si>
    <t>SWISHER</t>
  </si>
  <si>
    <t>FREESTONE</t>
  </si>
  <si>
    <t>RUNNELS</t>
  </si>
  <si>
    <t>DIMMIT</t>
  </si>
  <si>
    <t>STARR</t>
  </si>
  <si>
    <t>WILLACY</t>
  </si>
  <si>
    <t>KLEBERG</t>
  </si>
  <si>
    <t>RANDALL</t>
  </si>
  <si>
    <t>COKE</t>
  </si>
  <si>
    <t>ARCHER</t>
  </si>
  <si>
    <t>MAVERICK</t>
  </si>
  <si>
    <t>SCURRY</t>
  </si>
  <si>
    <t>WALLER</t>
  </si>
  <si>
    <t>GARZA</t>
  </si>
  <si>
    <t>JIM HOGG</t>
  </si>
  <si>
    <t>KIMBLE</t>
  </si>
  <si>
    <t>REEVES</t>
  </si>
  <si>
    <t>REAL</t>
  </si>
  <si>
    <t>COLLINGSWORTH</t>
  </si>
  <si>
    <t>OCHILTREE</t>
  </si>
  <si>
    <t>MCCULLOCH</t>
  </si>
  <si>
    <t>DONLEY</t>
  </si>
  <si>
    <t>STONEWALL</t>
  </si>
  <si>
    <t>BAILEY</t>
  </si>
  <si>
    <t>MILAM</t>
  </si>
  <si>
    <t>RAINS</t>
  </si>
  <si>
    <t>CASTRO</t>
  </si>
  <si>
    <t>175536</t>
  </si>
  <si>
    <t>015642</t>
  </si>
  <si>
    <t>452062</t>
  </si>
  <si>
    <t>Skilled Nursing Facility Value-Based Purchasing (SNF VBP) Program - Individual Performance</t>
  </si>
  <si>
    <t>Skilled Nursing Facility Value-Based Purchasing (SNF VBP) Program - Aggregate Performance</t>
  </si>
  <si>
    <t>Baseline Period: CY 2015 Risk-Standardized Readmission Rate (%)</t>
  </si>
  <si>
    <t>SNF VBP Ranking*</t>
  </si>
  <si>
    <t>Performance Period: CY 2017 Risk-Standardized Readmission Rate (%)*</t>
  </si>
  <si>
    <t>Achievement Score (Range: 0-100)*</t>
  </si>
  <si>
    <t>Improvement Score (Range: 0-90)*</t>
  </si>
  <si>
    <t>Performance Score (Range: 0-100)*</t>
  </si>
  <si>
    <t>Total Number of SNFs with Performance Scores*</t>
  </si>
  <si>
    <t>Range of Value-Based Incentive Payments*</t>
  </si>
  <si>
    <t>Total Amount of Value-Based Incentive Payments*</t>
  </si>
  <si>
    <t>Total Number of SNFs Receiving Value-Based Incentive Payments*</t>
  </si>
  <si>
    <t>Range of SNF Performance Scores*</t>
  </si>
  <si>
    <t>Baseline Period: CY 2015 National Average Readmission Rate (%)</t>
  </si>
  <si>
    <t>October 2017</t>
  </si>
  <si>
    <t>This is a list of SNFs participating in the SNF VBP Program and their measure performance rates and SNF VBP Program scores. Individual SNF measure performance rate information is based on SNF performance on the Skilled Nursing Facility 30-Day All-Cause Readmission Measure (SNFRM) during calendar year (CY) 2015. Fields for which data is not currently available are omitted in the dataset and noted with an asterisk.</t>
  </si>
  <si>
    <t>This dataset contains national data on aggregate SNF measure performance rates and SNF VBP Program scores. National data is based on aggregate SNF performance on the Skilled Nursing Facility 30-Day All-Cause Readmission Measure (SNFRM) during calendar year (CY) 2015. Fields for which data is not currently available are omitted in the dataset and noted with an asterisk. Please note that the national average readmission rate reported here is the average unadjusted unplanned readmission rate for all eligible SNF stays nationally.</t>
  </si>
  <si>
    <t>Pefrormance Period: CY 2017 National Average Readmission Rate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</si>
</sst>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000"/>
    <numFmt numFmtId="166" formatCode="[$-409]mmmm\ d\,\ yyyy;@"/>
  </numFmts>
  <fonts count="6" x14ac:knownFonts="1">
    <font>
      <sz val="11"/>
      <color theme="1"/>
      <name val="Calibri"/>
      <family val="2"/>
      <scheme val="minor"/>
    </font>
    <font>
      <b/>
      <sz val="11"/>
      <color theme="0"/>
      <name val="Calibri"/>
      <family val="2"/>
      <scheme val="minor"/>
    </font>
    <font>
      <sz val="8"/>
      <color indexed="8"/>
      <name val="Arial"/>
      <family val="2"/>
    </font>
    <font>
      <sz val="16"/>
      <color theme="1"/>
      <name val="Arial"/>
      <family val="2"/>
    </font>
    <font>
      <sz val="11"/>
      <color theme="1"/>
      <name val="Arial"/>
      <family val="2"/>
    </font>
    <font>
      <b/>
      <sz val="10"/>
      <color theme="1"/>
      <name val="Arial"/>
      <family val="2"/>
    </font>
  </fonts>
  <fills count="4">
    <fill>
      <patternFill patternType="none"/>
    </fill>
    <fill>
      <patternFill patternType="gray125"/>
    </fill>
    <fill>
      <patternFill patternType="solid">
        <fgColor rgb="FFFFFFFF"/>
        <bgColor indexed="64"/>
      </patternFill>
    </fill>
    <fill>
      <patternFill patternType="solid">
        <fgColor theme="4" tint="0.39997558519241921"/>
        <bgColor indexed="64"/>
      </patternFill>
    </fill>
  </fills>
  <borders count="23">
    <border>
      <left/>
      <right/>
      <top/>
      <bottom/>
      <diagonal/>
    </border>
    <border>
      <left/>
      <right style="thin">
        <color rgb="FFAAC1D9"/>
      </right>
      <top/>
      <bottom style="thin">
        <color rgb="FFAAC1D9"/>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AAC1D9"/>
      </right>
      <top/>
      <bottom style="thin">
        <color rgb="FFAAC1D9"/>
      </bottom>
      <diagonal/>
    </border>
    <border>
      <left style="thin">
        <color theme="1"/>
      </left>
      <right style="thin">
        <color theme="1"/>
      </right>
      <top style="thin">
        <color theme="1"/>
      </top>
      <bottom/>
      <diagonal/>
    </border>
    <border>
      <left style="thin">
        <color rgb="FFAAC1D9"/>
      </left>
      <right style="thin">
        <color rgb="FFAAC1D9"/>
      </right>
      <top style="thin">
        <color theme="8" tint="0.59999389629810485"/>
      </top>
      <bottom style="thin">
        <color rgb="FFAAC1D9"/>
      </bottom>
      <diagonal/>
    </border>
    <border>
      <left style="thin">
        <color rgb="FFAAC1D9"/>
      </left>
      <right/>
      <top style="thin">
        <color theme="8" tint="0.59999389629810485"/>
      </top>
      <bottom style="thin">
        <color rgb="FFAAC1D9"/>
      </bottom>
      <diagonal/>
    </border>
    <border>
      <left/>
      <right/>
      <top/>
      <bottom style="thin">
        <color theme="8" tint="0.59999389629810485"/>
      </bottom>
      <diagonal/>
    </border>
    <border>
      <left style="thin">
        <color theme="8" tint="0.59999389629810485"/>
      </left>
      <right style="thin">
        <color rgb="FFAAC1D9"/>
      </right>
      <top/>
      <bottom style="thin">
        <color theme="8" tint="0.59999389629810485"/>
      </bottom>
      <diagonal/>
    </border>
    <border>
      <left/>
      <right style="thin">
        <color rgb="FFAAC1D9"/>
      </right>
      <top/>
      <bottom style="thin">
        <color theme="8" tint="0.59999389629810485"/>
      </bottom>
      <diagonal/>
    </border>
    <border>
      <left style="thin">
        <color theme="8" tint="0.59999389629810485"/>
      </left>
      <right/>
      <top style="thin">
        <color theme="8" tint="0.59999389629810485"/>
      </top>
      <bottom/>
      <diagonal/>
    </border>
    <border>
      <left/>
      <right/>
      <top style="thin">
        <color theme="8" tint="0.59999389629810485"/>
      </top>
      <bottom/>
      <diagonal/>
    </border>
    <border>
      <left style="thin">
        <color theme="8" tint="0.59999389629810485"/>
      </left>
      <right/>
      <top/>
      <bottom/>
      <diagonal/>
    </border>
    <border>
      <left style="thin">
        <color theme="8" tint="0.59999389629810485"/>
      </left>
      <right/>
      <top/>
      <bottom style="thin">
        <color theme="8" tint="0.59999389629810485"/>
      </bottom>
      <diagonal/>
    </border>
    <border>
      <left style="thin">
        <color theme="1"/>
      </left>
      <right/>
      <top style="thin">
        <color theme="1"/>
      </top>
      <bottom style="thin">
        <color theme="1"/>
      </bottom>
      <diagonal/>
    </border>
    <border>
      <left/>
      <right/>
      <top/>
      <bottom style="thin">
        <color rgb="FFAAC1D9"/>
      </bottom>
      <diagonal/>
    </border>
    <border>
      <left style="thin">
        <color theme="8" tint="0.59999389629810485"/>
      </left>
      <right style="thin">
        <color rgb="FFAAC1D9"/>
      </right>
      <top/>
      <bottom style="thin">
        <color rgb="FFAAC1D9"/>
      </bottom>
      <diagonal/>
    </border>
    <border>
      <left style="thin">
        <color theme="8" tint="0.59999389629810485"/>
      </left>
      <right style="thin">
        <color rgb="FFAAC1D9"/>
      </right>
      <top/>
      <bottom/>
      <diagonal/>
    </border>
    <border>
      <left style="thin">
        <color theme="8" tint="0.59999389629810485"/>
      </left>
      <right style="thin">
        <color theme="8" tint="0.59999389629810485"/>
      </right>
      <top style="thin">
        <color theme="8" tint="0.59999389629810485"/>
      </top>
      <bottom style="thin">
        <color rgb="FFAAC1D9"/>
      </bottom>
      <diagonal/>
    </border>
    <border>
      <left style="thin">
        <color theme="8" tint="0.59999389629810485"/>
      </left>
      <right style="thin">
        <color theme="8" tint="0.59999389629810485"/>
      </right>
      <top/>
      <bottom style="thin">
        <color rgb="FFAAC1D9"/>
      </bottom>
      <diagonal/>
    </border>
    <border>
      <left style="thin">
        <color theme="8" tint="0.59999389629810485"/>
      </left>
      <right style="thin">
        <color theme="8" tint="0.59999389629810485"/>
      </right>
      <top/>
      <bottom style="thin">
        <color theme="8" tint="0.59999389629810485"/>
      </bottom>
      <diagonal/>
    </border>
    <border>
      <left style="thin">
        <color indexed="64"/>
      </left>
      <right style="thin">
        <color indexed="64"/>
      </right>
      <top style="thin">
        <color theme="1"/>
      </top>
      <bottom style="thin">
        <color theme="1"/>
      </bottom>
      <diagonal/>
    </border>
  </borders>
  <cellStyleXfs count="1">
    <xf numFmtId="0" fontId="0" fillId="0" borderId="0"/>
  </cellStyleXfs>
  <cellXfs count="58">
    <xf numFmtId="0" fontId="0" fillId="0" borderId="0" xfId="0"/>
    <xf numFmtId="0" fontId="0" fillId="0" borderId="0" xfId="0" applyAlignment="1">
      <alignment horizontal="center"/>
    </xf>
    <xf numFmtId="49" fontId="0" fillId="0" borderId="0" xfId="0" applyNumberFormat="1" applyAlignment="1">
      <alignment horizontal="left"/>
    </xf>
    <xf numFmtId="0" fontId="0" fillId="0" borderId="0" xfId="0" applyAlignment="1">
      <alignment horizontal="left"/>
    </xf>
    <xf numFmtId="0" fontId="2" fillId="2" borderId="1" xfId="0" applyNumberFormat="1" applyFont="1" applyFill="1" applyBorder="1" applyAlignment="1" applyProtection="1">
      <alignment horizontal="right" wrapText="1"/>
    </xf>
    <xf numFmtId="0" fontId="2" fillId="2" borderId="1" xfId="0" applyNumberFormat="1" applyFont="1" applyFill="1" applyBorder="1" applyAlignment="1" applyProtection="1">
      <alignment horizontal="left" wrapText="1"/>
    </xf>
    <xf numFmtId="0" fontId="4" fillId="0" borderId="0" xfId="0" applyFont="1"/>
    <xf numFmtId="0" fontId="1" fillId="0" borderId="0" xfId="0" applyFont="1" applyFill="1" applyAlignment="1">
      <alignment vertical="center"/>
    </xf>
    <xf numFmtId="0" fontId="1" fillId="0" borderId="0" xfId="0" applyFont="1" applyFill="1" applyBorder="1" applyAlignment="1">
      <alignment vertical="center"/>
    </xf>
    <xf numFmtId="0" fontId="1" fillId="0" borderId="0" xfId="0" applyFont="1" applyFill="1" applyAlignment="1">
      <alignment horizontal="left" vertical="center" wrapText="1"/>
    </xf>
    <xf numFmtId="0" fontId="5" fillId="3" borderId="3" xfId="0" applyFont="1" applyFill="1" applyBorder="1" applyAlignment="1">
      <alignment horizontal="left" vertical="center" wrapText="1"/>
    </xf>
    <xf numFmtId="49" fontId="5" fillId="3" borderId="3" xfId="0" applyNumberFormat="1"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3" xfId="0" applyFont="1" applyFill="1" applyBorder="1" applyAlignment="1">
      <alignment vertical="center" wrapText="1"/>
    </xf>
    <xf numFmtId="0" fontId="3" fillId="0" borderId="0" xfId="0" applyFont="1" applyAlignment="1">
      <alignment vertical="top"/>
    </xf>
    <xf numFmtId="0" fontId="4" fillId="0" borderId="0" xfId="0" applyFont="1" applyAlignment="1">
      <alignment vertical="center" wrapText="1"/>
    </xf>
    <xf numFmtId="166" fontId="3" fillId="0" borderId="0" xfId="0" applyNumberFormat="1" applyFont="1" applyAlignment="1">
      <alignment vertical="top"/>
    </xf>
    <xf numFmtId="0" fontId="5" fillId="3" borderId="5" xfId="0" applyFont="1" applyFill="1" applyBorder="1" applyAlignment="1">
      <alignment horizontal="left" vertical="center" wrapText="1"/>
    </xf>
    <xf numFmtId="49" fontId="0" fillId="0" borderId="0" xfId="0" applyNumberFormat="1" applyAlignment="1">
      <alignment vertical="top"/>
    </xf>
    <xf numFmtId="0" fontId="0" fillId="0" borderId="0" xfId="0" applyAlignment="1">
      <alignment vertical="top"/>
    </xf>
    <xf numFmtId="165" fontId="0" fillId="0" borderId="0" xfId="0" applyNumberFormat="1" applyAlignment="1">
      <alignment vertical="top"/>
    </xf>
    <xf numFmtId="0" fontId="0" fillId="0" borderId="0" xfId="0" applyAlignment="1">
      <alignment horizontal="left" vertical="top"/>
    </xf>
    <xf numFmtId="0" fontId="2" fillId="2" borderId="4" xfId="0" applyNumberFormat="1" applyFont="1" applyFill="1" applyBorder="1" applyAlignment="1" applyProtection="1">
      <alignment horizontal="center" vertical="top" wrapText="1"/>
    </xf>
    <xf numFmtId="165" fontId="2" fillId="2" borderId="1" xfId="0" applyNumberFormat="1" applyFont="1" applyFill="1" applyBorder="1" applyAlignment="1" applyProtection="1">
      <alignment horizontal="center" vertical="top" wrapText="1"/>
    </xf>
    <xf numFmtId="49" fontId="0" fillId="0" borderId="0" xfId="0" applyNumberFormat="1" applyAlignment="1"/>
    <xf numFmtId="0" fontId="2" fillId="2" borderId="6" xfId="0" applyNumberFormat="1" applyFont="1" applyFill="1" applyBorder="1" applyAlignment="1" applyProtection="1">
      <alignment horizontal="left" wrapText="1"/>
    </xf>
    <xf numFmtId="0" fontId="2" fillId="2" borderId="7" xfId="0" applyNumberFormat="1" applyFont="1" applyFill="1" applyBorder="1" applyAlignment="1" applyProtection="1">
      <alignment horizontal="left" wrapText="1"/>
    </xf>
    <xf numFmtId="0" fontId="0" fillId="0" borderId="8" xfId="0" applyBorder="1" applyAlignment="1">
      <alignment vertical="top"/>
    </xf>
    <xf numFmtId="0" fontId="2" fillId="2" borderId="9" xfId="0" applyNumberFormat="1" applyFont="1" applyFill="1" applyBorder="1" applyAlignment="1" applyProtection="1">
      <alignment horizontal="left" wrapText="1"/>
    </xf>
    <xf numFmtId="0" fontId="2" fillId="2" borderId="10" xfId="0" applyNumberFormat="1" applyFont="1" applyFill="1" applyBorder="1" applyAlignment="1" applyProtection="1">
      <alignment horizontal="left" wrapText="1"/>
    </xf>
    <xf numFmtId="49" fontId="0" fillId="0" borderId="11" xfId="0" applyNumberFormat="1" applyBorder="1" applyAlignment="1">
      <alignment vertical="top"/>
    </xf>
    <xf numFmtId="0" fontId="0" fillId="0" borderId="12" xfId="0" applyBorder="1" applyAlignment="1">
      <alignment vertical="top"/>
    </xf>
    <xf numFmtId="165" fontId="0" fillId="0" borderId="12" xfId="0" applyNumberFormat="1" applyBorder="1" applyAlignment="1">
      <alignment vertical="top"/>
    </xf>
    <xf numFmtId="49" fontId="0" fillId="0" borderId="13" xfId="0" applyNumberFormat="1" applyBorder="1" applyAlignment="1">
      <alignment vertical="top"/>
    </xf>
    <xf numFmtId="0" fontId="0" fillId="0" borderId="0" xfId="0" applyBorder="1" applyAlignment="1">
      <alignment vertical="top"/>
    </xf>
    <xf numFmtId="165" fontId="0" fillId="0" borderId="0" xfId="0" applyNumberFormat="1" applyBorder="1" applyAlignment="1">
      <alignment vertical="top"/>
    </xf>
    <xf numFmtId="49" fontId="0" fillId="0" borderId="14" xfId="0" applyNumberFormat="1" applyBorder="1" applyAlignment="1">
      <alignment vertical="top"/>
    </xf>
    <xf numFmtId="49" fontId="0" fillId="0" borderId="8" xfId="0" applyNumberFormat="1" applyBorder="1" applyAlignment="1">
      <alignment vertical="top"/>
    </xf>
    <xf numFmtId="49" fontId="0" fillId="0" borderId="8" xfId="0" applyNumberFormat="1" applyBorder="1" applyAlignment="1">
      <alignment horizontal="right" vertical="top"/>
    </xf>
    <xf numFmtId="49" fontId="5" fillId="3" borderId="15" xfId="0" applyNumberFormat="1" applyFont="1" applyFill="1" applyBorder="1" applyAlignment="1">
      <alignment vertical="center" wrapText="1"/>
    </xf>
    <xf numFmtId="0" fontId="2" fillId="2" borderId="8" xfId="0" applyNumberFormat="1" applyFont="1" applyFill="1" applyBorder="1" applyAlignment="1" applyProtection="1">
      <alignment horizontal="left" wrapText="1"/>
    </xf>
    <xf numFmtId="0" fontId="2" fillId="2" borderId="16" xfId="0" applyNumberFormat="1" applyFont="1" applyFill="1" applyBorder="1" applyAlignment="1" applyProtection="1">
      <alignment horizontal="left" wrapText="1"/>
    </xf>
    <xf numFmtId="165" fontId="2" fillId="2" borderId="16" xfId="0" applyNumberFormat="1" applyFont="1" applyFill="1" applyBorder="1" applyAlignment="1" applyProtection="1">
      <alignment wrapText="1"/>
    </xf>
    <xf numFmtId="49" fontId="2" fillId="2" borderId="16" xfId="0" applyNumberFormat="1" applyFont="1" applyFill="1" applyBorder="1" applyAlignment="1" applyProtection="1">
      <alignment wrapText="1"/>
    </xf>
    <xf numFmtId="165" fontId="2" fillId="2" borderId="17" xfId="0" applyNumberFormat="1" applyFont="1" applyFill="1" applyBorder="1" applyAlignment="1" applyProtection="1">
      <alignment horizontal="center" vertical="top" wrapText="1"/>
    </xf>
    <xf numFmtId="165" fontId="2" fillId="2" borderId="18" xfId="0" applyNumberFormat="1" applyFont="1" applyFill="1" applyBorder="1" applyAlignment="1" applyProtection="1">
      <alignment horizontal="center" vertical="top" wrapText="1"/>
    </xf>
    <xf numFmtId="165" fontId="2" fillId="2" borderId="19" xfId="0" applyNumberFormat="1" applyFont="1" applyFill="1" applyBorder="1" applyAlignment="1" applyProtection="1">
      <alignment horizontal="center" vertical="top" wrapText="1"/>
    </xf>
    <xf numFmtId="165" fontId="2" fillId="2" borderId="20" xfId="0" applyNumberFormat="1" applyFont="1" applyFill="1" applyBorder="1" applyAlignment="1" applyProtection="1">
      <alignment horizontal="center" vertical="top" wrapText="1"/>
    </xf>
    <xf numFmtId="165" fontId="2" fillId="2" borderId="21" xfId="0" applyNumberFormat="1" applyFont="1" applyFill="1" applyBorder="1" applyAlignment="1" applyProtection="1">
      <alignment horizontal="center" vertical="top" wrapText="1"/>
    </xf>
    <xf numFmtId="0" fontId="2" fillId="2" borderId="17" xfId="0" applyNumberFormat="1" applyFont="1" applyFill="1" applyBorder="1" applyAlignment="1" applyProtection="1">
      <alignment horizontal="left" wrapText="1"/>
    </xf>
    <xf numFmtId="164" fontId="2" fillId="2" borderId="17" xfId="0" applyNumberFormat="1" applyFont="1" applyFill="1" applyBorder="1" applyAlignment="1" applyProtection="1">
      <alignment horizontal="left" wrapText="1"/>
    </xf>
    <xf numFmtId="0" fontId="0" fillId="0" borderId="13" xfId="0" applyBorder="1" applyAlignment="1">
      <alignment horizontal="left"/>
    </xf>
    <xf numFmtId="49" fontId="0" fillId="0" borderId="22" xfId="0" applyNumberFormat="1" applyBorder="1" applyAlignment="1">
      <alignment vertical="top"/>
    </xf>
    <xf numFmtId="49" fontId="0" fillId="0" borderId="22" xfId="0" applyNumberFormat="1" applyBorder="1" applyAlignment="1">
      <alignment horizontal="center" vertical="center"/>
    </xf>
    <xf numFmtId="0" fontId="4" fillId="0" borderId="0" xfId="0" applyFont="1" applyAlignment="1">
      <alignment horizontal="left" vertical="center" wrapText="1"/>
    </xf>
    <xf numFmtId="0" fontId="3" fillId="0" borderId="0" xfId="0" applyFont="1" applyAlignment="1">
      <alignment horizontal="left" vertical="top"/>
    </xf>
    <xf numFmtId="49" fontId="3" fillId="0" borderId="0" xfId="0" applyNumberFormat="1" applyFont="1" applyAlignment="1">
      <alignment horizontal="left" vertical="top"/>
    </xf>
    <xf numFmtId="0" fontId="4" fillId="0" borderId="2"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026"/>
  <sheetViews>
    <sheetView tabSelected="1" zoomScale="80" zoomScaleNormal="80" workbookViewId="0">
      <selection sqref="A1:M1"/>
    </sheetView>
  </sheetViews>
  <sheetFormatPr defaultRowHeight="15" x14ac:dyDescent="0.25"/>
  <cols>
    <col min="1" max="1" width="19.85546875" style="1" customWidth="1"/>
    <col min="2" max="2" width="17.7109375" style="2" customWidth="1"/>
    <col min="3" max="3" width="62" style="3" customWidth="1"/>
    <col min="4" max="4" width="36.85546875" style="3" customWidth="1"/>
    <col min="5" max="5" width="28" style="3" customWidth="1"/>
    <col min="6" max="6" width="9.85546875" style="3" customWidth="1"/>
    <col min="7" max="7" width="14.7109375" style="3" customWidth="1"/>
    <col min="8" max="8" width="22.42578125" style="3" customWidth="1"/>
    <col min="9" max="9" width="24.140625" style="24" customWidth="1"/>
    <col min="10" max="10" width="24.42578125" style="51" customWidth="1"/>
    <col min="11" max="12" width="24.42578125" style="3" customWidth="1"/>
    <col min="13" max="13" width="24.42578125" style="1" customWidth="1"/>
  </cols>
  <sheetData>
    <row r="1" spans="1:14" s="6" customFormat="1" ht="24.75" customHeight="1" x14ac:dyDescent="0.2">
      <c r="A1" s="55" t="s">
        <v>36986</v>
      </c>
      <c r="B1" s="55"/>
      <c r="C1" s="55"/>
      <c r="D1" s="55"/>
      <c r="E1" s="55"/>
      <c r="F1" s="55"/>
      <c r="G1" s="55"/>
      <c r="H1" s="55"/>
      <c r="I1" s="55"/>
      <c r="J1" s="55"/>
      <c r="K1" s="55"/>
      <c r="L1" s="55"/>
      <c r="M1" s="55"/>
    </row>
    <row r="2" spans="1:14" s="6" customFormat="1" ht="24.75" customHeight="1" x14ac:dyDescent="0.2">
      <c r="A2" s="56" t="s">
        <v>37000</v>
      </c>
      <c r="B2" s="56"/>
      <c r="C2" s="56"/>
      <c r="D2" s="56"/>
      <c r="E2" s="56"/>
      <c r="F2" s="56"/>
      <c r="G2" s="56"/>
      <c r="H2" s="56"/>
      <c r="I2" s="56"/>
      <c r="J2" s="56"/>
      <c r="K2" s="56"/>
      <c r="L2" s="56"/>
      <c r="M2" s="56"/>
    </row>
    <row r="3" spans="1:14" s="6" customFormat="1" ht="32.25" customHeight="1" x14ac:dyDescent="0.2">
      <c r="A3" s="54" t="s">
        <v>37001</v>
      </c>
      <c r="B3" s="54"/>
      <c r="C3" s="54"/>
      <c r="D3" s="54"/>
      <c r="E3" s="54"/>
      <c r="F3" s="54"/>
      <c r="G3" s="54"/>
      <c r="H3" s="54"/>
      <c r="I3" s="54"/>
      <c r="J3" s="54"/>
      <c r="K3" s="54"/>
      <c r="L3" s="54"/>
      <c r="M3" s="54"/>
    </row>
    <row r="4" spans="1:14" s="7" customFormat="1" ht="54" customHeight="1" x14ac:dyDescent="0.25">
      <c r="A4" s="10" t="s">
        <v>36989</v>
      </c>
      <c r="B4" s="11" t="s">
        <v>7</v>
      </c>
      <c r="C4" s="12" t="s">
        <v>9</v>
      </c>
      <c r="D4" s="12" t="s">
        <v>2</v>
      </c>
      <c r="E4" s="12" t="s">
        <v>0</v>
      </c>
      <c r="F4" s="12" t="s">
        <v>1</v>
      </c>
      <c r="G4" s="12" t="s">
        <v>6</v>
      </c>
      <c r="H4" s="12" t="s">
        <v>3</v>
      </c>
      <c r="I4" s="39" t="s">
        <v>36988</v>
      </c>
      <c r="J4" s="10" t="s">
        <v>36990</v>
      </c>
      <c r="K4" s="10" t="s">
        <v>36991</v>
      </c>
      <c r="L4" s="10" t="s">
        <v>36992</v>
      </c>
      <c r="M4" s="13" t="s">
        <v>36993</v>
      </c>
      <c r="N4" s="8"/>
    </row>
    <row r="5" spans="1:14" s="21" customFormat="1" x14ac:dyDescent="0.25">
      <c r="A5" s="23" t="s">
        <v>8</v>
      </c>
      <c r="B5" s="18" t="s">
        <v>15116</v>
      </c>
      <c r="C5" s="19" t="s">
        <v>10</v>
      </c>
      <c r="D5" s="19" t="s">
        <v>15442</v>
      </c>
      <c r="E5" s="19" t="s">
        <v>30799</v>
      </c>
      <c r="F5" s="19" t="s">
        <v>35974</v>
      </c>
      <c r="G5" s="18" t="str">
        <f>"36467"</f>
        <v>36467</v>
      </c>
      <c r="H5" s="19" t="s">
        <v>31753</v>
      </c>
      <c r="I5" s="20">
        <v>20.324999999999999</v>
      </c>
      <c r="J5" s="44" t="s">
        <v>8</v>
      </c>
      <c r="K5" s="23" t="s">
        <v>8</v>
      </c>
      <c r="L5" s="23" t="s">
        <v>8</v>
      </c>
      <c r="M5" s="23" t="s">
        <v>8</v>
      </c>
    </row>
    <row r="6" spans="1:14" s="21" customFormat="1" x14ac:dyDescent="0.25">
      <c r="A6" s="22" t="s">
        <v>8</v>
      </c>
      <c r="B6" s="18" t="s">
        <v>15117</v>
      </c>
      <c r="C6" s="19" t="s">
        <v>11</v>
      </c>
      <c r="D6" s="19" t="s">
        <v>15443</v>
      </c>
      <c r="E6" s="19" t="s">
        <v>30800</v>
      </c>
      <c r="F6" s="19" t="s">
        <v>35974</v>
      </c>
      <c r="G6" s="18" t="str">
        <f>"36049"</f>
        <v>36049</v>
      </c>
      <c r="H6" s="19" t="s">
        <v>36027</v>
      </c>
      <c r="I6" s="20">
        <v>19.905999999999999</v>
      </c>
      <c r="J6" s="44" t="s">
        <v>8</v>
      </c>
      <c r="K6" s="23" t="s">
        <v>8</v>
      </c>
      <c r="L6" s="23" t="s">
        <v>8</v>
      </c>
      <c r="M6" s="23" t="s">
        <v>8</v>
      </c>
    </row>
    <row r="7" spans="1:14" s="21" customFormat="1" x14ac:dyDescent="0.25">
      <c r="A7" s="22" t="s">
        <v>8</v>
      </c>
      <c r="B7" s="18" t="s">
        <v>15118</v>
      </c>
      <c r="C7" s="19" t="s">
        <v>12</v>
      </c>
      <c r="D7" s="19" t="s">
        <v>15444</v>
      </c>
      <c r="E7" s="19" t="s">
        <v>30801</v>
      </c>
      <c r="F7" s="19" t="s">
        <v>35974</v>
      </c>
      <c r="G7" s="18" t="str">
        <f>"35960"</f>
        <v>35960</v>
      </c>
      <c r="H7" s="19" t="s">
        <v>32436</v>
      </c>
      <c r="I7" s="20">
        <v>19.413</v>
      </c>
      <c r="J7" s="44" t="s">
        <v>8</v>
      </c>
      <c r="K7" s="23" t="s">
        <v>8</v>
      </c>
      <c r="L7" s="23" t="s">
        <v>8</v>
      </c>
      <c r="M7" s="23" t="s">
        <v>8</v>
      </c>
    </row>
    <row r="8" spans="1:14" s="21" customFormat="1" x14ac:dyDescent="0.25">
      <c r="A8" s="22" t="s">
        <v>8</v>
      </c>
      <c r="B8" s="18" t="s">
        <v>15119</v>
      </c>
      <c r="C8" s="19" t="s">
        <v>13</v>
      </c>
      <c r="D8" s="19" t="s">
        <v>15445</v>
      </c>
      <c r="E8" s="19" t="s">
        <v>30802</v>
      </c>
      <c r="F8" s="19" t="s">
        <v>35974</v>
      </c>
      <c r="G8" s="18" t="str">
        <f>"36278"</f>
        <v>36278</v>
      </c>
      <c r="H8" s="19" t="s">
        <v>33068</v>
      </c>
      <c r="I8" s="20">
        <v>19.553000000000001</v>
      </c>
      <c r="J8" s="44" t="s">
        <v>8</v>
      </c>
      <c r="K8" s="23" t="s">
        <v>8</v>
      </c>
      <c r="L8" s="23" t="s">
        <v>8</v>
      </c>
      <c r="M8" s="23" t="s">
        <v>8</v>
      </c>
    </row>
    <row r="9" spans="1:14" s="21" customFormat="1" x14ac:dyDescent="0.25">
      <c r="A9" s="22" t="s">
        <v>8</v>
      </c>
      <c r="B9" s="18" t="s">
        <v>15120</v>
      </c>
      <c r="C9" s="19" t="s">
        <v>14</v>
      </c>
      <c r="D9" s="19" t="s">
        <v>15446</v>
      </c>
      <c r="E9" s="19" t="s">
        <v>30803</v>
      </c>
      <c r="F9" s="19" t="s">
        <v>35974</v>
      </c>
      <c r="G9" s="18" t="str">
        <f>"36078"</f>
        <v>36078</v>
      </c>
      <c r="H9" s="19" t="s">
        <v>30825</v>
      </c>
      <c r="I9" s="20">
        <v>19.533000000000001</v>
      </c>
      <c r="J9" s="44" t="s">
        <v>8</v>
      </c>
      <c r="K9" s="23" t="s">
        <v>8</v>
      </c>
      <c r="L9" s="23" t="s">
        <v>8</v>
      </c>
      <c r="M9" s="23" t="s">
        <v>8</v>
      </c>
    </row>
    <row r="10" spans="1:14" s="21" customFormat="1" x14ac:dyDescent="0.25">
      <c r="A10" s="22" t="s">
        <v>8</v>
      </c>
      <c r="B10" s="18" t="s">
        <v>15121</v>
      </c>
      <c r="C10" s="19" t="s">
        <v>15</v>
      </c>
      <c r="D10" s="19" t="s">
        <v>15447</v>
      </c>
      <c r="E10" s="19" t="s">
        <v>30804</v>
      </c>
      <c r="F10" s="19" t="s">
        <v>35974</v>
      </c>
      <c r="G10" s="18" t="str">
        <f>"35570"</f>
        <v>35570</v>
      </c>
      <c r="H10" s="19" t="s">
        <v>30850</v>
      </c>
      <c r="I10" s="20">
        <v>19.984999999999999</v>
      </c>
      <c r="J10" s="44" t="s">
        <v>8</v>
      </c>
      <c r="K10" s="23" t="s">
        <v>8</v>
      </c>
      <c r="L10" s="23" t="s">
        <v>8</v>
      </c>
      <c r="M10" s="23" t="s">
        <v>8</v>
      </c>
    </row>
    <row r="11" spans="1:14" s="21" customFormat="1" x14ac:dyDescent="0.25">
      <c r="A11" s="22" t="s">
        <v>8</v>
      </c>
      <c r="B11" s="18" t="s">
        <v>15122</v>
      </c>
      <c r="C11" s="19" t="s">
        <v>16</v>
      </c>
      <c r="D11" s="19" t="s">
        <v>15448</v>
      </c>
      <c r="E11" s="19" t="s">
        <v>30805</v>
      </c>
      <c r="F11" s="19" t="s">
        <v>35974</v>
      </c>
      <c r="G11" s="18" t="str">
        <f>"35555"</f>
        <v>35555</v>
      </c>
      <c r="H11" s="19" t="s">
        <v>30805</v>
      </c>
      <c r="I11" s="20">
        <v>17.890999999999998</v>
      </c>
      <c r="J11" s="44" t="s">
        <v>8</v>
      </c>
      <c r="K11" s="23" t="s">
        <v>8</v>
      </c>
      <c r="L11" s="23" t="s">
        <v>8</v>
      </c>
      <c r="M11" s="23" t="s">
        <v>8</v>
      </c>
    </row>
    <row r="12" spans="1:14" s="21" customFormat="1" x14ac:dyDescent="0.25">
      <c r="A12" s="22" t="s">
        <v>8</v>
      </c>
      <c r="B12" s="18" t="s">
        <v>15123</v>
      </c>
      <c r="C12" s="19" t="s">
        <v>17</v>
      </c>
      <c r="D12" s="19" t="s">
        <v>15449</v>
      </c>
      <c r="E12" s="19" t="s">
        <v>30806</v>
      </c>
      <c r="F12" s="19" t="s">
        <v>35974</v>
      </c>
      <c r="G12" s="18" t="str">
        <f>"35042"</f>
        <v>35042</v>
      </c>
      <c r="H12" s="19" t="s">
        <v>36028</v>
      </c>
      <c r="I12" s="20">
        <v>18.751000000000001</v>
      </c>
      <c r="J12" s="44" t="s">
        <v>8</v>
      </c>
      <c r="K12" s="23" t="s">
        <v>8</v>
      </c>
      <c r="L12" s="23" t="s">
        <v>8</v>
      </c>
      <c r="M12" s="23" t="s">
        <v>8</v>
      </c>
    </row>
    <row r="13" spans="1:14" s="21" customFormat="1" x14ac:dyDescent="0.25">
      <c r="A13" s="22" t="s">
        <v>8</v>
      </c>
      <c r="B13" s="18" t="s">
        <v>15124</v>
      </c>
      <c r="C13" s="19" t="s">
        <v>18</v>
      </c>
      <c r="D13" s="19" t="s">
        <v>15450</v>
      </c>
      <c r="E13" s="19" t="s">
        <v>30807</v>
      </c>
      <c r="F13" s="19" t="s">
        <v>35974</v>
      </c>
      <c r="G13" s="18" t="str">
        <f>"35650"</f>
        <v>35650</v>
      </c>
      <c r="H13" s="19" t="s">
        <v>32568</v>
      </c>
      <c r="I13" s="20">
        <v>17.050999999999998</v>
      </c>
      <c r="J13" s="44" t="s">
        <v>8</v>
      </c>
      <c r="K13" s="23" t="s">
        <v>8</v>
      </c>
      <c r="L13" s="23" t="s">
        <v>8</v>
      </c>
      <c r="M13" s="23" t="s">
        <v>8</v>
      </c>
    </row>
    <row r="14" spans="1:14" s="21" customFormat="1" x14ac:dyDescent="0.25">
      <c r="A14" s="22" t="s">
        <v>8</v>
      </c>
      <c r="B14" s="18" t="s">
        <v>15125</v>
      </c>
      <c r="C14" s="19" t="s">
        <v>19</v>
      </c>
      <c r="D14" s="19" t="s">
        <v>15451</v>
      </c>
      <c r="E14" s="19" t="s">
        <v>30808</v>
      </c>
      <c r="F14" s="19" t="s">
        <v>35974</v>
      </c>
      <c r="G14" s="18" t="str">
        <f>"36027"</f>
        <v>36027</v>
      </c>
      <c r="H14" s="19" t="s">
        <v>36029</v>
      </c>
      <c r="I14" s="20">
        <v>17.946999999999999</v>
      </c>
      <c r="J14" s="44" t="s">
        <v>8</v>
      </c>
      <c r="K14" s="23" t="s">
        <v>8</v>
      </c>
      <c r="L14" s="23" t="s">
        <v>8</v>
      </c>
      <c r="M14" s="23" t="s">
        <v>8</v>
      </c>
    </row>
    <row r="15" spans="1:14" s="21" customFormat="1" x14ac:dyDescent="0.25">
      <c r="A15" s="22" t="s">
        <v>8</v>
      </c>
      <c r="B15" s="18" t="s">
        <v>15126</v>
      </c>
      <c r="C15" s="19" t="s">
        <v>20</v>
      </c>
      <c r="D15" s="19" t="s">
        <v>15452</v>
      </c>
      <c r="E15" s="19" t="s">
        <v>30809</v>
      </c>
      <c r="F15" s="19" t="s">
        <v>35974</v>
      </c>
      <c r="G15" s="18" t="str">
        <f>"36251"</f>
        <v>36251</v>
      </c>
      <c r="H15" s="19" t="s">
        <v>36030</v>
      </c>
      <c r="I15" s="20">
        <v>17.286000000000001</v>
      </c>
      <c r="J15" s="44" t="s">
        <v>8</v>
      </c>
      <c r="K15" s="23" t="s">
        <v>8</v>
      </c>
      <c r="L15" s="23" t="s">
        <v>8</v>
      </c>
      <c r="M15" s="23" t="s">
        <v>8</v>
      </c>
    </row>
    <row r="16" spans="1:14" s="21" customFormat="1" x14ac:dyDescent="0.25">
      <c r="A16" s="22" t="s">
        <v>8</v>
      </c>
      <c r="B16" s="18" t="s">
        <v>15127</v>
      </c>
      <c r="C16" s="19" t="s">
        <v>21</v>
      </c>
      <c r="D16" s="19" t="s">
        <v>15453</v>
      </c>
      <c r="E16" s="19" t="s">
        <v>30810</v>
      </c>
      <c r="F16" s="19" t="s">
        <v>35974</v>
      </c>
      <c r="G16" s="18" t="str">
        <f>"35594"</f>
        <v>35594</v>
      </c>
      <c r="H16" s="19" t="s">
        <v>30850</v>
      </c>
      <c r="I16" s="20">
        <v>17.396000000000001</v>
      </c>
      <c r="J16" s="44" t="s">
        <v>8</v>
      </c>
      <c r="K16" s="23" t="s">
        <v>8</v>
      </c>
      <c r="L16" s="23" t="s">
        <v>8</v>
      </c>
      <c r="M16" s="23" t="s">
        <v>8</v>
      </c>
    </row>
    <row r="17" spans="1:13" s="21" customFormat="1" x14ac:dyDescent="0.25">
      <c r="A17" s="22" t="s">
        <v>8</v>
      </c>
      <c r="B17" s="18" t="s">
        <v>15128</v>
      </c>
      <c r="C17" s="19" t="s">
        <v>22</v>
      </c>
      <c r="D17" s="19" t="s">
        <v>15454</v>
      </c>
      <c r="E17" s="19" t="s">
        <v>30811</v>
      </c>
      <c r="F17" s="19" t="s">
        <v>35974</v>
      </c>
      <c r="G17" s="18" t="str">
        <f>"36744"</f>
        <v>36744</v>
      </c>
      <c r="H17" s="19" t="s">
        <v>36031</v>
      </c>
      <c r="I17" s="20">
        <v>18.402999999999999</v>
      </c>
      <c r="J17" s="44" t="s">
        <v>8</v>
      </c>
      <c r="K17" s="23" t="s">
        <v>8</v>
      </c>
      <c r="L17" s="23" t="s">
        <v>8</v>
      </c>
      <c r="M17" s="23" t="s">
        <v>8</v>
      </c>
    </row>
    <row r="18" spans="1:13" s="21" customFormat="1" x14ac:dyDescent="0.25">
      <c r="A18" s="22" t="s">
        <v>8</v>
      </c>
      <c r="B18" s="18" t="s">
        <v>15129</v>
      </c>
      <c r="C18" s="19" t="s">
        <v>23</v>
      </c>
      <c r="D18" s="19" t="s">
        <v>15455</v>
      </c>
      <c r="E18" s="19" t="s">
        <v>30812</v>
      </c>
      <c r="F18" s="19" t="s">
        <v>35974</v>
      </c>
      <c r="G18" s="18" t="str">
        <f>"35447"</f>
        <v>35447</v>
      </c>
      <c r="H18" s="19" t="s">
        <v>35058</v>
      </c>
      <c r="I18" s="20">
        <v>21.292999999999999</v>
      </c>
      <c r="J18" s="44" t="s">
        <v>8</v>
      </c>
      <c r="K18" s="23" t="s">
        <v>8</v>
      </c>
      <c r="L18" s="23" t="s">
        <v>8</v>
      </c>
      <c r="M18" s="23" t="s">
        <v>8</v>
      </c>
    </row>
    <row r="19" spans="1:13" s="21" customFormat="1" x14ac:dyDescent="0.25">
      <c r="A19" s="22" t="s">
        <v>8</v>
      </c>
      <c r="B19" s="18" t="s">
        <v>15130</v>
      </c>
      <c r="C19" s="19" t="s">
        <v>24</v>
      </c>
      <c r="D19" s="19" t="s">
        <v>15456</v>
      </c>
      <c r="E19" s="19" t="s">
        <v>30813</v>
      </c>
      <c r="F19" s="19" t="s">
        <v>35974</v>
      </c>
      <c r="G19" s="18" t="str">
        <f>"36732"</f>
        <v>36732</v>
      </c>
      <c r="H19" s="19" t="s">
        <v>32186</v>
      </c>
      <c r="I19" s="20">
        <v>17.510999999999999</v>
      </c>
      <c r="J19" s="44" t="s">
        <v>8</v>
      </c>
      <c r="K19" s="23" t="s">
        <v>8</v>
      </c>
      <c r="L19" s="23" t="s">
        <v>8</v>
      </c>
      <c r="M19" s="23" t="s">
        <v>8</v>
      </c>
    </row>
    <row r="20" spans="1:13" s="21" customFormat="1" x14ac:dyDescent="0.25">
      <c r="A20" s="22" t="s">
        <v>8</v>
      </c>
      <c r="B20" s="18" t="s">
        <v>15131</v>
      </c>
      <c r="C20" s="19" t="s">
        <v>25</v>
      </c>
      <c r="D20" s="19" t="s">
        <v>15457</v>
      </c>
      <c r="E20" s="19" t="s">
        <v>30814</v>
      </c>
      <c r="F20" s="19" t="s">
        <v>35974</v>
      </c>
      <c r="G20" s="18" t="str">
        <f>"35565"</f>
        <v>35565</v>
      </c>
      <c r="H20" s="19" t="s">
        <v>36032</v>
      </c>
      <c r="I20" s="20">
        <v>17.631</v>
      </c>
      <c r="J20" s="44" t="s">
        <v>8</v>
      </c>
      <c r="K20" s="23" t="s">
        <v>8</v>
      </c>
      <c r="L20" s="23" t="s">
        <v>8</v>
      </c>
      <c r="M20" s="23" t="s">
        <v>8</v>
      </c>
    </row>
    <row r="21" spans="1:13" s="21" customFormat="1" x14ac:dyDescent="0.25">
      <c r="A21" s="22" t="s">
        <v>8</v>
      </c>
      <c r="B21" s="18" t="s">
        <v>15132</v>
      </c>
      <c r="C21" s="19" t="s">
        <v>26</v>
      </c>
      <c r="D21" s="19" t="s">
        <v>15458</v>
      </c>
      <c r="E21" s="19" t="s">
        <v>30815</v>
      </c>
      <c r="F21" s="19" t="s">
        <v>35974</v>
      </c>
      <c r="G21" s="18" t="str">
        <f>"36081"</f>
        <v>36081</v>
      </c>
      <c r="H21" s="19" t="s">
        <v>36033</v>
      </c>
      <c r="I21" s="20">
        <v>19.298999999999999</v>
      </c>
      <c r="J21" s="44" t="s">
        <v>8</v>
      </c>
      <c r="K21" s="23" t="s">
        <v>8</v>
      </c>
      <c r="L21" s="23" t="s">
        <v>8</v>
      </c>
      <c r="M21" s="23" t="s">
        <v>8</v>
      </c>
    </row>
    <row r="22" spans="1:13" s="21" customFormat="1" x14ac:dyDescent="0.25">
      <c r="A22" s="22" t="s">
        <v>8</v>
      </c>
      <c r="B22" s="18" t="s">
        <v>15133</v>
      </c>
      <c r="C22" s="19" t="s">
        <v>27</v>
      </c>
      <c r="D22" s="19" t="s">
        <v>15459</v>
      </c>
      <c r="E22" s="19" t="s">
        <v>30816</v>
      </c>
      <c r="F22" s="19" t="s">
        <v>35974</v>
      </c>
      <c r="G22" s="18" t="str">
        <f>"36545"</f>
        <v>36545</v>
      </c>
      <c r="H22" s="19" t="s">
        <v>36034</v>
      </c>
      <c r="I22" s="20">
        <v>17.382000000000001</v>
      </c>
      <c r="J22" s="44" t="s">
        <v>8</v>
      </c>
      <c r="K22" s="23" t="s">
        <v>8</v>
      </c>
      <c r="L22" s="23" t="s">
        <v>8</v>
      </c>
      <c r="M22" s="23" t="s">
        <v>8</v>
      </c>
    </row>
    <row r="23" spans="1:13" s="21" customFormat="1" x14ac:dyDescent="0.25">
      <c r="A23" s="22" t="s">
        <v>8</v>
      </c>
      <c r="B23" s="18" t="s">
        <v>15134</v>
      </c>
      <c r="C23" s="19" t="s">
        <v>28</v>
      </c>
      <c r="D23" s="19" t="s">
        <v>15460</v>
      </c>
      <c r="E23" s="19" t="s">
        <v>30817</v>
      </c>
      <c r="F23" s="19" t="s">
        <v>35974</v>
      </c>
      <c r="G23" s="18" t="str">
        <f>"36037"</f>
        <v>36037</v>
      </c>
      <c r="H23" s="19" t="s">
        <v>30876</v>
      </c>
      <c r="I23" s="20">
        <v>18.513999999999999</v>
      </c>
      <c r="J23" s="44" t="s">
        <v>8</v>
      </c>
      <c r="K23" s="23" t="s">
        <v>8</v>
      </c>
      <c r="L23" s="23" t="s">
        <v>8</v>
      </c>
      <c r="M23" s="23" t="s">
        <v>8</v>
      </c>
    </row>
    <row r="24" spans="1:13" s="21" customFormat="1" x14ac:dyDescent="0.25">
      <c r="A24" s="22" t="s">
        <v>8</v>
      </c>
      <c r="B24" s="18" t="s">
        <v>15135</v>
      </c>
      <c r="C24" s="19" t="s">
        <v>29</v>
      </c>
      <c r="D24" s="19" t="s">
        <v>15461</v>
      </c>
      <c r="E24" s="19" t="s">
        <v>30818</v>
      </c>
      <c r="F24" s="19" t="s">
        <v>35974</v>
      </c>
      <c r="G24" s="18" t="str">
        <f>"35653"</f>
        <v>35653</v>
      </c>
      <c r="H24" s="19" t="s">
        <v>5</v>
      </c>
      <c r="I24" s="20">
        <v>22.858000000000001</v>
      </c>
      <c r="J24" s="44" t="s">
        <v>8</v>
      </c>
      <c r="K24" s="23" t="s">
        <v>8</v>
      </c>
      <c r="L24" s="23" t="s">
        <v>8</v>
      </c>
      <c r="M24" s="23" t="s">
        <v>8</v>
      </c>
    </row>
    <row r="25" spans="1:13" s="21" customFormat="1" x14ac:dyDescent="0.25">
      <c r="A25" s="22" t="s">
        <v>8</v>
      </c>
      <c r="B25" s="18" t="s">
        <v>15136</v>
      </c>
      <c r="C25" s="19" t="s">
        <v>30</v>
      </c>
      <c r="D25" s="19" t="s">
        <v>15462</v>
      </c>
      <c r="E25" s="19" t="s">
        <v>30819</v>
      </c>
      <c r="F25" s="19" t="s">
        <v>35974</v>
      </c>
      <c r="G25" s="18" t="str">
        <f>"36502"</f>
        <v>36502</v>
      </c>
      <c r="H25" s="19" t="s">
        <v>36035</v>
      </c>
      <c r="I25" s="20">
        <v>20.367999999999999</v>
      </c>
      <c r="J25" s="44" t="s">
        <v>8</v>
      </c>
      <c r="K25" s="23" t="s">
        <v>8</v>
      </c>
      <c r="L25" s="23" t="s">
        <v>8</v>
      </c>
      <c r="M25" s="23" t="s">
        <v>8</v>
      </c>
    </row>
    <row r="26" spans="1:13" s="21" customFormat="1" x14ac:dyDescent="0.25">
      <c r="A26" s="22" t="s">
        <v>8</v>
      </c>
      <c r="B26" s="18" t="str">
        <f>"015009"</f>
        <v>015009</v>
      </c>
      <c r="C26" s="19" t="s">
        <v>31</v>
      </c>
      <c r="D26" s="19" t="s">
        <v>15463</v>
      </c>
      <c r="E26" s="19" t="s">
        <v>30818</v>
      </c>
      <c r="F26" s="19" t="s">
        <v>35974</v>
      </c>
      <c r="G26" s="18" t="str">
        <f>"35653"</f>
        <v>35653</v>
      </c>
      <c r="H26" s="19" t="s">
        <v>5</v>
      </c>
      <c r="I26" s="20">
        <v>20.803000000000001</v>
      </c>
      <c r="J26" s="44" t="s">
        <v>8</v>
      </c>
      <c r="K26" s="23" t="s">
        <v>8</v>
      </c>
      <c r="L26" s="23" t="s">
        <v>8</v>
      </c>
      <c r="M26" s="23" t="s">
        <v>8</v>
      </c>
    </row>
    <row r="27" spans="1:13" s="21" customFormat="1" x14ac:dyDescent="0.25">
      <c r="A27" s="22" t="s">
        <v>8</v>
      </c>
      <c r="B27" s="18" t="str">
        <f>"015010"</f>
        <v>015010</v>
      </c>
      <c r="C27" s="19" t="s">
        <v>32</v>
      </c>
      <c r="D27" s="19" t="s">
        <v>15464</v>
      </c>
      <c r="E27" s="19" t="s">
        <v>30820</v>
      </c>
      <c r="F27" s="19" t="s">
        <v>35974</v>
      </c>
      <c r="G27" s="18" t="str">
        <f>"35150"</f>
        <v>35150</v>
      </c>
      <c r="H27" s="19" t="s">
        <v>30874</v>
      </c>
      <c r="I27" s="20">
        <v>21.233000000000001</v>
      </c>
      <c r="J27" s="44" t="s">
        <v>8</v>
      </c>
      <c r="K27" s="23" t="s">
        <v>8</v>
      </c>
      <c r="L27" s="23" t="s">
        <v>8</v>
      </c>
      <c r="M27" s="23" t="s">
        <v>8</v>
      </c>
    </row>
    <row r="28" spans="1:13" s="21" customFormat="1" x14ac:dyDescent="0.25">
      <c r="A28" s="22" t="s">
        <v>8</v>
      </c>
      <c r="B28" s="18" t="str">
        <f>"015012"</f>
        <v>015012</v>
      </c>
      <c r="C28" s="19" t="s">
        <v>33</v>
      </c>
      <c r="D28" s="19" t="s">
        <v>15465</v>
      </c>
      <c r="E28" s="19" t="s">
        <v>30821</v>
      </c>
      <c r="F28" s="19" t="s">
        <v>35974</v>
      </c>
      <c r="G28" s="18" t="str">
        <f>"35768"</f>
        <v>35768</v>
      </c>
      <c r="H28" s="19" t="s">
        <v>30816</v>
      </c>
      <c r="I28" s="20">
        <v>23.114999999999998</v>
      </c>
      <c r="J28" s="44" t="s">
        <v>8</v>
      </c>
      <c r="K28" s="23" t="s">
        <v>8</v>
      </c>
      <c r="L28" s="23" t="s">
        <v>8</v>
      </c>
      <c r="M28" s="23" t="s">
        <v>8</v>
      </c>
    </row>
    <row r="29" spans="1:13" s="21" customFormat="1" x14ac:dyDescent="0.25">
      <c r="A29" s="22" t="s">
        <v>8</v>
      </c>
      <c r="B29" s="18" t="str">
        <f>"015014"</f>
        <v>015014</v>
      </c>
      <c r="C29" s="19" t="s">
        <v>34</v>
      </c>
      <c r="D29" s="19" t="s">
        <v>15466</v>
      </c>
      <c r="E29" s="19" t="s">
        <v>30822</v>
      </c>
      <c r="F29" s="19" t="s">
        <v>35974</v>
      </c>
      <c r="G29" s="18" t="str">
        <f>"35206"</f>
        <v>35206</v>
      </c>
      <c r="H29" s="19" t="s">
        <v>32391</v>
      </c>
      <c r="I29" s="20">
        <v>19.920999999999999</v>
      </c>
      <c r="J29" s="44" t="s">
        <v>8</v>
      </c>
      <c r="K29" s="23" t="s">
        <v>8</v>
      </c>
      <c r="L29" s="23" t="s">
        <v>8</v>
      </c>
      <c r="M29" s="23" t="s">
        <v>8</v>
      </c>
    </row>
    <row r="30" spans="1:13" s="21" customFormat="1" x14ac:dyDescent="0.25">
      <c r="A30" s="22" t="s">
        <v>8</v>
      </c>
      <c r="B30" s="18" t="str">
        <f>"015015"</f>
        <v>015015</v>
      </c>
      <c r="C30" s="19" t="s">
        <v>35</v>
      </c>
      <c r="D30" s="19" t="s">
        <v>15467</v>
      </c>
      <c r="E30" s="19" t="s">
        <v>30823</v>
      </c>
      <c r="F30" s="19" t="s">
        <v>35974</v>
      </c>
      <c r="G30" s="18" t="str">
        <f>"35111"</f>
        <v>35111</v>
      </c>
      <c r="H30" s="19" t="s">
        <v>32391</v>
      </c>
      <c r="I30" s="20">
        <v>18.036999999999999</v>
      </c>
      <c r="J30" s="44" t="s">
        <v>8</v>
      </c>
      <c r="K30" s="23" t="s">
        <v>8</v>
      </c>
      <c r="L30" s="23" t="s">
        <v>8</v>
      </c>
      <c r="M30" s="23" t="s">
        <v>8</v>
      </c>
    </row>
    <row r="31" spans="1:13" s="21" customFormat="1" x14ac:dyDescent="0.25">
      <c r="A31" s="22" t="s">
        <v>8</v>
      </c>
      <c r="B31" s="18" t="str">
        <f>"015016"</f>
        <v>015016</v>
      </c>
      <c r="C31" s="19" t="s">
        <v>36</v>
      </c>
      <c r="D31" s="19" t="s">
        <v>15468</v>
      </c>
      <c r="E31" s="19" t="s">
        <v>30824</v>
      </c>
      <c r="F31" s="19" t="s">
        <v>35974</v>
      </c>
      <c r="G31" s="18" t="str">
        <f>"35611"</f>
        <v>35611</v>
      </c>
      <c r="H31" s="19" t="s">
        <v>35216</v>
      </c>
      <c r="I31" s="20">
        <v>17.972999999999999</v>
      </c>
      <c r="J31" s="44" t="s">
        <v>8</v>
      </c>
      <c r="K31" s="23" t="s">
        <v>8</v>
      </c>
      <c r="L31" s="23" t="s">
        <v>8</v>
      </c>
      <c r="M31" s="23" t="s">
        <v>8</v>
      </c>
    </row>
    <row r="32" spans="1:13" s="21" customFormat="1" x14ac:dyDescent="0.25">
      <c r="A32" s="22" t="s">
        <v>8</v>
      </c>
      <c r="B32" s="18" t="str">
        <f>"015019"</f>
        <v>015019</v>
      </c>
      <c r="C32" s="19" t="s">
        <v>37</v>
      </c>
      <c r="D32" s="19" t="s">
        <v>15469</v>
      </c>
      <c r="E32" s="19" t="s">
        <v>30825</v>
      </c>
      <c r="F32" s="19" t="s">
        <v>35974</v>
      </c>
      <c r="G32" s="18" t="str">
        <f>"36025"</f>
        <v>36025</v>
      </c>
      <c r="H32" s="19" t="s">
        <v>30825</v>
      </c>
      <c r="I32" s="20">
        <v>17.706</v>
      </c>
      <c r="J32" s="44" t="s">
        <v>8</v>
      </c>
      <c r="K32" s="23" t="s">
        <v>8</v>
      </c>
      <c r="L32" s="23" t="s">
        <v>8</v>
      </c>
      <c r="M32" s="23" t="s">
        <v>8</v>
      </c>
    </row>
    <row r="33" spans="1:13" s="21" customFormat="1" x14ac:dyDescent="0.25">
      <c r="A33" s="22" t="s">
        <v>8</v>
      </c>
      <c r="B33" s="18" t="str">
        <f>"015023"</f>
        <v>015023</v>
      </c>
      <c r="C33" s="19" t="s">
        <v>38</v>
      </c>
      <c r="D33" s="19" t="s">
        <v>15470</v>
      </c>
      <c r="E33" s="19" t="s">
        <v>30826</v>
      </c>
      <c r="F33" s="19" t="s">
        <v>35974</v>
      </c>
      <c r="G33" s="18" t="str">
        <f>"35045"</f>
        <v>35045</v>
      </c>
      <c r="H33" s="19" t="s">
        <v>35579</v>
      </c>
      <c r="I33" s="20">
        <v>18.239000000000001</v>
      </c>
      <c r="J33" s="44" t="s">
        <v>8</v>
      </c>
      <c r="K33" s="23" t="s">
        <v>8</v>
      </c>
      <c r="L33" s="23" t="s">
        <v>8</v>
      </c>
      <c r="M33" s="23" t="s">
        <v>8</v>
      </c>
    </row>
    <row r="34" spans="1:13" s="21" customFormat="1" x14ac:dyDescent="0.25">
      <c r="A34" s="22" t="s">
        <v>8</v>
      </c>
      <c r="B34" s="18" t="str">
        <f>"015024"</f>
        <v>015024</v>
      </c>
      <c r="C34" s="19" t="s">
        <v>39</v>
      </c>
      <c r="D34" s="19" t="s">
        <v>15471</v>
      </c>
      <c r="E34" s="19" t="s">
        <v>30824</v>
      </c>
      <c r="F34" s="19" t="s">
        <v>35974</v>
      </c>
      <c r="G34" s="18" t="str">
        <f>"35611"</f>
        <v>35611</v>
      </c>
      <c r="H34" s="19" t="s">
        <v>35216</v>
      </c>
      <c r="I34" s="20">
        <v>17.789000000000001</v>
      </c>
      <c r="J34" s="44" t="s">
        <v>8</v>
      </c>
      <c r="K34" s="23" t="s">
        <v>8</v>
      </c>
      <c r="L34" s="23" t="s">
        <v>8</v>
      </c>
      <c r="M34" s="23" t="s">
        <v>8</v>
      </c>
    </row>
    <row r="35" spans="1:13" s="21" customFormat="1" x14ac:dyDescent="0.25">
      <c r="A35" s="22" t="s">
        <v>8</v>
      </c>
      <c r="B35" s="18" t="str">
        <f>"015027"</f>
        <v>015027</v>
      </c>
      <c r="C35" s="19" t="s">
        <v>40</v>
      </c>
      <c r="D35" s="19" t="s">
        <v>15472</v>
      </c>
      <c r="E35" s="19" t="s">
        <v>30827</v>
      </c>
      <c r="F35" s="19" t="s">
        <v>35974</v>
      </c>
      <c r="G35" s="18" t="str">
        <f>"36092"</f>
        <v>36092</v>
      </c>
      <c r="H35" s="19" t="s">
        <v>30825</v>
      </c>
      <c r="I35" s="20">
        <v>19.95</v>
      </c>
      <c r="J35" s="44" t="s">
        <v>8</v>
      </c>
      <c r="K35" s="23" t="s">
        <v>8</v>
      </c>
      <c r="L35" s="23" t="s">
        <v>8</v>
      </c>
      <c r="M35" s="23" t="s">
        <v>8</v>
      </c>
    </row>
    <row r="36" spans="1:13" s="21" customFormat="1" x14ac:dyDescent="0.25">
      <c r="A36" s="22" t="s">
        <v>8</v>
      </c>
      <c r="B36" s="18" t="str">
        <f>"015028"</f>
        <v>015028</v>
      </c>
      <c r="C36" s="19" t="s">
        <v>41</v>
      </c>
      <c r="D36" s="19" t="s">
        <v>15473</v>
      </c>
      <c r="E36" s="19" t="s">
        <v>30828</v>
      </c>
      <c r="F36" s="19" t="s">
        <v>35974</v>
      </c>
      <c r="G36" s="18" t="str">
        <f>"35674"</f>
        <v>35674</v>
      </c>
      <c r="H36" s="19" t="s">
        <v>34722</v>
      </c>
      <c r="I36" s="20">
        <v>18.920000000000002</v>
      </c>
      <c r="J36" s="44" t="s">
        <v>8</v>
      </c>
      <c r="K36" s="23" t="s">
        <v>8</v>
      </c>
      <c r="L36" s="23" t="s">
        <v>8</v>
      </c>
      <c r="M36" s="23" t="s">
        <v>8</v>
      </c>
    </row>
    <row r="37" spans="1:13" s="21" customFormat="1" x14ac:dyDescent="0.25">
      <c r="A37" s="22" t="s">
        <v>8</v>
      </c>
      <c r="B37" s="18" t="str">
        <f>"015031"</f>
        <v>015031</v>
      </c>
      <c r="C37" s="19" t="s">
        <v>42</v>
      </c>
      <c r="D37" s="19" t="s">
        <v>15474</v>
      </c>
      <c r="E37" s="19" t="s">
        <v>30829</v>
      </c>
      <c r="F37" s="19" t="s">
        <v>35974</v>
      </c>
      <c r="G37" s="18" t="str">
        <f>"35631"</f>
        <v>35631</v>
      </c>
      <c r="H37" s="19" t="s">
        <v>36036</v>
      </c>
      <c r="I37" s="20">
        <v>18.936</v>
      </c>
      <c r="J37" s="44" t="s">
        <v>8</v>
      </c>
      <c r="K37" s="23" t="s">
        <v>8</v>
      </c>
      <c r="L37" s="23" t="s">
        <v>8</v>
      </c>
      <c r="M37" s="23" t="s">
        <v>8</v>
      </c>
    </row>
    <row r="38" spans="1:13" s="21" customFormat="1" x14ac:dyDescent="0.25">
      <c r="A38" s="22" t="s">
        <v>8</v>
      </c>
      <c r="B38" s="18" t="str">
        <f>"015032"</f>
        <v>015032</v>
      </c>
      <c r="C38" s="19" t="s">
        <v>43</v>
      </c>
      <c r="D38" s="19" t="s">
        <v>15475</v>
      </c>
      <c r="E38" s="19" t="s">
        <v>30830</v>
      </c>
      <c r="F38" s="19" t="s">
        <v>35974</v>
      </c>
      <c r="G38" s="18" t="str">
        <f>"36535"</f>
        <v>36535</v>
      </c>
      <c r="H38" s="19" t="s">
        <v>31758</v>
      </c>
      <c r="I38" s="20">
        <v>21.077000000000002</v>
      </c>
      <c r="J38" s="44" t="s">
        <v>8</v>
      </c>
      <c r="K38" s="23" t="s">
        <v>8</v>
      </c>
      <c r="L38" s="23" t="s">
        <v>8</v>
      </c>
      <c r="M38" s="23" t="s">
        <v>8</v>
      </c>
    </row>
    <row r="39" spans="1:13" s="21" customFormat="1" x14ac:dyDescent="0.25">
      <c r="A39" s="22" t="s">
        <v>8</v>
      </c>
      <c r="B39" s="18" t="str">
        <f>"015034"</f>
        <v>015034</v>
      </c>
      <c r="C39" s="19" t="s">
        <v>44</v>
      </c>
      <c r="D39" s="19" t="s">
        <v>15476</v>
      </c>
      <c r="E39" s="19" t="s">
        <v>30831</v>
      </c>
      <c r="F39" s="19" t="s">
        <v>35974</v>
      </c>
      <c r="G39" s="18" t="str">
        <f>"35473"</f>
        <v>35473</v>
      </c>
      <c r="H39" s="19" t="s">
        <v>30908</v>
      </c>
      <c r="I39" s="20">
        <v>22.161999999999999</v>
      </c>
      <c r="J39" s="44" t="s">
        <v>8</v>
      </c>
      <c r="K39" s="23" t="s">
        <v>8</v>
      </c>
      <c r="L39" s="23" t="s">
        <v>8</v>
      </c>
      <c r="M39" s="23" t="s">
        <v>8</v>
      </c>
    </row>
    <row r="40" spans="1:13" s="21" customFormat="1" x14ac:dyDescent="0.25">
      <c r="A40" s="22" t="s">
        <v>8</v>
      </c>
      <c r="B40" s="18" t="str">
        <f>"015035"</f>
        <v>015035</v>
      </c>
      <c r="C40" s="19" t="s">
        <v>45</v>
      </c>
      <c r="D40" s="19" t="s">
        <v>15477</v>
      </c>
      <c r="E40" s="19" t="s">
        <v>30832</v>
      </c>
      <c r="F40" s="19" t="s">
        <v>35974</v>
      </c>
      <c r="G40" s="18" t="str">
        <f>"36427"</f>
        <v>36427</v>
      </c>
      <c r="H40" s="19" t="s">
        <v>36035</v>
      </c>
      <c r="I40" s="20">
        <v>19.373000000000001</v>
      </c>
      <c r="J40" s="44" t="s">
        <v>8</v>
      </c>
      <c r="K40" s="23" t="s">
        <v>8</v>
      </c>
      <c r="L40" s="23" t="s">
        <v>8</v>
      </c>
      <c r="M40" s="23" t="s">
        <v>8</v>
      </c>
    </row>
    <row r="41" spans="1:13" s="21" customFormat="1" x14ac:dyDescent="0.25">
      <c r="A41" s="22" t="s">
        <v>8</v>
      </c>
      <c r="B41" s="18" t="str">
        <f>"015037"</f>
        <v>015037</v>
      </c>
      <c r="C41" s="19" t="s">
        <v>46</v>
      </c>
      <c r="D41" s="19" t="s">
        <v>15478</v>
      </c>
      <c r="E41" s="19" t="s">
        <v>30833</v>
      </c>
      <c r="F41" s="19" t="s">
        <v>35974</v>
      </c>
      <c r="G41" s="18" t="str">
        <f>"36116"</f>
        <v>36116</v>
      </c>
      <c r="H41" s="19" t="s">
        <v>30833</v>
      </c>
      <c r="I41" s="20">
        <v>16.52</v>
      </c>
      <c r="J41" s="44" t="s">
        <v>8</v>
      </c>
      <c r="K41" s="23" t="s">
        <v>8</v>
      </c>
      <c r="L41" s="23" t="s">
        <v>8</v>
      </c>
      <c r="M41" s="23" t="s">
        <v>8</v>
      </c>
    </row>
    <row r="42" spans="1:13" s="21" customFormat="1" x14ac:dyDescent="0.25">
      <c r="A42" s="22" t="s">
        <v>8</v>
      </c>
      <c r="B42" s="18" t="str">
        <f>"015040"</f>
        <v>015040</v>
      </c>
      <c r="C42" s="19" t="s">
        <v>47</v>
      </c>
      <c r="D42" s="19" t="s">
        <v>15479</v>
      </c>
      <c r="E42" s="19" t="s">
        <v>30833</v>
      </c>
      <c r="F42" s="19" t="s">
        <v>35974</v>
      </c>
      <c r="G42" s="18" t="str">
        <f>"36106"</f>
        <v>36106</v>
      </c>
      <c r="H42" s="19" t="s">
        <v>30833</v>
      </c>
      <c r="I42" s="20">
        <v>18.134</v>
      </c>
      <c r="J42" s="44" t="s">
        <v>8</v>
      </c>
      <c r="K42" s="23" t="s">
        <v>8</v>
      </c>
      <c r="L42" s="23" t="s">
        <v>8</v>
      </c>
      <c r="M42" s="23" t="s">
        <v>8</v>
      </c>
    </row>
    <row r="43" spans="1:13" s="21" customFormat="1" x14ac:dyDescent="0.25">
      <c r="A43" s="22" t="s">
        <v>8</v>
      </c>
      <c r="B43" s="18" t="str">
        <f>"015042"</f>
        <v>015042</v>
      </c>
      <c r="C43" s="19" t="s">
        <v>48</v>
      </c>
      <c r="D43" s="19" t="s">
        <v>15480</v>
      </c>
      <c r="E43" s="19" t="s">
        <v>30834</v>
      </c>
      <c r="F43" s="19" t="s">
        <v>35974</v>
      </c>
      <c r="G43" s="18" t="str">
        <f>"36925"</f>
        <v>36925</v>
      </c>
      <c r="H43" s="19" t="s">
        <v>35065</v>
      </c>
      <c r="I43" s="20">
        <v>19.623999999999999</v>
      </c>
      <c r="J43" s="44" t="s">
        <v>8</v>
      </c>
      <c r="K43" s="23" t="s">
        <v>8</v>
      </c>
      <c r="L43" s="23" t="s">
        <v>8</v>
      </c>
      <c r="M43" s="23" t="s">
        <v>8</v>
      </c>
    </row>
    <row r="44" spans="1:13" s="21" customFormat="1" x14ac:dyDescent="0.25">
      <c r="A44" s="22" t="s">
        <v>8</v>
      </c>
      <c r="B44" s="18" t="str">
        <f>"015043"</f>
        <v>015043</v>
      </c>
      <c r="C44" s="19" t="s">
        <v>49</v>
      </c>
      <c r="D44" s="19" t="s">
        <v>15481</v>
      </c>
      <c r="E44" s="19" t="s">
        <v>30833</v>
      </c>
      <c r="F44" s="19" t="s">
        <v>35974</v>
      </c>
      <c r="G44" s="18" t="str">
        <f>"36116"</f>
        <v>36116</v>
      </c>
      <c r="H44" s="19" t="s">
        <v>30833</v>
      </c>
      <c r="I44" s="20">
        <v>19.777999999999999</v>
      </c>
      <c r="J44" s="44" t="s">
        <v>8</v>
      </c>
      <c r="K44" s="23" t="s">
        <v>8</v>
      </c>
      <c r="L44" s="23" t="s">
        <v>8</v>
      </c>
      <c r="M44" s="23" t="s">
        <v>8</v>
      </c>
    </row>
    <row r="45" spans="1:13" s="21" customFormat="1" x14ac:dyDescent="0.25">
      <c r="A45" s="22" t="s">
        <v>8</v>
      </c>
      <c r="B45" s="18" t="str">
        <f>"015044"</f>
        <v>015044</v>
      </c>
      <c r="C45" s="19" t="s">
        <v>50</v>
      </c>
      <c r="D45" s="19" t="s">
        <v>15482</v>
      </c>
      <c r="E45" s="19" t="s">
        <v>30835</v>
      </c>
      <c r="F45" s="19" t="s">
        <v>35974</v>
      </c>
      <c r="G45" s="18" t="str">
        <f>"35127"</f>
        <v>35127</v>
      </c>
      <c r="H45" s="19" t="s">
        <v>32391</v>
      </c>
      <c r="I45" s="20">
        <v>19.399000000000001</v>
      </c>
      <c r="J45" s="44" t="s">
        <v>8</v>
      </c>
      <c r="K45" s="23" t="s">
        <v>8</v>
      </c>
      <c r="L45" s="23" t="s">
        <v>8</v>
      </c>
      <c r="M45" s="23" t="s">
        <v>8</v>
      </c>
    </row>
    <row r="46" spans="1:13" s="21" customFormat="1" x14ac:dyDescent="0.25">
      <c r="A46" s="22" t="s">
        <v>8</v>
      </c>
      <c r="B46" s="18" t="str">
        <f>"015045"</f>
        <v>015045</v>
      </c>
      <c r="C46" s="19" t="s">
        <v>51</v>
      </c>
      <c r="D46" s="19" t="s">
        <v>15483</v>
      </c>
      <c r="E46" s="19" t="s">
        <v>30836</v>
      </c>
      <c r="F46" s="19" t="s">
        <v>35974</v>
      </c>
      <c r="G46" s="18" t="str">
        <f>"36854"</f>
        <v>36854</v>
      </c>
      <c r="H46" s="19" t="s">
        <v>36037</v>
      </c>
      <c r="I46" s="20">
        <v>18.614000000000001</v>
      </c>
      <c r="J46" s="44" t="s">
        <v>8</v>
      </c>
      <c r="K46" s="23" t="s">
        <v>8</v>
      </c>
      <c r="L46" s="23" t="s">
        <v>8</v>
      </c>
      <c r="M46" s="23" t="s">
        <v>8</v>
      </c>
    </row>
    <row r="47" spans="1:13" s="21" customFormat="1" x14ac:dyDescent="0.25">
      <c r="A47" s="22" t="s">
        <v>8</v>
      </c>
      <c r="B47" s="18" t="str">
        <f>"015047"</f>
        <v>015047</v>
      </c>
      <c r="C47" s="19" t="s">
        <v>52</v>
      </c>
      <c r="D47" s="19" t="s">
        <v>15484</v>
      </c>
      <c r="E47" s="19" t="s">
        <v>30822</v>
      </c>
      <c r="F47" s="19" t="s">
        <v>35974</v>
      </c>
      <c r="G47" s="18" t="str">
        <f>"35234"</f>
        <v>35234</v>
      </c>
      <c r="H47" s="19" t="s">
        <v>32391</v>
      </c>
      <c r="I47" s="20">
        <v>18.436</v>
      </c>
      <c r="J47" s="44" t="s">
        <v>8</v>
      </c>
      <c r="K47" s="23" t="s">
        <v>8</v>
      </c>
      <c r="L47" s="23" t="s">
        <v>8</v>
      </c>
      <c r="M47" s="23" t="s">
        <v>8</v>
      </c>
    </row>
    <row r="48" spans="1:13" s="21" customFormat="1" x14ac:dyDescent="0.25">
      <c r="A48" s="22" t="s">
        <v>8</v>
      </c>
      <c r="B48" s="18" t="str">
        <f>"015048"</f>
        <v>015048</v>
      </c>
      <c r="C48" s="19" t="s">
        <v>53</v>
      </c>
      <c r="D48" s="19" t="s">
        <v>15485</v>
      </c>
      <c r="E48" s="19" t="s">
        <v>30837</v>
      </c>
      <c r="F48" s="19" t="s">
        <v>35974</v>
      </c>
      <c r="G48" s="18" t="str">
        <f>"35055"</f>
        <v>35055</v>
      </c>
      <c r="H48" s="19" t="s">
        <v>30837</v>
      </c>
      <c r="I48" s="20">
        <v>18.068999999999999</v>
      </c>
      <c r="J48" s="44" t="s">
        <v>8</v>
      </c>
      <c r="K48" s="23" t="s">
        <v>8</v>
      </c>
      <c r="L48" s="23" t="s">
        <v>8</v>
      </c>
      <c r="M48" s="23" t="s">
        <v>8</v>
      </c>
    </row>
    <row r="49" spans="1:13" s="21" customFormat="1" x14ac:dyDescent="0.25">
      <c r="A49" s="22" t="s">
        <v>8</v>
      </c>
      <c r="B49" s="18" t="str">
        <f>"015049"</f>
        <v>015049</v>
      </c>
      <c r="C49" s="19" t="s">
        <v>54</v>
      </c>
      <c r="D49" s="19" t="s">
        <v>15486</v>
      </c>
      <c r="E49" s="19" t="s">
        <v>30838</v>
      </c>
      <c r="F49" s="19" t="s">
        <v>35974</v>
      </c>
      <c r="G49" s="18" t="str">
        <f>"36526"</f>
        <v>36526</v>
      </c>
      <c r="H49" s="19" t="s">
        <v>31758</v>
      </c>
      <c r="I49" s="20">
        <v>21.742000000000001</v>
      </c>
      <c r="J49" s="44" t="s">
        <v>8</v>
      </c>
      <c r="K49" s="23" t="s">
        <v>8</v>
      </c>
      <c r="L49" s="23" t="s">
        <v>8</v>
      </c>
      <c r="M49" s="23" t="s">
        <v>8</v>
      </c>
    </row>
    <row r="50" spans="1:13" s="21" customFormat="1" x14ac:dyDescent="0.25">
      <c r="A50" s="22" t="s">
        <v>8</v>
      </c>
      <c r="B50" s="18" t="str">
        <f>"015050"</f>
        <v>015050</v>
      </c>
      <c r="C50" s="19" t="s">
        <v>55</v>
      </c>
      <c r="D50" s="19" t="s">
        <v>15487</v>
      </c>
      <c r="E50" s="19" t="s">
        <v>30839</v>
      </c>
      <c r="F50" s="19" t="s">
        <v>35974</v>
      </c>
      <c r="G50" s="18" t="str">
        <f>"35020"</f>
        <v>35020</v>
      </c>
      <c r="H50" s="19" t="s">
        <v>32391</v>
      </c>
      <c r="I50" s="20">
        <v>21.506</v>
      </c>
      <c r="J50" s="44" t="s">
        <v>8</v>
      </c>
      <c r="K50" s="23" t="s">
        <v>8</v>
      </c>
      <c r="L50" s="23" t="s">
        <v>8</v>
      </c>
      <c r="M50" s="23" t="s">
        <v>8</v>
      </c>
    </row>
    <row r="51" spans="1:13" s="21" customFormat="1" x14ac:dyDescent="0.25">
      <c r="A51" s="22" t="s">
        <v>8</v>
      </c>
      <c r="B51" s="18" t="str">
        <f>"015053"</f>
        <v>015053</v>
      </c>
      <c r="C51" s="19" t="s">
        <v>56</v>
      </c>
      <c r="D51" s="19" t="s">
        <v>15488</v>
      </c>
      <c r="E51" s="19" t="s">
        <v>30840</v>
      </c>
      <c r="F51" s="19" t="s">
        <v>35974</v>
      </c>
      <c r="G51" s="18" t="str">
        <f>"36264"</f>
        <v>36264</v>
      </c>
      <c r="H51" s="19" t="s">
        <v>35274</v>
      </c>
      <c r="I51" s="20">
        <v>16.248000000000001</v>
      </c>
      <c r="J51" s="44" t="s">
        <v>8</v>
      </c>
      <c r="K51" s="23" t="s">
        <v>8</v>
      </c>
      <c r="L51" s="23" t="s">
        <v>8</v>
      </c>
      <c r="M51" s="23" t="s">
        <v>8</v>
      </c>
    </row>
    <row r="52" spans="1:13" s="21" customFormat="1" x14ac:dyDescent="0.25">
      <c r="A52" s="22" t="s">
        <v>8</v>
      </c>
      <c r="B52" s="18" t="str">
        <f>"015060"</f>
        <v>015060</v>
      </c>
      <c r="C52" s="19" t="s">
        <v>57</v>
      </c>
      <c r="D52" s="19" t="s">
        <v>15489</v>
      </c>
      <c r="E52" s="19" t="s">
        <v>30839</v>
      </c>
      <c r="F52" s="19" t="s">
        <v>35974</v>
      </c>
      <c r="G52" s="18" t="str">
        <f>"35020"</f>
        <v>35020</v>
      </c>
      <c r="H52" s="19" t="s">
        <v>32391</v>
      </c>
      <c r="I52" s="20">
        <v>18.547999999999998</v>
      </c>
      <c r="J52" s="44" t="s">
        <v>8</v>
      </c>
      <c r="K52" s="23" t="s">
        <v>8</v>
      </c>
      <c r="L52" s="23" t="s">
        <v>8</v>
      </c>
      <c r="M52" s="23" t="s">
        <v>8</v>
      </c>
    </row>
    <row r="53" spans="1:13" s="21" customFormat="1" x14ac:dyDescent="0.25">
      <c r="A53" s="22" t="s">
        <v>8</v>
      </c>
      <c r="B53" s="18" t="str">
        <f>"015063"</f>
        <v>015063</v>
      </c>
      <c r="C53" s="19" t="s">
        <v>58</v>
      </c>
      <c r="D53" s="19" t="s">
        <v>15490</v>
      </c>
      <c r="E53" s="19" t="s">
        <v>30841</v>
      </c>
      <c r="F53" s="19" t="s">
        <v>35974</v>
      </c>
      <c r="G53" s="18" t="str">
        <f>"35957"</f>
        <v>35957</v>
      </c>
      <c r="H53" s="19" t="s">
        <v>31063</v>
      </c>
      <c r="I53" s="20">
        <v>21.452999999999999</v>
      </c>
      <c r="J53" s="44" t="s">
        <v>8</v>
      </c>
      <c r="K53" s="23" t="s">
        <v>8</v>
      </c>
      <c r="L53" s="23" t="s">
        <v>8</v>
      </c>
      <c r="M53" s="23" t="s">
        <v>8</v>
      </c>
    </row>
    <row r="54" spans="1:13" s="21" customFormat="1" x14ac:dyDescent="0.25">
      <c r="A54" s="22" t="s">
        <v>8</v>
      </c>
      <c r="B54" s="18" t="str">
        <f>"015065"</f>
        <v>015065</v>
      </c>
      <c r="C54" s="19" t="s">
        <v>59</v>
      </c>
      <c r="D54" s="19" t="s">
        <v>15491</v>
      </c>
      <c r="E54" s="19" t="s">
        <v>30842</v>
      </c>
      <c r="F54" s="19" t="s">
        <v>35974</v>
      </c>
      <c r="G54" s="18" t="str">
        <f>"36066"</f>
        <v>36066</v>
      </c>
      <c r="H54" s="19" t="s">
        <v>36038</v>
      </c>
      <c r="I54" s="20">
        <v>22.46</v>
      </c>
      <c r="J54" s="44" t="s">
        <v>8</v>
      </c>
      <c r="K54" s="23" t="s">
        <v>8</v>
      </c>
      <c r="L54" s="23" t="s">
        <v>8</v>
      </c>
      <c r="M54" s="23" t="s">
        <v>8</v>
      </c>
    </row>
    <row r="55" spans="1:13" s="21" customFormat="1" x14ac:dyDescent="0.25">
      <c r="A55" s="22" t="s">
        <v>8</v>
      </c>
      <c r="B55" s="18" t="str">
        <f>"015066"</f>
        <v>015066</v>
      </c>
      <c r="C55" s="19" t="s">
        <v>60</v>
      </c>
      <c r="D55" s="19" t="s">
        <v>15492</v>
      </c>
      <c r="E55" s="19" t="s">
        <v>30818</v>
      </c>
      <c r="F55" s="19" t="s">
        <v>35974</v>
      </c>
      <c r="G55" s="18" t="str">
        <f>"35653"</f>
        <v>35653</v>
      </c>
      <c r="H55" s="19" t="s">
        <v>5</v>
      </c>
      <c r="I55" s="20">
        <v>19.116</v>
      </c>
      <c r="J55" s="44" t="s">
        <v>8</v>
      </c>
      <c r="K55" s="23" t="s">
        <v>8</v>
      </c>
      <c r="L55" s="23" t="s">
        <v>8</v>
      </c>
      <c r="M55" s="23" t="s">
        <v>8</v>
      </c>
    </row>
    <row r="56" spans="1:13" s="21" customFormat="1" x14ac:dyDescent="0.25">
      <c r="A56" s="22" t="s">
        <v>8</v>
      </c>
      <c r="B56" s="18" t="str">
        <f>"015067"</f>
        <v>015067</v>
      </c>
      <c r="C56" s="19" t="s">
        <v>61</v>
      </c>
      <c r="D56" s="19" t="s">
        <v>15493</v>
      </c>
      <c r="E56" s="19" t="s">
        <v>30828</v>
      </c>
      <c r="F56" s="19" t="s">
        <v>35974</v>
      </c>
      <c r="G56" s="18" t="str">
        <f>"35674"</f>
        <v>35674</v>
      </c>
      <c r="H56" s="19" t="s">
        <v>34722</v>
      </c>
      <c r="I56" s="20">
        <v>22.597000000000001</v>
      </c>
      <c r="J56" s="44" t="s">
        <v>8</v>
      </c>
      <c r="K56" s="23" t="s">
        <v>8</v>
      </c>
      <c r="L56" s="23" t="s">
        <v>8</v>
      </c>
      <c r="M56" s="23" t="s">
        <v>8</v>
      </c>
    </row>
    <row r="57" spans="1:13" s="21" customFormat="1" x14ac:dyDescent="0.25">
      <c r="A57" s="22" t="s">
        <v>8</v>
      </c>
      <c r="B57" s="18" t="str">
        <f>"015071"</f>
        <v>015071</v>
      </c>
      <c r="C57" s="19" t="s">
        <v>62</v>
      </c>
      <c r="D57" s="19" t="s">
        <v>15494</v>
      </c>
      <c r="E57" s="19" t="s">
        <v>30818</v>
      </c>
      <c r="F57" s="19" t="s">
        <v>35974</v>
      </c>
      <c r="G57" s="18" t="str">
        <f>"35653"</f>
        <v>35653</v>
      </c>
      <c r="H57" s="19" t="s">
        <v>5</v>
      </c>
      <c r="I57" s="20">
        <v>16.859000000000002</v>
      </c>
      <c r="J57" s="44" t="s">
        <v>8</v>
      </c>
      <c r="K57" s="23" t="s">
        <v>8</v>
      </c>
      <c r="L57" s="23" t="s">
        <v>8</v>
      </c>
      <c r="M57" s="23" t="s">
        <v>8</v>
      </c>
    </row>
    <row r="58" spans="1:13" s="21" customFormat="1" x14ac:dyDescent="0.25">
      <c r="A58" s="22" t="s">
        <v>8</v>
      </c>
      <c r="B58" s="18" t="str">
        <f>"015073"</f>
        <v>015073</v>
      </c>
      <c r="C58" s="19" t="s">
        <v>63</v>
      </c>
      <c r="D58" s="19" t="s">
        <v>15495</v>
      </c>
      <c r="E58" s="19" t="s">
        <v>30843</v>
      </c>
      <c r="F58" s="19" t="s">
        <v>35974</v>
      </c>
      <c r="G58" s="18" t="str">
        <f>"35077"</f>
        <v>35077</v>
      </c>
      <c r="H58" s="19" t="s">
        <v>30837</v>
      </c>
      <c r="I58" s="20">
        <v>23.173999999999999</v>
      </c>
      <c r="J58" s="44" t="s">
        <v>8</v>
      </c>
      <c r="K58" s="23" t="s">
        <v>8</v>
      </c>
      <c r="L58" s="23" t="s">
        <v>8</v>
      </c>
      <c r="M58" s="23" t="s">
        <v>8</v>
      </c>
    </row>
    <row r="59" spans="1:13" s="21" customFormat="1" x14ac:dyDescent="0.25">
      <c r="A59" s="22" t="s">
        <v>8</v>
      </c>
      <c r="B59" s="18" t="str">
        <f>"015075"</f>
        <v>015075</v>
      </c>
      <c r="C59" s="19" t="s">
        <v>64</v>
      </c>
      <c r="D59" s="19" t="s">
        <v>15496</v>
      </c>
      <c r="E59" s="19" t="s">
        <v>30844</v>
      </c>
      <c r="F59" s="19" t="s">
        <v>35974</v>
      </c>
      <c r="G59" s="18" t="str">
        <f>"35622"</f>
        <v>35622</v>
      </c>
      <c r="H59" s="19" t="s">
        <v>33505</v>
      </c>
      <c r="I59" s="20">
        <v>17.785</v>
      </c>
      <c r="J59" s="44" t="s">
        <v>8</v>
      </c>
      <c r="K59" s="23" t="s">
        <v>8</v>
      </c>
      <c r="L59" s="23" t="s">
        <v>8</v>
      </c>
      <c r="M59" s="23" t="s">
        <v>8</v>
      </c>
    </row>
    <row r="60" spans="1:13" s="21" customFormat="1" x14ac:dyDescent="0.25">
      <c r="A60" s="22" t="s">
        <v>8</v>
      </c>
      <c r="B60" s="18" t="str">
        <f>"015076"</f>
        <v>015076</v>
      </c>
      <c r="C60" s="19" t="s">
        <v>65</v>
      </c>
      <c r="D60" s="19" t="s">
        <v>15497</v>
      </c>
      <c r="E60" s="19" t="s">
        <v>30822</v>
      </c>
      <c r="F60" s="19" t="s">
        <v>35974</v>
      </c>
      <c r="G60" s="18" t="str">
        <f>"35210"</f>
        <v>35210</v>
      </c>
      <c r="H60" s="19" t="s">
        <v>32391</v>
      </c>
      <c r="I60" s="20">
        <v>20.041</v>
      </c>
      <c r="J60" s="44" t="s">
        <v>8</v>
      </c>
      <c r="K60" s="23" t="s">
        <v>8</v>
      </c>
      <c r="L60" s="23" t="s">
        <v>8</v>
      </c>
      <c r="M60" s="23" t="s">
        <v>8</v>
      </c>
    </row>
    <row r="61" spans="1:13" s="21" customFormat="1" x14ac:dyDescent="0.25">
      <c r="A61" s="22" t="s">
        <v>8</v>
      </c>
      <c r="B61" s="18" t="str">
        <f>"015083"</f>
        <v>015083</v>
      </c>
      <c r="C61" s="19" t="s">
        <v>66</v>
      </c>
      <c r="D61" s="19" t="s">
        <v>15498</v>
      </c>
      <c r="E61" s="19" t="s">
        <v>30845</v>
      </c>
      <c r="F61" s="19" t="s">
        <v>35974</v>
      </c>
      <c r="G61" s="18" t="str">
        <f>"36323"</f>
        <v>36323</v>
      </c>
      <c r="H61" s="19" t="s">
        <v>36039</v>
      </c>
      <c r="I61" s="20">
        <v>17.375</v>
      </c>
      <c r="J61" s="44" t="s">
        <v>8</v>
      </c>
      <c r="K61" s="23" t="s">
        <v>8</v>
      </c>
      <c r="L61" s="23" t="s">
        <v>8</v>
      </c>
      <c r="M61" s="23" t="s">
        <v>8</v>
      </c>
    </row>
    <row r="62" spans="1:13" s="21" customFormat="1" x14ac:dyDescent="0.25">
      <c r="A62" s="22" t="s">
        <v>8</v>
      </c>
      <c r="B62" s="18" t="str">
        <f>"015084"</f>
        <v>015084</v>
      </c>
      <c r="C62" s="19" t="s">
        <v>67</v>
      </c>
      <c r="D62" s="19" t="s">
        <v>15499</v>
      </c>
      <c r="E62" s="19" t="s">
        <v>30846</v>
      </c>
      <c r="F62" s="19" t="s">
        <v>35974</v>
      </c>
      <c r="G62" s="18" t="str">
        <f>"36701"</f>
        <v>36701</v>
      </c>
      <c r="H62" s="19" t="s">
        <v>31723</v>
      </c>
      <c r="I62" s="20">
        <v>19.346</v>
      </c>
      <c r="J62" s="44" t="s">
        <v>8</v>
      </c>
      <c r="K62" s="23" t="s">
        <v>8</v>
      </c>
      <c r="L62" s="23" t="s">
        <v>8</v>
      </c>
      <c r="M62" s="23" t="s">
        <v>8</v>
      </c>
    </row>
    <row r="63" spans="1:13" s="21" customFormat="1" x14ac:dyDescent="0.25">
      <c r="A63" s="22" t="s">
        <v>8</v>
      </c>
      <c r="B63" s="18" t="str">
        <f>"015089"</f>
        <v>015089</v>
      </c>
      <c r="C63" s="19" t="s">
        <v>68</v>
      </c>
      <c r="D63" s="19" t="s">
        <v>15500</v>
      </c>
      <c r="E63" s="19" t="s">
        <v>30847</v>
      </c>
      <c r="F63" s="19" t="s">
        <v>35974</v>
      </c>
      <c r="G63" s="18" t="str">
        <f>"36401"</f>
        <v>36401</v>
      </c>
      <c r="H63" s="19" t="s">
        <v>36040</v>
      </c>
      <c r="I63" s="20">
        <v>21.18</v>
      </c>
      <c r="J63" s="44" t="s">
        <v>8</v>
      </c>
      <c r="K63" s="23" t="s">
        <v>8</v>
      </c>
      <c r="L63" s="23" t="s">
        <v>8</v>
      </c>
      <c r="M63" s="23" t="s">
        <v>8</v>
      </c>
    </row>
    <row r="64" spans="1:13" s="21" customFormat="1" x14ac:dyDescent="0.25">
      <c r="A64" s="22" t="s">
        <v>8</v>
      </c>
      <c r="B64" s="18" t="str">
        <f>"015091"</f>
        <v>015091</v>
      </c>
      <c r="C64" s="19" t="s">
        <v>69</v>
      </c>
      <c r="D64" s="19" t="s">
        <v>15501</v>
      </c>
      <c r="E64" s="19" t="s">
        <v>30822</v>
      </c>
      <c r="F64" s="19" t="s">
        <v>35974</v>
      </c>
      <c r="G64" s="18" t="str">
        <f>"35217"</f>
        <v>35217</v>
      </c>
      <c r="H64" s="19" t="s">
        <v>32391</v>
      </c>
      <c r="I64" s="20">
        <v>20.303999999999998</v>
      </c>
      <c r="J64" s="44" t="s">
        <v>8</v>
      </c>
      <c r="K64" s="23" t="s">
        <v>8</v>
      </c>
      <c r="L64" s="23" t="s">
        <v>8</v>
      </c>
      <c r="M64" s="23" t="s">
        <v>8</v>
      </c>
    </row>
    <row r="65" spans="1:13" s="21" customFormat="1" x14ac:dyDescent="0.25">
      <c r="A65" s="22" t="s">
        <v>8</v>
      </c>
      <c r="B65" s="18" t="str">
        <f>"015097"</f>
        <v>015097</v>
      </c>
      <c r="C65" s="19" t="s">
        <v>70</v>
      </c>
      <c r="D65" s="19" t="s">
        <v>15502</v>
      </c>
      <c r="E65" s="19" t="s">
        <v>30822</v>
      </c>
      <c r="F65" s="19" t="s">
        <v>35974</v>
      </c>
      <c r="G65" s="18" t="str">
        <f>"35205"</f>
        <v>35205</v>
      </c>
      <c r="H65" s="19" t="s">
        <v>32391</v>
      </c>
      <c r="I65" s="20">
        <v>18.794</v>
      </c>
      <c r="J65" s="44" t="s">
        <v>8</v>
      </c>
      <c r="K65" s="23" t="s">
        <v>8</v>
      </c>
      <c r="L65" s="23" t="s">
        <v>8</v>
      </c>
      <c r="M65" s="23" t="s">
        <v>8</v>
      </c>
    </row>
    <row r="66" spans="1:13" s="21" customFormat="1" x14ac:dyDescent="0.25">
      <c r="A66" s="22" t="s">
        <v>8</v>
      </c>
      <c r="B66" s="18" t="str">
        <f>"015098"</f>
        <v>015098</v>
      </c>
      <c r="C66" s="19" t="s">
        <v>71</v>
      </c>
      <c r="D66" s="19" t="s">
        <v>15503</v>
      </c>
      <c r="E66" s="19" t="s">
        <v>30848</v>
      </c>
      <c r="F66" s="19" t="s">
        <v>35974</v>
      </c>
      <c r="G66" s="18" t="str">
        <f>"36603"</f>
        <v>36603</v>
      </c>
      <c r="H66" s="19" t="s">
        <v>30848</v>
      </c>
      <c r="I66" s="20">
        <v>20.3</v>
      </c>
      <c r="J66" s="44" t="s">
        <v>8</v>
      </c>
      <c r="K66" s="23" t="s">
        <v>8</v>
      </c>
      <c r="L66" s="23" t="s">
        <v>8</v>
      </c>
      <c r="M66" s="23" t="s">
        <v>8</v>
      </c>
    </row>
    <row r="67" spans="1:13" s="21" customFormat="1" x14ac:dyDescent="0.25">
      <c r="A67" s="22" t="s">
        <v>8</v>
      </c>
      <c r="B67" s="18" t="str">
        <f>"015100"</f>
        <v>015100</v>
      </c>
      <c r="C67" s="19" t="s">
        <v>72</v>
      </c>
      <c r="D67" s="19" t="s">
        <v>15504</v>
      </c>
      <c r="E67" s="19" t="s">
        <v>30848</v>
      </c>
      <c r="F67" s="19" t="s">
        <v>35974</v>
      </c>
      <c r="G67" s="18" t="str">
        <f>"36605"</f>
        <v>36605</v>
      </c>
      <c r="H67" s="19" t="s">
        <v>30848</v>
      </c>
      <c r="I67" s="20">
        <v>20.292000000000002</v>
      </c>
      <c r="J67" s="44" t="s">
        <v>8</v>
      </c>
      <c r="K67" s="23" t="s">
        <v>8</v>
      </c>
      <c r="L67" s="23" t="s">
        <v>8</v>
      </c>
      <c r="M67" s="23" t="s">
        <v>8</v>
      </c>
    </row>
    <row r="68" spans="1:13" s="21" customFormat="1" x14ac:dyDescent="0.25">
      <c r="A68" s="22" t="s">
        <v>8</v>
      </c>
      <c r="B68" s="18" t="str">
        <f>"015101"</f>
        <v>015101</v>
      </c>
      <c r="C68" s="19" t="s">
        <v>73</v>
      </c>
      <c r="D68" s="19" t="s">
        <v>15505</v>
      </c>
      <c r="E68" s="19" t="s">
        <v>30849</v>
      </c>
      <c r="F68" s="19" t="s">
        <v>35974</v>
      </c>
      <c r="G68" s="18" t="str">
        <f>"35952"</f>
        <v>35952</v>
      </c>
      <c r="H68" s="19" t="s">
        <v>35172</v>
      </c>
      <c r="I68" s="20">
        <v>18.29</v>
      </c>
      <c r="J68" s="44" t="s">
        <v>8</v>
      </c>
      <c r="K68" s="23" t="s">
        <v>8</v>
      </c>
      <c r="L68" s="23" t="s">
        <v>8</v>
      </c>
      <c r="M68" s="23" t="s">
        <v>8</v>
      </c>
    </row>
    <row r="69" spans="1:13" s="21" customFormat="1" x14ac:dyDescent="0.25">
      <c r="A69" s="22" t="s">
        <v>8</v>
      </c>
      <c r="B69" s="18" t="str">
        <f>"015103"</f>
        <v>015103</v>
      </c>
      <c r="C69" s="19" t="s">
        <v>74</v>
      </c>
      <c r="D69" s="19" t="s">
        <v>15506</v>
      </c>
      <c r="E69" s="19" t="s">
        <v>30848</v>
      </c>
      <c r="F69" s="19" t="s">
        <v>35974</v>
      </c>
      <c r="G69" s="18" t="str">
        <f>"36607"</f>
        <v>36607</v>
      </c>
      <c r="H69" s="19" t="s">
        <v>30848</v>
      </c>
      <c r="I69" s="20">
        <v>20.492000000000001</v>
      </c>
      <c r="J69" s="44" t="s">
        <v>8</v>
      </c>
      <c r="K69" s="23" t="s">
        <v>8</v>
      </c>
      <c r="L69" s="23" t="s">
        <v>8</v>
      </c>
      <c r="M69" s="23" t="s">
        <v>8</v>
      </c>
    </row>
    <row r="70" spans="1:13" s="21" customFormat="1" x14ac:dyDescent="0.25">
      <c r="A70" s="22" t="s">
        <v>8</v>
      </c>
      <c r="B70" s="18" t="str">
        <f>"015104"</f>
        <v>015104</v>
      </c>
      <c r="C70" s="19" t="s">
        <v>75</v>
      </c>
      <c r="D70" s="19" t="s">
        <v>15507</v>
      </c>
      <c r="E70" s="19" t="s">
        <v>30850</v>
      </c>
      <c r="F70" s="19" t="s">
        <v>35974</v>
      </c>
      <c r="G70" s="18" t="str">
        <f>"36756"</f>
        <v>36756</v>
      </c>
      <c r="H70" s="19" t="s">
        <v>31503</v>
      </c>
      <c r="I70" s="20">
        <v>16.934000000000001</v>
      </c>
      <c r="J70" s="44" t="s">
        <v>8</v>
      </c>
      <c r="K70" s="23" t="s">
        <v>8</v>
      </c>
      <c r="L70" s="23" t="s">
        <v>8</v>
      </c>
      <c r="M70" s="23" t="s">
        <v>8</v>
      </c>
    </row>
    <row r="71" spans="1:13" s="21" customFormat="1" x14ac:dyDescent="0.25">
      <c r="A71" s="22" t="s">
        <v>8</v>
      </c>
      <c r="B71" s="18" t="str">
        <f>"015109"</f>
        <v>015109</v>
      </c>
      <c r="C71" s="19" t="s">
        <v>76</v>
      </c>
      <c r="D71" s="19" t="s">
        <v>15508</v>
      </c>
      <c r="E71" s="19" t="s">
        <v>30822</v>
      </c>
      <c r="F71" s="19" t="s">
        <v>35974</v>
      </c>
      <c r="G71" s="18" t="str">
        <f>"35234"</f>
        <v>35234</v>
      </c>
      <c r="H71" s="19" t="s">
        <v>32391</v>
      </c>
      <c r="I71" s="20">
        <v>18.917999999999999</v>
      </c>
      <c r="J71" s="44" t="s">
        <v>8</v>
      </c>
      <c r="K71" s="23" t="s">
        <v>8</v>
      </c>
      <c r="L71" s="23" t="s">
        <v>8</v>
      </c>
      <c r="M71" s="23" t="s">
        <v>8</v>
      </c>
    </row>
    <row r="72" spans="1:13" s="21" customFormat="1" x14ac:dyDescent="0.25">
      <c r="A72" s="22" t="s">
        <v>8</v>
      </c>
      <c r="B72" s="18" t="str">
        <f>"015111"</f>
        <v>015111</v>
      </c>
      <c r="C72" s="19" t="s">
        <v>77</v>
      </c>
      <c r="D72" s="19" t="s">
        <v>15509</v>
      </c>
      <c r="E72" s="19" t="s">
        <v>30851</v>
      </c>
      <c r="F72" s="19" t="s">
        <v>35974</v>
      </c>
      <c r="G72" s="18" t="str">
        <f>"35801"</f>
        <v>35801</v>
      </c>
      <c r="H72" s="19" t="s">
        <v>30899</v>
      </c>
      <c r="I72" s="20">
        <v>18.001000000000001</v>
      </c>
      <c r="J72" s="44" t="s">
        <v>8</v>
      </c>
      <c r="K72" s="23" t="s">
        <v>8</v>
      </c>
      <c r="L72" s="23" t="s">
        <v>8</v>
      </c>
      <c r="M72" s="23" t="s">
        <v>8</v>
      </c>
    </row>
    <row r="73" spans="1:13" s="21" customFormat="1" x14ac:dyDescent="0.25">
      <c r="A73" s="22" t="s">
        <v>8</v>
      </c>
      <c r="B73" s="18" t="str">
        <f>"015112"</f>
        <v>015112</v>
      </c>
      <c r="C73" s="19" t="s">
        <v>78</v>
      </c>
      <c r="D73" s="19" t="s">
        <v>15510</v>
      </c>
      <c r="E73" s="19" t="s">
        <v>30852</v>
      </c>
      <c r="F73" s="19" t="s">
        <v>35974</v>
      </c>
      <c r="G73" s="18" t="str">
        <f>"36083"</f>
        <v>36083</v>
      </c>
      <c r="H73" s="19" t="s">
        <v>31733</v>
      </c>
      <c r="I73" s="20">
        <v>18.802</v>
      </c>
      <c r="J73" s="44" t="s">
        <v>8</v>
      </c>
      <c r="K73" s="23" t="s">
        <v>8</v>
      </c>
      <c r="L73" s="23" t="s">
        <v>8</v>
      </c>
      <c r="M73" s="23" t="s">
        <v>8</v>
      </c>
    </row>
    <row r="74" spans="1:13" s="21" customFormat="1" x14ac:dyDescent="0.25">
      <c r="A74" s="22" t="s">
        <v>8</v>
      </c>
      <c r="B74" s="18" t="str">
        <f>"015113"</f>
        <v>015113</v>
      </c>
      <c r="C74" s="19" t="s">
        <v>79</v>
      </c>
      <c r="D74" s="19" t="s">
        <v>15511</v>
      </c>
      <c r="E74" s="19" t="s">
        <v>30853</v>
      </c>
      <c r="F74" s="19" t="s">
        <v>35974</v>
      </c>
      <c r="G74" s="18" t="str">
        <f>"35601"</f>
        <v>35601</v>
      </c>
      <c r="H74" s="19" t="s">
        <v>33505</v>
      </c>
      <c r="I74" s="20">
        <v>19.649000000000001</v>
      </c>
      <c r="J74" s="44" t="s">
        <v>8</v>
      </c>
      <c r="K74" s="23" t="s">
        <v>8</v>
      </c>
      <c r="L74" s="23" t="s">
        <v>8</v>
      </c>
      <c r="M74" s="23" t="s">
        <v>8</v>
      </c>
    </row>
    <row r="75" spans="1:13" s="21" customFormat="1" x14ac:dyDescent="0.25">
      <c r="A75" s="22" t="s">
        <v>8</v>
      </c>
      <c r="B75" s="18" t="str">
        <f>"015114"</f>
        <v>015114</v>
      </c>
      <c r="C75" s="19" t="s">
        <v>80</v>
      </c>
      <c r="D75" s="19" t="s">
        <v>15512</v>
      </c>
      <c r="E75" s="19" t="s">
        <v>30854</v>
      </c>
      <c r="F75" s="19" t="s">
        <v>35974</v>
      </c>
      <c r="G75" s="18" t="str">
        <f>"35502"</f>
        <v>35502</v>
      </c>
      <c r="H75" s="19" t="s">
        <v>33386</v>
      </c>
      <c r="I75" s="20">
        <v>16.843</v>
      </c>
      <c r="J75" s="44" t="s">
        <v>8</v>
      </c>
      <c r="K75" s="23" t="s">
        <v>8</v>
      </c>
      <c r="L75" s="23" t="s">
        <v>8</v>
      </c>
      <c r="M75" s="23" t="s">
        <v>8</v>
      </c>
    </row>
    <row r="76" spans="1:13" s="21" customFormat="1" x14ac:dyDescent="0.25">
      <c r="A76" s="22" t="s">
        <v>8</v>
      </c>
      <c r="B76" s="18" t="str">
        <f>"015115"</f>
        <v>015115</v>
      </c>
      <c r="C76" s="19" t="s">
        <v>81</v>
      </c>
      <c r="D76" s="19" t="s">
        <v>15513</v>
      </c>
      <c r="E76" s="19" t="s">
        <v>30855</v>
      </c>
      <c r="F76" s="19" t="s">
        <v>35974</v>
      </c>
      <c r="G76" s="18" t="str">
        <f>"35550"</f>
        <v>35550</v>
      </c>
      <c r="H76" s="19" t="s">
        <v>33386</v>
      </c>
      <c r="I76" s="20">
        <v>17.702999999999999</v>
      </c>
      <c r="J76" s="44" t="s">
        <v>8</v>
      </c>
      <c r="K76" s="23" t="s">
        <v>8</v>
      </c>
      <c r="L76" s="23" t="s">
        <v>8</v>
      </c>
      <c r="M76" s="23" t="s">
        <v>8</v>
      </c>
    </row>
    <row r="77" spans="1:13" s="21" customFormat="1" x14ac:dyDescent="0.25">
      <c r="A77" s="22" t="s">
        <v>8</v>
      </c>
      <c r="B77" s="18" t="str">
        <f>"015116"</f>
        <v>015116</v>
      </c>
      <c r="C77" s="19" t="s">
        <v>82</v>
      </c>
      <c r="D77" s="19" t="s">
        <v>15514</v>
      </c>
      <c r="E77" s="19" t="s">
        <v>30851</v>
      </c>
      <c r="F77" s="19" t="s">
        <v>35974</v>
      </c>
      <c r="G77" s="18" t="str">
        <f>"35801"</f>
        <v>35801</v>
      </c>
      <c r="H77" s="19" t="s">
        <v>30899</v>
      </c>
      <c r="I77" s="20">
        <v>20.202000000000002</v>
      </c>
      <c r="J77" s="44" t="s">
        <v>8</v>
      </c>
      <c r="K77" s="23" t="s">
        <v>8</v>
      </c>
      <c r="L77" s="23" t="s">
        <v>8</v>
      </c>
      <c r="M77" s="23" t="s">
        <v>8</v>
      </c>
    </row>
    <row r="78" spans="1:13" s="21" customFormat="1" x14ac:dyDescent="0.25">
      <c r="A78" s="22" t="s">
        <v>8</v>
      </c>
      <c r="B78" s="18" t="str">
        <f>"015117"</f>
        <v>015117</v>
      </c>
      <c r="C78" s="19" t="s">
        <v>83</v>
      </c>
      <c r="D78" s="19" t="s">
        <v>15515</v>
      </c>
      <c r="E78" s="19" t="s">
        <v>30822</v>
      </c>
      <c r="F78" s="19" t="s">
        <v>35974</v>
      </c>
      <c r="G78" s="18" t="str">
        <f>"35204"</f>
        <v>35204</v>
      </c>
      <c r="H78" s="19" t="s">
        <v>32391</v>
      </c>
      <c r="I78" s="20">
        <v>19.706</v>
      </c>
      <c r="J78" s="44" t="s">
        <v>8</v>
      </c>
      <c r="K78" s="23" t="s">
        <v>8</v>
      </c>
      <c r="L78" s="23" t="s">
        <v>8</v>
      </c>
      <c r="M78" s="23" t="s">
        <v>8</v>
      </c>
    </row>
    <row r="79" spans="1:13" s="21" customFormat="1" x14ac:dyDescent="0.25">
      <c r="A79" s="22" t="s">
        <v>8</v>
      </c>
      <c r="B79" s="18" t="str">
        <f>"015119"</f>
        <v>015119</v>
      </c>
      <c r="C79" s="19" t="s">
        <v>84</v>
      </c>
      <c r="D79" s="19" t="s">
        <v>15516</v>
      </c>
      <c r="E79" s="19" t="s">
        <v>30846</v>
      </c>
      <c r="F79" s="19" t="s">
        <v>35974</v>
      </c>
      <c r="G79" s="18" t="str">
        <f>"36701"</f>
        <v>36701</v>
      </c>
      <c r="H79" s="19" t="s">
        <v>31723</v>
      </c>
      <c r="I79" s="20">
        <v>20.059999999999999</v>
      </c>
      <c r="J79" s="44" t="s">
        <v>8</v>
      </c>
      <c r="K79" s="23" t="s">
        <v>8</v>
      </c>
      <c r="L79" s="23" t="s">
        <v>8</v>
      </c>
      <c r="M79" s="23" t="s">
        <v>8</v>
      </c>
    </row>
    <row r="80" spans="1:13" s="21" customFormat="1" x14ac:dyDescent="0.25">
      <c r="A80" s="22" t="s">
        <v>8</v>
      </c>
      <c r="B80" s="18" t="str">
        <f>"015120"</f>
        <v>015120</v>
      </c>
      <c r="C80" s="19" t="s">
        <v>85</v>
      </c>
      <c r="D80" s="19" t="s">
        <v>15517</v>
      </c>
      <c r="E80" s="19" t="s">
        <v>30856</v>
      </c>
      <c r="F80" s="19" t="s">
        <v>35974</v>
      </c>
      <c r="G80" s="18" t="str">
        <f>"36207"</f>
        <v>36207</v>
      </c>
      <c r="H80" s="19" t="s">
        <v>31743</v>
      </c>
      <c r="I80" s="20">
        <v>18.16</v>
      </c>
      <c r="J80" s="44" t="s">
        <v>8</v>
      </c>
      <c r="K80" s="23" t="s">
        <v>8</v>
      </c>
      <c r="L80" s="23" t="s">
        <v>8</v>
      </c>
      <c r="M80" s="23" t="s">
        <v>8</v>
      </c>
    </row>
    <row r="81" spans="1:13" s="21" customFormat="1" x14ac:dyDescent="0.25">
      <c r="A81" s="22" t="s">
        <v>8</v>
      </c>
      <c r="B81" s="18" t="str">
        <f>"015121"</f>
        <v>015121</v>
      </c>
      <c r="C81" s="19" t="s">
        <v>86</v>
      </c>
      <c r="D81" s="19" t="s">
        <v>15518</v>
      </c>
      <c r="E81" s="19" t="s">
        <v>30857</v>
      </c>
      <c r="F81" s="19" t="s">
        <v>35974</v>
      </c>
      <c r="G81" s="18" t="str">
        <f>"36522"</f>
        <v>36522</v>
      </c>
      <c r="H81" s="19" t="s">
        <v>30848</v>
      </c>
      <c r="I81" s="20">
        <v>20.102</v>
      </c>
      <c r="J81" s="44" t="s">
        <v>8</v>
      </c>
      <c r="K81" s="23" t="s">
        <v>8</v>
      </c>
      <c r="L81" s="23" t="s">
        <v>8</v>
      </c>
      <c r="M81" s="23" t="s">
        <v>8</v>
      </c>
    </row>
    <row r="82" spans="1:13" s="21" customFormat="1" x14ac:dyDescent="0.25">
      <c r="A82" s="22" t="s">
        <v>8</v>
      </c>
      <c r="B82" s="18" t="str">
        <f>"015123"</f>
        <v>015123</v>
      </c>
      <c r="C82" s="19" t="s">
        <v>87</v>
      </c>
      <c r="D82" s="19" t="s">
        <v>15519</v>
      </c>
      <c r="E82" s="19" t="s">
        <v>30858</v>
      </c>
      <c r="F82" s="19" t="s">
        <v>35974</v>
      </c>
      <c r="G82" s="18" t="str">
        <f>"36518"</f>
        <v>36518</v>
      </c>
      <c r="H82" s="19" t="s">
        <v>31500</v>
      </c>
      <c r="I82" s="20">
        <v>19.673999999999999</v>
      </c>
      <c r="J82" s="44" t="s">
        <v>8</v>
      </c>
      <c r="K82" s="23" t="s">
        <v>8</v>
      </c>
      <c r="L82" s="23" t="s">
        <v>8</v>
      </c>
      <c r="M82" s="23" t="s">
        <v>8</v>
      </c>
    </row>
    <row r="83" spans="1:13" s="21" customFormat="1" x14ac:dyDescent="0.25">
      <c r="A83" s="22" t="s">
        <v>8</v>
      </c>
      <c r="B83" s="18" t="str">
        <f>"015124"</f>
        <v>015124</v>
      </c>
      <c r="C83" s="19" t="s">
        <v>88</v>
      </c>
      <c r="D83" s="19" t="s">
        <v>15520</v>
      </c>
      <c r="E83" s="19" t="s">
        <v>30809</v>
      </c>
      <c r="F83" s="19" t="s">
        <v>35974</v>
      </c>
      <c r="G83" s="18" t="str">
        <f>"36251"</f>
        <v>36251</v>
      </c>
      <c r="H83" s="19" t="s">
        <v>36030</v>
      </c>
      <c r="I83" s="20">
        <v>17.826000000000001</v>
      </c>
      <c r="J83" s="44" t="s">
        <v>8</v>
      </c>
      <c r="K83" s="23" t="s">
        <v>8</v>
      </c>
      <c r="L83" s="23" t="s">
        <v>8</v>
      </c>
      <c r="M83" s="23" t="s">
        <v>8</v>
      </c>
    </row>
    <row r="84" spans="1:13" s="21" customFormat="1" x14ac:dyDescent="0.25">
      <c r="A84" s="22" t="s">
        <v>8</v>
      </c>
      <c r="B84" s="18" t="str">
        <f>"015126"</f>
        <v>015126</v>
      </c>
      <c r="C84" s="19" t="s">
        <v>89</v>
      </c>
      <c r="D84" s="19" t="s">
        <v>15521</v>
      </c>
      <c r="E84" s="19" t="s">
        <v>30859</v>
      </c>
      <c r="F84" s="19" t="s">
        <v>35974</v>
      </c>
      <c r="G84" s="18" t="str">
        <f>"36274"</f>
        <v>36274</v>
      </c>
      <c r="H84" s="19" t="s">
        <v>33068</v>
      </c>
      <c r="I84" s="20">
        <v>18.614999999999998</v>
      </c>
      <c r="J84" s="44" t="s">
        <v>8</v>
      </c>
      <c r="K84" s="23" t="s">
        <v>8</v>
      </c>
      <c r="L84" s="23" t="s">
        <v>8</v>
      </c>
      <c r="M84" s="23" t="s">
        <v>8</v>
      </c>
    </row>
    <row r="85" spans="1:13" s="21" customFormat="1" x14ac:dyDescent="0.25">
      <c r="A85" s="22" t="s">
        <v>8</v>
      </c>
      <c r="B85" s="18" t="str">
        <f>"015127"</f>
        <v>015127</v>
      </c>
      <c r="C85" s="19" t="s">
        <v>90</v>
      </c>
      <c r="D85" s="19" t="s">
        <v>15522</v>
      </c>
      <c r="E85" s="19" t="s">
        <v>30851</v>
      </c>
      <c r="F85" s="19" t="s">
        <v>35974</v>
      </c>
      <c r="G85" s="18" t="str">
        <f>"35805"</f>
        <v>35805</v>
      </c>
      <c r="H85" s="19" t="s">
        <v>30899</v>
      </c>
      <c r="I85" s="20">
        <v>17.971</v>
      </c>
      <c r="J85" s="44" t="s">
        <v>8</v>
      </c>
      <c r="K85" s="23" t="s">
        <v>8</v>
      </c>
      <c r="L85" s="23" t="s">
        <v>8</v>
      </c>
      <c r="M85" s="23" t="s">
        <v>8</v>
      </c>
    </row>
    <row r="86" spans="1:13" s="21" customFormat="1" x14ac:dyDescent="0.25">
      <c r="A86" s="22" t="s">
        <v>8</v>
      </c>
      <c r="B86" s="18" t="str">
        <f>"015128"</f>
        <v>015128</v>
      </c>
      <c r="C86" s="19" t="s">
        <v>91</v>
      </c>
      <c r="D86" s="19" t="s">
        <v>15523</v>
      </c>
      <c r="E86" s="19" t="s">
        <v>30807</v>
      </c>
      <c r="F86" s="19" t="s">
        <v>35974</v>
      </c>
      <c r="G86" s="18" t="str">
        <f>"35650"</f>
        <v>35650</v>
      </c>
      <c r="H86" s="19" t="s">
        <v>32568</v>
      </c>
      <c r="I86" s="20">
        <v>18.68</v>
      </c>
      <c r="J86" s="44" t="s">
        <v>8</v>
      </c>
      <c r="K86" s="23" t="s">
        <v>8</v>
      </c>
      <c r="L86" s="23" t="s">
        <v>8</v>
      </c>
      <c r="M86" s="23" t="s">
        <v>8</v>
      </c>
    </row>
    <row r="87" spans="1:13" s="21" customFormat="1" x14ac:dyDescent="0.25">
      <c r="A87" s="22" t="s">
        <v>8</v>
      </c>
      <c r="B87" s="18" t="str">
        <f>"015129"</f>
        <v>015129</v>
      </c>
      <c r="C87" s="19" t="s">
        <v>92</v>
      </c>
      <c r="D87" s="19" t="s">
        <v>15524</v>
      </c>
      <c r="E87" s="19" t="s">
        <v>30819</v>
      </c>
      <c r="F87" s="19" t="s">
        <v>35974</v>
      </c>
      <c r="G87" s="18" t="str">
        <f>"36502"</f>
        <v>36502</v>
      </c>
      <c r="H87" s="19" t="s">
        <v>36035</v>
      </c>
      <c r="I87" s="20">
        <v>19.638999999999999</v>
      </c>
      <c r="J87" s="44" t="s">
        <v>8</v>
      </c>
      <c r="K87" s="23" t="s">
        <v>8</v>
      </c>
      <c r="L87" s="23" t="s">
        <v>8</v>
      </c>
      <c r="M87" s="23" t="s">
        <v>8</v>
      </c>
    </row>
    <row r="88" spans="1:13" s="21" customFormat="1" x14ac:dyDescent="0.25">
      <c r="A88" s="22" t="s">
        <v>8</v>
      </c>
      <c r="B88" s="18" t="str">
        <f>"015131"</f>
        <v>015131</v>
      </c>
      <c r="C88" s="19" t="s">
        <v>93</v>
      </c>
      <c r="D88" s="19" t="s">
        <v>15525</v>
      </c>
      <c r="E88" s="19" t="s">
        <v>30860</v>
      </c>
      <c r="F88" s="19" t="s">
        <v>35974</v>
      </c>
      <c r="G88" s="18" t="str">
        <f>"35173"</f>
        <v>35173</v>
      </c>
      <c r="H88" s="19" t="s">
        <v>32391</v>
      </c>
      <c r="I88" s="20">
        <v>19.297999999999998</v>
      </c>
      <c r="J88" s="44" t="s">
        <v>8</v>
      </c>
      <c r="K88" s="23" t="s">
        <v>8</v>
      </c>
      <c r="L88" s="23" t="s">
        <v>8</v>
      </c>
      <c r="M88" s="23" t="s">
        <v>8</v>
      </c>
    </row>
    <row r="89" spans="1:13" s="21" customFormat="1" x14ac:dyDescent="0.25">
      <c r="A89" s="22" t="s">
        <v>8</v>
      </c>
      <c r="B89" s="18" t="str">
        <f>"015132"</f>
        <v>015132</v>
      </c>
      <c r="C89" s="19" t="s">
        <v>94</v>
      </c>
      <c r="D89" s="19" t="s">
        <v>15526</v>
      </c>
      <c r="E89" s="19" t="s">
        <v>30861</v>
      </c>
      <c r="F89" s="19" t="s">
        <v>35974</v>
      </c>
      <c r="G89" s="18" t="str">
        <f>"36203"</f>
        <v>36203</v>
      </c>
      <c r="H89" s="19" t="s">
        <v>31743</v>
      </c>
      <c r="I89" s="20">
        <v>18.721</v>
      </c>
      <c r="J89" s="44" t="s">
        <v>8</v>
      </c>
      <c r="K89" s="23" t="s">
        <v>8</v>
      </c>
      <c r="L89" s="23" t="s">
        <v>8</v>
      </c>
      <c r="M89" s="23" t="s">
        <v>8</v>
      </c>
    </row>
    <row r="90" spans="1:13" s="21" customFormat="1" x14ac:dyDescent="0.25">
      <c r="A90" s="22" t="s">
        <v>8</v>
      </c>
      <c r="B90" s="18" t="str">
        <f>"015133"</f>
        <v>015133</v>
      </c>
      <c r="C90" s="19" t="s">
        <v>95</v>
      </c>
      <c r="D90" s="19" t="s">
        <v>15527</v>
      </c>
      <c r="E90" s="19" t="s">
        <v>30862</v>
      </c>
      <c r="F90" s="19" t="s">
        <v>35974</v>
      </c>
      <c r="G90" s="18" t="str">
        <f>"35071"</f>
        <v>35071</v>
      </c>
      <c r="H90" s="19" t="s">
        <v>32391</v>
      </c>
      <c r="I90" s="20">
        <v>20.395</v>
      </c>
      <c r="J90" s="44" t="s">
        <v>8</v>
      </c>
      <c r="K90" s="23" t="s">
        <v>8</v>
      </c>
      <c r="L90" s="23" t="s">
        <v>8</v>
      </c>
      <c r="M90" s="23" t="s">
        <v>8</v>
      </c>
    </row>
    <row r="91" spans="1:13" s="21" customFormat="1" x14ac:dyDescent="0.25">
      <c r="A91" s="22" t="s">
        <v>8</v>
      </c>
      <c r="B91" s="18" t="str">
        <f>"015134"</f>
        <v>015134</v>
      </c>
      <c r="C91" s="19" t="s">
        <v>96</v>
      </c>
      <c r="D91" s="19" t="s">
        <v>15528</v>
      </c>
      <c r="E91" s="19" t="s">
        <v>30822</v>
      </c>
      <c r="F91" s="19" t="s">
        <v>35974</v>
      </c>
      <c r="G91" s="18" t="str">
        <f>"35215"</f>
        <v>35215</v>
      </c>
      <c r="H91" s="19" t="s">
        <v>32391</v>
      </c>
      <c r="I91" s="20">
        <v>18.873999999999999</v>
      </c>
      <c r="J91" s="44" t="s">
        <v>8</v>
      </c>
      <c r="K91" s="23" t="s">
        <v>8</v>
      </c>
      <c r="L91" s="23" t="s">
        <v>8</v>
      </c>
      <c r="M91" s="23" t="s">
        <v>8</v>
      </c>
    </row>
    <row r="92" spans="1:13" s="21" customFormat="1" x14ac:dyDescent="0.25">
      <c r="A92" s="22" t="s">
        <v>8</v>
      </c>
      <c r="B92" s="18" t="str">
        <f>"015135"</f>
        <v>015135</v>
      </c>
      <c r="C92" s="19" t="s">
        <v>97</v>
      </c>
      <c r="D92" s="19" t="s">
        <v>15529</v>
      </c>
      <c r="E92" s="19" t="s">
        <v>30833</v>
      </c>
      <c r="F92" s="19" t="s">
        <v>35974</v>
      </c>
      <c r="G92" s="18" t="str">
        <f>"36116"</f>
        <v>36116</v>
      </c>
      <c r="H92" s="19" t="s">
        <v>30833</v>
      </c>
      <c r="I92" s="20">
        <v>19.263999999999999</v>
      </c>
      <c r="J92" s="44" t="s">
        <v>8</v>
      </c>
      <c r="K92" s="23" t="s">
        <v>8</v>
      </c>
      <c r="L92" s="23" t="s">
        <v>8</v>
      </c>
      <c r="M92" s="23" t="s">
        <v>8</v>
      </c>
    </row>
    <row r="93" spans="1:13" s="21" customFormat="1" x14ac:dyDescent="0.25">
      <c r="A93" s="22" t="s">
        <v>8</v>
      </c>
      <c r="B93" s="18" t="str">
        <f>"015136"</f>
        <v>015136</v>
      </c>
      <c r="C93" s="19" t="s">
        <v>98</v>
      </c>
      <c r="D93" s="19" t="s">
        <v>15530</v>
      </c>
      <c r="E93" s="19" t="s">
        <v>30844</v>
      </c>
      <c r="F93" s="19" t="s">
        <v>35974</v>
      </c>
      <c r="G93" s="18" t="str">
        <f>"35622"</f>
        <v>35622</v>
      </c>
      <c r="H93" s="19" t="s">
        <v>33505</v>
      </c>
      <c r="I93" s="20">
        <v>16.933</v>
      </c>
      <c r="J93" s="44" t="s">
        <v>8</v>
      </c>
      <c r="K93" s="23" t="s">
        <v>8</v>
      </c>
      <c r="L93" s="23" t="s">
        <v>8</v>
      </c>
      <c r="M93" s="23" t="s">
        <v>8</v>
      </c>
    </row>
    <row r="94" spans="1:13" s="21" customFormat="1" x14ac:dyDescent="0.25">
      <c r="A94" s="22" t="s">
        <v>8</v>
      </c>
      <c r="B94" s="18" t="str">
        <f>"015137"</f>
        <v>015137</v>
      </c>
      <c r="C94" s="19" t="s">
        <v>99</v>
      </c>
      <c r="D94" s="19" t="s">
        <v>15531</v>
      </c>
      <c r="E94" s="19" t="s">
        <v>30863</v>
      </c>
      <c r="F94" s="19" t="s">
        <v>35974</v>
      </c>
      <c r="G94" s="18" t="str">
        <f>"35442"</f>
        <v>35442</v>
      </c>
      <c r="H94" s="19" t="s">
        <v>35058</v>
      </c>
      <c r="I94" s="20">
        <v>20.093</v>
      </c>
      <c r="J94" s="44" t="s">
        <v>8</v>
      </c>
      <c r="K94" s="23" t="s">
        <v>8</v>
      </c>
      <c r="L94" s="23" t="s">
        <v>8</v>
      </c>
      <c r="M94" s="23" t="s">
        <v>8</v>
      </c>
    </row>
    <row r="95" spans="1:13" s="21" customFormat="1" x14ac:dyDescent="0.25">
      <c r="A95" s="22" t="s">
        <v>8</v>
      </c>
      <c r="B95" s="18" t="str">
        <f>"015138"</f>
        <v>015138</v>
      </c>
      <c r="C95" s="19" t="s">
        <v>100</v>
      </c>
      <c r="D95" s="19" t="s">
        <v>15532</v>
      </c>
      <c r="E95" s="19" t="s">
        <v>30864</v>
      </c>
      <c r="F95" s="19" t="s">
        <v>35974</v>
      </c>
      <c r="G95" s="18" t="str">
        <f>"35553"</f>
        <v>35553</v>
      </c>
      <c r="H95" s="19" t="s">
        <v>36032</v>
      </c>
      <c r="I95" s="20">
        <v>18.925000000000001</v>
      </c>
      <c r="J95" s="44" t="s">
        <v>8</v>
      </c>
      <c r="K95" s="23" t="s">
        <v>8</v>
      </c>
      <c r="L95" s="23" t="s">
        <v>8</v>
      </c>
      <c r="M95" s="23" t="s">
        <v>8</v>
      </c>
    </row>
    <row r="96" spans="1:13" s="21" customFormat="1" x14ac:dyDescent="0.25">
      <c r="A96" s="22" t="s">
        <v>8</v>
      </c>
      <c r="B96" s="18" t="str">
        <f>"015139"</f>
        <v>015139</v>
      </c>
      <c r="C96" s="19" t="s">
        <v>101</v>
      </c>
      <c r="D96" s="19" t="s">
        <v>15533</v>
      </c>
      <c r="E96" s="19" t="s">
        <v>30803</v>
      </c>
      <c r="F96" s="19" t="s">
        <v>35974</v>
      </c>
      <c r="G96" s="18" t="str">
        <f>"36078"</f>
        <v>36078</v>
      </c>
      <c r="H96" s="19" t="s">
        <v>30825</v>
      </c>
      <c r="I96" s="20">
        <v>17.998000000000001</v>
      </c>
      <c r="J96" s="44" t="s">
        <v>8</v>
      </c>
      <c r="K96" s="23" t="s">
        <v>8</v>
      </c>
      <c r="L96" s="23" t="s">
        <v>8</v>
      </c>
      <c r="M96" s="23" t="s">
        <v>8</v>
      </c>
    </row>
    <row r="97" spans="1:13" s="21" customFormat="1" x14ac:dyDescent="0.25">
      <c r="A97" s="22" t="s">
        <v>8</v>
      </c>
      <c r="B97" s="18" t="str">
        <f>"015141"</f>
        <v>015141</v>
      </c>
      <c r="C97" s="19" t="s">
        <v>102</v>
      </c>
      <c r="D97" s="19" t="s">
        <v>15534</v>
      </c>
      <c r="E97" s="19" t="s">
        <v>30865</v>
      </c>
      <c r="F97" s="19" t="s">
        <v>35974</v>
      </c>
      <c r="G97" s="18" t="str">
        <f>"35481"</f>
        <v>35481</v>
      </c>
      <c r="H97" s="19" t="s">
        <v>35058</v>
      </c>
      <c r="I97" s="20">
        <v>21.306999999999999</v>
      </c>
      <c r="J97" s="44" t="s">
        <v>8</v>
      </c>
      <c r="K97" s="23" t="s">
        <v>8</v>
      </c>
      <c r="L97" s="23" t="s">
        <v>8</v>
      </c>
      <c r="M97" s="23" t="s">
        <v>8</v>
      </c>
    </row>
    <row r="98" spans="1:13" s="21" customFormat="1" x14ac:dyDescent="0.25">
      <c r="A98" s="22" t="s">
        <v>8</v>
      </c>
      <c r="B98" s="18" t="str">
        <f>"015142"</f>
        <v>015142</v>
      </c>
      <c r="C98" s="19" t="s">
        <v>103</v>
      </c>
      <c r="D98" s="19" t="s">
        <v>15535</v>
      </c>
      <c r="E98" s="19" t="s">
        <v>30866</v>
      </c>
      <c r="F98" s="19" t="s">
        <v>35974</v>
      </c>
      <c r="G98" s="18" t="str">
        <f>"36266"</f>
        <v>36266</v>
      </c>
      <c r="H98" s="19" t="s">
        <v>36030</v>
      </c>
      <c r="I98" s="20">
        <v>17.998999999999999</v>
      </c>
      <c r="J98" s="44" t="s">
        <v>8</v>
      </c>
      <c r="K98" s="23" t="s">
        <v>8</v>
      </c>
      <c r="L98" s="23" t="s">
        <v>8</v>
      </c>
      <c r="M98" s="23" t="s">
        <v>8</v>
      </c>
    </row>
    <row r="99" spans="1:13" s="21" customFormat="1" x14ac:dyDescent="0.25">
      <c r="A99" s="22" t="s">
        <v>8</v>
      </c>
      <c r="B99" s="18" t="str">
        <f>"015143"</f>
        <v>015143</v>
      </c>
      <c r="C99" s="19" t="s">
        <v>104</v>
      </c>
      <c r="D99" s="19" t="s">
        <v>15536</v>
      </c>
      <c r="E99" s="19" t="s">
        <v>30831</v>
      </c>
      <c r="F99" s="19" t="s">
        <v>35974</v>
      </c>
      <c r="G99" s="18" t="str">
        <f>"35476"</f>
        <v>35476</v>
      </c>
      <c r="H99" s="19" t="s">
        <v>30908</v>
      </c>
      <c r="I99" s="20">
        <v>20.274000000000001</v>
      </c>
      <c r="J99" s="44" t="s">
        <v>8</v>
      </c>
      <c r="K99" s="23" t="s">
        <v>8</v>
      </c>
      <c r="L99" s="23" t="s">
        <v>8</v>
      </c>
      <c r="M99" s="23" t="s">
        <v>8</v>
      </c>
    </row>
    <row r="100" spans="1:13" s="21" customFormat="1" x14ac:dyDescent="0.25">
      <c r="A100" s="22" t="s">
        <v>8</v>
      </c>
      <c r="B100" s="18" t="str">
        <f>"015144"</f>
        <v>015144</v>
      </c>
      <c r="C100" s="19" t="s">
        <v>105</v>
      </c>
      <c r="D100" s="19" t="s">
        <v>15537</v>
      </c>
      <c r="E100" s="19" t="s">
        <v>30867</v>
      </c>
      <c r="F100" s="19" t="s">
        <v>35974</v>
      </c>
      <c r="G100" s="18" t="str">
        <f>"35007"</f>
        <v>35007</v>
      </c>
      <c r="H100" s="19" t="s">
        <v>33565</v>
      </c>
      <c r="I100" s="20">
        <v>18.556000000000001</v>
      </c>
      <c r="J100" s="44" t="s">
        <v>8</v>
      </c>
      <c r="K100" s="23" t="s">
        <v>8</v>
      </c>
      <c r="L100" s="23" t="s">
        <v>8</v>
      </c>
      <c r="M100" s="23" t="s">
        <v>8</v>
      </c>
    </row>
    <row r="101" spans="1:13" s="21" customFormat="1" x14ac:dyDescent="0.25">
      <c r="A101" s="22" t="s">
        <v>8</v>
      </c>
      <c r="B101" s="18" t="str">
        <f>"015145"</f>
        <v>015145</v>
      </c>
      <c r="C101" s="19" t="s">
        <v>106</v>
      </c>
      <c r="D101" s="19" t="s">
        <v>15538</v>
      </c>
      <c r="E101" s="19" t="s">
        <v>30822</v>
      </c>
      <c r="F101" s="19" t="s">
        <v>35974</v>
      </c>
      <c r="G101" s="18" t="str">
        <f>"35244"</f>
        <v>35244</v>
      </c>
      <c r="H101" s="19" t="s">
        <v>32391</v>
      </c>
      <c r="I101" s="20">
        <v>18.917000000000002</v>
      </c>
      <c r="J101" s="44" t="s">
        <v>8</v>
      </c>
      <c r="K101" s="23" t="s">
        <v>8</v>
      </c>
      <c r="L101" s="23" t="s">
        <v>8</v>
      </c>
      <c r="M101" s="23" t="s">
        <v>8</v>
      </c>
    </row>
    <row r="102" spans="1:13" s="21" customFormat="1" x14ac:dyDescent="0.25">
      <c r="A102" s="22" t="s">
        <v>8</v>
      </c>
      <c r="B102" s="18" t="str">
        <f>"015147"</f>
        <v>015147</v>
      </c>
      <c r="C102" s="19" t="s">
        <v>107</v>
      </c>
      <c r="D102" s="19" t="s">
        <v>15539</v>
      </c>
      <c r="E102" s="19" t="s">
        <v>30829</v>
      </c>
      <c r="F102" s="19" t="s">
        <v>35974</v>
      </c>
      <c r="G102" s="18" t="str">
        <f>"35630"</f>
        <v>35630</v>
      </c>
      <c r="H102" s="19" t="s">
        <v>36036</v>
      </c>
      <c r="I102" s="20">
        <v>18.059999999999999</v>
      </c>
      <c r="J102" s="44" t="s">
        <v>8</v>
      </c>
      <c r="K102" s="23" t="s">
        <v>8</v>
      </c>
      <c r="L102" s="23" t="s">
        <v>8</v>
      </c>
      <c r="M102" s="23" t="s">
        <v>8</v>
      </c>
    </row>
    <row r="103" spans="1:13" s="21" customFormat="1" x14ac:dyDescent="0.25">
      <c r="A103" s="22" t="s">
        <v>8</v>
      </c>
      <c r="B103" s="18" t="str">
        <f>"015148"</f>
        <v>015148</v>
      </c>
      <c r="C103" s="19" t="s">
        <v>108</v>
      </c>
      <c r="D103" s="19" t="s">
        <v>15540</v>
      </c>
      <c r="E103" s="19" t="s">
        <v>30868</v>
      </c>
      <c r="F103" s="19" t="s">
        <v>35974</v>
      </c>
      <c r="G103" s="18" t="str">
        <f>"35016"</f>
        <v>35016</v>
      </c>
      <c r="H103" s="19" t="s">
        <v>31063</v>
      </c>
      <c r="I103" s="20">
        <v>19.670000000000002</v>
      </c>
      <c r="J103" s="44" t="s">
        <v>8</v>
      </c>
      <c r="K103" s="23" t="s">
        <v>8</v>
      </c>
      <c r="L103" s="23" t="s">
        <v>8</v>
      </c>
      <c r="M103" s="23" t="s">
        <v>8</v>
      </c>
    </row>
    <row r="104" spans="1:13" s="21" customFormat="1" x14ac:dyDescent="0.25">
      <c r="A104" s="22" t="s">
        <v>8</v>
      </c>
      <c r="B104" s="18" t="str">
        <f>"015149"</f>
        <v>015149</v>
      </c>
      <c r="C104" s="19" t="s">
        <v>109</v>
      </c>
      <c r="D104" s="19" t="s">
        <v>15541</v>
      </c>
      <c r="E104" s="19" t="s">
        <v>30869</v>
      </c>
      <c r="F104" s="19" t="s">
        <v>35974</v>
      </c>
      <c r="G104" s="18" t="str">
        <f>"35563"</f>
        <v>35563</v>
      </c>
      <c r="H104" s="19" t="s">
        <v>30850</v>
      </c>
      <c r="I104" s="20">
        <v>19.103000000000002</v>
      </c>
      <c r="J104" s="44" t="s">
        <v>8</v>
      </c>
      <c r="K104" s="23" t="s">
        <v>8</v>
      </c>
      <c r="L104" s="23" t="s">
        <v>8</v>
      </c>
      <c r="M104" s="23" t="s">
        <v>8</v>
      </c>
    </row>
    <row r="105" spans="1:13" s="21" customFormat="1" x14ac:dyDescent="0.25">
      <c r="A105" s="22" t="s">
        <v>8</v>
      </c>
      <c r="B105" s="18" t="str">
        <f>"015150"</f>
        <v>015150</v>
      </c>
      <c r="C105" s="19" t="s">
        <v>110</v>
      </c>
      <c r="D105" s="19" t="s">
        <v>15542</v>
      </c>
      <c r="E105" s="19" t="s">
        <v>30870</v>
      </c>
      <c r="F105" s="19" t="s">
        <v>35974</v>
      </c>
      <c r="G105" s="18" t="str">
        <f>"36340"</f>
        <v>36340</v>
      </c>
      <c r="H105" s="19" t="s">
        <v>30870</v>
      </c>
      <c r="I105" s="20">
        <v>17.193000000000001</v>
      </c>
      <c r="J105" s="44" t="s">
        <v>8</v>
      </c>
      <c r="K105" s="23" t="s">
        <v>8</v>
      </c>
      <c r="L105" s="23" t="s">
        <v>8</v>
      </c>
      <c r="M105" s="23" t="s">
        <v>8</v>
      </c>
    </row>
    <row r="106" spans="1:13" s="21" customFormat="1" x14ac:dyDescent="0.25">
      <c r="A106" s="22" t="s">
        <v>8</v>
      </c>
      <c r="B106" s="18" t="str">
        <f>"015151"</f>
        <v>015151</v>
      </c>
      <c r="C106" s="19" t="s">
        <v>111</v>
      </c>
      <c r="D106" s="19" t="s">
        <v>15543</v>
      </c>
      <c r="E106" s="19" t="s">
        <v>30848</v>
      </c>
      <c r="F106" s="19" t="s">
        <v>35974</v>
      </c>
      <c r="G106" s="18" t="str">
        <f>"36607"</f>
        <v>36607</v>
      </c>
      <c r="H106" s="19" t="s">
        <v>30848</v>
      </c>
      <c r="I106" s="20">
        <v>16.212</v>
      </c>
      <c r="J106" s="44" t="s">
        <v>8</v>
      </c>
      <c r="K106" s="23" t="s">
        <v>8</v>
      </c>
      <c r="L106" s="23" t="s">
        <v>8</v>
      </c>
      <c r="M106" s="23" t="s">
        <v>8</v>
      </c>
    </row>
    <row r="107" spans="1:13" s="21" customFormat="1" x14ac:dyDescent="0.25">
      <c r="A107" s="22" t="s">
        <v>8</v>
      </c>
      <c r="B107" s="18" t="str">
        <f>"015152"</f>
        <v>015152</v>
      </c>
      <c r="C107" s="19" t="s">
        <v>112</v>
      </c>
      <c r="D107" s="19" t="s">
        <v>15544</v>
      </c>
      <c r="E107" s="19" t="s">
        <v>30871</v>
      </c>
      <c r="F107" s="19" t="s">
        <v>35974</v>
      </c>
      <c r="G107" s="18" t="str">
        <f>"36302"</f>
        <v>36302</v>
      </c>
      <c r="H107" s="19" t="s">
        <v>33493</v>
      </c>
      <c r="I107" s="20">
        <v>17.690999999999999</v>
      </c>
      <c r="J107" s="44" t="s">
        <v>8</v>
      </c>
      <c r="K107" s="23" t="s">
        <v>8</v>
      </c>
      <c r="L107" s="23" t="s">
        <v>8</v>
      </c>
      <c r="M107" s="23" t="s">
        <v>8</v>
      </c>
    </row>
    <row r="108" spans="1:13" s="21" customFormat="1" x14ac:dyDescent="0.25">
      <c r="A108" s="22" t="s">
        <v>8</v>
      </c>
      <c r="B108" s="18" t="str">
        <f>"015153"</f>
        <v>015153</v>
      </c>
      <c r="C108" s="19" t="s">
        <v>113</v>
      </c>
      <c r="D108" s="19" t="s">
        <v>15545</v>
      </c>
      <c r="E108" s="19" t="s">
        <v>30822</v>
      </c>
      <c r="F108" s="19" t="s">
        <v>35974</v>
      </c>
      <c r="G108" s="18" t="str">
        <f>"35211"</f>
        <v>35211</v>
      </c>
      <c r="H108" s="19" t="s">
        <v>32391</v>
      </c>
      <c r="I108" s="20">
        <v>20.619</v>
      </c>
      <c r="J108" s="44" t="s">
        <v>8</v>
      </c>
      <c r="K108" s="23" t="s">
        <v>8</v>
      </c>
      <c r="L108" s="23" t="s">
        <v>8</v>
      </c>
      <c r="M108" s="23" t="s">
        <v>8</v>
      </c>
    </row>
    <row r="109" spans="1:13" s="21" customFormat="1" x14ac:dyDescent="0.25">
      <c r="A109" s="22" t="s">
        <v>8</v>
      </c>
      <c r="B109" s="18" t="str">
        <f>"015154"</f>
        <v>015154</v>
      </c>
      <c r="C109" s="19" t="s">
        <v>114</v>
      </c>
      <c r="D109" s="19" t="s">
        <v>15448</v>
      </c>
      <c r="E109" s="19" t="s">
        <v>30805</v>
      </c>
      <c r="F109" s="19" t="s">
        <v>35974</v>
      </c>
      <c r="G109" s="18" t="str">
        <f>"35555"</f>
        <v>35555</v>
      </c>
      <c r="H109" s="19" t="s">
        <v>30805</v>
      </c>
      <c r="I109" s="20">
        <v>18.425999999999998</v>
      </c>
      <c r="J109" s="44" t="s">
        <v>8</v>
      </c>
      <c r="K109" s="23" t="s">
        <v>8</v>
      </c>
      <c r="L109" s="23" t="s">
        <v>8</v>
      </c>
      <c r="M109" s="23" t="s">
        <v>8</v>
      </c>
    </row>
    <row r="110" spans="1:13" s="21" customFormat="1" x14ac:dyDescent="0.25">
      <c r="A110" s="22" t="s">
        <v>8</v>
      </c>
      <c r="B110" s="18" t="str">
        <f>"015155"</f>
        <v>015155</v>
      </c>
      <c r="C110" s="19" t="s">
        <v>115</v>
      </c>
      <c r="D110" s="19" t="s">
        <v>15546</v>
      </c>
      <c r="E110" s="19" t="s">
        <v>30854</v>
      </c>
      <c r="F110" s="19" t="s">
        <v>35974</v>
      </c>
      <c r="G110" s="18" t="str">
        <f>"35504"</f>
        <v>35504</v>
      </c>
      <c r="H110" s="19" t="s">
        <v>33386</v>
      </c>
      <c r="I110" s="20">
        <v>21.838000000000001</v>
      </c>
      <c r="J110" s="44" t="s">
        <v>8</v>
      </c>
      <c r="K110" s="23" t="s">
        <v>8</v>
      </c>
      <c r="L110" s="23" t="s">
        <v>8</v>
      </c>
      <c r="M110" s="23" t="s">
        <v>8</v>
      </c>
    </row>
    <row r="111" spans="1:13" s="21" customFormat="1" x14ac:dyDescent="0.25">
      <c r="A111" s="22" t="s">
        <v>8</v>
      </c>
      <c r="B111" s="18" t="str">
        <f>"015156"</f>
        <v>015156</v>
      </c>
      <c r="C111" s="19" t="s">
        <v>116</v>
      </c>
      <c r="D111" s="19" t="s">
        <v>15547</v>
      </c>
      <c r="E111" s="19" t="s">
        <v>30872</v>
      </c>
      <c r="F111" s="19" t="s">
        <v>35974</v>
      </c>
      <c r="G111" s="18" t="str">
        <f>"35967"</f>
        <v>35967</v>
      </c>
      <c r="H111" s="19" t="s">
        <v>31954</v>
      </c>
      <c r="I111" s="20">
        <v>17.436</v>
      </c>
      <c r="J111" s="44" t="s">
        <v>8</v>
      </c>
      <c r="K111" s="23" t="s">
        <v>8</v>
      </c>
      <c r="L111" s="23" t="s">
        <v>8</v>
      </c>
      <c r="M111" s="23" t="s">
        <v>8</v>
      </c>
    </row>
    <row r="112" spans="1:13" s="21" customFormat="1" x14ac:dyDescent="0.25">
      <c r="A112" s="22" t="s">
        <v>8</v>
      </c>
      <c r="B112" s="18" t="str">
        <f>"015157"</f>
        <v>015157</v>
      </c>
      <c r="C112" s="19" t="s">
        <v>117</v>
      </c>
      <c r="D112" s="19" t="s">
        <v>15548</v>
      </c>
      <c r="E112" s="19" t="s">
        <v>30814</v>
      </c>
      <c r="F112" s="19" t="s">
        <v>35974</v>
      </c>
      <c r="G112" s="18" t="str">
        <f>"35565"</f>
        <v>35565</v>
      </c>
      <c r="H112" s="19" t="s">
        <v>36032</v>
      </c>
      <c r="I112" s="20">
        <v>17.946000000000002</v>
      </c>
      <c r="J112" s="44" t="s">
        <v>8</v>
      </c>
      <c r="K112" s="23" t="s">
        <v>8</v>
      </c>
      <c r="L112" s="23" t="s">
        <v>8</v>
      </c>
      <c r="M112" s="23" t="s">
        <v>8</v>
      </c>
    </row>
    <row r="113" spans="1:13" s="21" customFormat="1" x14ac:dyDescent="0.25">
      <c r="A113" s="22" t="s">
        <v>8</v>
      </c>
      <c r="B113" s="18" t="str">
        <f>"015158"</f>
        <v>015158</v>
      </c>
      <c r="C113" s="19" t="s">
        <v>118</v>
      </c>
      <c r="D113" s="19" t="s">
        <v>15549</v>
      </c>
      <c r="E113" s="19" t="s">
        <v>30850</v>
      </c>
      <c r="F113" s="19" t="s">
        <v>35974</v>
      </c>
      <c r="G113" s="18" t="str">
        <f>"36756"</f>
        <v>36756</v>
      </c>
      <c r="H113" s="19" t="s">
        <v>31503</v>
      </c>
      <c r="I113" s="20">
        <v>18.603000000000002</v>
      </c>
      <c r="J113" s="44" t="s">
        <v>8</v>
      </c>
      <c r="K113" s="23" t="s">
        <v>8</v>
      </c>
      <c r="L113" s="23" t="s">
        <v>8</v>
      </c>
      <c r="M113" s="23" t="s">
        <v>8</v>
      </c>
    </row>
    <row r="114" spans="1:13" s="21" customFormat="1" x14ac:dyDescent="0.25">
      <c r="A114" s="22" t="s">
        <v>8</v>
      </c>
      <c r="B114" s="18" t="str">
        <f>"015159"</f>
        <v>015159</v>
      </c>
      <c r="C114" s="19" t="s">
        <v>119</v>
      </c>
      <c r="D114" s="19" t="s">
        <v>15550</v>
      </c>
      <c r="E114" s="19" t="s">
        <v>30873</v>
      </c>
      <c r="F114" s="19" t="s">
        <v>35974</v>
      </c>
      <c r="G114" s="18" t="str">
        <f>"35121"</f>
        <v>35121</v>
      </c>
      <c r="H114" s="19" t="s">
        <v>36041</v>
      </c>
      <c r="I114" s="20">
        <v>18.204999999999998</v>
      </c>
      <c r="J114" s="44" t="s">
        <v>8</v>
      </c>
      <c r="K114" s="23" t="s">
        <v>8</v>
      </c>
      <c r="L114" s="23" t="s">
        <v>8</v>
      </c>
      <c r="M114" s="23" t="s">
        <v>8</v>
      </c>
    </row>
    <row r="115" spans="1:13" s="21" customFormat="1" x14ac:dyDescent="0.25">
      <c r="A115" s="22" t="s">
        <v>8</v>
      </c>
      <c r="B115" s="18" t="str">
        <f>"015160"</f>
        <v>015160</v>
      </c>
      <c r="C115" s="19" t="s">
        <v>120</v>
      </c>
      <c r="D115" s="19" t="s">
        <v>15551</v>
      </c>
      <c r="E115" s="19" t="s">
        <v>30820</v>
      </c>
      <c r="F115" s="19" t="s">
        <v>35974</v>
      </c>
      <c r="G115" s="18" t="str">
        <f>"35150"</f>
        <v>35150</v>
      </c>
      <c r="H115" s="19" t="s">
        <v>30874</v>
      </c>
      <c r="I115" s="20">
        <v>21.379000000000001</v>
      </c>
      <c r="J115" s="44" t="s">
        <v>8</v>
      </c>
      <c r="K115" s="23" t="s">
        <v>8</v>
      </c>
      <c r="L115" s="23" t="s">
        <v>8</v>
      </c>
      <c r="M115" s="23" t="s">
        <v>8</v>
      </c>
    </row>
    <row r="116" spans="1:13" s="21" customFormat="1" x14ac:dyDescent="0.25">
      <c r="A116" s="22" t="s">
        <v>8</v>
      </c>
      <c r="B116" s="18" t="str">
        <f>"015162"</f>
        <v>015162</v>
      </c>
      <c r="C116" s="19" t="s">
        <v>121</v>
      </c>
      <c r="D116" s="19" t="s">
        <v>15552</v>
      </c>
      <c r="E116" s="19" t="s">
        <v>30874</v>
      </c>
      <c r="F116" s="19" t="s">
        <v>35974</v>
      </c>
      <c r="G116" s="18" t="str">
        <f>"35160"</f>
        <v>35160</v>
      </c>
      <c r="H116" s="19" t="s">
        <v>30874</v>
      </c>
      <c r="I116" s="20">
        <v>18.248999999999999</v>
      </c>
      <c r="J116" s="44" t="s">
        <v>8</v>
      </c>
      <c r="K116" s="23" t="s">
        <v>8</v>
      </c>
      <c r="L116" s="23" t="s">
        <v>8</v>
      </c>
      <c r="M116" s="23" t="s">
        <v>8</v>
      </c>
    </row>
    <row r="117" spans="1:13" s="21" customFormat="1" x14ac:dyDescent="0.25">
      <c r="A117" s="22" t="s">
        <v>8</v>
      </c>
      <c r="B117" s="18" t="str">
        <f>"015163"</f>
        <v>015163</v>
      </c>
      <c r="C117" s="19" t="s">
        <v>122</v>
      </c>
      <c r="D117" s="19" t="s">
        <v>15553</v>
      </c>
      <c r="E117" s="19" t="s">
        <v>30875</v>
      </c>
      <c r="F117" s="19" t="s">
        <v>35974</v>
      </c>
      <c r="G117" s="18" t="str">
        <f>"35950"</f>
        <v>35950</v>
      </c>
      <c r="H117" s="19" t="s">
        <v>31063</v>
      </c>
      <c r="I117" s="20">
        <v>18.03</v>
      </c>
      <c r="J117" s="44" t="s">
        <v>8</v>
      </c>
      <c r="K117" s="23" t="s">
        <v>8</v>
      </c>
      <c r="L117" s="23" t="s">
        <v>8</v>
      </c>
      <c r="M117" s="23" t="s">
        <v>8</v>
      </c>
    </row>
    <row r="118" spans="1:13" s="21" customFormat="1" x14ac:dyDescent="0.25">
      <c r="A118" s="22" t="s">
        <v>8</v>
      </c>
      <c r="B118" s="18" t="str">
        <f>"015164"</f>
        <v>015164</v>
      </c>
      <c r="C118" s="19" t="s">
        <v>123</v>
      </c>
      <c r="D118" s="19" t="s">
        <v>15554</v>
      </c>
      <c r="E118" s="19" t="s">
        <v>30876</v>
      </c>
      <c r="F118" s="19" t="s">
        <v>35974</v>
      </c>
      <c r="G118" s="18" t="str">
        <f>"36904"</f>
        <v>36904</v>
      </c>
      <c r="H118" s="19" t="s">
        <v>36042</v>
      </c>
      <c r="I118" s="20">
        <v>16.503</v>
      </c>
      <c r="J118" s="44" t="s">
        <v>8</v>
      </c>
      <c r="K118" s="23" t="s">
        <v>8</v>
      </c>
      <c r="L118" s="23" t="s">
        <v>8</v>
      </c>
      <c r="M118" s="23" t="s">
        <v>8</v>
      </c>
    </row>
    <row r="119" spans="1:13" s="21" customFormat="1" x14ac:dyDescent="0.25">
      <c r="A119" s="22" t="s">
        <v>8</v>
      </c>
      <c r="B119" s="18" t="str">
        <f>"015166"</f>
        <v>015166</v>
      </c>
      <c r="C119" s="19" t="s">
        <v>124</v>
      </c>
      <c r="D119" s="19" t="s">
        <v>15555</v>
      </c>
      <c r="E119" s="19" t="s">
        <v>30877</v>
      </c>
      <c r="F119" s="19" t="s">
        <v>35974</v>
      </c>
      <c r="G119" s="18" t="str">
        <f>"36853"</f>
        <v>36853</v>
      </c>
      <c r="H119" s="19" t="s">
        <v>36043</v>
      </c>
      <c r="I119" s="20">
        <v>20.645</v>
      </c>
      <c r="J119" s="44" t="s">
        <v>8</v>
      </c>
      <c r="K119" s="23" t="s">
        <v>8</v>
      </c>
      <c r="L119" s="23" t="s">
        <v>8</v>
      </c>
      <c r="M119" s="23" t="s">
        <v>8</v>
      </c>
    </row>
    <row r="120" spans="1:13" s="21" customFormat="1" x14ac:dyDescent="0.25">
      <c r="A120" s="22" t="s">
        <v>8</v>
      </c>
      <c r="B120" s="18" t="str">
        <f>"015167"</f>
        <v>015167</v>
      </c>
      <c r="C120" s="19" t="s">
        <v>125</v>
      </c>
      <c r="D120" s="19" t="s">
        <v>15556</v>
      </c>
      <c r="E120" s="19" t="s">
        <v>30804</v>
      </c>
      <c r="F120" s="19" t="s">
        <v>35974</v>
      </c>
      <c r="G120" s="18" t="str">
        <f>"35570"</f>
        <v>35570</v>
      </c>
      <c r="H120" s="19" t="s">
        <v>30850</v>
      </c>
      <c r="I120" s="20">
        <v>17.722000000000001</v>
      </c>
      <c r="J120" s="44" t="s">
        <v>8</v>
      </c>
      <c r="K120" s="23" t="s">
        <v>8</v>
      </c>
      <c r="L120" s="23" t="s">
        <v>8</v>
      </c>
      <c r="M120" s="23" t="s">
        <v>8</v>
      </c>
    </row>
    <row r="121" spans="1:13" s="21" customFormat="1" x14ac:dyDescent="0.25">
      <c r="A121" s="22" t="s">
        <v>8</v>
      </c>
      <c r="B121" s="18" t="str">
        <f>"015168"</f>
        <v>015168</v>
      </c>
      <c r="C121" s="19" t="s">
        <v>126</v>
      </c>
      <c r="D121" s="19" t="s">
        <v>15557</v>
      </c>
      <c r="E121" s="19" t="s">
        <v>30848</v>
      </c>
      <c r="F121" s="19" t="s">
        <v>35974</v>
      </c>
      <c r="G121" s="18" t="str">
        <f>"36604"</f>
        <v>36604</v>
      </c>
      <c r="H121" s="19" t="s">
        <v>30848</v>
      </c>
      <c r="I121" s="20">
        <v>19.798999999999999</v>
      </c>
      <c r="J121" s="44" t="s">
        <v>8</v>
      </c>
      <c r="K121" s="23" t="s">
        <v>8</v>
      </c>
      <c r="L121" s="23" t="s">
        <v>8</v>
      </c>
      <c r="M121" s="23" t="s">
        <v>8</v>
      </c>
    </row>
    <row r="122" spans="1:13" s="21" customFormat="1" x14ac:dyDescent="0.25">
      <c r="A122" s="22" t="s">
        <v>8</v>
      </c>
      <c r="B122" s="18" t="str">
        <f>"015169"</f>
        <v>015169</v>
      </c>
      <c r="C122" s="19" t="s">
        <v>127</v>
      </c>
      <c r="D122" s="19" t="s">
        <v>15558</v>
      </c>
      <c r="E122" s="19" t="s">
        <v>30829</v>
      </c>
      <c r="F122" s="19" t="s">
        <v>35974</v>
      </c>
      <c r="G122" s="18" t="str">
        <f>"35630"</f>
        <v>35630</v>
      </c>
      <c r="H122" s="19" t="s">
        <v>36036</v>
      </c>
      <c r="I122" s="20">
        <v>18.675999999999998</v>
      </c>
      <c r="J122" s="44" t="s">
        <v>8</v>
      </c>
      <c r="K122" s="23" t="s">
        <v>8</v>
      </c>
      <c r="L122" s="23" t="s">
        <v>8</v>
      </c>
      <c r="M122" s="23" t="s">
        <v>8</v>
      </c>
    </row>
    <row r="123" spans="1:13" s="21" customFormat="1" x14ac:dyDescent="0.25">
      <c r="A123" s="22" t="s">
        <v>8</v>
      </c>
      <c r="B123" s="18" t="str">
        <f>"015171"</f>
        <v>015171</v>
      </c>
      <c r="C123" s="19" t="s">
        <v>128</v>
      </c>
      <c r="D123" s="19" t="s">
        <v>15559</v>
      </c>
      <c r="E123" s="19" t="s">
        <v>30878</v>
      </c>
      <c r="F123" s="19" t="s">
        <v>35974</v>
      </c>
      <c r="G123" s="18" t="str">
        <f>"36089"</f>
        <v>36089</v>
      </c>
      <c r="H123" s="19" t="s">
        <v>36044</v>
      </c>
      <c r="I123" s="20">
        <v>20.324999999999999</v>
      </c>
      <c r="J123" s="44" t="s">
        <v>8</v>
      </c>
      <c r="K123" s="23" t="s">
        <v>8</v>
      </c>
      <c r="L123" s="23" t="s">
        <v>8</v>
      </c>
      <c r="M123" s="23" t="s">
        <v>8</v>
      </c>
    </row>
    <row r="124" spans="1:13" s="21" customFormat="1" x14ac:dyDescent="0.25">
      <c r="A124" s="22" t="s">
        <v>8</v>
      </c>
      <c r="B124" s="18" t="str">
        <f>"015174"</f>
        <v>015174</v>
      </c>
      <c r="C124" s="19" t="s">
        <v>129</v>
      </c>
      <c r="D124" s="19" t="s">
        <v>15560</v>
      </c>
      <c r="E124" s="19" t="s">
        <v>30879</v>
      </c>
      <c r="F124" s="19" t="s">
        <v>35974</v>
      </c>
      <c r="G124" s="18" t="str">
        <f>"35905"</f>
        <v>35905</v>
      </c>
      <c r="H124" s="19" t="s">
        <v>35172</v>
      </c>
      <c r="I124" s="20">
        <v>19.663</v>
      </c>
      <c r="J124" s="44" t="s">
        <v>8</v>
      </c>
      <c r="K124" s="23" t="s">
        <v>8</v>
      </c>
      <c r="L124" s="23" t="s">
        <v>8</v>
      </c>
      <c r="M124" s="23" t="s">
        <v>8</v>
      </c>
    </row>
    <row r="125" spans="1:13" s="21" customFormat="1" x14ac:dyDescent="0.25">
      <c r="A125" s="22" t="s">
        <v>8</v>
      </c>
      <c r="B125" s="18" t="str">
        <f>"015175"</f>
        <v>015175</v>
      </c>
      <c r="C125" s="19" t="s">
        <v>130</v>
      </c>
      <c r="D125" s="19" t="s">
        <v>15561</v>
      </c>
      <c r="E125" s="19" t="s">
        <v>30871</v>
      </c>
      <c r="F125" s="19" t="s">
        <v>35974</v>
      </c>
      <c r="G125" s="18" t="str">
        <f>"36305"</f>
        <v>36305</v>
      </c>
      <c r="H125" s="19" t="s">
        <v>33493</v>
      </c>
      <c r="I125" s="20">
        <v>16.661000000000001</v>
      </c>
      <c r="J125" s="44" t="s">
        <v>8</v>
      </c>
      <c r="K125" s="23" t="s">
        <v>8</v>
      </c>
      <c r="L125" s="23" t="s">
        <v>8</v>
      </c>
      <c r="M125" s="23" t="s">
        <v>8</v>
      </c>
    </row>
    <row r="126" spans="1:13" s="21" customFormat="1" x14ac:dyDescent="0.25">
      <c r="A126" s="22" t="s">
        <v>8</v>
      </c>
      <c r="B126" s="18" t="str">
        <f>"015176"</f>
        <v>015176</v>
      </c>
      <c r="C126" s="19" t="s">
        <v>131</v>
      </c>
      <c r="D126" s="19" t="s">
        <v>15562</v>
      </c>
      <c r="E126" s="19" t="s">
        <v>30880</v>
      </c>
      <c r="F126" s="19" t="s">
        <v>35974</v>
      </c>
      <c r="G126" s="18" t="str">
        <f>"35962"</f>
        <v>35962</v>
      </c>
      <c r="H126" s="19" t="s">
        <v>31954</v>
      </c>
      <c r="I126" s="20">
        <v>20.576000000000001</v>
      </c>
      <c r="J126" s="44" t="s">
        <v>8</v>
      </c>
      <c r="K126" s="23" t="s">
        <v>8</v>
      </c>
      <c r="L126" s="23" t="s">
        <v>8</v>
      </c>
      <c r="M126" s="23" t="s">
        <v>8</v>
      </c>
    </row>
    <row r="127" spans="1:13" s="21" customFormat="1" x14ac:dyDescent="0.25">
      <c r="A127" s="22" t="s">
        <v>8</v>
      </c>
      <c r="B127" s="18" t="str">
        <f>"015177"</f>
        <v>015177</v>
      </c>
      <c r="C127" s="19" t="s">
        <v>132</v>
      </c>
      <c r="D127" s="19" t="s">
        <v>15563</v>
      </c>
      <c r="E127" s="19" t="s">
        <v>30813</v>
      </c>
      <c r="F127" s="19" t="s">
        <v>35974</v>
      </c>
      <c r="G127" s="18" t="str">
        <f>"36732"</f>
        <v>36732</v>
      </c>
      <c r="H127" s="19" t="s">
        <v>32186</v>
      </c>
      <c r="I127" s="20">
        <v>19.922000000000001</v>
      </c>
      <c r="J127" s="44" t="s">
        <v>8</v>
      </c>
      <c r="K127" s="23" t="s">
        <v>8</v>
      </c>
      <c r="L127" s="23" t="s">
        <v>8</v>
      </c>
      <c r="M127" s="23" t="s">
        <v>8</v>
      </c>
    </row>
    <row r="128" spans="1:13" s="21" customFormat="1" x14ac:dyDescent="0.25">
      <c r="A128" s="22" t="s">
        <v>8</v>
      </c>
      <c r="B128" s="18" t="str">
        <f>"015178"</f>
        <v>015178</v>
      </c>
      <c r="C128" s="19" t="s">
        <v>133</v>
      </c>
      <c r="D128" s="19" t="s">
        <v>15564</v>
      </c>
      <c r="E128" s="19" t="s">
        <v>30881</v>
      </c>
      <c r="F128" s="19" t="s">
        <v>35974</v>
      </c>
      <c r="G128" s="18" t="str">
        <f>"35462"</f>
        <v>35462</v>
      </c>
      <c r="H128" s="19" t="s">
        <v>32455</v>
      </c>
      <c r="I128" s="20">
        <v>20.419</v>
      </c>
      <c r="J128" s="44" t="s">
        <v>8</v>
      </c>
      <c r="K128" s="23" t="s">
        <v>8</v>
      </c>
      <c r="L128" s="23" t="s">
        <v>8</v>
      </c>
      <c r="M128" s="23" t="s">
        <v>8</v>
      </c>
    </row>
    <row r="129" spans="1:13" s="21" customFormat="1" x14ac:dyDescent="0.25">
      <c r="A129" s="22" t="s">
        <v>8</v>
      </c>
      <c r="B129" s="18" t="str">
        <f>"015179"</f>
        <v>015179</v>
      </c>
      <c r="C129" s="19" t="s">
        <v>134</v>
      </c>
      <c r="D129" s="19" t="s">
        <v>15565</v>
      </c>
      <c r="E129" s="19" t="s">
        <v>30882</v>
      </c>
      <c r="F129" s="19" t="s">
        <v>35974</v>
      </c>
      <c r="G129" s="18" t="str">
        <f>"36867"</f>
        <v>36867</v>
      </c>
      <c r="H129" s="19" t="s">
        <v>32602</v>
      </c>
      <c r="I129" s="20">
        <v>20.946000000000002</v>
      </c>
      <c r="J129" s="44" t="s">
        <v>8</v>
      </c>
      <c r="K129" s="23" t="s">
        <v>8</v>
      </c>
      <c r="L129" s="23" t="s">
        <v>8</v>
      </c>
      <c r="M129" s="23" t="s">
        <v>8</v>
      </c>
    </row>
    <row r="130" spans="1:13" s="21" customFormat="1" x14ac:dyDescent="0.25">
      <c r="A130" s="22" t="s">
        <v>8</v>
      </c>
      <c r="B130" s="18" t="str">
        <f>"015180"</f>
        <v>015180</v>
      </c>
      <c r="C130" s="19" t="s">
        <v>135</v>
      </c>
      <c r="D130" s="19" t="s">
        <v>15566</v>
      </c>
      <c r="E130" s="19" t="s">
        <v>30883</v>
      </c>
      <c r="F130" s="19" t="s">
        <v>35974</v>
      </c>
      <c r="G130" s="18" t="str">
        <f>"35904"</f>
        <v>35904</v>
      </c>
      <c r="H130" s="19" t="s">
        <v>35172</v>
      </c>
      <c r="I130" s="20">
        <v>24.344000000000001</v>
      </c>
      <c r="J130" s="44" t="s">
        <v>8</v>
      </c>
      <c r="K130" s="23" t="s">
        <v>8</v>
      </c>
      <c r="L130" s="23" t="s">
        <v>8</v>
      </c>
      <c r="M130" s="23" t="s">
        <v>8</v>
      </c>
    </row>
    <row r="131" spans="1:13" s="21" customFormat="1" x14ac:dyDescent="0.25">
      <c r="A131" s="22" t="s">
        <v>8</v>
      </c>
      <c r="B131" s="18" t="str">
        <f>"015182"</f>
        <v>015182</v>
      </c>
      <c r="C131" s="19" t="s">
        <v>136</v>
      </c>
      <c r="D131" s="19" t="s">
        <v>15567</v>
      </c>
      <c r="E131" s="19" t="s">
        <v>30884</v>
      </c>
      <c r="F131" s="19" t="s">
        <v>35974</v>
      </c>
      <c r="G131" s="18" t="str">
        <f>"36033"</f>
        <v>36033</v>
      </c>
      <c r="H131" s="19" t="s">
        <v>30876</v>
      </c>
      <c r="I131" s="20">
        <v>21.26</v>
      </c>
      <c r="J131" s="44" t="s">
        <v>8</v>
      </c>
      <c r="K131" s="23" t="s">
        <v>8</v>
      </c>
      <c r="L131" s="23" t="s">
        <v>8</v>
      </c>
      <c r="M131" s="23" t="s">
        <v>8</v>
      </c>
    </row>
    <row r="132" spans="1:13" s="21" customFormat="1" x14ac:dyDescent="0.25">
      <c r="A132" s="22" t="s">
        <v>8</v>
      </c>
      <c r="B132" s="18" t="str">
        <f>"015183"</f>
        <v>015183</v>
      </c>
      <c r="C132" s="19" t="s">
        <v>137</v>
      </c>
      <c r="D132" s="19" t="s">
        <v>15568</v>
      </c>
      <c r="E132" s="19" t="s">
        <v>30885</v>
      </c>
      <c r="F132" s="19" t="s">
        <v>35974</v>
      </c>
      <c r="G132" s="18" t="str">
        <f>"36613"</f>
        <v>36613</v>
      </c>
      <c r="H132" s="19" t="s">
        <v>30848</v>
      </c>
      <c r="I132" s="20">
        <v>19.966000000000001</v>
      </c>
      <c r="J132" s="44" t="s">
        <v>8</v>
      </c>
      <c r="K132" s="23" t="s">
        <v>8</v>
      </c>
      <c r="L132" s="23" t="s">
        <v>8</v>
      </c>
      <c r="M132" s="23" t="s">
        <v>8</v>
      </c>
    </row>
    <row r="133" spans="1:13" s="21" customFormat="1" x14ac:dyDescent="0.25">
      <c r="A133" s="22" t="s">
        <v>8</v>
      </c>
      <c r="B133" s="18" t="str">
        <f>"015184"</f>
        <v>015184</v>
      </c>
      <c r="C133" s="19" t="s">
        <v>138</v>
      </c>
      <c r="D133" s="19" t="s">
        <v>15569</v>
      </c>
      <c r="E133" s="19" t="s">
        <v>30821</v>
      </c>
      <c r="F133" s="19" t="s">
        <v>35974</v>
      </c>
      <c r="G133" s="18" t="str">
        <f>"35768"</f>
        <v>35768</v>
      </c>
      <c r="H133" s="19" t="s">
        <v>30816</v>
      </c>
      <c r="I133" s="20">
        <v>22.138999999999999</v>
      </c>
      <c r="J133" s="44" t="s">
        <v>8</v>
      </c>
      <c r="K133" s="23" t="s">
        <v>8</v>
      </c>
      <c r="L133" s="23" t="s">
        <v>8</v>
      </c>
      <c r="M133" s="23" t="s">
        <v>8</v>
      </c>
    </row>
    <row r="134" spans="1:13" s="21" customFormat="1" x14ac:dyDescent="0.25">
      <c r="A134" s="22" t="s">
        <v>8</v>
      </c>
      <c r="B134" s="18" t="str">
        <f>"015186"</f>
        <v>015186</v>
      </c>
      <c r="C134" s="19" t="s">
        <v>139</v>
      </c>
      <c r="D134" s="19" t="s">
        <v>15570</v>
      </c>
      <c r="E134" s="19" t="s">
        <v>30831</v>
      </c>
      <c r="F134" s="19" t="s">
        <v>35974</v>
      </c>
      <c r="G134" s="18" t="str">
        <f>"35476"</f>
        <v>35476</v>
      </c>
      <c r="H134" s="19" t="s">
        <v>30908</v>
      </c>
      <c r="I134" s="20">
        <v>21.518000000000001</v>
      </c>
      <c r="J134" s="44" t="s">
        <v>8</v>
      </c>
      <c r="K134" s="23" t="s">
        <v>8</v>
      </c>
      <c r="L134" s="23" t="s">
        <v>8</v>
      </c>
      <c r="M134" s="23" t="s">
        <v>8</v>
      </c>
    </row>
    <row r="135" spans="1:13" s="21" customFormat="1" x14ac:dyDescent="0.25">
      <c r="A135" s="22" t="s">
        <v>8</v>
      </c>
      <c r="B135" s="18" t="str">
        <f>"015187"</f>
        <v>015187</v>
      </c>
      <c r="C135" s="19" t="s">
        <v>140</v>
      </c>
      <c r="D135" s="19" t="s">
        <v>15571</v>
      </c>
      <c r="E135" s="19" t="s">
        <v>30886</v>
      </c>
      <c r="F135" s="19" t="s">
        <v>35974</v>
      </c>
      <c r="G135" s="18" t="str">
        <f>"35474"</f>
        <v>35474</v>
      </c>
      <c r="H135" s="19" t="s">
        <v>36031</v>
      </c>
      <c r="I135" s="20">
        <v>19.690000000000001</v>
      </c>
      <c r="J135" s="44" t="s">
        <v>8</v>
      </c>
      <c r="K135" s="23" t="s">
        <v>8</v>
      </c>
      <c r="L135" s="23" t="s">
        <v>8</v>
      </c>
      <c r="M135" s="23" t="s">
        <v>8</v>
      </c>
    </row>
    <row r="136" spans="1:13" s="21" customFormat="1" x14ac:dyDescent="0.25">
      <c r="A136" s="22" t="s">
        <v>8</v>
      </c>
      <c r="B136" s="18" t="str">
        <f>"015188"</f>
        <v>015188</v>
      </c>
      <c r="C136" s="19" t="s">
        <v>141</v>
      </c>
      <c r="D136" s="19" t="s">
        <v>15572</v>
      </c>
      <c r="E136" s="19" t="s">
        <v>30816</v>
      </c>
      <c r="F136" s="19" t="s">
        <v>35974</v>
      </c>
      <c r="G136" s="18" t="str">
        <f>"36545"</f>
        <v>36545</v>
      </c>
      <c r="H136" s="19" t="s">
        <v>36034</v>
      </c>
      <c r="I136" s="20">
        <v>17.521999999999998</v>
      </c>
      <c r="J136" s="44" t="s">
        <v>8</v>
      </c>
      <c r="K136" s="23" t="s">
        <v>8</v>
      </c>
      <c r="L136" s="23" t="s">
        <v>8</v>
      </c>
      <c r="M136" s="23" t="s">
        <v>8</v>
      </c>
    </row>
    <row r="137" spans="1:13" s="21" customFormat="1" x14ac:dyDescent="0.25">
      <c r="A137" s="22" t="s">
        <v>8</v>
      </c>
      <c r="B137" s="18" t="str">
        <f>"015189"</f>
        <v>015189</v>
      </c>
      <c r="C137" s="19" t="s">
        <v>142</v>
      </c>
      <c r="D137" s="19" t="s">
        <v>15573</v>
      </c>
      <c r="E137" s="19" t="s">
        <v>30887</v>
      </c>
      <c r="F137" s="19" t="s">
        <v>35974</v>
      </c>
      <c r="G137" s="18" t="str">
        <f>"35125"</f>
        <v>35125</v>
      </c>
      <c r="H137" s="19" t="s">
        <v>33662</v>
      </c>
      <c r="I137" s="20">
        <v>21.367999999999999</v>
      </c>
      <c r="J137" s="44" t="s">
        <v>8</v>
      </c>
      <c r="K137" s="23" t="s">
        <v>8</v>
      </c>
      <c r="L137" s="23" t="s">
        <v>8</v>
      </c>
      <c r="M137" s="23" t="s">
        <v>8</v>
      </c>
    </row>
    <row r="138" spans="1:13" s="21" customFormat="1" x14ac:dyDescent="0.25">
      <c r="A138" s="22" t="s">
        <v>8</v>
      </c>
      <c r="B138" s="18" t="str">
        <f>"015191"</f>
        <v>015191</v>
      </c>
      <c r="C138" s="19" t="s">
        <v>143</v>
      </c>
      <c r="D138" s="19" t="s">
        <v>15574</v>
      </c>
      <c r="E138" s="19" t="s">
        <v>30888</v>
      </c>
      <c r="F138" s="19" t="s">
        <v>35974</v>
      </c>
      <c r="G138" s="18" t="str">
        <f>"35010"</f>
        <v>35010</v>
      </c>
      <c r="H138" s="19" t="s">
        <v>36043</v>
      </c>
      <c r="I138" s="20">
        <v>19.635000000000002</v>
      </c>
      <c r="J138" s="44" t="s">
        <v>8</v>
      </c>
      <c r="K138" s="23" t="s">
        <v>8</v>
      </c>
      <c r="L138" s="23" t="s">
        <v>8</v>
      </c>
      <c r="M138" s="23" t="s">
        <v>8</v>
      </c>
    </row>
    <row r="139" spans="1:13" s="21" customFormat="1" x14ac:dyDescent="0.25">
      <c r="A139" s="22" t="s">
        <v>8</v>
      </c>
      <c r="B139" s="18" t="str">
        <f>"015192"</f>
        <v>015192</v>
      </c>
      <c r="C139" s="19" t="s">
        <v>144</v>
      </c>
      <c r="D139" s="19" t="s">
        <v>15575</v>
      </c>
      <c r="E139" s="19" t="s">
        <v>30889</v>
      </c>
      <c r="F139" s="19" t="s">
        <v>35974</v>
      </c>
      <c r="G139" s="18" t="str">
        <f>"36801"</f>
        <v>36801</v>
      </c>
      <c r="H139" s="19" t="s">
        <v>33138</v>
      </c>
      <c r="I139" s="20">
        <v>17.977</v>
      </c>
      <c r="J139" s="44" t="s">
        <v>8</v>
      </c>
      <c r="K139" s="23" t="s">
        <v>8</v>
      </c>
      <c r="L139" s="23" t="s">
        <v>8</v>
      </c>
      <c r="M139" s="23" t="s">
        <v>8</v>
      </c>
    </row>
    <row r="140" spans="1:13" s="21" customFormat="1" x14ac:dyDescent="0.25">
      <c r="A140" s="22" t="s">
        <v>8</v>
      </c>
      <c r="B140" s="18" t="str">
        <f>"015193"</f>
        <v>015193</v>
      </c>
      <c r="C140" s="19" t="s">
        <v>145</v>
      </c>
      <c r="D140" s="19" t="s">
        <v>15576</v>
      </c>
      <c r="E140" s="19" t="s">
        <v>30817</v>
      </c>
      <c r="F140" s="19" t="s">
        <v>35974</v>
      </c>
      <c r="G140" s="18" t="str">
        <f>"36037"</f>
        <v>36037</v>
      </c>
      <c r="H140" s="19" t="s">
        <v>30876</v>
      </c>
      <c r="I140" s="20">
        <v>17.042999999999999</v>
      </c>
      <c r="J140" s="44" t="s">
        <v>8</v>
      </c>
      <c r="K140" s="23" t="s">
        <v>8</v>
      </c>
      <c r="L140" s="23" t="s">
        <v>8</v>
      </c>
      <c r="M140" s="23" t="s">
        <v>8</v>
      </c>
    </row>
    <row r="141" spans="1:13" s="21" customFormat="1" x14ac:dyDescent="0.25">
      <c r="A141" s="22" t="s">
        <v>8</v>
      </c>
      <c r="B141" s="18" t="str">
        <f>"015194"</f>
        <v>015194</v>
      </c>
      <c r="C141" s="19" t="s">
        <v>146</v>
      </c>
      <c r="D141" s="19" t="s">
        <v>15577</v>
      </c>
      <c r="E141" s="19" t="s">
        <v>30890</v>
      </c>
      <c r="F141" s="19" t="s">
        <v>35974</v>
      </c>
      <c r="G141" s="18" t="str">
        <f>"36272"</f>
        <v>36272</v>
      </c>
      <c r="H141" s="19" t="s">
        <v>31743</v>
      </c>
      <c r="I141" s="20">
        <v>19.38</v>
      </c>
      <c r="J141" s="44" t="s">
        <v>8</v>
      </c>
      <c r="K141" s="23" t="s">
        <v>8</v>
      </c>
      <c r="L141" s="23" t="s">
        <v>8</v>
      </c>
      <c r="M141" s="23" t="s">
        <v>8</v>
      </c>
    </row>
    <row r="142" spans="1:13" s="21" customFormat="1" x14ac:dyDescent="0.25">
      <c r="A142" s="22" t="s">
        <v>8</v>
      </c>
      <c r="B142" s="18" t="str">
        <f>"015195"</f>
        <v>015195</v>
      </c>
      <c r="C142" s="19" t="s">
        <v>147</v>
      </c>
      <c r="D142" s="19" t="s">
        <v>15578</v>
      </c>
      <c r="E142" s="19" t="s">
        <v>30887</v>
      </c>
      <c r="F142" s="19" t="s">
        <v>35974</v>
      </c>
      <c r="G142" s="18" t="str">
        <f>"35125"</f>
        <v>35125</v>
      </c>
      <c r="H142" s="19" t="s">
        <v>33662</v>
      </c>
      <c r="I142" s="20">
        <v>18.765000000000001</v>
      </c>
      <c r="J142" s="44" t="s">
        <v>8</v>
      </c>
      <c r="K142" s="23" t="s">
        <v>8</v>
      </c>
      <c r="L142" s="23" t="s">
        <v>8</v>
      </c>
      <c r="M142" s="23" t="s">
        <v>8</v>
      </c>
    </row>
    <row r="143" spans="1:13" s="21" customFormat="1" x14ac:dyDescent="0.25">
      <c r="A143" s="22" t="s">
        <v>8</v>
      </c>
      <c r="B143" s="18" t="str">
        <f>"015196"</f>
        <v>015196</v>
      </c>
      <c r="C143" s="19" t="s">
        <v>148</v>
      </c>
      <c r="D143" s="19" t="s">
        <v>15579</v>
      </c>
      <c r="E143" s="19" t="s">
        <v>30891</v>
      </c>
      <c r="F143" s="19" t="s">
        <v>35974</v>
      </c>
      <c r="G143" s="18" t="str">
        <f>"36863"</f>
        <v>36863</v>
      </c>
      <c r="H143" s="19" t="s">
        <v>36037</v>
      </c>
      <c r="I143" s="20">
        <v>16.989999999999998</v>
      </c>
      <c r="J143" s="44" t="s">
        <v>8</v>
      </c>
      <c r="K143" s="23" t="s">
        <v>8</v>
      </c>
      <c r="L143" s="23" t="s">
        <v>8</v>
      </c>
      <c r="M143" s="23" t="s">
        <v>8</v>
      </c>
    </row>
    <row r="144" spans="1:13" s="21" customFormat="1" x14ac:dyDescent="0.25">
      <c r="A144" s="22" t="s">
        <v>8</v>
      </c>
      <c r="B144" s="18" t="str">
        <f>"015197"</f>
        <v>015197</v>
      </c>
      <c r="C144" s="19" t="s">
        <v>149</v>
      </c>
      <c r="D144" s="19" t="s">
        <v>15580</v>
      </c>
      <c r="E144" s="19" t="s">
        <v>30892</v>
      </c>
      <c r="F144" s="19" t="s">
        <v>35974</v>
      </c>
      <c r="G144" s="18" t="str">
        <f>"36862"</f>
        <v>36862</v>
      </c>
      <c r="H144" s="19" t="s">
        <v>36037</v>
      </c>
      <c r="I144" s="20">
        <v>18.555</v>
      </c>
      <c r="J144" s="44" t="s">
        <v>8</v>
      </c>
      <c r="K144" s="23" t="s">
        <v>8</v>
      </c>
      <c r="L144" s="23" t="s">
        <v>8</v>
      </c>
      <c r="M144" s="23" t="s">
        <v>8</v>
      </c>
    </row>
    <row r="145" spans="1:13" s="21" customFormat="1" x14ac:dyDescent="0.25">
      <c r="A145" s="22" t="s">
        <v>8</v>
      </c>
      <c r="B145" s="18" t="str">
        <f>"015199"</f>
        <v>015199</v>
      </c>
      <c r="C145" s="19" t="s">
        <v>150</v>
      </c>
      <c r="D145" s="19" t="s">
        <v>15581</v>
      </c>
      <c r="E145" s="19" t="s">
        <v>30808</v>
      </c>
      <c r="F145" s="19" t="s">
        <v>35974</v>
      </c>
      <c r="G145" s="18" t="str">
        <f>"36027"</f>
        <v>36027</v>
      </c>
      <c r="H145" s="19" t="s">
        <v>36029</v>
      </c>
      <c r="I145" s="20">
        <v>20.079000000000001</v>
      </c>
      <c r="J145" s="44" t="s">
        <v>8</v>
      </c>
      <c r="K145" s="23" t="s">
        <v>8</v>
      </c>
      <c r="L145" s="23" t="s">
        <v>8</v>
      </c>
      <c r="M145" s="23" t="s">
        <v>8</v>
      </c>
    </row>
    <row r="146" spans="1:13" s="21" customFormat="1" x14ac:dyDescent="0.25">
      <c r="A146" s="22" t="s">
        <v>8</v>
      </c>
      <c r="B146" s="18" t="str">
        <f>"015200"</f>
        <v>015200</v>
      </c>
      <c r="C146" s="19" t="s">
        <v>151</v>
      </c>
      <c r="D146" s="19" t="s">
        <v>15582</v>
      </c>
      <c r="E146" s="19" t="s">
        <v>30801</v>
      </c>
      <c r="F146" s="19" t="s">
        <v>35974</v>
      </c>
      <c r="G146" s="18" t="str">
        <f>"35960"</f>
        <v>35960</v>
      </c>
      <c r="H146" s="19" t="s">
        <v>32436</v>
      </c>
      <c r="I146" s="20">
        <v>18.172000000000001</v>
      </c>
      <c r="J146" s="44" t="s">
        <v>8</v>
      </c>
      <c r="K146" s="23" t="s">
        <v>8</v>
      </c>
      <c r="L146" s="23" t="s">
        <v>8</v>
      </c>
      <c r="M146" s="23" t="s">
        <v>8</v>
      </c>
    </row>
    <row r="147" spans="1:13" s="21" customFormat="1" x14ac:dyDescent="0.25">
      <c r="A147" s="22" t="s">
        <v>8</v>
      </c>
      <c r="B147" s="18" t="str">
        <f>"015201"</f>
        <v>015201</v>
      </c>
      <c r="C147" s="19" t="s">
        <v>152</v>
      </c>
      <c r="D147" s="19" t="s">
        <v>15583</v>
      </c>
      <c r="E147" s="19" t="s">
        <v>30893</v>
      </c>
      <c r="F147" s="19" t="s">
        <v>35974</v>
      </c>
      <c r="G147" s="18" t="str">
        <f>"35582"</f>
        <v>35582</v>
      </c>
      <c r="H147" s="19" t="s">
        <v>5</v>
      </c>
      <c r="I147" s="20">
        <v>18.268000000000001</v>
      </c>
      <c r="J147" s="44" t="s">
        <v>8</v>
      </c>
      <c r="K147" s="23" t="s">
        <v>8</v>
      </c>
      <c r="L147" s="23" t="s">
        <v>8</v>
      </c>
      <c r="M147" s="23" t="s">
        <v>8</v>
      </c>
    </row>
    <row r="148" spans="1:13" s="21" customFormat="1" x14ac:dyDescent="0.25">
      <c r="A148" s="22" t="s">
        <v>8</v>
      </c>
      <c r="B148" s="18" t="str">
        <f>"015202"</f>
        <v>015202</v>
      </c>
      <c r="C148" s="19" t="s">
        <v>153</v>
      </c>
      <c r="D148" s="19" t="s">
        <v>15584</v>
      </c>
      <c r="E148" s="19" t="s">
        <v>30883</v>
      </c>
      <c r="F148" s="19" t="s">
        <v>35974</v>
      </c>
      <c r="G148" s="18" t="str">
        <f>"35999"</f>
        <v>35999</v>
      </c>
      <c r="H148" s="19" t="s">
        <v>5</v>
      </c>
      <c r="I148" s="20">
        <v>18.408999999999999</v>
      </c>
      <c r="J148" s="44" t="s">
        <v>8</v>
      </c>
      <c r="K148" s="23" t="s">
        <v>8</v>
      </c>
      <c r="L148" s="23" t="s">
        <v>8</v>
      </c>
      <c r="M148" s="23" t="s">
        <v>8</v>
      </c>
    </row>
    <row r="149" spans="1:13" s="21" customFormat="1" x14ac:dyDescent="0.25">
      <c r="A149" s="22" t="s">
        <v>8</v>
      </c>
      <c r="B149" s="18" t="str">
        <f>"015203"</f>
        <v>015203</v>
      </c>
      <c r="C149" s="19" t="s">
        <v>154</v>
      </c>
      <c r="D149" s="19" t="s">
        <v>15585</v>
      </c>
      <c r="E149" s="19" t="s">
        <v>30894</v>
      </c>
      <c r="F149" s="19" t="s">
        <v>35974</v>
      </c>
      <c r="G149" s="18" t="str">
        <f>"35954"</f>
        <v>35954</v>
      </c>
      <c r="H149" s="19" t="s">
        <v>35172</v>
      </c>
      <c r="I149" s="20">
        <v>20.797000000000001</v>
      </c>
      <c r="J149" s="44" t="s">
        <v>8</v>
      </c>
      <c r="K149" s="23" t="s">
        <v>8</v>
      </c>
      <c r="L149" s="23" t="s">
        <v>8</v>
      </c>
      <c r="M149" s="23" t="s">
        <v>8</v>
      </c>
    </row>
    <row r="150" spans="1:13" s="21" customFormat="1" x14ac:dyDescent="0.25">
      <c r="A150" s="22" t="s">
        <v>8</v>
      </c>
      <c r="B150" s="18" t="str">
        <f>"015204"</f>
        <v>015204</v>
      </c>
      <c r="C150" s="19" t="s">
        <v>155</v>
      </c>
      <c r="D150" s="19" t="s">
        <v>15586</v>
      </c>
      <c r="E150" s="19" t="s">
        <v>30895</v>
      </c>
      <c r="F150" s="19" t="s">
        <v>35974</v>
      </c>
      <c r="G150" s="18" t="str">
        <f>"35072"</f>
        <v>35072</v>
      </c>
      <c r="H150" s="19" t="s">
        <v>36045</v>
      </c>
      <c r="I150" s="20">
        <v>17.709</v>
      </c>
      <c r="J150" s="44" t="s">
        <v>8</v>
      </c>
      <c r="K150" s="23" t="s">
        <v>8</v>
      </c>
      <c r="L150" s="23" t="s">
        <v>8</v>
      </c>
      <c r="M150" s="23" t="s">
        <v>8</v>
      </c>
    </row>
    <row r="151" spans="1:13" s="21" customFormat="1" x14ac:dyDescent="0.25">
      <c r="A151" s="22" t="s">
        <v>8</v>
      </c>
      <c r="B151" s="18" t="str">
        <f>"015206"</f>
        <v>015206</v>
      </c>
      <c r="C151" s="19" t="s">
        <v>156</v>
      </c>
      <c r="D151" s="19" t="s">
        <v>15587</v>
      </c>
      <c r="E151" s="19" t="s">
        <v>30853</v>
      </c>
      <c r="F151" s="19" t="s">
        <v>35974</v>
      </c>
      <c r="G151" s="18" t="str">
        <f>"35603"</f>
        <v>35603</v>
      </c>
      <c r="H151" s="19" t="s">
        <v>33505</v>
      </c>
      <c r="I151" s="20">
        <v>17.388999999999999</v>
      </c>
      <c r="J151" s="44" t="s">
        <v>8</v>
      </c>
      <c r="K151" s="23" t="s">
        <v>8</v>
      </c>
      <c r="L151" s="23" t="s">
        <v>8</v>
      </c>
      <c r="M151" s="23" t="s">
        <v>8</v>
      </c>
    </row>
    <row r="152" spans="1:13" s="21" customFormat="1" x14ac:dyDescent="0.25">
      <c r="A152" s="22" t="s">
        <v>8</v>
      </c>
      <c r="B152" s="18" t="str">
        <f>"015207"</f>
        <v>015207</v>
      </c>
      <c r="C152" s="19" t="s">
        <v>157</v>
      </c>
      <c r="D152" s="19" t="s">
        <v>15588</v>
      </c>
      <c r="E152" s="19" t="s">
        <v>30896</v>
      </c>
      <c r="F152" s="19" t="s">
        <v>35974</v>
      </c>
      <c r="G152" s="18" t="str">
        <f>"35961"</f>
        <v>35961</v>
      </c>
      <c r="H152" s="19" t="s">
        <v>31954</v>
      </c>
      <c r="I152" s="20">
        <v>20.123999999999999</v>
      </c>
      <c r="J152" s="44" t="s">
        <v>8</v>
      </c>
      <c r="K152" s="23" t="s">
        <v>8</v>
      </c>
      <c r="L152" s="23" t="s">
        <v>8</v>
      </c>
      <c r="M152" s="23" t="s">
        <v>8</v>
      </c>
    </row>
    <row r="153" spans="1:13" s="21" customFormat="1" x14ac:dyDescent="0.25">
      <c r="A153" s="22" t="s">
        <v>8</v>
      </c>
      <c r="B153" s="18" t="str">
        <f>"015208"</f>
        <v>015208</v>
      </c>
      <c r="C153" s="19" t="s">
        <v>158</v>
      </c>
      <c r="D153" s="19" t="s">
        <v>15589</v>
      </c>
      <c r="E153" s="19" t="s">
        <v>30897</v>
      </c>
      <c r="F153" s="19" t="s">
        <v>35974</v>
      </c>
      <c r="G153" s="18" t="str">
        <f>"36360"</f>
        <v>36360</v>
      </c>
      <c r="H153" s="19" t="s">
        <v>32249</v>
      </c>
      <c r="I153" s="20">
        <v>16.768999999999998</v>
      </c>
      <c r="J153" s="44" t="s">
        <v>8</v>
      </c>
      <c r="K153" s="23" t="s">
        <v>8</v>
      </c>
      <c r="L153" s="23" t="s">
        <v>8</v>
      </c>
      <c r="M153" s="23" t="s">
        <v>8</v>
      </c>
    </row>
    <row r="154" spans="1:13" s="21" customFormat="1" x14ac:dyDescent="0.25">
      <c r="A154" s="22" t="s">
        <v>8</v>
      </c>
      <c r="B154" s="18" t="str">
        <f>"015209"</f>
        <v>015209</v>
      </c>
      <c r="C154" s="19" t="s">
        <v>159</v>
      </c>
      <c r="D154" s="19" t="s">
        <v>15590</v>
      </c>
      <c r="E154" s="19" t="s">
        <v>30839</v>
      </c>
      <c r="F154" s="19" t="s">
        <v>35974</v>
      </c>
      <c r="G154" s="18" t="str">
        <f>"35020"</f>
        <v>35020</v>
      </c>
      <c r="H154" s="19" t="s">
        <v>32391</v>
      </c>
      <c r="I154" s="20">
        <v>18.760000000000002</v>
      </c>
      <c r="J154" s="44" t="s">
        <v>8</v>
      </c>
      <c r="K154" s="23" t="s">
        <v>8</v>
      </c>
      <c r="L154" s="23" t="s">
        <v>8</v>
      </c>
      <c r="M154" s="23" t="s">
        <v>8</v>
      </c>
    </row>
    <row r="155" spans="1:13" s="21" customFormat="1" x14ac:dyDescent="0.25">
      <c r="A155" s="22" t="s">
        <v>8</v>
      </c>
      <c r="B155" s="18" t="str">
        <f>"015210"</f>
        <v>015210</v>
      </c>
      <c r="C155" s="19" t="s">
        <v>160</v>
      </c>
      <c r="D155" s="19" t="s">
        <v>15591</v>
      </c>
      <c r="E155" s="19" t="s">
        <v>30799</v>
      </c>
      <c r="F155" s="19" t="s">
        <v>35974</v>
      </c>
      <c r="G155" s="18" t="str">
        <f>"36467"</f>
        <v>36467</v>
      </c>
      <c r="H155" s="19" t="s">
        <v>31753</v>
      </c>
      <c r="I155" s="20">
        <v>22.087</v>
      </c>
      <c r="J155" s="44" t="s">
        <v>8</v>
      </c>
      <c r="K155" s="23" t="s">
        <v>8</v>
      </c>
      <c r="L155" s="23" t="s">
        <v>8</v>
      </c>
      <c r="M155" s="23" t="s">
        <v>8</v>
      </c>
    </row>
    <row r="156" spans="1:13" s="21" customFormat="1" x14ac:dyDescent="0.25">
      <c r="A156" s="22" t="s">
        <v>8</v>
      </c>
      <c r="B156" s="18" t="str">
        <f>"015211"</f>
        <v>015211</v>
      </c>
      <c r="C156" s="19" t="s">
        <v>161</v>
      </c>
      <c r="D156" s="19" t="s">
        <v>15592</v>
      </c>
      <c r="E156" s="19" t="s">
        <v>30848</v>
      </c>
      <c r="F156" s="19" t="s">
        <v>35974</v>
      </c>
      <c r="G156" s="18" t="str">
        <f>"36617"</f>
        <v>36617</v>
      </c>
      <c r="H156" s="19" t="s">
        <v>30848</v>
      </c>
      <c r="I156" s="20">
        <v>21.651</v>
      </c>
      <c r="J156" s="44" t="s">
        <v>8</v>
      </c>
      <c r="K156" s="23" t="s">
        <v>8</v>
      </c>
      <c r="L156" s="23" t="s">
        <v>8</v>
      </c>
      <c r="M156" s="23" t="s">
        <v>8</v>
      </c>
    </row>
    <row r="157" spans="1:13" s="21" customFormat="1" x14ac:dyDescent="0.25">
      <c r="A157" s="22" t="s">
        <v>8</v>
      </c>
      <c r="B157" s="18" t="str">
        <f>"015212"</f>
        <v>015212</v>
      </c>
      <c r="C157" s="19" t="s">
        <v>162</v>
      </c>
      <c r="D157" s="19" t="s">
        <v>15593</v>
      </c>
      <c r="E157" s="19" t="s">
        <v>30898</v>
      </c>
      <c r="F157" s="19" t="s">
        <v>35974</v>
      </c>
      <c r="G157" s="18" t="str">
        <f>"35023"</f>
        <v>35023</v>
      </c>
      <c r="H157" s="19" t="s">
        <v>32391</v>
      </c>
      <c r="I157" s="20">
        <v>17.637</v>
      </c>
      <c r="J157" s="44" t="s">
        <v>8</v>
      </c>
      <c r="K157" s="23" t="s">
        <v>8</v>
      </c>
      <c r="L157" s="23" t="s">
        <v>8</v>
      </c>
      <c r="M157" s="23" t="s">
        <v>8</v>
      </c>
    </row>
    <row r="158" spans="1:13" s="21" customFormat="1" x14ac:dyDescent="0.25">
      <c r="A158" s="22" t="s">
        <v>8</v>
      </c>
      <c r="B158" s="18" t="str">
        <f>"015213"</f>
        <v>015213</v>
      </c>
      <c r="C158" s="19" t="s">
        <v>163</v>
      </c>
      <c r="D158" s="19" t="s">
        <v>15594</v>
      </c>
      <c r="E158" s="19" t="s">
        <v>30815</v>
      </c>
      <c r="F158" s="19" t="s">
        <v>35974</v>
      </c>
      <c r="G158" s="18" t="str">
        <f>"36079"</f>
        <v>36079</v>
      </c>
      <c r="H158" s="19" t="s">
        <v>36033</v>
      </c>
      <c r="I158" s="20">
        <v>18.222999999999999</v>
      </c>
      <c r="J158" s="44" t="s">
        <v>8</v>
      </c>
      <c r="K158" s="23" t="s">
        <v>8</v>
      </c>
      <c r="L158" s="23" t="s">
        <v>8</v>
      </c>
      <c r="M158" s="23" t="s">
        <v>8</v>
      </c>
    </row>
    <row r="159" spans="1:13" s="21" customFormat="1" x14ac:dyDescent="0.25">
      <c r="A159" s="22" t="s">
        <v>8</v>
      </c>
      <c r="B159" s="18" t="str">
        <f>"015214"</f>
        <v>015214</v>
      </c>
      <c r="C159" s="19" t="s">
        <v>164</v>
      </c>
      <c r="D159" s="19" t="s">
        <v>15595</v>
      </c>
      <c r="E159" s="19" t="s">
        <v>30899</v>
      </c>
      <c r="F159" s="19" t="s">
        <v>35974</v>
      </c>
      <c r="G159" s="18" t="str">
        <f>"35758"</f>
        <v>35758</v>
      </c>
      <c r="H159" s="19" t="s">
        <v>30899</v>
      </c>
      <c r="I159" s="20">
        <v>18.753</v>
      </c>
      <c r="J159" s="44" t="s">
        <v>8</v>
      </c>
      <c r="K159" s="23" t="s">
        <v>8</v>
      </c>
      <c r="L159" s="23" t="s">
        <v>8</v>
      </c>
      <c r="M159" s="23" t="s">
        <v>8</v>
      </c>
    </row>
    <row r="160" spans="1:13" s="21" customFormat="1" x14ac:dyDescent="0.25">
      <c r="A160" s="22" t="s">
        <v>8</v>
      </c>
      <c r="B160" s="18" t="str">
        <f>"015215"</f>
        <v>015215</v>
      </c>
      <c r="C160" s="19" t="s">
        <v>165</v>
      </c>
      <c r="D160" s="19" t="s">
        <v>15449</v>
      </c>
      <c r="E160" s="19" t="s">
        <v>30806</v>
      </c>
      <c r="F160" s="19" t="s">
        <v>35974</v>
      </c>
      <c r="G160" s="18" t="str">
        <f>"35042"</f>
        <v>35042</v>
      </c>
      <c r="H160" s="19" t="s">
        <v>36028</v>
      </c>
      <c r="I160" s="20">
        <v>20.381</v>
      </c>
      <c r="J160" s="44" t="s">
        <v>8</v>
      </c>
      <c r="K160" s="23" t="s">
        <v>8</v>
      </c>
      <c r="L160" s="23" t="s">
        <v>8</v>
      </c>
      <c r="M160" s="23" t="s">
        <v>8</v>
      </c>
    </row>
    <row r="161" spans="1:13" s="21" customFormat="1" x14ac:dyDescent="0.25">
      <c r="A161" s="22" t="s">
        <v>8</v>
      </c>
      <c r="B161" s="18" t="str">
        <f>"015216"</f>
        <v>015216</v>
      </c>
      <c r="C161" s="19" t="s">
        <v>166</v>
      </c>
      <c r="D161" s="19" t="s">
        <v>15596</v>
      </c>
      <c r="E161" s="19" t="s">
        <v>30897</v>
      </c>
      <c r="F161" s="19" t="s">
        <v>35974</v>
      </c>
      <c r="G161" s="18" t="str">
        <f>"36360"</f>
        <v>36360</v>
      </c>
      <c r="H161" s="19" t="s">
        <v>32249</v>
      </c>
      <c r="I161" s="20">
        <v>15.977</v>
      </c>
      <c r="J161" s="44" t="s">
        <v>8</v>
      </c>
      <c r="K161" s="23" t="s">
        <v>8</v>
      </c>
      <c r="L161" s="23" t="s">
        <v>8</v>
      </c>
      <c r="M161" s="23" t="s">
        <v>8</v>
      </c>
    </row>
    <row r="162" spans="1:13" s="21" customFormat="1" x14ac:dyDescent="0.25">
      <c r="A162" s="22" t="s">
        <v>8</v>
      </c>
      <c r="B162" s="18" t="str">
        <f>"015217"</f>
        <v>015217</v>
      </c>
      <c r="C162" s="19" t="s">
        <v>167</v>
      </c>
      <c r="D162" s="19" t="s">
        <v>15597</v>
      </c>
      <c r="E162" s="19" t="s">
        <v>30822</v>
      </c>
      <c r="F162" s="19" t="s">
        <v>35974</v>
      </c>
      <c r="G162" s="18" t="str">
        <f>"35214"</f>
        <v>35214</v>
      </c>
      <c r="H162" s="19" t="s">
        <v>32391</v>
      </c>
      <c r="I162" s="20">
        <v>18.169</v>
      </c>
      <c r="J162" s="44" t="s">
        <v>8</v>
      </c>
      <c r="K162" s="23" t="s">
        <v>8</v>
      </c>
      <c r="L162" s="23" t="s">
        <v>8</v>
      </c>
      <c r="M162" s="23" t="s">
        <v>8</v>
      </c>
    </row>
    <row r="163" spans="1:13" s="21" customFormat="1" x14ac:dyDescent="0.25">
      <c r="A163" s="22" t="s">
        <v>8</v>
      </c>
      <c r="B163" s="18" t="str">
        <f>"015220"</f>
        <v>015220</v>
      </c>
      <c r="C163" s="19" t="s">
        <v>168</v>
      </c>
      <c r="D163" s="19" t="s">
        <v>15598</v>
      </c>
      <c r="E163" s="19" t="s">
        <v>30900</v>
      </c>
      <c r="F163" s="19" t="s">
        <v>35974</v>
      </c>
      <c r="G163" s="18" t="str">
        <f>"36784"</f>
        <v>36784</v>
      </c>
      <c r="H163" s="19" t="s">
        <v>36034</v>
      </c>
      <c r="I163" s="20">
        <v>19.366</v>
      </c>
      <c r="J163" s="44" t="s">
        <v>8</v>
      </c>
      <c r="K163" s="23" t="s">
        <v>8</v>
      </c>
      <c r="L163" s="23" t="s">
        <v>8</v>
      </c>
      <c r="M163" s="23" t="s">
        <v>8</v>
      </c>
    </row>
    <row r="164" spans="1:13" s="21" customFormat="1" x14ac:dyDescent="0.25">
      <c r="A164" s="22" t="s">
        <v>8</v>
      </c>
      <c r="B164" s="18" t="str">
        <f>"015221"</f>
        <v>015221</v>
      </c>
      <c r="C164" s="19" t="s">
        <v>169</v>
      </c>
      <c r="D164" s="19" t="s">
        <v>15599</v>
      </c>
      <c r="E164" s="19" t="s">
        <v>30888</v>
      </c>
      <c r="F164" s="19" t="s">
        <v>35974</v>
      </c>
      <c r="G164" s="18" t="str">
        <f>"35010"</f>
        <v>35010</v>
      </c>
      <c r="H164" s="19" t="s">
        <v>36043</v>
      </c>
      <c r="I164" s="20">
        <v>21.995000000000001</v>
      </c>
      <c r="J164" s="44" t="s">
        <v>8</v>
      </c>
      <c r="K164" s="23" t="s">
        <v>8</v>
      </c>
      <c r="L164" s="23" t="s">
        <v>8</v>
      </c>
      <c r="M164" s="23" t="s">
        <v>8</v>
      </c>
    </row>
    <row r="165" spans="1:13" s="21" customFormat="1" x14ac:dyDescent="0.25">
      <c r="A165" s="22" t="s">
        <v>8</v>
      </c>
      <c r="B165" s="18" t="str">
        <f>"015222"</f>
        <v>015222</v>
      </c>
      <c r="C165" s="19" t="s">
        <v>170</v>
      </c>
      <c r="D165" s="19" t="s">
        <v>15600</v>
      </c>
      <c r="E165" s="19" t="s">
        <v>30901</v>
      </c>
      <c r="F165" s="19" t="s">
        <v>35974</v>
      </c>
      <c r="G165" s="18" t="str">
        <f>"36532"</f>
        <v>36532</v>
      </c>
      <c r="H165" s="19" t="s">
        <v>31758</v>
      </c>
      <c r="I165" s="20">
        <v>20.334</v>
      </c>
      <c r="J165" s="44" t="s">
        <v>8</v>
      </c>
      <c r="K165" s="23" t="s">
        <v>8</v>
      </c>
      <c r="L165" s="23" t="s">
        <v>8</v>
      </c>
      <c r="M165" s="23" t="s">
        <v>8</v>
      </c>
    </row>
    <row r="166" spans="1:13" s="21" customFormat="1" x14ac:dyDescent="0.25">
      <c r="A166" s="22" t="s">
        <v>8</v>
      </c>
      <c r="B166" s="18" t="str">
        <f>"015223"</f>
        <v>015223</v>
      </c>
      <c r="C166" s="19" t="s">
        <v>171</v>
      </c>
      <c r="D166" s="19" t="s">
        <v>15601</v>
      </c>
      <c r="E166" s="19" t="s">
        <v>30883</v>
      </c>
      <c r="F166" s="19" t="s">
        <v>35974</v>
      </c>
      <c r="G166" s="18" t="str">
        <f>"35901"</f>
        <v>35901</v>
      </c>
      <c r="H166" s="19" t="s">
        <v>35172</v>
      </c>
      <c r="I166" s="20">
        <v>19.808</v>
      </c>
      <c r="J166" s="44" t="s">
        <v>8</v>
      </c>
      <c r="K166" s="23" t="s">
        <v>8</v>
      </c>
      <c r="L166" s="23" t="s">
        <v>8</v>
      </c>
      <c r="M166" s="23" t="s">
        <v>8</v>
      </c>
    </row>
    <row r="167" spans="1:13" s="21" customFormat="1" x14ac:dyDescent="0.25">
      <c r="A167" s="22" t="s">
        <v>8</v>
      </c>
      <c r="B167" s="18" t="str">
        <f>"015225"</f>
        <v>015225</v>
      </c>
      <c r="C167" s="19" t="s">
        <v>172</v>
      </c>
      <c r="D167" s="19" t="s">
        <v>15602</v>
      </c>
      <c r="E167" s="19" t="s">
        <v>30902</v>
      </c>
      <c r="F167" s="19" t="s">
        <v>35974</v>
      </c>
      <c r="G167" s="18" t="str">
        <f>"35976"</f>
        <v>35976</v>
      </c>
      <c r="H167" s="19" t="s">
        <v>31063</v>
      </c>
      <c r="I167" s="20">
        <v>17.483000000000001</v>
      </c>
      <c r="J167" s="44" t="s">
        <v>8</v>
      </c>
      <c r="K167" s="23" t="s">
        <v>8</v>
      </c>
      <c r="L167" s="23" t="s">
        <v>8</v>
      </c>
      <c r="M167" s="23" t="s">
        <v>8</v>
      </c>
    </row>
    <row r="168" spans="1:13" s="21" customFormat="1" x14ac:dyDescent="0.25">
      <c r="A168" s="22" t="s">
        <v>8</v>
      </c>
      <c r="B168" s="18" t="str">
        <f>"015227"</f>
        <v>015227</v>
      </c>
      <c r="C168" s="19" t="s">
        <v>173</v>
      </c>
      <c r="D168" s="19" t="s">
        <v>15603</v>
      </c>
      <c r="E168" s="19" t="s">
        <v>30903</v>
      </c>
      <c r="F168" s="19" t="s">
        <v>35974</v>
      </c>
      <c r="G168" s="18" t="str">
        <f>"35592"</f>
        <v>35592</v>
      </c>
      <c r="H168" s="19" t="s">
        <v>31372</v>
      </c>
      <c r="I168" s="20">
        <v>20.774999999999999</v>
      </c>
      <c r="J168" s="44" t="s">
        <v>8</v>
      </c>
      <c r="K168" s="23" t="s">
        <v>8</v>
      </c>
      <c r="L168" s="23" t="s">
        <v>8</v>
      </c>
      <c r="M168" s="23" t="s">
        <v>8</v>
      </c>
    </row>
    <row r="169" spans="1:13" s="21" customFormat="1" x14ac:dyDescent="0.25">
      <c r="A169" s="22" t="s">
        <v>8</v>
      </c>
      <c r="B169" s="18" t="str">
        <f>"015228"</f>
        <v>015228</v>
      </c>
      <c r="C169" s="19" t="s">
        <v>174</v>
      </c>
      <c r="D169" s="19" t="s">
        <v>15604</v>
      </c>
      <c r="E169" s="19" t="s">
        <v>30833</v>
      </c>
      <c r="F169" s="19" t="s">
        <v>35974</v>
      </c>
      <c r="G169" s="18" t="str">
        <f>"36116"</f>
        <v>36116</v>
      </c>
      <c r="H169" s="19" t="s">
        <v>30833</v>
      </c>
      <c r="I169" s="20">
        <v>18.207999999999998</v>
      </c>
      <c r="J169" s="44" t="s">
        <v>8</v>
      </c>
      <c r="K169" s="23" t="s">
        <v>8</v>
      </c>
      <c r="L169" s="23" t="s">
        <v>8</v>
      </c>
      <c r="M169" s="23" t="s">
        <v>8</v>
      </c>
    </row>
    <row r="170" spans="1:13" s="21" customFormat="1" x14ac:dyDescent="0.25">
      <c r="A170" s="22" t="s">
        <v>8</v>
      </c>
      <c r="B170" s="18" t="str">
        <f>"015303"</f>
        <v>015303</v>
      </c>
      <c r="C170" s="19" t="s">
        <v>175</v>
      </c>
      <c r="D170" s="19" t="s">
        <v>15605</v>
      </c>
      <c r="E170" s="19" t="s">
        <v>30822</v>
      </c>
      <c r="F170" s="19" t="s">
        <v>35974</v>
      </c>
      <c r="G170" s="18" t="str">
        <f>"35228"</f>
        <v>35228</v>
      </c>
      <c r="H170" s="19" t="s">
        <v>32391</v>
      </c>
      <c r="I170" s="20">
        <v>17.47</v>
      </c>
      <c r="J170" s="44" t="s">
        <v>8</v>
      </c>
      <c r="K170" s="23" t="s">
        <v>8</v>
      </c>
      <c r="L170" s="23" t="s">
        <v>8</v>
      </c>
      <c r="M170" s="23" t="s">
        <v>8</v>
      </c>
    </row>
    <row r="171" spans="1:13" s="21" customFormat="1" x14ac:dyDescent="0.25">
      <c r="A171" s="22" t="s">
        <v>8</v>
      </c>
      <c r="B171" s="18" t="str">
        <f>"015315"</f>
        <v>015315</v>
      </c>
      <c r="C171" s="19" t="s">
        <v>176</v>
      </c>
      <c r="D171" s="19" t="s">
        <v>15606</v>
      </c>
      <c r="E171" s="19" t="s">
        <v>30854</v>
      </c>
      <c r="F171" s="19" t="s">
        <v>35974</v>
      </c>
      <c r="G171" s="18" t="str">
        <f>"35504"</f>
        <v>35504</v>
      </c>
      <c r="H171" s="19" t="s">
        <v>33386</v>
      </c>
      <c r="I171" s="20">
        <v>20.457000000000001</v>
      </c>
      <c r="J171" s="44" t="s">
        <v>8</v>
      </c>
      <c r="K171" s="23" t="s">
        <v>8</v>
      </c>
      <c r="L171" s="23" t="s">
        <v>8</v>
      </c>
      <c r="M171" s="23" t="s">
        <v>8</v>
      </c>
    </row>
    <row r="172" spans="1:13" s="21" customFormat="1" x14ac:dyDescent="0.25">
      <c r="A172" s="22" t="s">
        <v>8</v>
      </c>
      <c r="B172" s="18" t="str">
        <f>"015320"</f>
        <v>015320</v>
      </c>
      <c r="C172" s="19" t="s">
        <v>177</v>
      </c>
      <c r="D172" s="19" t="s">
        <v>15607</v>
      </c>
      <c r="E172" s="19" t="s">
        <v>30904</v>
      </c>
      <c r="F172" s="19" t="s">
        <v>35974</v>
      </c>
      <c r="G172" s="18" t="str">
        <f>"36331"</f>
        <v>36331</v>
      </c>
      <c r="H172" s="19" t="s">
        <v>36039</v>
      </c>
      <c r="I172" s="20">
        <v>18.835000000000001</v>
      </c>
      <c r="J172" s="44" t="s">
        <v>8</v>
      </c>
      <c r="K172" s="23" t="s">
        <v>8</v>
      </c>
      <c r="L172" s="23" t="s">
        <v>8</v>
      </c>
      <c r="M172" s="23" t="s">
        <v>8</v>
      </c>
    </row>
    <row r="173" spans="1:13" s="21" customFormat="1" x14ac:dyDescent="0.25">
      <c r="A173" s="22" t="s">
        <v>8</v>
      </c>
      <c r="B173" s="18" t="str">
        <f>"015321"</f>
        <v>015321</v>
      </c>
      <c r="C173" s="19" t="s">
        <v>178</v>
      </c>
      <c r="D173" s="19" t="s">
        <v>15608</v>
      </c>
      <c r="E173" s="19" t="s">
        <v>30822</v>
      </c>
      <c r="F173" s="19" t="s">
        <v>35974</v>
      </c>
      <c r="G173" s="18" t="str">
        <f>"35226"</f>
        <v>35226</v>
      </c>
      <c r="H173" s="19" t="s">
        <v>32391</v>
      </c>
      <c r="I173" s="20">
        <v>19.536000000000001</v>
      </c>
      <c r="J173" s="44" t="s">
        <v>8</v>
      </c>
      <c r="K173" s="23" t="s">
        <v>8</v>
      </c>
      <c r="L173" s="23" t="s">
        <v>8</v>
      </c>
      <c r="M173" s="23" t="s">
        <v>8</v>
      </c>
    </row>
    <row r="174" spans="1:13" s="21" customFormat="1" x14ac:dyDescent="0.25">
      <c r="A174" s="22" t="s">
        <v>8</v>
      </c>
      <c r="B174" s="18" t="str">
        <f>"015322"</f>
        <v>015322</v>
      </c>
      <c r="C174" s="19" t="s">
        <v>179</v>
      </c>
      <c r="D174" s="19" t="s">
        <v>15609</v>
      </c>
      <c r="E174" s="19" t="s">
        <v>30905</v>
      </c>
      <c r="F174" s="19" t="s">
        <v>35974</v>
      </c>
      <c r="G174" s="18" t="str">
        <f>"36460"</f>
        <v>36460</v>
      </c>
      <c r="H174" s="19" t="s">
        <v>31711</v>
      </c>
      <c r="I174" s="20">
        <v>16.809999999999999</v>
      </c>
      <c r="J174" s="44" t="s">
        <v>8</v>
      </c>
      <c r="K174" s="23" t="s">
        <v>8</v>
      </c>
      <c r="L174" s="23" t="s">
        <v>8</v>
      </c>
      <c r="M174" s="23" t="s">
        <v>8</v>
      </c>
    </row>
    <row r="175" spans="1:13" s="21" customFormat="1" x14ac:dyDescent="0.25">
      <c r="A175" s="22" t="s">
        <v>8</v>
      </c>
      <c r="B175" s="18" t="str">
        <f>"015326"</f>
        <v>015326</v>
      </c>
      <c r="C175" s="19" t="s">
        <v>180</v>
      </c>
      <c r="D175" s="19" t="s">
        <v>15610</v>
      </c>
      <c r="E175" s="19" t="s">
        <v>30831</v>
      </c>
      <c r="F175" s="19" t="s">
        <v>35974</v>
      </c>
      <c r="G175" s="18" t="str">
        <f>"35476"</f>
        <v>35476</v>
      </c>
      <c r="H175" s="19" t="s">
        <v>30908</v>
      </c>
      <c r="I175" s="20">
        <v>21.63</v>
      </c>
      <c r="J175" s="44" t="s">
        <v>8</v>
      </c>
      <c r="K175" s="23" t="s">
        <v>8</v>
      </c>
      <c r="L175" s="23" t="s">
        <v>8</v>
      </c>
      <c r="M175" s="23" t="s">
        <v>8</v>
      </c>
    </row>
    <row r="176" spans="1:13" s="21" customFormat="1" x14ac:dyDescent="0.25">
      <c r="A176" s="22" t="s">
        <v>8</v>
      </c>
      <c r="B176" s="18" t="str">
        <f>"015330"</f>
        <v>015330</v>
      </c>
      <c r="C176" s="19" t="s">
        <v>181</v>
      </c>
      <c r="D176" s="19" t="s">
        <v>15611</v>
      </c>
      <c r="E176" s="19" t="s">
        <v>30906</v>
      </c>
      <c r="F176" s="19" t="s">
        <v>35974</v>
      </c>
      <c r="G176" s="18" t="str">
        <f>"36748"</f>
        <v>36748</v>
      </c>
      <c r="H176" s="19" t="s">
        <v>32186</v>
      </c>
      <c r="I176" s="20">
        <v>17.759</v>
      </c>
      <c r="J176" s="44" t="s">
        <v>8</v>
      </c>
      <c r="K176" s="23" t="s">
        <v>8</v>
      </c>
      <c r="L176" s="23" t="s">
        <v>8</v>
      </c>
      <c r="M176" s="23" t="s">
        <v>8</v>
      </c>
    </row>
    <row r="177" spans="1:13" s="21" customFormat="1" x14ac:dyDescent="0.25">
      <c r="A177" s="22" t="s">
        <v>8</v>
      </c>
      <c r="B177" s="18" t="str">
        <f>"015331"</f>
        <v>015331</v>
      </c>
      <c r="C177" s="19" t="s">
        <v>182</v>
      </c>
      <c r="D177" s="19" t="s">
        <v>15612</v>
      </c>
      <c r="E177" s="19" t="s">
        <v>30882</v>
      </c>
      <c r="F177" s="19" t="s">
        <v>35974</v>
      </c>
      <c r="G177" s="18" t="str">
        <f>"36867"</f>
        <v>36867</v>
      </c>
      <c r="H177" s="19" t="s">
        <v>32602</v>
      </c>
      <c r="I177" s="20">
        <v>21.457999999999998</v>
      </c>
      <c r="J177" s="44" t="s">
        <v>8</v>
      </c>
      <c r="K177" s="23" t="s">
        <v>8</v>
      </c>
      <c r="L177" s="23" t="s">
        <v>8</v>
      </c>
      <c r="M177" s="23" t="s">
        <v>8</v>
      </c>
    </row>
    <row r="178" spans="1:13" s="21" customFormat="1" x14ac:dyDescent="0.25">
      <c r="A178" s="22" t="s">
        <v>8</v>
      </c>
      <c r="B178" s="18" t="str">
        <f>"015336"</f>
        <v>015336</v>
      </c>
      <c r="C178" s="19" t="s">
        <v>183</v>
      </c>
      <c r="D178" s="19" t="s">
        <v>15613</v>
      </c>
      <c r="E178" s="19" t="s">
        <v>30800</v>
      </c>
      <c r="F178" s="19" t="s">
        <v>35974</v>
      </c>
      <c r="G178" s="18" t="str">
        <f>"36049"</f>
        <v>36049</v>
      </c>
      <c r="H178" s="19" t="s">
        <v>36027</v>
      </c>
      <c r="I178" s="20">
        <v>15.632</v>
      </c>
      <c r="J178" s="44" t="s">
        <v>8</v>
      </c>
      <c r="K178" s="23" t="s">
        <v>8</v>
      </c>
      <c r="L178" s="23" t="s">
        <v>8</v>
      </c>
      <c r="M178" s="23" t="s">
        <v>8</v>
      </c>
    </row>
    <row r="179" spans="1:13" s="21" customFormat="1" x14ac:dyDescent="0.25">
      <c r="A179" s="22" t="s">
        <v>8</v>
      </c>
      <c r="B179" s="18" t="str">
        <f>"015361"</f>
        <v>015361</v>
      </c>
      <c r="C179" s="19" t="s">
        <v>184</v>
      </c>
      <c r="D179" s="19" t="s">
        <v>15614</v>
      </c>
      <c r="E179" s="19" t="s">
        <v>30907</v>
      </c>
      <c r="F179" s="19" t="s">
        <v>35974</v>
      </c>
      <c r="G179" s="18" t="str">
        <f>"35645"</f>
        <v>35645</v>
      </c>
      <c r="H179" s="19" t="s">
        <v>36036</v>
      </c>
      <c r="I179" s="20">
        <v>18.103999999999999</v>
      </c>
      <c r="J179" s="44" t="s">
        <v>8</v>
      </c>
      <c r="K179" s="23" t="s">
        <v>8</v>
      </c>
      <c r="L179" s="23" t="s">
        <v>8</v>
      </c>
      <c r="M179" s="23" t="s">
        <v>8</v>
      </c>
    </row>
    <row r="180" spans="1:13" s="21" customFormat="1" x14ac:dyDescent="0.25">
      <c r="A180" s="22" t="s">
        <v>8</v>
      </c>
      <c r="B180" s="18" t="str">
        <f>"015369"</f>
        <v>015369</v>
      </c>
      <c r="C180" s="19" t="s">
        <v>185</v>
      </c>
      <c r="D180" s="19" t="s">
        <v>15615</v>
      </c>
      <c r="E180" s="19" t="s">
        <v>30839</v>
      </c>
      <c r="F180" s="19" t="s">
        <v>35974</v>
      </c>
      <c r="G180" s="18" t="str">
        <f>"35022"</f>
        <v>35022</v>
      </c>
      <c r="H180" s="19" t="s">
        <v>32391</v>
      </c>
      <c r="I180" s="20">
        <v>18.132999999999999</v>
      </c>
      <c r="J180" s="44" t="s">
        <v>8</v>
      </c>
      <c r="K180" s="23" t="s">
        <v>8</v>
      </c>
      <c r="L180" s="23" t="s">
        <v>8</v>
      </c>
      <c r="M180" s="23" t="s">
        <v>8</v>
      </c>
    </row>
    <row r="181" spans="1:13" s="21" customFormat="1" x14ac:dyDescent="0.25">
      <c r="A181" s="22" t="s">
        <v>8</v>
      </c>
      <c r="B181" s="18" t="str">
        <f>"015371"</f>
        <v>015371</v>
      </c>
      <c r="C181" s="19" t="s">
        <v>186</v>
      </c>
      <c r="D181" s="19" t="s">
        <v>15616</v>
      </c>
      <c r="E181" s="19" t="s">
        <v>30908</v>
      </c>
      <c r="F181" s="19" t="s">
        <v>35974</v>
      </c>
      <c r="G181" s="18" t="str">
        <f>"35406"</f>
        <v>35406</v>
      </c>
      <c r="H181" s="19" t="s">
        <v>30908</v>
      </c>
      <c r="I181" s="20">
        <v>23.251000000000001</v>
      </c>
      <c r="J181" s="44" t="s">
        <v>8</v>
      </c>
      <c r="K181" s="23" t="s">
        <v>8</v>
      </c>
      <c r="L181" s="23" t="s">
        <v>8</v>
      </c>
      <c r="M181" s="23" t="s">
        <v>8</v>
      </c>
    </row>
    <row r="182" spans="1:13" s="21" customFormat="1" x14ac:dyDescent="0.25">
      <c r="A182" s="22" t="s">
        <v>8</v>
      </c>
      <c r="B182" s="18" t="str">
        <f>"015372"</f>
        <v>015372</v>
      </c>
      <c r="C182" s="19" t="s">
        <v>187</v>
      </c>
      <c r="D182" s="19" t="s">
        <v>15617</v>
      </c>
      <c r="E182" s="19" t="s">
        <v>30851</v>
      </c>
      <c r="F182" s="19" t="s">
        <v>35974</v>
      </c>
      <c r="G182" s="18" t="str">
        <f>"35810"</f>
        <v>35810</v>
      </c>
      <c r="H182" s="19" t="s">
        <v>30899</v>
      </c>
      <c r="I182" s="20">
        <v>20.369</v>
      </c>
      <c r="J182" s="44" t="s">
        <v>8</v>
      </c>
      <c r="K182" s="23" t="s">
        <v>8</v>
      </c>
      <c r="L182" s="23" t="s">
        <v>8</v>
      </c>
      <c r="M182" s="23" t="s">
        <v>8</v>
      </c>
    </row>
    <row r="183" spans="1:13" s="21" customFormat="1" x14ac:dyDescent="0.25">
      <c r="A183" s="22" t="s">
        <v>8</v>
      </c>
      <c r="B183" s="18" t="str">
        <f>"015373"</f>
        <v>015373</v>
      </c>
      <c r="C183" s="19" t="s">
        <v>188</v>
      </c>
      <c r="D183" s="19" t="s">
        <v>15618</v>
      </c>
      <c r="E183" s="19" t="s">
        <v>30909</v>
      </c>
      <c r="F183" s="19" t="s">
        <v>35974</v>
      </c>
      <c r="G183" s="18" t="str">
        <f>"36310"</f>
        <v>36310</v>
      </c>
      <c r="H183" s="19" t="s">
        <v>32041</v>
      </c>
      <c r="I183" s="20">
        <v>17.475000000000001</v>
      </c>
      <c r="J183" s="44" t="s">
        <v>8</v>
      </c>
      <c r="K183" s="23" t="s">
        <v>8</v>
      </c>
      <c r="L183" s="23" t="s">
        <v>8</v>
      </c>
      <c r="M183" s="23" t="s">
        <v>8</v>
      </c>
    </row>
    <row r="184" spans="1:13" s="21" customFormat="1" x14ac:dyDescent="0.25">
      <c r="A184" s="22" t="s">
        <v>8</v>
      </c>
      <c r="B184" s="18" t="str">
        <f>"015374"</f>
        <v>015374</v>
      </c>
      <c r="C184" s="19" t="s">
        <v>189</v>
      </c>
      <c r="D184" s="19" t="s">
        <v>15619</v>
      </c>
      <c r="E184" s="19" t="s">
        <v>30910</v>
      </c>
      <c r="F184" s="19" t="s">
        <v>35974</v>
      </c>
      <c r="G184" s="18" t="str">
        <f>"36726"</f>
        <v>36726</v>
      </c>
      <c r="H184" s="19" t="s">
        <v>36046</v>
      </c>
      <c r="I184" s="20">
        <v>18.238</v>
      </c>
      <c r="J184" s="44" t="s">
        <v>8</v>
      </c>
      <c r="K184" s="23" t="s">
        <v>8</v>
      </c>
      <c r="L184" s="23" t="s">
        <v>8</v>
      </c>
      <c r="M184" s="23" t="s">
        <v>8</v>
      </c>
    </row>
    <row r="185" spans="1:13" s="21" customFormat="1" x14ac:dyDescent="0.25">
      <c r="A185" s="22" t="s">
        <v>8</v>
      </c>
      <c r="B185" s="18" t="str">
        <f>"015375"</f>
        <v>015375</v>
      </c>
      <c r="C185" s="19" t="s">
        <v>190</v>
      </c>
      <c r="D185" s="19" t="s">
        <v>15620</v>
      </c>
      <c r="E185" s="19" t="s">
        <v>30856</v>
      </c>
      <c r="F185" s="19" t="s">
        <v>35974</v>
      </c>
      <c r="G185" s="18" t="str">
        <f>"36207"</f>
        <v>36207</v>
      </c>
      <c r="H185" s="19" t="s">
        <v>31743</v>
      </c>
      <c r="I185" s="20">
        <v>18.527000000000001</v>
      </c>
      <c r="J185" s="44" t="s">
        <v>8</v>
      </c>
      <c r="K185" s="23" t="s">
        <v>8</v>
      </c>
      <c r="L185" s="23" t="s">
        <v>8</v>
      </c>
      <c r="M185" s="23" t="s">
        <v>8</v>
      </c>
    </row>
    <row r="186" spans="1:13" s="21" customFormat="1" x14ac:dyDescent="0.25">
      <c r="A186" s="22" t="s">
        <v>8</v>
      </c>
      <c r="B186" s="18" t="str">
        <f>"015376"</f>
        <v>015376</v>
      </c>
      <c r="C186" s="19" t="s">
        <v>191</v>
      </c>
      <c r="D186" s="19" t="s">
        <v>15621</v>
      </c>
      <c r="E186" s="19" t="s">
        <v>30810</v>
      </c>
      <c r="F186" s="19" t="s">
        <v>35974</v>
      </c>
      <c r="G186" s="18" t="str">
        <f>"35594"</f>
        <v>35594</v>
      </c>
      <c r="H186" s="19" t="s">
        <v>30850</v>
      </c>
      <c r="I186" s="20">
        <v>17.404</v>
      </c>
      <c r="J186" s="44" t="s">
        <v>8</v>
      </c>
      <c r="K186" s="23" t="s">
        <v>8</v>
      </c>
      <c r="L186" s="23" t="s">
        <v>8</v>
      </c>
      <c r="M186" s="23" t="s">
        <v>8</v>
      </c>
    </row>
    <row r="187" spans="1:13" s="21" customFormat="1" x14ac:dyDescent="0.25">
      <c r="A187" s="22" t="s">
        <v>8</v>
      </c>
      <c r="B187" s="18" t="str">
        <f>"015378"</f>
        <v>015378</v>
      </c>
      <c r="C187" s="19" t="s">
        <v>192</v>
      </c>
      <c r="D187" s="19" t="s">
        <v>15622</v>
      </c>
      <c r="E187" s="19" t="s">
        <v>30902</v>
      </c>
      <c r="F187" s="19" t="s">
        <v>35974</v>
      </c>
      <c r="G187" s="18" t="str">
        <f>"35976"</f>
        <v>35976</v>
      </c>
      <c r="H187" s="19" t="s">
        <v>31063</v>
      </c>
      <c r="I187" s="20">
        <v>16.786999999999999</v>
      </c>
      <c r="J187" s="44" t="s">
        <v>8</v>
      </c>
      <c r="K187" s="23" t="s">
        <v>8</v>
      </c>
      <c r="L187" s="23" t="s">
        <v>8</v>
      </c>
      <c r="M187" s="23" t="s">
        <v>8</v>
      </c>
    </row>
    <row r="188" spans="1:13" s="21" customFormat="1" x14ac:dyDescent="0.25">
      <c r="A188" s="22" t="s">
        <v>8</v>
      </c>
      <c r="B188" s="18" t="str">
        <f>"015379"</f>
        <v>015379</v>
      </c>
      <c r="C188" s="19" t="s">
        <v>193</v>
      </c>
      <c r="D188" s="19" t="s">
        <v>15623</v>
      </c>
      <c r="E188" s="19" t="s">
        <v>30848</v>
      </c>
      <c r="F188" s="19" t="s">
        <v>35974</v>
      </c>
      <c r="G188" s="18" t="str">
        <f>"36695"</f>
        <v>36695</v>
      </c>
      <c r="H188" s="19" t="s">
        <v>30848</v>
      </c>
      <c r="I188" s="20">
        <v>18.673999999999999</v>
      </c>
      <c r="J188" s="44" t="s">
        <v>8</v>
      </c>
      <c r="K188" s="23" t="s">
        <v>8</v>
      </c>
      <c r="L188" s="23" t="s">
        <v>8</v>
      </c>
      <c r="M188" s="23" t="s">
        <v>8</v>
      </c>
    </row>
    <row r="189" spans="1:13" s="21" customFormat="1" x14ac:dyDescent="0.25">
      <c r="A189" s="22" t="s">
        <v>8</v>
      </c>
      <c r="B189" s="18" t="str">
        <f>"015381"</f>
        <v>015381</v>
      </c>
      <c r="C189" s="19" t="s">
        <v>194</v>
      </c>
      <c r="D189" s="19" t="s">
        <v>15624</v>
      </c>
      <c r="E189" s="19" t="s">
        <v>30911</v>
      </c>
      <c r="F189" s="19" t="s">
        <v>35974</v>
      </c>
      <c r="G189" s="18" t="str">
        <f>"36527"</f>
        <v>36527</v>
      </c>
      <c r="H189" s="19" t="s">
        <v>31758</v>
      </c>
      <c r="I189" s="20">
        <v>20.466000000000001</v>
      </c>
      <c r="J189" s="44" t="s">
        <v>8</v>
      </c>
      <c r="K189" s="23" t="s">
        <v>8</v>
      </c>
      <c r="L189" s="23" t="s">
        <v>8</v>
      </c>
      <c r="M189" s="23" t="s">
        <v>8</v>
      </c>
    </row>
    <row r="190" spans="1:13" s="21" customFormat="1" x14ac:dyDescent="0.25">
      <c r="A190" s="22" t="s">
        <v>8</v>
      </c>
      <c r="B190" s="18" t="str">
        <f>"015382"</f>
        <v>015382</v>
      </c>
      <c r="C190" s="19" t="s">
        <v>195</v>
      </c>
      <c r="D190" s="19" t="s">
        <v>15625</v>
      </c>
      <c r="E190" s="19" t="s">
        <v>30882</v>
      </c>
      <c r="F190" s="19" t="s">
        <v>35974</v>
      </c>
      <c r="G190" s="18" t="str">
        <f>"36869"</f>
        <v>36869</v>
      </c>
      <c r="H190" s="19" t="s">
        <v>32602</v>
      </c>
      <c r="I190" s="20">
        <v>19.158999999999999</v>
      </c>
      <c r="J190" s="44" t="s">
        <v>8</v>
      </c>
      <c r="K190" s="23" t="s">
        <v>8</v>
      </c>
      <c r="L190" s="23" t="s">
        <v>8</v>
      </c>
      <c r="M190" s="23" t="s">
        <v>8</v>
      </c>
    </row>
    <row r="191" spans="1:13" s="21" customFormat="1" x14ac:dyDescent="0.25">
      <c r="A191" s="22" t="s">
        <v>8</v>
      </c>
      <c r="B191" s="18" t="str">
        <f>"015383"</f>
        <v>015383</v>
      </c>
      <c r="C191" s="19" t="s">
        <v>196</v>
      </c>
      <c r="D191" s="19" t="s">
        <v>15626</v>
      </c>
      <c r="E191" s="19" t="s">
        <v>30837</v>
      </c>
      <c r="F191" s="19" t="s">
        <v>35974</v>
      </c>
      <c r="G191" s="18" t="str">
        <f>"35055"</f>
        <v>35055</v>
      </c>
      <c r="H191" s="19" t="s">
        <v>30837</v>
      </c>
      <c r="I191" s="20">
        <v>18.407</v>
      </c>
      <c r="J191" s="44" t="s">
        <v>8</v>
      </c>
      <c r="K191" s="23" t="s">
        <v>8</v>
      </c>
      <c r="L191" s="23" t="s">
        <v>8</v>
      </c>
      <c r="M191" s="23" t="s">
        <v>8</v>
      </c>
    </row>
    <row r="192" spans="1:13" s="21" customFormat="1" x14ac:dyDescent="0.25">
      <c r="A192" s="22" t="s">
        <v>8</v>
      </c>
      <c r="B192" s="18" t="str">
        <f>"015386"</f>
        <v>015386</v>
      </c>
      <c r="C192" s="19" t="s">
        <v>197</v>
      </c>
      <c r="D192" s="19" t="s">
        <v>15627</v>
      </c>
      <c r="E192" s="19" t="s">
        <v>30888</v>
      </c>
      <c r="F192" s="19" t="s">
        <v>35974</v>
      </c>
      <c r="G192" s="18" t="str">
        <f>"35010"</f>
        <v>35010</v>
      </c>
      <c r="H192" s="19" t="s">
        <v>36043</v>
      </c>
      <c r="I192" s="20">
        <v>20.082000000000001</v>
      </c>
      <c r="J192" s="44" t="s">
        <v>8</v>
      </c>
      <c r="K192" s="23" t="s">
        <v>8</v>
      </c>
      <c r="L192" s="23" t="s">
        <v>8</v>
      </c>
      <c r="M192" s="23" t="s">
        <v>8</v>
      </c>
    </row>
    <row r="193" spans="1:13" s="21" customFormat="1" x14ac:dyDescent="0.25">
      <c r="A193" s="22" t="s">
        <v>8</v>
      </c>
      <c r="B193" s="18" t="str">
        <f>"015388"</f>
        <v>015388</v>
      </c>
      <c r="C193" s="19" t="s">
        <v>198</v>
      </c>
      <c r="D193" s="19" t="s">
        <v>15628</v>
      </c>
      <c r="E193" s="19" t="s">
        <v>30822</v>
      </c>
      <c r="F193" s="19" t="s">
        <v>35974</v>
      </c>
      <c r="G193" s="18" t="str">
        <f>"35235"</f>
        <v>35235</v>
      </c>
      <c r="H193" s="19" t="s">
        <v>32391</v>
      </c>
      <c r="I193" s="20">
        <v>24.34</v>
      </c>
      <c r="J193" s="44" t="s">
        <v>8</v>
      </c>
      <c r="K193" s="23" t="s">
        <v>8</v>
      </c>
      <c r="L193" s="23" t="s">
        <v>8</v>
      </c>
      <c r="M193" s="23" t="s">
        <v>8</v>
      </c>
    </row>
    <row r="194" spans="1:13" s="21" customFormat="1" x14ac:dyDescent="0.25">
      <c r="A194" s="22" t="s">
        <v>8</v>
      </c>
      <c r="B194" s="18" t="str">
        <f>"015390"</f>
        <v>015390</v>
      </c>
      <c r="C194" s="19" t="s">
        <v>199</v>
      </c>
      <c r="D194" s="19" t="s">
        <v>15629</v>
      </c>
      <c r="E194" s="19" t="s">
        <v>30833</v>
      </c>
      <c r="F194" s="19" t="s">
        <v>35974</v>
      </c>
      <c r="G194" s="18" t="str">
        <f>"36104"</f>
        <v>36104</v>
      </c>
      <c r="H194" s="19" t="s">
        <v>30833</v>
      </c>
      <c r="I194" s="20">
        <v>23.073</v>
      </c>
      <c r="J194" s="44" t="s">
        <v>8</v>
      </c>
      <c r="K194" s="23" t="s">
        <v>8</v>
      </c>
      <c r="L194" s="23" t="s">
        <v>8</v>
      </c>
      <c r="M194" s="23" t="s">
        <v>8</v>
      </c>
    </row>
    <row r="195" spans="1:13" s="21" customFormat="1" x14ac:dyDescent="0.25">
      <c r="A195" s="22" t="s">
        <v>8</v>
      </c>
      <c r="B195" s="18" t="str">
        <f>"015391"</f>
        <v>015391</v>
      </c>
      <c r="C195" s="19" t="s">
        <v>200</v>
      </c>
      <c r="D195" s="19" t="s">
        <v>15630</v>
      </c>
      <c r="E195" s="19" t="s">
        <v>30912</v>
      </c>
      <c r="F195" s="19" t="s">
        <v>35974</v>
      </c>
      <c r="G195" s="18" t="str">
        <f>"36265"</f>
        <v>36265</v>
      </c>
      <c r="H195" s="19" t="s">
        <v>31743</v>
      </c>
      <c r="I195" s="20">
        <v>17.260999999999999</v>
      </c>
      <c r="J195" s="44" t="s">
        <v>8</v>
      </c>
      <c r="K195" s="23" t="s">
        <v>8</v>
      </c>
      <c r="L195" s="23" t="s">
        <v>8</v>
      </c>
      <c r="M195" s="23" t="s">
        <v>8</v>
      </c>
    </row>
    <row r="196" spans="1:13" s="21" customFormat="1" x14ac:dyDescent="0.25">
      <c r="A196" s="22" t="s">
        <v>8</v>
      </c>
      <c r="B196" s="18" t="str">
        <f>"015392"</f>
        <v>015392</v>
      </c>
      <c r="C196" s="19" t="s">
        <v>201</v>
      </c>
      <c r="D196" s="19" t="s">
        <v>15631</v>
      </c>
      <c r="E196" s="19" t="s">
        <v>30913</v>
      </c>
      <c r="F196" s="19" t="s">
        <v>35974</v>
      </c>
      <c r="G196" s="18" t="str">
        <f>"35661"</f>
        <v>35661</v>
      </c>
      <c r="H196" s="19" t="s">
        <v>34722</v>
      </c>
      <c r="I196" s="20">
        <v>20.527999999999999</v>
      </c>
      <c r="J196" s="44" t="s">
        <v>8</v>
      </c>
      <c r="K196" s="23" t="s">
        <v>8</v>
      </c>
      <c r="L196" s="23" t="s">
        <v>8</v>
      </c>
      <c r="M196" s="23" t="s">
        <v>8</v>
      </c>
    </row>
    <row r="197" spans="1:13" s="21" customFormat="1" x14ac:dyDescent="0.25">
      <c r="A197" s="22" t="s">
        <v>8</v>
      </c>
      <c r="B197" s="18" t="str">
        <f>"015393"</f>
        <v>015393</v>
      </c>
      <c r="C197" s="19" t="s">
        <v>202</v>
      </c>
      <c r="D197" s="19" t="s">
        <v>15632</v>
      </c>
      <c r="E197" s="19" t="s">
        <v>30833</v>
      </c>
      <c r="F197" s="19" t="s">
        <v>35974</v>
      </c>
      <c r="G197" s="18" t="str">
        <f>"36107"</f>
        <v>36107</v>
      </c>
      <c r="H197" s="19" t="s">
        <v>30833</v>
      </c>
      <c r="I197" s="20">
        <v>17.353000000000002</v>
      </c>
      <c r="J197" s="44" t="s">
        <v>8</v>
      </c>
      <c r="K197" s="23" t="s">
        <v>8</v>
      </c>
      <c r="L197" s="23" t="s">
        <v>8</v>
      </c>
      <c r="M197" s="23" t="s">
        <v>8</v>
      </c>
    </row>
    <row r="198" spans="1:13" s="21" customFormat="1" x14ac:dyDescent="0.25">
      <c r="A198" s="22" t="s">
        <v>8</v>
      </c>
      <c r="B198" s="18" t="str">
        <f>"015396"</f>
        <v>015396</v>
      </c>
      <c r="C198" s="19" t="s">
        <v>203</v>
      </c>
      <c r="D198" s="19" t="s">
        <v>15633</v>
      </c>
      <c r="E198" s="19" t="s">
        <v>30811</v>
      </c>
      <c r="F198" s="19" t="s">
        <v>35974</v>
      </c>
      <c r="G198" s="18" t="str">
        <f>"36744"</f>
        <v>36744</v>
      </c>
      <c r="H198" s="19" t="s">
        <v>36031</v>
      </c>
      <c r="I198" s="20">
        <v>19.459</v>
      </c>
      <c r="J198" s="44" t="s">
        <v>8</v>
      </c>
      <c r="K198" s="23" t="s">
        <v>8</v>
      </c>
      <c r="L198" s="23" t="s">
        <v>8</v>
      </c>
      <c r="M198" s="23" t="s">
        <v>8</v>
      </c>
    </row>
    <row r="199" spans="1:13" s="21" customFormat="1" x14ac:dyDescent="0.25">
      <c r="A199" s="22" t="s">
        <v>8</v>
      </c>
      <c r="B199" s="18" t="str">
        <f>"015397"</f>
        <v>015397</v>
      </c>
      <c r="C199" s="19" t="s">
        <v>204</v>
      </c>
      <c r="D199" s="19" t="s">
        <v>15634</v>
      </c>
      <c r="E199" s="19" t="s">
        <v>30851</v>
      </c>
      <c r="F199" s="19" t="s">
        <v>35974</v>
      </c>
      <c r="G199" s="18" t="str">
        <f>"35805"</f>
        <v>35805</v>
      </c>
      <c r="H199" s="19" t="s">
        <v>30899</v>
      </c>
      <c r="I199" s="20">
        <v>21.283999999999999</v>
      </c>
      <c r="J199" s="44" t="s">
        <v>8</v>
      </c>
      <c r="K199" s="23" t="s">
        <v>8</v>
      </c>
      <c r="L199" s="23" t="s">
        <v>8</v>
      </c>
      <c r="M199" s="23" t="s">
        <v>8</v>
      </c>
    </row>
    <row r="200" spans="1:13" s="21" customFormat="1" x14ac:dyDescent="0.25">
      <c r="A200" s="22" t="s">
        <v>8</v>
      </c>
      <c r="B200" s="18" t="str">
        <f>"015398"</f>
        <v>015398</v>
      </c>
      <c r="C200" s="19" t="s">
        <v>205</v>
      </c>
      <c r="D200" s="19" t="s">
        <v>15635</v>
      </c>
      <c r="E200" s="19" t="s">
        <v>30905</v>
      </c>
      <c r="F200" s="19" t="s">
        <v>35974</v>
      </c>
      <c r="G200" s="18" t="str">
        <f>"36460"</f>
        <v>36460</v>
      </c>
      <c r="H200" s="19" t="s">
        <v>31711</v>
      </c>
      <c r="I200" s="20">
        <v>22.515999999999998</v>
      </c>
      <c r="J200" s="44" t="s">
        <v>8</v>
      </c>
      <c r="K200" s="23" t="s">
        <v>8</v>
      </c>
      <c r="L200" s="23" t="s">
        <v>8</v>
      </c>
      <c r="M200" s="23" t="s">
        <v>8</v>
      </c>
    </row>
    <row r="201" spans="1:13" s="21" customFormat="1" x14ac:dyDescent="0.25">
      <c r="A201" s="22" t="s">
        <v>8</v>
      </c>
      <c r="B201" s="18" t="str">
        <f>"015400"</f>
        <v>015400</v>
      </c>
      <c r="C201" s="19" t="s">
        <v>206</v>
      </c>
      <c r="D201" s="19" t="s">
        <v>15636</v>
      </c>
      <c r="E201" s="19" t="s">
        <v>30887</v>
      </c>
      <c r="F201" s="19" t="s">
        <v>35974</v>
      </c>
      <c r="G201" s="18" t="str">
        <f>"35128"</f>
        <v>35128</v>
      </c>
      <c r="H201" s="19" t="s">
        <v>33662</v>
      </c>
      <c r="I201" s="20">
        <v>20.440999999999999</v>
      </c>
      <c r="J201" s="44" t="s">
        <v>8</v>
      </c>
      <c r="K201" s="23" t="s">
        <v>8</v>
      </c>
      <c r="L201" s="23" t="s">
        <v>8</v>
      </c>
      <c r="M201" s="23" t="s">
        <v>8</v>
      </c>
    </row>
    <row r="202" spans="1:13" s="21" customFormat="1" x14ac:dyDescent="0.25">
      <c r="A202" s="22" t="s">
        <v>8</v>
      </c>
      <c r="B202" s="18" t="str">
        <f>"015402"</f>
        <v>015402</v>
      </c>
      <c r="C202" s="19" t="s">
        <v>207</v>
      </c>
      <c r="D202" s="19" t="s">
        <v>15637</v>
      </c>
      <c r="E202" s="19" t="s">
        <v>30829</v>
      </c>
      <c r="F202" s="19" t="s">
        <v>35974</v>
      </c>
      <c r="G202" s="18" t="str">
        <f>"35634"</f>
        <v>35634</v>
      </c>
      <c r="H202" s="19" t="s">
        <v>36036</v>
      </c>
      <c r="I202" s="20">
        <v>18.757999999999999</v>
      </c>
      <c r="J202" s="44" t="s">
        <v>8</v>
      </c>
      <c r="K202" s="23" t="s">
        <v>8</v>
      </c>
      <c r="L202" s="23" t="s">
        <v>8</v>
      </c>
      <c r="M202" s="23" t="s">
        <v>8</v>
      </c>
    </row>
    <row r="203" spans="1:13" s="21" customFormat="1" x14ac:dyDescent="0.25">
      <c r="A203" s="22" t="s">
        <v>8</v>
      </c>
      <c r="B203" s="18" t="str">
        <f>"015403"</f>
        <v>015403</v>
      </c>
      <c r="C203" s="19" t="s">
        <v>208</v>
      </c>
      <c r="D203" s="19" t="s">
        <v>15638</v>
      </c>
      <c r="E203" s="19" t="s">
        <v>30848</v>
      </c>
      <c r="F203" s="19" t="s">
        <v>35974</v>
      </c>
      <c r="G203" s="18" t="str">
        <f>"36607"</f>
        <v>36607</v>
      </c>
      <c r="H203" s="19" t="s">
        <v>30848</v>
      </c>
      <c r="I203" s="20">
        <v>21.574999999999999</v>
      </c>
      <c r="J203" s="44" t="s">
        <v>8</v>
      </c>
      <c r="K203" s="23" t="s">
        <v>8</v>
      </c>
      <c r="L203" s="23" t="s">
        <v>8</v>
      </c>
      <c r="M203" s="23" t="s">
        <v>8</v>
      </c>
    </row>
    <row r="204" spans="1:13" s="21" customFormat="1" x14ac:dyDescent="0.25">
      <c r="A204" s="22" t="s">
        <v>8</v>
      </c>
      <c r="B204" s="18" t="str">
        <f>"015404"</f>
        <v>015404</v>
      </c>
      <c r="C204" s="19" t="s">
        <v>209</v>
      </c>
      <c r="D204" s="19" t="s">
        <v>15639</v>
      </c>
      <c r="E204" s="19" t="s">
        <v>30898</v>
      </c>
      <c r="F204" s="19" t="s">
        <v>35974</v>
      </c>
      <c r="G204" s="18" t="str">
        <f>"35023"</f>
        <v>35023</v>
      </c>
      <c r="H204" s="19" t="s">
        <v>32391</v>
      </c>
      <c r="I204" s="20">
        <v>19.565000000000001</v>
      </c>
      <c r="J204" s="44" t="s">
        <v>8</v>
      </c>
      <c r="K204" s="23" t="s">
        <v>8</v>
      </c>
      <c r="L204" s="23" t="s">
        <v>8</v>
      </c>
      <c r="M204" s="23" t="s">
        <v>8</v>
      </c>
    </row>
    <row r="205" spans="1:13" s="21" customFormat="1" x14ac:dyDescent="0.25">
      <c r="A205" s="22" t="s">
        <v>8</v>
      </c>
      <c r="B205" s="18" t="str">
        <f>"015406"</f>
        <v>015406</v>
      </c>
      <c r="C205" s="19" t="s">
        <v>210</v>
      </c>
      <c r="D205" s="19" t="s">
        <v>15640</v>
      </c>
      <c r="E205" s="19" t="s">
        <v>30914</v>
      </c>
      <c r="F205" s="19" t="s">
        <v>35974</v>
      </c>
      <c r="G205" s="18" t="str">
        <f>"36541"</f>
        <v>36541</v>
      </c>
      <c r="H205" s="19" t="s">
        <v>30848</v>
      </c>
      <c r="I205" s="20">
        <v>19.087</v>
      </c>
      <c r="J205" s="44" t="s">
        <v>8</v>
      </c>
      <c r="K205" s="23" t="s">
        <v>8</v>
      </c>
      <c r="L205" s="23" t="s">
        <v>8</v>
      </c>
      <c r="M205" s="23" t="s">
        <v>8</v>
      </c>
    </row>
    <row r="206" spans="1:13" s="21" customFormat="1" x14ac:dyDescent="0.25">
      <c r="A206" s="22" t="s">
        <v>8</v>
      </c>
      <c r="B206" s="18" t="str">
        <f>"015407"</f>
        <v>015407</v>
      </c>
      <c r="C206" s="19" t="s">
        <v>211</v>
      </c>
      <c r="D206" s="19" t="s">
        <v>15469</v>
      </c>
      <c r="E206" s="19" t="s">
        <v>30915</v>
      </c>
      <c r="F206" s="19" t="s">
        <v>35974</v>
      </c>
      <c r="G206" s="18" t="str">
        <f>"35953"</f>
        <v>35953</v>
      </c>
      <c r="H206" s="19" t="s">
        <v>33662</v>
      </c>
      <c r="I206" s="20">
        <v>19.099</v>
      </c>
      <c r="J206" s="44" t="s">
        <v>8</v>
      </c>
      <c r="K206" s="23" t="s">
        <v>8</v>
      </c>
      <c r="L206" s="23" t="s">
        <v>8</v>
      </c>
      <c r="M206" s="23" t="s">
        <v>8</v>
      </c>
    </row>
    <row r="207" spans="1:13" s="21" customFormat="1" x14ac:dyDescent="0.25">
      <c r="A207" s="22" t="s">
        <v>8</v>
      </c>
      <c r="B207" s="18" t="str">
        <f>"015408"</f>
        <v>015408</v>
      </c>
      <c r="C207" s="19" t="s">
        <v>212</v>
      </c>
      <c r="D207" s="19" t="s">
        <v>15641</v>
      </c>
      <c r="E207" s="19" t="s">
        <v>30916</v>
      </c>
      <c r="F207" s="19" t="s">
        <v>35974</v>
      </c>
      <c r="G207" s="18" t="str">
        <f>"35549"</f>
        <v>35549</v>
      </c>
      <c r="H207" s="19" t="s">
        <v>33386</v>
      </c>
      <c r="I207" s="20">
        <v>19.207000000000001</v>
      </c>
      <c r="J207" s="44" t="s">
        <v>8</v>
      </c>
      <c r="K207" s="23" t="s">
        <v>8</v>
      </c>
      <c r="L207" s="23" t="s">
        <v>8</v>
      </c>
      <c r="M207" s="23" t="s">
        <v>8</v>
      </c>
    </row>
    <row r="208" spans="1:13" s="21" customFormat="1" x14ac:dyDescent="0.25">
      <c r="A208" s="22" t="s">
        <v>8</v>
      </c>
      <c r="B208" s="18" t="str">
        <f>"015410"</f>
        <v>015410</v>
      </c>
      <c r="C208" s="19" t="s">
        <v>213</v>
      </c>
      <c r="D208" s="19" t="s">
        <v>15642</v>
      </c>
      <c r="E208" s="19" t="s">
        <v>30889</v>
      </c>
      <c r="F208" s="19" t="s">
        <v>35974</v>
      </c>
      <c r="G208" s="18" t="str">
        <f>"36802"</f>
        <v>36802</v>
      </c>
      <c r="H208" s="19" t="s">
        <v>33138</v>
      </c>
      <c r="I208" s="20">
        <v>18.927</v>
      </c>
      <c r="J208" s="44" t="s">
        <v>8</v>
      </c>
      <c r="K208" s="23" t="s">
        <v>8</v>
      </c>
      <c r="L208" s="23" t="s">
        <v>8</v>
      </c>
      <c r="M208" s="23" t="s">
        <v>8</v>
      </c>
    </row>
    <row r="209" spans="1:13" s="21" customFormat="1" x14ac:dyDescent="0.25">
      <c r="A209" s="22" t="s">
        <v>8</v>
      </c>
      <c r="B209" s="18" t="str">
        <f>"015411"</f>
        <v>015411</v>
      </c>
      <c r="C209" s="19" t="s">
        <v>214</v>
      </c>
      <c r="D209" s="19" t="s">
        <v>15643</v>
      </c>
      <c r="E209" s="19" t="s">
        <v>30867</v>
      </c>
      <c r="F209" s="19" t="s">
        <v>35974</v>
      </c>
      <c r="G209" s="18" t="str">
        <f>"35007"</f>
        <v>35007</v>
      </c>
      <c r="H209" s="19" t="s">
        <v>33565</v>
      </c>
      <c r="I209" s="20">
        <v>18.73</v>
      </c>
      <c r="J209" s="44" t="s">
        <v>8</v>
      </c>
      <c r="K209" s="23" t="s">
        <v>8</v>
      </c>
      <c r="L209" s="23" t="s">
        <v>8</v>
      </c>
      <c r="M209" s="23" t="s">
        <v>8</v>
      </c>
    </row>
    <row r="210" spans="1:13" s="21" customFormat="1" x14ac:dyDescent="0.25">
      <c r="A210" s="22" t="s">
        <v>8</v>
      </c>
      <c r="B210" s="18" t="str">
        <f>"015413"</f>
        <v>015413</v>
      </c>
      <c r="C210" s="19" t="s">
        <v>215</v>
      </c>
      <c r="D210" s="19" t="s">
        <v>15644</v>
      </c>
      <c r="E210" s="19" t="s">
        <v>30846</v>
      </c>
      <c r="F210" s="19" t="s">
        <v>35974</v>
      </c>
      <c r="G210" s="18" t="str">
        <f>"36703"</f>
        <v>36703</v>
      </c>
      <c r="H210" s="19" t="s">
        <v>31723</v>
      </c>
      <c r="I210" s="20">
        <v>20.428000000000001</v>
      </c>
      <c r="J210" s="44" t="s">
        <v>8</v>
      </c>
      <c r="K210" s="23" t="s">
        <v>8</v>
      </c>
      <c r="L210" s="23" t="s">
        <v>8</v>
      </c>
      <c r="M210" s="23" t="s">
        <v>8</v>
      </c>
    </row>
    <row r="211" spans="1:13" s="21" customFormat="1" x14ac:dyDescent="0.25">
      <c r="A211" s="22" t="s">
        <v>8</v>
      </c>
      <c r="B211" s="18" t="str">
        <f>"015414"</f>
        <v>015414</v>
      </c>
      <c r="C211" s="19" t="s">
        <v>216</v>
      </c>
      <c r="D211" s="19" t="s">
        <v>15645</v>
      </c>
      <c r="E211" s="19" t="s">
        <v>30892</v>
      </c>
      <c r="F211" s="19" t="s">
        <v>35974</v>
      </c>
      <c r="G211" s="18" t="str">
        <f>"36862"</f>
        <v>36862</v>
      </c>
      <c r="H211" s="19" t="s">
        <v>36037</v>
      </c>
      <c r="I211" s="20">
        <v>17.997</v>
      </c>
      <c r="J211" s="44" t="s">
        <v>8</v>
      </c>
      <c r="K211" s="23" t="s">
        <v>8</v>
      </c>
      <c r="L211" s="23" t="s">
        <v>8</v>
      </c>
      <c r="M211" s="23" t="s">
        <v>8</v>
      </c>
    </row>
    <row r="212" spans="1:13" s="21" customFormat="1" x14ac:dyDescent="0.25">
      <c r="A212" s="22" t="s">
        <v>8</v>
      </c>
      <c r="B212" s="18" t="str">
        <f>"015415"</f>
        <v>015415</v>
      </c>
      <c r="C212" s="19" t="s">
        <v>217</v>
      </c>
      <c r="D212" s="19" t="s">
        <v>15646</v>
      </c>
      <c r="E212" s="19" t="s">
        <v>30848</v>
      </c>
      <c r="F212" s="19" t="s">
        <v>35974</v>
      </c>
      <c r="G212" s="18" t="str">
        <f>"36608"</f>
        <v>36608</v>
      </c>
      <c r="H212" s="19" t="s">
        <v>30848</v>
      </c>
      <c r="I212" s="20">
        <v>18.925000000000001</v>
      </c>
      <c r="J212" s="44" t="s">
        <v>8</v>
      </c>
      <c r="K212" s="23" t="s">
        <v>8</v>
      </c>
      <c r="L212" s="23" t="s">
        <v>8</v>
      </c>
      <c r="M212" s="23" t="s">
        <v>8</v>
      </c>
    </row>
    <row r="213" spans="1:13" s="21" customFormat="1" x14ac:dyDescent="0.25">
      <c r="A213" s="22" t="s">
        <v>8</v>
      </c>
      <c r="B213" s="18" t="str">
        <f>"015416"</f>
        <v>015416</v>
      </c>
      <c r="C213" s="19" t="s">
        <v>218</v>
      </c>
      <c r="D213" s="19" t="s">
        <v>15647</v>
      </c>
      <c r="E213" s="19" t="s">
        <v>30917</v>
      </c>
      <c r="F213" s="19" t="s">
        <v>35974</v>
      </c>
      <c r="G213" s="18" t="str">
        <f>"36420"</f>
        <v>36420</v>
      </c>
      <c r="H213" s="19" t="s">
        <v>31753</v>
      </c>
      <c r="I213" s="20">
        <v>21.024000000000001</v>
      </c>
      <c r="J213" s="44" t="s">
        <v>8</v>
      </c>
      <c r="K213" s="23" t="s">
        <v>8</v>
      </c>
      <c r="L213" s="23" t="s">
        <v>8</v>
      </c>
      <c r="M213" s="23" t="s">
        <v>8</v>
      </c>
    </row>
    <row r="214" spans="1:13" s="21" customFormat="1" x14ac:dyDescent="0.25">
      <c r="A214" s="22" t="s">
        <v>8</v>
      </c>
      <c r="B214" s="18" t="str">
        <f>"015417"</f>
        <v>015417</v>
      </c>
      <c r="C214" s="19" t="s">
        <v>219</v>
      </c>
      <c r="D214" s="19" t="s">
        <v>15648</v>
      </c>
      <c r="E214" s="19" t="s">
        <v>30918</v>
      </c>
      <c r="F214" s="19" t="s">
        <v>35974</v>
      </c>
      <c r="G214" s="18" t="str">
        <f>"36507"</f>
        <v>36507</v>
      </c>
      <c r="H214" s="19" t="s">
        <v>31758</v>
      </c>
      <c r="I214" s="20">
        <v>21.867999999999999</v>
      </c>
      <c r="J214" s="44" t="s">
        <v>8</v>
      </c>
      <c r="K214" s="23" t="s">
        <v>8</v>
      </c>
      <c r="L214" s="23" t="s">
        <v>8</v>
      </c>
      <c r="M214" s="23" t="s">
        <v>8</v>
      </c>
    </row>
    <row r="215" spans="1:13" s="21" customFormat="1" x14ac:dyDescent="0.25">
      <c r="A215" s="22" t="s">
        <v>8</v>
      </c>
      <c r="B215" s="18" t="str">
        <f>"015419"</f>
        <v>015419</v>
      </c>
      <c r="C215" s="19" t="s">
        <v>220</v>
      </c>
      <c r="D215" s="19" t="s">
        <v>15649</v>
      </c>
      <c r="E215" s="19" t="s">
        <v>30919</v>
      </c>
      <c r="F215" s="19" t="s">
        <v>35974</v>
      </c>
      <c r="G215" s="18" t="str">
        <f>"36344"</f>
        <v>36344</v>
      </c>
      <c r="H215" s="19" t="s">
        <v>30870</v>
      </c>
      <c r="I215" s="20">
        <v>19.009</v>
      </c>
      <c r="J215" s="44" t="s">
        <v>8</v>
      </c>
      <c r="K215" s="23" t="s">
        <v>8</v>
      </c>
      <c r="L215" s="23" t="s">
        <v>8</v>
      </c>
      <c r="M215" s="23" t="s">
        <v>8</v>
      </c>
    </row>
    <row r="216" spans="1:13" s="21" customFormat="1" x14ac:dyDescent="0.25">
      <c r="A216" s="22" t="s">
        <v>8</v>
      </c>
      <c r="B216" s="18" t="str">
        <f>"015420"</f>
        <v>015420</v>
      </c>
      <c r="C216" s="19" t="s">
        <v>221</v>
      </c>
      <c r="D216" s="19" t="s">
        <v>15650</v>
      </c>
      <c r="E216" s="19" t="s">
        <v>30920</v>
      </c>
      <c r="F216" s="19" t="s">
        <v>35974</v>
      </c>
      <c r="G216" s="18" t="str">
        <f>"35740"</f>
        <v>35740</v>
      </c>
      <c r="H216" s="19" t="s">
        <v>30816</v>
      </c>
      <c r="I216" s="20">
        <v>19.460999999999999</v>
      </c>
      <c r="J216" s="44" t="s">
        <v>8</v>
      </c>
      <c r="K216" s="23" t="s">
        <v>8</v>
      </c>
      <c r="L216" s="23" t="s">
        <v>8</v>
      </c>
      <c r="M216" s="23" t="s">
        <v>8</v>
      </c>
    </row>
    <row r="217" spans="1:13" s="21" customFormat="1" x14ac:dyDescent="0.25">
      <c r="A217" s="22" t="s">
        <v>8</v>
      </c>
      <c r="B217" s="18" t="str">
        <f>"015422"</f>
        <v>015422</v>
      </c>
      <c r="C217" s="19" t="s">
        <v>222</v>
      </c>
      <c r="D217" s="19" t="s">
        <v>15651</v>
      </c>
      <c r="E217" s="19" t="s">
        <v>30873</v>
      </c>
      <c r="F217" s="19" t="s">
        <v>35974</v>
      </c>
      <c r="G217" s="18" t="str">
        <f>"35121"</f>
        <v>35121</v>
      </c>
      <c r="H217" s="19" t="s">
        <v>36041</v>
      </c>
      <c r="I217" s="20">
        <v>18.73</v>
      </c>
      <c r="J217" s="44" t="s">
        <v>8</v>
      </c>
      <c r="K217" s="23" t="s">
        <v>8</v>
      </c>
      <c r="L217" s="23" t="s">
        <v>8</v>
      </c>
      <c r="M217" s="23" t="s">
        <v>8</v>
      </c>
    </row>
    <row r="218" spans="1:13" s="21" customFormat="1" x14ac:dyDescent="0.25">
      <c r="A218" s="22" t="s">
        <v>8</v>
      </c>
      <c r="B218" s="18" t="str">
        <f>"015423"</f>
        <v>015423</v>
      </c>
      <c r="C218" s="19" t="s">
        <v>223</v>
      </c>
      <c r="D218" s="19" t="s">
        <v>15652</v>
      </c>
      <c r="E218" s="19" t="s">
        <v>30822</v>
      </c>
      <c r="F218" s="19" t="s">
        <v>35974</v>
      </c>
      <c r="G218" s="18" t="str">
        <f>"35209"</f>
        <v>35209</v>
      </c>
      <c r="H218" s="19" t="s">
        <v>32391</v>
      </c>
      <c r="I218" s="20">
        <v>20.898</v>
      </c>
      <c r="J218" s="44" t="s">
        <v>8</v>
      </c>
      <c r="K218" s="23" t="s">
        <v>8</v>
      </c>
      <c r="L218" s="23" t="s">
        <v>8</v>
      </c>
      <c r="M218" s="23" t="s">
        <v>8</v>
      </c>
    </row>
    <row r="219" spans="1:13" s="21" customFormat="1" x14ac:dyDescent="0.25">
      <c r="A219" s="22" t="s">
        <v>8</v>
      </c>
      <c r="B219" s="18" t="str">
        <f>"015424"</f>
        <v>015424</v>
      </c>
      <c r="C219" s="19" t="s">
        <v>224</v>
      </c>
      <c r="D219" s="19" t="s">
        <v>15653</v>
      </c>
      <c r="E219" s="19" t="s">
        <v>30859</v>
      </c>
      <c r="F219" s="19" t="s">
        <v>35974</v>
      </c>
      <c r="G219" s="18" t="str">
        <f>"36274"</f>
        <v>36274</v>
      </c>
      <c r="H219" s="19" t="s">
        <v>33068</v>
      </c>
      <c r="I219" s="20">
        <v>20.803999999999998</v>
      </c>
      <c r="J219" s="44" t="s">
        <v>8</v>
      </c>
      <c r="K219" s="23" t="s">
        <v>8</v>
      </c>
      <c r="L219" s="23" t="s">
        <v>8</v>
      </c>
      <c r="M219" s="23" t="s">
        <v>8</v>
      </c>
    </row>
    <row r="220" spans="1:13" s="21" customFormat="1" x14ac:dyDescent="0.25">
      <c r="A220" s="22" t="s">
        <v>8</v>
      </c>
      <c r="B220" s="18" t="str">
        <f>"015425"</f>
        <v>015425</v>
      </c>
      <c r="C220" s="19" t="s">
        <v>225</v>
      </c>
      <c r="D220" s="19" t="s">
        <v>15654</v>
      </c>
      <c r="E220" s="19" t="s">
        <v>30871</v>
      </c>
      <c r="F220" s="19" t="s">
        <v>35974</v>
      </c>
      <c r="G220" s="18" t="str">
        <f>"36303"</f>
        <v>36303</v>
      </c>
      <c r="H220" s="19" t="s">
        <v>33493</v>
      </c>
      <c r="I220" s="20">
        <v>17.61</v>
      </c>
      <c r="J220" s="44" t="s">
        <v>8</v>
      </c>
      <c r="K220" s="23" t="s">
        <v>8</v>
      </c>
      <c r="L220" s="23" t="s">
        <v>8</v>
      </c>
      <c r="M220" s="23" t="s">
        <v>8</v>
      </c>
    </row>
    <row r="221" spans="1:13" s="21" customFormat="1" x14ac:dyDescent="0.25">
      <c r="A221" s="22" t="s">
        <v>8</v>
      </c>
      <c r="B221" s="18" t="str">
        <f>"015426"</f>
        <v>015426</v>
      </c>
      <c r="C221" s="19" t="s">
        <v>226</v>
      </c>
      <c r="D221" s="19" t="s">
        <v>15655</v>
      </c>
      <c r="E221" s="19" t="s">
        <v>30848</v>
      </c>
      <c r="F221" s="19" t="s">
        <v>35974</v>
      </c>
      <c r="G221" s="18" t="str">
        <f>"36608"</f>
        <v>36608</v>
      </c>
      <c r="H221" s="19" t="s">
        <v>30848</v>
      </c>
      <c r="I221" s="20">
        <v>21.065999999999999</v>
      </c>
      <c r="J221" s="44" t="s">
        <v>8</v>
      </c>
      <c r="K221" s="23" t="s">
        <v>8</v>
      </c>
      <c r="L221" s="23" t="s">
        <v>8</v>
      </c>
      <c r="M221" s="23" t="s">
        <v>8</v>
      </c>
    </row>
    <row r="222" spans="1:13" s="21" customFormat="1" x14ac:dyDescent="0.25">
      <c r="A222" s="22" t="s">
        <v>8</v>
      </c>
      <c r="B222" s="18" t="str">
        <f>"015429"</f>
        <v>015429</v>
      </c>
      <c r="C222" s="19" t="s">
        <v>227</v>
      </c>
      <c r="D222" s="19" t="s">
        <v>15656</v>
      </c>
      <c r="E222" s="19" t="s">
        <v>30848</v>
      </c>
      <c r="F222" s="19" t="s">
        <v>35974</v>
      </c>
      <c r="G222" s="18" t="str">
        <f>"36603"</f>
        <v>36603</v>
      </c>
      <c r="H222" s="19" t="s">
        <v>30848</v>
      </c>
      <c r="I222" s="20">
        <v>19.699000000000002</v>
      </c>
      <c r="J222" s="44" t="s">
        <v>8</v>
      </c>
      <c r="K222" s="23" t="s">
        <v>8</v>
      </c>
      <c r="L222" s="23" t="s">
        <v>8</v>
      </c>
      <c r="M222" s="23" t="s">
        <v>8</v>
      </c>
    </row>
    <row r="223" spans="1:13" s="21" customFormat="1" x14ac:dyDescent="0.25">
      <c r="A223" s="22" t="s">
        <v>8</v>
      </c>
      <c r="B223" s="18" t="str">
        <f>"015431"</f>
        <v>015431</v>
      </c>
      <c r="C223" s="19" t="s">
        <v>228</v>
      </c>
      <c r="D223" s="19" t="s">
        <v>15657</v>
      </c>
      <c r="E223" s="19" t="s">
        <v>30899</v>
      </c>
      <c r="F223" s="19" t="s">
        <v>35974</v>
      </c>
      <c r="G223" s="18" t="str">
        <f>"35757"</f>
        <v>35757</v>
      </c>
      <c r="H223" s="19" t="s">
        <v>30899</v>
      </c>
      <c r="I223" s="20">
        <v>21.992000000000001</v>
      </c>
      <c r="J223" s="44" t="s">
        <v>8</v>
      </c>
      <c r="K223" s="23" t="s">
        <v>8</v>
      </c>
      <c r="L223" s="23" t="s">
        <v>8</v>
      </c>
      <c r="M223" s="23" t="s">
        <v>8</v>
      </c>
    </row>
    <row r="224" spans="1:13" s="21" customFormat="1" x14ac:dyDescent="0.25">
      <c r="A224" s="22" t="s">
        <v>8</v>
      </c>
      <c r="B224" s="18" t="str">
        <f>"015433"</f>
        <v>015433</v>
      </c>
      <c r="C224" s="19" t="s">
        <v>229</v>
      </c>
      <c r="D224" s="19" t="s">
        <v>15658</v>
      </c>
      <c r="E224" s="19" t="s">
        <v>30822</v>
      </c>
      <c r="F224" s="19" t="s">
        <v>35974</v>
      </c>
      <c r="G224" s="18" t="str">
        <f>"35210"</f>
        <v>35210</v>
      </c>
      <c r="H224" s="19" t="s">
        <v>32391</v>
      </c>
      <c r="I224" s="20">
        <v>19.224</v>
      </c>
      <c r="J224" s="44" t="s">
        <v>8</v>
      </c>
      <c r="K224" s="23" t="s">
        <v>8</v>
      </c>
      <c r="L224" s="23" t="s">
        <v>8</v>
      </c>
      <c r="M224" s="23" t="s">
        <v>8</v>
      </c>
    </row>
    <row r="225" spans="1:13" s="21" customFormat="1" x14ac:dyDescent="0.25">
      <c r="A225" s="22" t="s">
        <v>8</v>
      </c>
      <c r="B225" s="18" t="str">
        <f>"015434"</f>
        <v>015434</v>
      </c>
      <c r="C225" s="19" t="s">
        <v>230</v>
      </c>
      <c r="D225" s="19" t="s">
        <v>15659</v>
      </c>
      <c r="E225" s="19" t="s">
        <v>30848</v>
      </c>
      <c r="F225" s="19" t="s">
        <v>35974</v>
      </c>
      <c r="G225" s="18" t="str">
        <f>"36693"</f>
        <v>36693</v>
      </c>
      <c r="H225" s="19" t="s">
        <v>30848</v>
      </c>
      <c r="I225" s="20">
        <v>22.678000000000001</v>
      </c>
      <c r="J225" s="44" t="s">
        <v>8</v>
      </c>
      <c r="K225" s="23" t="s">
        <v>8</v>
      </c>
      <c r="L225" s="23" t="s">
        <v>8</v>
      </c>
      <c r="M225" s="23" t="s">
        <v>8</v>
      </c>
    </row>
    <row r="226" spans="1:13" s="21" customFormat="1" x14ac:dyDescent="0.25">
      <c r="A226" s="22" t="s">
        <v>8</v>
      </c>
      <c r="B226" s="18" t="str">
        <f>"015435"</f>
        <v>015435</v>
      </c>
      <c r="C226" s="19" t="s">
        <v>231</v>
      </c>
      <c r="D226" s="19" t="s">
        <v>15660</v>
      </c>
      <c r="E226" s="19" t="s">
        <v>30848</v>
      </c>
      <c r="F226" s="19" t="s">
        <v>35974</v>
      </c>
      <c r="G226" s="18" t="str">
        <f>"36608"</f>
        <v>36608</v>
      </c>
      <c r="H226" s="19" t="s">
        <v>30848</v>
      </c>
      <c r="I226" s="20">
        <v>21.8</v>
      </c>
      <c r="J226" s="44" t="s">
        <v>8</v>
      </c>
      <c r="K226" s="23" t="s">
        <v>8</v>
      </c>
      <c r="L226" s="23" t="s">
        <v>8</v>
      </c>
      <c r="M226" s="23" t="s">
        <v>8</v>
      </c>
    </row>
    <row r="227" spans="1:13" s="21" customFormat="1" x14ac:dyDescent="0.25">
      <c r="A227" s="22" t="s">
        <v>8</v>
      </c>
      <c r="B227" s="18" t="str">
        <f>"015436"</f>
        <v>015436</v>
      </c>
      <c r="C227" s="19" t="s">
        <v>232</v>
      </c>
      <c r="D227" s="19" t="s">
        <v>15661</v>
      </c>
      <c r="E227" s="19" t="s">
        <v>30833</v>
      </c>
      <c r="F227" s="19" t="s">
        <v>35974</v>
      </c>
      <c r="G227" s="18" t="str">
        <f>"36109"</f>
        <v>36109</v>
      </c>
      <c r="H227" s="19" t="s">
        <v>30833</v>
      </c>
      <c r="I227" s="20">
        <v>19.802</v>
      </c>
      <c r="J227" s="44" t="s">
        <v>8</v>
      </c>
      <c r="K227" s="23" t="s">
        <v>8</v>
      </c>
      <c r="L227" s="23" t="s">
        <v>8</v>
      </c>
      <c r="M227" s="23" t="s">
        <v>8</v>
      </c>
    </row>
    <row r="228" spans="1:13" s="21" customFormat="1" x14ac:dyDescent="0.25">
      <c r="A228" s="22" t="s">
        <v>8</v>
      </c>
      <c r="B228" s="18" t="str">
        <f>"015437"</f>
        <v>015437</v>
      </c>
      <c r="C228" s="19" t="s">
        <v>233</v>
      </c>
      <c r="D228" s="19" t="s">
        <v>15662</v>
      </c>
      <c r="E228" s="19" t="s">
        <v>30837</v>
      </c>
      <c r="F228" s="19" t="s">
        <v>35974</v>
      </c>
      <c r="G228" s="18" t="str">
        <f>"35055"</f>
        <v>35055</v>
      </c>
      <c r="H228" s="19" t="s">
        <v>30837</v>
      </c>
      <c r="I228" s="20">
        <v>22.146000000000001</v>
      </c>
      <c r="J228" s="44" t="s">
        <v>8</v>
      </c>
      <c r="K228" s="23" t="s">
        <v>8</v>
      </c>
      <c r="L228" s="23" t="s">
        <v>8</v>
      </c>
      <c r="M228" s="23" t="s">
        <v>8</v>
      </c>
    </row>
    <row r="229" spans="1:13" s="21" customFormat="1" x14ac:dyDescent="0.25">
      <c r="A229" s="22" t="s">
        <v>8</v>
      </c>
      <c r="B229" s="18" t="str">
        <f>"015440"</f>
        <v>015440</v>
      </c>
      <c r="C229" s="19" t="s">
        <v>234</v>
      </c>
      <c r="D229" s="19" t="s">
        <v>15663</v>
      </c>
      <c r="E229" s="19" t="s">
        <v>30851</v>
      </c>
      <c r="F229" s="19" t="s">
        <v>35974</v>
      </c>
      <c r="G229" s="18" t="str">
        <f>"35802"</f>
        <v>35802</v>
      </c>
      <c r="H229" s="19" t="s">
        <v>30899</v>
      </c>
      <c r="I229" s="20">
        <v>21.753</v>
      </c>
      <c r="J229" s="44" t="s">
        <v>8</v>
      </c>
      <c r="K229" s="23" t="s">
        <v>8</v>
      </c>
      <c r="L229" s="23" t="s">
        <v>8</v>
      </c>
      <c r="M229" s="23" t="s">
        <v>8</v>
      </c>
    </row>
    <row r="230" spans="1:13" s="21" customFormat="1" x14ac:dyDescent="0.25">
      <c r="A230" s="22" t="s">
        <v>8</v>
      </c>
      <c r="B230" s="18" t="str">
        <f>"015442"</f>
        <v>015442</v>
      </c>
      <c r="C230" s="19" t="s">
        <v>235</v>
      </c>
      <c r="D230" s="19" t="s">
        <v>15664</v>
      </c>
      <c r="E230" s="19" t="s">
        <v>30921</v>
      </c>
      <c r="F230" s="19" t="s">
        <v>35974</v>
      </c>
      <c r="G230" s="18" t="str">
        <f>"36040"</f>
        <v>36040</v>
      </c>
      <c r="H230" s="19" t="s">
        <v>36047</v>
      </c>
      <c r="I230" s="20">
        <v>18.683</v>
      </c>
      <c r="J230" s="44" t="s">
        <v>8</v>
      </c>
      <c r="K230" s="23" t="s">
        <v>8</v>
      </c>
      <c r="L230" s="23" t="s">
        <v>8</v>
      </c>
      <c r="M230" s="23" t="s">
        <v>8</v>
      </c>
    </row>
    <row r="231" spans="1:13" s="21" customFormat="1" x14ac:dyDescent="0.25">
      <c r="A231" s="22" t="s">
        <v>8</v>
      </c>
      <c r="B231" s="18" t="str">
        <f>"015443"</f>
        <v>015443</v>
      </c>
      <c r="C231" s="19" t="s">
        <v>236</v>
      </c>
      <c r="D231" s="19" t="s">
        <v>15665</v>
      </c>
      <c r="E231" s="19" t="s">
        <v>30922</v>
      </c>
      <c r="F231" s="19" t="s">
        <v>35974</v>
      </c>
      <c r="G231" s="18" t="str">
        <f>"36567"</f>
        <v>36567</v>
      </c>
      <c r="H231" s="19" t="s">
        <v>31758</v>
      </c>
      <c r="I231" s="20">
        <v>22.338000000000001</v>
      </c>
      <c r="J231" s="44" t="s">
        <v>8</v>
      </c>
      <c r="K231" s="23" t="s">
        <v>8</v>
      </c>
      <c r="L231" s="23" t="s">
        <v>8</v>
      </c>
      <c r="M231" s="23" t="s">
        <v>8</v>
      </c>
    </row>
    <row r="232" spans="1:13" s="21" customFormat="1" x14ac:dyDescent="0.25">
      <c r="A232" s="22" t="s">
        <v>8</v>
      </c>
      <c r="B232" s="18" t="str">
        <f>"015445"</f>
        <v>015445</v>
      </c>
      <c r="C232" s="19" t="s">
        <v>237</v>
      </c>
      <c r="D232" s="19" t="s">
        <v>15666</v>
      </c>
      <c r="E232" s="19" t="s">
        <v>30822</v>
      </c>
      <c r="F232" s="19" t="s">
        <v>35974</v>
      </c>
      <c r="G232" s="18" t="str">
        <f>"35214"</f>
        <v>35214</v>
      </c>
      <c r="H232" s="19" t="s">
        <v>32391</v>
      </c>
      <c r="I232" s="20">
        <v>20.567</v>
      </c>
      <c r="J232" s="44" t="s">
        <v>8</v>
      </c>
      <c r="K232" s="23" t="s">
        <v>8</v>
      </c>
      <c r="L232" s="23" t="s">
        <v>8</v>
      </c>
      <c r="M232" s="23" t="s">
        <v>8</v>
      </c>
    </row>
    <row r="233" spans="1:13" s="21" customFormat="1" x14ac:dyDescent="0.25">
      <c r="A233" s="22" t="s">
        <v>8</v>
      </c>
      <c r="B233" s="18" t="str">
        <f>"015446"</f>
        <v>015446</v>
      </c>
      <c r="C233" s="19" t="s">
        <v>238</v>
      </c>
      <c r="D233" s="19" t="s">
        <v>15667</v>
      </c>
      <c r="E233" s="19" t="s">
        <v>30822</v>
      </c>
      <c r="F233" s="19" t="s">
        <v>35974</v>
      </c>
      <c r="G233" s="18" t="str">
        <f>"35205"</f>
        <v>35205</v>
      </c>
      <c r="H233" s="19" t="s">
        <v>32391</v>
      </c>
      <c r="I233" s="20">
        <v>20.175999999999998</v>
      </c>
      <c r="J233" s="44" t="s">
        <v>8</v>
      </c>
      <c r="K233" s="23" t="s">
        <v>8</v>
      </c>
      <c r="L233" s="23" t="s">
        <v>8</v>
      </c>
      <c r="M233" s="23" t="s">
        <v>8</v>
      </c>
    </row>
    <row r="234" spans="1:13" s="21" customFormat="1" x14ac:dyDescent="0.25">
      <c r="A234" s="22" t="s">
        <v>8</v>
      </c>
      <c r="B234" s="18" t="str">
        <f>"015447"</f>
        <v>015447</v>
      </c>
      <c r="C234" s="19" t="s">
        <v>239</v>
      </c>
      <c r="D234" s="19" t="s">
        <v>15668</v>
      </c>
      <c r="E234" s="19" t="s">
        <v>30923</v>
      </c>
      <c r="F234" s="19" t="s">
        <v>35974</v>
      </c>
      <c r="G234" s="18" t="str">
        <f>"36559"</f>
        <v>36559</v>
      </c>
      <c r="H234" s="19" t="s">
        <v>31758</v>
      </c>
      <c r="I234" s="20">
        <v>20.792999999999999</v>
      </c>
      <c r="J234" s="44" t="s">
        <v>8</v>
      </c>
      <c r="K234" s="23" t="s">
        <v>8</v>
      </c>
      <c r="L234" s="23" t="s">
        <v>8</v>
      </c>
      <c r="M234" s="23" t="s">
        <v>8</v>
      </c>
    </row>
    <row r="235" spans="1:13" s="21" customFormat="1" x14ac:dyDescent="0.25">
      <c r="A235" s="22" t="s">
        <v>8</v>
      </c>
      <c r="B235" s="18" t="str">
        <f>"015448"</f>
        <v>015448</v>
      </c>
      <c r="C235" s="19" t="s">
        <v>240</v>
      </c>
      <c r="D235" s="19" t="s">
        <v>15669</v>
      </c>
      <c r="E235" s="19" t="s">
        <v>30924</v>
      </c>
      <c r="F235" s="19" t="s">
        <v>35974</v>
      </c>
      <c r="G235" s="18" t="str">
        <f>"35763"</f>
        <v>35763</v>
      </c>
      <c r="H235" s="19" t="s">
        <v>30899</v>
      </c>
      <c r="I235" s="20">
        <v>20.582000000000001</v>
      </c>
      <c r="J235" s="44" t="s">
        <v>8</v>
      </c>
      <c r="K235" s="23" t="s">
        <v>8</v>
      </c>
      <c r="L235" s="23" t="s">
        <v>8</v>
      </c>
      <c r="M235" s="23" t="s">
        <v>8</v>
      </c>
    </row>
    <row r="236" spans="1:13" s="21" customFormat="1" x14ac:dyDescent="0.25">
      <c r="A236" s="22" t="s">
        <v>8</v>
      </c>
      <c r="B236" s="18" t="str">
        <f>"015450"</f>
        <v>015450</v>
      </c>
      <c r="C236" s="19" t="s">
        <v>241</v>
      </c>
      <c r="D236" s="19" t="s">
        <v>15670</v>
      </c>
      <c r="E236" s="19" t="s">
        <v>30851</v>
      </c>
      <c r="F236" s="19" t="s">
        <v>35974</v>
      </c>
      <c r="G236" s="18" t="str">
        <f>"35802"</f>
        <v>35802</v>
      </c>
      <c r="H236" s="19" t="s">
        <v>30899</v>
      </c>
      <c r="I236" s="20">
        <v>19.369</v>
      </c>
      <c r="J236" s="44" t="s">
        <v>8</v>
      </c>
      <c r="K236" s="23" t="s">
        <v>8</v>
      </c>
      <c r="L236" s="23" t="s">
        <v>8</v>
      </c>
      <c r="M236" s="23" t="s">
        <v>8</v>
      </c>
    </row>
    <row r="237" spans="1:13" s="21" customFormat="1" x14ac:dyDescent="0.25">
      <c r="A237" s="22" t="s">
        <v>8</v>
      </c>
      <c r="B237" s="18" t="str">
        <f>"015451"</f>
        <v>015451</v>
      </c>
      <c r="C237" s="19" t="s">
        <v>242</v>
      </c>
      <c r="D237" s="19" t="s">
        <v>15671</v>
      </c>
      <c r="E237" s="19" t="s">
        <v>30925</v>
      </c>
      <c r="F237" s="19" t="s">
        <v>35974</v>
      </c>
      <c r="G237" s="18" t="str">
        <f>"36442"</f>
        <v>36442</v>
      </c>
      <c r="H237" s="19" t="s">
        <v>31753</v>
      </c>
      <c r="I237" s="20">
        <v>17.693999999999999</v>
      </c>
      <c r="J237" s="44" t="s">
        <v>8</v>
      </c>
      <c r="K237" s="23" t="s">
        <v>8</v>
      </c>
      <c r="L237" s="23" t="s">
        <v>8</v>
      </c>
      <c r="M237" s="23" t="s">
        <v>8</v>
      </c>
    </row>
    <row r="238" spans="1:13" s="21" customFormat="1" x14ac:dyDescent="0.25">
      <c r="A238" s="22" t="s">
        <v>8</v>
      </c>
      <c r="B238" s="18" t="str">
        <f>"015452"</f>
        <v>015452</v>
      </c>
      <c r="C238" s="19" t="s">
        <v>243</v>
      </c>
      <c r="D238" s="19" t="s">
        <v>15672</v>
      </c>
      <c r="E238" s="19" t="s">
        <v>30926</v>
      </c>
      <c r="F238" s="19" t="s">
        <v>35974</v>
      </c>
      <c r="G238" s="18" t="str">
        <f>"36830"</f>
        <v>36830</v>
      </c>
      <c r="H238" s="19" t="s">
        <v>33138</v>
      </c>
      <c r="I238" s="20">
        <v>19.303000000000001</v>
      </c>
      <c r="J238" s="44" t="s">
        <v>8</v>
      </c>
      <c r="K238" s="23" t="s">
        <v>8</v>
      </c>
      <c r="L238" s="23" t="s">
        <v>8</v>
      </c>
      <c r="M238" s="23" t="s">
        <v>8</v>
      </c>
    </row>
    <row r="239" spans="1:13" s="21" customFormat="1" x14ac:dyDescent="0.25">
      <c r="A239" s="22" t="s">
        <v>8</v>
      </c>
      <c r="B239" s="18" t="str">
        <f>"015453"</f>
        <v>015453</v>
      </c>
      <c r="C239" s="19" t="s">
        <v>244</v>
      </c>
      <c r="D239" s="19" t="s">
        <v>15673</v>
      </c>
      <c r="E239" s="19" t="s">
        <v>30927</v>
      </c>
      <c r="F239" s="19" t="s">
        <v>35974</v>
      </c>
      <c r="G239" s="18" t="str">
        <f>"35051"</f>
        <v>35051</v>
      </c>
      <c r="H239" s="19" t="s">
        <v>33565</v>
      </c>
      <c r="I239" s="20">
        <v>17.366</v>
      </c>
      <c r="J239" s="44" t="s">
        <v>8</v>
      </c>
      <c r="K239" s="23" t="s">
        <v>8</v>
      </c>
      <c r="L239" s="23" t="s">
        <v>8</v>
      </c>
      <c r="M239" s="23" t="s">
        <v>8</v>
      </c>
    </row>
    <row r="240" spans="1:13" s="21" customFormat="1" x14ac:dyDescent="0.25">
      <c r="A240" s="22" t="s">
        <v>8</v>
      </c>
      <c r="B240" s="18" t="str">
        <f>"015454"</f>
        <v>015454</v>
      </c>
      <c r="C240" s="19" t="s">
        <v>245</v>
      </c>
      <c r="D240" s="19" t="s">
        <v>15674</v>
      </c>
      <c r="E240" s="19" t="s">
        <v>30851</v>
      </c>
      <c r="F240" s="19" t="s">
        <v>35974</v>
      </c>
      <c r="G240" s="18" t="str">
        <f>"35803"</f>
        <v>35803</v>
      </c>
      <c r="H240" s="19" t="s">
        <v>30899</v>
      </c>
      <c r="I240" s="20">
        <v>21.4</v>
      </c>
      <c r="J240" s="44" t="s">
        <v>8</v>
      </c>
      <c r="K240" s="23" t="s">
        <v>8</v>
      </c>
      <c r="L240" s="23" t="s">
        <v>8</v>
      </c>
      <c r="M240" s="23" t="s">
        <v>8</v>
      </c>
    </row>
    <row r="241" spans="1:13" s="21" customFormat="1" x14ac:dyDescent="0.25">
      <c r="A241" s="22" t="s">
        <v>8</v>
      </c>
      <c r="B241" s="18" t="str">
        <f>"015455"</f>
        <v>015455</v>
      </c>
      <c r="C241" s="19" t="s">
        <v>246</v>
      </c>
      <c r="D241" s="19" t="s">
        <v>15675</v>
      </c>
      <c r="E241" s="19" t="s">
        <v>30822</v>
      </c>
      <c r="F241" s="19" t="s">
        <v>35974</v>
      </c>
      <c r="G241" s="18" t="str">
        <f>"35209"</f>
        <v>35209</v>
      </c>
      <c r="H241" s="19" t="s">
        <v>32391</v>
      </c>
      <c r="I241" s="20">
        <v>16.846</v>
      </c>
      <c r="J241" s="44" t="s">
        <v>8</v>
      </c>
      <c r="K241" s="23" t="s">
        <v>8</v>
      </c>
      <c r="L241" s="23" t="s">
        <v>8</v>
      </c>
      <c r="M241" s="23" t="s">
        <v>8</v>
      </c>
    </row>
    <row r="242" spans="1:13" s="21" customFormat="1" x14ac:dyDescent="0.25">
      <c r="A242" s="22" t="s">
        <v>8</v>
      </c>
      <c r="B242" s="18" t="str">
        <f>"015456"</f>
        <v>015456</v>
      </c>
      <c r="C242" s="19" t="s">
        <v>247</v>
      </c>
      <c r="D242" s="19" t="s">
        <v>15676</v>
      </c>
      <c r="E242" s="19" t="s">
        <v>30848</v>
      </c>
      <c r="F242" s="19" t="s">
        <v>35974</v>
      </c>
      <c r="G242" s="18" t="str">
        <f>"36695"</f>
        <v>36695</v>
      </c>
      <c r="H242" s="19" t="s">
        <v>30848</v>
      </c>
      <c r="I242" s="20">
        <v>24.023</v>
      </c>
      <c r="J242" s="44" t="s">
        <v>8</v>
      </c>
      <c r="K242" s="23" t="s">
        <v>8</v>
      </c>
      <c r="L242" s="23" t="s">
        <v>8</v>
      </c>
      <c r="M242" s="23" t="s">
        <v>8</v>
      </c>
    </row>
    <row r="243" spans="1:13" s="21" customFormat="1" x14ac:dyDescent="0.25">
      <c r="A243" s="22" t="s">
        <v>8</v>
      </c>
      <c r="B243" s="18" t="str">
        <f>"015457"</f>
        <v>015457</v>
      </c>
      <c r="C243" s="19" t="s">
        <v>248</v>
      </c>
      <c r="D243" s="19" t="s">
        <v>15677</v>
      </c>
      <c r="E243" s="19" t="s">
        <v>30822</v>
      </c>
      <c r="F243" s="19" t="s">
        <v>35974</v>
      </c>
      <c r="G243" s="18" t="str">
        <f>"35210"</f>
        <v>35210</v>
      </c>
      <c r="H243" s="19" t="s">
        <v>32391</v>
      </c>
      <c r="I243" s="20">
        <v>17.161000000000001</v>
      </c>
      <c r="J243" s="44" t="s">
        <v>8</v>
      </c>
      <c r="K243" s="23" t="s">
        <v>8</v>
      </c>
      <c r="L243" s="23" t="s">
        <v>8</v>
      </c>
      <c r="M243" s="23" t="s">
        <v>8</v>
      </c>
    </row>
    <row r="244" spans="1:13" s="21" customFormat="1" x14ac:dyDescent="0.25">
      <c r="A244" s="22" t="s">
        <v>8</v>
      </c>
      <c r="B244" s="18" t="str">
        <f>"015458"</f>
        <v>015458</v>
      </c>
      <c r="C244" s="19" t="s">
        <v>249</v>
      </c>
      <c r="D244" s="19" t="s">
        <v>15678</v>
      </c>
      <c r="E244" s="19" t="s">
        <v>30851</v>
      </c>
      <c r="F244" s="19" t="s">
        <v>35974</v>
      </c>
      <c r="G244" s="18" t="str">
        <f>"35806"</f>
        <v>35806</v>
      </c>
      <c r="H244" s="19" t="s">
        <v>30899</v>
      </c>
      <c r="I244" s="20">
        <v>22.975000000000001</v>
      </c>
      <c r="J244" s="44" t="s">
        <v>8</v>
      </c>
      <c r="K244" s="23" t="s">
        <v>8</v>
      </c>
      <c r="L244" s="23" t="s">
        <v>8</v>
      </c>
      <c r="M244" s="23" t="s">
        <v>8</v>
      </c>
    </row>
    <row r="245" spans="1:13" s="21" customFormat="1" x14ac:dyDescent="0.25">
      <c r="A245" s="22" t="s">
        <v>8</v>
      </c>
      <c r="B245" s="18" t="str">
        <f>"015459"</f>
        <v>015459</v>
      </c>
      <c r="C245" s="19" t="s">
        <v>250</v>
      </c>
      <c r="D245" s="19" t="s">
        <v>15679</v>
      </c>
      <c r="E245" s="19" t="s">
        <v>30822</v>
      </c>
      <c r="F245" s="19" t="s">
        <v>35974</v>
      </c>
      <c r="G245" s="18" t="str">
        <f>"35244"</f>
        <v>35244</v>
      </c>
      <c r="H245" s="19" t="s">
        <v>32391</v>
      </c>
      <c r="I245" s="20">
        <v>21</v>
      </c>
      <c r="J245" s="44" t="s">
        <v>8</v>
      </c>
      <c r="K245" s="23" t="s">
        <v>8</v>
      </c>
      <c r="L245" s="23" t="s">
        <v>8</v>
      </c>
      <c r="M245" s="23" t="s">
        <v>8</v>
      </c>
    </row>
    <row r="246" spans="1:13" s="21" customFormat="1" x14ac:dyDescent="0.25">
      <c r="A246" s="22" t="s">
        <v>8</v>
      </c>
      <c r="B246" s="18" t="str">
        <f>"015460"</f>
        <v>015460</v>
      </c>
      <c r="C246" s="19" t="s">
        <v>251</v>
      </c>
      <c r="D246" s="19" t="s">
        <v>15680</v>
      </c>
      <c r="E246" s="19" t="s">
        <v>30928</v>
      </c>
      <c r="F246" s="19" t="s">
        <v>35974</v>
      </c>
      <c r="G246" s="18" t="str">
        <f>"36022"</f>
        <v>36022</v>
      </c>
      <c r="H246" s="19" t="s">
        <v>30825</v>
      </c>
      <c r="I246" s="20">
        <v>17.155000000000001</v>
      </c>
      <c r="J246" s="44" t="s">
        <v>8</v>
      </c>
      <c r="K246" s="23" t="s">
        <v>8</v>
      </c>
      <c r="L246" s="23" t="s">
        <v>8</v>
      </c>
      <c r="M246" s="23" t="s">
        <v>8</v>
      </c>
    </row>
    <row r="247" spans="1:13" s="21" customFormat="1" x14ac:dyDescent="0.25">
      <c r="A247" s="22" t="s">
        <v>8</v>
      </c>
      <c r="B247" s="18" t="str">
        <f>"015461"</f>
        <v>015461</v>
      </c>
      <c r="C247" s="19" t="s">
        <v>252</v>
      </c>
      <c r="D247" s="19" t="s">
        <v>15681</v>
      </c>
      <c r="E247" s="19" t="s">
        <v>30835</v>
      </c>
      <c r="F247" s="19" t="s">
        <v>35974</v>
      </c>
      <c r="G247" s="18" t="str">
        <f>"35127"</f>
        <v>35127</v>
      </c>
      <c r="H247" s="19" t="s">
        <v>32391</v>
      </c>
      <c r="I247" s="20">
        <v>18.603000000000002</v>
      </c>
      <c r="J247" s="44" t="s">
        <v>8</v>
      </c>
      <c r="K247" s="23" t="s">
        <v>8</v>
      </c>
      <c r="L247" s="23" t="s">
        <v>8</v>
      </c>
      <c r="M247" s="23" t="s">
        <v>8</v>
      </c>
    </row>
    <row r="248" spans="1:13" s="21" customFormat="1" x14ac:dyDescent="0.25">
      <c r="A248" s="22" t="s">
        <v>8</v>
      </c>
      <c r="B248" s="18" t="str">
        <f>"015463"</f>
        <v>015463</v>
      </c>
      <c r="C248" s="19" t="s">
        <v>253</v>
      </c>
      <c r="D248" s="19" t="s">
        <v>15682</v>
      </c>
      <c r="E248" s="19" t="s">
        <v>30848</v>
      </c>
      <c r="F248" s="19" t="s">
        <v>35974</v>
      </c>
      <c r="G248" s="18" t="str">
        <f>"36693"</f>
        <v>36693</v>
      </c>
      <c r="H248" s="19" t="s">
        <v>30848</v>
      </c>
      <c r="I248" s="20">
        <v>21.780999999999999</v>
      </c>
      <c r="J248" s="44" t="s">
        <v>8</v>
      </c>
      <c r="K248" s="23" t="s">
        <v>8</v>
      </c>
      <c r="L248" s="23" t="s">
        <v>8</v>
      </c>
      <c r="M248" s="23" t="s">
        <v>8</v>
      </c>
    </row>
    <row r="249" spans="1:13" s="21" customFormat="1" x14ac:dyDescent="0.25">
      <c r="A249" s="22" t="s">
        <v>8</v>
      </c>
      <c r="B249" s="18" t="str">
        <f>"015464"</f>
        <v>015464</v>
      </c>
      <c r="C249" s="19" t="s">
        <v>254</v>
      </c>
      <c r="D249" s="19" t="s">
        <v>15683</v>
      </c>
      <c r="E249" s="19" t="s">
        <v>30929</v>
      </c>
      <c r="F249" s="19" t="s">
        <v>35974</v>
      </c>
      <c r="G249" s="18" t="str">
        <f>"35226"</f>
        <v>35226</v>
      </c>
      <c r="H249" s="19" t="s">
        <v>32391</v>
      </c>
      <c r="I249" s="20">
        <v>20.774999999999999</v>
      </c>
      <c r="J249" s="44" t="s">
        <v>8</v>
      </c>
      <c r="K249" s="23" t="s">
        <v>8</v>
      </c>
      <c r="L249" s="23" t="s">
        <v>8</v>
      </c>
      <c r="M249" s="23" t="s">
        <v>8</v>
      </c>
    </row>
    <row r="250" spans="1:13" s="21" customFormat="1" x14ac:dyDescent="0.25">
      <c r="A250" s="22" t="s">
        <v>8</v>
      </c>
      <c r="B250" s="18" t="s">
        <v>36984</v>
      </c>
      <c r="C250" s="19" t="s">
        <v>255</v>
      </c>
      <c r="D250" s="19" t="s">
        <v>15684</v>
      </c>
      <c r="E250" s="19" t="s">
        <v>30822</v>
      </c>
      <c r="F250" s="19" t="s">
        <v>35974</v>
      </c>
      <c r="G250" s="18" t="str">
        <f>"35242"</f>
        <v>35242</v>
      </c>
      <c r="H250" s="19" t="s">
        <v>33565</v>
      </c>
      <c r="I250" s="20">
        <v>20.713000000000001</v>
      </c>
      <c r="J250" s="44" t="s">
        <v>8</v>
      </c>
      <c r="K250" s="23" t="s">
        <v>8</v>
      </c>
      <c r="L250" s="23" t="s">
        <v>8</v>
      </c>
      <c r="M250" s="23" t="s">
        <v>8</v>
      </c>
    </row>
    <row r="251" spans="1:13" s="21" customFormat="1" x14ac:dyDescent="0.25">
      <c r="A251" s="22" t="s">
        <v>8</v>
      </c>
      <c r="B251" s="18" t="s">
        <v>15137</v>
      </c>
      <c r="C251" s="19" t="s">
        <v>256</v>
      </c>
      <c r="D251" s="19" t="s">
        <v>15685</v>
      </c>
      <c r="E251" s="19" t="s">
        <v>30930</v>
      </c>
      <c r="F251" s="19" t="s">
        <v>35975</v>
      </c>
      <c r="G251" s="18" t="str">
        <f>"99645"</f>
        <v>99645</v>
      </c>
      <c r="H251" s="19" t="s">
        <v>36048</v>
      </c>
      <c r="I251" s="20">
        <v>16.513000000000002</v>
      </c>
      <c r="J251" s="44" t="s">
        <v>8</v>
      </c>
      <c r="K251" s="23" t="s">
        <v>8</v>
      </c>
      <c r="L251" s="23" t="s">
        <v>8</v>
      </c>
      <c r="M251" s="23" t="s">
        <v>8</v>
      </c>
    </row>
    <row r="252" spans="1:13" s="21" customFormat="1" x14ac:dyDescent="0.25">
      <c r="A252" s="22" t="s">
        <v>8</v>
      </c>
      <c r="B252" s="18" t="s">
        <v>15138</v>
      </c>
      <c r="C252" s="19" t="s">
        <v>257</v>
      </c>
      <c r="D252" s="19" t="s">
        <v>15686</v>
      </c>
      <c r="E252" s="19" t="s">
        <v>30931</v>
      </c>
      <c r="F252" s="19" t="s">
        <v>35975</v>
      </c>
      <c r="G252" s="18" t="str">
        <f>"99669"</f>
        <v>99669</v>
      </c>
      <c r="H252" s="19" t="s">
        <v>36049</v>
      </c>
      <c r="I252" s="20">
        <v>17.88</v>
      </c>
      <c r="J252" s="44" t="s">
        <v>8</v>
      </c>
      <c r="K252" s="23" t="s">
        <v>8</v>
      </c>
      <c r="L252" s="23" t="s">
        <v>8</v>
      </c>
      <c r="M252" s="23" t="s">
        <v>8</v>
      </c>
    </row>
    <row r="253" spans="1:13" s="21" customFormat="1" x14ac:dyDescent="0.25">
      <c r="A253" s="22" t="s">
        <v>8</v>
      </c>
      <c r="B253" s="18" t="str">
        <f>"025010"</f>
        <v>025010</v>
      </c>
      <c r="C253" s="19" t="s">
        <v>258</v>
      </c>
      <c r="D253" s="19" t="s">
        <v>15687</v>
      </c>
      <c r="E253" s="19" t="s">
        <v>30932</v>
      </c>
      <c r="F253" s="19" t="s">
        <v>35975</v>
      </c>
      <c r="G253" s="18" t="str">
        <f>"99901"</f>
        <v>99901</v>
      </c>
      <c r="H253" s="19" t="s">
        <v>36050</v>
      </c>
      <c r="I253" s="20">
        <v>18.940000000000001</v>
      </c>
      <c r="J253" s="44" t="s">
        <v>8</v>
      </c>
      <c r="K253" s="23" t="s">
        <v>8</v>
      </c>
      <c r="L253" s="23" t="s">
        <v>8</v>
      </c>
      <c r="M253" s="23" t="s">
        <v>8</v>
      </c>
    </row>
    <row r="254" spans="1:13" s="21" customFormat="1" x14ac:dyDescent="0.25">
      <c r="A254" s="22" t="s">
        <v>8</v>
      </c>
      <c r="B254" s="18" t="str">
        <f>"025018"</f>
        <v>025018</v>
      </c>
      <c r="C254" s="19" t="s">
        <v>259</v>
      </c>
      <c r="D254" s="19" t="s">
        <v>15688</v>
      </c>
      <c r="E254" s="19" t="s">
        <v>30933</v>
      </c>
      <c r="F254" s="19" t="s">
        <v>35975</v>
      </c>
      <c r="G254" s="18" t="str">
        <f>"99504"</f>
        <v>99504</v>
      </c>
      <c r="H254" s="19" t="s">
        <v>30933</v>
      </c>
      <c r="I254" s="20">
        <v>14.474</v>
      </c>
      <c r="J254" s="44" t="s">
        <v>8</v>
      </c>
      <c r="K254" s="23" t="s">
        <v>8</v>
      </c>
      <c r="L254" s="23" t="s">
        <v>8</v>
      </c>
      <c r="M254" s="23" t="s">
        <v>8</v>
      </c>
    </row>
    <row r="255" spans="1:13" s="21" customFormat="1" x14ac:dyDescent="0.25">
      <c r="A255" s="22" t="s">
        <v>8</v>
      </c>
      <c r="B255" s="18" t="str">
        <f>"025020"</f>
        <v>025020</v>
      </c>
      <c r="C255" s="19" t="s">
        <v>260</v>
      </c>
      <c r="D255" s="19" t="s">
        <v>15689</v>
      </c>
      <c r="E255" s="19" t="s">
        <v>30934</v>
      </c>
      <c r="F255" s="19" t="s">
        <v>35975</v>
      </c>
      <c r="G255" s="18" t="str">
        <f>"99701"</f>
        <v>99701</v>
      </c>
      <c r="H255" s="19" t="s">
        <v>36051</v>
      </c>
      <c r="I255" s="20">
        <v>15.489000000000001</v>
      </c>
      <c r="J255" s="44" t="s">
        <v>8</v>
      </c>
      <c r="K255" s="23" t="s">
        <v>8</v>
      </c>
      <c r="L255" s="23" t="s">
        <v>8</v>
      </c>
      <c r="M255" s="23" t="s">
        <v>8</v>
      </c>
    </row>
    <row r="256" spans="1:13" s="21" customFormat="1" x14ac:dyDescent="0.25">
      <c r="A256" s="22" t="s">
        <v>8</v>
      </c>
      <c r="B256" s="18" t="str">
        <f>"025021"</f>
        <v>025021</v>
      </c>
      <c r="C256" s="19" t="s">
        <v>261</v>
      </c>
      <c r="D256" s="19" t="s">
        <v>15690</v>
      </c>
      <c r="E256" s="19" t="s">
        <v>30931</v>
      </c>
      <c r="F256" s="19" t="s">
        <v>35975</v>
      </c>
      <c r="G256" s="18" t="str">
        <f>"99669"</f>
        <v>99669</v>
      </c>
      <c r="H256" s="19" t="s">
        <v>36049</v>
      </c>
      <c r="I256" s="20">
        <v>20.204999999999998</v>
      </c>
      <c r="J256" s="44" t="s">
        <v>8</v>
      </c>
      <c r="K256" s="23" t="s">
        <v>8</v>
      </c>
      <c r="L256" s="23" t="s">
        <v>8</v>
      </c>
      <c r="M256" s="23" t="s">
        <v>8</v>
      </c>
    </row>
    <row r="257" spans="1:13" s="21" customFormat="1" x14ac:dyDescent="0.25">
      <c r="A257" s="22" t="s">
        <v>8</v>
      </c>
      <c r="B257" s="18" t="str">
        <f>"025025"</f>
        <v>025025</v>
      </c>
      <c r="C257" s="19" t="s">
        <v>262</v>
      </c>
      <c r="D257" s="19" t="s">
        <v>15691</v>
      </c>
      <c r="E257" s="19" t="s">
        <v>30933</v>
      </c>
      <c r="F257" s="19" t="s">
        <v>35975</v>
      </c>
      <c r="G257" s="18" t="str">
        <f>"99504"</f>
        <v>99504</v>
      </c>
      <c r="H257" s="19" t="s">
        <v>30933</v>
      </c>
      <c r="I257" s="20">
        <v>18.103999999999999</v>
      </c>
      <c r="J257" s="44" t="s">
        <v>8</v>
      </c>
      <c r="K257" s="23" t="s">
        <v>8</v>
      </c>
      <c r="L257" s="23" t="s">
        <v>8</v>
      </c>
      <c r="M257" s="23" t="s">
        <v>8</v>
      </c>
    </row>
    <row r="258" spans="1:13" s="21" customFormat="1" x14ac:dyDescent="0.25">
      <c r="A258" s="22" t="s">
        <v>8</v>
      </c>
      <c r="B258" s="18" t="str">
        <f>"025027"</f>
        <v>025027</v>
      </c>
      <c r="C258" s="19" t="s">
        <v>263</v>
      </c>
      <c r="D258" s="19" t="s">
        <v>15692</v>
      </c>
      <c r="E258" s="19" t="s">
        <v>30935</v>
      </c>
      <c r="F258" s="19" t="s">
        <v>35975</v>
      </c>
      <c r="G258" s="18" t="str">
        <f>"99801"</f>
        <v>99801</v>
      </c>
      <c r="H258" s="19" t="s">
        <v>30935</v>
      </c>
      <c r="I258" s="20">
        <v>17.103000000000002</v>
      </c>
      <c r="J258" s="44" t="s">
        <v>8</v>
      </c>
      <c r="K258" s="23" t="s">
        <v>8</v>
      </c>
      <c r="L258" s="23" t="s">
        <v>8</v>
      </c>
      <c r="M258" s="23" t="s">
        <v>8</v>
      </c>
    </row>
    <row r="259" spans="1:13" s="21" customFormat="1" x14ac:dyDescent="0.25">
      <c r="A259" s="22" t="s">
        <v>8</v>
      </c>
      <c r="B259" s="18" t="str">
        <f>"025032"</f>
        <v>025032</v>
      </c>
      <c r="C259" s="19" t="s">
        <v>264</v>
      </c>
      <c r="D259" s="19" t="s">
        <v>15693</v>
      </c>
      <c r="E259" s="19" t="s">
        <v>30936</v>
      </c>
      <c r="F259" s="19" t="s">
        <v>35975</v>
      </c>
      <c r="G259" s="18" t="str">
        <f>"99835"</f>
        <v>99835</v>
      </c>
      <c r="H259" s="19" t="s">
        <v>30936</v>
      </c>
      <c r="I259" s="20">
        <v>18.861000000000001</v>
      </c>
      <c r="J259" s="44" t="s">
        <v>8</v>
      </c>
      <c r="K259" s="23" t="s">
        <v>8</v>
      </c>
      <c r="L259" s="23" t="s">
        <v>8</v>
      </c>
      <c r="M259" s="23" t="s">
        <v>8</v>
      </c>
    </row>
    <row r="260" spans="1:13" s="21" customFormat="1" x14ac:dyDescent="0.25">
      <c r="A260" s="22" t="s">
        <v>8</v>
      </c>
      <c r="B260" s="18" t="str">
        <f>"025036"</f>
        <v>025036</v>
      </c>
      <c r="C260" s="19" t="s">
        <v>265</v>
      </c>
      <c r="D260" s="19" t="s">
        <v>15694</v>
      </c>
      <c r="E260" s="19" t="s">
        <v>30933</v>
      </c>
      <c r="F260" s="19" t="s">
        <v>35975</v>
      </c>
      <c r="G260" s="18" t="str">
        <f>"99504"</f>
        <v>99504</v>
      </c>
      <c r="H260" s="19" t="s">
        <v>30933</v>
      </c>
      <c r="I260" s="20">
        <v>18.898</v>
      </c>
      <c r="J260" s="44" t="s">
        <v>8</v>
      </c>
      <c r="K260" s="23" t="s">
        <v>8</v>
      </c>
      <c r="L260" s="23" t="s">
        <v>8</v>
      </c>
      <c r="M260" s="23" t="s">
        <v>8</v>
      </c>
    </row>
    <row r="261" spans="1:13" s="21" customFormat="1" x14ac:dyDescent="0.25">
      <c r="A261" s="22" t="s">
        <v>8</v>
      </c>
      <c r="B261" s="18" t="s">
        <v>15139</v>
      </c>
      <c r="C261" s="19" t="s">
        <v>266</v>
      </c>
      <c r="D261" s="19" t="s">
        <v>15695</v>
      </c>
      <c r="E261" s="19" t="s">
        <v>30937</v>
      </c>
      <c r="F261" s="19" t="s">
        <v>35976</v>
      </c>
      <c r="G261" s="18" t="str">
        <f>"86045"</f>
        <v>86045</v>
      </c>
      <c r="H261" s="19" t="s">
        <v>36052</v>
      </c>
      <c r="I261" s="20">
        <v>18.324000000000002</v>
      </c>
      <c r="J261" s="44" t="s">
        <v>8</v>
      </c>
      <c r="K261" s="23" t="s">
        <v>8</v>
      </c>
      <c r="L261" s="23" t="s">
        <v>8</v>
      </c>
      <c r="M261" s="23" t="s">
        <v>8</v>
      </c>
    </row>
    <row r="262" spans="1:13" s="21" customFormat="1" x14ac:dyDescent="0.25">
      <c r="A262" s="22" t="s">
        <v>8</v>
      </c>
      <c r="B262" s="18" t="str">
        <f>"035003"</f>
        <v>035003</v>
      </c>
      <c r="C262" s="19" t="s">
        <v>267</v>
      </c>
      <c r="D262" s="19" t="s">
        <v>15696</v>
      </c>
      <c r="E262" s="19" t="s">
        <v>30938</v>
      </c>
      <c r="F262" s="19" t="s">
        <v>35976</v>
      </c>
      <c r="G262" s="18" t="str">
        <f>"85020"</f>
        <v>85020</v>
      </c>
      <c r="H262" s="19" t="s">
        <v>36053</v>
      </c>
      <c r="I262" s="20">
        <v>17.427</v>
      </c>
      <c r="J262" s="44" t="s">
        <v>8</v>
      </c>
      <c r="K262" s="23" t="s">
        <v>8</v>
      </c>
      <c r="L262" s="23" t="s">
        <v>8</v>
      </c>
      <c r="M262" s="23" t="s">
        <v>8</v>
      </c>
    </row>
    <row r="263" spans="1:13" s="21" customFormat="1" x14ac:dyDescent="0.25">
      <c r="A263" s="22" t="s">
        <v>8</v>
      </c>
      <c r="B263" s="18" t="str">
        <f>"035014"</f>
        <v>035014</v>
      </c>
      <c r="C263" s="19" t="s">
        <v>268</v>
      </c>
      <c r="D263" s="19" t="s">
        <v>15697</v>
      </c>
      <c r="E263" s="19" t="s">
        <v>30938</v>
      </c>
      <c r="F263" s="19" t="s">
        <v>35976</v>
      </c>
      <c r="G263" s="18" t="str">
        <f>"85008"</f>
        <v>85008</v>
      </c>
      <c r="H263" s="19" t="s">
        <v>36053</v>
      </c>
      <c r="I263" s="20">
        <v>20.61</v>
      </c>
      <c r="J263" s="44" t="s">
        <v>8</v>
      </c>
      <c r="K263" s="23" t="s">
        <v>8</v>
      </c>
      <c r="L263" s="23" t="s">
        <v>8</v>
      </c>
      <c r="M263" s="23" t="s">
        <v>8</v>
      </c>
    </row>
    <row r="264" spans="1:13" s="21" customFormat="1" x14ac:dyDescent="0.25">
      <c r="A264" s="22" t="s">
        <v>8</v>
      </c>
      <c r="B264" s="18" t="str">
        <f>"035016"</f>
        <v>035016</v>
      </c>
      <c r="C264" s="19" t="s">
        <v>269</v>
      </c>
      <c r="D264" s="19" t="s">
        <v>15698</v>
      </c>
      <c r="E264" s="19" t="s">
        <v>30939</v>
      </c>
      <c r="F264" s="19" t="s">
        <v>35976</v>
      </c>
      <c r="G264" s="18" t="str">
        <f>"85712"</f>
        <v>85712</v>
      </c>
      <c r="H264" s="19" t="s">
        <v>36054</v>
      </c>
      <c r="I264" s="20">
        <v>19.041</v>
      </c>
      <c r="J264" s="44" t="s">
        <v>8</v>
      </c>
      <c r="K264" s="23" t="s">
        <v>8</v>
      </c>
      <c r="L264" s="23" t="s">
        <v>8</v>
      </c>
      <c r="M264" s="23" t="s">
        <v>8</v>
      </c>
    </row>
    <row r="265" spans="1:13" s="21" customFormat="1" x14ac:dyDescent="0.25">
      <c r="A265" s="22" t="s">
        <v>8</v>
      </c>
      <c r="B265" s="18" t="str">
        <f>"035059"</f>
        <v>035059</v>
      </c>
      <c r="C265" s="19" t="s">
        <v>270</v>
      </c>
      <c r="D265" s="19" t="s">
        <v>15699</v>
      </c>
      <c r="E265" s="19" t="s">
        <v>30940</v>
      </c>
      <c r="F265" s="19" t="s">
        <v>35976</v>
      </c>
      <c r="G265" s="18" t="str">
        <f>"85251"</f>
        <v>85251</v>
      </c>
      <c r="H265" s="19" t="s">
        <v>36053</v>
      </c>
      <c r="I265" s="20">
        <v>17.574000000000002</v>
      </c>
      <c r="J265" s="44" t="s">
        <v>8</v>
      </c>
      <c r="K265" s="23" t="s">
        <v>8</v>
      </c>
      <c r="L265" s="23" t="s">
        <v>8</v>
      </c>
      <c r="M265" s="23" t="s">
        <v>8</v>
      </c>
    </row>
    <row r="266" spans="1:13" s="21" customFormat="1" x14ac:dyDescent="0.25">
      <c r="A266" s="22" t="s">
        <v>8</v>
      </c>
      <c r="B266" s="18" t="str">
        <f>"035064"</f>
        <v>035064</v>
      </c>
      <c r="C266" s="19" t="s">
        <v>271</v>
      </c>
      <c r="D266" s="19" t="s">
        <v>15700</v>
      </c>
      <c r="E266" s="19" t="s">
        <v>30939</v>
      </c>
      <c r="F266" s="19" t="s">
        <v>35976</v>
      </c>
      <c r="G266" s="18" t="str">
        <f>"85712"</f>
        <v>85712</v>
      </c>
      <c r="H266" s="19" t="s">
        <v>36054</v>
      </c>
      <c r="I266" s="20">
        <v>16.693999999999999</v>
      </c>
      <c r="J266" s="44" t="s">
        <v>8</v>
      </c>
      <c r="K266" s="23" t="s">
        <v>8</v>
      </c>
      <c r="L266" s="23" t="s">
        <v>8</v>
      </c>
      <c r="M266" s="23" t="s">
        <v>8</v>
      </c>
    </row>
    <row r="267" spans="1:13" s="21" customFormat="1" x14ac:dyDescent="0.25">
      <c r="A267" s="22" t="s">
        <v>8</v>
      </c>
      <c r="B267" s="18" t="str">
        <f>"035068"</f>
        <v>035068</v>
      </c>
      <c r="C267" s="19" t="s">
        <v>272</v>
      </c>
      <c r="D267" s="19" t="s">
        <v>15701</v>
      </c>
      <c r="E267" s="19" t="s">
        <v>30939</v>
      </c>
      <c r="F267" s="19" t="s">
        <v>35976</v>
      </c>
      <c r="G267" s="18" t="str">
        <f>"85712"</f>
        <v>85712</v>
      </c>
      <c r="H267" s="19" t="s">
        <v>36054</v>
      </c>
      <c r="I267" s="20">
        <v>19.542000000000002</v>
      </c>
      <c r="J267" s="44" t="s">
        <v>8</v>
      </c>
      <c r="K267" s="23" t="s">
        <v>8</v>
      </c>
      <c r="L267" s="23" t="s">
        <v>8</v>
      </c>
      <c r="M267" s="23" t="s">
        <v>8</v>
      </c>
    </row>
    <row r="268" spans="1:13" s="21" customFormat="1" x14ac:dyDescent="0.25">
      <c r="A268" s="22" t="s">
        <v>8</v>
      </c>
      <c r="B268" s="18" t="str">
        <f>"035070"</f>
        <v>035070</v>
      </c>
      <c r="C268" s="19" t="s">
        <v>273</v>
      </c>
      <c r="D268" s="19" t="s">
        <v>15702</v>
      </c>
      <c r="E268" s="19" t="s">
        <v>30939</v>
      </c>
      <c r="F268" s="19" t="s">
        <v>35976</v>
      </c>
      <c r="G268" s="18" t="str">
        <f>"85704"</f>
        <v>85704</v>
      </c>
      <c r="H268" s="19" t="s">
        <v>36054</v>
      </c>
      <c r="I268" s="20">
        <v>18.404</v>
      </c>
      <c r="J268" s="44" t="s">
        <v>8</v>
      </c>
      <c r="K268" s="23" t="s">
        <v>8</v>
      </c>
      <c r="L268" s="23" t="s">
        <v>8</v>
      </c>
      <c r="M268" s="23" t="s">
        <v>8</v>
      </c>
    </row>
    <row r="269" spans="1:13" s="21" customFormat="1" x14ac:dyDescent="0.25">
      <c r="A269" s="22" t="s">
        <v>8</v>
      </c>
      <c r="B269" s="18" t="str">
        <f>"035071"</f>
        <v>035071</v>
      </c>
      <c r="C269" s="19" t="s">
        <v>274</v>
      </c>
      <c r="D269" s="19" t="s">
        <v>15703</v>
      </c>
      <c r="E269" s="19" t="s">
        <v>30941</v>
      </c>
      <c r="F269" s="19" t="s">
        <v>35976</v>
      </c>
      <c r="G269" s="18" t="str">
        <f>"85206"</f>
        <v>85206</v>
      </c>
      <c r="H269" s="19" t="s">
        <v>36053</v>
      </c>
      <c r="I269" s="20">
        <v>15.401</v>
      </c>
      <c r="J269" s="44" t="s">
        <v>8</v>
      </c>
      <c r="K269" s="23" t="s">
        <v>8</v>
      </c>
      <c r="L269" s="23" t="s">
        <v>8</v>
      </c>
      <c r="M269" s="23" t="s">
        <v>8</v>
      </c>
    </row>
    <row r="270" spans="1:13" s="21" customFormat="1" x14ac:dyDescent="0.25">
      <c r="A270" s="22" t="s">
        <v>8</v>
      </c>
      <c r="B270" s="18" t="str">
        <f>"035072"</f>
        <v>035072</v>
      </c>
      <c r="C270" s="19" t="s">
        <v>275</v>
      </c>
      <c r="D270" s="19" t="s">
        <v>15704</v>
      </c>
      <c r="E270" s="19" t="s">
        <v>30938</v>
      </c>
      <c r="F270" s="19" t="s">
        <v>35976</v>
      </c>
      <c r="G270" s="18" t="str">
        <f>"85032"</f>
        <v>85032</v>
      </c>
      <c r="H270" s="19" t="s">
        <v>36053</v>
      </c>
      <c r="I270" s="20">
        <v>16.97</v>
      </c>
      <c r="J270" s="44" t="s">
        <v>8</v>
      </c>
      <c r="K270" s="23" t="s">
        <v>8</v>
      </c>
      <c r="L270" s="23" t="s">
        <v>8</v>
      </c>
      <c r="M270" s="23" t="s">
        <v>8</v>
      </c>
    </row>
    <row r="271" spans="1:13" s="21" customFormat="1" x14ac:dyDescent="0.25">
      <c r="A271" s="22" t="s">
        <v>8</v>
      </c>
      <c r="B271" s="18" t="str">
        <f>"035073"</f>
        <v>035073</v>
      </c>
      <c r="C271" s="19" t="s">
        <v>276</v>
      </c>
      <c r="D271" s="19" t="s">
        <v>15705</v>
      </c>
      <c r="E271" s="19" t="s">
        <v>30942</v>
      </c>
      <c r="F271" s="19" t="s">
        <v>35976</v>
      </c>
      <c r="G271" s="18" t="str">
        <f>"85614"</f>
        <v>85614</v>
      </c>
      <c r="H271" s="19" t="s">
        <v>36054</v>
      </c>
      <c r="I271" s="20">
        <v>17.210999999999999</v>
      </c>
      <c r="J271" s="44" t="s">
        <v>8</v>
      </c>
      <c r="K271" s="23" t="s">
        <v>8</v>
      </c>
      <c r="L271" s="23" t="s">
        <v>8</v>
      </c>
      <c r="M271" s="23" t="s">
        <v>8</v>
      </c>
    </row>
    <row r="272" spans="1:13" s="21" customFormat="1" x14ac:dyDescent="0.25">
      <c r="A272" s="22" t="s">
        <v>8</v>
      </c>
      <c r="B272" s="18" t="str">
        <f>"035074"</f>
        <v>035074</v>
      </c>
      <c r="C272" s="19" t="s">
        <v>277</v>
      </c>
      <c r="D272" s="19" t="s">
        <v>15706</v>
      </c>
      <c r="E272" s="19" t="s">
        <v>30943</v>
      </c>
      <c r="F272" s="19" t="s">
        <v>35976</v>
      </c>
      <c r="G272" s="18" t="str">
        <f>"85282"</f>
        <v>85282</v>
      </c>
      <c r="H272" s="19" t="s">
        <v>36053</v>
      </c>
      <c r="I272" s="20">
        <v>19.707999999999998</v>
      </c>
      <c r="J272" s="44" t="s">
        <v>8</v>
      </c>
      <c r="K272" s="23" t="s">
        <v>8</v>
      </c>
      <c r="L272" s="23" t="s">
        <v>8</v>
      </c>
      <c r="M272" s="23" t="s">
        <v>8</v>
      </c>
    </row>
    <row r="273" spans="1:13" s="21" customFormat="1" x14ac:dyDescent="0.25">
      <c r="A273" s="22" t="s">
        <v>8</v>
      </c>
      <c r="B273" s="18" t="str">
        <f>"035076"</f>
        <v>035076</v>
      </c>
      <c r="C273" s="19" t="s">
        <v>278</v>
      </c>
      <c r="D273" s="19" t="s">
        <v>15707</v>
      </c>
      <c r="E273" s="19" t="s">
        <v>30940</v>
      </c>
      <c r="F273" s="19" t="s">
        <v>35976</v>
      </c>
      <c r="G273" s="18" t="str">
        <f>"85251"</f>
        <v>85251</v>
      </c>
      <c r="H273" s="19" t="s">
        <v>36053</v>
      </c>
      <c r="I273" s="20">
        <v>22.335999999999999</v>
      </c>
      <c r="J273" s="44" t="s">
        <v>8</v>
      </c>
      <c r="K273" s="23" t="s">
        <v>8</v>
      </c>
      <c r="L273" s="23" t="s">
        <v>8</v>
      </c>
      <c r="M273" s="23" t="s">
        <v>8</v>
      </c>
    </row>
    <row r="274" spans="1:13" s="21" customFormat="1" x14ac:dyDescent="0.25">
      <c r="A274" s="22" t="s">
        <v>8</v>
      </c>
      <c r="B274" s="18" t="str">
        <f>"035083"</f>
        <v>035083</v>
      </c>
      <c r="C274" s="19" t="s">
        <v>279</v>
      </c>
      <c r="D274" s="19" t="s">
        <v>15708</v>
      </c>
      <c r="E274" s="19" t="s">
        <v>30940</v>
      </c>
      <c r="F274" s="19" t="s">
        <v>35976</v>
      </c>
      <c r="G274" s="18" t="str">
        <f>"85251"</f>
        <v>85251</v>
      </c>
      <c r="H274" s="19" t="s">
        <v>36053</v>
      </c>
      <c r="I274" s="20">
        <v>17.637</v>
      </c>
      <c r="J274" s="44" t="s">
        <v>8</v>
      </c>
      <c r="K274" s="23" t="s">
        <v>8</v>
      </c>
      <c r="L274" s="23" t="s">
        <v>8</v>
      </c>
      <c r="M274" s="23" t="s">
        <v>8</v>
      </c>
    </row>
    <row r="275" spans="1:13" s="21" customFormat="1" x14ac:dyDescent="0.25">
      <c r="A275" s="22" t="s">
        <v>8</v>
      </c>
      <c r="B275" s="18" t="str">
        <f>"035084"</f>
        <v>035084</v>
      </c>
      <c r="C275" s="19" t="s">
        <v>280</v>
      </c>
      <c r="D275" s="19" t="s">
        <v>15709</v>
      </c>
      <c r="E275" s="19" t="s">
        <v>30940</v>
      </c>
      <c r="F275" s="19" t="s">
        <v>35976</v>
      </c>
      <c r="G275" s="18" t="str">
        <f>"85257"</f>
        <v>85257</v>
      </c>
      <c r="H275" s="19" t="s">
        <v>36053</v>
      </c>
      <c r="I275" s="20">
        <v>17.86</v>
      </c>
      <c r="J275" s="44" t="s">
        <v>8</v>
      </c>
      <c r="K275" s="23" t="s">
        <v>8</v>
      </c>
      <c r="L275" s="23" t="s">
        <v>8</v>
      </c>
      <c r="M275" s="23" t="s">
        <v>8</v>
      </c>
    </row>
    <row r="276" spans="1:13" s="21" customFormat="1" x14ac:dyDescent="0.25">
      <c r="A276" s="22" t="s">
        <v>8</v>
      </c>
      <c r="B276" s="18" t="str">
        <f>"035085"</f>
        <v>035085</v>
      </c>
      <c r="C276" s="19" t="s">
        <v>281</v>
      </c>
      <c r="D276" s="19" t="s">
        <v>15710</v>
      </c>
      <c r="E276" s="19" t="s">
        <v>30939</v>
      </c>
      <c r="F276" s="19" t="s">
        <v>35976</v>
      </c>
      <c r="G276" s="18" t="str">
        <f>"85710"</f>
        <v>85710</v>
      </c>
      <c r="H276" s="19" t="s">
        <v>36054</v>
      </c>
      <c r="I276" s="20">
        <v>18.527000000000001</v>
      </c>
      <c r="J276" s="44" t="s">
        <v>8</v>
      </c>
      <c r="K276" s="23" t="s">
        <v>8</v>
      </c>
      <c r="L276" s="23" t="s">
        <v>8</v>
      </c>
      <c r="M276" s="23" t="s">
        <v>8</v>
      </c>
    </row>
    <row r="277" spans="1:13" s="21" customFormat="1" x14ac:dyDescent="0.25">
      <c r="A277" s="22" t="s">
        <v>8</v>
      </c>
      <c r="B277" s="18" t="str">
        <f>"035086"</f>
        <v>035086</v>
      </c>
      <c r="C277" s="19" t="s">
        <v>282</v>
      </c>
      <c r="D277" s="19" t="s">
        <v>15711</v>
      </c>
      <c r="E277" s="19" t="s">
        <v>30944</v>
      </c>
      <c r="F277" s="19" t="s">
        <v>35976</v>
      </c>
      <c r="G277" s="18" t="str">
        <f>"85635"</f>
        <v>85635</v>
      </c>
      <c r="H277" s="19" t="s">
        <v>36055</v>
      </c>
      <c r="I277" s="20">
        <v>18.341000000000001</v>
      </c>
      <c r="J277" s="44" t="s">
        <v>8</v>
      </c>
      <c r="K277" s="23" t="s">
        <v>8</v>
      </c>
      <c r="L277" s="23" t="s">
        <v>8</v>
      </c>
      <c r="M277" s="23" t="s">
        <v>8</v>
      </c>
    </row>
    <row r="278" spans="1:13" s="21" customFormat="1" x14ac:dyDescent="0.25">
      <c r="A278" s="22" t="s">
        <v>8</v>
      </c>
      <c r="B278" s="18" t="str">
        <f>"035087"</f>
        <v>035087</v>
      </c>
      <c r="C278" s="19" t="s">
        <v>283</v>
      </c>
      <c r="D278" s="19" t="s">
        <v>15712</v>
      </c>
      <c r="E278" s="19" t="s">
        <v>30938</v>
      </c>
      <c r="F278" s="19" t="s">
        <v>35976</v>
      </c>
      <c r="G278" s="18" t="str">
        <f>"85020"</f>
        <v>85020</v>
      </c>
      <c r="H278" s="19" t="s">
        <v>36053</v>
      </c>
      <c r="I278" s="20">
        <v>18.687999999999999</v>
      </c>
      <c r="J278" s="44" t="s">
        <v>8</v>
      </c>
      <c r="K278" s="23" t="s">
        <v>8</v>
      </c>
      <c r="L278" s="23" t="s">
        <v>8</v>
      </c>
      <c r="M278" s="23" t="s">
        <v>8</v>
      </c>
    </row>
    <row r="279" spans="1:13" s="21" customFormat="1" x14ac:dyDescent="0.25">
      <c r="A279" s="22" t="s">
        <v>8</v>
      </c>
      <c r="B279" s="18" t="str">
        <f>"035088"</f>
        <v>035088</v>
      </c>
      <c r="C279" s="19" t="s">
        <v>284</v>
      </c>
      <c r="D279" s="19" t="s">
        <v>15713</v>
      </c>
      <c r="E279" s="19" t="s">
        <v>30938</v>
      </c>
      <c r="F279" s="19" t="s">
        <v>35976</v>
      </c>
      <c r="G279" s="18" t="str">
        <f>"85014"</f>
        <v>85014</v>
      </c>
      <c r="H279" s="19" t="s">
        <v>36053</v>
      </c>
      <c r="I279" s="20">
        <v>17.829000000000001</v>
      </c>
      <c r="J279" s="44" t="s">
        <v>8</v>
      </c>
      <c r="K279" s="23" t="s">
        <v>8</v>
      </c>
      <c r="L279" s="23" t="s">
        <v>8</v>
      </c>
      <c r="M279" s="23" t="s">
        <v>8</v>
      </c>
    </row>
    <row r="280" spans="1:13" s="21" customFormat="1" x14ac:dyDescent="0.25">
      <c r="A280" s="22" t="s">
        <v>8</v>
      </c>
      <c r="B280" s="18" t="str">
        <f>"035090"</f>
        <v>035090</v>
      </c>
      <c r="C280" s="19" t="s">
        <v>285</v>
      </c>
      <c r="D280" s="19" t="s">
        <v>15714</v>
      </c>
      <c r="E280" s="19" t="s">
        <v>30940</v>
      </c>
      <c r="F280" s="19" t="s">
        <v>35976</v>
      </c>
      <c r="G280" s="18" t="str">
        <f>"85254"</f>
        <v>85254</v>
      </c>
      <c r="H280" s="19" t="s">
        <v>36053</v>
      </c>
      <c r="I280" s="20">
        <v>14.852</v>
      </c>
      <c r="J280" s="44" t="s">
        <v>8</v>
      </c>
      <c r="K280" s="23" t="s">
        <v>8</v>
      </c>
      <c r="L280" s="23" t="s">
        <v>8</v>
      </c>
      <c r="M280" s="23" t="s">
        <v>8</v>
      </c>
    </row>
    <row r="281" spans="1:13" s="21" customFormat="1" x14ac:dyDescent="0.25">
      <c r="A281" s="22" t="s">
        <v>8</v>
      </c>
      <c r="B281" s="18" t="str">
        <f>"035091"</f>
        <v>035091</v>
      </c>
      <c r="C281" s="19" t="s">
        <v>286</v>
      </c>
      <c r="D281" s="19" t="s">
        <v>15715</v>
      </c>
      <c r="E281" s="19" t="s">
        <v>30945</v>
      </c>
      <c r="F281" s="19" t="s">
        <v>35976</v>
      </c>
      <c r="G281" s="18" t="str">
        <f>"86001"</f>
        <v>86001</v>
      </c>
      <c r="H281" s="19" t="s">
        <v>36052</v>
      </c>
      <c r="I281" s="20">
        <v>18.32</v>
      </c>
      <c r="J281" s="44" t="s">
        <v>8</v>
      </c>
      <c r="K281" s="23" t="s">
        <v>8</v>
      </c>
      <c r="L281" s="23" t="s">
        <v>8</v>
      </c>
      <c r="M281" s="23" t="s">
        <v>8</v>
      </c>
    </row>
    <row r="282" spans="1:13" s="21" customFormat="1" x14ac:dyDescent="0.25">
      <c r="A282" s="22" t="s">
        <v>8</v>
      </c>
      <c r="B282" s="18" t="str">
        <f>"035092"</f>
        <v>035092</v>
      </c>
      <c r="C282" s="19" t="s">
        <v>287</v>
      </c>
      <c r="D282" s="19" t="s">
        <v>15716</v>
      </c>
      <c r="E282" s="19" t="s">
        <v>30946</v>
      </c>
      <c r="F282" s="19" t="s">
        <v>35976</v>
      </c>
      <c r="G282" s="18" t="str">
        <f>"85301"</f>
        <v>85301</v>
      </c>
      <c r="H282" s="19" t="s">
        <v>36053</v>
      </c>
      <c r="I282" s="20">
        <v>18.411999999999999</v>
      </c>
      <c r="J282" s="44" t="s">
        <v>8</v>
      </c>
      <c r="K282" s="23" t="s">
        <v>8</v>
      </c>
      <c r="L282" s="23" t="s">
        <v>8</v>
      </c>
      <c r="M282" s="23" t="s">
        <v>8</v>
      </c>
    </row>
    <row r="283" spans="1:13" s="21" customFormat="1" x14ac:dyDescent="0.25">
      <c r="A283" s="22" t="s">
        <v>8</v>
      </c>
      <c r="B283" s="18" t="str">
        <f>"035093"</f>
        <v>035093</v>
      </c>
      <c r="C283" s="19" t="s">
        <v>288</v>
      </c>
      <c r="D283" s="19" t="s">
        <v>15717</v>
      </c>
      <c r="E283" s="19" t="s">
        <v>30947</v>
      </c>
      <c r="F283" s="19" t="s">
        <v>35976</v>
      </c>
      <c r="G283" s="18" t="str">
        <f>"86326"</f>
        <v>86326</v>
      </c>
      <c r="H283" s="19" t="s">
        <v>36056</v>
      </c>
      <c r="I283" s="20">
        <v>16.734999999999999</v>
      </c>
      <c r="J283" s="44" t="s">
        <v>8</v>
      </c>
      <c r="K283" s="23" t="s">
        <v>8</v>
      </c>
      <c r="L283" s="23" t="s">
        <v>8</v>
      </c>
      <c r="M283" s="23" t="s">
        <v>8</v>
      </c>
    </row>
    <row r="284" spans="1:13" s="21" customFormat="1" x14ac:dyDescent="0.25">
      <c r="A284" s="22" t="s">
        <v>8</v>
      </c>
      <c r="B284" s="18" t="str">
        <f>"035094"</f>
        <v>035094</v>
      </c>
      <c r="C284" s="19" t="s">
        <v>289</v>
      </c>
      <c r="D284" s="19" t="s">
        <v>15718</v>
      </c>
      <c r="E284" s="19" t="s">
        <v>30948</v>
      </c>
      <c r="F284" s="19" t="s">
        <v>35976</v>
      </c>
      <c r="G284" s="18" t="str">
        <f>"86351"</f>
        <v>86351</v>
      </c>
      <c r="H284" s="19" t="s">
        <v>36056</v>
      </c>
      <c r="I284" s="20">
        <v>14.18</v>
      </c>
      <c r="J284" s="44" t="s">
        <v>8</v>
      </c>
      <c r="K284" s="23" t="s">
        <v>8</v>
      </c>
      <c r="L284" s="23" t="s">
        <v>8</v>
      </c>
      <c r="M284" s="23" t="s">
        <v>8</v>
      </c>
    </row>
    <row r="285" spans="1:13" s="21" customFormat="1" x14ac:dyDescent="0.25">
      <c r="A285" s="22" t="s">
        <v>8</v>
      </c>
      <c r="B285" s="18" t="str">
        <f>"035095"</f>
        <v>035095</v>
      </c>
      <c r="C285" s="19" t="s">
        <v>290</v>
      </c>
      <c r="D285" s="19" t="s">
        <v>15719</v>
      </c>
      <c r="E285" s="19" t="s">
        <v>30949</v>
      </c>
      <c r="F285" s="19" t="s">
        <v>35976</v>
      </c>
      <c r="G285" s="18" t="str">
        <f>"85224"</f>
        <v>85224</v>
      </c>
      <c r="H285" s="19" t="s">
        <v>36053</v>
      </c>
      <c r="I285" s="20">
        <v>22.088000000000001</v>
      </c>
      <c r="J285" s="44" t="s">
        <v>8</v>
      </c>
      <c r="K285" s="23" t="s">
        <v>8</v>
      </c>
      <c r="L285" s="23" t="s">
        <v>8</v>
      </c>
      <c r="M285" s="23" t="s">
        <v>8</v>
      </c>
    </row>
    <row r="286" spans="1:13" s="21" customFormat="1" x14ac:dyDescent="0.25">
      <c r="A286" s="22" t="s">
        <v>8</v>
      </c>
      <c r="B286" s="18" t="str">
        <f>"035096"</f>
        <v>035096</v>
      </c>
      <c r="C286" s="19" t="s">
        <v>291</v>
      </c>
      <c r="D286" s="19" t="s">
        <v>15720</v>
      </c>
      <c r="E286" s="19" t="s">
        <v>30950</v>
      </c>
      <c r="F286" s="19" t="s">
        <v>35976</v>
      </c>
      <c r="G286" s="18" t="str">
        <f>"85364"</f>
        <v>85364</v>
      </c>
      <c r="H286" s="19" t="s">
        <v>30950</v>
      </c>
      <c r="I286" s="20">
        <v>16.936</v>
      </c>
      <c r="J286" s="44" t="s">
        <v>8</v>
      </c>
      <c r="K286" s="23" t="s">
        <v>8</v>
      </c>
      <c r="L286" s="23" t="s">
        <v>8</v>
      </c>
      <c r="M286" s="23" t="s">
        <v>8</v>
      </c>
    </row>
    <row r="287" spans="1:13" s="21" customFormat="1" x14ac:dyDescent="0.25">
      <c r="A287" s="22" t="s">
        <v>8</v>
      </c>
      <c r="B287" s="18" t="str">
        <f>"035097"</f>
        <v>035097</v>
      </c>
      <c r="C287" s="19" t="s">
        <v>292</v>
      </c>
      <c r="D287" s="19" t="s">
        <v>15721</v>
      </c>
      <c r="E287" s="19" t="s">
        <v>30951</v>
      </c>
      <c r="F287" s="19" t="s">
        <v>35976</v>
      </c>
      <c r="G287" s="18" t="str">
        <f>"86442"</f>
        <v>86442</v>
      </c>
      <c r="H287" s="19" t="s">
        <v>36057</v>
      </c>
      <c r="I287" s="20">
        <v>19.969000000000001</v>
      </c>
      <c r="J287" s="44" t="s">
        <v>8</v>
      </c>
      <c r="K287" s="23" t="s">
        <v>8</v>
      </c>
      <c r="L287" s="23" t="s">
        <v>8</v>
      </c>
      <c r="M287" s="23" t="s">
        <v>8</v>
      </c>
    </row>
    <row r="288" spans="1:13" s="21" customFormat="1" x14ac:dyDescent="0.25">
      <c r="A288" s="22" t="s">
        <v>8</v>
      </c>
      <c r="B288" s="18" t="str">
        <f>"035099"</f>
        <v>035099</v>
      </c>
      <c r="C288" s="19" t="s">
        <v>293</v>
      </c>
      <c r="D288" s="19" t="s">
        <v>15722</v>
      </c>
      <c r="E288" s="19" t="s">
        <v>30939</v>
      </c>
      <c r="F288" s="19" t="s">
        <v>35976</v>
      </c>
      <c r="G288" s="18" t="str">
        <f>"85714"</f>
        <v>85714</v>
      </c>
      <c r="H288" s="19" t="s">
        <v>36054</v>
      </c>
      <c r="I288" s="20">
        <v>16.933</v>
      </c>
      <c r="J288" s="44" t="s">
        <v>8</v>
      </c>
      <c r="K288" s="23" t="s">
        <v>8</v>
      </c>
      <c r="L288" s="23" t="s">
        <v>8</v>
      </c>
      <c r="M288" s="23" t="s">
        <v>8</v>
      </c>
    </row>
    <row r="289" spans="1:13" s="21" customFormat="1" x14ac:dyDescent="0.25">
      <c r="A289" s="22" t="s">
        <v>8</v>
      </c>
      <c r="B289" s="18" t="str">
        <f>"035100"</f>
        <v>035100</v>
      </c>
      <c r="C289" s="19" t="s">
        <v>294</v>
      </c>
      <c r="D289" s="19" t="s">
        <v>15723</v>
      </c>
      <c r="E289" s="19" t="s">
        <v>30952</v>
      </c>
      <c r="F289" s="19" t="s">
        <v>35976</v>
      </c>
      <c r="G289" s="18" t="str">
        <f>"86406"</f>
        <v>86406</v>
      </c>
      <c r="H289" s="19" t="s">
        <v>36057</v>
      </c>
      <c r="I289" s="20">
        <v>24.959</v>
      </c>
      <c r="J289" s="44" t="s">
        <v>8</v>
      </c>
      <c r="K289" s="23" t="s">
        <v>8</v>
      </c>
      <c r="L289" s="23" t="s">
        <v>8</v>
      </c>
      <c r="M289" s="23" t="s">
        <v>8</v>
      </c>
    </row>
    <row r="290" spans="1:13" s="21" customFormat="1" x14ac:dyDescent="0.25">
      <c r="A290" s="22" t="s">
        <v>8</v>
      </c>
      <c r="B290" s="18" t="str">
        <f>"035101"</f>
        <v>035101</v>
      </c>
      <c r="C290" s="19" t="s">
        <v>295</v>
      </c>
      <c r="D290" s="19" t="s">
        <v>15724</v>
      </c>
      <c r="E290" s="19" t="s">
        <v>30949</v>
      </c>
      <c r="F290" s="19" t="s">
        <v>35976</v>
      </c>
      <c r="G290" s="18" t="str">
        <f>"85224"</f>
        <v>85224</v>
      </c>
      <c r="H290" s="19" t="s">
        <v>36053</v>
      </c>
      <c r="I290" s="20">
        <v>18.459</v>
      </c>
      <c r="J290" s="44" t="s">
        <v>8</v>
      </c>
      <c r="K290" s="23" t="s">
        <v>8</v>
      </c>
      <c r="L290" s="23" t="s">
        <v>8</v>
      </c>
      <c r="M290" s="23" t="s">
        <v>8</v>
      </c>
    </row>
    <row r="291" spans="1:13" s="21" customFormat="1" x14ac:dyDescent="0.25">
      <c r="A291" s="22" t="s">
        <v>8</v>
      </c>
      <c r="B291" s="18" t="str">
        <f>"035103"</f>
        <v>035103</v>
      </c>
      <c r="C291" s="19" t="s">
        <v>296</v>
      </c>
      <c r="D291" s="19" t="s">
        <v>15725</v>
      </c>
      <c r="E291" s="19" t="s">
        <v>30941</v>
      </c>
      <c r="F291" s="19" t="s">
        <v>35976</v>
      </c>
      <c r="G291" s="18" t="str">
        <f>"85206"</f>
        <v>85206</v>
      </c>
      <c r="H291" s="19" t="s">
        <v>36053</v>
      </c>
      <c r="I291" s="20">
        <v>16.457999999999998</v>
      </c>
      <c r="J291" s="44" t="s">
        <v>8</v>
      </c>
      <c r="K291" s="23" t="s">
        <v>8</v>
      </c>
      <c r="L291" s="23" t="s">
        <v>8</v>
      </c>
      <c r="M291" s="23" t="s">
        <v>8</v>
      </c>
    </row>
    <row r="292" spans="1:13" s="21" customFormat="1" x14ac:dyDescent="0.25">
      <c r="A292" s="22" t="s">
        <v>8</v>
      </c>
      <c r="B292" s="18" t="str">
        <f>"035105"</f>
        <v>035105</v>
      </c>
      <c r="C292" s="19" t="s">
        <v>297</v>
      </c>
      <c r="D292" s="19" t="s">
        <v>15726</v>
      </c>
      <c r="E292" s="19" t="s">
        <v>30940</v>
      </c>
      <c r="F292" s="19" t="s">
        <v>35976</v>
      </c>
      <c r="G292" s="18" t="str">
        <f>"85260"</f>
        <v>85260</v>
      </c>
      <c r="H292" s="19" t="s">
        <v>36053</v>
      </c>
      <c r="I292" s="20">
        <v>20.596</v>
      </c>
      <c r="J292" s="44" t="s">
        <v>8</v>
      </c>
      <c r="K292" s="23" t="s">
        <v>8</v>
      </c>
      <c r="L292" s="23" t="s">
        <v>8</v>
      </c>
      <c r="M292" s="23" t="s">
        <v>8</v>
      </c>
    </row>
    <row r="293" spans="1:13" s="21" customFormat="1" x14ac:dyDescent="0.25">
      <c r="A293" s="22" t="s">
        <v>8</v>
      </c>
      <c r="B293" s="18" t="str">
        <f>"035106"</f>
        <v>035106</v>
      </c>
      <c r="C293" s="19" t="s">
        <v>298</v>
      </c>
      <c r="D293" s="19" t="s">
        <v>15727</v>
      </c>
      <c r="E293" s="19" t="s">
        <v>30943</v>
      </c>
      <c r="F293" s="19" t="s">
        <v>35976</v>
      </c>
      <c r="G293" s="18" t="str">
        <f>"85283"</f>
        <v>85283</v>
      </c>
      <c r="H293" s="19" t="s">
        <v>36053</v>
      </c>
      <c r="I293" s="20">
        <v>19.414000000000001</v>
      </c>
      <c r="J293" s="44" t="s">
        <v>8</v>
      </c>
      <c r="K293" s="23" t="s">
        <v>8</v>
      </c>
      <c r="L293" s="23" t="s">
        <v>8</v>
      </c>
      <c r="M293" s="23" t="s">
        <v>8</v>
      </c>
    </row>
    <row r="294" spans="1:13" s="21" customFormat="1" x14ac:dyDescent="0.25">
      <c r="A294" s="22" t="s">
        <v>8</v>
      </c>
      <c r="B294" s="18" t="str">
        <f>"035107"</f>
        <v>035107</v>
      </c>
      <c r="C294" s="19" t="s">
        <v>299</v>
      </c>
      <c r="D294" s="19" t="s">
        <v>15728</v>
      </c>
      <c r="E294" s="19" t="s">
        <v>30938</v>
      </c>
      <c r="F294" s="19" t="s">
        <v>35976</v>
      </c>
      <c r="G294" s="18" t="str">
        <f>"85015"</f>
        <v>85015</v>
      </c>
      <c r="H294" s="19" t="s">
        <v>36053</v>
      </c>
      <c r="I294" s="20">
        <v>16.742000000000001</v>
      </c>
      <c r="J294" s="44" t="s">
        <v>8</v>
      </c>
      <c r="K294" s="23" t="s">
        <v>8</v>
      </c>
      <c r="L294" s="23" t="s">
        <v>8</v>
      </c>
      <c r="M294" s="23" t="s">
        <v>8</v>
      </c>
    </row>
    <row r="295" spans="1:13" s="21" customFormat="1" x14ac:dyDescent="0.25">
      <c r="A295" s="22" t="s">
        <v>8</v>
      </c>
      <c r="B295" s="18" t="str">
        <f>"035110"</f>
        <v>035110</v>
      </c>
      <c r="C295" s="19" t="s">
        <v>300</v>
      </c>
      <c r="D295" s="19" t="s">
        <v>15729</v>
      </c>
      <c r="E295" s="19" t="s">
        <v>30953</v>
      </c>
      <c r="F295" s="19" t="s">
        <v>35976</v>
      </c>
      <c r="G295" s="18" t="str">
        <f>"85375"</f>
        <v>85375</v>
      </c>
      <c r="H295" s="19" t="s">
        <v>36053</v>
      </c>
      <c r="I295" s="20">
        <v>18.016999999999999</v>
      </c>
      <c r="J295" s="44" t="s">
        <v>8</v>
      </c>
      <c r="K295" s="23" t="s">
        <v>8</v>
      </c>
      <c r="L295" s="23" t="s">
        <v>8</v>
      </c>
      <c r="M295" s="23" t="s">
        <v>8</v>
      </c>
    </row>
    <row r="296" spans="1:13" s="21" customFormat="1" x14ac:dyDescent="0.25">
      <c r="A296" s="22" t="s">
        <v>8</v>
      </c>
      <c r="B296" s="18" t="str">
        <f>"035111"</f>
        <v>035111</v>
      </c>
      <c r="C296" s="19" t="s">
        <v>301</v>
      </c>
      <c r="D296" s="19" t="s">
        <v>15730</v>
      </c>
      <c r="E296" s="19" t="s">
        <v>30954</v>
      </c>
      <c r="F296" s="19" t="s">
        <v>35976</v>
      </c>
      <c r="G296" s="18" t="str">
        <f>"85382"</f>
        <v>85382</v>
      </c>
      <c r="H296" s="19" t="s">
        <v>36053</v>
      </c>
      <c r="I296" s="20">
        <v>18.306999999999999</v>
      </c>
      <c r="J296" s="44" t="s">
        <v>8</v>
      </c>
      <c r="K296" s="23" t="s">
        <v>8</v>
      </c>
      <c r="L296" s="23" t="s">
        <v>8</v>
      </c>
      <c r="M296" s="23" t="s">
        <v>8</v>
      </c>
    </row>
    <row r="297" spans="1:13" s="21" customFormat="1" x14ac:dyDescent="0.25">
      <c r="A297" s="22" t="s">
        <v>8</v>
      </c>
      <c r="B297" s="18" t="str">
        <f>"035112"</f>
        <v>035112</v>
      </c>
      <c r="C297" s="19" t="s">
        <v>302</v>
      </c>
      <c r="D297" s="19" t="s">
        <v>15731</v>
      </c>
      <c r="E297" s="19" t="s">
        <v>30955</v>
      </c>
      <c r="F297" s="19" t="s">
        <v>35976</v>
      </c>
      <c r="G297" s="18" t="str">
        <f>"85120"</f>
        <v>85120</v>
      </c>
      <c r="H297" s="19" t="s">
        <v>36058</v>
      </c>
      <c r="I297" s="20">
        <v>17.809999999999999</v>
      </c>
      <c r="J297" s="44" t="s">
        <v>8</v>
      </c>
      <c r="K297" s="23" t="s">
        <v>8</v>
      </c>
      <c r="L297" s="23" t="s">
        <v>8</v>
      </c>
      <c r="M297" s="23" t="s">
        <v>8</v>
      </c>
    </row>
    <row r="298" spans="1:13" s="21" customFormat="1" x14ac:dyDescent="0.25">
      <c r="A298" s="22" t="s">
        <v>8</v>
      </c>
      <c r="B298" s="18" t="str">
        <f>"035114"</f>
        <v>035114</v>
      </c>
      <c r="C298" s="19" t="s">
        <v>303</v>
      </c>
      <c r="D298" s="19" t="s">
        <v>15732</v>
      </c>
      <c r="E298" s="19" t="s">
        <v>30956</v>
      </c>
      <c r="F298" s="19" t="s">
        <v>35976</v>
      </c>
      <c r="G298" s="18" t="str">
        <f>"86305"</f>
        <v>86305</v>
      </c>
      <c r="H298" s="19" t="s">
        <v>36056</v>
      </c>
      <c r="I298" s="20">
        <v>19.385000000000002</v>
      </c>
      <c r="J298" s="44" t="s">
        <v>8</v>
      </c>
      <c r="K298" s="23" t="s">
        <v>8</v>
      </c>
      <c r="L298" s="23" t="s">
        <v>8</v>
      </c>
      <c r="M298" s="23" t="s">
        <v>8</v>
      </c>
    </row>
    <row r="299" spans="1:13" s="21" customFormat="1" x14ac:dyDescent="0.25">
      <c r="A299" s="22" t="s">
        <v>8</v>
      </c>
      <c r="B299" s="18" t="str">
        <f>"035116"</f>
        <v>035116</v>
      </c>
      <c r="C299" s="19" t="s">
        <v>304</v>
      </c>
      <c r="D299" s="19" t="s">
        <v>15733</v>
      </c>
      <c r="E299" s="19" t="s">
        <v>30938</v>
      </c>
      <c r="F299" s="19" t="s">
        <v>35976</v>
      </c>
      <c r="G299" s="18" t="str">
        <f>"85015"</f>
        <v>85015</v>
      </c>
      <c r="H299" s="19" t="s">
        <v>36053</v>
      </c>
      <c r="I299" s="20">
        <v>18.61</v>
      </c>
      <c r="J299" s="44" t="s">
        <v>8</v>
      </c>
      <c r="K299" s="23" t="s">
        <v>8</v>
      </c>
      <c r="L299" s="23" t="s">
        <v>8</v>
      </c>
      <c r="M299" s="23" t="s">
        <v>8</v>
      </c>
    </row>
    <row r="300" spans="1:13" s="21" customFormat="1" x14ac:dyDescent="0.25">
      <c r="A300" s="22" t="s">
        <v>8</v>
      </c>
      <c r="B300" s="18" t="str">
        <f>"035117"</f>
        <v>035117</v>
      </c>
      <c r="C300" s="19" t="s">
        <v>305</v>
      </c>
      <c r="D300" s="19" t="s">
        <v>15734</v>
      </c>
      <c r="E300" s="19" t="s">
        <v>30957</v>
      </c>
      <c r="F300" s="19" t="s">
        <v>35976</v>
      </c>
      <c r="G300" s="18" t="str">
        <f>"85541"</f>
        <v>85541</v>
      </c>
      <c r="H300" s="19" t="s">
        <v>36059</v>
      </c>
      <c r="I300" s="20">
        <v>19.140999999999998</v>
      </c>
      <c r="J300" s="44" t="s">
        <v>8</v>
      </c>
      <c r="K300" s="23" t="s">
        <v>8</v>
      </c>
      <c r="L300" s="23" t="s">
        <v>8</v>
      </c>
      <c r="M300" s="23" t="s">
        <v>8</v>
      </c>
    </row>
    <row r="301" spans="1:13" s="21" customFormat="1" x14ac:dyDescent="0.25">
      <c r="A301" s="22" t="s">
        <v>8</v>
      </c>
      <c r="B301" s="18" t="str">
        <f>"035118"</f>
        <v>035118</v>
      </c>
      <c r="C301" s="19" t="s">
        <v>306</v>
      </c>
      <c r="D301" s="19" t="s">
        <v>15735</v>
      </c>
      <c r="E301" s="19" t="s">
        <v>30958</v>
      </c>
      <c r="F301" s="19" t="s">
        <v>35976</v>
      </c>
      <c r="G301" s="18" t="str">
        <f>"86322"</f>
        <v>86322</v>
      </c>
      <c r="H301" s="19" t="s">
        <v>36056</v>
      </c>
      <c r="I301" s="20">
        <v>19.096</v>
      </c>
      <c r="J301" s="44" t="s">
        <v>8</v>
      </c>
      <c r="K301" s="23" t="s">
        <v>8</v>
      </c>
      <c r="L301" s="23" t="s">
        <v>8</v>
      </c>
      <c r="M301" s="23" t="s">
        <v>8</v>
      </c>
    </row>
    <row r="302" spans="1:13" s="21" customFormat="1" x14ac:dyDescent="0.25">
      <c r="A302" s="22" t="s">
        <v>8</v>
      </c>
      <c r="B302" s="18" t="str">
        <f>"035120"</f>
        <v>035120</v>
      </c>
      <c r="C302" s="19" t="s">
        <v>307</v>
      </c>
      <c r="D302" s="19" t="s">
        <v>15736</v>
      </c>
      <c r="E302" s="19" t="s">
        <v>30941</v>
      </c>
      <c r="F302" s="19" t="s">
        <v>35976</v>
      </c>
      <c r="G302" s="18" t="str">
        <f>"85206"</f>
        <v>85206</v>
      </c>
      <c r="H302" s="19" t="s">
        <v>36053</v>
      </c>
      <c r="I302" s="20">
        <v>18.082999999999998</v>
      </c>
      <c r="J302" s="44" t="s">
        <v>8</v>
      </c>
      <c r="K302" s="23" t="s">
        <v>8</v>
      </c>
      <c r="L302" s="23" t="s">
        <v>8</v>
      </c>
      <c r="M302" s="23" t="s">
        <v>8</v>
      </c>
    </row>
    <row r="303" spans="1:13" s="21" customFormat="1" x14ac:dyDescent="0.25">
      <c r="A303" s="22" t="s">
        <v>8</v>
      </c>
      <c r="B303" s="18" t="str">
        <f>"035121"</f>
        <v>035121</v>
      </c>
      <c r="C303" s="19" t="s">
        <v>308</v>
      </c>
      <c r="D303" s="19" t="s">
        <v>15737</v>
      </c>
      <c r="E303" s="19" t="s">
        <v>30959</v>
      </c>
      <c r="F303" s="19" t="s">
        <v>35976</v>
      </c>
      <c r="G303" s="18" t="str">
        <f>"85351"</f>
        <v>85351</v>
      </c>
      <c r="H303" s="19" t="s">
        <v>36053</v>
      </c>
      <c r="I303" s="20">
        <v>19.007000000000001</v>
      </c>
      <c r="J303" s="44" t="s">
        <v>8</v>
      </c>
      <c r="K303" s="23" t="s">
        <v>8</v>
      </c>
      <c r="L303" s="23" t="s">
        <v>8</v>
      </c>
      <c r="M303" s="23" t="s">
        <v>8</v>
      </c>
    </row>
    <row r="304" spans="1:13" s="21" customFormat="1" x14ac:dyDescent="0.25">
      <c r="A304" s="22" t="s">
        <v>8</v>
      </c>
      <c r="B304" s="18" t="str">
        <f>"035125"</f>
        <v>035125</v>
      </c>
      <c r="C304" s="19" t="s">
        <v>309</v>
      </c>
      <c r="D304" s="19" t="s">
        <v>15738</v>
      </c>
      <c r="E304" s="19" t="s">
        <v>30938</v>
      </c>
      <c r="F304" s="19" t="s">
        <v>35976</v>
      </c>
      <c r="G304" s="18" t="str">
        <f>"85032"</f>
        <v>85032</v>
      </c>
      <c r="H304" s="19" t="s">
        <v>36053</v>
      </c>
      <c r="I304" s="20">
        <v>19.390999999999998</v>
      </c>
      <c r="J304" s="44" t="s">
        <v>8</v>
      </c>
      <c r="K304" s="23" t="s">
        <v>8</v>
      </c>
      <c r="L304" s="23" t="s">
        <v>8</v>
      </c>
      <c r="M304" s="23" t="s">
        <v>8</v>
      </c>
    </row>
    <row r="305" spans="1:13" s="21" customFormat="1" x14ac:dyDescent="0.25">
      <c r="A305" s="22" t="s">
        <v>8</v>
      </c>
      <c r="B305" s="18" t="str">
        <f>"035126"</f>
        <v>035126</v>
      </c>
      <c r="C305" s="19" t="s">
        <v>310</v>
      </c>
      <c r="D305" s="19" t="s">
        <v>15739</v>
      </c>
      <c r="E305" s="19" t="s">
        <v>30946</v>
      </c>
      <c r="F305" s="19" t="s">
        <v>35976</v>
      </c>
      <c r="G305" s="18" t="str">
        <f>"85304"</f>
        <v>85304</v>
      </c>
      <c r="H305" s="19" t="s">
        <v>36053</v>
      </c>
      <c r="I305" s="20">
        <v>20.704999999999998</v>
      </c>
      <c r="J305" s="44" t="s">
        <v>8</v>
      </c>
      <c r="K305" s="23" t="s">
        <v>8</v>
      </c>
      <c r="L305" s="23" t="s">
        <v>8</v>
      </c>
      <c r="M305" s="23" t="s">
        <v>8</v>
      </c>
    </row>
    <row r="306" spans="1:13" s="21" customFormat="1" x14ac:dyDescent="0.25">
      <c r="A306" s="22" t="s">
        <v>8</v>
      </c>
      <c r="B306" s="18" t="str">
        <f>"035127"</f>
        <v>035127</v>
      </c>
      <c r="C306" s="19" t="s">
        <v>311</v>
      </c>
      <c r="D306" s="19" t="s">
        <v>15740</v>
      </c>
      <c r="E306" s="19" t="s">
        <v>30956</v>
      </c>
      <c r="F306" s="19" t="s">
        <v>35976</v>
      </c>
      <c r="G306" s="18" t="str">
        <f>"86305"</f>
        <v>86305</v>
      </c>
      <c r="H306" s="19" t="s">
        <v>36056</v>
      </c>
      <c r="I306" s="20">
        <v>17.488</v>
      </c>
      <c r="J306" s="44" t="s">
        <v>8</v>
      </c>
      <c r="K306" s="23" t="s">
        <v>8</v>
      </c>
      <c r="L306" s="23" t="s">
        <v>8</v>
      </c>
      <c r="M306" s="23" t="s">
        <v>8</v>
      </c>
    </row>
    <row r="307" spans="1:13" s="21" customFormat="1" x14ac:dyDescent="0.25">
      <c r="A307" s="22" t="s">
        <v>8</v>
      </c>
      <c r="B307" s="18" t="str">
        <f>"035128"</f>
        <v>035128</v>
      </c>
      <c r="C307" s="19" t="s">
        <v>312</v>
      </c>
      <c r="D307" s="19" t="s">
        <v>15741</v>
      </c>
      <c r="E307" s="19" t="s">
        <v>30959</v>
      </c>
      <c r="F307" s="19" t="s">
        <v>35976</v>
      </c>
      <c r="G307" s="18" t="str">
        <f>"85351"</f>
        <v>85351</v>
      </c>
      <c r="H307" s="19" t="s">
        <v>36053</v>
      </c>
      <c r="I307" s="20">
        <v>17.727</v>
      </c>
      <c r="J307" s="44" t="s">
        <v>8</v>
      </c>
      <c r="K307" s="23" t="s">
        <v>8</v>
      </c>
      <c r="L307" s="23" t="s">
        <v>8</v>
      </c>
      <c r="M307" s="23" t="s">
        <v>8</v>
      </c>
    </row>
    <row r="308" spans="1:13" s="21" customFormat="1" x14ac:dyDescent="0.25">
      <c r="A308" s="22" t="s">
        <v>8</v>
      </c>
      <c r="B308" s="18" t="str">
        <f>"035129"</f>
        <v>035129</v>
      </c>
      <c r="C308" s="19" t="s">
        <v>313</v>
      </c>
      <c r="D308" s="19" t="s">
        <v>15742</v>
      </c>
      <c r="E308" s="19" t="s">
        <v>30941</v>
      </c>
      <c r="F308" s="19" t="s">
        <v>35976</v>
      </c>
      <c r="G308" s="18" t="str">
        <f>"85206"</f>
        <v>85206</v>
      </c>
      <c r="H308" s="19" t="s">
        <v>36053</v>
      </c>
      <c r="I308" s="20">
        <v>17.547999999999998</v>
      </c>
      <c r="J308" s="44" t="s">
        <v>8</v>
      </c>
      <c r="K308" s="23" t="s">
        <v>8</v>
      </c>
      <c r="L308" s="23" t="s">
        <v>8</v>
      </c>
      <c r="M308" s="23" t="s">
        <v>8</v>
      </c>
    </row>
    <row r="309" spans="1:13" s="21" customFormat="1" x14ac:dyDescent="0.25">
      <c r="A309" s="22" t="s">
        <v>8</v>
      </c>
      <c r="B309" s="18" t="str">
        <f>"035130"</f>
        <v>035130</v>
      </c>
      <c r="C309" s="19" t="s">
        <v>314</v>
      </c>
      <c r="D309" s="19" t="s">
        <v>15743</v>
      </c>
      <c r="E309" s="19" t="s">
        <v>30949</v>
      </c>
      <c r="F309" s="19" t="s">
        <v>35976</v>
      </c>
      <c r="G309" s="18" t="str">
        <f>"85224"</f>
        <v>85224</v>
      </c>
      <c r="H309" s="19" t="s">
        <v>36053</v>
      </c>
      <c r="I309" s="20">
        <v>21.254999999999999</v>
      </c>
      <c r="J309" s="44" t="s">
        <v>8</v>
      </c>
      <c r="K309" s="23" t="s">
        <v>8</v>
      </c>
      <c r="L309" s="23" t="s">
        <v>8</v>
      </c>
      <c r="M309" s="23" t="s">
        <v>8</v>
      </c>
    </row>
    <row r="310" spans="1:13" s="21" customFormat="1" x14ac:dyDescent="0.25">
      <c r="A310" s="22" t="s">
        <v>8</v>
      </c>
      <c r="B310" s="18" t="str">
        <f>"035131"</f>
        <v>035131</v>
      </c>
      <c r="C310" s="19" t="s">
        <v>315</v>
      </c>
      <c r="D310" s="19" t="s">
        <v>15744</v>
      </c>
      <c r="E310" s="19" t="s">
        <v>30956</v>
      </c>
      <c r="F310" s="19" t="s">
        <v>35976</v>
      </c>
      <c r="G310" s="18" t="str">
        <f>"86301"</f>
        <v>86301</v>
      </c>
      <c r="H310" s="19" t="s">
        <v>36056</v>
      </c>
      <c r="I310" s="20">
        <v>17.146999999999998</v>
      </c>
      <c r="J310" s="44" t="s">
        <v>8</v>
      </c>
      <c r="K310" s="23" t="s">
        <v>8</v>
      </c>
      <c r="L310" s="23" t="s">
        <v>8</v>
      </c>
      <c r="M310" s="23" t="s">
        <v>8</v>
      </c>
    </row>
    <row r="311" spans="1:13" s="21" customFormat="1" x14ac:dyDescent="0.25">
      <c r="A311" s="22" t="s">
        <v>8</v>
      </c>
      <c r="B311" s="18" t="str">
        <f>"035132"</f>
        <v>035132</v>
      </c>
      <c r="C311" s="19" t="s">
        <v>316</v>
      </c>
      <c r="D311" s="19" t="s">
        <v>15745</v>
      </c>
      <c r="E311" s="19" t="s">
        <v>30938</v>
      </c>
      <c r="F311" s="19" t="s">
        <v>35976</v>
      </c>
      <c r="G311" s="18" t="str">
        <f>"85029"</f>
        <v>85029</v>
      </c>
      <c r="H311" s="19" t="s">
        <v>36053</v>
      </c>
      <c r="I311" s="20">
        <v>18.091999999999999</v>
      </c>
      <c r="J311" s="44" t="s">
        <v>8</v>
      </c>
      <c r="K311" s="23" t="s">
        <v>8</v>
      </c>
      <c r="L311" s="23" t="s">
        <v>8</v>
      </c>
      <c r="M311" s="23" t="s">
        <v>8</v>
      </c>
    </row>
    <row r="312" spans="1:13" s="21" customFormat="1" x14ac:dyDescent="0.25">
      <c r="A312" s="22" t="s">
        <v>8</v>
      </c>
      <c r="B312" s="18" t="str">
        <f>"035133"</f>
        <v>035133</v>
      </c>
      <c r="C312" s="19" t="s">
        <v>317</v>
      </c>
      <c r="D312" s="19" t="s">
        <v>15746</v>
      </c>
      <c r="E312" s="19" t="s">
        <v>30950</v>
      </c>
      <c r="F312" s="19" t="s">
        <v>35976</v>
      </c>
      <c r="G312" s="18" t="str">
        <f>"85364"</f>
        <v>85364</v>
      </c>
      <c r="H312" s="19" t="s">
        <v>30950</v>
      </c>
      <c r="I312" s="20">
        <v>21.143999999999998</v>
      </c>
      <c r="J312" s="44" t="s">
        <v>8</v>
      </c>
      <c r="K312" s="23" t="s">
        <v>8</v>
      </c>
      <c r="L312" s="23" t="s">
        <v>8</v>
      </c>
      <c r="M312" s="23" t="s">
        <v>8</v>
      </c>
    </row>
    <row r="313" spans="1:13" s="21" customFormat="1" x14ac:dyDescent="0.25">
      <c r="A313" s="22" t="s">
        <v>8</v>
      </c>
      <c r="B313" s="18" t="str">
        <f>"035134"</f>
        <v>035134</v>
      </c>
      <c r="C313" s="19" t="s">
        <v>318</v>
      </c>
      <c r="D313" s="19" t="s">
        <v>15747</v>
      </c>
      <c r="E313" s="19" t="s">
        <v>30957</v>
      </c>
      <c r="F313" s="19" t="s">
        <v>35976</v>
      </c>
      <c r="G313" s="18" t="str">
        <f>"85541"</f>
        <v>85541</v>
      </c>
      <c r="H313" s="19" t="s">
        <v>36059</v>
      </c>
      <c r="I313" s="20">
        <v>18.573</v>
      </c>
      <c r="J313" s="44" t="s">
        <v>8</v>
      </c>
      <c r="K313" s="23" t="s">
        <v>8</v>
      </c>
      <c r="L313" s="23" t="s">
        <v>8</v>
      </c>
      <c r="M313" s="23" t="s">
        <v>8</v>
      </c>
    </row>
    <row r="314" spans="1:13" s="21" customFormat="1" x14ac:dyDescent="0.25">
      <c r="A314" s="22" t="s">
        <v>8</v>
      </c>
      <c r="B314" s="18" t="str">
        <f>"035135"</f>
        <v>035135</v>
      </c>
      <c r="C314" s="19" t="s">
        <v>319</v>
      </c>
      <c r="D314" s="19" t="s">
        <v>15748</v>
      </c>
      <c r="E314" s="19" t="s">
        <v>30941</v>
      </c>
      <c r="F314" s="19" t="s">
        <v>35976</v>
      </c>
      <c r="G314" s="18" t="str">
        <f>"85206"</f>
        <v>85206</v>
      </c>
      <c r="H314" s="19" t="s">
        <v>36053</v>
      </c>
      <c r="I314" s="20">
        <v>20.605</v>
      </c>
      <c r="J314" s="44" t="s">
        <v>8</v>
      </c>
      <c r="K314" s="23" t="s">
        <v>8</v>
      </c>
      <c r="L314" s="23" t="s">
        <v>8</v>
      </c>
      <c r="M314" s="23" t="s">
        <v>8</v>
      </c>
    </row>
    <row r="315" spans="1:13" s="21" customFormat="1" x14ac:dyDescent="0.25">
      <c r="A315" s="22" t="s">
        <v>8</v>
      </c>
      <c r="B315" s="18" t="str">
        <f>"035136"</f>
        <v>035136</v>
      </c>
      <c r="C315" s="19" t="s">
        <v>320</v>
      </c>
      <c r="D315" s="19" t="s">
        <v>15749</v>
      </c>
      <c r="E315" s="19" t="s">
        <v>30944</v>
      </c>
      <c r="F315" s="19" t="s">
        <v>35976</v>
      </c>
      <c r="G315" s="18" t="str">
        <f>"85635"</f>
        <v>85635</v>
      </c>
      <c r="H315" s="19" t="s">
        <v>36055</v>
      </c>
      <c r="I315" s="20">
        <v>19.93</v>
      </c>
      <c r="J315" s="44" t="s">
        <v>8</v>
      </c>
      <c r="K315" s="23" t="s">
        <v>8</v>
      </c>
      <c r="L315" s="23" t="s">
        <v>8</v>
      </c>
      <c r="M315" s="23" t="s">
        <v>8</v>
      </c>
    </row>
    <row r="316" spans="1:13" s="21" customFormat="1" x14ac:dyDescent="0.25">
      <c r="A316" s="22" t="s">
        <v>8</v>
      </c>
      <c r="B316" s="18" t="str">
        <f>"035137"</f>
        <v>035137</v>
      </c>
      <c r="C316" s="19" t="s">
        <v>321</v>
      </c>
      <c r="D316" s="19" t="s">
        <v>15750</v>
      </c>
      <c r="E316" s="19" t="s">
        <v>30960</v>
      </c>
      <c r="F316" s="19" t="s">
        <v>35976</v>
      </c>
      <c r="G316" s="18" t="str">
        <f>"85363"</f>
        <v>85363</v>
      </c>
      <c r="H316" s="19" t="s">
        <v>36053</v>
      </c>
      <c r="I316" s="20">
        <v>17.358000000000001</v>
      </c>
      <c r="J316" s="44" t="s">
        <v>8</v>
      </c>
      <c r="K316" s="23" t="s">
        <v>8</v>
      </c>
      <c r="L316" s="23" t="s">
        <v>8</v>
      </c>
      <c r="M316" s="23" t="s">
        <v>8</v>
      </c>
    </row>
    <row r="317" spans="1:13" s="21" customFormat="1" x14ac:dyDescent="0.25">
      <c r="A317" s="22" t="s">
        <v>8</v>
      </c>
      <c r="B317" s="18" t="str">
        <f>"035139"</f>
        <v>035139</v>
      </c>
      <c r="C317" s="19" t="s">
        <v>322</v>
      </c>
      <c r="D317" s="19" t="s">
        <v>15751</v>
      </c>
      <c r="E317" s="19" t="s">
        <v>30961</v>
      </c>
      <c r="F317" s="19" t="s">
        <v>35976</v>
      </c>
      <c r="G317" s="18" t="str">
        <f>"85901"</f>
        <v>85901</v>
      </c>
      <c r="H317" s="19" t="s">
        <v>36060</v>
      </c>
      <c r="I317" s="20">
        <v>16.09</v>
      </c>
      <c r="J317" s="44" t="s">
        <v>8</v>
      </c>
      <c r="K317" s="23" t="s">
        <v>8</v>
      </c>
      <c r="L317" s="23" t="s">
        <v>8</v>
      </c>
      <c r="M317" s="23" t="s">
        <v>8</v>
      </c>
    </row>
    <row r="318" spans="1:13" s="21" customFormat="1" x14ac:dyDescent="0.25">
      <c r="A318" s="22" t="s">
        <v>8</v>
      </c>
      <c r="B318" s="18" t="str">
        <f>"035140"</f>
        <v>035140</v>
      </c>
      <c r="C318" s="19" t="s">
        <v>323</v>
      </c>
      <c r="D318" s="19" t="s">
        <v>15752</v>
      </c>
      <c r="E318" s="19" t="s">
        <v>30939</v>
      </c>
      <c r="F318" s="19" t="s">
        <v>35976</v>
      </c>
      <c r="G318" s="18" t="str">
        <f>"85741"</f>
        <v>85741</v>
      </c>
      <c r="H318" s="19" t="s">
        <v>36054</v>
      </c>
      <c r="I318" s="20">
        <v>16.103000000000002</v>
      </c>
      <c r="J318" s="44" t="s">
        <v>8</v>
      </c>
      <c r="K318" s="23" t="s">
        <v>8</v>
      </c>
      <c r="L318" s="23" t="s">
        <v>8</v>
      </c>
      <c r="M318" s="23" t="s">
        <v>8</v>
      </c>
    </row>
    <row r="319" spans="1:13" s="21" customFormat="1" x14ac:dyDescent="0.25">
      <c r="A319" s="22" t="s">
        <v>8</v>
      </c>
      <c r="B319" s="18" t="str">
        <f>"035141"</f>
        <v>035141</v>
      </c>
      <c r="C319" s="19" t="s">
        <v>324</v>
      </c>
      <c r="D319" s="19" t="s">
        <v>15753</v>
      </c>
      <c r="E319" s="19" t="s">
        <v>30962</v>
      </c>
      <c r="F319" s="19" t="s">
        <v>35976</v>
      </c>
      <c r="G319" s="18" t="str">
        <f>"85501"</f>
        <v>85501</v>
      </c>
      <c r="H319" s="19" t="s">
        <v>36059</v>
      </c>
      <c r="I319" s="20">
        <v>14.778</v>
      </c>
      <c r="J319" s="44" t="s">
        <v>8</v>
      </c>
      <c r="K319" s="23" t="s">
        <v>8</v>
      </c>
      <c r="L319" s="23" t="s">
        <v>8</v>
      </c>
      <c r="M319" s="23" t="s">
        <v>8</v>
      </c>
    </row>
    <row r="320" spans="1:13" s="21" customFormat="1" x14ac:dyDescent="0.25">
      <c r="A320" s="22" t="s">
        <v>8</v>
      </c>
      <c r="B320" s="18" t="str">
        <f>"035143"</f>
        <v>035143</v>
      </c>
      <c r="C320" s="19" t="s">
        <v>325</v>
      </c>
      <c r="D320" s="19" t="s">
        <v>15754</v>
      </c>
      <c r="E320" s="19" t="s">
        <v>30940</v>
      </c>
      <c r="F320" s="19" t="s">
        <v>35976</v>
      </c>
      <c r="G320" s="18" t="str">
        <f>"85260"</f>
        <v>85260</v>
      </c>
      <c r="H320" s="19" t="s">
        <v>36053</v>
      </c>
      <c r="I320" s="20">
        <v>17.37</v>
      </c>
      <c r="J320" s="44" t="s">
        <v>8</v>
      </c>
      <c r="K320" s="23" t="s">
        <v>8</v>
      </c>
      <c r="L320" s="23" t="s">
        <v>8</v>
      </c>
      <c r="M320" s="23" t="s">
        <v>8</v>
      </c>
    </row>
    <row r="321" spans="1:13" s="21" customFormat="1" x14ac:dyDescent="0.25">
      <c r="A321" s="22" t="s">
        <v>8</v>
      </c>
      <c r="B321" s="18" t="str">
        <f>"035144"</f>
        <v>035144</v>
      </c>
      <c r="C321" s="19" t="s">
        <v>326</v>
      </c>
      <c r="D321" s="19" t="s">
        <v>15755</v>
      </c>
      <c r="E321" s="19" t="s">
        <v>30954</v>
      </c>
      <c r="F321" s="19" t="s">
        <v>35976</v>
      </c>
      <c r="G321" s="18" t="str">
        <f>"85381"</f>
        <v>85381</v>
      </c>
      <c r="H321" s="19" t="s">
        <v>36053</v>
      </c>
      <c r="I321" s="20">
        <v>20.571000000000002</v>
      </c>
      <c r="J321" s="44" t="s">
        <v>8</v>
      </c>
      <c r="K321" s="23" t="s">
        <v>8</v>
      </c>
      <c r="L321" s="23" t="s">
        <v>8</v>
      </c>
      <c r="M321" s="23" t="s">
        <v>8</v>
      </c>
    </row>
    <row r="322" spans="1:13" s="21" customFormat="1" x14ac:dyDescent="0.25">
      <c r="A322" s="22" t="s">
        <v>8</v>
      </c>
      <c r="B322" s="18" t="str">
        <f>"035145"</f>
        <v>035145</v>
      </c>
      <c r="C322" s="19" t="s">
        <v>327</v>
      </c>
      <c r="D322" s="19" t="s">
        <v>15756</v>
      </c>
      <c r="E322" s="19" t="s">
        <v>30939</v>
      </c>
      <c r="F322" s="19" t="s">
        <v>35976</v>
      </c>
      <c r="G322" s="18" t="str">
        <f>"85712"</f>
        <v>85712</v>
      </c>
      <c r="H322" s="19" t="s">
        <v>36054</v>
      </c>
      <c r="I322" s="20">
        <v>19.82</v>
      </c>
      <c r="J322" s="44" t="s">
        <v>8</v>
      </c>
      <c r="K322" s="23" t="s">
        <v>8</v>
      </c>
      <c r="L322" s="23" t="s">
        <v>8</v>
      </c>
      <c r="M322" s="23" t="s">
        <v>8</v>
      </c>
    </row>
    <row r="323" spans="1:13" s="21" customFormat="1" x14ac:dyDescent="0.25">
      <c r="A323" s="22" t="s">
        <v>8</v>
      </c>
      <c r="B323" s="18" t="str">
        <f>"035146"</f>
        <v>035146</v>
      </c>
      <c r="C323" s="19" t="s">
        <v>328</v>
      </c>
      <c r="D323" s="19" t="s">
        <v>15757</v>
      </c>
      <c r="E323" s="19" t="s">
        <v>30938</v>
      </c>
      <c r="F323" s="19" t="s">
        <v>35976</v>
      </c>
      <c r="G323" s="18" t="str">
        <f>"85032"</f>
        <v>85032</v>
      </c>
      <c r="H323" s="19" t="s">
        <v>36053</v>
      </c>
      <c r="I323" s="20">
        <v>19.28</v>
      </c>
      <c r="J323" s="44" t="s">
        <v>8</v>
      </c>
      <c r="K323" s="23" t="s">
        <v>8</v>
      </c>
      <c r="L323" s="23" t="s">
        <v>8</v>
      </c>
      <c r="M323" s="23" t="s">
        <v>8</v>
      </c>
    </row>
    <row r="324" spans="1:13" s="21" customFormat="1" x14ac:dyDescent="0.25">
      <c r="A324" s="22" t="s">
        <v>8</v>
      </c>
      <c r="B324" s="18" t="str">
        <f>"035147"</f>
        <v>035147</v>
      </c>
      <c r="C324" s="19" t="s">
        <v>329</v>
      </c>
      <c r="D324" s="19" t="s">
        <v>15758</v>
      </c>
      <c r="E324" s="19" t="s">
        <v>30939</v>
      </c>
      <c r="F324" s="19" t="s">
        <v>35976</v>
      </c>
      <c r="G324" s="18" t="str">
        <f>"85712"</f>
        <v>85712</v>
      </c>
      <c r="H324" s="19" t="s">
        <v>36054</v>
      </c>
      <c r="I324" s="20">
        <v>18.257000000000001</v>
      </c>
      <c r="J324" s="44" t="s">
        <v>8</v>
      </c>
      <c r="K324" s="23" t="s">
        <v>8</v>
      </c>
      <c r="L324" s="23" t="s">
        <v>8</v>
      </c>
      <c r="M324" s="23" t="s">
        <v>8</v>
      </c>
    </row>
    <row r="325" spans="1:13" s="21" customFormat="1" x14ac:dyDescent="0.25">
      <c r="A325" s="22" t="s">
        <v>8</v>
      </c>
      <c r="B325" s="18" t="str">
        <f>"035151"</f>
        <v>035151</v>
      </c>
      <c r="C325" s="19" t="s">
        <v>330</v>
      </c>
      <c r="D325" s="19" t="s">
        <v>15759</v>
      </c>
      <c r="E325" s="19" t="s">
        <v>30939</v>
      </c>
      <c r="F325" s="19" t="s">
        <v>35976</v>
      </c>
      <c r="G325" s="18" t="str">
        <f>"85712"</f>
        <v>85712</v>
      </c>
      <c r="H325" s="19" t="s">
        <v>36054</v>
      </c>
      <c r="I325" s="20">
        <v>19.989000000000001</v>
      </c>
      <c r="J325" s="44" t="s">
        <v>8</v>
      </c>
      <c r="K325" s="23" t="s">
        <v>8</v>
      </c>
      <c r="L325" s="23" t="s">
        <v>8</v>
      </c>
      <c r="M325" s="23" t="s">
        <v>8</v>
      </c>
    </row>
    <row r="326" spans="1:13" s="21" customFormat="1" x14ac:dyDescent="0.25">
      <c r="A326" s="22" t="s">
        <v>8</v>
      </c>
      <c r="B326" s="18" t="str">
        <f>"035152"</f>
        <v>035152</v>
      </c>
      <c r="C326" s="19" t="s">
        <v>331</v>
      </c>
      <c r="D326" s="19" t="s">
        <v>15760</v>
      </c>
      <c r="E326" s="19" t="s">
        <v>30950</v>
      </c>
      <c r="F326" s="19" t="s">
        <v>35976</v>
      </c>
      <c r="G326" s="18" t="str">
        <f>"85364"</f>
        <v>85364</v>
      </c>
      <c r="H326" s="19" t="s">
        <v>30950</v>
      </c>
      <c r="I326" s="20">
        <v>24.699000000000002</v>
      </c>
      <c r="J326" s="44" t="s">
        <v>8</v>
      </c>
      <c r="K326" s="23" t="s">
        <v>8</v>
      </c>
      <c r="L326" s="23" t="s">
        <v>8</v>
      </c>
      <c r="M326" s="23" t="s">
        <v>8</v>
      </c>
    </row>
    <row r="327" spans="1:13" s="21" customFormat="1" x14ac:dyDescent="0.25">
      <c r="A327" s="22" t="s">
        <v>8</v>
      </c>
      <c r="B327" s="18" t="str">
        <f>"035154"</f>
        <v>035154</v>
      </c>
      <c r="C327" s="19" t="s">
        <v>332</v>
      </c>
      <c r="D327" s="19" t="s">
        <v>15761</v>
      </c>
      <c r="E327" s="19" t="s">
        <v>30946</v>
      </c>
      <c r="F327" s="19" t="s">
        <v>35976</v>
      </c>
      <c r="G327" s="18" t="str">
        <f>"85302"</f>
        <v>85302</v>
      </c>
      <c r="H327" s="19" t="s">
        <v>36053</v>
      </c>
      <c r="I327" s="20">
        <v>18.079000000000001</v>
      </c>
      <c r="J327" s="44" t="s">
        <v>8</v>
      </c>
      <c r="K327" s="23" t="s">
        <v>8</v>
      </c>
      <c r="L327" s="23" t="s">
        <v>8</v>
      </c>
      <c r="M327" s="23" t="s">
        <v>8</v>
      </c>
    </row>
    <row r="328" spans="1:13" s="21" customFormat="1" x14ac:dyDescent="0.25">
      <c r="A328" s="22" t="s">
        <v>8</v>
      </c>
      <c r="B328" s="18" t="str">
        <f>"035158"</f>
        <v>035158</v>
      </c>
      <c r="C328" s="19" t="s">
        <v>333</v>
      </c>
      <c r="D328" s="19" t="s">
        <v>15762</v>
      </c>
      <c r="E328" s="19" t="s">
        <v>30956</v>
      </c>
      <c r="F328" s="19" t="s">
        <v>35976</v>
      </c>
      <c r="G328" s="18" t="str">
        <f>"86301"</f>
        <v>86301</v>
      </c>
      <c r="H328" s="19" t="s">
        <v>36056</v>
      </c>
      <c r="I328" s="20">
        <v>19.68</v>
      </c>
      <c r="J328" s="44" t="s">
        <v>8</v>
      </c>
      <c r="K328" s="23" t="s">
        <v>8</v>
      </c>
      <c r="L328" s="23" t="s">
        <v>8</v>
      </c>
      <c r="M328" s="23" t="s">
        <v>8</v>
      </c>
    </row>
    <row r="329" spans="1:13" s="21" customFormat="1" x14ac:dyDescent="0.25">
      <c r="A329" s="22" t="s">
        <v>8</v>
      </c>
      <c r="B329" s="18" t="str">
        <f>"035159"</f>
        <v>035159</v>
      </c>
      <c r="C329" s="19" t="s">
        <v>334</v>
      </c>
      <c r="D329" s="19" t="s">
        <v>15763</v>
      </c>
      <c r="E329" s="19" t="s">
        <v>30946</v>
      </c>
      <c r="F329" s="19" t="s">
        <v>35976</v>
      </c>
      <c r="G329" s="18" t="str">
        <f>"85302"</f>
        <v>85302</v>
      </c>
      <c r="H329" s="19" t="s">
        <v>36053</v>
      </c>
      <c r="I329" s="20">
        <v>18.670000000000002</v>
      </c>
      <c r="J329" s="44" t="s">
        <v>8</v>
      </c>
      <c r="K329" s="23" t="s">
        <v>8</v>
      </c>
      <c r="L329" s="23" t="s">
        <v>8</v>
      </c>
      <c r="M329" s="23" t="s">
        <v>8</v>
      </c>
    </row>
    <row r="330" spans="1:13" s="21" customFormat="1" x14ac:dyDescent="0.25">
      <c r="A330" s="22" t="s">
        <v>8</v>
      </c>
      <c r="B330" s="18" t="str">
        <f>"035160"</f>
        <v>035160</v>
      </c>
      <c r="C330" s="19" t="s">
        <v>335</v>
      </c>
      <c r="D330" s="19" t="s">
        <v>15764</v>
      </c>
      <c r="E330" s="19" t="s">
        <v>30938</v>
      </c>
      <c r="F330" s="19" t="s">
        <v>35976</v>
      </c>
      <c r="G330" s="18" t="str">
        <f>"85020"</f>
        <v>85020</v>
      </c>
      <c r="H330" s="19" t="s">
        <v>36053</v>
      </c>
      <c r="I330" s="20">
        <v>17.713999999999999</v>
      </c>
      <c r="J330" s="44" t="s">
        <v>8</v>
      </c>
      <c r="K330" s="23" t="s">
        <v>8</v>
      </c>
      <c r="L330" s="23" t="s">
        <v>8</v>
      </c>
      <c r="M330" s="23" t="s">
        <v>8</v>
      </c>
    </row>
    <row r="331" spans="1:13" s="21" customFormat="1" x14ac:dyDescent="0.25">
      <c r="A331" s="22" t="s">
        <v>8</v>
      </c>
      <c r="B331" s="18" t="str">
        <f>"035164"</f>
        <v>035164</v>
      </c>
      <c r="C331" s="19" t="s">
        <v>336</v>
      </c>
      <c r="D331" s="19" t="s">
        <v>15765</v>
      </c>
      <c r="E331" s="19" t="s">
        <v>30941</v>
      </c>
      <c r="F331" s="19" t="s">
        <v>35976</v>
      </c>
      <c r="G331" s="18" t="str">
        <f>"85206"</f>
        <v>85206</v>
      </c>
      <c r="H331" s="19" t="s">
        <v>36053</v>
      </c>
      <c r="I331" s="20">
        <v>17.864000000000001</v>
      </c>
      <c r="J331" s="44" t="s">
        <v>8</v>
      </c>
      <c r="K331" s="23" t="s">
        <v>8</v>
      </c>
      <c r="L331" s="23" t="s">
        <v>8</v>
      </c>
      <c r="M331" s="23" t="s">
        <v>8</v>
      </c>
    </row>
    <row r="332" spans="1:13" s="21" customFormat="1" x14ac:dyDescent="0.25">
      <c r="A332" s="22" t="s">
        <v>8</v>
      </c>
      <c r="B332" s="18" t="str">
        <f>"035165"</f>
        <v>035165</v>
      </c>
      <c r="C332" s="19" t="s">
        <v>337</v>
      </c>
      <c r="D332" s="19" t="s">
        <v>15766</v>
      </c>
      <c r="E332" s="19" t="s">
        <v>30939</v>
      </c>
      <c r="F332" s="19" t="s">
        <v>35976</v>
      </c>
      <c r="G332" s="18" t="str">
        <f>"85718"</f>
        <v>85718</v>
      </c>
      <c r="H332" s="19" t="s">
        <v>36054</v>
      </c>
      <c r="I332" s="20">
        <v>18.867999999999999</v>
      </c>
      <c r="J332" s="44" t="s">
        <v>8</v>
      </c>
      <c r="K332" s="23" t="s">
        <v>8</v>
      </c>
      <c r="L332" s="23" t="s">
        <v>8</v>
      </c>
      <c r="M332" s="23" t="s">
        <v>8</v>
      </c>
    </row>
    <row r="333" spans="1:13" s="21" customFormat="1" x14ac:dyDescent="0.25">
      <c r="A333" s="22" t="s">
        <v>8</v>
      </c>
      <c r="B333" s="18" t="str">
        <f>"035166"</f>
        <v>035166</v>
      </c>
      <c r="C333" s="19" t="s">
        <v>338</v>
      </c>
      <c r="D333" s="19" t="s">
        <v>15767</v>
      </c>
      <c r="E333" s="19" t="s">
        <v>30963</v>
      </c>
      <c r="F333" s="19" t="s">
        <v>35976</v>
      </c>
      <c r="G333" s="18" t="str">
        <f>"85323"</f>
        <v>85323</v>
      </c>
      <c r="H333" s="19" t="s">
        <v>36053</v>
      </c>
      <c r="I333" s="20">
        <v>16.931000000000001</v>
      </c>
      <c r="J333" s="44" t="s">
        <v>8</v>
      </c>
      <c r="K333" s="23" t="s">
        <v>8</v>
      </c>
      <c r="L333" s="23" t="s">
        <v>8</v>
      </c>
      <c r="M333" s="23" t="s">
        <v>8</v>
      </c>
    </row>
    <row r="334" spans="1:13" s="21" customFormat="1" x14ac:dyDescent="0.25">
      <c r="A334" s="22" t="s">
        <v>8</v>
      </c>
      <c r="B334" s="18" t="str">
        <f>"035169"</f>
        <v>035169</v>
      </c>
      <c r="C334" s="19" t="s">
        <v>339</v>
      </c>
      <c r="D334" s="19" t="s">
        <v>15768</v>
      </c>
      <c r="E334" s="19" t="s">
        <v>30964</v>
      </c>
      <c r="F334" s="19" t="s">
        <v>35976</v>
      </c>
      <c r="G334" s="18" t="str">
        <f>"86401"</f>
        <v>86401</v>
      </c>
      <c r="H334" s="19" t="s">
        <v>36057</v>
      </c>
      <c r="I334" s="20">
        <v>18.713999999999999</v>
      </c>
      <c r="J334" s="44" t="s">
        <v>8</v>
      </c>
      <c r="K334" s="23" t="s">
        <v>8</v>
      </c>
      <c r="L334" s="23" t="s">
        <v>8</v>
      </c>
      <c r="M334" s="23" t="s">
        <v>8</v>
      </c>
    </row>
    <row r="335" spans="1:13" s="21" customFormat="1" x14ac:dyDescent="0.25">
      <c r="A335" s="22" t="s">
        <v>8</v>
      </c>
      <c r="B335" s="18" t="str">
        <f>"035171"</f>
        <v>035171</v>
      </c>
      <c r="C335" s="19" t="s">
        <v>340</v>
      </c>
      <c r="D335" s="19" t="s">
        <v>15769</v>
      </c>
      <c r="E335" s="19" t="s">
        <v>30941</v>
      </c>
      <c r="F335" s="19" t="s">
        <v>35976</v>
      </c>
      <c r="G335" s="18" t="str">
        <f>"85205"</f>
        <v>85205</v>
      </c>
      <c r="H335" s="19" t="s">
        <v>36053</v>
      </c>
      <c r="I335" s="20">
        <v>19.672000000000001</v>
      </c>
      <c r="J335" s="44" t="s">
        <v>8</v>
      </c>
      <c r="K335" s="23" t="s">
        <v>8</v>
      </c>
      <c r="L335" s="23" t="s">
        <v>8</v>
      </c>
      <c r="M335" s="23" t="s">
        <v>8</v>
      </c>
    </row>
    <row r="336" spans="1:13" s="21" customFormat="1" x14ac:dyDescent="0.25">
      <c r="A336" s="22" t="s">
        <v>8</v>
      </c>
      <c r="B336" s="18" t="str">
        <f>"035172"</f>
        <v>035172</v>
      </c>
      <c r="C336" s="19" t="s">
        <v>341</v>
      </c>
      <c r="D336" s="19" t="s">
        <v>15770</v>
      </c>
      <c r="E336" s="19" t="s">
        <v>30965</v>
      </c>
      <c r="F336" s="19" t="s">
        <v>35976</v>
      </c>
      <c r="G336" s="18" t="str">
        <f>"85546"</f>
        <v>85546</v>
      </c>
      <c r="H336" s="19" t="s">
        <v>34316</v>
      </c>
      <c r="I336" s="20">
        <v>17.809999999999999</v>
      </c>
      <c r="J336" s="44" t="s">
        <v>8</v>
      </c>
      <c r="K336" s="23" t="s">
        <v>8</v>
      </c>
      <c r="L336" s="23" t="s">
        <v>8</v>
      </c>
      <c r="M336" s="23" t="s">
        <v>8</v>
      </c>
    </row>
    <row r="337" spans="1:13" s="21" customFormat="1" x14ac:dyDescent="0.25">
      <c r="A337" s="22" t="s">
        <v>8</v>
      </c>
      <c r="B337" s="18" t="str">
        <f>"035173"</f>
        <v>035173</v>
      </c>
      <c r="C337" s="19" t="s">
        <v>342</v>
      </c>
      <c r="D337" s="19" t="s">
        <v>15771</v>
      </c>
      <c r="E337" s="19" t="s">
        <v>30938</v>
      </c>
      <c r="F337" s="19" t="s">
        <v>35976</v>
      </c>
      <c r="G337" s="18" t="str">
        <f>"85029"</f>
        <v>85029</v>
      </c>
      <c r="H337" s="19" t="s">
        <v>36053</v>
      </c>
      <c r="I337" s="20">
        <v>21.582999999999998</v>
      </c>
      <c r="J337" s="44" t="s">
        <v>8</v>
      </c>
      <c r="K337" s="23" t="s">
        <v>8</v>
      </c>
      <c r="L337" s="23" t="s">
        <v>8</v>
      </c>
      <c r="M337" s="23" t="s">
        <v>8</v>
      </c>
    </row>
    <row r="338" spans="1:13" s="21" customFormat="1" x14ac:dyDescent="0.25">
      <c r="A338" s="22" t="s">
        <v>8</v>
      </c>
      <c r="B338" s="18" t="str">
        <f>"035174"</f>
        <v>035174</v>
      </c>
      <c r="C338" s="19" t="s">
        <v>343</v>
      </c>
      <c r="D338" s="19" t="s">
        <v>15772</v>
      </c>
      <c r="E338" s="19" t="s">
        <v>30939</v>
      </c>
      <c r="F338" s="19" t="s">
        <v>35976</v>
      </c>
      <c r="G338" s="18" t="str">
        <f>"85719"</f>
        <v>85719</v>
      </c>
      <c r="H338" s="19" t="s">
        <v>36054</v>
      </c>
      <c r="I338" s="20">
        <v>16.106999999999999</v>
      </c>
      <c r="J338" s="44" t="s">
        <v>8</v>
      </c>
      <c r="K338" s="23" t="s">
        <v>8</v>
      </c>
      <c r="L338" s="23" t="s">
        <v>8</v>
      </c>
      <c r="M338" s="23" t="s">
        <v>8</v>
      </c>
    </row>
    <row r="339" spans="1:13" s="21" customFormat="1" x14ac:dyDescent="0.25">
      <c r="A339" s="22" t="s">
        <v>8</v>
      </c>
      <c r="B339" s="18" t="str">
        <f>"035176"</f>
        <v>035176</v>
      </c>
      <c r="C339" s="19" t="s">
        <v>344</v>
      </c>
      <c r="D339" s="19" t="s">
        <v>15773</v>
      </c>
      <c r="E339" s="19" t="s">
        <v>30938</v>
      </c>
      <c r="F339" s="19" t="s">
        <v>35976</v>
      </c>
      <c r="G339" s="18" t="str">
        <f>"85021"</f>
        <v>85021</v>
      </c>
      <c r="H339" s="19" t="s">
        <v>36053</v>
      </c>
      <c r="I339" s="20">
        <v>17.318000000000001</v>
      </c>
      <c r="J339" s="44" t="s">
        <v>8</v>
      </c>
      <c r="K339" s="23" t="s">
        <v>8</v>
      </c>
      <c r="L339" s="23" t="s">
        <v>8</v>
      </c>
      <c r="M339" s="23" t="s">
        <v>8</v>
      </c>
    </row>
    <row r="340" spans="1:13" s="21" customFormat="1" x14ac:dyDescent="0.25">
      <c r="A340" s="22" t="s">
        <v>8</v>
      </c>
      <c r="B340" s="18" t="str">
        <f>"035180"</f>
        <v>035180</v>
      </c>
      <c r="C340" s="19" t="s">
        <v>345</v>
      </c>
      <c r="D340" s="19" t="s">
        <v>15774</v>
      </c>
      <c r="E340" s="19" t="s">
        <v>30966</v>
      </c>
      <c r="F340" s="19" t="s">
        <v>35976</v>
      </c>
      <c r="G340" s="18" t="str">
        <f>"85607"</f>
        <v>85607</v>
      </c>
      <c r="H340" s="19" t="s">
        <v>36055</v>
      </c>
      <c r="I340" s="20">
        <v>20.960999999999999</v>
      </c>
      <c r="J340" s="44" t="s">
        <v>8</v>
      </c>
      <c r="K340" s="23" t="s">
        <v>8</v>
      </c>
      <c r="L340" s="23" t="s">
        <v>8</v>
      </c>
      <c r="M340" s="23" t="s">
        <v>8</v>
      </c>
    </row>
    <row r="341" spans="1:13" s="21" customFormat="1" x14ac:dyDescent="0.25">
      <c r="A341" s="22" t="s">
        <v>8</v>
      </c>
      <c r="B341" s="18" t="str">
        <f>"035183"</f>
        <v>035183</v>
      </c>
      <c r="C341" s="19" t="s">
        <v>346</v>
      </c>
      <c r="D341" s="19" t="s">
        <v>15775</v>
      </c>
      <c r="E341" s="19" t="s">
        <v>30954</v>
      </c>
      <c r="F341" s="19" t="s">
        <v>35976</v>
      </c>
      <c r="G341" s="18" t="str">
        <f>"85345"</f>
        <v>85345</v>
      </c>
      <c r="H341" s="19" t="s">
        <v>36053</v>
      </c>
      <c r="I341" s="20">
        <v>16.536999999999999</v>
      </c>
      <c r="J341" s="44" t="s">
        <v>8</v>
      </c>
      <c r="K341" s="23" t="s">
        <v>8</v>
      </c>
      <c r="L341" s="23" t="s">
        <v>8</v>
      </c>
      <c r="M341" s="23" t="s">
        <v>8</v>
      </c>
    </row>
    <row r="342" spans="1:13" s="21" customFormat="1" x14ac:dyDescent="0.25">
      <c r="A342" s="22" t="s">
        <v>8</v>
      </c>
      <c r="B342" s="18" t="str">
        <f>"035189"</f>
        <v>035189</v>
      </c>
      <c r="C342" s="19" t="s">
        <v>347</v>
      </c>
      <c r="D342" s="19" t="s">
        <v>15776</v>
      </c>
      <c r="E342" s="19" t="s">
        <v>30939</v>
      </c>
      <c r="F342" s="19" t="s">
        <v>35976</v>
      </c>
      <c r="G342" s="18" t="str">
        <f>"85704"</f>
        <v>85704</v>
      </c>
      <c r="H342" s="19" t="s">
        <v>36054</v>
      </c>
      <c r="I342" s="20">
        <v>17.068999999999999</v>
      </c>
      <c r="J342" s="44" t="s">
        <v>8</v>
      </c>
      <c r="K342" s="23" t="s">
        <v>8</v>
      </c>
      <c r="L342" s="23" t="s">
        <v>8</v>
      </c>
      <c r="M342" s="23" t="s">
        <v>8</v>
      </c>
    </row>
    <row r="343" spans="1:13" s="21" customFormat="1" x14ac:dyDescent="0.25">
      <c r="A343" s="22" t="s">
        <v>8</v>
      </c>
      <c r="B343" s="18" t="str">
        <f>"035190"</f>
        <v>035190</v>
      </c>
      <c r="C343" s="19" t="s">
        <v>348</v>
      </c>
      <c r="D343" s="19" t="s">
        <v>15777</v>
      </c>
      <c r="E343" s="19" t="s">
        <v>30939</v>
      </c>
      <c r="F343" s="19" t="s">
        <v>35976</v>
      </c>
      <c r="G343" s="18" t="str">
        <f>"85719"</f>
        <v>85719</v>
      </c>
      <c r="H343" s="19" t="s">
        <v>36054</v>
      </c>
      <c r="I343" s="20">
        <v>16.655000000000001</v>
      </c>
      <c r="J343" s="44" t="s">
        <v>8</v>
      </c>
      <c r="K343" s="23" t="s">
        <v>8</v>
      </c>
      <c r="L343" s="23" t="s">
        <v>8</v>
      </c>
      <c r="M343" s="23" t="s">
        <v>8</v>
      </c>
    </row>
    <row r="344" spans="1:13" s="21" customFormat="1" x14ac:dyDescent="0.25">
      <c r="A344" s="22" t="s">
        <v>8</v>
      </c>
      <c r="B344" s="18" t="str">
        <f>"035192"</f>
        <v>035192</v>
      </c>
      <c r="C344" s="19" t="s">
        <v>349</v>
      </c>
      <c r="D344" s="19" t="s">
        <v>15778</v>
      </c>
      <c r="E344" s="19" t="s">
        <v>30940</v>
      </c>
      <c r="F344" s="19" t="s">
        <v>35976</v>
      </c>
      <c r="G344" s="18" t="str">
        <f>"85260"</f>
        <v>85260</v>
      </c>
      <c r="H344" s="19" t="s">
        <v>36053</v>
      </c>
      <c r="I344" s="20">
        <v>18.077000000000002</v>
      </c>
      <c r="J344" s="44" t="s">
        <v>8</v>
      </c>
      <c r="K344" s="23" t="s">
        <v>8</v>
      </c>
      <c r="L344" s="23" t="s">
        <v>8</v>
      </c>
      <c r="M344" s="23" t="s">
        <v>8</v>
      </c>
    </row>
    <row r="345" spans="1:13" s="21" customFormat="1" x14ac:dyDescent="0.25">
      <c r="A345" s="22" t="s">
        <v>8</v>
      </c>
      <c r="B345" s="18" t="str">
        <f>"035193"</f>
        <v>035193</v>
      </c>
      <c r="C345" s="19" t="s">
        <v>350</v>
      </c>
      <c r="D345" s="19" t="s">
        <v>15779</v>
      </c>
      <c r="E345" s="19" t="s">
        <v>30941</v>
      </c>
      <c r="F345" s="19" t="s">
        <v>35976</v>
      </c>
      <c r="G345" s="18" t="str">
        <f>"85204"</f>
        <v>85204</v>
      </c>
      <c r="H345" s="19" t="s">
        <v>36053</v>
      </c>
      <c r="I345" s="20">
        <v>16.966999999999999</v>
      </c>
      <c r="J345" s="44" t="s">
        <v>8</v>
      </c>
      <c r="K345" s="23" t="s">
        <v>8</v>
      </c>
      <c r="L345" s="23" t="s">
        <v>8</v>
      </c>
      <c r="M345" s="23" t="s">
        <v>8</v>
      </c>
    </row>
    <row r="346" spans="1:13" s="21" customFormat="1" x14ac:dyDescent="0.25">
      <c r="A346" s="22" t="s">
        <v>8</v>
      </c>
      <c r="B346" s="18" t="str">
        <f>"035196"</f>
        <v>035196</v>
      </c>
      <c r="C346" s="19" t="s">
        <v>351</v>
      </c>
      <c r="D346" s="19" t="s">
        <v>15780</v>
      </c>
      <c r="E346" s="19" t="s">
        <v>30941</v>
      </c>
      <c r="F346" s="19" t="s">
        <v>35976</v>
      </c>
      <c r="G346" s="18" t="str">
        <f>"85201"</f>
        <v>85201</v>
      </c>
      <c r="H346" s="19" t="s">
        <v>36053</v>
      </c>
      <c r="I346" s="20">
        <v>19.715</v>
      </c>
      <c r="J346" s="44" t="s">
        <v>8</v>
      </c>
      <c r="K346" s="23" t="s">
        <v>8</v>
      </c>
      <c r="L346" s="23" t="s">
        <v>8</v>
      </c>
      <c r="M346" s="23" t="s">
        <v>8</v>
      </c>
    </row>
    <row r="347" spans="1:13" s="21" customFormat="1" x14ac:dyDescent="0.25">
      <c r="A347" s="22" t="s">
        <v>8</v>
      </c>
      <c r="B347" s="18" t="str">
        <f>"035197"</f>
        <v>035197</v>
      </c>
      <c r="C347" s="19" t="s">
        <v>352</v>
      </c>
      <c r="D347" s="19" t="s">
        <v>15781</v>
      </c>
      <c r="E347" s="19" t="s">
        <v>30950</v>
      </c>
      <c r="F347" s="19" t="s">
        <v>35976</v>
      </c>
      <c r="G347" s="18" t="str">
        <f>"85364"</f>
        <v>85364</v>
      </c>
      <c r="H347" s="19" t="s">
        <v>30950</v>
      </c>
      <c r="I347" s="20">
        <v>22.661999999999999</v>
      </c>
      <c r="J347" s="44" t="s">
        <v>8</v>
      </c>
      <c r="K347" s="23" t="s">
        <v>8</v>
      </c>
      <c r="L347" s="23" t="s">
        <v>8</v>
      </c>
      <c r="M347" s="23" t="s">
        <v>8</v>
      </c>
    </row>
    <row r="348" spans="1:13" s="21" customFormat="1" x14ac:dyDescent="0.25">
      <c r="A348" s="22" t="s">
        <v>8</v>
      </c>
      <c r="B348" s="18" t="str">
        <f>"035199"</f>
        <v>035199</v>
      </c>
      <c r="C348" s="19" t="s">
        <v>353</v>
      </c>
      <c r="D348" s="19" t="s">
        <v>15782</v>
      </c>
      <c r="E348" s="19" t="s">
        <v>30939</v>
      </c>
      <c r="F348" s="19" t="s">
        <v>35976</v>
      </c>
      <c r="G348" s="18" t="str">
        <f>"85712"</f>
        <v>85712</v>
      </c>
      <c r="H348" s="19" t="s">
        <v>36054</v>
      </c>
      <c r="I348" s="20">
        <v>21.83</v>
      </c>
      <c r="J348" s="44" t="s">
        <v>8</v>
      </c>
      <c r="K348" s="23" t="s">
        <v>8</v>
      </c>
      <c r="L348" s="23" t="s">
        <v>8</v>
      </c>
      <c r="M348" s="23" t="s">
        <v>8</v>
      </c>
    </row>
    <row r="349" spans="1:13" s="21" customFormat="1" x14ac:dyDescent="0.25">
      <c r="A349" s="22" t="s">
        <v>8</v>
      </c>
      <c r="B349" s="18" t="str">
        <f>"035201"</f>
        <v>035201</v>
      </c>
      <c r="C349" s="19" t="s">
        <v>354</v>
      </c>
      <c r="D349" s="19" t="s">
        <v>15783</v>
      </c>
      <c r="E349" s="19" t="s">
        <v>30954</v>
      </c>
      <c r="F349" s="19" t="s">
        <v>35976</v>
      </c>
      <c r="G349" s="18" t="str">
        <f>"85381"</f>
        <v>85381</v>
      </c>
      <c r="H349" s="19" t="s">
        <v>36053</v>
      </c>
      <c r="I349" s="20">
        <v>20.256</v>
      </c>
      <c r="J349" s="44" t="s">
        <v>8</v>
      </c>
      <c r="K349" s="23" t="s">
        <v>8</v>
      </c>
      <c r="L349" s="23" t="s">
        <v>8</v>
      </c>
      <c r="M349" s="23" t="s">
        <v>8</v>
      </c>
    </row>
    <row r="350" spans="1:13" s="21" customFormat="1" x14ac:dyDescent="0.25">
      <c r="A350" s="22" t="s">
        <v>8</v>
      </c>
      <c r="B350" s="18" t="str">
        <f>"035205"</f>
        <v>035205</v>
      </c>
      <c r="C350" s="19" t="s">
        <v>355</v>
      </c>
      <c r="D350" s="19" t="s">
        <v>15784</v>
      </c>
      <c r="E350" s="19" t="s">
        <v>30938</v>
      </c>
      <c r="F350" s="19" t="s">
        <v>35976</v>
      </c>
      <c r="G350" s="18" t="str">
        <f>"85040"</f>
        <v>85040</v>
      </c>
      <c r="H350" s="19" t="s">
        <v>36053</v>
      </c>
      <c r="I350" s="20">
        <v>17.777000000000001</v>
      </c>
      <c r="J350" s="44" t="s">
        <v>8</v>
      </c>
      <c r="K350" s="23" t="s">
        <v>8</v>
      </c>
      <c r="L350" s="23" t="s">
        <v>8</v>
      </c>
      <c r="M350" s="23" t="s">
        <v>8</v>
      </c>
    </row>
    <row r="351" spans="1:13" s="21" customFormat="1" x14ac:dyDescent="0.25">
      <c r="A351" s="22" t="s">
        <v>8</v>
      </c>
      <c r="B351" s="18" t="str">
        <f>"035207"</f>
        <v>035207</v>
      </c>
      <c r="C351" s="19" t="s">
        <v>356</v>
      </c>
      <c r="D351" s="19" t="s">
        <v>15785</v>
      </c>
      <c r="E351" s="19" t="s">
        <v>30941</v>
      </c>
      <c r="F351" s="19" t="s">
        <v>35976</v>
      </c>
      <c r="G351" s="18" t="str">
        <f>"85208"</f>
        <v>85208</v>
      </c>
      <c r="H351" s="19" t="s">
        <v>36053</v>
      </c>
      <c r="I351" s="20">
        <v>17.747</v>
      </c>
      <c r="J351" s="44" t="s">
        <v>8</v>
      </c>
      <c r="K351" s="23" t="s">
        <v>8</v>
      </c>
      <c r="L351" s="23" t="s">
        <v>8</v>
      </c>
      <c r="M351" s="23" t="s">
        <v>8</v>
      </c>
    </row>
    <row r="352" spans="1:13" s="21" customFormat="1" x14ac:dyDescent="0.25">
      <c r="A352" s="22" t="s">
        <v>8</v>
      </c>
      <c r="B352" s="18" t="str">
        <f>"035214"</f>
        <v>035214</v>
      </c>
      <c r="C352" s="19" t="s">
        <v>357</v>
      </c>
      <c r="D352" s="19" t="s">
        <v>15786</v>
      </c>
      <c r="E352" s="19" t="s">
        <v>30967</v>
      </c>
      <c r="F352" s="19" t="s">
        <v>35976</v>
      </c>
      <c r="G352" s="18" t="str">
        <f>"85602"</f>
        <v>85602</v>
      </c>
      <c r="H352" s="19" t="s">
        <v>36055</v>
      </c>
      <c r="I352" s="20">
        <v>17.419</v>
      </c>
      <c r="J352" s="44" t="s">
        <v>8</v>
      </c>
      <c r="K352" s="23" t="s">
        <v>8</v>
      </c>
      <c r="L352" s="23" t="s">
        <v>8</v>
      </c>
      <c r="M352" s="23" t="s">
        <v>8</v>
      </c>
    </row>
    <row r="353" spans="1:13" s="21" customFormat="1" x14ac:dyDescent="0.25">
      <c r="A353" s="22" t="s">
        <v>8</v>
      </c>
      <c r="B353" s="18" t="str">
        <f>"035216"</f>
        <v>035216</v>
      </c>
      <c r="C353" s="19" t="s">
        <v>358</v>
      </c>
      <c r="D353" s="19" t="s">
        <v>15787</v>
      </c>
      <c r="E353" s="19" t="s">
        <v>30968</v>
      </c>
      <c r="F353" s="19" t="s">
        <v>35976</v>
      </c>
      <c r="G353" s="18" t="str">
        <f>"85247"</f>
        <v>85247</v>
      </c>
      <c r="H353" s="19" t="s">
        <v>36058</v>
      </c>
      <c r="I353" s="20">
        <v>17.925999999999998</v>
      </c>
      <c r="J353" s="44" t="s">
        <v>8</v>
      </c>
      <c r="K353" s="23" t="s">
        <v>8</v>
      </c>
      <c r="L353" s="23" t="s">
        <v>8</v>
      </c>
      <c r="M353" s="23" t="s">
        <v>8</v>
      </c>
    </row>
    <row r="354" spans="1:13" s="21" customFormat="1" x14ac:dyDescent="0.25">
      <c r="A354" s="22" t="s">
        <v>8</v>
      </c>
      <c r="B354" s="18" t="str">
        <f>"035217"</f>
        <v>035217</v>
      </c>
      <c r="C354" s="19" t="s">
        <v>359</v>
      </c>
      <c r="D354" s="19" t="s">
        <v>15788</v>
      </c>
      <c r="E354" s="19" t="s">
        <v>30940</v>
      </c>
      <c r="F354" s="19" t="s">
        <v>35976</v>
      </c>
      <c r="G354" s="18" t="str">
        <f>"85257"</f>
        <v>85257</v>
      </c>
      <c r="H354" s="19" t="s">
        <v>36053</v>
      </c>
      <c r="I354" s="20">
        <v>17.204999999999998</v>
      </c>
      <c r="J354" s="44" t="s">
        <v>8</v>
      </c>
      <c r="K354" s="23" t="s">
        <v>8</v>
      </c>
      <c r="L354" s="23" t="s">
        <v>8</v>
      </c>
      <c r="M354" s="23" t="s">
        <v>8</v>
      </c>
    </row>
    <row r="355" spans="1:13" s="21" customFormat="1" x14ac:dyDescent="0.25">
      <c r="A355" s="22" t="s">
        <v>8</v>
      </c>
      <c r="B355" s="18" t="str">
        <f>"035225"</f>
        <v>035225</v>
      </c>
      <c r="C355" s="19" t="s">
        <v>360</v>
      </c>
      <c r="D355" s="19" t="s">
        <v>15789</v>
      </c>
      <c r="E355" s="19" t="s">
        <v>30959</v>
      </c>
      <c r="F355" s="19" t="s">
        <v>35976</v>
      </c>
      <c r="G355" s="18" t="str">
        <f>"85373"</f>
        <v>85373</v>
      </c>
      <c r="H355" s="19" t="s">
        <v>36053</v>
      </c>
      <c r="I355" s="20">
        <v>19.611999999999998</v>
      </c>
      <c r="J355" s="44" t="s">
        <v>8</v>
      </c>
      <c r="K355" s="23" t="s">
        <v>8</v>
      </c>
      <c r="L355" s="23" t="s">
        <v>8</v>
      </c>
      <c r="M355" s="23" t="s">
        <v>8</v>
      </c>
    </row>
    <row r="356" spans="1:13" s="21" customFormat="1" x14ac:dyDescent="0.25">
      <c r="A356" s="22" t="s">
        <v>8</v>
      </c>
      <c r="B356" s="18" t="str">
        <f>"035231"</f>
        <v>035231</v>
      </c>
      <c r="C356" s="19" t="s">
        <v>361</v>
      </c>
      <c r="D356" s="19" t="s">
        <v>15790</v>
      </c>
      <c r="E356" s="19" t="s">
        <v>30954</v>
      </c>
      <c r="F356" s="19" t="s">
        <v>35976</v>
      </c>
      <c r="G356" s="18" t="str">
        <f>"85382"</f>
        <v>85382</v>
      </c>
      <c r="H356" s="19" t="s">
        <v>36053</v>
      </c>
      <c r="I356" s="20">
        <v>18.297000000000001</v>
      </c>
      <c r="J356" s="44" t="s">
        <v>8</v>
      </c>
      <c r="K356" s="23" t="s">
        <v>8</v>
      </c>
      <c r="L356" s="23" t="s">
        <v>8</v>
      </c>
      <c r="M356" s="23" t="s">
        <v>8</v>
      </c>
    </row>
    <row r="357" spans="1:13" s="21" customFormat="1" x14ac:dyDescent="0.25">
      <c r="A357" s="22" t="s">
        <v>8</v>
      </c>
      <c r="B357" s="18" t="str">
        <f>"035232"</f>
        <v>035232</v>
      </c>
      <c r="C357" s="19" t="s">
        <v>362</v>
      </c>
      <c r="D357" s="19" t="s">
        <v>15791</v>
      </c>
      <c r="E357" s="19" t="s">
        <v>30939</v>
      </c>
      <c r="F357" s="19" t="s">
        <v>35976</v>
      </c>
      <c r="G357" s="18" t="str">
        <f>"85704"</f>
        <v>85704</v>
      </c>
      <c r="H357" s="19" t="s">
        <v>36054</v>
      </c>
      <c r="I357" s="20">
        <v>20.71</v>
      </c>
      <c r="J357" s="44" t="s">
        <v>8</v>
      </c>
      <c r="K357" s="23" t="s">
        <v>8</v>
      </c>
      <c r="L357" s="23" t="s">
        <v>8</v>
      </c>
      <c r="M357" s="23" t="s">
        <v>8</v>
      </c>
    </row>
    <row r="358" spans="1:13" s="21" customFormat="1" x14ac:dyDescent="0.25">
      <c r="A358" s="22" t="s">
        <v>8</v>
      </c>
      <c r="B358" s="18" t="str">
        <f>"035233"</f>
        <v>035233</v>
      </c>
      <c r="C358" s="19" t="s">
        <v>363</v>
      </c>
      <c r="D358" s="19" t="s">
        <v>15792</v>
      </c>
      <c r="E358" s="19" t="s">
        <v>30962</v>
      </c>
      <c r="F358" s="19" t="s">
        <v>35976</v>
      </c>
      <c r="G358" s="18" t="str">
        <f>"85501"</f>
        <v>85501</v>
      </c>
      <c r="H358" s="19" t="s">
        <v>36059</v>
      </c>
      <c r="I358" s="20">
        <v>17.440999999999999</v>
      </c>
      <c r="J358" s="44" t="s">
        <v>8</v>
      </c>
      <c r="K358" s="23" t="s">
        <v>8</v>
      </c>
      <c r="L358" s="23" t="s">
        <v>8</v>
      </c>
      <c r="M358" s="23" t="s">
        <v>8</v>
      </c>
    </row>
    <row r="359" spans="1:13" s="21" customFormat="1" x14ac:dyDescent="0.25">
      <c r="A359" s="22" t="s">
        <v>8</v>
      </c>
      <c r="B359" s="18" t="str">
        <f>"035234"</f>
        <v>035234</v>
      </c>
      <c r="C359" s="19" t="s">
        <v>364</v>
      </c>
      <c r="D359" s="19" t="s">
        <v>15793</v>
      </c>
      <c r="E359" s="19" t="s">
        <v>30938</v>
      </c>
      <c r="F359" s="19" t="s">
        <v>35976</v>
      </c>
      <c r="G359" s="18" t="str">
        <f>"85012"</f>
        <v>85012</v>
      </c>
      <c r="H359" s="19" t="s">
        <v>36053</v>
      </c>
      <c r="I359" s="20">
        <v>17.946000000000002</v>
      </c>
      <c r="J359" s="44" t="s">
        <v>8</v>
      </c>
      <c r="K359" s="23" t="s">
        <v>8</v>
      </c>
      <c r="L359" s="23" t="s">
        <v>8</v>
      </c>
      <c r="M359" s="23" t="s">
        <v>8</v>
      </c>
    </row>
    <row r="360" spans="1:13" s="21" customFormat="1" x14ac:dyDescent="0.25">
      <c r="A360" s="22" t="s">
        <v>8</v>
      </c>
      <c r="B360" s="18" t="str">
        <f>"035240"</f>
        <v>035240</v>
      </c>
      <c r="C360" s="19" t="s">
        <v>365</v>
      </c>
      <c r="D360" s="19" t="s">
        <v>15794</v>
      </c>
      <c r="E360" s="19" t="s">
        <v>30952</v>
      </c>
      <c r="F360" s="19" t="s">
        <v>35976</v>
      </c>
      <c r="G360" s="18" t="str">
        <f>"86406"</f>
        <v>86406</v>
      </c>
      <c r="H360" s="19" t="s">
        <v>36057</v>
      </c>
      <c r="I360" s="20">
        <v>17.826000000000001</v>
      </c>
      <c r="J360" s="44" t="s">
        <v>8</v>
      </c>
      <c r="K360" s="23" t="s">
        <v>8</v>
      </c>
      <c r="L360" s="23" t="s">
        <v>8</v>
      </c>
      <c r="M360" s="23" t="s">
        <v>8</v>
      </c>
    </row>
    <row r="361" spans="1:13" s="21" customFormat="1" x14ac:dyDescent="0.25">
      <c r="A361" s="22" t="s">
        <v>8</v>
      </c>
      <c r="B361" s="18" t="str">
        <f>"035241"</f>
        <v>035241</v>
      </c>
      <c r="C361" s="19" t="s">
        <v>366</v>
      </c>
      <c r="D361" s="19" t="s">
        <v>15795</v>
      </c>
      <c r="E361" s="19" t="s">
        <v>30938</v>
      </c>
      <c r="F361" s="19" t="s">
        <v>35976</v>
      </c>
      <c r="G361" s="18" t="str">
        <f>"85040"</f>
        <v>85040</v>
      </c>
      <c r="H361" s="19" t="s">
        <v>36053</v>
      </c>
      <c r="I361" s="20">
        <v>21.215</v>
      </c>
      <c r="J361" s="44" t="s">
        <v>8</v>
      </c>
      <c r="K361" s="23" t="s">
        <v>8</v>
      </c>
      <c r="L361" s="23" t="s">
        <v>8</v>
      </c>
      <c r="M361" s="23" t="s">
        <v>8</v>
      </c>
    </row>
    <row r="362" spans="1:13" s="21" customFormat="1" x14ac:dyDescent="0.25">
      <c r="A362" s="22" t="s">
        <v>8</v>
      </c>
      <c r="B362" s="18" t="str">
        <f>"035243"</f>
        <v>035243</v>
      </c>
      <c r="C362" s="19" t="s">
        <v>367</v>
      </c>
      <c r="D362" s="19" t="s">
        <v>15796</v>
      </c>
      <c r="E362" s="19" t="s">
        <v>30969</v>
      </c>
      <c r="F362" s="19" t="s">
        <v>35976</v>
      </c>
      <c r="G362" s="18" t="str">
        <f>"85374"</f>
        <v>85374</v>
      </c>
      <c r="H362" s="19" t="s">
        <v>36053</v>
      </c>
      <c r="I362" s="20">
        <v>18.038</v>
      </c>
      <c r="J362" s="44" t="s">
        <v>8</v>
      </c>
      <c r="K362" s="23" t="s">
        <v>8</v>
      </c>
      <c r="L362" s="23" t="s">
        <v>8</v>
      </c>
      <c r="M362" s="23" t="s">
        <v>8</v>
      </c>
    </row>
    <row r="363" spans="1:13" s="21" customFormat="1" x14ac:dyDescent="0.25">
      <c r="A363" s="22" t="s">
        <v>8</v>
      </c>
      <c r="B363" s="18" t="str">
        <f>"035244"</f>
        <v>035244</v>
      </c>
      <c r="C363" s="19" t="s">
        <v>368</v>
      </c>
      <c r="D363" s="19" t="s">
        <v>15797</v>
      </c>
      <c r="E363" s="19" t="s">
        <v>30970</v>
      </c>
      <c r="F363" s="19" t="s">
        <v>35976</v>
      </c>
      <c r="G363" s="18" t="str">
        <f>"86314"</f>
        <v>86314</v>
      </c>
      <c r="H363" s="19" t="s">
        <v>36056</v>
      </c>
      <c r="I363" s="20">
        <v>15.936999999999999</v>
      </c>
      <c r="J363" s="44" t="s">
        <v>8</v>
      </c>
      <c r="K363" s="23" t="s">
        <v>8</v>
      </c>
      <c r="L363" s="23" t="s">
        <v>8</v>
      </c>
      <c r="M363" s="23" t="s">
        <v>8</v>
      </c>
    </row>
    <row r="364" spans="1:13" s="21" customFormat="1" x14ac:dyDescent="0.25">
      <c r="A364" s="22" t="s">
        <v>8</v>
      </c>
      <c r="B364" s="18" t="str">
        <f>"035245"</f>
        <v>035245</v>
      </c>
      <c r="C364" s="19" t="s">
        <v>369</v>
      </c>
      <c r="D364" s="19" t="s">
        <v>15798</v>
      </c>
      <c r="E364" s="19" t="s">
        <v>30960</v>
      </c>
      <c r="F364" s="19" t="s">
        <v>35976</v>
      </c>
      <c r="G364" s="18" t="str">
        <f>"85363"</f>
        <v>85363</v>
      </c>
      <c r="H364" s="19" t="s">
        <v>36053</v>
      </c>
      <c r="I364" s="20">
        <v>16.443999999999999</v>
      </c>
      <c r="J364" s="44" t="s">
        <v>8</v>
      </c>
      <c r="K364" s="23" t="s">
        <v>8</v>
      </c>
      <c r="L364" s="23" t="s">
        <v>8</v>
      </c>
      <c r="M364" s="23" t="s">
        <v>8</v>
      </c>
    </row>
    <row r="365" spans="1:13" s="21" customFormat="1" x14ac:dyDescent="0.25">
      <c r="A365" s="22" t="s">
        <v>8</v>
      </c>
      <c r="B365" s="18" t="str">
        <f>"035249"</f>
        <v>035249</v>
      </c>
      <c r="C365" s="19" t="s">
        <v>370</v>
      </c>
      <c r="D365" s="19" t="s">
        <v>15799</v>
      </c>
      <c r="E365" s="19" t="s">
        <v>30964</v>
      </c>
      <c r="F365" s="19" t="s">
        <v>35976</v>
      </c>
      <c r="G365" s="18" t="str">
        <f>"86401"</f>
        <v>86401</v>
      </c>
      <c r="H365" s="19" t="s">
        <v>36057</v>
      </c>
      <c r="I365" s="20">
        <v>23.856000000000002</v>
      </c>
      <c r="J365" s="44" t="s">
        <v>8</v>
      </c>
      <c r="K365" s="23" t="s">
        <v>8</v>
      </c>
      <c r="L365" s="23" t="s">
        <v>8</v>
      </c>
      <c r="M365" s="23" t="s">
        <v>8</v>
      </c>
    </row>
    <row r="366" spans="1:13" s="21" customFormat="1" x14ac:dyDescent="0.25">
      <c r="A366" s="22" t="s">
        <v>8</v>
      </c>
      <c r="B366" s="18" t="str">
        <f>"035250"</f>
        <v>035250</v>
      </c>
      <c r="C366" s="19" t="s">
        <v>371</v>
      </c>
      <c r="D366" s="19" t="s">
        <v>15800</v>
      </c>
      <c r="E366" s="19" t="s">
        <v>30954</v>
      </c>
      <c r="F366" s="19" t="s">
        <v>35976</v>
      </c>
      <c r="G366" s="18" t="str">
        <f>"85345"</f>
        <v>85345</v>
      </c>
      <c r="H366" s="19" t="s">
        <v>36053</v>
      </c>
      <c r="I366" s="20">
        <v>18.173999999999999</v>
      </c>
      <c r="J366" s="44" t="s">
        <v>8</v>
      </c>
      <c r="K366" s="23" t="s">
        <v>8</v>
      </c>
      <c r="L366" s="23" t="s">
        <v>8</v>
      </c>
      <c r="M366" s="23" t="s">
        <v>8</v>
      </c>
    </row>
    <row r="367" spans="1:13" s="21" customFormat="1" x14ac:dyDescent="0.25">
      <c r="A367" s="22" t="s">
        <v>8</v>
      </c>
      <c r="B367" s="18" t="str">
        <f>"035251"</f>
        <v>035251</v>
      </c>
      <c r="C367" s="19" t="s">
        <v>372</v>
      </c>
      <c r="D367" s="19" t="s">
        <v>15801</v>
      </c>
      <c r="E367" s="19" t="s">
        <v>30949</v>
      </c>
      <c r="F367" s="19" t="s">
        <v>35976</v>
      </c>
      <c r="G367" s="18" t="str">
        <f>"85224"</f>
        <v>85224</v>
      </c>
      <c r="H367" s="19" t="s">
        <v>36053</v>
      </c>
      <c r="I367" s="20">
        <v>16.972000000000001</v>
      </c>
      <c r="J367" s="44" t="s">
        <v>8</v>
      </c>
      <c r="K367" s="23" t="s">
        <v>8</v>
      </c>
      <c r="L367" s="23" t="s">
        <v>8</v>
      </c>
      <c r="M367" s="23" t="s">
        <v>8</v>
      </c>
    </row>
    <row r="368" spans="1:13" s="21" customFormat="1" x14ac:dyDescent="0.25">
      <c r="A368" s="22" t="s">
        <v>8</v>
      </c>
      <c r="B368" s="18" t="str">
        <f>"035253"</f>
        <v>035253</v>
      </c>
      <c r="C368" s="19" t="s">
        <v>373</v>
      </c>
      <c r="D368" s="19" t="s">
        <v>15802</v>
      </c>
      <c r="E368" s="19" t="s">
        <v>30939</v>
      </c>
      <c r="F368" s="19" t="s">
        <v>35976</v>
      </c>
      <c r="G368" s="18" t="str">
        <f>"85718"</f>
        <v>85718</v>
      </c>
      <c r="H368" s="19" t="s">
        <v>36054</v>
      </c>
      <c r="I368" s="20">
        <v>17.459</v>
      </c>
      <c r="J368" s="44" t="s">
        <v>8</v>
      </c>
      <c r="K368" s="23" t="s">
        <v>8</v>
      </c>
      <c r="L368" s="23" t="s">
        <v>8</v>
      </c>
      <c r="M368" s="23" t="s">
        <v>8</v>
      </c>
    </row>
    <row r="369" spans="1:13" s="21" customFormat="1" x14ac:dyDescent="0.25">
      <c r="A369" s="22" t="s">
        <v>8</v>
      </c>
      <c r="B369" s="18" t="str">
        <f>"035254"</f>
        <v>035254</v>
      </c>
      <c r="C369" s="19" t="s">
        <v>374</v>
      </c>
      <c r="D369" s="19" t="s">
        <v>15803</v>
      </c>
      <c r="E369" s="19" t="s">
        <v>30971</v>
      </c>
      <c r="F369" s="19" t="s">
        <v>35976</v>
      </c>
      <c r="G369" s="18" t="str">
        <f>"86047"</f>
        <v>86047</v>
      </c>
      <c r="H369" s="19" t="s">
        <v>36060</v>
      </c>
      <c r="I369" s="20">
        <v>16.189</v>
      </c>
      <c r="J369" s="44" t="s">
        <v>8</v>
      </c>
      <c r="K369" s="23" t="s">
        <v>8</v>
      </c>
      <c r="L369" s="23" t="s">
        <v>8</v>
      </c>
      <c r="M369" s="23" t="s">
        <v>8</v>
      </c>
    </row>
    <row r="370" spans="1:13" s="21" customFormat="1" x14ac:dyDescent="0.25">
      <c r="A370" s="22" t="s">
        <v>8</v>
      </c>
      <c r="B370" s="18" t="str">
        <f>"035255"</f>
        <v>035255</v>
      </c>
      <c r="C370" s="19" t="s">
        <v>375</v>
      </c>
      <c r="D370" s="19" t="s">
        <v>15804</v>
      </c>
      <c r="E370" s="19" t="s">
        <v>30972</v>
      </c>
      <c r="F370" s="19" t="s">
        <v>35976</v>
      </c>
      <c r="G370" s="18" t="str">
        <f>"85338"</f>
        <v>85338</v>
      </c>
      <c r="H370" s="19" t="s">
        <v>36053</v>
      </c>
      <c r="I370" s="20">
        <v>17.670999999999999</v>
      </c>
      <c r="J370" s="44" t="s">
        <v>8</v>
      </c>
      <c r="K370" s="23" t="s">
        <v>8</v>
      </c>
      <c r="L370" s="23" t="s">
        <v>8</v>
      </c>
      <c r="M370" s="23" t="s">
        <v>8</v>
      </c>
    </row>
    <row r="371" spans="1:13" s="21" customFormat="1" x14ac:dyDescent="0.25">
      <c r="A371" s="22" t="s">
        <v>8</v>
      </c>
      <c r="B371" s="18" t="str">
        <f>"035256"</f>
        <v>035256</v>
      </c>
      <c r="C371" s="19" t="s">
        <v>376</v>
      </c>
      <c r="D371" s="19" t="s">
        <v>15805</v>
      </c>
      <c r="E371" s="19" t="s">
        <v>30954</v>
      </c>
      <c r="F371" s="19" t="s">
        <v>35976</v>
      </c>
      <c r="G371" s="18" t="str">
        <f>"85381"</f>
        <v>85381</v>
      </c>
      <c r="H371" s="19" t="s">
        <v>36053</v>
      </c>
      <c r="I371" s="20">
        <v>17.707000000000001</v>
      </c>
      <c r="J371" s="44" t="s">
        <v>8</v>
      </c>
      <c r="K371" s="23" t="s">
        <v>8</v>
      </c>
      <c r="L371" s="23" t="s">
        <v>8</v>
      </c>
      <c r="M371" s="23" t="s">
        <v>8</v>
      </c>
    </row>
    <row r="372" spans="1:13" s="21" customFormat="1" x14ac:dyDescent="0.25">
      <c r="A372" s="22" t="s">
        <v>8</v>
      </c>
      <c r="B372" s="18" t="str">
        <f>"035257"</f>
        <v>035257</v>
      </c>
      <c r="C372" s="19" t="s">
        <v>377</v>
      </c>
      <c r="D372" s="19" t="s">
        <v>15806</v>
      </c>
      <c r="E372" s="19" t="s">
        <v>30973</v>
      </c>
      <c r="F372" s="19" t="s">
        <v>35976</v>
      </c>
      <c r="G372" s="18" t="str">
        <f>"86001"</f>
        <v>86001</v>
      </c>
      <c r="H372" s="19" t="s">
        <v>36052</v>
      </c>
      <c r="I372" s="20">
        <v>14.959</v>
      </c>
      <c r="J372" s="44" t="s">
        <v>8</v>
      </c>
      <c r="K372" s="23" t="s">
        <v>8</v>
      </c>
      <c r="L372" s="23" t="s">
        <v>8</v>
      </c>
      <c r="M372" s="23" t="s">
        <v>8</v>
      </c>
    </row>
    <row r="373" spans="1:13" s="21" customFormat="1" x14ac:dyDescent="0.25">
      <c r="A373" s="22" t="s">
        <v>8</v>
      </c>
      <c r="B373" s="18" t="str">
        <f>"035259"</f>
        <v>035259</v>
      </c>
      <c r="C373" s="19" t="s">
        <v>378</v>
      </c>
      <c r="D373" s="19" t="s">
        <v>15807</v>
      </c>
      <c r="E373" s="19" t="s">
        <v>30940</v>
      </c>
      <c r="F373" s="19" t="s">
        <v>35976</v>
      </c>
      <c r="G373" s="18" t="str">
        <f>"85251"</f>
        <v>85251</v>
      </c>
      <c r="H373" s="19" t="s">
        <v>36053</v>
      </c>
      <c r="I373" s="20">
        <v>19.637</v>
      </c>
      <c r="J373" s="44" t="s">
        <v>8</v>
      </c>
      <c r="K373" s="23" t="s">
        <v>8</v>
      </c>
      <c r="L373" s="23" t="s">
        <v>8</v>
      </c>
      <c r="M373" s="23" t="s">
        <v>8</v>
      </c>
    </row>
    <row r="374" spans="1:13" s="21" customFormat="1" x14ac:dyDescent="0.25">
      <c r="A374" s="22" t="s">
        <v>8</v>
      </c>
      <c r="B374" s="18" t="str">
        <f>"035260"</f>
        <v>035260</v>
      </c>
      <c r="C374" s="19" t="s">
        <v>379</v>
      </c>
      <c r="D374" s="19" t="s">
        <v>15808</v>
      </c>
      <c r="E374" s="19" t="s">
        <v>30974</v>
      </c>
      <c r="F374" s="19" t="s">
        <v>35976</v>
      </c>
      <c r="G374" s="18" t="str">
        <f>"85268"</f>
        <v>85268</v>
      </c>
      <c r="H374" s="19" t="s">
        <v>36053</v>
      </c>
      <c r="I374" s="20">
        <v>15.831</v>
      </c>
      <c r="J374" s="44" t="s">
        <v>8</v>
      </c>
      <c r="K374" s="23" t="s">
        <v>8</v>
      </c>
      <c r="L374" s="23" t="s">
        <v>8</v>
      </c>
      <c r="M374" s="23" t="s">
        <v>8</v>
      </c>
    </row>
    <row r="375" spans="1:13" s="21" customFormat="1" x14ac:dyDescent="0.25">
      <c r="A375" s="22" t="s">
        <v>8</v>
      </c>
      <c r="B375" s="18" t="str">
        <f>"035261"</f>
        <v>035261</v>
      </c>
      <c r="C375" s="19" t="s">
        <v>380</v>
      </c>
      <c r="D375" s="19" t="s">
        <v>15809</v>
      </c>
      <c r="E375" s="19" t="s">
        <v>30959</v>
      </c>
      <c r="F375" s="19" t="s">
        <v>35976</v>
      </c>
      <c r="G375" s="18" t="str">
        <f>"85373"</f>
        <v>85373</v>
      </c>
      <c r="H375" s="19" t="s">
        <v>36053</v>
      </c>
      <c r="I375" s="20">
        <v>19.698</v>
      </c>
      <c r="J375" s="44" t="s">
        <v>8</v>
      </c>
      <c r="K375" s="23" t="s">
        <v>8</v>
      </c>
      <c r="L375" s="23" t="s">
        <v>8</v>
      </c>
      <c r="M375" s="23" t="s">
        <v>8</v>
      </c>
    </row>
    <row r="376" spans="1:13" s="21" customFormat="1" x14ac:dyDescent="0.25">
      <c r="A376" s="22" t="s">
        <v>8</v>
      </c>
      <c r="B376" s="18" t="str">
        <f>"035262"</f>
        <v>035262</v>
      </c>
      <c r="C376" s="19" t="s">
        <v>381</v>
      </c>
      <c r="D376" s="19" t="s">
        <v>15810</v>
      </c>
      <c r="E376" s="19" t="s">
        <v>30964</v>
      </c>
      <c r="F376" s="19" t="s">
        <v>35976</v>
      </c>
      <c r="G376" s="18" t="str">
        <f>"86401"</f>
        <v>86401</v>
      </c>
      <c r="H376" s="19" t="s">
        <v>36057</v>
      </c>
      <c r="I376" s="20">
        <v>18.798999999999999</v>
      </c>
      <c r="J376" s="44" t="s">
        <v>8</v>
      </c>
      <c r="K376" s="23" t="s">
        <v>8</v>
      </c>
      <c r="L376" s="23" t="s">
        <v>8</v>
      </c>
      <c r="M376" s="23" t="s">
        <v>8</v>
      </c>
    </row>
    <row r="377" spans="1:13" s="21" customFormat="1" x14ac:dyDescent="0.25">
      <c r="A377" s="22" t="s">
        <v>8</v>
      </c>
      <c r="B377" s="18" t="str">
        <f>"035263"</f>
        <v>035263</v>
      </c>
      <c r="C377" s="19" t="s">
        <v>382</v>
      </c>
      <c r="D377" s="19" t="s">
        <v>15811</v>
      </c>
      <c r="E377" s="19" t="s">
        <v>30975</v>
      </c>
      <c r="F377" s="19" t="s">
        <v>35976</v>
      </c>
      <c r="G377" s="18" t="str">
        <f>"85634"</f>
        <v>85634</v>
      </c>
      <c r="H377" s="19" t="s">
        <v>36054</v>
      </c>
      <c r="I377" s="20">
        <v>18.446999999999999</v>
      </c>
      <c r="J377" s="44" t="s">
        <v>8</v>
      </c>
      <c r="K377" s="23" t="s">
        <v>8</v>
      </c>
      <c r="L377" s="23" t="s">
        <v>8</v>
      </c>
      <c r="M377" s="23" t="s">
        <v>8</v>
      </c>
    </row>
    <row r="378" spans="1:13" s="21" customFormat="1" x14ac:dyDescent="0.25">
      <c r="A378" s="22" t="s">
        <v>8</v>
      </c>
      <c r="B378" s="18" t="str">
        <f>"035264"</f>
        <v>035264</v>
      </c>
      <c r="C378" s="19" t="s">
        <v>383</v>
      </c>
      <c r="D378" s="19" t="s">
        <v>15812</v>
      </c>
      <c r="E378" s="19" t="s">
        <v>30976</v>
      </c>
      <c r="F378" s="19" t="s">
        <v>35976</v>
      </c>
      <c r="G378" s="18" t="str">
        <f>"85340"</f>
        <v>85340</v>
      </c>
      <c r="H378" s="19" t="s">
        <v>36053</v>
      </c>
      <c r="I378" s="20">
        <v>19</v>
      </c>
      <c r="J378" s="44" t="s">
        <v>8</v>
      </c>
      <c r="K378" s="23" t="s">
        <v>8</v>
      </c>
      <c r="L378" s="23" t="s">
        <v>8</v>
      </c>
      <c r="M378" s="23" t="s">
        <v>8</v>
      </c>
    </row>
    <row r="379" spans="1:13" s="21" customFormat="1" x14ac:dyDescent="0.25">
      <c r="A379" s="22" t="s">
        <v>8</v>
      </c>
      <c r="B379" s="18" t="str">
        <f>"035265"</f>
        <v>035265</v>
      </c>
      <c r="C379" s="19" t="s">
        <v>384</v>
      </c>
      <c r="D379" s="19" t="s">
        <v>15813</v>
      </c>
      <c r="E379" s="19" t="s">
        <v>30953</v>
      </c>
      <c r="F379" s="19" t="s">
        <v>35976</v>
      </c>
      <c r="G379" s="18" t="str">
        <f>"85375"</f>
        <v>85375</v>
      </c>
      <c r="H379" s="19" t="s">
        <v>36053</v>
      </c>
      <c r="I379" s="20">
        <v>18.725999999999999</v>
      </c>
      <c r="J379" s="44" t="s">
        <v>8</v>
      </c>
      <c r="K379" s="23" t="s">
        <v>8</v>
      </c>
      <c r="L379" s="23" t="s">
        <v>8</v>
      </c>
      <c r="M379" s="23" t="s">
        <v>8</v>
      </c>
    </row>
    <row r="380" spans="1:13" s="21" customFormat="1" x14ac:dyDescent="0.25">
      <c r="A380" s="22" t="s">
        <v>8</v>
      </c>
      <c r="B380" s="18" t="str">
        <f>"035266"</f>
        <v>035266</v>
      </c>
      <c r="C380" s="19" t="s">
        <v>385</v>
      </c>
      <c r="D380" s="19" t="s">
        <v>15814</v>
      </c>
      <c r="E380" s="19" t="s">
        <v>30941</v>
      </c>
      <c r="F380" s="19" t="s">
        <v>35976</v>
      </c>
      <c r="G380" s="18" t="str">
        <f>"85205"</f>
        <v>85205</v>
      </c>
      <c r="H380" s="19" t="s">
        <v>36053</v>
      </c>
      <c r="I380" s="20">
        <v>17.207999999999998</v>
      </c>
      <c r="J380" s="44" t="s">
        <v>8</v>
      </c>
      <c r="K380" s="23" t="s">
        <v>8</v>
      </c>
      <c r="L380" s="23" t="s">
        <v>8</v>
      </c>
      <c r="M380" s="23" t="s">
        <v>8</v>
      </c>
    </row>
    <row r="381" spans="1:13" s="21" customFormat="1" x14ac:dyDescent="0.25">
      <c r="A381" s="22" t="s">
        <v>8</v>
      </c>
      <c r="B381" s="18" t="str">
        <f>"035267"</f>
        <v>035267</v>
      </c>
      <c r="C381" s="19" t="s">
        <v>386</v>
      </c>
      <c r="D381" s="19" t="s">
        <v>15815</v>
      </c>
      <c r="E381" s="19" t="s">
        <v>30951</v>
      </c>
      <c r="F381" s="19" t="s">
        <v>35976</v>
      </c>
      <c r="G381" s="18" t="str">
        <f>"86442"</f>
        <v>86442</v>
      </c>
      <c r="H381" s="19" t="s">
        <v>36057</v>
      </c>
      <c r="I381" s="20">
        <v>24.614999999999998</v>
      </c>
      <c r="J381" s="44" t="s">
        <v>8</v>
      </c>
      <c r="K381" s="23" t="s">
        <v>8</v>
      </c>
      <c r="L381" s="23" t="s">
        <v>8</v>
      </c>
      <c r="M381" s="23" t="s">
        <v>8</v>
      </c>
    </row>
    <row r="382" spans="1:13" s="21" customFormat="1" x14ac:dyDescent="0.25">
      <c r="A382" s="22" t="s">
        <v>8</v>
      </c>
      <c r="B382" s="18" t="str">
        <f>"035268"</f>
        <v>035268</v>
      </c>
      <c r="C382" s="19" t="s">
        <v>387</v>
      </c>
      <c r="D382" s="19" t="s">
        <v>15816</v>
      </c>
      <c r="E382" s="19" t="s">
        <v>30940</v>
      </c>
      <c r="F382" s="19" t="s">
        <v>35976</v>
      </c>
      <c r="G382" s="18" t="str">
        <f>"85258"</f>
        <v>85258</v>
      </c>
      <c r="H382" s="19" t="s">
        <v>36053</v>
      </c>
      <c r="I382" s="20">
        <v>17.542000000000002</v>
      </c>
      <c r="J382" s="44" t="s">
        <v>8</v>
      </c>
      <c r="K382" s="23" t="s">
        <v>8</v>
      </c>
      <c r="L382" s="23" t="s">
        <v>8</v>
      </c>
      <c r="M382" s="23" t="s">
        <v>8</v>
      </c>
    </row>
    <row r="383" spans="1:13" s="21" customFormat="1" x14ac:dyDescent="0.25">
      <c r="A383" s="22" t="s">
        <v>8</v>
      </c>
      <c r="B383" s="18" t="str">
        <f>"035270"</f>
        <v>035270</v>
      </c>
      <c r="C383" s="19" t="s">
        <v>388</v>
      </c>
      <c r="D383" s="19" t="s">
        <v>15817</v>
      </c>
      <c r="E383" s="19" t="s">
        <v>30938</v>
      </c>
      <c r="F383" s="19" t="s">
        <v>35976</v>
      </c>
      <c r="G383" s="18" t="str">
        <f>"85048"</f>
        <v>85048</v>
      </c>
      <c r="H383" s="19" t="s">
        <v>36053</v>
      </c>
      <c r="I383" s="20">
        <v>16.009</v>
      </c>
      <c r="J383" s="44" t="s">
        <v>8</v>
      </c>
      <c r="K383" s="23" t="s">
        <v>8</v>
      </c>
      <c r="L383" s="23" t="s">
        <v>8</v>
      </c>
      <c r="M383" s="23" t="s">
        <v>8</v>
      </c>
    </row>
    <row r="384" spans="1:13" s="21" customFormat="1" x14ac:dyDescent="0.25">
      <c r="A384" s="22" t="s">
        <v>8</v>
      </c>
      <c r="B384" s="18" t="str">
        <f>"035272"</f>
        <v>035272</v>
      </c>
      <c r="C384" s="19" t="s">
        <v>389</v>
      </c>
      <c r="D384" s="19" t="s">
        <v>15818</v>
      </c>
      <c r="E384" s="19" t="s">
        <v>30940</v>
      </c>
      <c r="F384" s="19" t="s">
        <v>35976</v>
      </c>
      <c r="G384" s="18" t="str">
        <f>"85255"</f>
        <v>85255</v>
      </c>
      <c r="H384" s="19" t="s">
        <v>36053</v>
      </c>
      <c r="I384" s="20">
        <v>19.812999999999999</v>
      </c>
      <c r="J384" s="44" t="s">
        <v>8</v>
      </c>
      <c r="K384" s="23" t="s">
        <v>8</v>
      </c>
      <c r="L384" s="23" t="s">
        <v>8</v>
      </c>
      <c r="M384" s="23" t="s">
        <v>8</v>
      </c>
    </row>
    <row r="385" spans="1:13" s="21" customFormat="1" x14ac:dyDescent="0.25">
      <c r="A385" s="22" t="s">
        <v>8</v>
      </c>
      <c r="B385" s="18" t="str">
        <f>"035273"</f>
        <v>035273</v>
      </c>
      <c r="C385" s="19" t="s">
        <v>390</v>
      </c>
      <c r="D385" s="19" t="s">
        <v>15819</v>
      </c>
      <c r="E385" s="19" t="s">
        <v>30939</v>
      </c>
      <c r="F385" s="19" t="s">
        <v>35976</v>
      </c>
      <c r="G385" s="18" t="str">
        <f>"85755"</f>
        <v>85755</v>
      </c>
      <c r="H385" s="19" t="s">
        <v>36054</v>
      </c>
      <c r="I385" s="20">
        <v>17.658999999999999</v>
      </c>
      <c r="J385" s="44" t="s">
        <v>8</v>
      </c>
      <c r="K385" s="23" t="s">
        <v>8</v>
      </c>
      <c r="L385" s="23" t="s">
        <v>8</v>
      </c>
      <c r="M385" s="23" t="s">
        <v>8</v>
      </c>
    </row>
    <row r="386" spans="1:13" s="21" customFormat="1" x14ac:dyDescent="0.25">
      <c r="A386" s="22" t="s">
        <v>8</v>
      </c>
      <c r="B386" s="18" t="str">
        <f>"035275"</f>
        <v>035275</v>
      </c>
      <c r="C386" s="19" t="s">
        <v>391</v>
      </c>
      <c r="D386" s="19" t="s">
        <v>15820</v>
      </c>
      <c r="E386" s="19" t="s">
        <v>30946</v>
      </c>
      <c r="F386" s="19" t="s">
        <v>35976</v>
      </c>
      <c r="G386" s="18" t="str">
        <f>"85306"</f>
        <v>85306</v>
      </c>
      <c r="H386" s="19" t="s">
        <v>36053</v>
      </c>
      <c r="I386" s="20">
        <v>17.817</v>
      </c>
      <c r="J386" s="44" t="s">
        <v>8</v>
      </c>
      <c r="K386" s="23" t="s">
        <v>8</v>
      </c>
      <c r="L386" s="23" t="s">
        <v>8</v>
      </c>
      <c r="M386" s="23" t="s">
        <v>8</v>
      </c>
    </row>
    <row r="387" spans="1:13" s="21" customFormat="1" x14ac:dyDescent="0.25">
      <c r="A387" s="22" t="s">
        <v>8</v>
      </c>
      <c r="B387" s="18" t="str">
        <f>"035276"</f>
        <v>035276</v>
      </c>
      <c r="C387" s="19" t="s">
        <v>392</v>
      </c>
      <c r="D387" s="19" t="s">
        <v>15821</v>
      </c>
      <c r="E387" s="19" t="s">
        <v>30977</v>
      </c>
      <c r="F387" s="19" t="s">
        <v>35976</v>
      </c>
      <c r="G387" s="18" t="str">
        <f>"85122"</f>
        <v>85122</v>
      </c>
      <c r="H387" s="19" t="s">
        <v>36058</v>
      </c>
      <c r="I387" s="20">
        <v>17.251999999999999</v>
      </c>
      <c r="J387" s="44" t="s">
        <v>8</v>
      </c>
      <c r="K387" s="23" t="s">
        <v>8</v>
      </c>
      <c r="L387" s="23" t="s">
        <v>8</v>
      </c>
      <c r="M387" s="23" t="s">
        <v>8</v>
      </c>
    </row>
    <row r="388" spans="1:13" s="21" customFormat="1" x14ac:dyDescent="0.25">
      <c r="A388" s="22" t="s">
        <v>8</v>
      </c>
      <c r="B388" s="18" t="str">
        <f>"035277"</f>
        <v>035277</v>
      </c>
      <c r="C388" s="19" t="s">
        <v>393</v>
      </c>
      <c r="D388" s="19" t="s">
        <v>15822</v>
      </c>
      <c r="E388" s="19" t="s">
        <v>30978</v>
      </c>
      <c r="F388" s="19" t="s">
        <v>35976</v>
      </c>
      <c r="G388" s="18" t="str">
        <f>"85929"</f>
        <v>85929</v>
      </c>
      <c r="H388" s="19" t="s">
        <v>36060</v>
      </c>
      <c r="I388" s="20">
        <v>18.122</v>
      </c>
      <c r="J388" s="44" t="s">
        <v>8</v>
      </c>
      <c r="K388" s="23" t="s">
        <v>8</v>
      </c>
      <c r="L388" s="23" t="s">
        <v>8</v>
      </c>
      <c r="M388" s="23" t="s">
        <v>8</v>
      </c>
    </row>
    <row r="389" spans="1:13" s="21" customFormat="1" x14ac:dyDescent="0.25">
      <c r="A389" s="22" t="s">
        <v>8</v>
      </c>
      <c r="B389" s="18" t="str">
        <f>"035279"</f>
        <v>035279</v>
      </c>
      <c r="C389" s="19" t="s">
        <v>394</v>
      </c>
      <c r="D389" s="19" t="s">
        <v>15823</v>
      </c>
      <c r="E389" s="19" t="s">
        <v>30938</v>
      </c>
      <c r="F389" s="19" t="s">
        <v>35976</v>
      </c>
      <c r="G389" s="18" t="str">
        <f>"85050"</f>
        <v>85050</v>
      </c>
      <c r="H389" s="19" t="s">
        <v>36053</v>
      </c>
      <c r="I389" s="20">
        <v>18.707000000000001</v>
      </c>
      <c r="J389" s="44" t="s">
        <v>8</v>
      </c>
      <c r="K389" s="23" t="s">
        <v>8</v>
      </c>
      <c r="L389" s="23" t="s">
        <v>8</v>
      </c>
      <c r="M389" s="23" t="s">
        <v>8</v>
      </c>
    </row>
    <row r="390" spans="1:13" s="21" customFormat="1" x14ac:dyDescent="0.25">
      <c r="A390" s="22" t="s">
        <v>8</v>
      </c>
      <c r="B390" s="18" t="str">
        <f>"035280"</f>
        <v>035280</v>
      </c>
      <c r="C390" s="19" t="s">
        <v>395</v>
      </c>
      <c r="D390" s="19" t="s">
        <v>15824</v>
      </c>
      <c r="E390" s="19" t="s">
        <v>30941</v>
      </c>
      <c r="F390" s="19" t="s">
        <v>35976</v>
      </c>
      <c r="G390" s="18" t="str">
        <f>"85206"</f>
        <v>85206</v>
      </c>
      <c r="H390" s="19" t="s">
        <v>36053</v>
      </c>
      <c r="I390" s="20">
        <v>19.684999999999999</v>
      </c>
      <c r="J390" s="44" t="s">
        <v>8</v>
      </c>
      <c r="K390" s="23" t="s">
        <v>8</v>
      </c>
      <c r="L390" s="23" t="s">
        <v>8</v>
      </c>
      <c r="M390" s="23" t="s">
        <v>8</v>
      </c>
    </row>
    <row r="391" spans="1:13" s="21" customFormat="1" x14ac:dyDescent="0.25">
      <c r="A391" s="22" t="s">
        <v>8</v>
      </c>
      <c r="B391" s="18" t="str">
        <f>"035281"</f>
        <v>035281</v>
      </c>
      <c r="C391" s="19" t="s">
        <v>396</v>
      </c>
      <c r="D391" s="19" t="s">
        <v>15825</v>
      </c>
      <c r="E391" s="19" t="s">
        <v>30940</v>
      </c>
      <c r="F391" s="19" t="s">
        <v>35976</v>
      </c>
      <c r="G391" s="18" t="str">
        <f>"85255"</f>
        <v>85255</v>
      </c>
      <c r="H391" s="19" t="s">
        <v>36053</v>
      </c>
      <c r="I391" s="20">
        <v>18.148</v>
      </c>
      <c r="J391" s="44" t="s">
        <v>8</v>
      </c>
      <c r="K391" s="23" t="s">
        <v>8</v>
      </c>
      <c r="L391" s="23" t="s">
        <v>8</v>
      </c>
      <c r="M391" s="23" t="s">
        <v>8</v>
      </c>
    </row>
    <row r="392" spans="1:13" s="21" customFormat="1" x14ac:dyDescent="0.25">
      <c r="A392" s="22" t="s">
        <v>8</v>
      </c>
      <c r="B392" s="18" t="str">
        <f>"035282"</f>
        <v>035282</v>
      </c>
      <c r="C392" s="19" t="s">
        <v>397</v>
      </c>
      <c r="D392" s="19" t="s">
        <v>15826</v>
      </c>
      <c r="E392" s="19" t="s">
        <v>30969</v>
      </c>
      <c r="F392" s="19" t="s">
        <v>35976</v>
      </c>
      <c r="G392" s="18" t="str">
        <f>"85374"</f>
        <v>85374</v>
      </c>
      <c r="H392" s="19" t="s">
        <v>36053</v>
      </c>
      <c r="I392" s="20">
        <v>17.047999999999998</v>
      </c>
      <c r="J392" s="44" t="s">
        <v>8</v>
      </c>
      <c r="K392" s="23" t="s">
        <v>8</v>
      </c>
      <c r="L392" s="23" t="s">
        <v>8</v>
      </c>
      <c r="M392" s="23" t="s">
        <v>8</v>
      </c>
    </row>
    <row r="393" spans="1:13" s="21" customFormat="1" x14ac:dyDescent="0.25">
      <c r="A393" s="22" t="s">
        <v>8</v>
      </c>
      <c r="B393" s="18" t="str">
        <f>"035283"</f>
        <v>035283</v>
      </c>
      <c r="C393" s="19" t="s">
        <v>398</v>
      </c>
      <c r="D393" s="19" t="s">
        <v>15827</v>
      </c>
      <c r="E393" s="19" t="s">
        <v>30949</v>
      </c>
      <c r="F393" s="19" t="s">
        <v>35976</v>
      </c>
      <c r="G393" s="18" t="str">
        <f>"85224"</f>
        <v>85224</v>
      </c>
      <c r="H393" s="19" t="s">
        <v>36053</v>
      </c>
      <c r="I393" s="20">
        <v>19.207999999999998</v>
      </c>
      <c r="J393" s="44" t="s">
        <v>8</v>
      </c>
      <c r="K393" s="23" t="s">
        <v>8</v>
      </c>
      <c r="L393" s="23" t="s">
        <v>8</v>
      </c>
      <c r="M393" s="23" t="s">
        <v>8</v>
      </c>
    </row>
    <row r="394" spans="1:13" s="21" customFormat="1" x14ac:dyDescent="0.25">
      <c r="A394" s="22" t="s">
        <v>8</v>
      </c>
      <c r="B394" s="18" t="str">
        <f>"035284"</f>
        <v>035284</v>
      </c>
      <c r="C394" s="19" t="s">
        <v>399</v>
      </c>
      <c r="D394" s="19" t="s">
        <v>15828</v>
      </c>
      <c r="E394" s="19" t="s">
        <v>30939</v>
      </c>
      <c r="F394" s="19" t="s">
        <v>35976</v>
      </c>
      <c r="G394" s="18" t="str">
        <f>"85713"</f>
        <v>85713</v>
      </c>
      <c r="H394" s="19" t="s">
        <v>36054</v>
      </c>
      <c r="I394" s="20">
        <v>18.481000000000002</v>
      </c>
      <c r="J394" s="44" t="s">
        <v>8</v>
      </c>
      <c r="K394" s="23" t="s">
        <v>8</v>
      </c>
      <c r="L394" s="23" t="s">
        <v>8</v>
      </c>
      <c r="M394" s="23" t="s">
        <v>8</v>
      </c>
    </row>
    <row r="395" spans="1:13" s="21" customFormat="1" x14ac:dyDescent="0.25">
      <c r="A395" s="22" t="s">
        <v>8</v>
      </c>
      <c r="B395" s="18" t="str">
        <f>"035285"</f>
        <v>035285</v>
      </c>
      <c r="C395" s="19" t="s">
        <v>400</v>
      </c>
      <c r="D395" s="19" t="s">
        <v>15829</v>
      </c>
      <c r="E395" s="19" t="s">
        <v>30979</v>
      </c>
      <c r="F395" s="19" t="s">
        <v>35976</v>
      </c>
      <c r="G395" s="18" t="str">
        <f>"85297"</f>
        <v>85297</v>
      </c>
      <c r="H395" s="19" t="s">
        <v>36053</v>
      </c>
      <c r="I395" s="20">
        <v>19.132999999999999</v>
      </c>
      <c r="J395" s="44" t="s">
        <v>8</v>
      </c>
      <c r="K395" s="23" t="s">
        <v>8</v>
      </c>
      <c r="L395" s="23" t="s">
        <v>8</v>
      </c>
      <c r="M395" s="23" t="s">
        <v>8</v>
      </c>
    </row>
    <row r="396" spans="1:13" s="21" customFormat="1" x14ac:dyDescent="0.25">
      <c r="A396" s="22" t="s">
        <v>8</v>
      </c>
      <c r="B396" s="18" t="str">
        <f>"035286"</f>
        <v>035286</v>
      </c>
      <c r="C396" s="19" t="s">
        <v>401</v>
      </c>
      <c r="D396" s="19" t="s">
        <v>15830</v>
      </c>
      <c r="E396" s="19" t="s">
        <v>30940</v>
      </c>
      <c r="F396" s="19" t="s">
        <v>35976</v>
      </c>
      <c r="G396" s="18" t="str">
        <f>"85255"</f>
        <v>85255</v>
      </c>
      <c r="H396" s="19" t="s">
        <v>36053</v>
      </c>
      <c r="I396" s="20">
        <v>19.486999999999998</v>
      </c>
      <c r="J396" s="44" t="s">
        <v>8</v>
      </c>
      <c r="K396" s="23" t="s">
        <v>8</v>
      </c>
      <c r="L396" s="23" t="s">
        <v>8</v>
      </c>
      <c r="M396" s="23" t="s">
        <v>8</v>
      </c>
    </row>
    <row r="397" spans="1:13" s="21" customFormat="1" x14ac:dyDescent="0.25">
      <c r="A397" s="22" t="s">
        <v>8</v>
      </c>
      <c r="B397" s="18" t="str">
        <f>"035287"</f>
        <v>035287</v>
      </c>
      <c r="C397" s="19" t="s">
        <v>402</v>
      </c>
      <c r="D397" s="19" t="s">
        <v>15831</v>
      </c>
      <c r="E397" s="19" t="s">
        <v>30952</v>
      </c>
      <c r="F397" s="19" t="s">
        <v>35976</v>
      </c>
      <c r="G397" s="18" t="str">
        <f>"86403"</f>
        <v>86403</v>
      </c>
      <c r="H397" s="19" t="s">
        <v>36057</v>
      </c>
      <c r="I397" s="20">
        <v>18.751000000000001</v>
      </c>
      <c r="J397" s="44" t="s">
        <v>8</v>
      </c>
      <c r="K397" s="23" t="s">
        <v>8</v>
      </c>
      <c r="L397" s="23" t="s">
        <v>8</v>
      </c>
      <c r="M397" s="23" t="s">
        <v>8</v>
      </c>
    </row>
    <row r="398" spans="1:13" s="21" customFormat="1" x14ac:dyDescent="0.25">
      <c r="A398" s="22" t="s">
        <v>8</v>
      </c>
      <c r="B398" s="18" t="str">
        <f>"035288"</f>
        <v>035288</v>
      </c>
      <c r="C398" s="19" t="s">
        <v>403</v>
      </c>
      <c r="D398" s="19" t="s">
        <v>15832</v>
      </c>
      <c r="E398" s="19" t="s">
        <v>30980</v>
      </c>
      <c r="F398" s="19" t="s">
        <v>35976</v>
      </c>
      <c r="G398" s="18" t="str">
        <f>"85755"</f>
        <v>85755</v>
      </c>
      <c r="H398" s="19" t="s">
        <v>36054</v>
      </c>
      <c r="I398" s="20">
        <v>18.920999999999999</v>
      </c>
      <c r="J398" s="44" t="s">
        <v>8</v>
      </c>
      <c r="K398" s="23" t="s">
        <v>8</v>
      </c>
      <c r="L398" s="23" t="s">
        <v>8</v>
      </c>
      <c r="M398" s="23" t="s">
        <v>8</v>
      </c>
    </row>
    <row r="399" spans="1:13" s="21" customFormat="1" x14ac:dyDescent="0.25">
      <c r="A399" s="22" t="s">
        <v>8</v>
      </c>
      <c r="B399" s="18" t="str">
        <f>"035289"</f>
        <v>035289</v>
      </c>
      <c r="C399" s="19" t="s">
        <v>404</v>
      </c>
      <c r="D399" s="19" t="s">
        <v>15833</v>
      </c>
      <c r="E399" s="19" t="s">
        <v>30946</v>
      </c>
      <c r="F399" s="19" t="s">
        <v>35976</v>
      </c>
      <c r="G399" s="18" t="str">
        <f>"85308"</f>
        <v>85308</v>
      </c>
      <c r="H399" s="19" t="s">
        <v>36053</v>
      </c>
      <c r="I399" s="20">
        <v>16.943000000000001</v>
      </c>
      <c r="J399" s="44" t="s">
        <v>8</v>
      </c>
      <c r="K399" s="23" t="s">
        <v>8</v>
      </c>
      <c r="L399" s="23" t="s">
        <v>8</v>
      </c>
      <c r="M399" s="23" t="s">
        <v>8</v>
      </c>
    </row>
    <row r="400" spans="1:13" s="21" customFormat="1" x14ac:dyDescent="0.25">
      <c r="A400" s="22" t="s">
        <v>8</v>
      </c>
      <c r="B400" s="18" t="s">
        <v>15140</v>
      </c>
      <c r="C400" s="19" t="s">
        <v>405</v>
      </c>
      <c r="D400" s="19" t="s">
        <v>15834</v>
      </c>
      <c r="E400" s="19" t="s">
        <v>30981</v>
      </c>
      <c r="F400" s="19" t="s">
        <v>35977</v>
      </c>
      <c r="G400" s="18" t="str">
        <f>"72833"</f>
        <v>72833</v>
      </c>
      <c r="H400" s="19" t="s">
        <v>36061</v>
      </c>
      <c r="I400" s="20">
        <v>21.523</v>
      </c>
      <c r="J400" s="44" t="s">
        <v>8</v>
      </c>
      <c r="K400" s="23" t="s">
        <v>8</v>
      </c>
      <c r="L400" s="23" t="s">
        <v>8</v>
      </c>
      <c r="M400" s="23" t="s">
        <v>8</v>
      </c>
    </row>
    <row r="401" spans="1:13" s="21" customFormat="1" x14ac:dyDescent="0.25">
      <c r="A401" s="22" t="s">
        <v>8</v>
      </c>
      <c r="B401" s="18" t="s">
        <v>15141</v>
      </c>
      <c r="C401" s="19" t="s">
        <v>406</v>
      </c>
      <c r="D401" s="19" t="s">
        <v>15835</v>
      </c>
      <c r="E401" s="19" t="s">
        <v>30982</v>
      </c>
      <c r="F401" s="19" t="s">
        <v>35977</v>
      </c>
      <c r="G401" s="18" t="str">
        <f>"71953"</f>
        <v>71953</v>
      </c>
      <c r="H401" s="19" t="s">
        <v>36062</v>
      </c>
      <c r="I401" s="20">
        <v>19.998999999999999</v>
      </c>
      <c r="J401" s="44" t="s">
        <v>8</v>
      </c>
      <c r="K401" s="23" t="s">
        <v>8</v>
      </c>
      <c r="L401" s="23" t="s">
        <v>8</v>
      </c>
      <c r="M401" s="23" t="s">
        <v>8</v>
      </c>
    </row>
    <row r="402" spans="1:13" s="21" customFormat="1" x14ac:dyDescent="0.25">
      <c r="A402" s="22" t="s">
        <v>8</v>
      </c>
      <c r="B402" s="18" t="s">
        <v>15142</v>
      </c>
      <c r="C402" s="19" t="s">
        <v>407</v>
      </c>
      <c r="D402" s="19" t="s">
        <v>15836</v>
      </c>
      <c r="E402" s="19" t="s">
        <v>30983</v>
      </c>
      <c r="F402" s="19" t="s">
        <v>35977</v>
      </c>
      <c r="G402" s="18" t="str">
        <f>"72335"</f>
        <v>72335</v>
      </c>
      <c r="H402" s="19" t="s">
        <v>35635</v>
      </c>
      <c r="I402" s="20">
        <v>20.661000000000001</v>
      </c>
      <c r="J402" s="44" t="s">
        <v>8</v>
      </c>
      <c r="K402" s="23" t="s">
        <v>8</v>
      </c>
      <c r="L402" s="23" t="s">
        <v>8</v>
      </c>
      <c r="M402" s="23" t="s">
        <v>8</v>
      </c>
    </row>
    <row r="403" spans="1:13" s="21" customFormat="1" x14ac:dyDescent="0.25">
      <c r="A403" s="22" t="s">
        <v>8</v>
      </c>
      <c r="B403" s="18" t="s">
        <v>15143</v>
      </c>
      <c r="C403" s="19" t="s">
        <v>408</v>
      </c>
      <c r="D403" s="19" t="s">
        <v>15837</v>
      </c>
      <c r="E403" s="19" t="s">
        <v>30984</v>
      </c>
      <c r="F403" s="19" t="s">
        <v>35977</v>
      </c>
      <c r="G403" s="18" t="str">
        <f>"72450"</f>
        <v>72450</v>
      </c>
      <c r="H403" s="19" t="s">
        <v>32455</v>
      </c>
      <c r="I403" s="20">
        <v>21.463000000000001</v>
      </c>
      <c r="J403" s="44" t="s">
        <v>8</v>
      </c>
      <c r="K403" s="23" t="s">
        <v>8</v>
      </c>
      <c r="L403" s="23" t="s">
        <v>8</v>
      </c>
      <c r="M403" s="23" t="s">
        <v>8</v>
      </c>
    </row>
    <row r="404" spans="1:13" s="21" customFormat="1" x14ac:dyDescent="0.25">
      <c r="A404" s="22" t="s">
        <v>8</v>
      </c>
      <c r="B404" s="18" t="s">
        <v>15144</v>
      </c>
      <c r="C404" s="19" t="s">
        <v>409</v>
      </c>
      <c r="D404" s="19" t="s">
        <v>15838</v>
      </c>
      <c r="E404" s="19" t="s">
        <v>30985</v>
      </c>
      <c r="F404" s="19" t="s">
        <v>35977</v>
      </c>
      <c r="G404" s="18" t="str">
        <f>"72455"</f>
        <v>72455</v>
      </c>
      <c r="H404" s="19" t="s">
        <v>33068</v>
      </c>
      <c r="I404" s="20">
        <v>18.77</v>
      </c>
      <c r="J404" s="44" t="s">
        <v>8</v>
      </c>
      <c r="K404" s="23" t="s">
        <v>8</v>
      </c>
      <c r="L404" s="23" t="s">
        <v>8</v>
      </c>
      <c r="M404" s="23" t="s">
        <v>8</v>
      </c>
    </row>
    <row r="405" spans="1:13" s="21" customFormat="1" x14ac:dyDescent="0.25">
      <c r="A405" s="22" t="s">
        <v>8</v>
      </c>
      <c r="B405" s="18" t="s">
        <v>15145</v>
      </c>
      <c r="C405" s="19" t="s">
        <v>410</v>
      </c>
      <c r="D405" s="19" t="s">
        <v>15839</v>
      </c>
      <c r="E405" s="19" t="s">
        <v>30910</v>
      </c>
      <c r="F405" s="19" t="s">
        <v>35977</v>
      </c>
      <c r="G405" s="18" t="str">
        <f>"71701"</f>
        <v>71701</v>
      </c>
      <c r="H405" s="19" t="s">
        <v>36063</v>
      </c>
      <c r="I405" s="20">
        <v>19.076000000000001</v>
      </c>
      <c r="J405" s="44" t="s">
        <v>8</v>
      </c>
      <c r="K405" s="23" t="s">
        <v>8</v>
      </c>
      <c r="L405" s="23" t="s">
        <v>8</v>
      </c>
      <c r="M405" s="23" t="s">
        <v>8</v>
      </c>
    </row>
    <row r="406" spans="1:13" s="21" customFormat="1" x14ac:dyDescent="0.25">
      <c r="A406" s="22" t="s">
        <v>8</v>
      </c>
      <c r="B406" s="18" t="s">
        <v>15146</v>
      </c>
      <c r="C406" s="19" t="s">
        <v>411</v>
      </c>
      <c r="D406" s="19" t="s">
        <v>15840</v>
      </c>
      <c r="E406" s="19" t="s">
        <v>30986</v>
      </c>
      <c r="F406" s="19" t="s">
        <v>35977</v>
      </c>
      <c r="G406" s="18" t="str">
        <f>"71655"</f>
        <v>71655</v>
      </c>
      <c r="H406" s="19" t="s">
        <v>36064</v>
      </c>
      <c r="I406" s="20">
        <v>20.978999999999999</v>
      </c>
      <c r="J406" s="44" t="s">
        <v>8</v>
      </c>
      <c r="K406" s="23" t="s">
        <v>8</v>
      </c>
      <c r="L406" s="23" t="s">
        <v>8</v>
      </c>
      <c r="M406" s="23" t="s">
        <v>8</v>
      </c>
    </row>
    <row r="407" spans="1:13" s="21" customFormat="1" x14ac:dyDescent="0.25">
      <c r="A407" s="22" t="s">
        <v>8</v>
      </c>
      <c r="B407" s="18" t="s">
        <v>15147</v>
      </c>
      <c r="C407" s="19" t="s">
        <v>412</v>
      </c>
      <c r="D407" s="19" t="s">
        <v>15841</v>
      </c>
      <c r="E407" s="19" t="s">
        <v>30987</v>
      </c>
      <c r="F407" s="19" t="s">
        <v>35977</v>
      </c>
      <c r="G407" s="18" t="str">
        <f>"71754"</f>
        <v>71754</v>
      </c>
      <c r="H407" s="19" t="s">
        <v>32076</v>
      </c>
      <c r="I407" s="20">
        <v>22.117000000000001</v>
      </c>
      <c r="J407" s="44" t="s">
        <v>8</v>
      </c>
      <c r="K407" s="23" t="s">
        <v>8</v>
      </c>
      <c r="L407" s="23" t="s">
        <v>8</v>
      </c>
      <c r="M407" s="23" t="s">
        <v>8</v>
      </c>
    </row>
    <row r="408" spans="1:13" s="21" customFormat="1" x14ac:dyDescent="0.25">
      <c r="A408" s="22" t="s">
        <v>8</v>
      </c>
      <c r="B408" s="18" t="s">
        <v>15148</v>
      </c>
      <c r="C408" s="19" t="s">
        <v>413</v>
      </c>
      <c r="D408" s="19" t="s">
        <v>15842</v>
      </c>
      <c r="E408" s="19" t="s">
        <v>30988</v>
      </c>
      <c r="F408" s="19" t="s">
        <v>35977</v>
      </c>
      <c r="G408" s="18" t="str">
        <f>"72160"</f>
        <v>72160</v>
      </c>
      <c r="H408" s="19" t="s">
        <v>36065</v>
      </c>
      <c r="I408" s="20">
        <v>18.364999999999998</v>
      </c>
      <c r="J408" s="44" t="s">
        <v>8</v>
      </c>
      <c r="K408" s="23" t="s">
        <v>8</v>
      </c>
      <c r="L408" s="23" t="s">
        <v>8</v>
      </c>
      <c r="M408" s="23" t="s">
        <v>8</v>
      </c>
    </row>
    <row r="409" spans="1:13" s="21" customFormat="1" x14ac:dyDescent="0.25">
      <c r="A409" s="22" t="s">
        <v>8</v>
      </c>
      <c r="B409" s="18" t="str">
        <f>"045070"</f>
        <v>045070</v>
      </c>
      <c r="C409" s="19" t="s">
        <v>414</v>
      </c>
      <c r="D409" s="19" t="s">
        <v>15843</v>
      </c>
      <c r="E409" s="19" t="s">
        <v>30989</v>
      </c>
      <c r="F409" s="19" t="s">
        <v>35977</v>
      </c>
      <c r="G409" s="18" t="str">
        <f>"72758"</f>
        <v>72758</v>
      </c>
      <c r="H409" s="19" t="s">
        <v>31024</v>
      </c>
      <c r="I409" s="20">
        <v>17.294</v>
      </c>
      <c r="J409" s="44" t="s">
        <v>8</v>
      </c>
      <c r="K409" s="23" t="s">
        <v>8</v>
      </c>
      <c r="L409" s="23" t="s">
        <v>8</v>
      </c>
      <c r="M409" s="23" t="s">
        <v>8</v>
      </c>
    </row>
    <row r="410" spans="1:13" s="21" customFormat="1" x14ac:dyDescent="0.25">
      <c r="A410" s="22" t="s">
        <v>8</v>
      </c>
      <c r="B410" s="18" t="str">
        <f>"045098"</f>
        <v>045098</v>
      </c>
      <c r="C410" s="19" t="s">
        <v>415</v>
      </c>
      <c r="D410" s="19" t="s">
        <v>15844</v>
      </c>
      <c r="E410" s="19" t="s">
        <v>30990</v>
      </c>
      <c r="F410" s="19" t="s">
        <v>35977</v>
      </c>
      <c r="G410" s="18" t="str">
        <f>"71901"</f>
        <v>71901</v>
      </c>
      <c r="H410" s="19" t="s">
        <v>35286</v>
      </c>
      <c r="I410" s="20">
        <v>20.623999999999999</v>
      </c>
      <c r="J410" s="44" t="s">
        <v>8</v>
      </c>
      <c r="K410" s="23" t="s">
        <v>8</v>
      </c>
      <c r="L410" s="23" t="s">
        <v>8</v>
      </c>
      <c r="M410" s="23" t="s">
        <v>8</v>
      </c>
    </row>
    <row r="411" spans="1:13" s="21" customFormat="1" x14ac:dyDescent="0.25">
      <c r="A411" s="22" t="s">
        <v>8</v>
      </c>
      <c r="B411" s="18" t="str">
        <f>"045125"</f>
        <v>045125</v>
      </c>
      <c r="C411" s="19" t="s">
        <v>416</v>
      </c>
      <c r="D411" s="19" t="s">
        <v>15845</v>
      </c>
      <c r="E411" s="19" t="s">
        <v>30991</v>
      </c>
      <c r="F411" s="19" t="s">
        <v>35977</v>
      </c>
      <c r="G411" s="18" t="str">
        <f>"72703"</f>
        <v>72703</v>
      </c>
      <c r="H411" s="19" t="s">
        <v>31500</v>
      </c>
      <c r="I411" s="20">
        <v>16.959</v>
      </c>
      <c r="J411" s="44" t="s">
        <v>8</v>
      </c>
      <c r="K411" s="23" t="s">
        <v>8</v>
      </c>
      <c r="L411" s="23" t="s">
        <v>8</v>
      </c>
      <c r="M411" s="23" t="s">
        <v>8</v>
      </c>
    </row>
    <row r="412" spans="1:13" s="21" customFormat="1" x14ac:dyDescent="0.25">
      <c r="A412" s="22" t="s">
        <v>8</v>
      </c>
      <c r="B412" s="18" t="str">
        <f>"045134"</f>
        <v>045134</v>
      </c>
      <c r="C412" s="19" t="s">
        <v>417</v>
      </c>
      <c r="D412" s="19" t="s">
        <v>15846</v>
      </c>
      <c r="E412" s="19" t="s">
        <v>30992</v>
      </c>
      <c r="F412" s="19" t="s">
        <v>35977</v>
      </c>
      <c r="G412" s="18" t="str">
        <f>"72404"</f>
        <v>72404</v>
      </c>
      <c r="H412" s="19" t="s">
        <v>36066</v>
      </c>
      <c r="I412" s="20">
        <v>21.510999999999999</v>
      </c>
      <c r="J412" s="44" t="s">
        <v>8</v>
      </c>
      <c r="K412" s="23" t="s">
        <v>8</v>
      </c>
      <c r="L412" s="23" t="s">
        <v>8</v>
      </c>
      <c r="M412" s="23" t="s">
        <v>8</v>
      </c>
    </row>
    <row r="413" spans="1:13" s="21" customFormat="1" x14ac:dyDescent="0.25">
      <c r="A413" s="22" t="s">
        <v>8</v>
      </c>
      <c r="B413" s="18" t="str">
        <f>"045135"</f>
        <v>045135</v>
      </c>
      <c r="C413" s="19" t="s">
        <v>418</v>
      </c>
      <c r="D413" s="19" t="s">
        <v>15847</v>
      </c>
      <c r="E413" s="19" t="s">
        <v>30987</v>
      </c>
      <c r="F413" s="19" t="s">
        <v>35977</v>
      </c>
      <c r="G413" s="18" t="str">
        <f>"71753"</f>
        <v>71753</v>
      </c>
      <c r="H413" s="19" t="s">
        <v>32076</v>
      </c>
      <c r="I413" s="20">
        <v>24.106000000000002</v>
      </c>
      <c r="J413" s="44" t="s">
        <v>8</v>
      </c>
      <c r="K413" s="23" t="s">
        <v>8</v>
      </c>
      <c r="L413" s="23" t="s">
        <v>8</v>
      </c>
      <c r="M413" s="23" t="s">
        <v>8</v>
      </c>
    </row>
    <row r="414" spans="1:13" s="21" customFormat="1" x14ac:dyDescent="0.25">
      <c r="A414" s="22" t="s">
        <v>8</v>
      </c>
      <c r="B414" s="18" t="str">
        <f>"045138"</f>
        <v>045138</v>
      </c>
      <c r="C414" s="19" t="s">
        <v>419</v>
      </c>
      <c r="D414" s="19" t="s">
        <v>15848</v>
      </c>
      <c r="E414" s="19" t="s">
        <v>30993</v>
      </c>
      <c r="F414" s="19" t="s">
        <v>35977</v>
      </c>
      <c r="G414" s="18" t="str">
        <f>"72956"</f>
        <v>72956</v>
      </c>
      <c r="H414" s="19" t="s">
        <v>31759</v>
      </c>
      <c r="I414" s="20">
        <v>22.568999999999999</v>
      </c>
      <c r="J414" s="44" t="s">
        <v>8</v>
      </c>
      <c r="K414" s="23" t="s">
        <v>8</v>
      </c>
      <c r="L414" s="23" t="s">
        <v>8</v>
      </c>
      <c r="M414" s="23" t="s">
        <v>8</v>
      </c>
    </row>
    <row r="415" spans="1:13" s="21" customFormat="1" x14ac:dyDescent="0.25">
      <c r="A415" s="22" t="s">
        <v>8</v>
      </c>
      <c r="B415" s="18" t="str">
        <f>"045139"</f>
        <v>045139</v>
      </c>
      <c r="C415" s="19" t="s">
        <v>420</v>
      </c>
      <c r="D415" s="19" t="s">
        <v>15849</v>
      </c>
      <c r="E415" s="19" t="s">
        <v>30994</v>
      </c>
      <c r="F415" s="19" t="s">
        <v>35977</v>
      </c>
      <c r="G415" s="18" t="str">
        <f>"71654"</f>
        <v>71654</v>
      </c>
      <c r="H415" s="19" t="s">
        <v>36067</v>
      </c>
      <c r="I415" s="20">
        <v>19.420000000000002</v>
      </c>
      <c r="J415" s="44" t="s">
        <v>8</v>
      </c>
      <c r="K415" s="23" t="s">
        <v>8</v>
      </c>
      <c r="L415" s="23" t="s">
        <v>8</v>
      </c>
      <c r="M415" s="23" t="s">
        <v>8</v>
      </c>
    </row>
    <row r="416" spans="1:13" s="21" customFormat="1" x14ac:dyDescent="0.25">
      <c r="A416" s="22" t="s">
        <v>8</v>
      </c>
      <c r="B416" s="18" t="str">
        <f>"045140"</f>
        <v>045140</v>
      </c>
      <c r="C416" s="19" t="s">
        <v>421</v>
      </c>
      <c r="D416" s="19" t="s">
        <v>15850</v>
      </c>
      <c r="E416" s="19" t="s">
        <v>30995</v>
      </c>
      <c r="F416" s="19" t="s">
        <v>35977</v>
      </c>
      <c r="G416" s="18" t="str">
        <f>"72143"</f>
        <v>72143</v>
      </c>
      <c r="H416" s="19" t="s">
        <v>35131</v>
      </c>
      <c r="I416" s="20">
        <v>16.327000000000002</v>
      </c>
      <c r="J416" s="44" t="s">
        <v>8</v>
      </c>
      <c r="K416" s="23" t="s">
        <v>8</v>
      </c>
      <c r="L416" s="23" t="s">
        <v>8</v>
      </c>
      <c r="M416" s="23" t="s">
        <v>8</v>
      </c>
    </row>
    <row r="417" spans="1:13" s="21" customFormat="1" x14ac:dyDescent="0.25">
      <c r="A417" s="22" t="s">
        <v>8</v>
      </c>
      <c r="B417" s="18" t="str">
        <f>"045142"</f>
        <v>045142</v>
      </c>
      <c r="C417" s="19" t="s">
        <v>422</v>
      </c>
      <c r="D417" s="19" t="s">
        <v>15851</v>
      </c>
      <c r="E417" s="19" t="s">
        <v>30990</v>
      </c>
      <c r="F417" s="19" t="s">
        <v>35977</v>
      </c>
      <c r="G417" s="18" t="str">
        <f>"71901"</f>
        <v>71901</v>
      </c>
      <c r="H417" s="19" t="s">
        <v>35286</v>
      </c>
      <c r="I417" s="20">
        <v>20.594999999999999</v>
      </c>
      <c r="J417" s="44" t="s">
        <v>8</v>
      </c>
      <c r="K417" s="23" t="s">
        <v>8</v>
      </c>
      <c r="L417" s="23" t="s">
        <v>8</v>
      </c>
      <c r="M417" s="23" t="s">
        <v>8</v>
      </c>
    </row>
    <row r="418" spans="1:13" s="21" customFormat="1" x14ac:dyDescent="0.25">
      <c r="A418" s="22" t="s">
        <v>8</v>
      </c>
      <c r="B418" s="18" t="str">
        <f>"045143"</f>
        <v>045143</v>
      </c>
      <c r="C418" s="19" t="s">
        <v>423</v>
      </c>
      <c r="D418" s="19" t="s">
        <v>15852</v>
      </c>
      <c r="E418" s="19" t="s">
        <v>30996</v>
      </c>
      <c r="F418" s="19" t="s">
        <v>35977</v>
      </c>
      <c r="G418" s="18" t="str">
        <f>"72714"</f>
        <v>72714</v>
      </c>
      <c r="H418" s="19" t="s">
        <v>31024</v>
      </c>
      <c r="I418" s="20">
        <v>18.815000000000001</v>
      </c>
      <c r="J418" s="44" t="s">
        <v>8</v>
      </c>
      <c r="K418" s="23" t="s">
        <v>8</v>
      </c>
      <c r="L418" s="23" t="s">
        <v>8</v>
      </c>
      <c r="M418" s="23" t="s">
        <v>8</v>
      </c>
    </row>
    <row r="419" spans="1:13" s="21" customFormat="1" x14ac:dyDescent="0.25">
      <c r="A419" s="22" t="s">
        <v>8</v>
      </c>
      <c r="B419" s="18" t="str">
        <f>"045144"</f>
        <v>045144</v>
      </c>
      <c r="C419" s="19" t="s">
        <v>424</v>
      </c>
      <c r="D419" s="19" t="s">
        <v>15853</v>
      </c>
      <c r="E419" s="19" t="s">
        <v>30997</v>
      </c>
      <c r="F419" s="19" t="s">
        <v>35977</v>
      </c>
      <c r="G419" s="18" t="str">
        <f>"72512"</f>
        <v>72512</v>
      </c>
      <c r="H419" s="19" t="s">
        <v>36068</v>
      </c>
      <c r="I419" s="20">
        <v>19.89</v>
      </c>
      <c r="J419" s="44" t="s">
        <v>8</v>
      </c>
      <c r="K419" s="23" t="s">
        <v>8</v>
      </c>
      <c r="L419" s="23" t="s">
        <v>8</v>
      </c>
      <c r="M419" s="23" t="s">
        <v>8</v>
      </c>
    </row>
    <row r="420" spans="1:13" s="21" customFormat="1" x14ac:dyDescent="0.25">
      <c r="A420" s="22" t="s">
        <v>8</v>
      </c>
      <c r="B420" s="18" t="str">
        <f>"045145"</f>
        <v>045145</v>
      </c>
      <c r="C420" s="19" t="s">
        <v>425</v>
      </c>
      <c r="D420" s="19" t="s">
        <v>15854</v>
      </c>
      <c r="E420" s="19" t="s">
        <v>30998</v>
      </c>
      <c r="F420" s="19" t="s">
        <v>35977</v>
      </c>
      <c r="G420" s="18" t="str">
        <f>"72501"</f>
        <v>72501</v>
      </c>
      <c r="H420" s="19" t="s">
        <v>32424</v>
      </c>
      <c r="I420" s="20">
        <v>17.420000000000002</v>
      </c>
      <c r="J420" s="44" t="s">
        <v>8</v>
      </c>
      <c r="K420" s="23" t="s">
        <v>8</v>
      </c>
      <c r="L420" s="23" t="s">
        <v>8</v>
      </c>
      <c r="M420" s="23" t="s">
        <v>8</v>
      </c>
    </row>
    <row r="421" spans="1:13" s="21" customFormat="1" x14ac:dyDescent="0.25">
      <c r="A421" s="22" t="s">
        <v>8</v>
      </c>
      <c r="B421" s="18" t="str">
        <f>"045146"</f>
        <v>045146</v>
      </c>
      <c r="C421" s="19" t="s">
        <v>426</v>
      </c>
      <c r="D421" s="19" t="s">
        <v>15855</v>
      </c>
      <c r="E421" s="19" t="s">
        <v>30999</v>
      </c>
      <c r="F421" s="19" t="s">
        <v>35977</v>
      </c>
      <c r="G421" s="18" t="str">
        <f>"72560"</f>
        <v>72560</v>
      </c>
      <c r="H421" s="19" t="s">
        <v>36069</v>
      </c>
      <c r="I421" s="20">
        <v>25.640999999999998</v>
      </c>
      <c r="J421" s="44" t="s">
        <v>8</v>
      </c>
      <c r="K421" s="23" t="s">
        <v>8</v>
      </c>
      <c r="L421" s="23" t="s">
        <v>8</v>
      </c>
      <c r="M421" s="23" t="s">
        <v>8</v>
      </c>
    </row>
    <row r="422" spans="1:13" s="21" customFormat="1" x14ac:dyDescent="0.25">
      <c r="A422" s="22" t="s">
        <v>8</v>
      </c>
      <c r="B422" s="18" t="str">
        <f>"045147"</f>
        <v>045147</v>
      </c>
      <c r="C422" s="19" t="s">
        <v>427</v>
      </c>
      <c r="D422" s="19" t="s">
        <v>15856</v>
      </c>
      <c r="E422" s="19" t="s">
        <v>31000</v>
      </c>
      <c r="F422" s="19" t="s">
        <v>35977</v>
      </c>
      <c r="G422" s="18" t="str">
        <f>"72110"</f>
        <v>72110</v>
      </c>
      <c r="H422" s="19" t="s">
        <v>31016</v>
      </c>
      <c r="I422" s="20">
        <v>20.016999999999999</v>
      </c>
      <c r="J422" s="44" t="s">
        <v>8</v>
      </c>
      <c r="K422" s="23" t="s">
        <v>8</v>
      </c>
      <c r="L422" s="23" t="s">
        <v>8</v>
      </c>
      <c r="M422" s="23" t="s">
        <v>8</v>
      </c>
    </row>
    <row r="423" spans="1:13" s="21" customFormat="1" x14ac:dyDescent="0.25">
      <c r="A423" s="22" t="s">
        <v>8</v>
      </c>
      <c r="B423" s="18" t="str">
        <f>"045148"</f>
        <v>045148</v>
      </c>
      <c r="C423" s="19" t="s">
        <v>428</v>
      </c>
      <c r="D423" s="19" t="s">
        <v>15857</v>
      </c>
      <c r="E423" s="19" t="s">
        <v>31001</v>
      </c>
      <c r="F423" s="19" t="s">
        <v>35977</v>
      </c>
      <c r="G423" s="18" t="str">
        <f>"72521"</f>
        <v>72521</v>
      </c>
      <c r="H423" s="19" t="s">
        <v>36070</v>
      </c>
      <c r="I423" s="20">
        <v>19.323</v>
      </c>
      <c r="J423" s="44" t="s">
        <v>8</v>
      </c>
      <c r="K423" s="23" t="s">
        <v>8</v>
      </c>
      <c r="L423" s="23" t="s">
        <v>8</v>
      </c>
      <c r="M423" s="23" t="s">
        <v>8</v>
      </c>
    </row>
    <row r="424" spans="1:13" s="21" customFormat="1" x14ac:dyDescent="0.25">
      <c r="A424" s="22" t="s">
        <v>8</v>
      </c>
      <c r="B424" s="18" t="str">
        <f>"045149"</f>
        <v>045149</v>
      </c>
      <c r="C424" s="19" t="s">
        <v>429</v>
      </c>
      <c r="D424" s="19" t="s">
        <v>15858</v>
      </c>
      <c r="E424" s="19" t="s">
        <v>31000</v>
      </c>
      <c r="F424" s="19" t="s">
        <v>35977</v>
      </c>
      <c r="G424" s="18" t="str">
        <f>"72110"</f>
        <v>72110</v>
      </c>
      <c r="H424" s="19" t="s">
        <v>31016</v>
      </c>
      <c r="I424" s="20">
        <v>17.446000000000002</v>
      </c>
      <c r="J424" s="44" t="s">
        <v>8</v>
      </c>
      <c r="K424" s="23" t="s">
        <v>8</v>
      </c>
      <c r="L424" s="23" t="s">
        <v>8</v>
      </c>
      <c r="M424" s="23" t="s">
        <v>8</v>
      </c>
    </row>
    <row r="425" spans="1:13" s="21" customFormat="1" x14ac:dyDescent="0.25">
      <c r="A425" s="22" t="s">
        <v>8</v>
      </c>
      <c r="B425" s="18" t="str">
        <f>"045151"</f>
        <v>045151</v>
      </c>
      <c r="C425" s="19" t="s">
        <v>430</v>
      </c>
      <c r="D425" s="19" t="s">
        <v>15859</v>
      </c>
      <c r="E425" s="19" t="s">
        <v>31002</v>
      </c>
      <c r="F425" s="19" t="s">
        <v>35977</v>
      </c>
      <c r="G425" s="18" t="str">
        <f>"72476"</f>
        <v>72476</v>
      </c>
      <c r="H425" s="19" t="s">
        <v>32568</v>
      </c>
      <c r="I425" s="20">
        <v>19.475999999999999</v>
      </c>
      <c r="J425" s="44" t="s">
        <v>8</v>
      </c>
      <c r="K425" s="23" t="s">
        <v>8</v>
      </c>
      <c r="L425" s="23" t="s">
        <v>8</v>
      </c>
      <c r="M425" s="23" t="s">
        <v>8</v>
      </c>
    </row>
    <row r="426" spans="1:13" s="21" customFormat="1" x14ac:dyDescent="0.25">
      <c r="A426" s="22" t="s">
        <v>8</v>
      </c>
      <c r="B426" s="18" t="str">
        <f>"045153"</f>
        <v>045153</v>
      </c>
      <c r="C426" s="19" t="s">
        <v>431</v>
      </c>
      <c r="D426" s="19" t="s">
        <v>15860</v>
      </c>
      <c r="E426" s="19" t="s">
        <v>31003</v>
      </c>
      <c r="F426" s="19" t="s">
        <v>35977</v>
      </c>
      <c r="G426" s="18" t="str">
        <f>"72088"</f>
        <v>72088</v>
      </c>
      <c r="H426" s="19" t="s">
        <v>30993</v>
      </c>
      <c r="I426" s="20">
        <v>18.559000000000001</v>
      </c>
      <c r="J426" s="44" t="s">
        <v>8</v>
      </c>
      <c r="K426" s="23" t="s">
        <v>8</v>
      </c>
      <c r="L426" s="23" t="s">
        <v>8</v>
      </c>
      <c r="M426" s="23" t="s">
        <v>8</v>
      </c>
    </row>
    <row r="427" spans="1:13" s="21" customFormat="1" x14ac:dyDescent="0.25">
      <c r="A427" s="22" t="s">
        <v>8</v>
      </c>
      <c r="B427" s="18" t="str">
        <f>"045155"</f>
        <v>045155</v>
      </c>
      <c r="C427" s="19" t="s">
        <v>432</v>
      </c>
      <c r="D427" s="19" t="s">
        <v>15861</v>
      </c>
      <c r="E427" s="19" t="s">
        <v>31004</v>
      </c>
      <c r="F427" s="19" t="s">
        <v>35977</v>
      </c>
      <c r="G427" s="18" t="str">
        <f>"72513"</f>
        <v>72513</v>
      </c>
      <c r="H427" s="19" t="s">
        <v>36070</v>
      </c>
      <c r="I427" s="20">
        <v>17.289000000000001</v>
      </c>
      <c r="J427" s="44" t="s">
        <v>8</v>
      </c>
      <c r="K427" s="23" t="s">
        <v>8</v>
      </c>
      <c r="L427" s="23" t="s">
        <v>8</v>
      </c>
      <c r="M427" s="23" t="s">
        <v>8</v>
      </c>
    </row>
    <row r="428" spans="1:13" s="21" customFormat="1" x14ac:dyDescent="0.25">
      <c r="A428" s="22" t="s">
        <v>8</v>
      </c>
      <c r="B428" s="18" t="str">
        <f>"045157"</f>
        <v>045157</v>
      </c>
      <c r="C428" s="19" t="s">
        <v>433</v>
      </c>
      <c r="D428" s="19" t="s">
        <v>15862</v>
      </c>
      <c r="E428" s="19" t="s">
        <v>31005</v>
      </c>
      <c r="F428" s="19" t="s">
        <v>35977</v>
      </c>
      <c r="G428" s="18" t="str">
        <f>"72396"</f>
        <v>72396</v>
      </c>
      <c r="H428" s="19" t="s">
        <v>36071</v>
      </c>
      <c r="I428" s="20">
        <v>21.834</v>
      </c>
      <c r="J428" s="44" t="s">
        <v>8</v>
      </c>
      <c r="K428" s="23" t="s">
        <v>8</v>
      </c>
      <c r="L428" s="23" t="s">
        <v>8</v>
      </c>
      <c r="M428" s="23" t="s">
        <v>8</v>
      </c>
    </row>
    <row r="429" spans="1:13" s="21" customFormat="1" x14ac:dyDescent="0.25">
      <c r="A429" s="22" t="s">
        <v>8</v>
      </c>
      <c r="B429" s="18" t="str">
        <f>"045158"</f>
        <v>045158</v>
      </c>
      <c r="C429" s="19" t="s">
        <v>434</v>
      </c>
      <c r="D429" s="19" t="s">
        <v>15863</v>
      </c>
      <c r="E429" s="19" t="s">
        <v>31006</v>
      </c>
      <c r="F429" s="19" t="s">
        <v>35977</v>
      </c>
      <c r="G429" s="18" t="str">
        <f>"72543"</f>
        <v>72543</v>
      </c>
      <c r="H429" s="19" t="s">
        <v>35274</v>
      </c>
      <c r="I429" s="20">
        <v>19.670999999999999</v>
      </c>
      <c r="J429" s="44" t="s">
        <v>8</v>
      </c>
      <c r="K429" s="23" t="s">
        <v>8</v>
      </c>
      <c r="L429" s="23" t="s">
        <v>8</v>
      </c>
      <c r="M429" s="23" t="s">
        <v>8</v>
      </c>
    </row>
    <row r="430" spans="1:13" s="21" customFormat="1" x14ac:dyDescent="0.25">
      <c r="A430" s="22" t="s">
        <v>8</v>
      </c>
      <c r="B430" s="18" t="str">
        <f>"045163"</f>
        <v>045163</v>
      </c>
      <c r="C430" s="19" t="s">
        <v>435</v>
      </c>
      <c r="D430" s="19" t="s">
        <v>15864</v>
      </c>
      <c r="E430" s="19" t="s">
        <v>31007</v>
      </c>
      <c r="F430" s="19" t="s">
        <v>35977</v>
      </c>
      <c r="G430" s="18" t="str">
        <f>"72653"</f>
        <v>72653</v>
      </c>
      <c r="H430" s="19" t="s">
        <v>32482</v>
      </c>
      <c r="I430" s="20">
        <v>18.635999999999999</v>
      </c>
      <c r="J430" s="44" t="s">
        <v>8</v>
      </c>
      <c r="K430" s="23" t="s">
        <v>8</v>
      </c>
      <c r="L430" s="23" t="s">
        <v>8</v>
      </c>
      <c r="M430" s="23" t="s">
        <v>8</v>
      </c>
    </row>
    <row r="431" spans="1:13" s="21" customFormat="1" x14ac:dyDescent="0.25">
      <c r="A431" s="22" t="s">
        <v>8</v>
      </c>
      <c r="B431" s="18" t="str">
        <f>"045165"</f>
        <v>045165</v>
      </c>
      <c r="C431" s="19" t="s">
        <v>436</v>
      </c>
      <c r="D431" s="19" t="s">
        <v>15865</v>
      </c>
      <c r="E431" s="19" t="s">
        <v>31008</v>
      </c>
      <c r="F431" s="19" t="s">
        <v>35977</v>
      </c>
      <c r="G431" s="18" t="str">
        <f>"71667"</f>
        <v>71667</v>
      </c>
      <c r="H431" s="19" t="s">
        <v>31995</v>
      </c>
      <c r="I431" s="20">
        <v>19.696000000000002</v>
      </c>
      <c r="J431" s="44" t="s">
        <v>8</v>
      </c>
      <c r="K431" s="23" t="s">
        <v>8</v>
      </c>
      <c r="L431" s="23" t="s">
        <v>8</v>
      </c>
      <c r="M431" s="23" t="s">
        <v>8</v>
      </c>
    </row>
    <row r="432" spans="1:13" s="21" customFormat="1" x14ac:dyDescent="0.25">
      <c r="A432" s="22" t="s">
        <v>8</v>
      </c>
      <c r="B432" s="18" t="str">
        <f>"045166"</f>
        <v>045166</v>
      </c>
      <c r="C432" s="19" t="s">
        <v>437</v>
      </c>
      <c r="D432" s="19" t="s">
        <v>15866</v>
      </c>
      <c r="E432" s="19" t="s">
        <v>31005</v>
      </c>
      <c r="F432" s="19" t="s">
        <v>35977</v>
      </c>
      <c r="G432" s="18" t="str">
        <f>"72396"</f>
        <v>72396</v>
      </c>
      <c r="H432" s="19" t="s">
        <v>36071</v>
      </c>
      <c r="I432" s="20">
        <v>19.355</v>
      </c>
      <c r="J432" s="44" t="s">
        <v>8</v>
      </c>
      <c r="K432" s="23" t="s">
        <v>8</v>
      </c>
      <c r="L432" s="23" t="s">
        <v>8</v>
      </c>
      <c r="M432" s="23" t="s">
        <v>8</v>
      </c>
    </row>
    <row r="433" spans="1:13" s="21" customFormat="1" x14ac:dyDescent="0.25">
      <c r="A433" s="22" t="s">
        <v>8</v>
      </c>
      <c r="B433" s="18" t="str">
        <f>"045167"</f>
        <v>045167</v>
      </c>
      <c r="C433" s="19" t="s">
        <v>438</v>
      </c>
      <c r="D433" s="19" t="s">
        <v>15867</v>
      </c>
      <c r="E433" s="19" t="s">
        <v>31009</v>
      </c>
      <c r="F433" s="19" t="s">
        <v>35977</v>
      </c>
      <c r="G433" s="18" t="str">
        <f>"72762"</f>
        <v>72762</v>
      </c>
      <c r="H433" s="19" t="s">
        <v>31500</v>
      </c>
      <c r="I433" s="20">
        <v>19.535</v>
      </c>
      <c r="J433" s="44" t="s">
        <v>8</v>
      </c>
      <c r="K433" s="23" t="s">
        <v>8</v>
      </c>
      <c r="L433" s="23" t="s">
        <v>8</v>
      </c>
      <c r="M433" s="23" t="s">
        <v>8</v>
      </c>
    </row>
    <row r="434" spans="1:13" s="21" customFormat="1" x14ac:dyDescent="0.25">
      <c r="A434" s="22" t="s">
        <v>8</v>
      </c>
      <c r="B434" s="18" t="str">
        <f>"045168"</f>
        <v>045168</v>
      </c>
      <c r="C434" s="19" t="s">
        <v>439</v>
      </c>
      <c r="D434" s="19" t="s">
        <v>15868</v>
      </c>
      <c r="E434" s="19" t="s">
        <v>31010</v>
      </c>
      <c r="F434" s="19" t="s">
        <v>35977</v>
      </c>
      <c r="G434" s="18" t="str">
        <f>"72830"</f>
        <v>72830</v>
      </c>
      <c r="H434" s="19" t="s">
        <v>36072</v>
      </c>
      <c r="I434" s="20">
        <v>21.416</v>
      </c>
      <c r="J434" s="44" t="s">
        <v>8</v>
      </c>
      <c r="K434" s="23" t="s">
        <v>8</v>
      </c>
      <c r="L434" s="23" t="s">
        <v>8</v>
      </c>
      <c r="M434" s="23" t="s">
        <v>8</v>
      </c>
    </row>
    <row r="435" spans="1:13" s="21" customFormat="1" x14ac:dyDescent="0.25">
      <c r="A435" s="22" t="s">
        <v>8</v>
      </c>
      <c r="B435" s="18" t="str">
        <f>"045170"</f>
        <v>045170</v>
      </c>
      <c r="C435" s="19" t="s">
        <v>440</v>
      </c>
      <c r="D435" s="19" t="s">
        <v>15869</v>
      </c>
      <c r="E435" s="19" t="s">
        <v>30984</v>
      </c>
      <c r="F435" s="19" t="s">
        <v>35977</v>
      </c>
      <c r="G435" s="18" t="str">
        <f>"72450"</f>
        <v>72450</v>
      </c>
      <c r="H435" s="19" t="s">
        <v>32455</v>
      </c>
      <c r="I435" s="20">
        <v>19.010000000000002</v>
      </c>
      <c r="J435" s="44" t="s">
        <v>8</v>
      </c>
      <c r="K435" s="23" t="s">
        <v>8</v>
      </c>
      <c r="L435" s="23" t="s">
        <v>8</v>
      </c>
      <c r="M435" s="23" t="s">
        <v>8</v>
      </c>
    </row>
    <row r="436" spans="1:13" s="21" customFormat="1" x14ac:dyDescent="0.25">
      <c r="A436" s="22" t="s">
        <v>8</v>
      </c>
      <c r="B436" s="18" t="str">
        <f>"045172"</f>
        <v>045172</v>
      </c>
      <c r="C436" s="19" t="s">
        <v>441</v>
      </c>
      <c r="D436" s="19" t="s">
        <v>15870</v>
      </c>
      <c r="E436" s="19" t="s">
        <v>31011</v>
      </c>
      <c r="F436" s="19" t="s">
        <v>35977</v>
      </c>
      <c r="G436" s="18" t="str">
        <f>"71638"</f>
        <v>71638</v>
      </c>
      <c r="H436" s="19" t="s">
        <v>36073</v>
      </c>
      <c r="I436" s="20">
        <v>21.984999999999999</v>
      </c>
      <c r="J436" s="44" t="s">
        <v>8</v>
      </c>
      <c r="K436" s="23" t="s">
        <v>8</v>
      </c>
      <c r="L436" s="23" t="s">
        <v>8</v>
      </c>
      <c r="M436" s="23" t="s">
        <v>8</v>
      </c>
    </row>
    <row r="437" spans="1:13" s="21" customFormat="1" x14ac:dyDescent="0.25">
      <c r="A437" s="22" t="s">
        <v>8</v>
      </c>
      <c r="B437" s="18" t="str">
        <f>"045173"</f>
        <v>045173</v>
      </c>
      <c r="C437" s="19" t="s">
        <v>442</v>
      </c>
      <c r="D437" s="19" t="s">
        <v>15871</v>
      </c>
      <c r="E437" s="19" t="s">
        <v>30910</v>
      </c>
      <c r="F437" s="19" t="s">
        <v>35977</v>
      </c>
      <c r="G437" s="18" t="str">
        <f>"71701"</f>
        <v>71701</v>
      </c>
      <c r="H437" s="19" t="s">
        <v>36063</v>
      </c>
      <c r="I437" s="20">
        <v>19.347000000000001</v>
      </c>
      <c r="J437" s="44" t="s">
        <v>8</v>
      </c>
      <c r="K437" s="23" t="s">
        <v>8</v>
      </c>
      <c r="L437" s="23" t="s">
        <v>8</v>
      </c>
      <c r="M437" s="23" t="s">
        <v>8</v>
      </c>
    </row>
    <row r="438" spans="1:13" s="21" customFormat="1" x14ac:dyDescent="0.25">
      <c r="A438" s="22" t="s">
        <v>8</v>
      </c>
      <c r="B438" s="18" t="str">
        <f>"045176"</f>
        <v>045176</v>
      </c>
      <c r="C438" s="19" t="s">
        <v>443</v>
      </c>
      <c r="D438" s="19" t="s">
        <v>15872</v>
      </c>
      <c r="E438" s="19" t="s">
        <v>30986</v>
      </c>
      <c r="F438" s="19" t="s">
        <v>35977</v>
      </c>
      <c r="G438" s="18" t="str">
        <f>"71655"</f>
        <v>71655</v>
      </c>
      <c r="H438" s="19" t="s">
        <v>36064</v>
      </c>
      <c r="I438" s="20">
        <v>16.884</v>
      </c>
      <c r="J438" s="44" t="s">
        <v>8</v>
      </c>
      <c r="K438" s="23" t="s">
        <v>8</v>
      </c>
      <c r="L438" s="23" t="s">
        <v>8</v>
      </c>
      <c r="M438" s="23" t="s">
        <v>8</v>
      </c>
    </row>
    <row r="439" spans="1:13" s="21" customFormat="1" x14ac:dyDescent="0.25">
      <c r="A439" s="22" t="s">
        <v>8</v>
      </c>
      <c r="B439" s="18" t="str">
        <f>"045177"</f>
        <v>045177</v>
      </c>
      <c r="C439" s="19" t="s">
        <v>444</v>
      </c>
      <c r="D439" s="19" t="s">
        <v>15873</v>
      </c>
      <c r="E439" s="19" t="s">
        <v>31012</v>
      </c>
      <c r="F439" s="19" t="s">
        <v>35977</v>
      </c>
      <c r="G439" s="18" t="str">
        <f>"72042"</f>
        <v>72042</v>
      </c>
      <c r="H439" s="19" t="s">
        <v>36065</v>
      </c>
      <c r="I439" s="20">
        <v>19.673999999999999</v>
      </c>
      <c r="J439" s="44" t="s">
        <v>8</v>
      </c>
      <c r="K439" s="23" t="s">
        <v>8</v>
      </c>
      <c r="L439" s="23" t="s">
        <v>8</v>
      </c>
      <c r="M439" s="23" t="s">
        <v>8</v>
      </c>
    </row>
    <row r="440" spans="1:13" s="21" customFormat="1" x14ac:dyDescent="0.25">
      <c r="A440" s="22" t="s">
        <v>8</v>
      </c>
      <c r="B440" s="18" t="str">
        <f>"045178"</f>
        <v>045178</v>
      </c>
      <c r="C440" s="19" t="s">
        <v>445</v>
      </c>
      <c r="D440" s="19" t="s">
        <v>15874</v>
      </c>
      <c r="E440" s="19" t="s">
        <v>31013</v>
      </c>
      <c r="F440" s="19" t="s">
        <v>35977</v>
      </c>
      <c r="G440" s="18" t="str">
        <f>"72454"</f>
        <v>72454</v>
      </c>
      <c r="H440" s="19" t="s">
        <v>36030</v>
      </c>
      <c r="I440" s="20">
        <v>18.11</v>
      </c>
      <c r="J440" s="44" t="s">
        <v>8</v>
      </c>
      <c r="K440" s="23" t="s">
        <v>8</v>
      </c>
      <c r="L440" s="23" t="s">
        <v>8</v>
      </c>
      <c r="M440" s="23" t="s">
        <v>8</v>
      </c>
    </row>
    <row r="441" spans="1:13" s="21" customFormat="1" x14ac:dyDescent="0.25">
      <c r="A441" s="22" t="s">
        <v>8</v>
      </c>
      <c r="B441" s="18" t="str">
        <f>"045180"</f>
        <v>045180</v>
      </c>
      <c r="C441" s="19" t="s">
        <v>446</v>
      </c>
      <c r="D441" s="19" t="s">
        <v>15875</v>
      </c>
      <c r="E441" s="19" t="s">
        <v>31014</v>
      </c>
      <c r="F441" s="19" t="s">
        <v>35977</v>
      </c>
      <c r="G441" s="18" t="str">
        <f>"71852"</f>
        <v>71852</v>
      </c>
      <c r="H441" s="19" t="s">
        <v>32644</v>
      </c>
      <c r="I441" s="20">
        <v>20.18</v>
      </c>
      <c r="J441" s="44" t="s">
        <v>8</v>
      </c>
      <c r="K441" s="23" t="s">
        <v>8</v>
      </c>
      <c r="L441" s="23" t="s">
        <v>8</v>
      </c>
      <c r="M441" s="23" t="s">
        <v>8</v>
      </c>
    </row>
    <row r="442" spans="1:13" s="21" customFormat="1" x14ac:dyDescent="0.25">
      <c r="A442" s="22" t="s">
        <v>8</v>
      </c>
      <c r="B442" s="18" t="str">
        <f>"045181"</f>
        <v>045181</v>
      </c>
      <c r="C442" s="19" t="s">
        <v>447</v>
      </c>
      <c r="D442" s="19" t="s">
        <v>15876</v>
      </c>
      <c r="E442" s="19" t="s">
        <v>30956</v>
      </c>
      <c r="F442" s="19" t="s">
        <v>35977</v>
      </c>
      <c r="G442" s="18" t="str">
        <f>"71857"</f>
        <v>71857</v>
      </c>
      <c r="H442" s="19" t="s">
        <v>32459</v>
      </c>
      <c r="I442" s="20">
        <v>19.329999999999998</v>
      </c>
      <c r="J442" s="44" t="s">
        <v>8</v>
      </c>
      <c r="K442" s="23" t="s">
        <v>8</v>
      </c>
      <c r="L442" s="23" t="s">
        <v>8</v>
      </c>
      <c r="M442" s="23" t="s">
        <v>8</v>
      </c>
    </row>
    <row r="443" spans="1:13" s="21" customFormat="1" x14ac:dyDescent="0.25">
      <c r="A443" s="22" t="s">
        <v>8</v>
      </c>
      <c r="B443" s="18" t="str">
        <f>"045182"</f>
        <v>045182</v>
      </c>
      <c r="C443" s="19" t="s">
        <v>448</v>
      </c>
      <c r="D443" s="19" t="s">
        <v>15877</v>
      </c>
      <c r="E443" s="19" t="s">
        <v>31015</v>
      </c>
      <c r="F443" s="19" t="s">
        <v>35977</v>
      </c>
      <c r="G443" s="18" t="str">
        <f>"71730"</f>
        <v>71730</v>
      </c>
      <c r="H443" s="19" t="s">
        <v>33554</v>
      </c>
      <c r="I443" s="20">
        <v>18.213999999999999</v>
      </c>
      <c r="J443" s="44" t="s">
        <v>8</v>
      </c>
      <c r="K443" s="23" t="s">
        <v>8</v>
      </c>
      <c r="L443" s="23" t="s">
        <v>8</v>
      </c>
      <c r="M443" s="23" t="s">
        <v>8</v>
      </c>
    </row>
    <row r="444" spans="1:13" s="21" customFormat="1" x14ac:dyDescent="0.25">
      <c r="A444" s="22" t="s">
        <v>8</v>
      </c>
      <c r="B444" s="18" t="str">
        <f>"045183"</f>
        <v>045183</v>
      </c>
      <c r="C444" s="19" t="s">
        <v>449</v>
      </c>
      <c r="D444" s="19" t="s">
        <v>15878</v>
      </c>
      <c r="E444" s="19" t="s">
        <v>31016</v>
      </c>
      <c r="F444" s="19" t="s">
        <v>35977</v>
      </c>
      <c r="G444" s="18" t="str">
        <f>"72034"</f>
        <v>72034</v>
      </c>
      <c r="H444" s="19" t="s">
        <v>36074</v>
      </c>
      <c r="I444" s="20">
        <v>24.026</v>
      </c>
      <c r="J444" s="44" t="s">
        <v>8</v>
      </c>
      <c r="K444" s="23" t="s">
        <v>8</v>
      </c>
      <c r="L444" s="23" t="s">
        <v>8</v>
      </c>
      <c r="M444" s="23" t="s">
        <v>8</v>
      </c>
    </row>
    <row r="445" spans="1:13" s="21" customFormat="1" x14ac:dyDescent="0.25">
      <c r="A445" s="22" t="s">
        <v>8</v>
      </c>
      <c r="B445" s="18" t="str">
        <f>"045184"</f>
        <v>045184</v>
      </c>
      <c r="C445" s="19" t="s">
        <v>450</v>
      </c>
      <c r="D445" s="19" t="s">
        <v>15879</v>
      </c>
      <c r="E445" s="19" t="s">
        <v>31017</v>
      </c>
      <c r="F445" s="19" t="s">
        <v>35977</v>
      </c>
      <c r="G445" s="18" t="str">
        <f>"71653"</f>
        <v>71653</v>
      </c>
      <c r="H445" s="19" t="s">
        <v>36073</v>
      </c>
      <c r="I445" s="20">
        <v>19.562999999999999</v>
      </c>
      <c r="J445" s="44" t="s">
        <v>8</v>
      </c>
      <c r="K445" s="23" t="s">
        <v>8</v>
      </c>
      <c r="L445" s="23" t="s">
        <v>8</v>
      </c>
      <c r="M445" s="23" t="s">
        <v>8</v>
      </c>
    </row>
    <row r="446" spans="1:13" s="21" customFormat="1" x14ac:dyDescent="0.25">
      <c r="A446" s="22" t="s">
        <v>8</v>
      </c>
      <c r="B446" s="18" t="str">
        <f>"045187"</f>
        <v>045187</v>
      </c>
      <c r="C446" s="19" t="s">
        <v>451</v>
      </c>
      <c r="D446" s="19" t="s">
        <v>15880</v>
      </c>
      <c r="E446" s="19" t="s">
        <v>30987</v>
      </c>
      <c r="F446" s="19" t="s">
        <v>35977</v>
      </c>
      <c r="G446" s="18" t="str">
        <f>"71753"</f>
        <v>71753</v>
      </c>
      <c r="H446" s="19" t="s">
        <v>32076</v>
      </c>
      <c r="I446" s="20">
        <v>17.91</v>
      </c>
      <c r="J446" s="44" t="s">
        <v>8</v>
      </c>
      <c r="K446" s="23" t="s">
        <v>8</v>
      </c>
      <c r="L446" s="23" t="s">
        <v>8</v>
      </c>
      <c r="M446" s="23" t="s">
        <v>8</v>
      </c>
    </row>
    <row r="447" spans="1:13" s="21" customFormat="1" x14ac:dyDescent="0.25">
      <c r="A447" s="22" t="s">
        <v>8</v>
      </c>
      <c r="B447" s="18" t="str">
        <f>"045189"</f>
        <v>045189</v>
      </c>
      <c r="C447" s="19" t="s">
        <v>452</v>
      </c>
      <c r="D447" s="19" t="s">
        <v>15881</v>
      </c>
      <c r="E447" s="19" t="s">
        <v>30910</v>
      </c>
      <c r="F447" s="19" t="s">
        <v>35977</v>
      </c>
      <c r="G447" s="18" t="str">
        <f>"71701"</f>
        <v>71701</v>
      </c>
      <c r="H447" s="19" t="s">
        <v>36063</v>
      </c>
      <c r="I447" s="20">
        <v>19.195</v>
      </c>
      <c r="J447" s="44" t="s">
        <v>8</v>
      </c>
      <c r="K447" s="23" t="s">
        <v>8</v>
      </c>
      <c r="L447" s="23" t="s">
        <v>8</v>
      </c>
      <c r="M447" s="23" t="s">
        <v>8</v>
      </c>
    </row>
    <row r="448" spans="1:13" s="21" customFormat="1" x14ac:dyDescent="0.25">
      <c r="A448" s="22" t="s">
        <v>8</v>
      </c>
      <c r="B448" s="18" t="str">
        <f>"045190"</f>
        <v>045190</v>
      </c>
      <c r="C448" s="19" t="s">
        <v>453</v>
      </c>
      <c r="D448" s="19" t="s">
        <v>15882</v>
      </c>
      <c r="E448" s="19" t="s">
        <v>31018</v>
      </c>
      <c r="F448" s="19" t="s">
        <v>35977</v>
      </c>
      <c r="G448" s="18" t="str">
        <f>"71635"</f>
        <v>71635</v>
      </c>
      <c r="H448" s="19" t="s">
        <v>33285</v>
      </c>
      <c r="I448" s="20">
        <v>22.622</v>
      </c>
      <c r="J448" s="44" t="s">
        <v>8</v>
      </c>
      <c r="K448" s="23" t="s">
        <v>8</v>
      </c>
      <c r="L448" s="23" t="s">
        <v>8</v>
      </c>
      <c r="M448" s="23" t="s">
        <v>8</v>
      </c>
    </row>
    <row r="449" spans="1:13" s="21" customFormat="1" x14ac:dyDescent="0.25">
      <c r="A449" s="22" t="s">
        <v>8</v>
      </c>
      <c r="B449" s="18" t="str">
        <f>"045191"</f>
        <v>045191</v>
      </c>
      <c r="C449" s="19" t="s">
        <v>454</v>
      </c>
      <c r="D449" s="19" t="s">
        <v>15883</v>
      </c>
      <c r="E449" s="19" t="s">
        <v>31019</v>
      </c>
      <c r="F449" s="19" t="s">
        <v>35977</v>
      </c>
      <c r="G449" s="18" t="str">
        <f>"71909"</f>
        <v>71909</v>
      </c>
      <c r="H449" s="19" t="s">
        <v>35286</v>
      </c>
      <c r="I449" s="20">
        <v>20.352</v>
      </c>
      <c r="J449" s="44" t="s">
        <v>8</v>
      </c>
      <c r="K449" s="23" t="s">
        <v>8</v>
      </c>
      <c r="L449" s="23" t="s">
        <v>8</v>
      </c>
      <c r="M449" s="23" t="s">
        <v>8</v>
      </c>
    </row>
    <row r="450" spans="1:13" s="21" customFormat="1" x14ac:dyDescent="0.25">
      <c r="A450" s="22" t="s">
        <v>8</v>
      </c>
      <c r="B450" s="18" t="str">
        <f>"045192"</f>
        <v>045192</v>
      </c>
      <c r="C450" s="19" t="s">
        <v>455</v>
      </c>
      <c r="D450" s="19" t="s">
        <v>15884</v>
      </c>
      <c r="E450" s="19" t="s">
        <v>31020</v>
      </c>
      <c r="F450" s="19" t="s">
        <v>35977</v>
      </c>
      <c r="G450" s="18" t="str">
        <f>"72601"</f>
        <v>72601</v>
      </c>
      <c r="H450" s="19" t="s">
        <v>32513</v>
      </c>
      <c r="I450" s="20">
        <v>17.942</v>
      </c>
      <c r="J450" s="44" t="s">
        <v>8</v>
      </c>
      <c r="K450" s="23" t="s">
        <v>8</v>
      </c>
      <c r="L450" s="23" t="s">
        <v>8</v>
      </c>
      <c r="M450" s="23" t="s">
        <v>8</v>
      </c>
    </row>
    <row r="451" spans="1:13" s="21" customFormat="1" x14ac:dyDescent="0.25">
      <c r="A451" s="22" t="s">
        <v>8</v>
      </c>
      <c r="B451" s="18" t="str">
        <f>"045194"</f>
        <v>045194</v>
      </c>
      <c r="C451" s="19" t="s">
        <v>456</v>
      </c>
      <c r="D451" s="19" t="s">
        <v>15885</v>
      </c>
      <c r="E451" s="19" t="s">
        <v>31021</v>
      </c>
      <c r="F451" s="19" t="s">
        <v>35977</v>
      </c>
      <c r="G451" s="18" t="str">
        <f>"71854"</f>
        <v>71854</v>
      </c>
      <c r="H451" s="19" t="s">
        <v>35139</v>
      </c>
      <c r="I451" s="20">
        <v>19.733000000000001</v>
      </c>
      <c r="J451" s="44" t="s">
        <v>8</v>
      </c>
      <c r="K451" s="23" t="s">
        <v>8</v>
      </c>
      <c r="L451" s="23" t="s">
        <v>8</v>
      </c>
      <c r="M451" s="23" t="s">
        <v>8</v>
      </c>
    </row>
    <row r="452" spans="1:13" s="21" customFormat="1" x14ac:dyDescent="0.25">
      <c r="A452" s="22" t="s">
        <v>8</v>
      </c>
      <c r="B452" s="18" t="str">
        <f>"045195"</f>
        <v>045195</v>
      </c>
      <c r="C452" s="19" t="s">
        <v>457</v>
      </c>
      <c r="D452" s="19" t="s">
        <v>15886</v>
      </c>
      <c r="E452" s="19" t="s">
        <v>31022</v>
      </c>
      <c r="F452" s="19" t="s">
        <v>35977</v>
      </c>
      <c r="G452" s="18" t="str">
        <f>"72301"</f>
        <v>72301</v>
      </c>
      <c r="H452" s="19" t="s">
        <v>36075</v>
      </c>
      <c r="I452" s="20">
        <v>20.684999999999999</v>
      </c>
      <c r="J452" s="44" t="s">
        <v>8</v>
      </c>
      <c r="K452" s="23" t="s">
        <v>8</v>
      </c>
      <c r="L452" s="23" t="s">
        <v>8</v>
      </c>
      <c r="M452" s="23" t="s">
        <v>8</v>
      </c>
    </row>
    <row r="453" spans="1:13" s="21" customFormat="1" x14ac:dyDescent="0.25">
      <c r="A453" s="22" t="s">
        <v>8</v>
      </c>
      <c r="B453" s="18" t="str">
        <f>"045196"</f>
        <v>045196</v>
      </c>
      <c r="C453" s="19" t="s">
        <v>458</v>
      </c>
      <c r="D453" s="19" t="s">
        <v>15887</v>
      </c>
      <c r="E453" s="19" t="s">
        <v>31006</v>
      </c>
      <c r="F453" s="19" t="s">
        <v>35977</v>
      </c>
      <c r="G453" s="18" t="str">
        <f>"72543"</f>
        <v>72543</v>
      </c>
      <c r="H453" s="19" t="s">
        <v>35274</v>
      </c>
      <c r="I453" s="20">
        <v>19.803999999999998</v>
      </c>
      <c r="J453" s="44" t="s">
        <v>8</v>
      </c>
      <c r="K453" s="23" t="s">
        <v>8</v>
      </c>
      <c r="L453" s="23" t="s">
        <v>8</v>
      </c>
      <c r="M453" s="23" t="s">
        <v>8</v>
      </c>
    </row>
    <row r="454" spans="1:13" s="21" customFormat="1" x14ac:dyDescent="0.25">
      <c r="A454" s="22" t="s">
        <v>8</v>
      </c>
      <c r="B454" s="18" t="str">
        <f>"045197"</f>
        <v>045197</v>
      </c>
      <c r="C454" s="19" t="s">
        <v>459</v>
      </c>
      <c r="D454" s="19" t="s">
        <v>15888</v>
      </c>
      <c r="E454" s="19" t="s">
        <v>31020</v>
      </c>
      <c r="F454" s="19" t="s">
        <v>35977</v>
      </c>
      <c r="G454" s="18" t="str">
        <f>"72601"</f>
        <v>72601</v>
      </c>
      <c r="H454" s="19" t="s">
        <v>32513</v>
      </c>
      <c r="I454" s="20">
        <v>20.384</v>
      </c>
      <c r="J454" s="44" t="s">
        <v>8</v>
      </c>
      <c r="K454" s="23" t="s">
        <v>8</v>
      </c>
      <c r="L454" s="23" t="s">
        <v>8</v>
      </c>
      <c r="M454" s="23" t="s">
        <v>8</v>
      </c>
    </row>
    <row r="455" spans="1:13" s="21" customFormat="1" x14ac:dyDescent="0.25">
      <c r="A455" s="22" t="s">
        <v>8</v>
      </c>
      <c r="B455" s="18" t="str">
        <f>"045198"</f>
        <v>045198</v>
      </c>
      <c r="C455" s="19" t="s">
        <v>460</v>
      </c>
      <c r="D455" s="19" t="s">
        <v>15889</v>
      </c>
      <c r="E455" s="19" t="s">
        <v>31023</v>
      </c>
      <c r="F455" s="19" t="s">
        <v>35977</v>
      </c>
      <c r="G455" s="18" t="str">
        <f>"72205"</f>
        <v>72205</v>
      </c>
      <c r="H455" s="19" t="s">
        <v>31795</v>
      </c>
      <c r="I455" s="20">
        <v>25.408000000000001</v>
      </c>
      <c r="J455" s="44" t="s">
        <v>8</v>
      </c>
      <c r="K455" s="23" t="s">
        <v>8</v>
      </c>
      <c r="L455" s="23" t="s">
        <v>8</v>
      </c>
      <c r="M455" s="23" t="s">
        <v>8</v>
      </c>
    </row>
    <row r="456" spans="1:13" s="21" customFormat="1" x14ac:dyDescent="0.25">
      <c r="A456" s="22" t="s">
        <v>8</v>
      </c>
      <c r="B456" s="18" t="str">
        <f>"045199"</f>
        <v>045199</v>
      </c>
      <c r="C456" s="19" t="s">
        <v>461</v>
      </c>
      <c r="D456" s="19" t="s">
        <v>15890</v>
      </c>
      <c r="E456" s="19" t="s">
        <v>31024</v>
      </c>
      <c r="F456" s="19" t="s">
        <v>35977</v>
      </c>
      <c r="G456" s="18" t="str">
        <f>"72015"</f>
        <v>72015</v>
      </c>
      <c r="H456" s="19" t="s">
        <v>33206</v>
      </c>
      <c r="I456" s="20">
        <v>25.184000000000001</v>
      </c>
      <c r="J456" s="44" t="s">
        <v>8</v>
      </c>
      <c r="K456" s="23" t="s">
        <v>8</v>
      </c>
      <c r="L456" s="23" t="s">
        <v>8</v>
      </c>
      <c r="M456" s="23" t="s">
        <v>8</v>
      </c>
    </row>
    <row r="457" spans="1:13" s="21" customFormat="1" x14ac:dyDescent="0.25">
      <c r="A457" s="22" t="s">
        <v>8</v>
      </c>
      <c r="B457" s="18" t="str">
        <f>"045201"</f>
        <v>045201</v>
      </c>
      <c r="C457" s="19" t="s">
        <v>462</v>
      </c>
      <c r="D457" s="19" t="s">
        <v>15891</v>
      </c>
      <c r="E457" s="19" t="s">
        <v>31025</v>
      </c>
      <c r="F457" s="19" t="s">
        <v>35977</v>
      </c>
      <c r="G457" s="18" t="str">
        <f>"71671"</f>
        <v>71671</v>
      </c>
      <c r="H457" s="19" t="s">
        <v>32178</v>
      </c>
      <c r="I457" s="20">
        <v>18.236000000000001</v>
      </c>
      <c r="J457" s="44" t="s">
        <v>8</v>
      </c>
      <c r="K457" s="23" t="s">
        <v>8</v>
      </c>
      <c r="L457" s="23" t="s">
        <v>8</v>
      </c>
      <c r="M457" s="23" t="s">
        <v>8</v>
      </c>
    </row>
    <row r="458" spans="1:13" s="21" customFormat="1" x14ac:dyDescent="0.25">
      <c r="A458" s="22" t="s">
        <v>8</v>
      </c>
      <c r="B458" s="18" t="str">
        <f>"045202"</f>
        <v>045202</v>
      </c>
      <c r="C458" s="19" t="s">
        <v>463</v>
      </c>
      <c r="D458" s="19" t="s">
        <v>15892</v>
      </c>
      <c r="E458" s="19" t="s">
        <v>31026</v>
      </c>
      <c r="F458" s="19" t="s">
        <v>35977</v>
      </c>
      <c r="G458" s="18" t="str">
        <f>"72116"</f>
        <v>72116</v>
      </c>
      <c r="H458" s="19" t="s">
        <v>31795</v>
      </c>
      <c r="I458" s="20">
        <v>23.114999999999998</v>
      </c>
      <c r="J458" s="44" t="s">
        <v>8</v>
      </c>
      <c r="K458" s="23" t="s">
        <v>8</v>
      </c>
      <c r="L458" s="23" t="s">
        <v>8</v>
      </c>
      <c r="M458" s="23" t="s">
        <v>8</v>
      </c>
    </row>
    <row r="459" spans="1:13" s="21" customFormat="1" x14ac:dyDescent="0.25">
      <c r="A459" s="22" t="s">
        <v>8</v>
      </c>
      <c r="B459" s="18" t="str">
        <f>"045203"</f>
        <v>045203</v>
      </c>
      <c r="C459" s="19" t="s">
        <v>464</v>
      </c>
      <c r="D459" s="19" t="s">
        <v>15893</v>
      </c>
      <c r="E459" s="19" t="s">
        <v>30998</v>
      </c>
      <c r="F459" s="19" t="s">
        <v>35977</v>
      </c>
      <c r="G459" s="18" t="str">
        <f>"72501"</f>
        <v>72501</v>
      </c>
      <c r="H459" s="19" t="s">
        <v>32424</v>
      </c>
      <c r="I459" s="20">
        <v>17.635000000000002</v>
      </c>
      <c r="J459" s="44" t="s">
        <v>8</v>
      </c>
      <c r="K459" s="23" t="s">
        <v>8</v>
      </c>
      <c r="L459" s="23" t="s">
        <v>8</v>
      </c>
      <c r="M459" s="23" t="s">
        <v>8</v>
      </c>
    </row>
    <row r="460" spans="1:13" s="21" customFormat="1" x14ac:dyDescent="0.25">
      <c r="A460" s="22" t="s">
        <v>8</v>
      </c>
      <c r="B460" s="18" t="str">
        <f>"045207"</f>
        <v>045207</v>
      </c>
      <c r="C460" s="19" t="s">
        <v>465</v>
      </c>
      <c r="D460" s="19" t="s">
        <v>15894</v>
      </c>
      <c r="E460" s="19" t="s">
        <v>30910</v>
      </c>
      <c r="F460" s="19" t="s">
        <v>35977</v>
      </c>
      <c r="G460" s="18" t="str">
        <f>"71701"</f>
        <v>71701</v>
      </c>
      <c r="H460" s="19" t="s">
        <v>36063</v>
      </c>
      <c r="I460" s="20">
        <v>16.637</v>
      </c>
      <c r="J460" s="44" t="s">
        <v>8</v>
      </c>
      <c r="K460" s="23" t="s">
        <v>8</v>
      </c>
      <c r="L460" s="23" t="s">
        <v>8</v>
      </c>
      <c r="M460" s="23" t="s">
        <v>8</v>
      </c>
    </row>
    <row r="461" spans="1:13" s="21" customFormat="1" x14ac:dyDescent="0.25">
      <c r="A461" s="22" t="s">
        <v>8</v>
      </c>
      <c r="B461" s="18" t="str">
        <f>"045208"</f>
        <v>045208</v>
      </c>
      <c r="C461" s="19" t="s">
        <v>466</v>
      </c>
      <c r="D461" s="19" t="s">
        <v>15895</v>
      </c>
      <c r="E461" s="19" t="s">
        <v>31027</v>
      </c>
      <c r="F461" s="19" t="s">
        <v>35977</v>
      </c>
      <c r="G461" s="18" t="str">
        <f>"72023"</f>
        <v>72023</v>
      </c>
      <c r="H461" s="19" t="s">
        <v>31046</v>
      </c>
      <c r="I461" s="20">
        <v>24.370999999999999</v>
      </c>
      <c r="J461" s="44" t="s">
        <v>8</v>
      </c>
      <c r="K461" s="23" t="s">
        <v>8</v>
      </c>
      <c r="L461" s="23" t="s">
        <v>8</v>
      </c>
      <c r="M461" s="23" t="s">
        <v>8</v>
      </c>
    </row>
    <row r="462" spans="1:13" s="21" customFormat="1" x14ac:dyDescent="0.25">
      <c r="A462" s="22" t="s">
        <v>8</v>
      </c>
      <c r="B462" s="18" t="str">
        <f>"045209"</f>
        <v>045209</v>
      </c>
      <c r="C462" s="19" t="s">
        <v>467</v>
      </c>
      <c r="D462" s="19" t="s">
        <v>15896</v>
      </c>
      <c r="E462" s="19" t="s">
        <v>30995</v>
      </c>
      <c r="F462" s="19" t="s">
        <v>35977</v>
      </c>
      <c r="G462" s="18" t="str">
        <f>"72143"</f>
        <v>72143</v>
      </c>
      <c r="H462" s="19" t="s">
        <v>35131</v>
      </c>
      <c r="I462" s="20">
        <v>20.173999999999999</v>
      </c>
      <c r="J462" s="44" t="s">
        <v>8</v>
      </c>
      <c r="K462" s="23" t="s">
        <v>8</v>
      </c>
      <c r="L462" s="23" t="s">
        <v>8</v>
      </c>
      <c r="M462" s="23" t="s">
        <v>8</v>
      </c>
    </row>
    <row r="463" spans="1:13" s="21" customFormat="1" x14ac:dyDescent="0.25">
      <c r="A463" s="22" t="s">
        <v>8</v>
      </c>
      <c r="B463" s="18" t="str">
        <f>"045211"</f>
        <v>045211</v>
      </c>
      <c r="C463" s="19" t="s">
        <v>468</v>
      </c>
      <c r="D463" s="19" t="s">
        <v>15897</v>
      </c>
      <c r="E463" s="19" t="s">
        <v>31021</v>
      </c>
      <c r="F463" s="19" t="s">
        <v>35977</v>
      </c>
      <c r="G463" s="18" t="str">
        <f>"71854"</f>
        <v>71854</v>
      </c>
      <c r="H463" s="19" t="s">
        <v>35139</v>
      </c>
      <c r="I463" s="20">
        <v>21.143999999999998</v>
      </c>
      <c r="J463" s="44" t="s">
        <v>8</v>
      </c>
      <c r="K463" s="23" t="s">
        <v>8</v>
      </c>
      <c r="L463" s="23" t="s">
        <v>8</v>
      </c>
      <c r="M463" s="23" t="s">
        <v>8</v>
      </c>
    </row>
    <row r="464" spans="1:13" s="21" customFormat="1" x14ac:dyDescent="0.25">
      <c r="A464" s="22" t="s">
        <v>8</v>
      </c>
      <c r="B464" s="18" t="str">
        <f>"045212"</f>
        <v>045212</v>
      </c>
      <c r="C464" s="19" t="s">
        <v>469</v>
      </c>
      <c r="D464" s="19" t="s">
        <v>15898</v>
      </c>
      <c r="E464" s="19" t="s">
        <v>30989</v>
      </c>
      <c r="F464" s="19" t="s">
        <v>35977</v>
      </c>
      <c r="G464" s="18" t="str">
        <f>"72756"</f>
        <v>72756</v>
      </c>
      <c r="H464" s="19" t="s">
        <v>31024</v>
      </c>
      <c r="I464" s="20">
        <v>17.777999999999999</v>
      </c>
      <c r="J464" s="44" t="s">
        <v>8</v>
      </c>
      <c r="K464" s="23" t="s">
        <v>8</v>
      </c>
      <c r="L464" s="23" t="s">
        <v>8</v>
      </c>
      <c r="M464" s="23" t="s">
        <v>8</v>
      </c>
    </row>
    <row r="465" spans="1:13" s="21" customFormat="1" x14ac:dyDescent="0.25">
      <c r="A465" s="22" t="s">
        <v>8</v>
      </c>
      <c r="B465" s="18" t="str">
        <f>"045214"</f>
        <v>045214</v>
      </c>
      <c r="C465" s="19" t="s">
        <v>470</v>
      </c>
      <c r="D465" s="19" t="s">
        <v>15899</v>
      </c>
      <c r="E465" s="19" t="s">
        <v>31015</v>
      </c>
      <c r="F465" s="19" t="s">
        <v>35977</v>
      </c>
      <c r="G465" s="18" t="str">
        <f>"71730"</f>
        <v>71730</v>
      </c>
      <c r="H465" s="19" t="s">
        <v>33554</v>
      </c>
      <c r="I465" s="20">
        <v>17.048999999999999</v>
      </c>
      <c r="J465" s="44" t="s">
        <v>8</v>
      </c>
      <c r="K465" s="23" t="s">
        <v>8</v>
      </c>
      <c r="L465" s="23" t="s">
        <v>8</v>
      </c>
      <c r="M465" s="23" t="s">
        <v>8</v>
      </c>
    </row>
    <row r="466" spans="1:13" s="21" customFormat="1" x14ac:dyDescent="0.25">
      <c r="A466" s="22" t="s">
        <v>8</v>
      </c>
      <c r="B466" s="18" t="str">
        <f>"045216"</f>
        <v>045216</v>
      </c>
      <c r="C466" s="19" t="s">
        <v>471</v>
      </c>
      <c r="D466" s="19" t="s">
        <v>15900</v>
      </c>
      <c r="E466" s="19" t="s">
        <v>31028</v>
      </c>
      <c r="F466" s="19" t="s">
        <v>35977</v>
      </c>
      <c r="G466" s="18" t="str">
        <f>"71923"</f>
        <v>71923</v>
      </c>
      <c r="H466" s="19" t="s">
        <v>33967</v>
      </c>
      <c r="I466" s="20">
        <v>19.434999999999999</v>
      </c>
      <c r="J466" s="44" t="s">
        <v>8</v>
      </c>
      <c r="K466" s="23" t="s">
        <v>8</v>
      </c>
      <c r="L466" s="23" t="s">
        <v>8</v>
      </c>
      <c r="M466" s="23" t="s">
        <v>8</v>
      </c>
    </row>
    <row r="467" spans="1:13" s="21" customFormat="1" x14ac:dyDescent="0.25">
      <c r="A467" s="22" t="s">
        <v>8</v>
      </c>
      <c r="B467" s="18" t="str">
        <f>"045217"</f>
        <v>045217</v>
      </c>
      <c r="C467" s="19" t="s">
        <v>472</v>
      </c>
      <c r="D467" s="19" t="s">
        <v>15901</v>
      </c>
      <c r="E467" s="19" t="s">
        <v>31022</v>
      </c>
      <c r="F467" s="19" t="s">
        <v>35977</v>
      </c>
      <c r="G467" s="18" t="str">
        <f>"72301"</f>
        <v>72301</v>
      </c>
      <c r="H467" s="19" t="s">
        <v>36075</v>
      </c>
      <c r="I467" s="20">
        <v>20.419</v>
      </c>
      <c r="J467" s="44" t="s">
        <v>8</v>
      </c>
      <c r="K467" s="23" t="s">
        <v>8</v>
      </c>
      <c r="L467" s="23" t="s">
        <v>8</v>
      </c>
      <c r="M467" s="23" t="s">
        <v>8</v>
      </c>
    </row>
    <row r="468" spans="1:13" s="21" customFormat="1" x14ac:dyDescent="0.25">
      <c r="A468" s="22" t="s">
        <v>8</v>
      </c>
      <c r="B468" s="18" t="str">
        <f>"045218"</f>
        <v>045218</v>
      </c>
      <c r="C468" s="19" t="s">
        <v>473</v>
      </c>
      <c r="D468" s="19" t="s">
        <v>15902</v>
      </c>
      <c r="E468" s="19" t="s">
        <v>31029</v>
      </c>
      <c r="F468" s="19" t="s">
        <v>35977</v>
      </c>
      <c r="G468" s="18" t="str">
        <f>"72635"</f>
        <v>72635</v>
      </c>
      <c r="H468" s="19" t="s">
        <v>32482</v>
      </c>
      <c r="I468" s="20">
        <v>19.282</v>
      </c>
      <c r="J468" s="44" t="s">
        <v>8</v>
      </c>
      <c r="K468" s="23" t="s">
        <v>8</v>
      </c>
      <c r="L468" s="23" t="s">
        <v>8</v>
      </c>
      <c r="M468" s="23" t="s">
        <v>8</v>
      </c>
    </row>
    <row r="469" spans="1:13" s="21" customFormat="1" x14ac:dyDescent="0.25">
      <c r="A469" s="22" t="s">
        <v>8</v>
      </c>
      <c r="B469" s="18" t="str">
        <f>"045219"</f>
        <v>045219</v>
      </c>
      <c r="C469" s="19" t="s">
        <v>474</v>
      </c>
      <c r="D469" s="19" t="s">
        <v>15903</v>
      </c>
      <c r="E469" s="19" t="s">
        <v>30983</v>
      </c>
      <c r="F469" s="19" t="s">
        <v>35977</v>
      </c>
      <c r="G469" s="18" t="str">
        <f>"72335"</f>
        <v>72335</v>
      </c>
      <c r="H469" s="19" t="s">
        <v>35635</v>
      </c>
      <c r="I469" s="20">
        <v>21.241</v>
      </c>
      <c r="J469" s="44" t="s">
        <v>8</v>
      </c>
      <c r="K469" s="23" t="s">
        <v>8</v>
      </c>
      <c r="L469" s="23" t="s">
        <v>8</v>
      </c>
      <c r="M469" s="23" t="s">
        <v>8</v>
      </c>
    </row>
    <row r="470" spans="1:13" s="21" customFormat="1" x14ac:dyDescent="0.25">
      <c r="A470" s="22" t="s">
        <v>8</v>
      </c>
      <c r="B470" s="18" t="str">
        <f>"045220"</f>
        <v>045220</v>
      </c>
      <c r="C470" s="19" t="s">
        <v>475</v>
      </c>
      <c r="D470" s="19" t="s">
        <v>15904</v>
      </c>
      <c r="E470" s="19" t="s">
        <v>30991</v>
      </c>
      <c r="F470" s="19" t="s">
        <v>35977</v>
      </c>
      <c r="G470" s="18" t="str">
        <f>"72703"</f>
        <v>72703</v>
      </c>
      <c r="H470" s="19" t="s">
        <v>31500</v>
      </c>
      <c r="I470" s="20">
        <v>15.977</v>
      </c>
      <c r="J470" s="44" t="s">
        <v>8</v>
      </c>
      <c r="K470" s="23" t="s">
        <v>8</v>
      </c>
      <c r="L470" s="23" t="s">
        <v>8</v>
      </c>
      <c r="M470" s="23" t="s">
        <v>8</v>
      </c>
    </row>
    <row r="471" spans="1:13" s="21" customFormat="1" x14ac:dyDescent="0.25">
      <c r="A471" s="22" t="s">
        <v>8</v>
      </c>
      <c r="B471" s="18" t="str">
        <f>"045221"</f>
        <v>045221</v>
      </c>
      <c r="C471" s="19" t="s">
        <v>476</v>
      </c>
      <c r="D471" s="19" t="s">
        <v>15905</v>
      </c>
      <c r="E471" s="19" t="s">
        <v>31030</v>
      </c>
      <c r="F471" s="19" t="s">
        <v>35977</v>
      </c>
      <c r="G471" s="18" t="str">
        <f>"72342"</f>
        <v>72342</v>
      </c>
      <c r="H471" s="19" t="s">
        <v>35674</v>
      </c>
      <c r="I471" s="20">
        <v>20.765000000000001</v>
      </c>
      <c r="J471" s="44" t="s">
        <v>8</v>
      </c>
      <c r="K471" s="23" t="s">
        <v>8</v>
      </c>
      <c r="L471" s="23" t="s">
        <v>8</v>
      </c>
      <c r="M471" s="23" t="s">
        <v>8</v>
      </c>
    </row>
    <row r="472" spans="1:13" s="21" customFormat="1" x14ac:dyDescent="0.25">
      <c r="A472" s="22" t="s">
        <v>8</v>
      </c>
      <c r="B472" s="18" t="str">
        <f>"045222"</f>
        <v>045222</v>
      </c>
      <c r="C472" s="19" t="s">
        <v>477</v>
      </c>
      <c r="D472" s="19" t="s">
        <v>15906</v>
      </c>
      <c r="E472" s="19" t="s">
        <v>31031</v>
      </c>
      <c r="F472" s="19" t="s">
        <v>35977</v>
      </c>
      <c r="G472" s="18" t="str">
        <f>"72101"</f>
        <v>72101</v>
      </c>
      <c r="H472" s="19" t="s">
        <v>35078</v>
      </c>
      <c r="I472" s="20">
        <v>19.082999999999998</v>
      </c>
      <c r="J472" s="44" t="s">
        <v>8</v>
      </c>
      <c r="K472" s="23" t="s">
        <v>8</v>
      </c>
      <c r="L472" s="23" t="s">
        <v>8</v>
      </c>
      <c r="M472" s="23" t="s">
        <v>8</v>
      </c>
    </row>
    <row r="473" spans="1:13" s="21" customFormat="1" x14ac:dyDescent="0.25">
      <c r="A473" s="22" t="s">
        <v>8</v>
      </c>
      <c r="B473" s="18" t="str">
        <f>"045227"</f>
        <v>045227</v>
      </c>
      <c r="C473" s="19" t="s">
        <v>478</v>
      </c>
      <c r="D473" s="19" t="s">
        <v>15907</v>
      </c>
      <c r="E473" s="19" t="s">
        <v>31032</v>
      </c>
      <c r="F473" s="19" t="s">
        <v>35977</v>
      </c>
      <c r="G473" s="18" t="str">
        <f>"71822"</f>
        <v>71822</v>
      </c>
      <c r="H473" s="19" t="s">
        <v>32667</v>
      </c>
      <c r="I473" s="20">
        <v>22.452999999999999</v>
      </c>
      <c r="J473" s="44" t="s">
        <v>8</v>
      </c>
      <c r="K473" s="23" t="s">
        <v>8</v>
      </c>
      <c r="L473" s="23" t="s">
        <v>8</v>
      </c>
      <c r="M473" s="23" t="s">
        <v>8</v>
      </c>
    </row>
    <row r="474" spans="1:13" s="21" customFormat="1" x14ac:dyDescent="0.25">
      <c r="A474" s="22" t="s">
        <v>8</v>
      </c>
      <c r="B474" s="18" t="str">
        <f>"045228"</f>
        <v>045228</v>
      </c>
      <c r="C474" s="19" t="s">
        <v>479</v>
      </c>
      <c r="D474" s="19" t="s">
        <v>15908</v>
      </c>
      <c r="E474" s="19" t="s">
        <v>31033</v>
      </c>
      <c r="F474" s="19" t="s">
        <v>35977</v>
      </c>
      <c r="G474" s="18" t="str">
        <f>"72064"</f>
        <v>72064</v>
      </c>
      <c r="H474" s="19" t="s">
        <v>36076</v>
      </c>
      <c r="I474" s="20">
        <v>18.085999999999999</v>
      </c>
      <c r="J474" s="44" t="s">
        <v>8</v>
      </c>
      <c r="K474" s="23" t="s">
        <v>8</v>
      </c>
      <c r="L474" s="23" t="s">
        <v>8</v>
      </c>
      <c r="M474" s="23" t="s">
        <v>8</v>
      </c>
    </row>
    <row r="475" spans="1:13" s="21" customFormat="1" x14ac:dyDescent="0.25">
      <c r="A475" s="22" t="s">
        <v>8</v>
      </c>
      <c r="B475" s="18" t="str">
        <f>"045229"</f>
        <v>045229</v>
      </c>
      <c r="C475" s="19" t="s">
        <v>480</v>
      </c>
      <c r="D475" s="19" t="s">
        <v>15909</v>
      </c>
      <c r="E475" s="19" t="s">
        <v>30982</v>
      </c>
      <c r="F475" s="19" t="s">
        <v>35977</v>
      </c>
      <c r="G475" s="18" t="str">
        <f>"71953"</f>
        <v>71953</v>
      </c>
      <c r="H475" s="19" t="s">
        <v>36062</v>
      </c>
      <c r="I475" s="20">
        <v>18.832999999999998</v>
      </c>
      <c r="J475" s="44" t="s">
        <v>8</v>
      </c>
      <c r="K475" s="23" t="s">
        <v>8</v>
      </c>
      <c r="L475" s="23" t="s">
        <v>8</v>
      </c>
      <c r="M475" s="23" t="s">
        <v>8</v>
      </c>
    </row>
    <row r="476" spans="1:13" s="21" customFormat="1" x14ac:dyDescent="0.25">
      <c r="A476" s="22" t="s">
        <v>8</v>
      </c>
      <c r="B476" s="18" t="str">
        <f>"045232"</f>
        <v>045232</v>
      </c>
      <c r="C476" s="19" t="s">
        <v>481</v>
      </c>
      <c r="D476" s="19" t="s">
        <v>15910</v>
      </c>
      <c r="E476" s="19" t="s">
        <v>31034</v>
      </c>
      <c r="F476" s="19" t="s">
        <v>35977</v>
      </c>
      <c r="G476" s="18" t="str">
        <f>"71860"</f>
        <v>71860</v>
      </c>
      <c r="H476" s="19" t="s">
        <v>30892</v>
      </c>
      <c r="I476" s="20">
        <v>18.731999999999999</v>
      </c>
      <c r="J476" s="44" t="s">
        <v>8</v>
      </c>
      <c r="K476" s="23" t="s">
        <v>8</v>
      </c>
      <c r="L476" s="23" t="s">
        <v>8</v>
      </c>
      <c r="M476" s="23" t="s">
        <v>8</v>
      </c>
    </row>
    <row r="477" spans="1:13" s="21" customFormat="1" x14ac:dyDescent="0.25">
      <c r="A477" s="22" t="s">
        <v>8</v>
      </c>
      <c r="B477" s="18" t="str">
        <f>"045235"</f>
        <v>045235</v>
      </c>
      <c r="C477" s="19" t="s">
        <v>482</v>
      </c>
      <c r="D477" s="19" t="s">
        <v>15911</v>
      </c>
      <c r="E477" s="19" t="s">
        <v>30990</v>
      </c>
      <c r="F477" s="19" t="s">
        <v>35977</v>
      </c>
      <c r="G477" s="18" t="str">
        <f>"71901"</f>
        <v>71901</v>
      </c>
      <c r="H477" s="19" t="s">
        <v>35286</v>
      </c>
      <c r="I477" s="20">
        <v>25.346</v>
      </c>
      <c r="J477" s="44" t="s">
        <v>8</v>
      </c>
      <c r="K477" s="23" t="s">
        <v>8</v>
      </c>
      <c r="L477" s="23" t="s">
        <v>8</v>
      </c>
      <c r="M477" s="23" t="s">
        <v>8</v>
      </c>
    </row>
    <row r="478" spans="1:13" s="21" customFormat="1" x14ac:dyDescent="0.25">
      <c r="A478" s="22" t="s">
        <v>8</v>
      </c>
      <c r="B478" s="18" t="str">
        <f>"045236"</f>
        <v>045236</v>
      </c>
      <c r="C478" s="19" t="s">
        <v>483</v>
      </c>
      <c r="D478" s="19" t="s">
        <v>15912</v>
      </c>
      <c r="E478" s="19" t="s">
        <v>31035</v>
      </c>
      <c r="F478" s="19" t="s">
        <v>35977</v>
      </c>
      <c r="G478" s="18" t="str">
        <f>"72040"</f>
        <v>72040</v>
      </c>
      <c r="H478" s="19" t="s">
        <v>36076</v>
      </c>
      <c r="I478" s="20">
        <v>22.823</v>
      </c>
      <c r="J478" s="44" t="s">
        <v>8</v>
      </c>
      <c r="K478" s="23" t="s">
        <v>8</v>
      </c>
      <c r="L478" s="23" t="s">
        <v>8</v>
      </c>
      <c r="M478" s="23" t="s">
        <v>8</v>
      </c>
    </row>
    <row r="479" spans="1:13" s="21" customFormat="1" x14ac:dyDescent="0.25">
      <c r="A479" s="22" t="s">
        <v>8</v>
      </c>
      <c r="B479" s="18" t="str">
        <f>"045239"</f>
        <v>045239</v>
      </c>
      <c r="C479" s="19" t="s">
        <v>484</v>
      </c>
      <c r="D479" s="19" t="s">
        <v>15913</v>
      </c>
      <c r="E479" s="19" t="s">
        <v>30986</v>
      </c>
      <c r="F479" s="19" t="s">
        <v>35977</v>
      </c>
      <c r="G479" s="18" t="str">
        <f>"71655"</f>
        <v>71655</v>
      </c>
      <c r="H479" s="19" t="s">
        <v>36064</v>
      </c>
      <c r="I479" s="20">
        <v>22.675000000000001</v>
      </c>
      <c r="J479" s="44" t="s">
        <v>8</v>
      </c>
      <c r="K479" s="23" t="s">
        <v>8</v>
      </c>
      <c r="L479" s="23" t="s">
        <v>8</v>
      </c>
      <c r="M479" s="23" t="s">
        <v>8</v>
      </c>
    </row>
    <row r="480" spans="1:13" s="21" customFormat="1" x14ac:dyDescent="0.25">
      <c r="A480" s="22" t="s">
        <v>8</v>
      </c>
      <c r="B480" s="18" t="str">
        <f>"045241"</f>
        <v>045241</v>
      </c>
      <c r="C480" s="19" t="s">
        <v>485</v>
      </c>
      <c r="D480" s="19" t="s">
        <v>15914</v>
      </c>
      <c r="E480" s="19" t="s">
        <v>31021</v>
      </c>
      <c r="F480" s="19" t="s">
        <v>35977</v>
      </c>
      <c r="G480" s="18" t="str">
        <f>"71854"</f>
        <v>71854</v>
      </c>
      <c r="H480" s="19" t="s">
        <v>35139</v>
      </c>
      <c r="I480" s="20">
        <v>21.919</v>
      </c>
      <c r="J480" s="44" t="s">
        <v>8</v>
      </c>
      <c r="K480" s="23" t="s">
        <v>8</v>
      </c>
      <c r="L480" s="23" t="s">
        <v>8</v>
      </c>
      <c r="M480" s="23" t="s">
        <v>8</v>
      </c>
    </row>
    <row r="481" spans="1:13" s="21" customFormat="1" x14ac:dyDescent="0.25">
      <c r="A481" s="22" t="s">
        <v>8</v>
      </c>
      <c r="B481" s="18" t="str">
        <f>"045242"</f>
        <v>045242</v>
      </c>
      <c r="C481" s="19" t="s">
        <v>486</v>
      </c>
      <c r="D481" s="19" t="s">
        <v>15915</v>
      </c>
      <c r="E481" s="19" t="s">
        <v>31036</v>
      </c>
      <c r="F481" s="19" t="s">
        <v>35977</v>
      </c>
      <c r="G481" s="18" t="str">
        <f>"72632"</f>
        <v>72632</v>
      </c>
      <c r="H481" s="19" t="s">
        <v>32334</v>
      </c>
      <c r="I481" s="20">
        <v>18.667000000000002</v>
      </c>
      <c r="J481" s="44" t="s">
        <v>8</v>
      </c>
      <c r="K481" s="23" t="s">
        <v>8</v>
      </c>
      <c r="L481" s="23" t="s">
        <v>8</v>
      </c>
      <c r="M481" s="23" t="s">
        <v>8</v>
      </c>
    </row>
    <row r="482" spans="1:13" s="21" customFormat="1" x14ac:dyDescent="0.25">
      <c r="A482" s="22" t="s">
        <v>8</v>
      </c>
      <c r="B482" s="18" t="str">
        <f>"045243"</f>
        <v>045243</v>
      </c>
      <c r="C482" s="19" t="s">
        <v>487</v>
      </c>
      <c r="D482" s="19" t="s">
        <v>15916</v>
      </c>
      <c r="E482" s="19" t="s">
        <v>30990</v>
      </c>
      <c r="F482" s="19" t="s">
        <v>35977</v>
      </c>
      <c r="G482" s="18" t="str">
        <f>"71901"</f>
        <v>71901</v>
      </c>
      <c r="H482" s="19" t="s">
        <v>35286</v>
      </c>
      <c r="I482" s="20">
        <v>25.6</v>
      </c>
      <c r="J482" s="44" t="s">
        <v>8</v>
      </c>
      <c r="K482" s="23" t="s">
        <v>8</v>
      </c>
      <c r="L482" s="23" t="s">
        <v>8</v>
      </c>
      <c r="M482" s="23" t="s">
        <v>8</v>
      </c>
    </row>
    <row r="483" spans="1:13" s="21" customFormat="1" x14ac:dyDescent="0.25">
      <c r="A483" s="22" t="s">
        <v>8</v>
      </c>
      <c r="B483" s="18" t="str">
        <f>"045244"</f>
        <v>045244</v>
      </c>
      <c r="C483" s="19" t="s">
        <v>488</v>
      </c>
      <c r="D483" s="19" t="s">
        <v>15917</v>
      </c>
      <c r="E483" s="19" t="s">
        <v>31032</v>
      </c>
      <c r="F483" s="19" t="s">
        <v>35977</v>
      </c>
      <c r="G483" s="18" t="str">
        <f>"71822"</f>
        <v>71822</v>
      </c>
      <c r="H483" s="19" t="s">
        <v>32667</v>
      </c>
      <c r="I483" s="20">
        <v>17.707000000000001</v>
      </c>
      <c r="J483" s="44" t="s">
        <v>8</v>
      </c>
      <c r="K483" s="23" t="s">
        <v>8</v>
      </c>
      <c r="L483" s="23" t="s">
        <v>8</v>
      </c>
      <c r="M483" s="23" t="s">
        <v>8</v>
      </c>
    </row>
    <row r="484" spans="1:13" s="21" customFormat="1" x14ac:dyDescent="0.25">
      <c r="A484" s="22" t="s">
        <v>8</v>
      </c>
      <c r="B484" s="18" t="str">
        <f>"045245"</f>
        <v>045245</v>
      </c>
      <c r="C484" s="19" t="s">
        <v>489</v>
      </c>
      <c r="D484" s="19" t="s">
        <v>15918</v>
      </c>
      <c r="E484" s="19" t="s">
        <v>31016</v>
      </c>
      <c r="F484" s="19" t="s">
        <v>35977</v>
      </c>
      <c r="G484" s="18" t="str">
        <f>"72032"</f>
        <v>72032</v>
      </c>
      <c r="H484" s="19" t="s">
        <v>36074</v>
      </c>
      <c r="I484" s="20">
        <v>19.254000000000001</v>
      </c>
      <c r="J484" s="44" t="s">
        <v>8</v>
      </c>
      <c r="K484" s="23" t="s">
        <v>8</v>
      </c>
      <c r="L484" s="23" t="s">
        <v>8</v>
      </c>
      <c r="M484" s="23" t="s">
        <v>8</v>
      </c>
    </row>
    <row r="485" spans="1:13" s="21" customFormat="1" x14ac:dyDescent="0.25">
      <c r="A485" s="22" t="s">
        <v>8</v>
      </c>
      <c r="B485" s="18" t="str">
        <f>"045246"</f>
        <v>045246</v>
      </c>
      <c r="C485" s="19" t="s">
        <v>490</v>
      </c>
      <c r="D485" s="19" t="s">
        <v>15919</v>
      </c>
      <c r="E485" s="19" t="s">
        <v>31037</v>
      </c>
      <c r="F485" s="19" t="s">
        <v>35977</v>
      </c>
      <c r="G485" s="18" t="str">
        <f>"72126"</f>
        <v>72126</v>
      </c>
      <c r="H485" s="19" t="s">
        <v>31503</v>
      </c>
      <c r="I485" s="20">
        <v>17.260000000000002</v>
      </c>
      <c r="J485" s="44" t="s">
        <v>8</v>
      </c>
      <c r="K485" s="23" t="s">
        <v>8</v>
      </c>
      <c r="L485" s="23" t="s">
        <v>8</v>
      </c>
      <c r="M485" s="23" t="s">
        <v>8</v>
      </c>
    </row>
    <row r="486" spans="1:13" s="21" customFormat="1" x14ac:dyDescent="0.25">
      <c r="A486" s="22" t="s">
        <v>8</v>
      </c>
      <c r="B486" s="18" t="str">
        <f>"045247"</f>
        <v>045247</v>
      </c>
      <c r="C486" s="19" t="s">
        <v>491</v>
      </c>
      <c r="D486" s="19" t="s">
        <v>15920</v>
      </c>
      <c r="E486" s="19" t="s">
        <v>30818</v>
      </c>
      <c r="F486" s="19" t="s">
        <v>35977</v>
      </c>
      <c r="G486" s="18" t="str">
        <f>"72801"</f>
        <v>72801</v>
      </c>
      <c r="H486" s="19" t="s">
        <v>36077</v>
      </c>
      <c r="I486" s="20">
        <v>17.609000000000002</v>
      </c>
      <c r="J486" s="44" t="s">
        <v>8</v>
      </c>
      <c r="K486" s="23" t="s">
        <v>8</v>
      </c>
      <c r="L486" s="23" t="s">
        <v>8</v>
      </c>
      <c r="M486" s="23" t="s">
        <v>8</v>
      </c>
    </row>
    <row r="487" spans="1:13" s="21" customFormat="1" x14ac:dyDescent="0.25">
      <c r="A487" s="22" t="s">
        <v>8</v>
      </c>
      <c r="B487" s="18" t="str">
        <f>"045248"</f>
        <v>045248</v>
      </c>
      <c r="C487" s="19" t="s">
        <v>492</v>
      </c>
      <c r="D487" s="19" t="s">
        <v>15921</v>
      </c>
      <c r="E487" s="19" t="s">
        <v>31038</v>
      </c>
      <c r="F487" s="19" t="s">
        <v>35977</v>
      </c>
      <c r="G487" s="18" t="str">
        <f>"72576"</f>
        <v>72576</v>
      </c>
      <c r="H487" s="19" t="s">
        <v>32194</v>
      </c>
      <c r="I487" s="20">
        <v>22.78</v>
      </c>
      <c r="J487" s="44" t="s">
        <v>8</v>
      </c>
      <c r="K487" s="23" t="s">
        <v>8</v>
      </c>
      <c r="L487" s="23" t="s">
        <v>8</v>
      </c>
      <c r="M487" s="23" t="s">
        <v>8</v>
      </c>
    </row>
    <row r="488" spans="1:13" s="21" customFormat="1" x14ac:dyDescent="0.25">
      <c r="A488" s="22" t="s">
        <v>8</v>
      </c>
      <c r="B488" s="18" t="str">
        <f>"045250"</f>
        <v>045250</v>
      </c>
      <c r="C488" s="19" t="s">
        <v>493</v>
      </c>
      <c r="D488" s="19" t="s">
        <v>15922</v>
      </c>
      <c r="E488" s="19" t="s">
        <v>31007</v>
      </c>
      <c r="F488" s="19" t="s">
        <v>35977</v>
      </c>
      <c r="G488" s="18" t="str">
        <f>"72653"</f>
        <v>72653</v>
      </c>
      <c r="H488" s="19" t="s">
        <v>32482</v>
      </c>
      <c r="I488" s="20">
        <v>15.814</v>
      </c>
      <c r="J488" s="44" t="s">
        <v>8</v>
      </c>
      <c r="K488" s="23" t="s">
        <v>8</v>
      </c>
      <c r="L488" s="23" t="s">
        <v>8</v>
      </c>
      <c r="M488" s="23" t="s">
        <v>8</v>
      </c>
    </row>
    <row r="489" spans="1:13" s="21" customFormat="1" x14ac:dyDescent="0.25">
      <c r="A489" s="22" t="s">
        <v>8</v>
      </c>
      <c r="B489" s="18" t="str">
        <f>"045254"</f>
        <v>045254</v>
      </c>
      <c r="C489" s="19" t="s">
        <v>494</v>
      </c>
      <c r="D489" s="19" t="s">
        <v>15923</v>
      </c>
      <c r="E489" s="19" t="s">
        <v>30990</v>
      </c>
      <c r="F489" s="19" t="s">
        <v>35977</v>
      </c>
      <c r="G489" s="18" t="str">
        <f>"71901"</f>
        <v>71901</v>
      </c>
      <c r="H489" s="19" t="s">
        <v>35286</v>
      </c>
      <c r="I489" s="20">
        <v>20.183</v>
      </c>
      <c r="J489" s="44" t="s">
        <v>8</v>
      </c>
      <c r="K489" s="23" t="s">
        <v>8</v>
      </c>
      <c r="L489" s="23" t="s">
        <v>8</v>
      </c>
      <c r="M489" s="23" t="s">
        <v>8</v>
      </c>
    </row>
    <row r="490" spans="1:13" s="21" customFormat="1" x14ac:dyDescent="0.25">
      <c r="A490" s="22" t="s">
        <v>8</v>
      </c>
      <c r="B490" s="18" t="str">
        <f>"045256"</f>
        <v>045256</v>
      </c>
      <c r="C490" s="19" t="s">
        <v>495</v>
      </c>
      <c r="D490" s="19" t="s">
        <v>15924</v>
      </c>
      <c r="E490" s="19" t="s">
        <v>31039</v>
      </c>
      <c r="F490" s="19" t="s">
        <v>35977</v>
      </c>
      <c r="G490" s="18" t="str">
        <f>"72150"</f>
        <v>72150</v>
      </c>
      <c r="H490" s="19" t="s">
        <v>36078</v>
      </c>
      <c r="I490" s="20">
        <v>23.706</v>
      </c>
      <c r="J490" s="44" t="s">
        <v>8</v>
      </c>
      <c r="K490" s="23" t="s">
        <v>8</v>
      </c>
      <c r="L490" s="23" t="s">
        <v>8</v>
      </c>
      <c r="M490" s="23" t="s">
        <v>8</v>
      </c>
    </row>
    <row r="491" spans="1:13" s="21" customFormat="1" x14ac:dyDescent="0.25">
      <c r="A491" s="22" t="s">
        <v>8</v>
      </c>
      <c r="B491" s="18" t="str">
        <f>"045259"</f>
        <v>045259</v>
      </c>
      <c r="C491" s="19" t="s">
        <v>496</v>
      </c>
      <c r="D491" s="19" t="s">
        <v>15925</v>
      </c>
      <c r="E491" s="19" t="s">
        <v>31023</v>
      </c>
      <c r="F491" s="19" t="s">
        <v>35977</v>
      </c>
      <c r="G491" s="18" t="str">
        <f>"72205"</f>
        <v>72205</v>
      </c>
      <c r="H491" s="19" t="s">
        <v>31795</v>
      </c>
      <c r="I491" s="20">
        <v>20.725000000000001</v>
      </c>
      <c r="J491" s="44" t="s">
        <v>8</v>
      </c>
      <c r="K491" s="23" t="s">
        <v>8</v>
      </c>
      <c r="L491" s="23" t="s">
        <v>8</v>
      </c>
      <c r="M491" s="23" t="s">
        <v>8</v>
      </c>
    </row>
    <row r="492" spans="1:13" s="21" customFormat="1" x14ac:dyDescent="0.25">
      <c r="A492" s="22" t="s">
        <v>8</v>
      </c>
      <c r="B492" s="18" t="str">
        <f>"045266"</f>
        <v>045266</v>
      </c>
      <c r="C492" s="19" t="s">
        <v>497</v>
      </c>
      <c r="D492" s="19" t="s">
        <v>15926</v>
      </c>
      <c r="E492" s="19" t="s">
        <v>31040</v>
      </c>
      <c r="F492" s="19" t="s">
        <v>35977</v>
      </c>
      <c r="G492" s="18" t="str">
        <f>"71957"</f>
        <v>71957</v>
      </c>
      <c r="H492" s="19" t="s">
        <v>30833</v>
      </c>
      <c r="I492" s="20">
        <v>19.177</v>
      </c>
      <c r="J492" s="44" t="s">
        <v>8</v>
      </c>
      <c r="K492" s="23" t="s">
        <v>8</v>
      </c>
      <c r="L492" s="23" t="s">
        <v>8</v>
      </c>
      <c r="M492" s="23" t="s">
        <v>8</v>
      </c>
    </row>
    <row r="493" spans="1:13" s="21" customFormat="1" x14ac:dyDescent="0.25">
      <c r="A493" s="22" t="s">
        <v>8</v>
      </c>
      <c r="B493" s="18" t="str">
        <f>"045267"</f>
        <v>045267</v>
      </c>
      <c r="C493" s="19" t="s">
        <v>498</v>
      </c>
      <c r="D493" s="19" t="s">
        <v>15927</v>
      </c>
      <c r="E493" s="19" t="s">
        <v>31041</v>
      </c>
      <c r="F493" s="19" t="s">
        <v>35977</v>
      </c>
      <c r="G493" s="18" t="str">
        <f>"72904"</f>
        <v>72904</v>
      </c>
      <c r="H493" s="19" t="s">
        <v>31688</v>
      </c>
      <c r="I493" s="20">
        <v>20.236000000000001</v>
      </c>
      <c r="J493" s="44" t="s">
        <v>8</v>
      </c>
      <c r="K493" s="23" t="s">
        <v>8</v>
      </c>
      <c r="L493" s="23" t="s">
        <v>8</v>
      </c>
      <c r="M493" s="23" t="s">
        <v>8</v>
      </c>
    </row>
    <row r="494" spans="1:13" s="21" customFormat="1" x14ac:dyDescent="0.25">
      <c r="A494" s="22" t="s">
        <v>8</v>
      </c>
      <c r="B494" s="18" t="str">
        <f>"045268"</f>
        <v>045268</v>
      </c>
      <c r="C494" s="19" t="s">
        <v>499</v>
      </c>
      <c r="D494" s="19" t="s">
        <v>15928</v>
      </c>
      <c r="E494" s="19" t="s">
        <v>30993</v>
      </c>
      <c r="F494" s="19" t="s">
        <v>35977</v>
      </c>
      <c r="G494" s="18" t="str">
        <f>"72956"</f>
        <v>72956</v>
      </c>
      <c r="H494" s="19" t="s">
        <v>31759</v>
      </c>
      <c r="I494" s="20">
        <v>22.391999999999999</v>
      </c>
      <c r="J494" s="44" t="s">
        <v>8</v>
      </c>
      <c r="K494" s="23" t="s">
        <v>8</v>
      </c>
      <c r="L494" s="23" t="s">
        <v>8</v>
      </c>
      <c r="M494" s="23" t="s">
        <v>8</v>
      </c>
    </row>
    <row r="495" spans="1:13" s="21" customFormat="1" x14ac:dyDescent="0.25">
      <c r="A495" s="22" t="s">
        <v>8</v>
      </c>
      <c r="B495" s="18" t="str">
        <f>"045269"</f>
        <v>045269</v>
      </c>
      <c r="C495" s="19" t="s">
        <v>500</v>
      </c>
      <c r="D495" s="19" t="s">
        <v>15929</v>
      </c>
      <c r="E495" s="19" t="s">
        <v>31008</v>
      </c>
      <c r="F495" s="19" t="s">
        <v>35977</v>
      </c>
      <c r="G495" s="18" t="str">
        <f>"71667"</f>
        <v>71667</v>
      </c>
      <c r="H495" s="19" t="s">
        <v>31995</v>
      </c>
      <c r="I495" s="20">
        <v>18.280999999999999</v>
      </c>
      <c r="J495" s="44" t="s">
        <v>8</v>
      </c>
      <c r="K495" s="23" t="s">
        <v>8</v>
      </c>
      <c r="L495" s="23" t="s">
        <v>8</v>
      </c>
      <c r="M495" s="23" t="s">
        <v>8</v>
      </c>
    </row>
    <row r="496" spans="1:13" s="21" customFormat="1" x14ac:dyDescent="0.25">
      <c r="A496" s="22" t="s">
        <v>8</v>
      </c>
      <c r="B496" s="18" t="str">
        <f>"045270"</f>
        <v>045270</v>
      </c>
      <c r="C496" s="19" t="s">
        <v>501</v>
      </c>
      <c r="D496" s="19" t="s">
        <v>15930</v>
      </c>
      <c r="E496" s="19" t="s">
        <v>31042</v>
      </c>
      <c r="F496" s="19" t="s">
        <v>35977</v>
      </c>
      <c r="G496" s="18" t="str">
        <f>"72104"</f>
        <v>72104</v>
      </c>
      <c r="H496" s="19" t="s">
        <v>36079</v>
      </c>
      <c r="I496" s="20">
        <v>26.373000000000001</v>
      </c>
      <c r="J496" s="44" t="s">
        <v>8</v>
      </c>
      <c r="K496" s="23" t="s">
        <v>8</v>
      </c>
      <c r="L496" s="23" t="s">
        <v>8</v>
      </c>
      <c r="M496" s="23" t="s">
        <v>8</v>
      </c>
    </row>
    <row r="497" spans="1:13" s="21" customFormat="1" x14ac:dyDescent="0.25">
      <c r="A497" s="22" t="s">
        <v>8</v>
      </c>
      <c r="B497" s="18" t="str">
        <f>"045271"</f>
        <v>045271</v>
      </c>
      <c r="C497" s="19" t="s">
        <v>502</v>
      </c>
      <c r="D497" s="19" t="s">
        <v>15931</v>
      </c>
      <c r="E497" s="19" t="s">
        <v>31015</v>
      </c>
      <c r="F497" s="19" t="s">
        <v>35977</v>
      </c>
      <c r="G497" s="18" t="str">
        <f>"71730"</f>
        <v>71730</v>
      </c>
      <c r="H497" s="19" t="s">
        <v>33554</v>
      </c>
      <c r="I497" s="20">
        <v>15.929</v>
      </c>
      <c r="J497" s="44" t="s">
        <v>8</v>
      </c>
      <c r="K497" s="23" t="s">
        <v>8</v>
      </c>
      <c r="L497" s="23" t="s">
        <v>8</v>
      </c>
      <c r="M497" s="23" t="s">
        <v>8</v>
      </c>
    </row>
    <row r="498" spans="1:13" s="21" customFormat="1" x14ac:dyDescent="0.25">
      <c r="A498" s="22" t="s">
        <v>8</v>
      </c>
      <c r="B498" s="18" t="str">
        <f>"045275"</f>
        <v>045275</v>
      </c>
      <c r="C498" s="19" t="s">
        <v>503</v>
      </c>
      <c r="D498" s="19" t="s">
        <v>15932</v>
      </c>
      <c r="E498" s="19" t="s">
        <v>31015</v>
      </c>
      <c r="F498" s="19" t="s">
        <v>35977</v>
      </c>
      <c r="G498" s="18" t="str">
        <f>"71730"</f>
        <v>71730</v>
      </c>
      <c r="H498" s="19" t="s">
        <v>33554</v>
      </c>
      <c r="I498" s="20">
        <v>18.343</v>
      </c>
      <c r="J498" s="44" t="s">
        <v>8</v>
      </c>
      <c r="K498" s="23" t="s">
        <v>8</v>
      </c>
      <c r="L498" s="23" t="s">
        <v>8</v>
      </c>
      <c r="M498" s="23" t="s">
        <v>8</v>
      </c>
    </row>
    <row r="499" spans="1:13" s="21" customFormat="1" x14ac:dyDescent="0.25">
      <c r="A499" s="22" t="s">
        <v>8</v>
      </c>
      <c r="B499" s="18" t="str">
        <f>"045277"</f>
        <v>045277</v>
      </c>
      <c r="C499" s="19" t="s">
        <v>504</v>
      </c>
      <c r="D499" s="19" t="s">
        <v>15933</v>
      </c>
      <c r="E499" s="19" t="s">
        <v>31043</v>
      </c>
      <c r="F499" s="19" t="s">
        <v>35977</v>
      </c>
      <c r="G499" s="18" t="str">
        <f>"71603"</f>
        <v>71603</v>
      </c>
      <c r="H499" s="19" t="s">
        <v>32391</v>
      </c>
      <c r="I499" s="20">
        <v>22.169</v>
      </c>
      <c r="J499" s="44" t="s">
        <v>8</v>
      </c>
      <c r="K499" s="23" t="s">
        <v>8</v>
      </c>
      <c r="L499" s="23" t="s">
        <v>8</v>
      </c>
      <c r="M499" s="23" t="s">
        <v>8</v>
      </c>
    </row>
    <row r="500" spans="1:13" s="21" customFormat="1" x14ac:dyDescent="0.25">
      <c r="A500" s="22" t="s">
        <v>8</v>
      </c>
      <c r="B500" s="18" t="str">
        <f>"045280"</f>
        <v>045280</v>
      </c>
      <c r="C500" s="19" t="s">
        <v>505</v>
      </c>
      <c r="D500" s="19" t="s">
        <v>15934</v>
      </c>
      <c r="E500" s="19" t="s">
        <v>31044</v>
      </c>
      <c r="F500" s="19" t="s">
        <v>35977</v>
      </c>
      <c r="G500" s="18" t="str">
        <f>"72634"</f>
        <v>72634</v>
      </c>
      <c r="H500" s="19" t="s">
        <v>30850</v>
      </c>
      <c r="I500" s="20">
        <v>19.994</v>
      </c>
      <c r="J500" s="44" t="s">
        <v>8</v>
      </c>
      <c r="K500" s="23" t="s">
        <v>8</v>
      </c>
      <c r="L500" s="23" t="s">
        <v>8</v>
      </c>
      <c r="M500" s="23" t="s">
        <v>8</v>
      </c>
    </row>
    <row r="501" spans="1:13" s="21" customFormat="1" x14ac:dyDescent="0.25">
      <c r="A501" s="22" t="s">
        <v>8</v>
      </c>
      <c r="B501" s="18" t="str">
        <f>"045284"</f>
        <v>045284</v>
      </c>
      <c r="C501" s="19" t="s">
        <v>506</v>
      </c>
      <c r="D501" s="19" t="s">
        <v>15935</v>
      </c>
      <c r="E501" s="19" t="s">
        <v>30985</v>
      </c>
      <c r="F501" s="19" t="s">
        <v>35977</v>
      </c>
      <c r="G501" s="18" t="str">
        <f>"72455"</f>
        <v>72455</v>
      </c>
      <c r="H501" s="19" t="s">
        <v>33068</v>
      </c>
      <c r="I501" s="20">
        <v>21.402000000000001</v>
      </c>
      <c r="J501" s="44" t="s">
        <v>8</v>
      </c>
      <c r="K501" s="23" t="s">
        <v>8</v>
      </c>
      <c r="L501" s="23" t="s">
        <v>8</v>
      </c>
      <c r="M501" s="23" t="s">
        <v>8</v>
      </c>
    </row>
    <row r="502" spans="1:13" s="21" customFormat="1" x14ac:dyDescent="0.25">
      <c r="A502" s="22" t="s">
        <v>8</v>
      </c>
      <c r="B502" s="18" t="str">
        <f>"045287"</f>
        <v>045287</v>
      </c>
      <c r="C502" s="19" t="s">
        <v>507</v>
      </c>
      <c r="D502" s="19" t="s">
        <v>15936</v>
      </c>
      <c r="E502" s="19" t="s">
        <v>31045</v>
      </c>
      <c r="F502" s="19" t="s">
        <v>35977</v>
      </c>
      <c r="G502" s="18" t="str">
        <f>"71832"</f>
        <v>71832</v>
      </c>
      <c r="H502" s="19" t="s">
        <v>36080</v>
      </c>
      <c r="I502" s="20">
        <v>22.515999999999998</v>
      </c>
      <c r="J502" s="44" t="s">
        <v>8</v>
      </c>
      <c r="K502" s="23" t="s">
        <v>8</v>
      </c>
      <c r="L502" s="23" t="s">
        <v>8</v>
      </c>
      <c r="M502" s="23" t="s">
        <v>8</v>
      </c>
    </row>
    <row r="503" spans="1:13" s="21" customFormat="1" x14ac:dyDescent="0.25">
      <c r="A503" s="22" t="s">
        <v>8</v>
      </c>
      <c r="B503" s="18" t="str">
        <f>"045288"</f>
        <v>045288</v>
      </c>
      <c r="C503" s="19" t="s">
        <v>508</v>
      </c>
      <c r="D503" s="19" t="s">
        <v>15937</v>
      </c>
      <c r="E503" s="19" t="s">
        <v>31023</v>
      </c>
      <c r="F503" s="19" t="s">
        <v>35977</v>
      </c>
      <c r="G503" s="18" t="str">
        <f>"72211"</f>
        <v>72211</v>
      </c>
      <c r="H503" s="19" t="s">
        <v>31795</v>
      </c>
      <c r="I503" s="20">
        <v>20.353999999999999</v>
      </c>
      <c r="J503" s="44" t="s">
        <v>8</v>
      </c>
      <c r="K503" s="23" t="s">
        <v>8</v>
      </c>
      <c r="L503" s="23" t="s">
        <v>8</v>
      </c>
      <c r="M503" s="23" t="s">
        <v>8</v>
      </c>
    </row>
    <row r="504" spans="1:13" s="21" customFormat="1" x14ac:dyDescent="0.25">
      <c r="A504" s="22" t="s">
        <v>8</v>
      </c>
      <c r="B504" s="18" t="str">
        <f>"045289"</f>
        <v>045289</v>
      </c>
      <c r="C504" s="19" t="s">
        <v>509</v>
      </c>
      <c r="D504" s="19" t="s">
        <v>15938</v>
      </c>
      <c r="E504" s="19" t="s">
        <v>31046</v>
      </c>
      <c r="F504" s="19" t="s">
        <v>35977</v>
      </c>
      <c r="G504" s="18" t="str">
        <f>"72086"</f>
        <v>72086</v>
      </c>
      <c r="H504" s="19" t="s">
        <v>31046</v>
      </c>
      <c r="I504" s="20">
        <v>20.59</v>
      </c>
      <c r="J504" s="44" t="s">
        <v>8</v>
      </c>
      <c r="K504" s="23" t="s">
        <v>8</v>
      </c>
      <c r="L504" s="23" t="s">
        <v>8</v>
      </c>
      <c r="M504" s="23" t="s">
        <v>8</v>
      </c>
    </row>
    <row r="505" spans="1:13" s="21" customFormat="1" x14ac:dyDescent="0.25">
      <c r="A505" s="22" t="s">
        <v>8</v>
      </c>
      <c r="B505" s="18" t="str">
        <f>"045290"</f>
        <v>045290</v>
      </c>
      <c r="C505" s="19" t="s">
        <v>510</v>
      </c>
      <c r="D505" s="19" t="s">
        <v>15939</v>
      </c>
      <c r="E505" s="19" t="s">
        <v>31047</v>
      </c>
      <c r="F505" s="19" t="s">
        <v>35977</v>
      </c>
      <c r="G505" s="18" t="str">
        <f>"72834"</f>
        <v>72834</v>
      </c>
      <c r="H505" s="19" t="s">
        <v>36061</v>
      </c>
      <c r="I505" s="20">
        <v>21.178999999999998</v>
      </c>
      <c r="J505" s="44" t="s">
        <v>8</v>
      </c>
      <c r="K505" s="23" t="s">
        <v>8</v>
      </c>
      <c r="L505" s="23" t="s">
        <v>8</v>
      </c>
      <c r="M505" s="23" t="s">
        <v>8</v>
      </c>
    </row>
    <row r="506" spans="1:13" s="21" customFormat="1" x14ac:dyDescent="0.25">
      <c r="A506" s="22" t="s">
        <v>8</v>
      </c>
      <c r="B506" s="18" t="str">
        <f>"045295"</f>
        <v>045295</v>
      </c>
      <c r="C506" s="19" t="s">
        <v>511</v>
      </c>
      <c r="D506" s="19" t="s">
        <v>15940</v>
      </c>
      <c r="E506" s="19" t="s">
        <v>31048</v>
      </c>
      <c r="F506" s="19" t="s">
        <v>35977</v>
      </c>
      <c r="G506" s="18" t="str">
        <f>"72616"</f>
        <v>72616</v>
      </c>
      <c r="H506" s="19" t="s">
        <v>32334</v>
      </c>
      <c r="I506" s="20">
        <v>18.231999999999999</v>
      </c>
      <c r="J506" s="44" t="s">
        <v>8</v>
      </c>
      <c r="K506" s="23" t="s">
        <v>8</v>
      </c>
      <c r="L506" s="23" t="s">
        <v>8</v>
      </c>
      <c r="M506" s="23" t="s">
        <v>8</v>
      </c>
    </row>
    <row r="507" spans="1:13" s="21" customFormat="1" x14ac:dyDescent="0.25">
      <c r="A507" s="22" t="s">
        <v>8</v>
      </c>
      <c r="B507" s="18" t="str">
        <f>"045297"</f>
        <v>045297</v>
      </c>
      <c r="C507" s="19" t="s">
        <v>512</v>
      </c>
      <c r="D507" s="19" t="s">
        <v>15941</v>
      </c>
      <c r="E507" s="19" t="s">
        <v>31049</v>
      </c>
      <c r="F507" s="19" t="s">
        <v>35977</v>
      </c>
      <c r="G507" s="18" t="str">
        <f>"72442"</f>
        <v>72442</v>
      </c>
      <c r="H507" s="19" t="s">
        <v>36081</v>
      </c>
      <c r="I507" s="20">
        <v>21.462</v>
      </c>
      <c r="J507" s="44" t="s">
        <v>8</v>
      </c>
      <c r="K507" s="23" t="s">
        <v>8</v>
      </c>
      <c r="L507" s="23" t="s">
        <v>8</v>
      </c>
      <c r="M507" s="23" t="s">
        <v>8</v>
      </c>
    </row>
    <row r="508" spans="1:13" s="21" customFormat="1" x14ac:dyDescent="0.25">
      <c r="A508" s="22" t="s">
        <v>8</v>
      </c>
      <c r="B508" s="18" t="str">
        <f>"045300"</f>
        <v>045300</v>
      </c>
      <c r="C508" s="19" t="s">
        <v>513</v>
      </c>
      <c r="D508" s="19" t="s">
        <v>15942</v>
      </c>
      <c r="E508" s="19" t="s">
        <v>31050</v>
      </c>
      <c r="F508" s="19" t="s">
        <v>35977</v>
      </c>
      <c r="G508" s="18" t="str">
        <f>"72855"</f>
        <v>72855</v>
      </c>
      <c r="H508" s="19" t="s">
        <v>32373</v>
      </c>
      <c r="I508" s="20">
        <v>15.878</v>
      </c>
      <c r="J508" s="44" t="s">
        <v>8</v>
      </c>
      <c r="K508" s="23" t="s">
        <v>8</v>
      </c>
      <c r="L508" s="23" t="s">
        <v>8</v>
      </c>
      <c r="M508" s="23" t="s">
        <v>8</v>
      </c>
    </row>
    <row r="509" spans="1:13" s="21" customFormat="1" x14ac:dyDescent="0.25">
      <c r="A509" s="22" t="s">
        <v>8</v>
      </c>
      <c r="B509" s="18" t="str">
        <f>"045301"</f>
        <v>045301</v>
      </c>
      <c r="C509" s="19" t="s">
        <v>514</v>
      </c>
      <c r="D509" s="19" t="s">
        <v>15943</v>
      </c>
      <c r="E509" s="19" t="s">
        <v>31051</v>
      </c>
      <c r="F509" s="19" t="s">
        <v>35977</v>
      </c>
      <c r="G509" s="18" t="str">
        <f>"72927"</f>
        <v>72927</v>
      </c>
      <c r="H509" s="19" t="s">
        <v>32373</v>
      </c>
      <c r="I509" s="20">
        <v>18.445</v>
      </c>
      <c r="J509" s="44" t="s">
        <v>8</v>
      </c>
      <c r="K509" s="23" t="s">
        <v>8</v>
      </c>
      <c r="L509" s="23" t="s">
        <v>8</v>
      </c>
      <c r="M509" s="23" t="s">
        <v>8</v>
      </c>
    </row>
    <row r="510" spans="1:13" s="21" customFormat="1" x14ac:dyDescent="0.25">
      <c r="A510" s="22" t="s">
        <v>8</v>
      </c>
      <c r="B510" s="18" t="str">
        <f>"045302"</f>
        <v>045302</v>
      </c>
      <c r="C510" s="19" t="s">
        <v>515</v>
      </c>
      <c r="D510" s="19" t="s">
        <v>15944</v>
      </c>
      <c r="E510" s="19" t="s">
        <v>30989</v>
      </c>
      <c r="F510" s="19" t="s">
        <v>35977</v>
      </c>
      <c r="G510" s="18" t="str">
        <f>"72758"</f>
        <v>72758</v>
      </c>
      <c r="H510" s="19" t="s">
        <v>31024</v>
      </c>
      <c r="I510" s="20">
        <v>17.218</v>
      </c>
      <c r="J510" s="44" t="s">
        <v>8</v>
      </c>
      <c r="K510" s="23" t="s">
        <v>8</v>
      </c>
      <c r="L510" s="23" t="s">
        <v>8</v>
      </c>
      <c r="M510" s="23" t="s">
        <v>8</v>
      </c>
    </row>
    <row r="511" spans="1:13" s="21" customFormat="1" x14ac:dyDescent="0.25">
      <c r="A511" s="22" t="s">
        <v>8</v>
      </c>
      <c r="B511" s="18" t="str">
        <f>"045303"</f>
        <v>045303</v>
      </c>
      <c r="C511" s="19" t="s">
        <v>516</v>
      </c>
      <c r="D511" s="19" t="s">
        <v>15945</v>
      </c>
      <c r="E511" s="19" t="s">
        <v>30988</v>
      </c>
      <c r="F511" s="19" t="s">
        <v>35977</v>
      </c>
      <c r="G511" s="18" t="str">
        <f>"72160"</f>
        <v>72160</v>
      </c>
      <c r="H511" s="19" t="s">
        <v>36065</v>
      </c>
      <c r="I511" s="20">
        <v>20.664999999999999</v>
      </c>
      <c r="J511" s="44" t="s">
        <v>8</v>
      </c>
      <c r="K511" s="23" t="s">
        <v>8</v>
      </c>
      <c r="L511" s="23" t="s">
        <v>8</v>
      </c>
      <c r="M511" s="23" t="s">
        <v>8</v>
      </c>
    </row>
    <row r="512" spans="1:13" s="21" customFormat="1" x14ac:dyDescent="0.25">
      <c r="A512" s="22" t="s">
        <v>8</v>
      </c>
      <c r="B512" s="18" t="str">
        <f>"045304"</f>
        <v>045304</v>
      </c>
      <c r="C512" s="19" t="s">
        <v>517</v>
      </c>
      <c r="D512" s="19" t="s">
        <v>15946</v>
      </c>
      <c r="E512" s="19" t="s">
        <v>31052</v>
      </c>
      <c r="F512" s="19" t="s">
        <v>35977</v>
      </c>
      <c r="G512" s="18" t="str">
        <f>"72012"</f>
        <v>72012</v>
      </c>
      <c r="H512" s="19" t="s">
        <v>35131</v>
      </c>
      <c r="I512" s="20">
        <v>21.891999999999999</v>
      </c>
      <c r="J512" s="44" t="s">
        <v>8</v>
      </c>
      <c r="K512" s="23" t="s">
        <v>8</v>
      </c>
      <c r="L512" s="23" t="s">
        <v>8</v>
      </c>
      <c r="M512" s="23" t="s">
        <v>8</v>
      </c>
    </row>
    <row r="513" spans="1:13" s="21" customFormat="1" x14ac:dyDescent="0.25">
      <c r="A513" s="22" t="s">
        <v>8</v>
      </c>
      <c r="B513" s="18" t="str">
        <f>"045305"</f>
        <v>045305</v>
      </c>
      <c r="C513" s="19" t="s">
        <v>518</v>
      </c>
      <c r="D513" s="19" t="s">
        <v>15947</v>
      </c>
      <c r="E513" s="19" t="s">
        <v>31053</v>
      </c>
      <c r="F513" s="19" t="s">
        <v>35977</v>
      </c>
      <c r="G513" s="18" t="str">
        <f>"72022"</f>
        <v>72022</v>
      </c>
      <c r="H513" s="19" t="s">
        <v>33206</v>
      </c>
      <c r="I513" s="20">
        <v>24.678999999999998</v>
      </c>
      <c r="J513" s="44" t="s">
        <v>8</v>
      </c>
      <c r="K513" s="23" t="s">
        <v>8</v>
      </c>
      <c r="L513" s="23" t="s">
        <v>8</v>
      </c>
      <c r="M513" s="23" t="s">
        <v>8</v>
      </c>
    </row>
    <row r="514" spans="1:13" s="21" customFormat="1" x14ac:dyDescent="0.25">
      <c r="A514" s="22" t="s">
        <v>8</v>
      </c>
      <c r="B514" s="18" t="str">
        <f>"045306"</f>
        <v>045306</v>
      </c>
      <c r="C514" s="19" t="s">
        <v>519</v>
      </c>
      <c r="D514" s="19" t="s">
        <v>15948</v>
      </c>
      <c r="E514" s="19" t="s">
        <v>30956</v>
      </c>
      <c r="F514" s="19" t="s">
        <v>35977</v>
      </c>
      <c r="G514" s="18" t="str">
        <f>"71857"</f>
        <v>71857</v>
      </c>
      <c r="H514" s="19" t="s">
        <v>32459</v>
      </c>
      <c r="I514" s="20">
        <v>19.094999999999999</v>
      </c>
      <c r="J514" s="44" t="s">
        <v>8</v>
      </c>
      <c r="K514" s="23" t="s">
        <v>8</v>
      </c>
      <c r="L514" s="23" t="s">
        <v>8</v>
      </c>
      <c r="M514" s="23" t="s">
        <v>8</v>
      </c>
    </row>
    <row r="515" spans="1:13" s="21" customFormat="1" x14ac:dyDescent="0.25">
      <c r="A515" s="22" t="s">
        <v>8</v>
      </c>
      <c r="B515" s="18" t="str">
        <f>"045307"</f>
        <v>045307</v>
      </c>
      <c r="C515" s="19" t="s">
        <v>520</v>
      </c>
      <c r="D515" s="19" t="s">
        <v>15949</v>
      </c>
      <c r="E515" s="19" t="s">
        <v>31043</v>
      </c>
      <c r="F515" s="19" t="s">
        <v>35977</v>
      </c>
      <c r="G515" s="18" t="str">
        <f>"71603"</f>
        <v>71603</v>
      </c>
      <c r="H515" s="19" t="s">
        <v>32391</v>
      </c>
      <c r="I515" s="20">
        <v>21.45</v>
      </c>
      <c r="J515" s="44" t="s">
        <v>8</v>
      </c>
      <c r="K515" s="23" t="s">
        <v>8</v>
      </c>
      <c r="L515" s="23" t="s">
        <v>8</v>
      </c>
      <c r="M515" s="23" t="s">
        <v>8</v>
      </c>
    </row>
    <row r="516" spans="1:13" s="21" customFormat="1" x14ac:dyDescent="0.25">
      <c r="A516" s="22" t="s">
        <v>8</v>
      </c>
      <c r="B516" s="18" t="str">
        <f>"045308"</f>
        <v>045308</v>
      </c>
      <c r="C516" s="19" t="s">
        <v>521</v>
      </c>
      <c r="D516" s="19" t="s">
        <v>15950</v>
      </c>
      <c r="E516" s="19" t="s">
        <v>31016</v>
      </c>
      <c r="F516" s="19" t="s">
        <v>35977</v>
      </c>
      <c r="G516" s="18" t="str">
        <f>"72034"</f>
        <v>72034</v>
      </c>
      <c r="H516" s="19" t="s">
        <v>36074</v>
      </c>
      <c r="I516" s="20">
        <v>24.867999999999999</v>
      </c>
      <c r="J516" s="44" t="s">
        <v>8</v>
      </c>
      <c r="K516" s="23" t="s">
        <v>8</v>
      </c>
      <c r="L516" s="23" t="s">
        <v>8</v>
      </c>
      <c r="M516" s="23" t="s">
        <v>8</v>
      </c>
    </row>
    <row r="517" spans="1:13" s="21" customFormat="1" x14ac:dyDescent="0.25">
      <c r="A517" s="22" t="s">
        <v>8</v>
      </c>
      <c r="B517" s="18" t="str">
        <f>"045311"</f>
        <v>045311</v>
      </c>
      <c r="C517" s="19" t="s">
        <v>522</v>
      </c>
      <c r="D517" s="19" t="s">
        <v>15951</v>
      </c>
      <c r="E517" s="19" t="s">
        <v>31043</v>
      </c>
      <c r="F517" s="19" t="s">
        <v>35977</v>
      </c>
      <c r="G517" s="18" t="str">
        <f>"71603"</f>
        <v>71603</v>
      </c>
      <c r="H517" s="19" t="s">
        <v>32391</v>
      </c>
      <c r="I517" s="20">
        <v>18.353999999999999</v>
      </c>
      <c r="J517" s="44" t="s">
        <v>8</v>
      </c>
      <c r="K517" s="23" t="s">
        <v>8</v>
      </c>
      <c r="L517" s="23" t="s">
        <v>8</v>
      </c>
      <c r="M517" s="23" t="s">
        <v>8</v>
      </c>
    </row>
    <row r="518" spans="1:13" s="21" customFormat="1" x14ac:dyDescent="0.25">
      <c r="A518" s="22" t="s">
        <v>8</v>
      </c>
      <c r="B518" s="18" t="str">
        <f>"045312"</f>
        <v>045312</v>
      </c>
      <c r="C518" s="19" t="s">
        <v>523</v>
      </c>
      <c r="D518" s="19" t="s">
        <v>15952</v>
      </c>
      <c r="E518" s="19" t="s">
        <v>31054</v>
      </c>
      <c r="F518" s="19" t="s">
        <v>35977</v>
      </c>
      <c r="G518" s="18" t="str">
        <f>"72447"</f>
        <v>72447</v>
      </c>
      <c r="H518" s="19" t="s">
        <v>36066</v>
      </c>
      <c r="I518" s="20">
        <v>20.260999999999999</v>
      </c>
      <c r="J518" s="44" t="s">
        <v>8</v>
      </c>
      <c r="K518" s="23" t="s">
        <v>8</v>
      </c>
      <c r="L518" s="23" t="s">
        <v>8</v>
      </c>
      <c r="M518" s="23" t="s">
        <v>8</v>
      </c>
    </row>
    <row r="519" spans="1:13" s="21" customFormat="1" x14ac:dyDescent="0.25">
      <c r="A519" s="22" t="s">
        <v>8</v>
      </c>
      <c r="B519" s="18" t="str">
        <f>"045313"</f>
        <v>045313</v>
      </c>
      <c r="C519" s="19" t="s">
        <v>524</v>
      </c>
      <c r="D519" s="19" t="s">
        <v>15953</v>
      </c>
      <c r="E519" s="19" t="s">
        <v>31016</v>
      </c>
      <c r="F519" s="19" t="s">
        <v>35977</v>
      </c>
      <c r="G519" s="18" t="str">
        <f>"72034"</f>
        <v>72034</v>
      </c>
      <c r="H519" s="19" t="s">
        <v>36074</v>
      </c>
      <c r="I519" s="20">
        <v>19.501999999999999</v>
      </c>
      <c r="J519" s="44" t="s">
        <v>8</v>
      </c>
      <c r="K519" s="23" t="s">
        <v>8</v>
      </c>
      <c r="L519" s="23" t="s">
        <v>8</v>
      </c>
      <c r="M519" s="23" t="s">
        <v>8</v>
      </c>
    </row>
    <row r="520" spans="1:13" s="21" customFormat="1" x14ac:dyDescent="0.25">
      <c r="A520" s="22" t="s">
        <v>8</v>
      </c>
      <c r="B520" s="18" t="str">
        <f>"045314"</f>
        <v>045314</v>
      </c>
      <c r="C520" s="19" t="s">
        <v>525</v>
      </c>
      <c r="D520" s="19" t="s">
        <v>15954</v>
      </c>
      <c r="E520" s="19" t="s">
        <v>31046</v>
      </c>
      <c r="F520" s="19" t="s">
        <v>35977</v>
      </c>
      <c r="G520" s="18" t="str">
        <f>"72086"</f>
        <v>72086</v>
      </c>
      <c r="H520" s="19" t="s">
        <v>31046</v>
      </c>
      <c r="I520" s="20">
        <v>23.952000000000002</v>
      </c>
      <c r="J520" s="44" t="s">
        <v>8</v>
      </c>
      <c r="K520" s="23" t="s">
        <v>8</v>
      </c>
      <c r="L520" s="23" t="s">
        <v>8</v>
      </c>
      <c r="M520" s="23" t="s">
        <v>8</v>
      </c>
    </row>
    <row r="521" spans="1:13" s="21" customFormat="1" x14ac:dyDescent="0.25">
      <c r="A521" s="22" t="s">
        <v>8</v>
      </c>
      <c r="B521" s="18" t="str">
        <f>"045315"</f>
        <v>045315</v>
      </c>
      <c r="C521" s="19" t="s">
        <v>526</v>
      </c>
      <c r="D521" s="19" t="s">
        <v>15955</v>
      </c>
      <c r="E521" s="19" t="s">
        <v>31055</v>
      </c>
      <c r="F521" s="19" t="s">
        <v>35977</v>
      </c>
      <c r="G521" s="18" t="str">
        <f>"72437"</f>
        <v>72437</v>
      </c>
      <c r="H521" s="19" t="s">
        <v>36066</v>
      </c>
      <c r="I521" s="20">
        <v>21.672000000000001</v>
      </c>
      <c r="J521" s="44" t="s">
        <v>8</v>
      </c>
      <c r="K521" s="23" t="s">
        <v>8</v>
      </c>
      <c r="L521" s="23" t="s">
        <v>8</v>
      </c>
      <c r="M521" s="23" t="s">
        <v>8</v>
      </c>
    </row>
    <row r="522" spans="1:13" s="21" customFormat="1" x14ac:dyDescent="0.25">
      <c r="A522" s="22" t="s">
        <v>8</v>
      </c>
      <c r="B522" s="18" t="str">
        <f>"045317"</f>
        <v>045317</v>
      </c>
      <c r="C522" s="19" t="s">
        <v>527</v>
      </c>
      <c r="D522" s="19" t="s">
        <v>15956</v>
      </c>
      <c r="E522" s="19" t="s">
        <v>30998</v>
      </c>
      <c r="F522" s="19" t="s">
        <v>35977</v>
      </c>
      <c r="G522" s="18" t="str">
        <f>"72501"</f>
        <v>72501</v>
      </c>
      <c r="H522" s="19" t="s">
        <v>32424</v>
      </c>
      <c r="I522" s="20">
        <v>18.14</v>
      </c>
      <c r="J522" s="44" t="s">
        <v>8</v>
      </c>
      <c r="K522" s="23" t="s">
        <v>8</v>
      </c>
      <c r="L522" s="23" t="s">
        <v>8</v>
      </c>
      <c r="M522" s="23" t="s">
        <v>8</v>
      </c>
    </row>
    <row r="523" spans="1:13" s="21" customFormat="1" x14ac:dyDescent="0.25">
      <c r="A523" s="22" t="s">
        <v>8</v>
      </c>
      <c r="B523" s="18" t="str">
        <f>"045318"</f>
        <v>045318</v>
      </c>
      <c r="C523" s="19" t="s">
        <v>528</v>
      </c>
      <c r="D523" s="19" t="s">
        <v>15957</v>
      </c>
      <c r="E523" s="19" t="s">
        <v>31056</v>
      </c>
      <c r="F523" s="19" t="s">
        <v>35977</v>
      </c>
      <c r="G523" s="18" t="str">
        <f>"72024"</f>
        <v>72024</v>
      </c>
      <c r="H523" s="19" t="s">
        <v>31046</v>
      </c>
      <c r="I523" s="20">
        <v>23.818000000000001</v>
      </c>
      <c r="J523" s="44" t="s">
        <v>8</v>
      </c>
      <c r="K523" s="23" t="s">
        <v>8</v>
      </c>
      <c r="L523" s="23" t="s">
        <v>8</v>
      </c>
      <c r="M523" s="23" t="s">
        <v>8</v>
      </c>
    </row>
    <row r="524" spans="1:13" s="21" customFormat="1" x14ac:dyDescent="0.25">
      <c r="A524" s="22" t="s">
        <v>8</v>
      </c>
      <c r="B524" s="18" t="str">
        <f>"045321"</f>
        <v>045321</v>
      </c>
      <c r="C524" s="19" t="s">
        <v>529</v>
      </c>
      <c r="D524" s="19" t="s">
        <v>15958</v>
      </c>
      <c r="E524" s="19" t="s">
        <v>30992</v>
      </c>
      <c r="F524" s="19" t="s">
        <v>35977</v>
      </c>
      <c r="G524" s="18" t="str">
        <f>"72401"</f>
        <v>72401</v>
      </c>
      <c r="H524" s="19" t="s">
        <v>36066</v>
      </c>
      <c r="I524" s="20">
        <v>19.696000000000002</v>
      </c>
      <c r="J524" s="44" t="s">
        <v>8</v>
      </c>
      <c r="K524" s="23" t="s">
        <v>8</v>
      </c>
      <c r="L524" s="23" t="s">
        <v>8</v>
      </c>
      <c r="M524" s="23" t="s">
        <v>8</v>
      </c>
    </row>
    <row r="525" spans="1:13" s="21" customFormat="1" x14ac:dyDescent="0.25">
      <c r="A525" s="22" t="s">
        <v>8</v>
      </c>
      <c r="B525" s="18" t="str">
        <f>"045322"</f>
        <v>045322</v>
      </c>
      <c r="C525" s="19" t="s">
        <v>530</v>
      </c>
      <c r="D525" s="19" t="s">
        <v>15959</v>
      </c>
      <c r="E525" s="19" t="s">
        <v>31057</v>
      </c>
      <c r="F525" s="19" t="s">
        <v>35977</v>
      </c>
      <c r="G525" s="18" t="str">
        <f>"72556"</f>
        <v>72556</v>
      </c>
      <c r="H525" s="19" t="s">
        <v>36068</v>
      </c>
      <c r="I525" s="20">
        <v>17.835999999999999</v>
      </c>
      <c r="J525" s="44" t="s">
        <v>8</v>
      </c>
      <c r="K525" s="23" t="s">
        <v>8</v>
      </c>
      <c r="L525" s="23" t="s">
        <v>8</v>
      </c>
      <c r="M525" s="23" t="s">
        <v>8</v>
      </c>
    </row>
    <row r="526" spans="1:13" s="21" customFormat="1" x14ac:dyDescent="0.25">
      <c r="A526" s="22" t="s">
        <v>8</v>
      </c>
      <c r="B526" s="18" t="str">
        <f>"045323"</f>
        <v>045323</v>
      </c>
      <c r="C526" s="19" t="s">
        <v>531</v>
      </c>
      <c r="D526" s="19" t="s">
        <v>15960</v>
      </c>
      <c r="E526" s="19" t="s">
        <v>31058</v>
      </c>
      <c r="F526" s="19" t="s">
        <v>35977</v>
      </c>
      <c r="G526" s="18" t="str">
        <f>"72112"</f>
        <v>72112</v>
      </c>
      <c r="H526" s="19" t="s">
        <v>30816</v>
      </c>
      <c r="I526" s="20">
        <v>24.052</v>
      </c>
      <c r="J526" s="44" t="s">
        <v>8</v>
      </c>
      <c r="K526" s="23" t="s">
        <v>8</v>
      </c>
      <c r="L526" s="23" t="s">
        <v>8</v>
      </c>
      <c r="M526" s="23" t="s">
        <v>8</v>
      </c>
    </row>
    <row r="527" spans="1:13" s="21" customFormat="1" x14ac:dyDescent="0.25">
      <c r="A527" s="22" t="s">
        <v>8</v>
      </c>
      <c r="B527" s="18" t="str">
        <f>"045326"</f>
        <v>045326</v>
      </c>
      <c r="C527" s="19" t="s">
        <v>532</v>
      </c>
      <c r="D527" s="19" t="s">
        <v>15961</v>
      </c>
      <c r="E527" s="19" t="s">
        <v>30993</v>
      </c>
      <c r="F527" s="19" t="s">
        <v>35977</v>
      </c>
      <c r="G527" s="18" t="str">
        <f>"72956"</f>
        <v>72956</v>
      </c>
      <c r="H527" s="19" t="s">
        <v>31759</v>
      </c>
      <c r="I527" s="20">
        <v>19.175999999999998</v>
      </c>
      <c r="J527" s="44" t="s">
        <v>8</v>
      </c>
      <c r="K527" s="23" t="s">
        <v>8</v>
      </c>
      <c r="L527" s="23" t="s">
        <v>8</v>
      </c>
      <c r="M527" s="23" t="s">
        <v>8</v>
      </c>
    </row>
    <row r="528" spans="1:13" s="21" customFormat="1" x14ac:dyDescent="0.25">
      <c r="A528" s="22" t="s">
        <v>8</v>
      </c>
      <c r="B528" s="18" t="str">
        <f>"045327"</f>
        <v>045327</v>
      </c>
      <c r="C528" s="19" t="s">
        <v>533</v>
      </c>
      <c r="D528" s="19" t="s">
        <v>15962</v>
      </c>
      <c r="E528" s="19" t="s">
        <v>30992</v>
      </c>
      <c r="F528" s="19" t="s">
        <v>35977</v>
      </c>
      <c r="G528" s="18" t="str">
        <f>"72401"</f>
        <v>72401</v>
      </c>
      <c r="H528" s="19" t="s">
        <v>36066</v>
      </c>
      <c r="I528" s="20">
        <v>19.584</v>
      </c>
      <c r="J528" s="44" t="s">
        <v>8</v>
      </c>
      <c r="K528" s="23" t="s">
        <v>8</v>
      </c>
      <c r="L528" s="23" t="s">
        <v>8</v>
      </c>
      <c r="M528" s="23" t="s">
        <v>8</v>
      </c>
    </row>
    <row r="529" spans="1:13" s="21" customFormat="1" x14ac:dyDescent="0.25">
      <c r="A529" s="22" t="s">
        <v>8</v>
      </c>
      <c r="B529" s="18" t="str">
        <f>"045332"</f>
        <v>045332</v>
      </c>
      <c r="C529" s="19" t="s">
        <v>534</v>
      </c>
      <c r="D529" s="19" t="s">
        <v>15963</v>
      </c>
      <c r="E529" s="19" t="s">
        <v>31059</v>
      </c>
      <c r="F529" s="19" t="s">
        <v>35977</v>
      </c>
      <c r="G529" s="18" t="str">
        <f>"72472"</f>
        <v>72472</v>
      </c>
      <c r="H529" s="19" t="s">
        <v>36082</v>
      </c>
      <c r="I529" s="20">
        <v>22.579000000000001</v>
      </c>
      <c r="J529" s="44" t="s">
        <v>8</v>
      </c>
      <c r="K529" s="23" t="s">
        <v>8</v>
      </c>
      <c r="L529" s="23" t="s">
        <v>8</v>
      </c>
      <c r="M529" s="23" t="s">
        <v>8</v>
      </c>
    </row>
    <row r="530" spans="1:13" s="21" customFormat="1" x14ac:dyDescent="0.25">
      <c r="A530" s="22" t="s">
        <v>8</v>
      </c>
      <c r="B530" s="18" t="str">
        <f>"045334"</f>
        <v>045334</v>
      </c>
      <c r="C530" s="19" t="s">
        <v>535</v>
      </c>
      <c r="D530" s="19" t="s">
        <v>15964</v>
      </c>
      <c r="E530" s="19" t="s">
        <v>31058</v>
      </c>
      <c r="F530" s="19" t="s">
        <v>35977</v>
      </c>
      <c r="G530" s="18" t="str">
        <f>"72112"</f>
        <v>72112</v>
      </c>
      <c r="H530" s="19" t="s">
        <v>30816</v>
      </c>
      <c r="I530" s="20">
        <v>18.033000000000001</v>
      </c>
      <c r="J530" s="44" t="s">
        <v>8</v>
      </c>
      <c r="K530" s="23" t="s">
        <v>8</v>
      </c>
      <c r="L530" s="23" t="s">
        <v>8</v>
      </c>
      <c r="M530" s="23" t="s">
        <v>8</v>
      </c>
    </row>
    <row r="531" spans="1:13" s="21" customFormat="1" x14ac:dyDescent="0.25">
      <c r="A531" s="22" t="s">
        <v>8</v>
      </c>
      <c r="B531" s="18" t="str">
        <f>"045337"</f>
        <v>045337</v>
      </c>
      <c r="C531" s="19" t="s">
        <v>536</v>
      </c>
      <c r="D531" s="19" t="s">
        <v>15965</v>
      </c>
      <c r="E531" s="19" t="s">
        <v>31060</v>
      </c>
      <c r="F531" s="19" t="s">
        <v>35977</v>
      </c>
      <c r="G531" s="18" t="str">
        <f>"71801"</f>
        <v>71801</v>
      </c>
      <c r="H531" s="19" t="s">
        <v>34092</v>
      </c>
      <c r="I531" s="20">
        <v>18.863</v>
      </c>
      <c r="J531" s="44" t="s">
        <v>8</v>
      </c>
      <c r="K531" s="23" t="s">
        <v>8</v>
      </c>
      <c r="L531" s="23" t="s">
        <v>8</v>
      </c>
      <c r="M531" s="23" t="s">
        <v>8</v>
      </c>
    </row>
    <row r="532" spans="1:13" s="21" customFormat="1" x14ac:dyDescent="0.25">
      <c r="A532" s="22" t="s">
        <v>8</v>
      </c>
      <c r="B532" s="18" t="str">
        <f>"045338"</f>
        <v>045338</v>
      </c>
      <c r="C532" s="19" t="s">
        <v>537</v>
      </c>
      <c r="D532" s="19" t="s">
        <v>15966</v>
      </c>
      <c r="E532" s="19" t="s">
        <v>30990</v>
      </c>
      <c r="F532" s="19" t="s">
        <v>35977</v>
      </c>
      <c r="G532" s="18" t="str">
        <f>"71913"</f>
        <v>71913</v>
      </c>
      <c r="H532" s="19" t="s">
        <v>35286</v>
      </c>
      <c r="I532" s="20">
        <v>18.588000000000001</v>
      </c>
      <c r="J532" s="44" t="s">
        <v>8</v>
      </c>
      <c r="K532" s="23" t="s">
        <v>8</v>
      </c>
      <c r="L532" s="23" t="s">
        <v>8</v>
      </c>
      <c r="M532" s="23" t="s">
        <v>8</v>
      </c>
    </row>
    <row r="533" spans="1:13" s="21" customFormat="1" x14ac:dyDescent="0.25">
      <c r="A533" s="22" t="s">
        <v>8</v>
      </c>
      <c r="B533" s="18" t="str">
        <f>"045339"</f>
        <v>045339</v>
      </c>
      <c r="C533" s="19" t="s">
        <v>538</v>
      </c>
      <c r="D533" s="19" t="s">
        <v>15967</v>
      </c>
      <c r="E533" s="19" t="s">
        <v>31061</v>
      </c>
      <c r="F533" s="19" t="s">
        <v>35977</v>
      </c>
      <c r="G533" s="18" t="str">
        <f>"72823"</f>
        <v>72823</v>
      </c>
      <c r="H533" s="19" t="s">
        <v>36077</v>
      </c>
      <c r="I533" s="20">
        <v>21.384</v>
      </c>
      <c r="J533" s="44" t="s">
        <v>8</v>
      </c>
      <c r="K533" s="23" t="s">
        <v>8</v>
      </c>
      <c r="L533" s="23" t="s">
        <v>8</v>
      </c>
      <c r="M533" s="23" t="s">
        <v>8</v>
      </c>
    </row>
    <row r="534" spans="1:13" s="21" customFormat="1" x14ac:dyDescent="0.25">
      <c r="A534" s="22" t="s">
        <v>8</v>
      </c>
      <c r="B534" s="18" t="str">
        <f>"045340"</f>
        <v>045340</v>
      </c>
      <c r="C534" s="19" t="s">
        <v>539</v>
      </c>
      <c r="D534" s="19" t="s">
        <v>15968</v>
      </c>
      <c r="E534" s="19" t="s">
        <v>30818</v>
      </c>
      <c r="F534" s="19" t="s">
        <v>35977</v>
      </c>
      <c r="G534" s="18" t="str">
        <f>"72801"</f>
        <v>72801</v>
      </c>
      <c r="H534" s="19" t="s">
        <v>36077</v>
      </c>
      <c r="I534" s="20">
        <v>21.055</v>
      </c>
      <c r="J534" s="44" t="s">
        <v>8</v>
      </c>
      <c r="K534" s="23" t="s">
        <v>8</v>
      </c>
      <c r="L534" s="23" t="s">
        <v>8</v>
      </c>
      <c r="M534" s="23" t="s">
        <v>8</v>
      </c>
    </row>
    <row r="535" spans="1:13" s="21" customFormat="1" x14ac:dyDescent="0.25">
      <c r="A535" s="22" t="s">
        <v>8</v>
      </c>
      <c r="B535" s="18" t="str">
        <f>"045341"</f>
        <v>045341</v>
      </c>
      <c r="C535" s="19" t="s">
        <v>540</v>
      </c>
      <c r="D535" s="19" t="s">
        <v>15969</v>
      </c>
      <c r="E535" s="19" t="s">
        <v>30851</v>
      </c>
      <c r="F535" s="19" t="s">
        <v>35977</v>
      </c>
      <c r="G535" s="18" t="str">
        <f>"72740"</f>
        <v>72740</v>
      </c>
      <c r="H535" s="19" t="s">
        <v>30899</v>
      </c>
      <c r="I535" s="20">
        <v>20.149999999999999</v>
      </c>
      <c r="J535" s="44" t="s">
        <v>8</v>
      </c>
      <c r="K535" s="23" t="s">
        <v>8</v>
      </c>
      <c r="L535" s="23" t="s">
        <v>8</v>
      </c>
      <c r="M535" s="23" t="s">
        <v>8</v>
      </c>
    </row>
    <row r="536" spans="1:13" s="21" customFormat="1" x14ac:dyDescent="0.25">
      <c r="A536" s="22" t="s">
        <v>8</v>
      </c>
      <c r="B536" s="18" t="str">
        <f>"045342"</f>
        <v>045342</v>
      </c>
      <c r="C536" s="19" t="s">
        <v>541</v>
      </c>
      <c r="D536" s="19" t="s">
        <v>15970</v>
      </c>
      <c r="E536" s="19" t="s">
        <v>31014</v>
      </c>
      <c r="F536" s="19" t="s">
        <v>35977</v>
      </c>
      <c r="G536" s="18" t="str">
        <f>"71852"</f>
        <v>71852</v>
      </c>
      <c r="H536" s="19" t="s">
        <v>32644</v>
      </c>
      <c r="I536" s="20">
        <v>19.277999999999999</v>
      </c>
      <c r="J536" s="44" t="s">
        <v>8</v>
      </c>
      <c r="K536" s="23" t="s">
        <v>8</v>
      </c>
      <c r="L536" s="23" t="s">
        <v>8</v>
      </c>
      <c r="M536" s="23" t="s">
        <v>8</v>
      </c>
    </row>
    <row r="537" spans="1:13" s="21" customFormat="1" x14ac:dyDescent="0.25">
      <c r="A537" s="22" t="s">
        <v>8</v>
      </c>
      <c r="B537" s="18" t="str">
        <f>"045343"</f>
        <v>045343</v>
      </c>
      <c r="C537" s="19" t="s">
        <v>542</v>
      </c>
      <c r="D537" s="19" t="s">
        <v>15971</v>
      </c>
      <c r="E537" s="19" t="s">
        <v>31023</v>
      </c>
      <c r="F537" s="19" t="s">
        <v>35977</v>
      </c>
      <c r="G537" s="18" t="str">
        <f>"72205"</f>
        <v>72205</v>
      </c>
      <c r="H537" s="19" t="s">
        <v>31795</v>
      </c>
      <c r="I537" s="20">
        <v>23.596</v>
      </c>
      <c r="J537" s="44" t="s">
        <v>8</v>
      </c>
      <c r="K537" s="23" t="s">
        <v>8</v>
      </c>
      <c r="L537" s="23" t="s">
        <v>8</v>
      </c>
      <c r="M537" s="23" t="s">
        <v>8</v>
      </c>
    </row>
    <row r="538" spans="1:13" s="21" customFormat="1" x14ac:dyDescent="0.25">
      <c r="A538" s="22" t="s">
        <v>8</v>
      </c>
      <c r="B538" s="18" t="str">
        <f>"045345"</f>
        <v>045345</v>
      </c>
      <c r="C538" s="19" t="s">
        <v>543</v>
      </c>
      <c r="D538" s="19" t="s">
        <v>15972</v>
      </c>
      <c r="E538" s="19" t="s">
        <v>31041</v>
      </c>
      <c r="F538" s="19" t="s">
        <v>35977</v>
      </c>
      <c r="G538" s="18" t="str">
        <f>"72901"</f>
        <v>72901</v>
      </c>
      <c r="H538" s="19" t="s">
        <v>31688</v>
      </c>
      <c r="I538" s="20">
        <v>19.698</v>
      </c>
      <c r="J538" s="44" t="s">
        <v>8</v>
      </c>
      <c r="K538" s="23" t="s">
        <v>8</v>
      </c>
      <c r="L538" s="23" t="s">
        <v>8</v>
      </c>
      <c r="M538" s="23" t="s">
        <v>8</v>
      </c>
    </row>
    <row r="539" spans="1:13" s="21" customFormat="1" x14ac:dyDescent="0.25">
      <c r="A539" s="22" t="s">
        <v>8</v>
      </c>
      <c r="B539" s="18" t="str">
        <f>"045346"</f>
        <v>045346</v>
      </c>
      <c r="C539" s="19" t="s">
        <v>544</v>
      </c>
      <c r="D539" s="19" t="s">
        <v>15973</v>
      </c>
      <c r="E539" s="19" t="s">
        <v>31062</v>
      </c>
      <c r="F539" s="19" t="s">
        <v>35977</v>
      </c>
      <c r="G539" s="18" t="str">
        <f>"71833"</f>
        <v>71833</v>
      </c>
      <c r="H539" s="19" t="s">
        <v>32644</v>
      </c>
      <c r="I539" s="20">
        <v>16.988</v>
      </c>
      <c r="J539" s="44" t="s">
        <v>8</v>
      </c>
      <c r="K539" s="23" t="s">
        <v>8</v>
      </c>
      <c r="L539" s="23" t="s">
        <v>8</v>
      </c>
      <c r="M539" s="23" t="s">
        <v>8</v>
      </c>
    </row>
    <row r="540" spans="1:13" s="21" customFormat="1" x14ac:dyDescent="0.25">
      <c r="A540" s="22" t="s">
        <v>8</v>
      </c>
      <c r="B540" s="18" t="str">
        <f>"045348"</f>
        <v>045348</v>
      </c>
      <c r="C540" s="19" t="s">
        <v>545</v>
      </c>
      <c r="D540" s="19" t="s">
        <v>15974</v>
      </c>
      <c r="E540" s="19" t="s">
        <v>30910</v>
      </c>
      <c r="F540" s="19" t="s">
        <v>35977</v>
      </c>
      <c r="G540" s="18" t="str">
        <f>"71701"</f>
        <v>71701</v>
      </c>
      <c r="H540" s="19" t="s">
        <v>36063</v>
      </c>
      <c r="I540" s="20">
        <v>18.222999999999999</v>
      </c>
      <c r="J540" s="44" t="s">
        <v>8</v>
      </c>
      <c r="K540" s="23" t="s">
        <v>8</v>
      </c>
      <c r="L540" s="23" t="s">
        <v>8</v>
      </c>
      <c r="M540" s="23" t="s">
        <v>8</v>
      </c>
    </row>
    <row r="541" spans="1:13" s="21" customFormat="1" x14ac:dyDescent="0.25">
      <c r="A541" s="22" t="s">
        <v>8</v>
      </c>
      <c r="B541" s="18" t="str">
        <f>"045350"</f>
        <v>045350</v>
      </c>
      <c r="C541" s="19" t="s">
        <v>546</v>
      </c>
      <c r="D541" s="19" t="s">
        <v>15975</v>
      </c>
      <c r="E541" s="19" t="s">
        <v>31028</v>
      </c>
      <c r="F541" s="19" t="s">
        <v>35977</v>
      </c>
      <c r="G541" s="18" t="str">
        <f>"71923"</f>
        <v>71923</v>
      </c>
      <c r="H541" s="19" t="s">
        <v>33967</v>
      </c>
      <c r="I541" s="20">
        <v>16.584</v>
      </c>
      <c r="J541" s="44" t="s">
        <v>8</v>
      </c>
      <c r="K541" s="23" t="s">
        <v>8</v>
      </c>
      <c r="L541" s="23" t="s">
        <v>8</v>
      </c>
      <c r="M541" s="23" t="s">
        <v>8</v>
      </c>
    </row>
    <row r="542" spans="1:13" s="21" customFormat="1" x14ac:dyDescent="0.25">
      <c r="A542" s="22" t="s">
        <v>8</v>
      </c>
      <c r="B542" s="18" t="str">
        <f>"045351"</f>
        <v>045351</v>
      </c>
      <c r="C542" s="19" t="s">
        <v>547</v>
      </c>
      <c r="D542" s="19" t="s">
        <v>15976</v>
      </c>
      <c r="E542" s="19" t="s">
        <v>31007</v>
      </c>
      <c r="F542" s="19" t="s">
        <v>35977</v>
      </c>
      <c r="G542" s="18" t="str">
        <f>"72653"</f>
        <v>72653</v>
      </c>
      <c r="H542" s="19" t="s">
        <v>32482</v>
      </c>
      <c r="I542" s="20">
        <v>18.806999999999999</v>
      </c>
      <c r="J542" s="44" t="s">
        <v>8</v>
      </c>
      <c r="K542" s="23" t="s">
        <v>8</v>
      </c>
      <c r="L542" s="23" t="s">
        <v>8</v>
      </c>
      <c r="M542" s="23" t="s">
        <v>8</v>
      </c>
    </row>
    <row r="543" spans="1:13" s="21" customFormat="1" x14ac:dyDescent="0.25">
      <c r="A543" s="22" t="s">
        <v>8</v>
      </c>
      <c r="B543" s="18" t="str">
        <f>"045352"</f>
        <v>045352</v>
      </c>
      <c r="C543" s="19" t="s">
        <v>548</v>
      </c>
      <c r="D543" s="19" t="s">
        <v>15977</v>
      </c>
      <c r="E543" s="19" t="s">
        <v>31004</v>
      </c>
      <c r="F543" s="19" t="s">
        <v>35977</v>
      </c>
      <c r="G543" s="18" t="str">
        <f>"72513"</f>
        <v>72513</v>
      </c>
      <c r="H543" s="19" t="s">
        <v>36070</v>
      </c>
      <c r="I543" s="20">
        <v>19.824999999999999</v>
      </c>
      <c r="J543" s="44" t="s">
        <v>8</v>
      </c>
      <c r="K543" s="23" t="s">
        <v>8</v>
      </c>
      <c r="L543" s="23" t="s">
        <v>8</v>
      </c>
      <c r="M543" s="23" t="s">
        <v>8</v>
      </c>
    </row>
    <row r="544" spans="1:13" s="21" customFormat="1" x14ac:dyDescent="0.25">
      <c r="A544" s="22" t="s">
        <v>8</v>
      </c>
      <c r="B544" s="18" t="str">
        <f>"045353"</f>
        <v>045353</v>
      </c>
      <c r="C544" s="19" t="s">
        <v>549</v>
      </c>
      <c r="D544" s="19" t="s">
        <v>15978</v>
      </c>
      <c r="E544" s="19" t="s">
        <v>31063</v>
      </c>
      <c r="F544" s="19" t="s">
        <v>35977</v>
      </c>
      <c r="G544" s="18" t="str">
        <f>"72650"</f>
        <v>72650</v>
      </c>
      <c r="H544" s="19" t="s">
        <v>30995</v>
      </c>
      <c r="I544" s="20">
        <v>19.940000000000001</v>
      </c>
      <c r="J544" s="44" t="s">
        <v>8</v>
      </c>
      <c r="K544" s="23" t="s">
        <v>8</v>
      </c>
      <c r="L544" s="23" t="s">
        <v>8</v>
      </c>
      <c r="M544" s="23" t="s">
        <v>8</v>
      </c>
    </row>
    <row r="545" spans="1:13" s="21" customFormat="1" x14ac:dyDescent="0.25">
      <c r="A545" s="22" t="s">
        <v>8</v>
      </c>
      <c r="B545" s="18" t="str">
        <f>"045354"</f>
        <v>045354</v>
      </c>
      <c r="C545" s="19" t="s">
        <v>550</v>
      </c>
      <c r="D545" s="19" t="s">
        <v>15979</v>
      </c>
      <c r="E545" s="19" t="s">
        <v>31041</v>
      </c>
      <c r="F545" s="19" t="s">
        <v>35977</v>
      </c>
      <c r="G545" s="18" t="str">
        <f>"72908"</f>
        <v>72908</v>
      </c>
      <c r="H545" s="19" t="s">
        <v>31688</v>
      </c>
      <c r="I545" s="20">
        <v>21.42</v>
      </c>
      <c r="J545" s="44" t="s">
        <v>8</v>
      </c>
      <c r="K545" s="23" t="s">
        <v>8</v>
      </c>
      <c r="L545" s="23" t="s">
        <v>8</v>
      </c>
      <c r="M545" s="23" t="s">
        <v>8</v>
      </c>
    </row>
    <row r="546" spans="1:13" s="21" customFormat="1" x14ac:dyDescent="0.25">
      <c r="A546" s="22" t="s">
        <v>8</v>
      </c>
      <c r="B546" s="18" t="str">
        <f>"045356"</f>
        <v>045356</v>
      </c>
      <c r="C546" s="19" t="s">
        <v>551</v>
      </c>
      <c r="D546" s="19" t="s">
        <v>15980</v>
      </c>
      <c r="E546" s="19" t="s">
        <v>31064</v>
      </c>
      <c r="F546" s="19" t="s">
        <v>35977</v>
      </c>
      <c r="G546" s="18" t="str">
        <f>"72761"</f>
        <v>72761</v>
      </c>
      <c r="H546" s="19" t="s">
        <v>31024</v>
      </c>
      <c r="I546" s="20">
        <v>25.149000000000001</v>
      </c>
      <c r="J546" s="44" t="s">
        <v>8</v>
      </c>
      <c r="K546" s="23" t="s">
        <v>8</v>
      </c>
      <c r="L546" s="23" t="s">
        <v>8</v>
      </c>
      <c r="M546" s="23" t="s">
        <v>8</v>
      </c>
    </row>
    <row r="547" spans="1:13" s="21" customFormat="1" x14ac:dyDescent="0.25">
      <c r="A547" s="22" t="s">
        <v>8</v>
      </c>
      <c r="B547" s="18" t="str">
        <f>"045357"</f>
        <v>045357</v>
      </c>
      <c r="C547" s="19" t="s">
        <v>552</v>
      </c>
      <c r="D547" s="19" t="s">
        <v>15981</v>
      </c>
      <c r="E547" s="19" t="s">
        <v>31026</v>
      </c>
      <c r="F547" s="19" t="s">
        <v>35977</v>
      </c>
      <c r="G547" s="18" t="str">
        <f>"72117"</f>
        <v>72117</v>
      </c>
      <c r="H547" s="19" t="s">
        <v>31795</v>
      </c>
      <c r="I547" s="20">
        <v>21.978000000000002</v>
      </c>
      <c r="J547" s="44" t="s">
        <v>8</v>
      </c>
      <c r="K547" s="23" t="s">
        <v>8</v>
      </c>
      <c r="L547" s="23" t="s">
        <v>8</v>
      </c>
      <c r="M547" s="23" t="s">
        <v>8</v>
      </c>
    </row>
    <row r="548" spans="1:13" s="21" customFormat="1" x14ac:dyDescent="0.25">
      <c r="A548" s="22" t="s">
        <v>8</v>
      </c>
      <c r="B548" s="18" t="str">
        <f>"045358"</f>
        <v>045358</v>
      </c>
      <c r="C548" s="19" t="s">
        <v>553</v>
      </c>
      <c r="D548" s="19" t="s">
        <v>15982</v>
      </c>
      <c r="E548" s="19" t="s">
        <v>30982</v>
      </c>
      <c r="F548" s="19" t="s">
        <v>35977</v>
      </c>
      <c r="G548" s="18" t="str">
        <f>"71953"</f>
        <v>71953</v>
      </c>
      <c r="H548" s="19" t="s">
        <v>36062</v>
      </c>
      <c r="I548" s="20">
        <v>19.332000000000001</v>
      </c>
      <c r="J548" s="44" t="s">
        <v>8</v>
      </c>
      <c r="K548" s="23" t="s">
        <v>8</v>
      </c>
      <c r="L548" s="23" t="s">
        <v>8</v>
      </c>
      <c r="M548" s="23" t="s">
        <v>8</v>
      </c>
    </row>
    <row r="549" spans="1:13" s="21" customFormat="1" x14ac:dyDescent="0.25">
      <c r="A549" s="22" t="s">
        <v>8</v>
      </c>
      <c r="B549" s="18" t="str">
        <f>"045359"</f>
        <v>045359</v>
      </c>
      <c r="C549" s="19" t="s">
        <v>554</v>
      </c>
      <c r="D549" s="19" t="s">
        <v>15983</v>
      </c>
      <c r="E549" s="19" t="s">
        <v>31023</v>
      </c>
      <c r="F549" s="19" t="s">
        <v>35977</v>
      </c>
      <c r="G549" s="18" t="str">
        <f>"72202"</f>
        <v>72202</v>
      </c>
      <c r="H549" s="19" t="s">
        <v>31795</v>
      </c>
      <c r="I549" s="20">
        <v>23.952000000000002</v>
      </c>
      <c r="J549" s="44" t="s">
        <v>8</v>
      </c>
      <c r="K549" s="23" t="s">
        <v>8</v>
      </c>
      <c r="L549" s="23" t="s">
        <v>8</v>
      </c>
      <c r="M549" s="23" t="s">
        <v>8</v>
      </c>
    </row>
    <row r="550" spans="1:13" s="21" customFormat="1" x14ac:dyDescent="0.25">
      <c r="A550" s="22" t="s">
        <v>8</v>
      </c>
      <c r="B550" s="18" t="str">
        <f>"045361"</f>
        <v>045361</v>
      </c>
      <c r="C550" s="19" t="s">
        <v>555</v>
      </c>
      <c r="D550" s="19" t="s">
        <v>15984</v>
      </c>
      <c r="E550" s="19" t="s">
        <v>31065</v>
      </c>
      <c r="F550" s="19" t="s">
        <v>35977</v>
      </c>
      <c r="G550" s="18" t="str">
        <f>"72712"</f>
        <v>72712</v>
      </c>
      <c r="H550" s="19" t="s">
        <v>31024</v>
      </c>
      <c r="I550" s="20">
        <v>19.687999999999999</v>
      </c>
      <c r="J550" s="44" t="s">
        <v>8</v>
      </c>
      <c r="K550" s="23" t="s">
        <v>8</v>
      </c>
      <c r="L550" s="23" t="s">
        <v>8</v>
      </c>
      <c r="M550" s="23" t="s">
        <v>8</v>
      </c>
    </row>
    <row r="551" spans="1:13" s="21" customFormat="1" x14ac:dyDescent="0.25">
      <c r="A551" s="22" t="s">
        <v>8</v>
      </c>
      <c r="B551" s="18" t="str">
        <f>"045363"</f>
        <v>045363</v>
      </c>
      <c r="C551" s="19" t="s">
        <v>556</v>
      </c>
      <c r="D551" s="19" t="s">
        <v>15985</v>
      </c>
      <c r="E551" s="19" t="s">
        <v>31041</v>
      </c>
      <c r="F551" s="19" t="s">
        <v>35977</v>
      </c>
      <c r="G551" s="18" t="str">
        <f>"72903"</f>
        <v>72903</v>
      </c>
      <c r="H551" s="19" t="s">
        <v>31688</v>
      </c>
      <c r="I551" s="20">
        <v>21.097999999999999</v>
      </c>
      <c r="J551" s="44" t="s">
        <v>8</v>
      </c>
      <c r="K551" s="23" t="s">
        <v>8</v>
      </c>
      <c r="L551" s="23" t="s">
        <v>8</v>
      </c>
      <c r="M551" s="23" t="s">
        <v>8</v>
      </c>
    </row>
    <row r="552" spans="1:13" s="21" customFormat="1" x14ac:dyDescent="0.25">
      <c r="A552" s="22" t="s">
        <v>8</v>
      </c>
      <c r="B552" s="18" t="str">
        <f>"045364"</f>
        <v>045364</v>
      </c>
      <c r="C552" s="19" t="s">
        <v>557</v>
      </c>
      <c r="D552" s="19" t="s">
        <v>15986</v>
      </c>
      <c r="E552" s="19" t="s">
        <v>31041</v>
      </c>
      <c r="F552" s="19" t="s">
        <v>35977</v>
      </c>
      <c r="G552" s="18" t="str">
        <f>"72903"</f>
        <v>72903</v>
      </c>
      <c r="H552" s="19" t="s">
        <v>31688</v>
      </c>
      <c r="I552" s="20">
        <v>19.39</v>
      </c>
      <c r="J552" s="44" t="s">
        <v>8</v>
      </c>
      <c r="K552" s="23" t="s">
        <v>8</v>
      </c>
      <c r="L552" s="23" t="s">
        <v>8</v>
      </c>
      <c r="M552" s="23" t="s">
        <v>8</v>
      </c>
    </row>
    <row r="553" spans="1:13" s="21" customFormat="1" x14ac:dyDescent="0.25">
      <c r="A553" s="22" t="s">
        <v>8</v>
      </c>
      <c r="B553" s="18" t="str">
        <f>"045365"</f>
        <v>045365</v>
      </c>
      <c r="C553" s="19" t="s">
        <v>558</v>
      </c>
      <c r="D553" s="19" t="s">
        <v>15987</v>
      </c>
      <c r="E553" s="19" t="s">
        <v>31012</v>
      </c>
      <c r="F553" s="19" t="s">
        <v>35977</v>
      </c>
      <c r="G553" s="18" t="str">
        <f>"72042"</f>
        <v>72042</v>
      </c>
      <c r="H553" s="19" t="s">
        <v>36065</v>
      </c>
      <c r="I553" s="20">
        <v>18.904</v>
      </c>
      <c r="J553" s="44" t="s">
        <v>8</v>
      </c>
      <c r="K553" s="23" t="s">
        <v>8</v>
      </c>
      <c r="L553" s="23" t="s">
        <v>8</v>
      </c>
      <c r="M553" s="23" t="s">
        <v>8</v>
      </c>
    </row>
    <row r="554" spans="1:13" s="21" customFormat="1" x14ac:dyDescent="0.25">
      <c r="A554" s="22" t="s">
        <v>8</v>
      </c>
      <c r="B554" s="18" t="str">
        <f>"045366"</f>
        <v>045366</v>
      </c>
      <c r="C554" s="19" t="s">
        <v>559</v>
      </c>
      <c r="D554" s="19" t="s">
        <v>15988</v>
      </c>
      <c r="E554" s="19" t="s">
        <v>31066</v>
      </c>
      <c r="F554" s="19" t="s">
        <v>35977</v>
      </c>
      <c r="G554" s="18" t="str">
        <f>"72316"</f>
        <v>72316</v>
      </c>
      <c r="H554" s="19" t="s">
        <v>36081</v>
      </c>
      <c r="I554" s="20">
        <v>19.199000000000002</v>
      </c>
      <c r="J554" s="44" t="s">
        <v>8</v>
      </c>
      <c r="K554" s="23" t="s">
        <v>8</v>
      </c>
      <c r="L554" s="23" t="s">
        <v>8</v>
      </c>
      <c r="M554" s="23" t="s">
        <v>8</v>
      </c>
    </row>
    <row r="555" spans="1:13" s="21" customFormat="1" x14ac:dyDescent="0.25">
      <c r="A555" s="22" t="s">
        <v>8</v>
      </c>
      <c r="B555" s="18" t="str">
        <f>"045367"</f>
        <v>045367</v>
      </c>
      <c r="C555" s="19" t="s">
        <v>560</v>
      </c>
      <c r="D555" s="19" t="s">
        <v>15989</v>
      </c>
      <c r="E555" s="19" t="s">
        <v>31009</v>
      </c>
      <c r="F555" s="19" t="s">
        <v>35977</v>
      </c>
      <c r="G555" s="18" t="str">
        <f>"72764"</f>
        <v>72764</v>
      </c>
      <c r="H555" s="19" t="s">
        <v>31500</v>
      </c>
      <c r="I555" s="20">
        <v>18.279</v>
      </c>
      <c r="J555" s="44" t="s">
        <v>8</v>
      </c>
      <c r="K555" s="23" t="s">
        <v>8</v>
      </c>
      <c r="L555" s="23" t="s">
        <v>8</v>
      </c>
      <c r="M555" s="23" t="s">
        <v>8</v>
      </c>
    </row>
    <row r="556" spans="1:13" s="21" customFormat="1" x14ac:dyDescent="0.25">
      <c r="A556" s="22" t="s">
        <v>8</v>
      </c>
      <c r="B556" s="18" t="str">
        <f>"045369"</f>
        <v>045369</v>
      </c>
      <c r="C556" s="19" t="s">
        <v>561</v>
      </c>
      <c r="D556" s="19" t="s">
        <v>15990</v>
      </c>
      <c r="E556" s="19" t="s">
        <v>30998</v>
      </c>
      <c r="F556" s="19" t="s">
        <v>35977</v>
      </c>
      <c r="G556" s="18" t="str">
        <f>"72501"</f>
        <v>72501</v>
      </c>
      <c r="H556" s="19" t="s">
        <v>32424</v>
      </c>
      <c r="I556" s="20">
        <v>19.257000000000001</v>
      </c>
      <c r="J556" s="44" t="s">
        <v>8</v>
      </c>
      <c r="K556" s="23" t="s">
        <v>8</v>
      </c>
      <c r="L556" s="23" t="s">
        <v>8</v>
      </c>
      <c r="M556" s="23" t="s">
        <v>8</v>
      </c>
    </row>
    <row r="557" spans="1:13" s="21" customFormat="1" x14ac:dyDescent="0.25">
      <c r="A557" s="22" t="s">
        <v>8</v>
      </c>
      <c r="B557" s="18" t="str">
        <f>"045370"</f>
        <v>045370</v>
      </c>
      <c r="C557" s="19" t="s">
        <v>562</v>
      </c>
      <c r="D557" s="19" t="s">
        <v>15991</v>
      </c>
      <c r="E557" s="19" t="s">
        <v>31067</v>
      </c>
      <c r="F557" s="19" t="s">
        <v>35977</v>
      </c>
      <c r="G557" s="18" t="str">
        <f>"72921"</f>
        <v>72921</v>
      </c>
      <c r="H557" s="19" t="s">
        <v>31759</v>
      </c>
      <c r="I557" s="20">
        <v>21.504999999999999</v>
      </c>
      <c r="J557" s="44" t="s">
        <v>8</v>
      </c>
      <c r="K557" s="23" t="s">
        <v>8</v>
      </c>
      <c r="L557" s="23" t="s">
        <v>8</v>
      </c>
      <c r="M557" s="23" t="s">
        <v>8</v>
      </c>
    </row>
    <row r="558" spans="1:13" s="21" customFormat="1" x14ac:dyDescent="0.25">
      <c r="A558" s="22" t="s">
        <v>8</v>
      </c>
      <c r="B558" s="18" t="str">
        <f>"045371"</f>
        <v>045371</v>
      </c>
      <c r="C558" s="19" t="s">
        <v>563</v>
      </c>
      <c r="D558" s="19" t="s">
        <v>15992</v>
      </c>
      <c r="E558" s="19" t="s">
        <v>31009</v>
      </c>
      <c r="F558" s="19" t="s">
        <v>35977</v>
      </c>
      <c r="G558" s="18" t="str">
        <f>"72764"</f>
        <v>72764</v>
      </c>
      <c r="H558" s="19" t="s">
        <v>31500</v>
      </c>
      <c r="I558" s="20">
        <v>19.091000000000001</v>
      </c>
      <c r="J558" s="44" t="s">
        <v>8</v>
      </c>
      <c r="K558" s="23" t="s">
        <v>8</v>
      </c>
      <c r="L558" s="23" t="s">
        <v>8</v>
      </c>
      <c r="M558" s="23" t="s">
        <v>8</v>
      </c>
    </row>
    <row r="559" spans="1:13" s="21" customFormat="1" x14ac:dyDescent="0.25">
      <c r="A559" s="22" t="s">
        <v>8</v>
      </c>
      <c r="B559" s="18" t="str">
        <f>"045372"</f>
        <v>045372</v>
      </c>
      <c r="C559" s="19" t="s">
        <v>564</v>
      </c>
      <c r="D559" s="19" t="s">
        <v>15993</v>
      </c>
      <c r="E559" s="19" t="s">
        <v>31068</v>
      </c>
      <c r="F559" s="19" t="s">
        <v>35977</v>
      </c>
      <c r="G559" s="18" t="str">
        <f>"71602"</f>
        <v>71602</v>
      </c>
      <c r="H559" s="19" t="s">
        <v>32391</v>
      </c>
      <c r="I559" s="20">
        <v>19.997</v>
      </c>
      <c r="J559" s="44" t="s">
        <v>8</v>
      </c>
      <c r="K559" s="23" t="s">
        <v>8</v>
      </c>
      <c r="L559" s="23" t="s">
        <v>8</v>
      </c>
      <c r="M559" s="23" t="s">
        <v>8</v>
      </c>
    </row>
    <row r="560" spans="1:13" s="21" customFormat="1" x14ac:dyDescent="0.25">
      <c r="A560" s="22" t="s">
        <v>8</v>
      </c>
      <c r="B560" s="18" t="str">
        <f>"045373"</f>
        <v>045373</v>
      </c>
      <c r="C560" s="19" t="s">
        <v>565</v>
      </c>
      <c r="D560" s="19" t="s">
        <v>15994</v>
      </c>
      <c r="E560" s="19" t="s">
        <v>31065</v>
      </c>
      <c r="F560" s="19" t="s">
        <v>35977</v>
      </c>
      <c r="G560" s="18" t="str">
        <f>"72712"</f>
        <v>72712</v>
      </c>
      <c r="H560" s="19" t="s">
        <v>31024</v>
      </c>
      <c r="I560" s="20">
        <v>19.140999999999998</v>
      </c>
      <c r="J560" s="44" t="s">
        <v>8</v>
      </c>
      <c r="K560" s="23" t="s">
        <v>8</v>
      </c>
      <c r="L560" s="23" t="s">
        <v>8</v>
      </c>
      <c r="M560" s="23" t="s">
        <v>8</v>
      </c>
    </row>
    <row r="561" spans="1:13" s="21" customFormat="1" x14ac:dyDescent="0.25">
      <c r="A561" s="22" t="s">
        <v>8</v>
      </c>
      <c r="B561" s="18" t="str">
        <f>"045374"</f>
        <v>045374</v>
      </c>
      <c r="C561" s="19" t="s">
        <v>566</v>
      </c>
      <c r="D561" s="19" t="s">
        <v>15995</v>
      </c>
      <c r="E561" s="19" t="s">
        <v>31026</v>
      </c>
      <c r="F561" s="19" t="s">
        <v>35977</v>
      </c>
      <c r="G561" s="18" t="str">
        <f>"72118"</f>
        <v>72118</v>
      </c>
      <c r="H561" s="19" t="s">
        <v>31795</v>
      </c>
      <c r="I561" s="20">
        <v>24.199000000000002</v>
      </c>
      <c r="J561" s="44" t="s">
        <v>8</v>
      </c>
      <c r="K561" s="23" t="s">
        <v>8</v>
      </c>
      <c r="L561" s="23" t="s">
        <v>8</v>
      </c>
      <c r="M561" s="23" t="s">
        <v>8</v>
      </c>
    </row>
    <row r="562" spans="1:13" s="21" customFormat="1" x14ac:dyDescent="0.25">
      <c r="A562" s="22" t="s">
        <v>8</v>
      </c>
      <c r="B562" s="18" t="str">
        <f>"045376"</f>
        <v>045376</v>
      </c>
      <c r="C562" s="19" t="s">
        <v>567</v>
      </c>
      <c r="D562" s="19" t="s">
        <v>15996</v>
      </c>
      <c r="E562" s="19" t="s">
        <v>31069</v>
      </c>
      <c r="F562" s="19" t="s">
        <v>35977</v>
      </c>
      <c r="G562" s="18" t="str">
        <f>"72120"</f>
        <v>72120</v>
      </c>
      <c r="H562" s="19" t="s">
        <v>31795</v>
      </c>
      <c r="I562" s="20">
        <v>24.201000000000001</v>
      </c>
      <c r="J562" s="44" t="s">
        <v>8</v>
      </c>
      <c r="K562" s="23" t="s">
        <v>8</v>
      </c>
      <c r="L562" s="23" t="s">
        <v>8</v>
      </c>
      <c r="M562" s="23" t="s">
        <v>8</v>
      </c>
    </row>
    <row r="563" spans="1:13" s="21" customFormat="1" x14ac:dyDescent="0.25">
      <c r="A563" s="22" t="s">
        <v>8</v>
      </c>
      <c r="B563" s="18" t="str">
        <f>"045377"</f>
        <v>045377</v>
      </c>
      <c r="C563" s="19" t="s">
        <v>568</v>
      </c>
      <c r="D563" s="19" t="s">
        <v>15997</v>
      </c>
      <c r="E563" s="19" t="s">
        <v>31070</v>
      </c>
      <c r="F563" s="19" t="s">
        <v>35977</v>
      </c>
      <c r="G563" s="18" t="str">
        <f>"71665"</f>
        <v>71665</v>
      </c>
      <c r="H563" s="19" t="s">
        <v>31810</v>
      </c>
      <c r="I563" s="20">
        <v>19.789000000000001</v>
      </c>
      <c r="J563" s="44" t="s">
        <v>8</v>
      </c>
      <c r="K563" s="23" t="s">
        <v>8</v>
      </c>
      <c r="L563" s="23" t="s">
        <v>8</v>
      </c>
      <c r="M563" s="23" t="s">
        <v>8</v>
      </c>
    </row>
    <row r="564" spans="1:13" s="21" customFormat="1" x14ac:dyDescent="0.25">
      <c r="A564" s="22" t="s">
        <v>8</v>
      </c>
      <c r="B564" s="18" t="str">
        <f>"045378"</f>
        <v>045378</v>
      </c>
      <c r="C564" s="19" t="s">
        <v>569</v>
      </c>
      <c r="D564" s="19" t="s">
        <v>15998</v>
      </c>
      <c r="E564" s="19" t="s">
        <v>30912</v>
      </c>
      <c r="F564" s="19" t="s">
        <v>35977</v>
      </c>
      <c r="G564" s="18" t="str">
        <f>"72076"</f>
        <v>72076</v>
      </c>
      <c r="H564" s="19" t="s">
        <v>31795</v>
      </c>
      <c r="I564" s="20">
        <v>26.614999999999998</v>
      </c>
      <c r="J564" s="44" t="s">
        <v>8</v>
      </c>
      <c r="K564" s="23" t="s">
        <v>8</v>
      </c>
      <c r="L564" s="23" t="s">
        <v>8</v>
      </c>
      <c r="M564" s="23" t="s">
        <v>8</v>
      </c>
    </row>
    <row r="565" spans="1:13" s="21" customFormat="1" x14ac:dyDescent="0.25">
      <c r="A565" s="22" t="s">
        <v>8</v>
      </c>
      <c r="B565" s="18" t="str">
        <f>"045379"</f>
        <v>045379</v>
      </c>
      <c r="C565" s="19" t="s">
        <v>570</v>
      </c>
      <c r="D565" s="19" t="s">
        <v>15999</v>
      </c>
      <c r="E565" s="19" t="s">
        <v>31043</v>
      </c>
      <c r="F565" s="19" t="s">
        <v>35977</v>
      </c>
      <c r="G565" s="18" t="str">
        <f>"71603"</f>
        <v>71603</v>
      </c>
      <c r="H565" s="19" t="s">
        <v>32391</v>
      </c>
      <c r="I565" s="20">
        <v>17.452000000000002</v>
      </c>
      <c r="J565" s="44" t="s">
        <v>8</v>
      </c>
      <c r="K565" s="23" t="s">
        <v>8</v>
      </c>
      <c r="L565" s="23" t="s">
        <v>8</v>
      </c>
      <c r="M565" s="23" t="s">
        <v>8</v>
      </c>
    </row>
    <row r="566" spans="1:13" s="21" customFormat="1" x14ac:dyDescent="0.25">
      <c r="A566" s="22" t="s">
        <v>8</v>
      </c>
      <c r="B566" s="18" t="str">
        <f>"045380"</f>
        <v>045380</v>
      </c>
      <c r="C566" s="19" t="s">
        <v>571</v>
      </c>
      <c r="D566" s="19" t="s">
        <v>16000</v>
      </c>
      <c r="E566" s="19" t="s">
        <v>30992</v>
      </c>
      <c r="F566" s="19" t="s">
        <v>35977</v>
      </c>
      <c r="G566" s="18" t="str">
        <f>"72401"</f>
        <v>72401</v>
      </c>
      <c r="H566" s="19" t="s">
        <v>36066</v>
      </c>
      <c r="I566" s="20">
        <v>21.731000000000002</v>
      </c>
      <c r="J566" s="44" t="s">
        <v>8</v>
      </c>
      <c r="K566" s="23" t="s">
        <v>8</v>
      </c>
      <c r="L566" s="23" t="s">
        <v>8</v>
      </c>
      <c r="M566" s="23" t="s">
        <v>8</v>
      </c>
    </row>
    <row r="567" spans="1:13" s="21" customFormat="1" x14ac:dyDescent="0.25">
      <c r="A567" s="22" t="s">
        <v>8</v>
      </c>
      <c r="B567" s="18" t="str">
        <f>"045381"</f>
        <v>045381</v>
      </c>
      <c r="C567" s="19" t="s">
        <v>572</v>
      </c>
      <c r="D567" s="19" t="s">
        <v>16001</v>
      </c>
      <c r="E567" s="19" t="s">
        <v>31071</v>
      </c>
      <c r="F567" s="19" t="s">
        <v>35977</v>
      </c>
      <c r="G567" s="18" t="str">
        <f>"72058"</f>
        <v>72058</v>
      </c>
      <c r="H567" s="19" t="s">
        <v>36074</v>
      </c>
      <c r="I567" s="20">
        <v>20.318999999999999</v>
      </c>
      <c r="J567" s="44" t="s">
        <v>8</v>
      </c>
      <c r="K567" s="23" t="s">
        <v>8</v>
      </c>
      <c r="L567" s="23" t="s">
        <v>8</v>
      </c>
      <c r="M567" s="23" t="s">
        <v>8</v>
      </c>
    </row>
    <row r="568" spans="1:13" s="21" customFormat="1" x14ac:dyDescent="0.25">
      <c r="A568" s="22" t="s">
        <v>8</v>
      </c>
      <c r="B568" s="18" t="str">
        <f>"045382"</f>
        <v>045382</v>
      </c>
      <c r="C568" s="19" t="s">
        <v>573</v>
      </c>
      <c r="D568" s="19" t="s">
        <v>16002</v>
      </c>
      <c r="E568" s="19" t="s">
        <v>31060</v>
      </c>
      <c r="F568" s="19" t="s">
        <v>35977</v>
      </c>
      <c r="G568" s="18" t="str">
        <f>"71801"</f>
        <v>71801</v>
      </c>
      <c r="H568" s="19" t="s">
        <v>34092</v>
      </c>
      <c r="I568" s="20">
        <v>19.245999999999999</v>
      </c>
      <c r="J568" s="44" t="s">
        <v>8</v>
      </c>
      <c r="K568" s="23" t="s">
        <v>8</v>
      </c>
      <c r="L568" s="23" t="s">
        <v>8</v>
      </c>
      <c r="M568" s="23" t="s">
        <v>8</v>
      </c>
    </row>
    <row r="569" spans="1:13" s="21" customFormat="1" x14ac:dyDescent="0.25">
      <c r="A569" s="22" t="s">
        <v>8</v>
      </c>
      <c r="B569" s="18" t="str">
        <f>"045383"</f>
        <v>045383</v>
      </c>
      <c r="C569" s="19" t="s">
        <v>574</v>
      </c>
      <c r="D569" s="19" t="s">
        <v>16003</v>
      </c>
      <c r="E569" s="19" t="s">
        <v>31072</v>
      </c>
      <c r="F569" s="19" t="s">
        <v>35977</v>
      </c>
      <c r="G569" s="18" t="str">
        <f>"72958"</f>
        <v>72958</v>
      </c>
      <c r="H569" s="19" t="s">
        <v>36083</v>
      </c>
      <c r="I569" s="20">
        <v>18.823</v>
      </c>
      <c r="J569" s="44" t="s">
        <v>8</v>
      </c>
      <c r="K569" s="23" t="s">
        <v>8</v>
      </c>
      <c r="L569" s="23" t="s">
        <v>8</v>
      </c>
      <c r="M569" s="23" t="s">
        <v>8</v>
      </c>
    </row>
    <row r="570" spans="1:13" s="21" customFormat="1" x14ac:dyDescent="0.25">
      <c r="A570" s="22" t="s">
        <v>8</v>
      </c>
      <c r="B570" s="18" t="str">
        <f>"045384"</f>
        <v>045384</v>
      </c>
      <c r="C570" s="19" t="s">
        <v>575</v>
      </c>
      <c r="D570" s="19" t="s">
        <v>16004</v>
      </c>
      <c r="E570" s="19" t="s">
        <v>31073</v>
      </c>
      <c r="F570" s="19" t="s">
        <v>35977</v>
      </c>
      <c r="G570" s="18" t="str">
        <f>"72432"</f>
        <v>72432</v>
      </c>
      <c r="H570" s="19" t="s">
        <v>36082</v>
      </c>
      <c r="I570" s="20">
        <v>19.515999999999998</v>
      </c>
      <c r="J570" s="44" t="s">
        <v>8</v>
      </c>
      <c r="K570" s="23" t="s">
        <v>8</v>
      </c>
      <c r="L570" s="23" t="s">
        <v>8</v>
      </c>
      <c r="M570" s="23" t="s">
        <v>8</v>
      </c>
    </row>
    <row r="571" spans="1:13" s="21" customFormat="1" x14ac:dyDescent="0.25">
      <c r="A571" s="22" t="s">
        <v>8</v>
      </c>
      <c r="B571" s="18" t="str">
        <f>"045385"</f>
        <v>045385</v>
      </c>
      <c r="C571" s="19" t="s">
        <v>576</v>
      </c>
      <c r="D571" s="19" t="s">
        <v>16005</v>
      </c>
      <c r="E571" s="19" t="s">
        <v>31026</v>
      </c>
      <c r="F571" s="19" t="s">
        <v>35977</v>
      </c>
      <c r="G571" s="18" t="str">
        <f>"72114"</f>
        <v>72114</v>
      </c>
      <c r="H571" s="19" t="s">
        <v>31795</v>
      </c>
      <c r="I571" s="20">
        <v>17.698</v>
      </c>
      <c r="J571" s="44" t="s">
        <v>8</v>
      </c>
      <c r="K571" s="23" t="s">
        <v>8</v>
      </c>
      <c r="L571" s="23" t="s">
        <v>8</v>
      </c>
      <c r="M571" s="23" t="s">
        <v>8</v>
      </c>
    </row>
    <row r="572" spans="1:13" s="21" customFormat="1" x14ac:dyDescent="0.25">
      <c r="A572" s="22" t="s">
        <v>8</v>
      </c>
      <c r="B572" s="18" t="str">
        <f>"045386"</f>
        <v>045386</v>
      </c>
      <c r="C572" s="19" t="s">
        <v>577</v>
      </c>
      <c r="D572" s="19" t="s">
        <v>16006</v>
      </c>
      <c r="E572" s="19" t="s">
        <v>30897</v>
      </c>
      <c r="F572" s="19" t="s">
        <v>35977</v>
      </c>
      <c r="G572" s="18" t="str">
        <f>"72949"</f>
        <v>72949</v>
      </c>
      <c r="H572" s="19" t="s">
        <v>5</v>
      </c>
      <c r="I572" s="20">
        <v>19.870999999999999</v>
      </c>
      <c r="J572" s="44" t="s">
        <v>8</v>
      </c>
      <c r="K572" s="23" t="s">
        <v>8</v>
      </c>
      <c r="L572" s="23" t="s">
        <v>8</v>
      </c>
      <c r="M572" s="23" t="s">
        <v>8</v>
      </c>
    </row>
    <row r="573" spans="1:13" s="21" customFormat="1" x14ac:dyDescent="0.25">
      <c r="A573" s="22" t="s">
        <v>8</v>
      </c>
      <c r="B573" s="18" t="str">
        <f>"045387"</f>
        <v>045387</v>
      </c>
      <c r="C573" s="19" t="s">
        <v>578</v>
      </c>
      <c r="D573" s="19" t="s">
        <v>16007</v>
      </c>
      <c r="E573" s="19" t="s">
        <v>31023</v>
      </c>
      <c r="F573" s="19" t="s">
        <v>35977</v>
      </c>
      <c r="G573" s="18" t="str">
        <f>"72205"</f>
        <v>72205</v>
      </c>
      <c r="H573" s="19" t="s">
        <v>31795</v>
      </c>
      <c r="I573" s="20">
        <v>19.007000000000001</v>
      </c>
      <c r="J573" s="44" t="s">
        <v>8</v>
      </c>
      <c r="K573" s="23" t="s">
        <v>8</v>
      </c>
      <c r="L573" s="23" t="s">
        <v>8</v>
      </c>
      <c r="M573" s="23" t="s">
        <v>8</v>
      </c>
    </row>
    <row r="574" spans="1:13" s="21" customFormat="1" x14ac:dyDescent="0.25">
      <c r="A574" s="22" t="s">
        <v>8</v>
      </c>
      <c r="B574" s="18" t="str">
        <f>"045390"</f>
        <v>045390</v>
      </c>
      <c r="C574" s="19" t="s">
        <v>579</v>
      </c>
      <c r="D574" s="19" t="s">
        <v>16008</v>
      </c>
      <c r="E574" s="19" t="s">
        <v>31023</v>
      </c>
      <c r="F574" s="19" t="s">
        <v>35977</v>
      </c>
      <c r="G574" s="18" t="str">
        <f>"72212"</f>
        <v>72212</v>
      </c>
      <c r="H574" s="19" t="s">
        <v>31795</v>
      </c>
      <c r="I574" s="20">
        <v>22.849</v>
      </c>
      <c r="J574" s="44" t="s">
        <v>8</v>
      </c>
      <c r="K574" s="23" t="s">
        <v>8</v>
      </c>
      <c r="L574" s="23" t="s">
        <v>8</v>
      </c>
      <c r="M574" s="23" t="s">
        <v>8</v>
      </c>
    </row>
    <row r="575" spans="1:13" s="21" customFormat="1" x14ac:dyDescent="0.25">
      <c r="A575" s="22" t="s">
        <v>8</v>
      </c>
      <c r="B575" s="18" t="str">
        <f>"045391"</f>
        <v>045391</v>
      </c>
      <c r="C575" s="19" t="s">
        <v>580</v>
      </c>
      <c r="D575" s="19" t="s">
        <v>16009</v>
      </c>
      <c r="E575" s="19" t="s">
        <v>31074</v>
      </c>
      <c r="F575" s="19" t="s">
        <v>35977</v>
      </c>
      <c r="G575" s="18" t="str">
        <f>"72365"</f>
        <v>72365</v>
      </c>
      <c r="H575" s="19" t="s">
        <v>36082</v>
      </c>
      <c r="I575" s="20">
        <v>23.526</v>
      </c>
      <c r="J575" s="44" t="s">
        <v>8</v>
      </c>
      <c r="K575" s="23" t="s">
        <v>8</v>
      </c>
      <c r="L575" s="23" t="s">
        <v>8</v>
      </c>
      <c r="M575" s="23" t="s">
        <v>8</v>
      </c>
    </row>
    <row r="576" spans="1:13" s="21" customFormat="1" x14ac:dyDescent="0.25">
      <c r="A576" s="22" t="s">
        <v>8</v>
      </c>
      <c r="B576" s="18" t="str">
        <f>"045392"</f>
        <v>045392</v>
      </c>
      <c r="C576" s="19" t="s">
        <v>581</v>
      </c>
      <c r="D576" s="19" t="s">
        <v>16010</v>
      </c>
      <c r="E576" s="19" t="s">
        <v>31027</v>
      </c>
      <c r="F576" s="19" t="s">
        <v>35977</v>
      </c>
      <c r="G576" s="18" t="str">
        <f>"72023"</f>
        <v>72023</v>
      </c>
      <c r="H576" s="19" t="s">
        <v>31046</v>
      </c>
      <c r="I576" s="20">
        <v>21.135000000000002</v>
      </c>
      <c r="J576" s="44" t="s">
        <v>8</v>
      </c>
      <c r="K576" s="23" t="s">
        <v>8</v>
      </c>
      <c r="L576" s="23" t="s">
        <v>8</v>
      </c>
      <c r="M576" s="23" t="s">
        <v>8</v>
      </c>
    </row>
    <row r="577" spans="1:13" s="21" customFormat="1" x14ac:dyDescent="0.25">
      <c r="A577" s="22" t="s">
        <v>8</v>
      </c>
      <c r="B577" s="18" t="str">
        <f>"045393"</f>
        <v>045393</v>
      </c>
      <c r="C577" s="19" t="s">
        <v>582</v>
      </c>
      <c r="D577" s="19" t="s">
        <v>16011</v>
      </c>
      <c r="E577" s="19" t="s">
        <v>31042</v>
      </c>
      <c r="F577" s="19" t="s">
        <v>35977</v>
      </c>
      <c r="G577" s="18" t="str">
        <f>"72104"</f>
        <v>72104</v>
      </c>
      <c r="H577" s="19" t="s">
        <v>36079</v>
      </c>
      <c r="I577" s="20">
        <v>22.881</v>
      </c>
      <c r="J577" s="44" t="s">
        <v>8</v>
      </c>
      <c r="K577" s="23" t="s">
        <v>8</v>
      </c>
      <c r="L577" s="23" t="s">
        <v>8</v>
      </c>
      <c r="M577" s="23" t="s">
        <v>8</v>
      </c>
    </row>
    <row r="578" spans="1:13" s="21" customFormat="1" x14ac:dyDescent="0.25">
      <c r="A578" s="22" t="s">
        <v>8</v>
      </c>
      <c r="B578" s="18" t="str">
        <f>"045394"</f>
        <v>045394</v>
      </c>
      <c r="C578" s="19" t="s">
        <v>583</v>
      </c>
      <c r="D578" s="19" t="s">
        <v>16012</v>
      </c>
      <c r="E578" s="19" t="s">
        <v>31075</v>
      </c>
      <c r="F578" s="19" t="s">
        <v>35977</v>
      </c>
      <c r="G578" s="18" t="str">
        <f>"72461"</f>
        <v>72461</v>
      </c>
      <c r="H578" s="19" t="s">
        <v>36030</v>
      </c>
      <c r="I578" s="20">
        <v>22.248000000000001</v>
      </c>
      <c r="J578" s="44" t="s">
        <v>8</v>
      </c>
      <c r="K578" s="23" t="s">
        <v>8</v>
      </c>
      <c r="L578" s="23" t="s">
        <v>8</v>
      </c>
      <c r="M578" s="23" t="s">
        <v>8</v>
      </c>
    </row>
    <row r="579" spans="1:13" s="21" customFormat="1" x14ac:dyDescent="0.25">
      <c r="A579" s="22" t="s">
        <v>8</v>
      </c>
      <c r="B579" s="18" t="str">
        <f>"045396"</f>
        <v>045396</v>
      </c>
      <c r="C579" s="19" t="s">
        <v>584</v>
      </c>
      <c r="D579" s="19" t="s">
        <v>16013</v>
      </c>
      <c r="E579" s="19" t="s">
        <v>31076</v>
      </c>
      <c r="F579" s="19" t="s">
        <v>35977</v>
      </c>
      <c r="G579" s="18" t="str">
        <f>"71742"</f>
        <v>71742</v>
      </c>
      <c r="H579" s="19" t="s">
        <v>31723</v>
      </c>
      <c r="I579" s="20">
        <v>20.411000000000001</v>
      </c>
      <c r="J579" s="44" t="s">
        <v>8</v>
      </c>
      <c r="K579" s="23" t="s">
        <v>8</v>
      </c>
      <c r="L579" s="23" t="s">
        <v>8</v>
      </c>
      <c r="M579" s="23" t="s">
        <v>8</v>
      </c>
    </row>
    <row r="580" spans="1:13" s="21" customFormat="1" x14ac:dyDescent="0.25">
      <c r="A580" s="22" t="s">
        <v>8</v>
      </c>
      <c r="B580" s="18" t="str">
        <f>"045398"</f>
        <v>045398</v>
      </c>
      <c r="C580" s="19" t="s">
        <v>585</v>
      </c>
      <c r="D580" s="19" t="s">
        <v>16014</v>
      </c>
      <c r="E580" s="19" t="s">
        <v>30991</v>
      </c>
      <c r="F580" s="19" t="s">
        <v>35977</v>
      </c>
      <c r="G580" s="18" t="str">
        <f>"72703"</f>
        <v>72703</v>
      </c>
      <c r="H580" s="19" t="s">
        <v>31500</v>
      </c>
      <c r="I580" s="20">
        <v>18.161999999999999</v>
      </c>
      <c r="J580" s="44" t="s">
        <v>8</v>
      </c>
      <c r="K580" s="23" t="s">
        <v>8</v>
      </c>
      <c r="L580" s="23" t="s">
        <v>8</v>
      </c>
      <c r="M580" s="23" t="s">
        <v>8</v>
      </c>
    </row>
    <row r="581" spans="1:13" s="21" customFormat="1" x14ac:dyDescent="0.25">
      <c r="A581" s="22" t="s">
        <v>8</v>
      </c>
      <c r="B581" s="18" t="str">
        <f>"045399"</f>
        <v>045399</v>
      </c>
      <c r="C581" s="19" t="s">
        <v>586</v>
      </c>
      <c r="D581" s="19" t="s">
        <v>16015</v>
      </c>
      <c r="E581" s="19" t="s">
        <v>31024</v>
      </c>
      <c r="F581" s="19" t="s">
        <v>35977</v>
      </c>
      <c r="G581" s="18" t="str">
        <f>"72015"</f>
        <v>72015</v>
      </c>
      <c r="H581" s="19" t="s">
        <v>33206</v>
      </c>
      <c r="I581" s="20">
        <v>19.564</v>
      </c>
      <c r="J581" s="44" t="s">
        <v>8</v>
      </c>
      <c r="K581" s="23" t="s">
        <v>8</v>
      </c>
      <c r="L581" s="23" t="s">
        <v>8</v>
      </c>
      <c r="M581" s="23" t="s">
        <v>8</v>
      </c>
    </row>
    <row r="582" spans="1:13" s="21" customFormat="1" x14ac:dyDescent="0.25">
      <c r="A582" s="22" t="s">
        <v>8</v>
      </c>
      <c r="B582" s="18" t="str">
        <f>"045400"</f>
        <v>045400</v>
      </c>
      <c r="C582" s="19" t="s">
        <v>587</v>
      </c>
      <c r="D582" s="19" t="s">
        <v>16016</v>
      </c>
      <c r="E582" s="19" t="s">
        <v>31023</v>
      </c>
      <c r="F582" s="19" t="s">
        <v>35977</v>
      </c>
      <c r="G582" s="18" t="str">
        <f>"72205"</f>
        <v>72205</v>
      </c>
      <c r="H582" s="19" t="s">
        <v>31795</v>
      </c>
      <c r="I582" s="20">
        <v>19.367000000000001</v>
      </c>
      <c r="J582" s="44" t="s">
        <v>8</v>
      </c>
      <c r="K582" s="23" t="s">
        <v>8</v>
      </c>
      <c r="L582" s="23" t="s">
        <v>8</v>
      </c>
      <c r="M582" s="23" t="s">
        <v>8</v>
      </c>
    </row>
    <row r="583" spans="1:13" s="21" customFormat="1" x14ac:dyDescent="0.25">
      <c r="A583" s="22" t="s">
        <v>8</v>
      </c>
      <c r="B583" s="18" t="str">
        <f>"045401"</f>
        <v>045401</v>
      </c>
      <c r="C583" s="19" t="s">
        <v>588</v>
      </c>
      <c r="D583" s="19" t="s">
        <v>16017</v>
      </c>
      <c r="E583" s="19" t="s">
        <v>31077</v>
      </c>
      <c r="F583" s="19" t="s">
        <v>35977</v>
      </c>
      <c r="G583" s="18" t="str">
        <f>"72519"</f>
        <v>72519</v>
      </c>
      <c r="H583" s="19" t="s">
        <v>36068</v>
      </c>
      <c r="I583" s="20">
        <v>21.739000000000001</v>
      </c>
      <c r="J583" s="44" t="s">
        <v>8</v>
      </c>
      <c r="K583" s="23" t="s">
        <v>8</v>
      </c>
      <c r="L583" s="23" t="s">
        <v>8</v>
      </c>
      <c r="M583" s="23" t="s">
        <v>8</v>
      </c>
    </row>
    <row r="584" spans="1:13" s="21" customFormat="1" x14ac:dyDescent="0.25">
      <c r="A584" s="22" t="s">
        <v>8</v>
      </c>
      <c r="B584" s="18" t="str">
        <f>"045402"</f>
        <v>045402</v>
      </c>
      <c r="C584" s="19" t="s">
        <v>589</v>
      </c>
      <c r="D584" s="19" t="s">
        <v>16018</v>
      </c>
      <c r="E584" s="19" t="s">
        <v>30996</v>
      </c>
      <c r="F584" s="19" t="s">
        <v>35977</v>
      </c>
      <c r="G584" s="18" t="str">
        <f>"72715"</f>
        <v>72715</v>
      </c>
      <c r="H584" s="19" t="s">
        <v>31024</v>
      </c>
      <c r="I584" s="20">
        <v>18.411000000000001</v>
      </c>
      <c r="J584" s="44" t="s">
        <v>8</v>
      </c>
      <c r="K584" s="23" t="s">
        <v>8</v>
      </c>
      <c r="L584" s="23" t="s">
        <v>8</v>
      </c>
      <c r="M584" s="23" t="s">
        <v>8</v>
      </c>
    </row>
    <row r="585" spans="1:13" s="21" customFormat="1" x14ac:dyDescent="0.25">
      <c r="A585" s="22" t="s">
        <v>8</v>
      </c>
      <c r="B585" s="18" t="str">
        <f>"045403"</f>
        <v>045403</v>
      </c>
      <c r="C585" s="19" t="s">
        <v>590</v>
      </c>
      <c r="D585" s="19" t="s">
        <v>16019</v>
      </c>
      <c r="E585" s="19" t="s">
        <v>31078</v>
      </c>
      <c r="F585" s="19" t="s">
        <v>35977</v>
      </c>
      <c r="G585" s="18" t="str">
        <f>"71943"</f>
        <v>71943</v>
      </c>
      <c r="H585" s="19" t="s">
        <v>36033</v>
      </c>
      <c r="I585" s="20">
        <v>21.135999999999999</v>
      </c>
      <c r="J585" s="44" t="s">
        <v>8</v>
      </c>
      <c r="K585" s="23" t="s">
        <v>8</v>
      </c>
      <c r="L585" s="23" t="s">
        <v>8</v>
      </c>
      <c r="M585" s="23" t="s">
        <v>8</v>
      </c>
    </row>
    <row r="586" spans="1:13" s="21" customFormat="1" x14ac:dyDescent="0.25">
      <c r="A586" s="22" t="s">
        <v>8</v>
      </c>
      <c r="B586" s="18" t="str">
        <f>"045404"</f>
        <v>045404</v>
      </c>
      <c r="C586" s="19" t="s">
        <v>591</v>
      </c>
      <c r="D586" s="19" t="s">
        <v>16020</v>
      </c>
      <c r="E586" s="19" t="s">
        <v>30990</v>
      </c>
      <c r="F586" s="19" t="s">
        <v>35977</v>
      </c>
      <c r="G586" s="18" t="str">
        <f>"71901"</f>
        <v>71901</v>
      </c>
      <c r="H586" s="19" t="s">
        <v>35286</v>
      </c>
      <c r="I586" s="20">
        <v>19.401</v>
      </c>
      <c r="J586" s="44" t="s">
        <v>8</v>
      </c>
      <c r="K586" s="23" t="s">
        <v>8</v>
      </c>
      <c r="L586" s="23" t="s">
        <v>8</v>
      </c>
      <c r="M586" s="23" t="s">
        <v>8</v>
      </c>
    </row>
    <row r="587" spans="1:13" s="21" customFormat="1" x14ac:dyDescent="0.25">
      <c r="A587" s="22" t="s">
        <v>8</v>
      </c>
      <c r="B587" s="18" t="str">
        <f>"045406"</f>
        <v>045406</v>
      </c>
      <c r="C587" s="19" t="s">
        <v>592</v>
      </c>
      <c r="D587" s="19" t="s">
        <v>16021</v>
      </c>
      <c r="E587" s="19" t="s">
        <v>31007</v>
      </c>
      <c r="F587" s="19" t="s">
        <v>35977</v>
      </c>
      <c r="G587" s="18" t="str">
        <f>"72653"</f>
        <v>72653</v>
      </c>
      <c r="H587" s="19" t="s">
        <v>32482</v>
      </c>
      <c r="I587" s="20">
        <v>18.765000000000001</v>
      </c>
      <c r="J587" s="44" t="s">
        <v>8</v>
      </c>
      <c r="K587" s="23" t="s">
        <v>8</v>
      </c>
      <c r="L587" s="23" t="s">
        <v>8</v>
      </c>
      <c r="M587" s="23" t="s">
        <v>8</v>
      </c>
    </row>
    <row r="588" spans="1:13" s="21" customFormat="1" x14ac:dyDescent="0.25">
      <c r="A588" s="22" t="s">
        <v>8</v>
      </c>
      <c r="B588" s="18" t="str">
        <f>"045407"</f>
        <v>045407</v>
      </c>
      <c r="C588" s="19" t="s">
        <v>593</v>
      </c>
      <c r="D588" s="19" t="s">
        <v>16022</v>
      </c>
      <c r="E588" s="19" t="s">
        <v>31009</v>
      </c>
      <c r="F588" s="19" t="s">
        <v>35977</v>
      </c>
      <c r="G588" s="18" t="str">
        <f>"72762"</f>
        <v>72762</v>
      </c>
      <c r="H588" s="19" t="s">
        <v>31500</v>
      </c>
      <c r="I588" s="20">
        <v>20.657</v>
      </c>
      <c r="J588" s="44" t="s">
        <v>8</v>
      </c>
      <c r="K588" s="23" t="s">
        <v>8</v>
      </c>
      <c r="L588" s="23" t="s">
        <v>8</v>
      </c>
      <c r="M588" s="23" t="s">
        <v>8</v>
      </c>
    </row>
    <row r="589" spans="1:13" s="21" customFormat="1" x14ac:dyDescent="0.25">
      <c r="A589" s="22" t="s">
        <v>8</v>
      </c>
      <c r="B589" s="18" t="str">
        <f>"045408"</f>
        <v>045408</v>
      </c>
      <c r="C589" s="19" t="s">
        <v>594</v>
      </c>
      <c r="D589" s="19" t="s">
        <v>16023</v>
      </c>
      <c r="E589" s="19" t="s">
        <v>31024</v>
      </c>
      <c r="F589" s="19" t="s">
        <v>35977</v>
      </c>
      <c r="G589" s="18" t="str">
        <f>"72015"</f>
        <v>72015</v>
      </c>
      <c r="H589" s="19" t="s">
        <v>33206</v>
      </c>
      <c r="I589" s="20">
        <v>21.838999999999999</v>
      </c>
      <c r="J589" s="44" t="s">
        <v>8</v>
      </c>
      <c r="K589" s="23" t="s">
        <v>8</v>
      </c>
      <c r="L589" s="23" t="s">
        <v>8</v>
      </c>
      <c r="M589" s="23" t="s">
        <v>8</v>
      </c>
    </row>
    <row r="590" spans="1:13" s="21" customFormat="1" x14ac:dyDescent="0.25">
      <c r="A590" s="22" t="s">
        <v>8</v>
      </c>
      <c r="B590" s="18" t="str">
        <f>"045409"</f>
        <v>045409</v>
      </c>
      <c r="C590" s="19" t="s">
        <v>595</v>
      </c>
      <c r="D590" s="19" t="s">
        <v>16024</v>
      </c>
      <c r="E590" s="19" t="s">
        <v>31079</v>
      </c>
      <c r="F590" s="19" t="s">
        <v>35977</v>
      </c>
      <c r="G590" s="18" t="str">
        <f>"72753"</f>
        <v>72753</v>
      </c>
      <c r="H590" s="19" t="s">
        <v>31500</v>
      </c>
      <c r="I590" s="20">
        <v>17.530999999999999</v>
      </c>
      <c r="J590" s="44" t="s">
        <v>8</v>
      </c>
      <c r="K590" s="23" t="s">
        <v>8</v>
      </c>
      <c r="L590" s="23" t="s">
        <v>8</v>
      </c>
      <c r="M590" s="23" t="s">
        <v>8</v>
      </c>
    </row>
    <row r="591" spans="1:13" s="21" customFormat="1" x14ac:dyDescent="0.25">
      <c r="A591" s="22" t="s">
        <v>8</v>
      </c>
      <c r="B591" s="18" t="str">
        <f>"045410"</f>
        <v>045410</v>
      </c>
      <c r="C591" s="19" t="s">
        <v>596</v>
      </c>
      <c r="D591" s="19" t="s">
        <v>16025</v>
      </c>
      <c r="E591" s="19" t="s">
        <v>30818</v>
      </c>
      <c r="F591" s="19" t="s">
        <v>35977</v>
      </c>
      <c r="G591" s="18" t="str">
        <f>"72801"</f>
        <v>72801</v>
      </c>
      <c r="H591" s="19" t="s">
        <v>36077</v>
      </c>
      <c r="I591" s="20">
        <v>19.887</v>
      </c>
      <c r="J591" s="44" t="s">
        <v>8</v>
      </c>
      <c r="K591" s="23" t="s">
        <v>8</v>
      </c>
      <c r="L591" s="23" t="s">
        <v>8</v>
      </c>
      <c r="M591" s="23" t="s">
        <v>8</v>
      </c>
    </row>
    <row r="592" spans="1:13" s="21" customFormat="1" x14ac:dyDescent="0.25">
      <c r="A592" s="22" t="s">
        <v>8</v>
      </c>
      <c r="B592" s="18" t="str">
        <f>"045411"</f>
        <v>045411</v>
      </c>
      <c r="C592" s="19" t="s">
        <v>597</v>
      </c>
      <c r="D592" s="19" t="s">
        <v>16026</v>
      </c>
      <c r="E592" s="19" t="s">
        <v>31080</v>
      </c>
      <c r="F592" s="19" t="s">
        <v>35977</v>
      </c>
      <c r="G592" s="18" t="str">
        <f>"71861"</f>
        <v>71861</v>
      </c>
      <c r="H592" s="19" t="s">
        <v>32076</v>
      </c>
      <c r="I592" s="20">
        <v>19.628</v>
      </c>
      <c r="J592" s="44" t="s">
        <v>8</v>
      </c>
      <c r="K592" s="23" t="s">
        <v>8</v>
      </c>
      <c r="L592" s="23" t="s">
        <v>8</v>
      </c>
      <c r="M592" s="23" t="s">
        <v>8</v>
      </c>
    </row>
    <row r="593" spans="1:13" s="21" customFormat="1" x14ac:dyDescent="0.25">
      <c r="A593" s="22" t="s">
        <v>8</v>
      </c>
      <c r="B593" s="18" t="str">
        <f>"045412"</f>
        <v>045412</v>
      </c>
      <c r="C593" s="19" t="s">
        <v>598</v>
      </c>
      <c r="D593" s="19" t="s">
        <v>16027</v>
      </c>
      <c r="E593" s="19" t="s">
        <v>30850</v>
      </c>
      <c r="F593" s="19" t="s">
        <v>35977</v>
      </c>
      <c r="G593" s="18" t="str">
        <f>"72364"</f>
        <v>72364</v>
      </c>
      <c r="H593" s="19" t="s">
        <v>36075</v>
      </c>
      <c r="I593" s="20">
        <v>20.462</v>
      </c>
      <c r="J593" s="44" t="s">
        <v>8</v>
      </c>
      <c r="K593" s="23" t="s">
        <v>8</v>
      </c>
      <c r="L593" s="23" t="s">
        <v>8</v>
      </c>
      <c r="M593" s="23" t="s">
        <v>8</v>
      </c>
    </row>
    <row r="594" spans="1:13" s="21" customFormat="1" x14ac:dyDescent="0.25">
      <c r="A594" s="22" t="s">
        <v>8</v>
      </c>
      <c r="B594" s="18" t="str">
        <f>"045413"</f>
        <v>045413</v>
      </c>
      <c r="C594" s="19" t="s">
        <v>599</v>
      </c>
      <c r="D594" s="19" t="s">
        <v>16028</v>
      </c>
      <c r="E594" s="19" t="s">
        <v>31041</v>
      </c>
      <c r="F594" s="19" t="s">
        <v>35977</v>
      </c>
      <c r="G594" s="18" t="str">
        <f>"72903"</f>
        <v>72903</v>
      </c>
      <c r="H594" s="19" t="s">
        <v>31688</v>
      </c>
      <c r="I594" s="20">
        <v>18.448</v>
      </c>
      <c r="J594" s="44" t="s">
        <v>8</v>
      </c>
      <c r="K594" s="23" t="s">
        <v>8</v>
      </c>
      <c r="L594" s="23" t="s">
        <v>8</v>
      </c>
      <c r="M594" s="23" t="s">
        <v>8</v>
      </c>
    </row>
    <row r="595" spans="1:13" s="21" customFormat="1" x14ac:dyDescent="0.25">
      <c r="A595" s="22" t="s">
        <v>8</v>
      </c>
      <c r="B595" s="18" t="str">
        <f>"045414"</f>
        <v>045414</v>
      </c>
      <c r="C595" s="19" t="s">
        <v>600</v>
      </c>
      <c r="D595" s="19" t="s">
        <v>16029</v>
      </c>
      <c r="E595" s="19" t="s">
        <v>31081</v>
      </c>
      <c r="F595" s="19" t="s">
        <v>35977</v>
      </c>
      <c r="G595" s="18" t="str">
        <f>"72031"</f>
        <v>72031</v>
      </c>
      <c r="H595" s="19" t="s">
        <v>30993</v>
      </c>
      <c r="I595" s="20">
        <v>20.629000000000001</v>
      </c>
      <c r="J595" s="44" t="s">
        <v>8</v>
      </c>
      <c r="K595" s="23" t="s">
        <v>8</v>
      </c>
      <c r="L595" s="23" t="s">
        <v>8</v>
      </c>
      <c r="M595" s="23" t="s">
        <v>8</v>
      </c>
    </row>
    <row r="596" spans="1:13" s="21" customFormat="1" x14ac:dyDescent="0.25">
      <c r="A596" s="22" t="s">
        <v>8</v>
      </c>
      <c r="B596" s="18" t="str">
        <f>"045416"</f>
        <v>045416</v>
      </c>
      <c r="C596" s="19" t="s">
        <v>601</v>
      </c>
      <c r="D596" s="19" t="s">
        <v>16030</v>
      </c>
      <c r="E596" s="19" t="s">
        <v>31015</v>
      </c>
      <c r="F596" s="19" t="s">
        <v>35977</v>
      </c>
      <c r="G596" s="18" t="str">
        <f>"71730"</f>
        <v>71730</v>
      </c>
      <c r="H596" s="19" t="s">
        <v>33554</v>
      </c>
      <c r="I596" s="20">
        <v>20.015000000000001</v>
      </c>
      <c r="J596" s="44" t="s">
        <v>8</v>
      </c>
      <c r="K596" s="23" t="s">
        <v>8</v>
      </c>
      <c r="L596" s="23" t="s">
        <v>8</v>
      </c>
      <c r="M596" s="23" t="s">
        <v>8</v>
      </c>
    </row>
    <row r="597" spans="1:13" s="21" customFormat="1" x14ac:dyDescent="0.25">
      <c r="A597" s="22" t="s">
        <v>8</v>
      </c>
      <c r="B597" s="18" t="str">
        <f>"045417"</f>
        <v>045417</v>
      </c>
      <c r="C597" s="19" t="s">
        <v>602</v>
      </c>
      <c r="D597" s="19" t="s">
        <v>16031</v>
      </c>
      <c r="E597" s="19" t="s">
        <v>30991</v>
      </c>
      <c r="F597" s="19" t="s">
        <v>35977</v>
      </c>
      <c r="G597" s="18" t="str">
        <f>"72703"</f>
        <v>72703</v>
      </c>
      <c r="H597" s="19" t="s">
        <v>31500</v>
      </c>
      <c r="I597" s="20">
        <v>18.818000000000001</v>
      </c>
      <c r="J597" s="44" t="s">
        <v>8</v>
      </c>
      <c r="K597" s="23" t="s">
        <v>8</v>
      </c>
      <c r="L597" s="23" t="s">
        <v>8</v>
      </c>
      <c r="M597" s="23" t="s">
        <v>8</v>
      </c>
    </row>
    <row r="598" spans="1:13" s="21" customFormat="1" x14ac:dyDescent="0.25">
      <c r="A598" s="22" t="s">
        <v>8</v>
      </c>
      <c r="B598" s="18" t="str">
        <f>"045418"</f>
        <v>045418</v>
      </c>
      <c r="C598" s="19" t="s">
        <v>603</v>
      </c>
      <c r="D598" s="19" t="s">
        <v>16032</v>
      </c>
      <c r="E598" s="19" t="s">
        <v>31082</v>
      </c>
      <c r="F598" s="19" t="s">
        <v>35977</v>
      </c>
      <c r="G598" s="18" t="str">
        <f>"72081"</f>
        <v>72081</v>
      </c>
      <c r="H598" s="19" t="s">
        <v>35131</v>
      </c>
      <c r="I598" s="20">
        <v>21.815999999999999</v>
      </c>
      <c r="J598" s="44" t="s">
        <v>8</v>
      </c>
      <c r="K598" s="23" t="s">
        <v>8</v>
      </c>
      <c r="L598" s="23" t="s">
        <v>8</v>
      </c>
      <c r="M598" s="23" t="s">
        <v>8</v>
      </c>
    </row>
    <row r="599" spans="1:13" s="21" customFormat="1" x14ac:dyDescent="0.25">
      <c r="A599" s="22" t="s">
        <v>8</v>
      </c>
      <c r="B599" s="18" t="str">
        <f>"045419"</f>
        <v>045419</v>
      </c>
      <c r="C599" s="19" t="s">
        <v>604</v>
      </c>
      <c r="D599" s="19" t="s">
        <v>16033</v>
      </c>
      <c r="E599" s="19" t="s">
        <v>31083</v>
      </c>
      <c r="F599" s="19" t="s">
        <v>35977</v>
      </c>
      <c r="G599" s="18" t="str">
        <f>"72923"</f>
        <v>72923</v>
      </c>
      <c r="H599" s="19" t="s">
        <v>31688</v>
      </c>
      <c r="I599" s="20">
        <v>22.969000000000001</v>
      </c>
      <c r="J599" s="44" t="s">
        <v>8</v>
      </c>
      <c r="K599" s="23" t="s">
        <v>8</v>
      </c>
      <c r="L599" s="23" t="s">
        <v>8</v>
      </c>
      <c r="M599" s="23" t="s">
        <v>8</v>
      </c>
    </row>
    <row r="600" spans="1:13" s="21" customFormat="1" x14ac:dyDescent="0.25">
      <c r="A600" s="22" t="s">
        <v>8</v>
      </c>
      <c r="B600" s="18" t="str">
        <f>"045421"</f>
        <v>045421</v>
      </c>
      <c r="C600" s="19" t="s">
        <v>605</v>
      </c>
      <c r="D600" s="19" t="s">
        <v>16034</v>
      </c>
      <c r="E600" s="19" t="s">
        <v>30989</v>
      </c>
      <c r="F600" s="19" t="s">
        <v>35977</v>
      </c>
      <c r="G600" s="18" t="str">
        <f>"72756"</f>
        <v>72756</v>
      </c>
      <c r="H600" s="19" t="s">
        <v>31024</v>
      </c>
      <c r="I600" s="20">
        <v>18.93</v>
      </c>
      <c r="J600" s="44" t="s">
        <v>8</v>
      </c>
      <c r="K600" s="23" t="s">
        <v>8</v>
      </c>
      <c r="L600" s="23" t="s">
        <v>8</v>
      </c>
      <c r="M600" s="23" t="s">
        <v>8</v>
      </c>
    </row>
    <row r="601" spans="1:13" s="21" customFormat="1" x14ac:dyDescent="0.25">
      <c r="A601" s="22" t="s">
        <v>8</v>
      </c>
      <c r="B601" s="18" t="str">
        <f>"045422"</f>
        <v>045422</v>
      </c>
      <c r="C601" s="19" t="s">
        <v>606</v>
      </c>
      <c r="D601" s="19" t="s">
        <v>16035</v>
      </c>
      <c r="E601" s="19" t="s">
        <v>31084</v>
      </c>
      <c r="F601" s="19" t="s">
        <v>35977</v>
      </c>
      <c r="G601" s="18" t="str">
        <f>"72113"</f>
        <v>72113</v>
      </c>
      <c r="H601" s="19" t="s">
        <v>31795</v>
      </c>
      <c r="I601" s="20">
        <v>23.103999999999999</v>
      </c>
      <c r="J601" s="44" t="s">
        <v>8</v>
      </c>
      <c r="K601" s="23" t="s">
        <v>8</v>
      </c>
      <c r="L601" s="23" t="s">
        <v>8</v>
      </c>
      <c r="M601" s="23" t="s">
        <v>8</v>
      </c>
    </row>
    <row r="602" spans="1:13" s="21" customFormat="1" x14ac:dyDescent="0.25">
      <c r="A602" s="22" t="s">
        <v>8</v>
      </c>
      <c r="B602" s="18" t="str">
        <f>"045424"</f>
        <v>045424</v>
      </c>
      <c r="C602" s="19" t="s">
        <v>607</v>
      </c>
      <c r="D602" s="19" t="s">
        <v>16036</v>
      </c>
      <c r="E602" s="19" t="s">
        <v>30984</v>
      </c>
      <c r="F602" s="19" t="s">
        <v>35977</v>
      </c>
      <c r="G602" s="18" t="str">
        <f>"72450"</f>
        <v>72450</v>
      </c>
      <c r="H602" s="19" t="s">
        <v>32455</v>
      </c>
      <c r="I602" s="20">
        <v>20.597999999999999</v>
      </c>
      <c r="J602" s="44" t="s">
        <v>8</v>
      </c>
      <c r="K602" s="23" t="s">
        <v>8</v>
      </c>
      <c r="L602" s="23" t="s">
        <v>8</v>
      </c>
      <c r="M602" s="23" t="s">
        <v>8</v>
      </c>
    </row>
    <row r="603" spans="1:13" s="21" customFormat="1" x14ac:dyDescent="0.25">
      <c r="A603" s="22" t="s">
        <v>8</v>
      </c>
      <c r="B603" s="18" t="str">
        <f>"045425"</f>
        <v>045425</v>
      </c>
      <c r="C603" s="19" t="s">
        <v>608</v>
      </c>
      <c r="D603" s="19" t="s">
        <v>16037</v>
      </c>
      <c r="E603" s="19" t="s">
        <v>31085</v>
      </c>
      <c r="F603" s="19" t="s">
        <v>35977</v>
      </c>
      <c r="G603" s="18" t="str">
        <f>"72053"</f>
        <v>72053</v>
      </c>
      <c r="H603" s="19" t="s">
        <v>31795</v>
      </c>
      <c r="I603" s="20">
        <v>19.731000000000002</v>
      </c>
      <c r="J603" s="44" t="s">
        <v>8</v>
      </c>
      <c r="K603" s="23" t="s">
        <v>8</v>
      </c>
      <c r="L603" s="23" t="s">
        <v>8</v>
      </c>
      <c r="M603" s="23" t="s">
        <v>8</v>
      </c>
    </row>
    <row r="604" spans="1:13" s="21" customFormat="1" x14ac:dyDescent="0.25">
      <c r="A604" s="22" t="s">
        <v>8</v>
      </c>
      <c r="B604" s="18" t="str">
        <f>"045427"</f>
        <v>045427</v>
      </c>
      <c r="C604" s="19" t="s">
        <v>609</v>
      </c>
      <c r="D604" s="19" t="s">
        <v>16038</v>
      </c>
      <c r="E604" s="19" t="s">
        <v>31009</v>
      </c>
      <c r="F604" s="19" t="s">
        <v>35977</v>
      </c>
      <c r="G604" s="18" t="str">
        <f>"72764"</f>
        <v>72764</v>
      </c>
      <c r="H604" s="19" t="s">
        <v>31500</v>
      </c>
      <c r="I604" s="20">
        <v>16.61</v>
      </c>
      <c r="J604" s="44" t="s">
        <v>8</v>
      </c>
      <c r="K604" s="23" t="s">
        <v>8</v>
      </c>
      <c r="L604" s="23" t="s">
        <v>8</v>
      </c>
      <c r="M604" s="23" t="s">
        <v>8</v>
      </c>
    </row>
    <row r="605" spans="1:13" s="21" customFormat="1" x14ac:dyDescent="0.25">
      <c r="A605" s="22" t="s">
        <v>8</v>
      </c>
      <c r="B605" s="18" t="str">
        <f>"045428"</f>
        <v>045428</v>
      </c>
      <c r="C605" s="19" t="s">
        <v>610</v>
      </c>
      <c r="D605" s="19" t="s">
        <v>16039</v>
      </c>
      <c r="E605" s="19" t="s">
        <v>31009</v>
      </c>
      <c r="F605" s="19" t="s">
        <v>35977</v>
      </c>
      <c r="G605" s="18" t="str">
        <f>"72764"</f>
        <v>72764</v>
      </c>
      <c r="H605" s="19" t="s">
        <v>31500</v>
      </c>
      <c r="I605" s="20">
        <v>21.189</v>
      </c>
      <c r="J605" s="44" t="s">
        <v>8</v>
      </c>
      <c r="K605" s="23" t="s">
        <v>8</v>
      </c>
      <c r="L605" s="23" t="s">
        <v>8</v>
      </c>
      <c r="M605" s="23" t="s">
        <v>8</v>
      </c>
    </row>
    <row r="606" spans="1:13" s="21" customFormat="1" x14ac:dyDescent="0.25">
      <c r="A606" s="22" t="s">
        <v>8</v>
      </c>
      <c r="B606" s="18" t="str">
        <f>"045430"</f>
        <v>045430</v>
      </c>
      <c r="C606" s="19" t="s">
        <v>611</v>
      </c>
      <c r="D606" s="19" t="s">
        <v>16040</v>
      </c>
      <c r="E606" s="19" t="s">
        <v>31086</v>
      </c>
      <c r="F606" s="19" t="s">
        <v>35977</v>
      </c>
      <c r="G606" s="18" t="str">
        <f>"72021"</f>
        <v>72021</v>
      </c>
      <c r="H606" s="19" t="s">
        <v>31711</v>
      </c>
      <c r="I606" s="20">
        <v>16.914999999999999</v>
      </c>
      <c r="J606" s="44" t="s">
        <v>8</v>
      </c>
      <c r="K606" s="23" t="s">
        <v>8</v>
      </c>
      <c r="L606" s="23" t="s">
        <v>8</v>
      </c>
      <c r="M606" s="23" t="s">
        <v>8</v>
      </c>
    </row>
    <row r="607" spans="1:13" s="21" customFormat="1" x14ac:dyDescent="0.25">
      <c r="A607" s="22" t="s">
        <v>8</v>
      </c>
      <c r="B607" s="18" t="str">
        <f>"045431"</f>
        <v>045431</v>
      </c>
      <c r="C607" s="19" t="s">
        <v>612</v>
      </c>
      <c r="D607" s="19" t="s">
        <v>16041</v>
      </c>
      <c r="E607" s="19" t="s">
        <v>31023</v>
      </c>
      <c r="F607" s="19" t="s">
        <v>35977</v>
      </c>
      <c r="G607" s="18" t="str">
        <f>"72223"</f>
        <v>72223</v>
      </c>
      <c r="H607" s="19" t="s">
        <v>31795</v>
      </c>
      <c r="I607" s="20">
        <v>24.704999999999998</v>
      </c>
      <c r="J607" s="44" t="s">
        <v>8</v>
      </c>
      <c r="K607" s="23" t="s">
        <v>8</v>
      </c>
      <c r="L607" s="23" t="s">
        <v>8</v>
      </c>
      <c r="M607" s="23" t="s">
        <v>8</v>
      </c>
    </row>
    <row r="608" spans="1:13" s="21" customFormat="1" x14ac:dyDescent="0.25">
      <c r="A608" s="22" t="s">
        <v>8</v>
      </c>
      <c r="B608" s="18" t="str">
        <f>"045432"</f>
        <v>045432</v>
      </c>
      <c r="C608" s="19" t="s">
        <v>613</v>
      </c>
      <c r="D608" s="19" t="s">
        <v>16042</v>
      </c>
      <c r="E608" s="19" t="s">
        <v>31023</v>
      </c>
      <c r="F608" s="19" t="s">
        <v>35977</v>
      </c>
      <c r="G608" s="18" t="str">
        <f>"72204"</f>
        <v>72204</v>
      </c>
      <c r="H608" s="19" t="s">
        <v>31795</v>
      </c>
      <c r="I608" s="20">
        <v>18.391999999999999</v>
      </c>
      <c r="J608" s="44" t="s">
        <v>8</v>
      </c>
      <c r="K608" s="23" t="s">
        <v>8</v>
      </c>
      <c r="L608" s="23" t="s">
        <v>8</v>
      </c>
      <c r="M608" s="23" t="s">
        <v>8</v>
      </c>
    </row>
    <row r="609" spans="1:13" s="21" customFormat="1" x14ac:dyDescent="0.25">
      <c r="A609" s="22" t="s">
        <v>8</v>
      </c>
      <c r="B609" s="18" t="str">
        <f>"045433"</f>
        <v>045433</v>
      </c>
      <c r="C609" s="19" t="s">
        <v>614</v>
      </c>
      <c r="D609" s="19" t="s">
        <v>16043</v>
      </c>
      <c r="E609" s="19" t="s">
        <v>31087</v>
      </c>
      <c r="F609" s="19" t="s">
        <v>35977</v>
      </c>
      <c r="G609" s="18" t="str">
        <f>"72422"</f>
        <v>72422</v>
      </c>
      <c r="H609" s="19" t="s">
        <v>36030</v>
      </c>
      <c r="I609" s="20">
        <v>22.878</v>
      </c>
      <c r="J609" s="44" t="s">
        <v>8</v>
      </c>
      <c r="K609" s="23" t="s">
        <v>8</v>
      </c>
      <c r="L609" s="23" t="s">
        <v>8</v>
      </c>
      <c r="M609" s="23" t="s">
        <v>8</v>
      </c>
    </row>
    <row r="610" spans="1:13" s="21" customFormat="1" x14ac:dyDescent="0.25">
      <c r="A610" s="22" t="s">
        <v>8</v>
      </c>
      <c r="B610" s="18" t="str">
        <f>"045434"</f>
        <v>045434</v>
      </c>
      <c r="C610" s="19" t="s">
        <v>615</v>
      </c>
      <c r="D610" s="19" t="s">
        <v>16044</v>
      </c>
      <c r="E610" s="19" t="s">
        <v>30991</v>
      </c>
      <c r="F610" s="19" t="s">
        <v>35977</v>
      </c>
      <c r="G610" s="18" t="str">
        <f>"72704"</f>
        <v>72704</v>
      </c>
      <c r="H610" s="19" t="s">
        <v>31500</v>
      </c>
      <c r="I610" s="20">
        <v>21.835999999999999</v>
      </c>
      <c r="J610" s="44" t="s">
        <v>8</v>
      </c>
      <c r="K610" s="23" t="s">
        <v>8</v>
      </c>
      <c r="L610" s="23" t="s">
        <v>8</v>
      </c>
      <c r="M610" s="23" t="s">
        <v>8</v>
      </c>
    </row>
    <row r="611" spans="1:13" s="21" customFormat="1" x14ac:dyDescent="0.25">
      <c r="A611" s="22" t="s">
        <v>8</v>
      </c>
      <c r="B611" s="18" t="str">
        <f>"045435"</f>
        <v>045435</v>
      </c>
      <c r="C611" s="19" t="s">
        <v>616</v>
      </c>
      <c r="D611" s="19" t="s">
        <v>16045</v>
      </c>
      <c r="E611" s="19" t="s">
        <v>30989</v>
      </c>
      <c r="F611" s="19" t="s">
        <v>35977</v>
      </c>
      <c r="G611" s="18" t="str">
        <f>"72758"</f>
        <v>72758</v>
      </c>
      <c r="H611" s="19" t="s">
        <v>31024</v>
      </c>
      <c r="I611" s="20">
        <v>20.385999999999999</v>
      </c>
      <c r="J611" s="44" t="s">
        <v>8</v>
      </c>
      <c r="K611" s="23" t="s">
        <v>8</v>
      </c>
      <c r="L611" s="23" t="s">
        <v>8</v>
      </c>
      <c r="M611" s="23" t="s">
        <v>8</v>
      </c>
    </row>
    <row r="612" spans="1:13" s="21" customFormat="1" x14ac:dyDescent="0.25">
      <c r="A612" s="22" t="s">
        <v>8</v>
      </c>
      <c r="B612" s="18" t="str">
        <f>"045436"</f>
        <v>045436</v>
      </c>
      <c r="C612" s="19" t="s">
        <v>617</v>
      </c>
      <c r="D612" s="19" t="s">
        <v>16046</v>
      </c>
      <c r="E612" s="19" t="s">
        <v>31023</v>
      </c>
      <c r="F612" s="19" t="s">
        <v>35977</v>
      </c>
      <c r="G612" s="18" t="str">
        <f>"72205"</f>
        <v>72205</v>
      </c>
      <c r="H612" s="19" t="s">
        <v>31795</v>
      </c>
      <c r="I612" s="20">
        <v>18.218</v>
      </c>
      <c r="J612" s="44" t="s">
        <v>8</v>
      </c>
      <c r="K612" s="23" t="s">
        <v>8</v>
      </c>
      <c r="L612" s="23" t="s">
        <v>8</v>
      </c>
      <c r="M612" s="23" t="s">
        <v>8</v>
      </c>
    </row>
    <row r="613" spans="1:13" s="21" customFormat="1" x14ac:dyDescent="0.25">
      <c r="A613" s="22" t="s">
        <v>8</v>
      </c>
      <c r="B613" s="18" t="str">
        <f>"045437"</f>
        <v>045437</v>
      </c>
      <c r="C613" s="19" t="s">
        <v>618</v>
      </c>
      <c r="D613" s="19" t="s">
        <v>16047</v>
      </c>
      <c r="E613" s="19" t="s">
        <v>31018</v>
      </c>
      <c r="F613" s="19" t="s">
        <v>35977</v>
      </c>
      <c r="G613" s="18" t="str">
        <f>"71635"</f>
        <v>71635</v>
      </c>
      <c r="H613" s="19" t="s">
        <v>33285</v>
      </c>
      <c r="I613" s="20">
        <v>20.72</v>
      </c>
      <c r="J613" s="44" t="s">
        <v>8</v>
      </c>
      <c r="K613" s="23" t="s">
        <v>8</v>
      </c>
      <c r="L613" s="23" t="s">
        <v>8</v>
      </c>
      <c r="M613" s="23" t="s">
        <v>8</v>
      </c>
    </row>
    <row r="614" spans="1:13" s="21" customFormat="1" x14ac:dyDescent="0.25">
      <c r="A614" s="22" t="s">
        <v>8</v>
      </c>
      <c r="B614" s="18" t="str">
        <f>"045438"</f>
        <v>045438</v>
      </c>
      <c r="C614" s="19" t="s">
        <v>619</v>
      </c>
      <c r="D614" s="19" t="s">
        <v>16048</v>
      </c>
      <c r="E614" s="19" t="s">
        <v>31043</v>
      </c>
      <c r="F614" s="19" t="s">
        <v>35977</v>
      </c>
      <c r="G614" s="18" t="str">
        <f>"71603"</f>
        <v>71603</v>
      </c>
      <c r="H614" s="19" t="s">
        <v>32391</v>
      </c>
      <c r="I614" s="20">
        <v>19.766999999999999</v>
      </c>
      <c r="J614" s="44" t="s">
        <v>8</v>
      </c>
      <c r="K614" s="23" t="s">
        <v>8</v>
      </c>
      <c r="L614" s="23" t="s">
        <v>8</v>
      </c>
      <c r="M614" s="23" t="s">
        <v>8</v>
      </c>
    </row>
    <row r="615" spans="1:13" s="21" customFormat="1" x14ac:dyDescent="0.25">
      <c r="A615" s="22" t="s">
        <v>8</v>
      </c>
      <c r="B615" s="18" t="str">
        <f>"045439"</f>
        <v>045439</v>
      </c>
      <c r="C615" s="19" t="s">
        <v>620</v>
      </c>
      <c r="D615" s="19" t="s">
        <v>16049</v>
      </c>
      <c r="E615" s="19" t="s">
        <v>31088</v>
      </c>
      <c r="F615" s="19" t="s">
        <v>35977</v>
      </c>
      <c r="G615" s="18" t="str">
        <f>"72315"</f>
        <v>72315</v>
      </c>
      <c r="H615" s="19" t="s">
        <v>36081</v>
      </c>
      <c r="I615" s="20">
        <v>27.131</v>
      </c>
      <c r="J615" s="44" t="s">
        <v>8</v>
      </c>
      <c r="K615" s="23" t="s">
        <v>8</v>
      </c>
      <c r="L615" s="23" t="s">
        <v>8</v>
      </c>
      <c r="M615" s="23" t="s">
        <v>8</v>
      </c>
    </row>
    <row r="616" spans="1:13" s="21" customFormat="1" x14ac:dyDescent="0.25">
      <c r="A616" s="22" t="s">
        <v>8</v>
      </c>
      <c r="B616" s="18" t="str">
        <f>"045440"</f>
        <v>045440</v>
      </c>
      <c r="C616" s="19" t="s">
        <v>621</v>
      </c>
      <c r="D616" s="19" t="s">
        <v>16050</v>
      </c>
      <c r="E616" s="19" t="s">
        <v>31089</v>
      </c>
      <c r="F616" s="19" t="s">
        <v>35977</v>
      </c>
      <c r="G616" s="18" t="str">
        <f>"72370"</f>
        <v>72370</v>
      </c>
      <c r="H616" s="19" t="s">
        <v>36081</v>
      </c>
      <c r="I616" s="20">
        <v>22.802</v>
      </c>
      <c r="J616" s="44" t="s">
        <v>8</v>
      </c>
      <c r="K616" s="23" t="s">
        <v>8</v>
      </c>
      <c r="L616" s="23" t="s">
        <v>8</v>
      </c>
      <c r="M616" s="23" t="s">
        <v>8</v>
      </c>
    </row>
    <row r="617" spans="1:13" s="21" customFormat="1" x14ac:dyDescent="0.25">
      <c r="A617" s="22" t="s">
        <v>8</v>
      </c>
      <c r="B617" s="18" t="str">
        <f>"045441"</f>
        <v>045441</v>
      </c>
      <c r="C617" s="19" t="s">
        <v>622</v>
      </c>
      <c r="D617" s="19" t="s">
        <v>16051</v>
      </c>
      <c r="E617" s="19" t="s">
        <v>31020</v>
      </c>
      <c r="F617" s="19" t="s">
        <v>35977</v>
      </c>
      <c r="G617" s="18" t="str">
        <f>"72601"</f>
        <v>72601</v>
      </c>
      <c r="H617" s="19" t="s">
        <v>32513</v>
      </c>
      <c r="I617" s="20">
        <v>16.277999999999999</v>
      </c>
      <c r="J617" s="44" t="s">
        <v>8</v>
      </c>
      <c r="K617" s="23" t="s">
        <v>8</v>
      </c>
      <c r="L617" s="23" t="s">
        <v>8</v>
      </c>
      <c r="M617" s="23" t="s">
        <v>8</v>
      </c>
    </row>
    <row r="618" spans="1:13" s="21" customFormat="1" x14ac:dyDescent="0.25">
      <c r="A618" s="22" t="s">
        <v>8</v>
      </c>
      <c r="B618" s="18" t="str">
        <f>"045442"</f>
        <v>045442</v>
      </c>
      <c r="C618" s="19" t="s">
        <v>623</v>
      </c>
      <c r="D618" s="19" t="s">
        <v>16052</v>
      </c>
      <c r="E618" s="19" t="s">
        <v>31090</v>
      </c>
      <c r="F618" s="19" t="s">
        <v>35977</v>
      </c>
      <c r="G618" s="18" t="str">
        <f>"72046"</f>
        <v>72046</v>
      </c>
      <c r="H618" s="19" t="s">
        <v>31046</v>
      </c>
      <c r="I618" s="20">
        <v>21.975999999999999</v>
      </c>
      <c r="J618" s="44" t="s">
        <v>8</v>
      </c>
      <c r="K618" s="23" t="s">
        <v>8</v>
      </c>
      <c r="L618" s="23" t="s">
        <v>8</v>
      </c>
      <c r="M618" s="23" t="s">
        <v>8</v>
      </c>
    </row>
    <row r="619" spans="1:13" s="21" customFormat="1" x14ac:dyDescent="0.25">
      <c r="A619" s="22" t="s">
        <v>8</v>
      </c>
      <c r="B619" s="18" t="str">
        <f>"045443"</f>
        <v>045443</v>
      </c>
      <c r="C619" s="19" t="s">
        <v>624</v>
      </c>
      <c r="D619" s="19" t="s">
        <v>16053</v>
      </c>
      <c r="E619" s="19" t="s">
        <v>30985</v>
      </c>
      <c r="F619" s="19" t="s">
        <v>35977</v>
      </c>
      <c r="G619" s="18" t="str">
        <f>"72455"</f>
        <v>72455</v>
      </c>
      <c r="H619" s="19" t="s">
        <v>33068</v>
      </c>
      <c r="I619" s="20">
        <v>20.265999999999998</v>
      </c>
      <c r="J619" s="44" t="s">
        <v>8</v>
      </c>
      <c r="K619" s="23" t="s">
        <v>8</v>
      </c>
      <c r="L619" s="23" t="s">
        <v>8</v>
      </c>
      <c r="M619" s="23" t="s">
        <v>8</v>
      </c>
    </row>
    <row r="620" spans="1:13" s="21" customFormat="1" x14ac:dyDescent="0.25">
      <c r="A620" s="22" t="s">
        <v>8</v>
      </c>
      <c r="B620" s="18" t="str">
        <f>"045445"</f>
        <v>045445</v>
      </c>
      <c r="C620" s="19" t="s">
        <v>625</v>
      </c>
      <c r="D620" s="19" t="s">
        <v>16054</v>
      </c>
      <c r="E620" s="19" t="s">
        <v>30990</v>
      </c>
      <c r="F620" s="19" t="s">
        <v>35977</v>
      </c>
      <c r="G620" s="18" t="str">
        <f>"71913"</f>
        <v>71913</v>
      </c>
      <c r="H620" s="19" t="s">
        <v>35286</v>
      </c>
      <c r="I620" s="20">
        <v>25.166</v>
      </c>
      <c r="J620" s="44" t="s">
        <v>8</v>
      </c>
      <c r="K620" s="23" t="s">
        <v>8</v>
      </c>
      <c r="L620" s="23" t="s">
        <v>8</v>
      </c>
      <c r="M620" s="23" t="s">
        <v>8</v>
      </c>
    </row>
    <row r="621" spans="1:13" s="21" customFormat="1" x14ac:dyDescent="0.25">
      <c r="A621" s="22" t="s">
        <v>8</v>
      </c>
      <c r="B621" s="18" t="str">
        <f>"045446"</f>
        <v>045446</v>
      </c>
      <c r="C621" s="19" t="s">
        <v>626</v>
      </c>
      <c r="D621" s="19" t="s">
        <v>16055</v>
      </c>
      <c r="E621" s="19" t="s">
        <v>31023</v>
      </c>
      <c r="F621" s="19" t="s">
        <v>35977</v>
      </c>
      <c r="G621" s="18" t="str">
        <f>"72206"</f>
        <v>72206</v>
      </c>
      <c r="H621" s="19" t="s">
        <v>31795</v>
      </c>
      <c r="I621" s="20">
        <v>22.190999999999999</v>
      </c>
      <c r="J621" s="44" t="s">
        <v>8</v>
      </c>
      <c r="K621" s="23" t="s">
        <v>8</v>
      </c>
      <c r="L621" s="23" t="s">
        <v>8</v>
      </c>
      <c r="M621" s="23" t="s">
        <v>8</v>
      </c>
    </row>
    <row r="622" spans="1:13" s="21" customFormat="1" x14ac:dyDescent="0.25">
      <c r="A622" s="22" t="s">
        <v>8</v>
      </c>
      <c r="B622" s="18" t="str">
        <f>"045447"</f>
        <v>045447</v>
      </c>
      <c r="C622" s="19" t="s">
        <v>627</v>
      </c>
      <c r="D622" s="19" t="s">
        <v>16056</v>
      </c>
      <c r="E622" s="19" t="s">
        <v>31091</v>
      </c>
      <c r="F622" s="19" t="s">
        <v>35977</v>
      </c>
      <c r="G622" s="18" t="str">
        <f>"72933"</f>
        <v>72933</v>
      </c>
      <c r="H622" s="19" t="s">
        <v>5</v>
      </c>
      <c r="I622" s="20">
        <v>19.22</v>
      </c>
      <c r="J622" s="44" t="s">
        <v>8</v>
      </c>
      <c r="K622" s="23" t="s">
        <v>8</v>
      </c>
      <c r="L622" s="23" t="s">
        <v>8</v>
      </c>
      <c r="M622" s="23" t="s">
        <v>8</v>
      </c>
    </row>
    <row r="623" spans="1:13" s="21" customFormat="1" x14ac:dyDescent="0.25">
      <c r="A623" s="22" t="s">
        <v>8</v>
      </c>
      <c r="B623" s="18" t="str">
        <f>"045448"</f>
        <v>045448</v>
      </c>
      <c r="C623" s="19" t="s">
        <v>628</v>
      </c>
      <c r="D623" s="19" t="s">
        <v>16057</v>
      </c>
      <c r="E623" s="19" t="s">
        <v>31092</v>
      </c>
      <c r="F623" s="19" t="s">
        <v>35977</v>
      </c>
      <c r="G623" s="18" t="str">
        <f>"72853"</f>
        <v>72853</v>
      </c>
      <c r="H623" s="19" t="s">
        <v>36061</v>
      </c>
      <c r="I623" s="20">
        <v>17.407</v>
      </c>
      <c r="J623" s="44" t="s">
        <v>8</v>
      </c>
      <c r="K623" s="23" t="s">
        <v>8</v>
      </c>
      <c r="L623" s="23" t="s">
        <v>8</v>
      </c>
      <c r="M623" s="23" t="s">
        <v>8</v>
      </c>
    </row>
    <row r="624" spans="1:13" s="21" customFormat="1" x14ac:dyDescent="0.25">
      <c r="A624" s="22" t="s">
        <v>8</v>
      </c>
      <c r="B624" s="18" t="str">
        <f>"045449"</f>
        <v>045449</v>
      </c>
      <c r="C624" s="19" t="s">
        <v>629</v>
      </c>
      <c r="D624" s="19" t="s">
        <v>16058</v>
      </c>
      <c r="E624" s="19" t="s">
        <v>31093</v>
      </c>
      <c r="F624" s="19" t="s">
        <v>35977</v>
      </c>
      <c r="G624" s="18" t="str">
        <f>"72360"</f>
        <v>72360</v>
      </c>
      <c r="H624" s="19" t="s">
        <v>33138</v>
      </c>
      <c r="I624" s="20">
        <v>19.808</v>
      </c>
      <c r="J624" s="44" t="s">
        <v>8</v>
      </c>
      <c r="K624" s="23" t="s">
        <v>8</v>
      </c>
      <c r="L624" s="23" t="s">
        <v>8</v>
      </c>
      <c r="M624" s="23" t="s">
        <v>8</v>
      </c>
    </row>
    <row r="625" spans="1:13" s="21" customFormat="1" x14ac:dyDescent="0.25">
      <c r="A625" s="22" t="s">
        <v>8</v>
      </c>
      <c r="B625" s="18" t="str">
        <f>"045450"</f>
        <v>045450</v>
      </c>
      <c r="C625" s="19" t="s">
        <v>630</v>
      </c>
      <c r="D625" s="19" t="s">
        <v>16059</v>
      </c>
      <c r="E625" s="19" t="s">
        <v>31023</v>
      </c>
      <c r="F625" s="19" t="s">
        <v>35977</v>
      </c>
      <c r="G625" s="18" t="str">
        <f>"72205"</f>
        <v>72205</v>
      </c>
      <c r="H625" s="19" t="s">
        <v>31795</v>
      </c>
      <c r="I625" s="20">
        <v>19.561</v>
      </c>
      <c r="J625" s="44" t="s">
        <v>8</v>
      </c>
      <c r="K625" s="23" t="s">
        <v>8</v>
      </c>
      <c r="L625" s="23" t="s">
        <v>8</v>
      </c>
      <c r="M625" s="23" t="s">
        <v>8</v>
      </c>
    </row>
    <row r="626" spans="1:13" s="21" customFormat="1" x14ac:dyDescent="0.25">
      <c r="A626" s="22" t="s">
        <v>8</v>
      </c>
      <c r="B626" s="18" t="str">
        <f>"045451"</f>
        <v>045451</v>
      </c>
      <c r="C626" s="19" t="s">
        <v>631</v>
      </c>
      <c r="D626" s="19" t="s">
        <v>16060</v>
      </c>
      <c r="E626" s="19" t="s">
        <v>31094</v>
      </c>
      <c r="F626" s="19" t="s">
        <v>35977</v>
      </c>
      <c r="G626" s="18" t="str">
        <f>"72687"</f>
        <v>72687</v>
      </c>
      <c r="H626" s="19" t="s">
        <v>30850</v>
      </c>
      <c r="I626" s="20">
        <v>15.704000000000001</v>
      </c>
      <c r="J626" s="44" t="s">
        <v>8</v>
      </c>
      <c r="K626" s="23" t="s">
        <v>8</v>
      </c>
      <c r="L626" s="23" t="s">
        <v>8</v>
      </c>
      <c r="M626" s="23" t="s">
        <v>8</v>
      </c>
    </row>
    <row r="627" spans="1:13" s="21" customFormat="1" x14ac:dyDescent="0.25">
      <c r="A627" s="22" t="s">
        <v>8</v>
      </c>
      <c r="B627" s="18" t="str">
        <f>"045452"</f>
        <v>045452</v>
      </c>
      <c r="C627" s="19" t="s">
        <v>632</v>
      </c>
      <c r="D627" s="19" t="s">
        <v>16061</v>
      </c>
      <c r="E627" s="19" t="s">
        <v>31002</v>
      </c>
      <c r="F627" s="19" t="s">
        <v>35977</v>
      </c>
      <c r="G627" s="18" t="str">
        <f>"72476"</f>
        <v>72476</v>
      </c>
      <c r="H627" s="19" t="s">
        <v>32568</v>
      </c>
      <c r="I627" s="20">
        <v>23.492000000000001</v>
      </c>
      <c r="J627" s="44" t="s">
        <v>8</v>
      </c>
      <c r="K627" s="23" t="s">
        <v>8</v>
      </c>
      <c r="L627" s="23" t="s">
        <v>8</v>
      </c>
      <c r="M627" s="23" t="s">
        <v>8</v>
      </c>
    </row>
    <row r="628" spans="1:13" s="21" customFormat="1" x14ac:dyDescent="0.25">
      <c r="A628" s="22" t="s">
        <v>8</v>
      </c>
      <c r="B628" s="18" t="str">
        <f>"045453"</f>
        <v>045453</v>
      </c>
      <c r="C628" s="19" t="s">
        <v>633</v>
      </c>
      <c r="D628" s="19" t="s">
        <v>16062</v>
      </c>
      <c r="E628" s="19" t="s">
        <v>31027</v>
      </c>
      <c r="F628" s="19" t="s">
        <v>35977</v>
      </c>
      <c r="G628" s="18" t="str">
        <f>"72023"</f>
        <v>72023</v>
      </c>
      <c r="H628" s="19" t="s">
        <v>31046</v>
      </c>
      <c r="I628" s="20">
        <v>22.83</v>
      </c>
      <c r="J628" s="44" t="s">
        <v>8</v>
      </c>
      <c r="K628" s="23" t="s">
        <v>8</v>
      </c>
      <c r="L628" s="23" t="s">
        <v>8</v>
      </c>
      <c r="M628" s="23" t="s">
        <v>8</v>
      </c>
    </row>
    <row r="629" spans="1:13" s="21" customFormat="1" x14ac:dyDescent="0.25">
      <c r="A629" s="22" t="s">
        <v>8</v>
      </c>
      <c r="B629" s="18" t="str">
        <f>"045454"</f>
        <v>045454</v>
      </c>
      <c r="C629" s="19" t="s">
        <v>634</v>
      </c>
      <c r="D629" s="19" t="s">
        <v>16063</v>
      </c>
      <c r="E629" s="19" t="s">
        <v>30981</v>
      </c>
      <c r="F629" s="19" t="s">
        <v>35977</v>
      </c>
      <c r="G629" s="18" t="str">
        <f>"72833"</f>
        <v>72833</v>
      </c>
      <c r="H629" s="19" t="s">
        <v>36061</v>
      </c>
      <c r="I629" s="20">
        <v>18.91</v>
      </c>
      <c r="J629" s="44" t="s">
        <v>8</v>
      </c>
      <c r="K629" s="23" t="s">
        <v>8</v>
      </c>
      <c r="L629" s="23" t="s">
        <v>8</v>
      </c>
      <c r="M629" s="23" t="s">
        <v>8</v>
      </c>
    </row>
    <row r="630" spans="1:13" s="21" customFormat="1" x14ac:dyDescent="0.25">
      <c r="A630" s="22" t="s">
        <v>8</v>
      </c>
      <c r="B630" s="18" t="str">
        <f>"045455"</f>
        <v>045455</v>
      </c>
      <c r="C630" s="19" t="s">
        <v>635</v>
      </c>
      <c r="D630" s="19" t="s">
        <v>16064</v>
      </c>
      <c r="E630" s="19" t="s">
        <v>31023</v>
      </c>
      <c r="F630" s="19" t="s">
        <v>35977</v>
      </c>
      <c r="G630" s="18" t="str">
        <f>"72223"</f>
        <v>72223</v>
      </c>
      <c r="H630" s="19" t="s">
        <v>31795</v>
      </c>
      <c r="I630" s="20">
        <v>24.041</v>
      </c>
      <c r="J630" s="44" t="s">
        <v>8</v>
      </c>
      <c r="K630" s="23" t="s">
        <v>8</v>
      </c>
      <c r="L630" s="23" t="s">
        <v>8</v>
      </c>
      <c r="M630" s="23" t="s">
        <v>8</v>
      </c>
    </row>
    <row r="631" spans="1:13" s="21" customFormat="1" x14ac:dyDescent="0.25">
      <c r="A631" s="22" t="s">
        <v>8</v>
      </c>
      <c r="B631" s="18" t="str">
        <f>"045457"</f>
        <v>045457</v>
      </c>
      <c r="C631" s="19" t="s">
        <v>636</v>
      </c>
      <c r="D631" s="19" t="s">
        <v>16065</v>
      </c>
      <c r="E631" s="19" t="s">
        <v>31053</v>
      </c>
      <c r="F631" s="19" t="s">
        <v>35977</v>
      </c>
      <c r="G631" s="18" t="str">
        <f>"72022"</f>
        <v>72022</v>
      </c>
      <c r="H631" s="19" t="s">
        <v>33206</v>
      </c>
      <c r="I631" s="20">
        <v>21.105</v>
      </c>
      <c r="J631" s="44" t="s">
        <v>8</v>
      </c>
      <c r="K631" s="23" t="s">
        <v>8</v>
      </c>
      <c r="L631" s="23" t="s">
        <v>8</v>
      </c>
      <c r="M631" s="23" t="s">
        <v>8</v>
      </c>
    </row>
    <row r="632" spans="1:13" s="21" customFormat="1" x14ac:dyDescent="0.25">
      <c r="A632" s="22" t="s">
        <v>8</v>
      </c>
      <c r="B632" s="18" t="s">
        <v>15149</v>
      </c>
      <c r="C632" s="19" t="s">
        <v>637</v>
      </c>
      <c r="D632" s="19" t="s">
        <v>16066</v>
      </c>
      <c r="E632" s="19" t="s">
        <v>31095</v>
      </c>
      <c r="F632" s="19" t="s">
        <v>35978</v>
      </c>
      <c r="G632" s="18" t="str">
        <f>"93930"</f>
        <v>93930</v>
      </c>
      <c r="H632" s="19" t="s">
        <v>31274</v>
      </c>
      <c r="I632" s="20">
        <v>16.582000000000001</v>
      </c>
      <c r="J632" s="44" t="s">
        <v>8</v>
      </c>
      <c r="K632" s="23" t="s">
        <v>8</v>
      </c>
      <c r="L632" s="23" t="s">
        <v>8</v>
      </c>
      <c r="M632" s="23" t="s">
        <v>8</v>
      </c>
    </row>
    <row r="633" spans="1:13" s="21" customFormat="1" x14ac:dyDescent="0.25">
      <c r="A633" s="22" t="s">
        <v>8</v>
      </c>
      <c r="B633" s="18" t="s">
        <v>15150</v>
      </c>
      <c r="C633" s="19" t="s">
        <v>638</v>
      </c>
      <c r="D633" s="19" t="s">
        <v>16067</v>
      </c>
      <c r="E633" s="19" t="s">
        <v>31096</v>
      </c>
      <c r="F633" s="19" t="s">
        <v>35978</v>
      </c>
      <c r="G633" s="18" t="str">
        <f>"95370"</f>
        <v>95370</v>
      </c>
      <c r="H633" s="19" t="s">
        <v>36084</v>
      </c>
      <c r="I633" s="20">
        <v>17.64</v>
      </c>
      <c r="J633" s="44" t="s">
        <v>8</v>
      </c>
      <c r="K633" s="23" t="s">
        <v>8</v>
      </c>
      <c r="L633" s="23" t="s">
        <v>8</v>
      </c>
      <c r="M633" s="23" t="s">
        <v>8</v>
      </c>
    </row>
    <row r="634" spans="1:13" s="21" customFormat="1" x14ac:dyDescent="0.25">
      <c r="A634" s="22" t="s">
        <v>8</v>
      </c>
      <c r="B634" s="18" t="s">
        <v>15151</v>
      </c>
      <c r="C634" s="19" t="s">
        <v>639</v>
      </c>
      <c r="D634" s="19" t="s">
        <v>16068</v>
      </c>
      <c r="E634" s="19" t="s">
        <v>31097</v>
      </c>
      <c r="F634" s="19" t="s">
        <v>35978</v>
      </c>
      <c r="G634" s="18" t="str">
        <f>"95932"</f>
        <v>95932</v>
      </c>
      <c r="H634" s="19" t="s">
        <v>31097</v>
      </c>
      <c r="I634" s="20">
        <v>17.803999999999998</v>
      </c>
      <c r="J634" s="44" t="s">
        <v>8</v>
      </c>
      <c r="K634" s="23" t="s">
        <v>8</v>
      </c>
      <c r="L634" s="23" t="s">
        <v>8</v>
      </c>
      <c r="M634" s="23" t="s">
        <v>8</v>
      </c>
    </row>
    <row r="635" spans="1:13" s="21" customFormat="1" x14ac:dyDescent="0.25">
      <c r="A635" s="22" t="s">
        <v>8</v>
      </c>
      <c r="B635" s="18" t="str">
        <f>"055001"</f>
        <v>055001</v>
      </c>
      <c r="C635" s="19" t="s">
        <v>640</v>
      </c>
      <c r="D635" s="19" t="s">
        <v>16069</v>
      </c>
      <c r="E635" s="19" t="s">
        <v>31098</v>
      </c>
      <c r="F635" s="19" t="s">
        <v>35978</v>
      </c>
      <c r="G635" s="18" t="str">
        <f>"92373"</f>
        <v>92373</v>
      </c>
      <c r="H635" s="19" t="s">
        <v>31227</v>
      </c>
      <c r="I635" s="20">
        <v>20.664000000000001</v>
      </c>
      <c r="J635" s="44" t="s">
        <v>8</v>
      </c>
      <c r="K635" s="23" t="s">
        <v>8</v>
      </c>
      <c r="L635" s="23" t="s">
        <v>8</v>
      </c>
      <c r="M635" s="23" t="s">
        <v>8</v>
      </c>
    </row>
    <row r="636" spans="1:13" s="21" customFormat="1" x14ac:dyDescent="0.25">
      <c r="A636" s="22" t="s">
        <v>8</v>
      </c>
      <c r="B636" s="18" t="str">
        <f>"055002"</f>
        <v>055002</v>
      </c>
      <c r="C636" s="19" t="s">
        <v>641</v>
      </c>
      <c r="D636" s="19" t="s">
        <v>16070</v>
      </c>
      <c r="E636" s="19" t="s">
        <v>31099</v>
      </c>
      <c r="F636" s="19" t="s">
        <v>35978</v>
      </c>
      <c r="G636" s="18" t="str">
        <f>"91342"</f>
        <v>91342</v>
      </c>
      <c r="H636" s="19" t="s">
        <v>31109</v>
      </c>
      <c r="I636" s="20">
        <v>18.37</v>
      </c>
      <c r="J636" s="44" t="s">
        <v>8</v>
      </c>
      <c r="K636" s="23" t="s">
        <v>8</v>
      </c>
      <c r="L636" s="23" t="s">
        <v>8</v>
      </c>
      <c r="M636" s="23" t="s">
        <v>8</v>
      </c>
    </row>
    <row r="637" spans="1:13" s="21" customFormat="1" x14ac:dyDescent="0.25">
      <c r="A637" s="22" t="s">
        <v>8</v>
      </c>
      <c r="B637" s="18" t="str">
        <f>"055003"</f>
        <v>055003</v>
      </c>
      <c r="C637" s="19" t="s">
        <v>642</v>
      </c>
      <c r="D637" s="19" t="s">
        <v>16071</v>
      </c>
      <c r="E637" s="19" t="s">
        <v>31100</v>
      </c>
      <c r="F637" s="19" t="s">
        <v>35978</v>
      </c>
      <c r="G637" s="18" t="str">
        <f>"95501"</f>
        <v>95501</v>
      </c>
      <c r="H637" s="19" t="s">
        <v>32530</v>
      </c>
      <c r="I637" s="20">
        <v>18.803000000000001</v>
      </c>
      <c r="J637" s="44" t="s">
        <v>8</v>
      </c>
      <c r="K637" s="23" t="s">
        <v>8</v>
      </c>
      <c r="L637" s="23" t="s">
        <v>8</v>
      </c>
      <c r="M637" s="23" t="s">
        <v>8</v>
      </c>
    </row>
    <row r="638" spans="1:13" s="21" customFormat="1" x14ac:dyDescent="0.25">
      <c r="A638" s="22" t="s">
        <v>8</v>
      </c>
      <c r="B638" s="18" t="str">
        <f>"055011"</f>
        <v>055011</v>
      </c>
      <c r="C638" s="19" t="s">
        <v>643</v>
      </c>
      <c r="D638" s="19" t="s">
        <v>16072</v>
      </c>
      <c r="E638" s="19" t="s">
        <v>31101</v>
      </c>
      <c r="F638" s="19" t="s">
        <v>35978</v>
      </c>
      <c r="G638" s="18" t="str">
        <f>"95355"</f>
        <v>95355</v>
      </c>
      <c r="H638" s="19" t="s">
        <v>36085</v>
      </c>
      <c r="I638" s="20">
        <v>18.207000000000001</v>
      </c>
      <c r="J638" s="44" t="s">
        <v>8</v>
      </c>
      <c r="K638" s="23" t="s">
        <v>8</v>
      </c>
      <c r="L638" s="23" t="s">
        <v>8</v>
      </c>
      <c r="M638" s="23" t="s">
        <v>8</v>
      </c>
    </row>
    <row r="639" spans="1:13" s="21" customFormat="1" x14ac:dyDescent="0.25">
      <c r="A639" s="22" t="s">
        <v>8</v>
      </c>
      <c r="B639" s="18" t="str">
        <f>"055013"</f>
        <v>055013</v>
      </c>
      <c r="C639" s="19" t="s">
        <v>644</v>
      </c>
      <c r="D639" s="19" t="s">
        <v>16073</v>
      </c>
      <c r="E639" s="19" t="s">
        <v>31102</v>
      </c>
      <c r="F639" s="19" t="s">
        <v>35978</v>
      </c>
      <c r="G639" s="18" t="str">
        <f>"91335"</f>
        <v>91335</v>
      </c>
      <c r="H639" s="19" t="s">
        <v>31109</v>
      </c>
      <c r="I639" s="20">
        <v>18.324999999999999</v>
      </c>
      <c r="J639" s="44" t="s">
        <v>8</v>
      </c>
      <c r="K639" s="23" t="s">
        <v>8</v>
      </c>
      <c r="L639" s="23" t="s">
        <v>8</v>
      </c>
      <c r="M639" s="23" t="s">
        <v>8</v>
      </c>
    </row>
    <row r="640" spans="1:13" s="21" customFormat="1" x14ac:dyDescent="0.25">
      <c r="A640" s="22" t="s">
        <v>8</v>
      </c>
      <c r="B640" s="18" t="str">
        <f>"055014"</f>
        <v>055014</v>
      </c>
      <c r="C640" s="19" t="s">
        <v>645</v>
      </c>
      <c r="D640" s="19" t="s">
        <v>16074</v>
      </c>
      <c r="E640" s="19" t="s">
        <v>31103</v>
      </c>
      <c r="F640" s="19" t="s">
        <v>35978</v>
      </c>
      <c r="G640" s="18" t="str">
        <f>"94533"</f>
        <v>94533</v>
      </c>
      <c r="H640" s="19" t="s">
        <v>36086</v>
      </c>
      <c r="I640" s="20">
        <v>21.881</v>
      </c>
      <c r="J640" s="44" t="s">
        <v>8</v>
      </c>
      <c r="K640" s="23" t="s">
        <v>8</v>
      </c>
      <c r="L640" s="23" t="s">
        <v>8</v>
      </c>
      <c r="M640" s="23" t="s">
        <v>8</v>
      </c>
    </row>
    <row r="641" spans="1:13" s="21" customFormat="1" x14ac:dyDescent="0.25">
      <c r="A641" s="22" t="s">
        <v>8</v>
      </c>
      <c r="B641" s="18" t="str">
        <f>"055016"</f>
        <v>055016</v>
      </c>
      <c r="C641" s="19" t="s">
        <v>646</v>
      </c>
      <c r="D641" s="19" t="s">
        <v>16075</v>
      </c>
      <c r="E641" s="19" t="s">
        <v>31104</v>
      </c>
      <c r="F641" s="19" t="s">
        <v>35978</v>
      </c>
      <c r="G641" s="18" t="str">
        <f>"91767"</f>
        <v>91767</v>
      </c>
      <c r="H641" s="19" t="s">
        <v>31109</v>
      </c>
      <c r="I641" s="20">
        <v>18.606999999999999</v>
      </c>
      <c r="J641" s="44" t="s">
        <v>8</v>
      </c>
      <c r="K641" s="23" t="s">
        <v>8</v>
      </c>
      <c r="L641" s="23" t="s">
        <v>8</v>
      </c>
      <c r="M641" s="23" t="s">
        <v>8</v>
      </c>
    </row>
    <row r="642" spans="1:13" s="21" customFormat="1" x14ac:dyDescent="0.25">
      <c r="A642" s="22" t="s">
        <v>8</v>
      </c>
      <c r="B642" s="18" t="str">
        <f>"055017"</f>
        <v>055017</v>
      </c>
      <c r="C642" s="19" t="s">
        <v>647</v>
      </c>
      <c r="D642" s="19" t="s">
        <v>16076</v>
      </c>
      <c r="E642" s="19" t="s">
        <v>31105</v>
      </c>
      <c r="F642" s="19" t="s">
        <v>35978</v>
      </c>
      <c r="G642" s="18" t="str">
        <f>"95062"</f>
        <v>95062</v>
      </c>
      <c r="H642" s="19" t="s">
        <v>31105</v>
      </c>
      <c r="I642" s="20">
        <v>21.905000000000001</v>
      </c>
      <c r="J642" s="44" t="s">
        <v>8</v>
      </c>
      <c r="K642" s="23" t="s">
        <v>8</v>
      </c>
      <c r="L642" s="23" t="s">
        <v>8</v>
      </c>
      <c r="M642" s="23" t="s">
        <v>8</v>
      </c>
    </row>
    <row r="643" spans="1:13" s="21" customFormat="1" x14ac:dyDescent="0.25">
      <c r="A643" s="22" t="s">
        <v>8</v>
      </c>
      <c r="B643" s="18" t="str">
        <f>"055022"</f>
        <v>055022</v>
      </c>
      <c r="C643" s="19" t="s">
        <v>648</v>
      </c>
      <c r="D643" s="19" t="s">
        <v>16077</v>
      </c>
      <c r="E643" s="19" t="s">
        <v>31106</v>
      </c>
      <c r="F643" s="19" t="s">
        <v>35978</v>
      </c>
      <c r="G643" s="18" t="str">
        <f>"91320"</f>
        <v>91320</v>
      </c>
      <c r="H643" s="19" t="s">
        <v>31228</v>
      </c>
      <c r="I643" s="20">
        <v>17.135000000000002</v>
      </c>
      <c r="J643" s="44" t="s">
        <v>8</v>
      </c>
      <c r="K643" s="23" t="s">
        <v>8</v>
      </c>
      <c r="L643" s="23" t="s">
        <v>8</v>
      </c>
      <c r="M643" s="23" t="s">
        <v>8</v>
      </c>
    </row>
    <row r="644" spans="1:13" s="21" customFormat="1" x14ac:dyDescent="0.25">
      <c r="A644" s="22" t="s">
        <v>8</v>
      </c>
      <c r="B644" s="18" t="str">
        <f>"055028"</f>
        <v>055028</v>
      </c>
      <c r="C644" s="19" t="s">
        <v>649</v>
      </c>
      <c r="D644" s="19" t="s">
        <v>16078</v>
      </c>
      <c r="E644" s="19" t="s">
        <v>31107</v>
      </c>
      <c r="F644" s="19" t="s">
        <v>35978</v>
      </c>
      <c r="G644" s="18" t="str">
        <f>"93635"</f>
        <v>93635</v>
      </c>
      <c r="H644" s="19" t="s">
        <v>31168</v>
      </c>
      <c r="I644" s="20">
        <v>18.981999999999999</v>
      </c>
      <c r="J644" s="44" t="s">
        <v>8</v>
      </c>
      <c r="K644" s="23" t="s">
        <v>8</v>
      </c>
      <c r="L644" s="23" t="s">
        <v>8</v>
      </c>
      <c r="M644" s="23" t="s">
        <v>8</v>
      </c>
    </row>
    <row r="645" spans="1:13" s="21" customFormat="1" x14ac:dyDescent="0.25">
      <c r="A645" s="22" t="s">
        <v>8</v>
      </c>
      <c r="B645" s="18" t="str">
        <f>"055032"</f>
        <v>055032</v>
      </c>
      <c r="C645" s="19" t="s">
        <v>650</v>
      </c>
      <c r="D645" s="19" t="s">
        <v>16079</v>
      </c>
      <c r="E645" s="19" t="s">
        <v>31108</v>
      </c>
      <c r="F645" s="19" t="s">
        <v>35978</v>
      </c>
      <c r="G645" s="18" t="str">
        <f>"90503"</f>
        <v>90503</v>
      </c>
      <c r="H645" s="19" t="s">
        <v>31109</v>
      </c>
      <c r="I645" s="20">
        <v>19.850000000000001</v>
      </c>
      <c r="J645" s="44" t="s">
        <v>8</v>
      </c>
      <c r="K645" s="23" t="s">
        <v>8</v>
      </c>
      <c r="L645" s="23" t="s">
        <v>8</v>
      </c>
      <c r="M645" s="23" t="s">
        <v>8</v>
      </c>
    </row>
    <row r="646" spans="1:13" s="21" customFormat="1" x14ac:dyDescent="0.25">
      <c r="A646" s="22" t="s">
        <v>8</v>
      </c>
      <c r="B646" s="18" t="str">
        <f>"055036"</f>
        <v>055036</v>
      </c>
      <c r="C646" s="19" t="s">
        <v>651</v>
      </c>
      <c r="D646" s="19" t="s">
        <v>16080</v>
      </c>
      <c r="E646" s="19" t="s">
        <v>31109</v>
      </c>
      <c r="F646" s="19" t="s">
        <v>35978</v>
      </c>
      <c r="G646" s="18" t="str">
        <f>"90011"</f>
        <v>90011</v>
      </c>
      <c r="H646" s="19" t="s">
        <v>31109</v>
      </c>
      <c r="I646" s="20">
        <v>17.164000000000001</v>
      </c>
      <c r="J646" s="44" t="s">
        <v>8</v>
      </c>
      <c r="K646" s="23" t="s">
        <v>8</v>
      </c>
      <c r="L646" s="23" t="s">
        <v>8</v>
      </c>
      <c r="M646" s="23" t="s">
        <v>8</v>
      </c>
    </row>
    <row r="647" spans="1:13" s="21" customFormat="1" x14ac:dyDescent="0.25">
      <c r="A647" s="22" t="s">
        <v>8</v>
      </c>
      <c r="B647" s="18" t="str">
        <f>"055039"</f>
        <v>055039</v>
      </c>
      <c r="C647" s="19" t="s">
        <v>652</v>
      </c>
      <c r="D647" s="19" t="s">
        <v>16081</v>
      </c>
      <c r="E647" s="19" t="s">
        <v>31110</v>
      </c>
      <c r="F647" s="19" t="s">
        <v>35978</v>
      </c>
      <c r="G647" s="18" t="str">
        <f>"95204"</f>
        <v>95204</v>
      </c>
      <c r="H647" s="19" t="s">
        <v>36087</v>
      </c>
      <c r="I647" s="20">
        <v>19.452000000000002</v>
      </c>
      <c r="J647" s="44" t="s">
        <v>8</v>
      </c>
      <c r="K647" s="23" t="s">
        <v>8</v>
      </c>
      <c r="L647" s="23" t="s">
        <v>8</v>
      </c>
      <c r="M647" s="23" t="s">
        <v>8</v>
      </c>
    </row>
    <row r="648" spans="1:13" s="21" customFormat="1" x14ac:dyDescent="0.25">
      <c r="A648" s="22" t="s">
        <v>8</v>
      </c>
      <c r="B648" s="18" t="str">
        <f>"055041"</f>
        <v>055041</v>
      </c>
      <c r="C648" s="19" t="s">
        <v>653</v>
      </c>
      <c r="D648" s="19" t="s">
        <v>16082</v>
      </c>
      <c r="E648" s="19" t="s">
        <v>31111</v>
      </c>
      <c r="F648" s="19" t="s">
        <v>35978</v>
      </c>
      <c r="G648" s="18" t="str">
        <f>"90806"</f>
        <v>90806</v>
      </c>
      <c r="H648" s="19" t="s">
        <v>31109</v>
      </c>
      <c r="I648" s="20">
        <v>18.646999999999998</v>
      </c>
      <c r="J648" s="44" t="s">
        <v>8</v>
      </c>
      <c r="K648" s="23" t="s">
        <v>8</v>
      </c>
      <c r="L648" s="23" t="s">
        <v>8</v>
      </c>
      <c r="M648" s="23" t="s">
        <v>8</v>
      </c>
    </row>
    <row r="649" spans="1:13" s="21" customFormat="1" x14ac:dyDescent="0.25">
      <c r="A649" s="22" t="s">
        <v>8</v>
      </c>
      <c r="B649" s="18" t="str">
        <f>"055042"</f>
        <v>055042</v>
      </c>
      <c r="C649" s="19" t="s">
        <v>654</v>
      </c>
      <c r="D649" s="19" t="s">
        <v>16083</v>
      </c>
      <c r="E649" s="19" t="s">
        <v>31112</v>
      </c>
      <c r="F649" s="19" t="s">
        <v>35978</v>
      </c>
      <c r="G649" s="18" t="str">
        <f>"92503"</f>
        <v>92503</v>
      </c>
      <c r="H649" s="19" t="s">
        <v>31112</v>
      </c>
      <c r="I649" s="20">
        <v>22.972000000000001</v>
      </c>
      <c r="J649" s="44" t="s">
        <v>8</v>
      </c>
      <c r="K649" s="23" t="s">
        <v>8</v>
      </c>
      <c r="L649" s="23" t="s">
        <v>8</v>
      </c>
      <c r="M649" s="23" t="s">
        <v>8</v>
      </c>
    </row>
    <row r="650" spans="1:13" s="21" customFormat="1" x14ac:dyDescent="0.25">
      <c r="A650" s="22" t="s">
        <v>8</v>
      </c>
      <c r="B650" s="18" t="str">
        <f>"055045"</f>
        <v>055045</v>
      </c>
      <c r="C650" s="19" t="s">
        <v>655</v>
      </c>
      <c r="D650" s="19" t="s">
        <v>16084</v>
      </c>
      <c r="E650" s="19" t="s">
        <v>31113</v>
      </c>
      <c r="F650" s="19" t="s">
        <v>35978</v>
      </c>
      <c r="G650" s="18" t="str">
        <f>"90660"</f>
        <v>90660</v>
      </c>
      <c r="H650" s="19" t="s">
        <v>31109</v>
      </c>
      <c r="I650" s="20">
        <v>17.734000000000002</v>
      </c>
      <c r="J650" s="44" t="s">
        <v>8</v>
      </c>
      <c r="K650" s="23" t="s">
        <v>8</v>
      </c>
      <c r="L650" s="23" t="s">
        <v>8</v>
      </c>
      <c r="M650" s="23" t="s">
        <v>8</v>
      </c>
    </row>
    <row r="651" spans="1:13" s="21" customFormat="1" x14ac:dyDescent="0.25">
      <c r="A651" s="22" t="s">
        <v>8</v>
      </c>
      <c r="B651" s="18" t="str">
        <f>"055047"</f>
        <v>055047</v>
      </c>
      <c r="C651" s="19" t="s">
        <v>656</v>
      </c>
      <c r="D651" s="19" t="s">
        <v>16085</v>
      </c>
      <c r="E651" s="19" t="s">
        <v>31114</v>
      </c>
      <c r="F651" s="19" t="s">
        <v>35978</v>
      </c>
      <c r="G651" s="18" t="str">
        <f>"93610"</f>
        <v>93610</v>
      </c>
      <c r="H651" s="19" t="s">
        <v>31140</v>
      </c>
      <c r="I651" s="20">
        <v>17.898</v>
      </c>
      <c r="J651" s="44" t="s">
        <v>8</v>
      </c>
      <c r="K651" s="23" t="s">
        <v>8</v>
      </c>
      <c r="L651" s="23" t="s">
        <v>8</v>
      </c>
      <c r="M651" s="23" t="s">
        <v>8</v>
      </c>
    </row>
    <row r="652" spans="1:13" s="21" customFormat="1" x14ac:dyDescent="0.25">
      <c r="A652" s="22" t="s">
        <v>8</v>
      </c>
      <c r="B652" s="18" t="str">
        <f>"055049"</f>
        <v>055049</v>
      </c>
      <c r="C652" s="19" t="s">
        <v>657</v>
      </c>
      <c r="D652" s="19" t="s">
        <v>16086</v>
      </c>
      <c r="E652" s="19" t="s">
        <v>31115</v>
      </c>
      <c r="F652" s="19" t="s">
        <v>35978</v>
      </c>
      <c r="G652" s="18" t="str">
        <f>"94523"</f>
        <v>94523</v>
      </c>
      <c r="H652" s="19" t="s">
        <v>36088</v>
      </c>
      <c r="I652" s="20">
        <v>20.914000000000001</v>
      </c>
      <c r="J652" s="44" t="s">
        <v>8</v>
      </c>
      <c r="K652" s="23" t="s">
        <v>8</v>
      </c>
      <c r="L652" s="23" t="s">
        <v>8</v>
      </c>
      <c r="M652" s="23" t="s">
        <v>8</v>
      </c>
    </row>
    <row r="653" spans="1:13" s="21" customFormat="1" x14ac:dyDescent="0.25">
      <c r="A653" s="22" t="s">
        <v>8</v>
      </c>
      <c r="B653" s="18" t="str">
        <f>"055052"</f>
        <v>055052</v>
      </c>
      <c r="C653" s="19" t="s">
        <v>658</v>
      </c>
      <c r="D653" s="19" t="s">
        <v>16087</v>
      </c>
      <c r="E653" s="19" t="s">
        <v>31116</v>
      </c>
      <c r="F653" s="19" t="s">
        <v>35978</v>
      </c>
      <c r="G653" s="18" t="str">
        <f>"90262"</f>
        <v>90262</v>
      </c>
      <c r="H653" s="19" t="s">
        <v>31109</v>
      </c>
      <c r="I653" s="20">
        <v>18.795000000000002</v>
      </c>
      <c r="J653" s="44" t="s">
        <v>8</v>
      </c>
      <c r="K653" s="23" t="s">
        <v>8</v>
      </c>
      <c r="L653" s="23" t="s">
        <v>8</v>
      </c>
      <c r="M653" s="23" t="s">
        <v>8</v>
      </c>
    </row>
    <row r="654" spans="1:13" s="21" customFormat="1" x14ac:dyDescent="0.25">
      <c r="A654" s="22" t="s">
        <v>8</v>
      </c>
      <c r="B654" s="18" t="str">
        <f>"055056"</f>
        <v>055056</v>
      </c>
      <c r="C654" s="19" t="s">
        <v>659</v>
      </c>
      <c r="D654" s="19" t="s">
        <v>16088</v>
      </c>
      <c r="E654" s="19" t="s">
        <v>31117</v>
      </c>
      <c r="F654" s="19" t="s">
        <v>35978</v>
      </c>
      <c r="G654" s="18" t="str">
        <f>"91775"</f>
        <v>91775</v>
      </c>
      <c r="H654" s="19" t="s">
        <v>31109</v>
      </c>
      <c r="I654" s="20">
        <v>22.198</v>
      </c>
      <c r="J654" s="44" t="s">
        <v>8</v>
      </c>
      <c r="K654" s="23" t="s">
        <v>8</v>
      </c>
      <c r="L654" s="23" t="s">
        <v>8</v>
      </c>
      <c r="M654" s="23" t="s">
        <v>8</v>
      </c>
    </row>
    <row r="655" spans="1:13" s="21" customFormat="1" x14ac:dyDescent="0.25">
      <c r="A655" s="22" t="s">
        <v>8</v>
      </c>
      <c r="B655" s="18" t="str">
        <f>"055057"</f>
        <v>055057</v>
      </c>
      <c r="C655" s="19" t="s">
        <v>660</v>
      </c>
      <c r="D655" s="19" t="s">
        <v>16089</v>
      </c>
      <c r="E655" s="19" t="s">
        <v>30892</v>
      </c>
      <c r="F655" s="19" t="s">
        <v>35978</v>
      </c>
      <c r="G655" s="18" t="str">
        <f>"94549"</f>
        <v>94549</v>
      </c>
      <c r="H655" s="19" t="s">
        <v>36088</v>
      </c>
      <c r="I655" s="20">
        <v>17.648</v>
      </c>
      <c r="J655" s="44" t="s">
        <v>8</v>
      </c>
      <c r="K655" s="23" t="s">
        <v>8</v>
      </c>
      <c r="L655" s="23" t="s">
        <v>8</v>
      </c>
      <c r="M655" s="23" t="s">
        <v>8</v>
      </c>
    </row>
    <row r="656" spans="1:13" s="21" customFormat="1" x14ac:dyDescent="0.25">
      <c r="A656" s="22" t="s">
        <v>8</v>
      </c>
      <c r="B656" s="18" t="str">
        <f>"055060"</f>
        <v>055060</v>
      </c>
      <c r="C656" s="19" t="s">
        <v>661</v>
      </c>
      <c r="D656" s="19" t="s">
        <v>16090</v>
      </c>
      <c r="E656" s="19" t="s">
        <v>31109</v>
      </c>
      <c r="F656" s="19" t="s">
        <v>35978</v>
      </c>
      <c r="G656" s="18" t="str">
        <f>"90025"</f>
        <v>90025</v>
      </c>
      <c r="H656" s="19" t="s">
        <v>31109</v>
      </c>
      <c r="I656" s="20">
        <v>19.309999999999999</v>
      </c>
      <c r="J656" s="44" t="s">
        <v>8</v>
      </c>
      <c r="K656" s="23" t="s">
        <v>8</v>
      </c>
      <c r="L656" s="23" t="s">
        <v>8</v>
      </c>
      <c r="M656" s="23" t="s">
        <v>8</v>
      </c>
    </row>
    <row r="657" spans="1:13" s="21" customFormat="1" x14ac:dyDescent="0.25">
      <c r="A657" s="22" t="s">
        <v>8</v>
      </c>
      <c r="B657" s="18" t="str">
        <f>"055064"</f>
        <v>055064</v>
      </c>
      <c r="C657" s="19" t="s">
        <v>662</v>
      </c>
      <c r="D657" s="19" t="s">
        <v>16091</v>
      </c>
      <c r="E657" s="19" t="s">
        <v>31118</v>
      </c>
      <c r="F657" s="19" t="s">
        <v>35978</v>
      </c>
      <c r="G657" s="18" t="str">
        <f>"92021"</f>
        <v>92021</v>
      </c>
      <c r="H657" s="19" t="s">
        <v>31176</v>
      </c>
      <c r="I657" s="20">
        <v>23.285</v>
      </c>
      <c r="J657" s="44" t="s">
        <v>8</v>
      </c>
      <c r="K657" s="23" t="s">
        <v>8</v>
      </c>
      <c r="L657" s="23" t="s">
        <v>8</v>
      </c>
      <c r="M657" s="23" t="s">
        <v>8</v>
      </c>
    </row>
    <row r="658" spans="1:13" s="21" customFormat="1" x14ac:dyDescent="0.25">
      <c r="A658" s="22" t="s">
        <v>8</v>
      </c>
      <c r="B658" s="18" t="str">
        <f>"055066"</f>
        <v>055066</v>
      </c>
      <c r="C658" s="19" t="s">
        <v>663</v>
      </c>
      <c r="D658" s="19" t="s">
        <v>16092</v>
      </c>
      <c r="E658" s="19" t="s">
        <v>31109</v>
      </c>
      <c r="F658" s="19" t="s">
        <v>35978</v>
      </c>
      <c r="G658" s="18" t="str">
        <f>"90015"</f>
        <v>90015</v>
      </c>
      <c r="H658" s="19" t="s">
        <v>31109</v>
      </c>
      <c r="I658" s="20">
        <v>19.294</v>
      </c>
      <c r="J658" s="44" t="s">
        <v>8</v>
      </c>
      <c r="K658" s="23" t="s">
        <v>8</v>
      </c>
      <c r="L658" s="23" t="s">
        <v>8</v>
      </c>
      <c r="M658" s="23" t="s">
        <v>8</v>
      </c>
    </row>
    <row r="659" spans="1:13" s="21" customFormat="1" x14ac:dyDescent="0.25">
      <c r="A659" s="22" t="s">
        <v>8</v>
      </c>
      <c r="B659" s="18" t="str">
        <f>"055067"</f>
        <v>055067</v>
      </c>
      <c r="C659" s="19" t="s">
        <v>664</v>
      </c>
      <c r="D659" s="19" t="s">
        <v>16093</v>
      </c>
      <c r="E659" s="19" t="s">
        <v>31119</v>
      </c>
      <c r="F659" s="19" t="s">
        <v>35978</v>
      </c>
      <c r="G659" s="18" t="str">
        <f>"92025"</f>
        <v>92025</v>
      </c>
      <c r="H659" s="19" t="s">
        <v>31176</v>
      </c>
      <c r="I659" s="20">
        <v>16.869</v>
      </c>
      <c r="J659" s="44" t="s">
        <v>8</v>
      </c>
      <c r="K659" s="23" t="s">
        <v>8</v>
      </c>
      <c r="L659" s="23" t="s">
        <v>8</v>
      </c>
      <c r="M659" s="23" t="s">
        <v>8</v>
      </c>
    </row>
    <row r="660" spans="1:13" s="21" customFormat="1" x14ac:dyDescent="0.25">
      <c r="A660" s="22" t="s">
        <v>8</v>
      </c>
      <c r="B660" s="18" t="str">
        <f>"055070"</f>
        <v>055070</v>
      </c>
      <c r="C660" s="19" t="s">
        <v>665</v>
      </c>
      <c r="D660" s="19" t="s">
        <v>16094</v>
      </c>
      <c r="E660" s="19" t="s">
        <v>31120</v>
      </c>
      <c r="F660" s="19" t="s">
        <v>35978</v>
      </c>
      <c r="G660" s="18" t="str">
        <f>"90732"</f>
        <v>90732</v>
      </c>
      <c r="H660" s="19" t="s">
        <v>31109</v>
      </c>
      <c r="I660" s="20">
        <v>20.765999999999998</v>
      </c>
      <c r="J660" s="44" t="s">
        <v>8</v>
      </c>
      <c r="K660" s="23" t="s">
        <v>8</v>
      </c>
      <c r="L660" s="23" t="s">
        <v>8</v>
      </c>
      <c r="M660" s="23" t="s">
        <v>8</v>
      </c>
    </row>
    <row r="661" spans="1:13" s="21" customFormat="1" x14ac:dyDescent="0.25">
      <c r="A661" s="22" t="s">
        <v>8</v>
      </c>
      <c r="B661" s="18" t="str">
        <f>"055072"</f>
        <v>055072</v>
      </c>
      <c r="C661" s="19" t="s">
        <v>666</v>
      </c>
      <c r="D661" s="19" t="s">
        <v>16095</v>
      </c>
      <c r="E661" s="19" t="s">
        <v>31121</v>
      </c>
      <c r="F661" s="19" t="s">
        <v>35978</v>
      </c>
      <c r="G661" s="18" t="str">
        <f>"90247"</f>
        <v>90247</v>
      </c>
      <c r="H661" s="19" t="s">
        <v>31109</v>
      </c>
      <c r="I661" s="20">
        <v>22.75</v>
      </c>
      <c r="J661" s="44" t="s">
        <v>8</v>
      </c>
      <c r="K661" s="23" t="s">
        <v>8</v>
      </c>
      <c r="L661" s="23" t="s">
        <v>8</v>
      </c>
      <c r="M661" s="23" t="s">
        <v>8</v>
      </c>
    </row>
    <row r="662" spans="1:13" s="21" customFormat="1" x14ac:dyDescent="0.25">
      <c r="A662" s="22" t="s">
        <v>8</v>
      </c>
      <c r="B662" s="18" t="str">
        <f>"055074"</f>
        <v>055074</v>
      </c>
      <c r="C662" s="19" t="s">
        <v>667</v>
      </c>
      <c r="D662" s="19" t="s">
        <v>16096</v>
      </c>
      <c r="E662" s="19" t="s">
        <v>31122</v>
      </c>
      <c r="F662" s="19" t="s">
        <v>35978</v>
      </c>
      <c r="G662" s="18" t="str">
        <f>"92118"</f>
        <v>92118</v>
      </c>
      <c r="H662" s="19" t="s">
        <v>31176</v>
      </c>
      <c r="I662" s="20">
        <v>18.64</v>
      </c>
      <c r="J662" s="44" t="s">
        <v>8</v>
      </c>
      <c r="K662" s="23" t="s">
        <v>8</v>
      </c>
      <c r="L662" s="23" t="s">
        <v>8</v>
      </c>
      <c r="M662" s="23" t="s">
        <v>8</v>
      </c>
    </row>
    <row r="663" spans="1:13" s="21" customFormat="1" x14ac:dyDescent="0.25">
      <c r="A663" s="22" t="s">
        <v>8</v>
      </c>
      <c r="B663" s="18" t="str">
        <f>"055076"</f>
        <v>055076</v>
      </c>
      <c r="C663" s="19" t="s">
        <v>668</v>
      </c>
      <c r="D663" s="19" t="s">
        <v>16097</v>
      </c>
      <c r="E663" s="19" t="s">
        <v>31123</v>
      </c>
      <c r="F663" s="19" t="s">
        <v>35978</v>
      </c>
      <c r="G663" s="18" t="str">
        <f>"92392"</f>
        <v>92392</v>
      </c>
      <c r="H663" s="19" t="s">
        <v>31227</v>
      </c>
      <c r="I663" s="20">
        <v>21.215</v>
      </c>
      <c r="J663" s="44" t="s">
        <v>8</v>
      </c>
      <c r="K663" s="23" t="s">
        <v>8</v>
      </c>
      <c r="L663" s="23" t="s">
        <v>8</v>
      </c>
      <c r="M663" s="23" t="s">
        <v>8</v>
      </c>
    </row>
    <row r="664" spans="1:13" s="21" customFormat="1" x14ac:dyDescent="0.25">
      <c r="A664" s="22" t="s">
        <v>8</v>
      </c>
      <c r="B664" s="18" t="str">
        <f>"055077"</f>
        <v>055077</v>
      </c>
      <c r="C664" s="19" t="s">
        <v>669</v>
      </c>
      <c r="D664" s="19" t="s">
        <v>16098</v>
      </c>
      <c r="E664" s="19" t="s">
        <v>31111</v>
      </c>
      <c r="F664" s="19" t="s">
        <v>35978</v>
      </c>
      <c r="G664" s="18" t="str">
        <f>"90804"</f>
        <v>90804</v>
      </c>
      <c r="H664" s="19" t="s">
        <v>31109</v>
      </c>
      <c r="I664" s="20">
        <v>20.03</v>
      </c>
      <c r="J664" s="44" t="s">
        <v>8</v>
      </c>
      <c r="K664" s="23" t="s">
        <v>8</v>
      </c>
      <c r="L664" s="23" t="s">
        <v>8</v>
      </c>
      <c r="M664" s="23" t="s">
        <v>8</v>
      </c>
    </row>
    <row r="665" spans="1:13" s="21" customFormat="1" x14ac:dyDescent="0.25">
      <c r="A665" s="22" t="s">
        <v>8</v>
      </c>
      <c r="B665" s="18" t="str">
        <f>"055078"</f>
        <v>055078</v>
      </c>
      <c r="C665" s="19" t="s">
        <v>670</v>
      </c>
      <c r="D665" s="19" t="s">
        <v>16099</v>
      </c>
      <c r="E665" s="19" t="s">
        <v>31124</v>
      </c>
      <c r="F665" s="19" t="s">
        <v>35978</v>
      </c>
      <c r="G665" s="18" t="str">
        <f>"91942"</f>
        <v>91942</v>
      </c>
      <c r="H665" s="19" t="s">
        <v>31176</v>
      </c>
      <c r="I665" s="20">
        <v>22.335000000000001</v>
      </c>
      <c r="J665" s="44" t="s">
        <v>8</v>
      </c>
      <c r="K665" s="23" t="s">
        <v>8</v>
      </c>
      <c r="L665" s="23" t="s">
        <v>8</v>
      </c>
      <c r="M665" s="23" t="s">
        <v>8</v>
      </c>
    </row>
    <row r="666" spans="1:13" s="21" customFormat="1" x14ac:dyDescent="0.25">
      <c r="A666" s="22" t="s">
        <v>8</v>
      </c>
      <c r="B666" s="18" t="str">
        <f>"055079"</f>
        <v>055079</v>
      </c>
      <c r="C666" s="19" t="s">
        <v>671</v>
      </c>
      <c r="D666" s="19" t="s">
        <v>16100</v>
      </c>
      <c r="E666" s="19" t="s">
        <v>31125</v>
      </c>
      <c r="F666" s="19" t="s">
        <v>35978</v>
      </c>
      <c r="G666" s="18" t="str">
        <f>"93401"</f>
        <v>93401</v>
      </c>
      <c r="H666" s="19" t="s">
        <v>31125</v>
      </c>
      <c r="I666" s="20">
        <v>19.010999999999999</v>
      </c>
      <c r="J666" s="44" t="s">
        <v>8</v>
      </c>
      <c r="K666" s="23" t="s">
        <v>8</v>
      </c>
      <c r="L666" s="23" t="s">
        <v>8</v>
      </c>
      <c r="M666" s="23" t="s">
        <v>8</v>
      </c>
    </row>
    <row r="667" spans="1:13" s="21" customFormat="1" x14ac:dyDescent="0.25">
      <c r="A667" s="22" t="s">
        <v>8</v>
      </c>
      <c r="B667" s="18" t="str">
        <f>"055084"</f>
        <v>055084</v>
      </c>
      <c r="C667" s="19" t="s">
        <v>672</v>
      </c>
      <c r="D667" s="19" t="s">
        <v>16101</v>
      </c>
      <c r="E667" s="19" t="s">
        <v>31126</v>
      </c>
      <c r="F667" s="19" t="s">
        <v>35978</v>
      </c>
      <c r="G667" s="18" t="str">
        <f>"95367"</f>
        <v>95367</v>
      </c>
      <c r="H667" s="19" t="s">
        <v>36085</v>
      </c>
      <c r="I667" s="20">
        <v>18.067</v>
      </c>
      <c r="J667" s="44" t="s">
        <v>8</v>
      </c>
      <c r="K667" s="23" t="s">
        <v>8</v>
      </c>
      <c r="L667" s="23" t="s">
        <v>8</v>
      </c>
      <c r="M667" s="23" t="s">
        <v>8</v>
      </c>
    </row>
    <row r="668" spans="1:13" s="21" customFormat="1" x14ac:dyDescent="0.25">
      <c r="A668" s="22" t="s">
        <v>8</v>
      </c>
      <c r="B668" s="18" t="str">
        <f>"055085"</f>
        <v>055085</v>
      </c>
      <c r="C668" s="19" t="s">
        <v>673</v>
      </c>
      <c r="D668" s="19" t="s">
        <v>16102</v>
      </c>
      <c r="E668" s="19" t="s">
        <v>31127</v>
      </c>
      <c r="F668" s="19" t="s">
        <v>35978</v>
      </c>
      <c r="G668" s="18" t="str">
        <f>"94556"</f>
        <v>94556</v>
      </c>
      <c r="H668" s="19" t="s">
        <v>36088</v>
      </c>
      <c r="I668" s="20">
        <v>21.173999999999999</v>
      </c>
      <c r="J668" s="44" t="s">
        <v>8</v>
      </c>
      <c r="K668" s="23" t="s">
        <v>8</v>
      </c>
      <c r="L668" s="23" t="s">
        <v>8</v>
      </c>
      <c r="M668" s="23" t="s">
        <v>8</v>
      </c>
    </row>
    <row r="669" spans="1:13" s="21" customFormat="1" x14ac:dyDescent="0.25">
      <c r="A669" s="22" t="s">
        <v>8</v>
      </c>
      <c r="B669" s="18" t="str">
        <f>"055092"</f>
        <v>055092</v>
      </c>
      <c r="C669" s="19" t="s">
        <v>674</v>
      </c>
      <c r="D669" s="19" t="s">
        <v>16103</v>
      </c>
      <c r="E669" s="19" t="s">
        <v>31128</v>
      </c>
      <c r="F669" s="19" t="s">
        <v>35978</v>
      </c>
      <c r="G669" s="18" t="str">
        <f>"95991"</f>
        <v>95991</v>
      </c>
      <c r="H669" s="19" t="s">
        <v>36089</v>
      </c>
      <c r="I669" s="20">
        <v>19.396999999999998</v>
      </c>
      <c r="J669" s="44" t="s">
        <v>8</v>
      </c>
      <c r="K669" s="23" t="s">
        <v>8</v>
      </c>
      <c r="L669" s="23" t="s">
        <v>8</v>
      </c>
      <c r="M669" s="23" t="s">
        <v>8</v>
      </c>
    </row>
    <row r="670" spans="1:13" s="21" customFormat="1" x14ac:dyDescent="0.25">
      <c r="A670" s="22" t="s">
        <v>8</v>
      </c>
      <c r="B670" s="18" t="str">
        <f>"055093"</f>
        <v>055093</v>
      </c>
      <c r="C670" s="19" t="s">
        <v>675</v>
      </c>
      <c r="D670" s="19" t="s">
        <v>16104</v>
      </c>
      <c r="E670" s="19" t="s">
        <v>31129</v>
      </c>
      <c r="F670" s="19" t="s">
        <v>35978</v>
      </c>
      <c r="G670" s="18" t="str">
        <f>"94904"</f>
        <v>94904</v>
      </c>
      <c r="H670" s="19" t="s">
        <v>36090</v>
      </c>
      <c r="I670" s="20">
        <v>18.437999999999999</v>
      </c>
      <c r="J670" s="44" t="s">
        <v>8</v>
      </c>
      <c r="K670" s="23" t="s">
        <v>8</v>
      </c>
      <c r="L670" s="23" t="s">
        <v>8</v>
      </c>
      <c r="M670" s="23" t="s">
        <v>8</v>
      </c>
    </row>
    <row r="671" spans="1:13" s="21" customFormat="1" x14ac:dyDescent="0.25">
      <c r="A671" s="22" t="s">
        <v>8</v>
      </c>
      <c r="B671" s="18" t="str">
        <f>"055099"</f>
        <v>055099</v>
      </c>
      <c r="C671" s="19" t="s">
        <v>676</v>
      </c>
      <c r="D671" s="19" t="s">
        <v>16105</v>
      </c>
      <c r="E671" s="19" t="s">
        <v>31130</v>
      </c>
      <c r="F671" s="19" t="s">
        <v>35978</v>
      </c>
      <c r="G671" s="18" t="str">
        <f>"94806"</f>
        <v>94806</v>
      </c>
      <c r="H671" s="19" t="s">
        <v>36088</v>
      </c>
      <c r="I671" s="20">
        <v>17.3</v>
      </c>
      <c r="J671" s="44" t="s">
        <v>8</v>
      </c>
      <c r="K671" s="23" t="s">
        <v>8</v>
      </c>
      <c r="L671" s="23" t="s">
        <v>8</v>
      </c>
      <c r="M671" s="23" t="s">
        <v>8</v>
      </c>
    </row>
    <row r="672" spans="1:13" s="21" customFormat="1" x14ac:dyDescent="0.25">
      <c r="A672" s="22" t="s">
        <v>8</v>
      </c>
      <c r="B672" s="18" t="str">
        <f>"055104"</f>
        <v>055104</v>
      </c>
      <c r="C672" s="19" t="s">
        <v>677</v>
      </c>
      <c r="D672" s="19" t="s">
        <v>16106</v>
      </c>
      <c r="E672" s="19" t="s">
        <v>31131</v>
      </c>
      <c r="F672" s="19" t="s">
        <v>35978</v>
      </c>
      <c r="G672" s="18" t="str">
        <f>"91733"</f>
        <v>91733</v>
      </c>
      <c r="H672" s="19" t="s">
        <v>31109</v>
      </c>
      <c r="I672" s="20">
        <v>21.02</v>
      </c>
      <c r="J672" s="44" t="s">
        <v>8</v>
      </c>
      <c r="K672" s="23" t="s">
        <v>8</v>
      </c>
      <c r="L672" s="23" t="s">
        <v>8</v>
      </c>
      <c r="M672" s="23" t="s">
        <v>8</v>
      </c>
    </row>
    <row r="673" spans="1:13" s="21" customFormat="1" x14ac:dyDescent="0.25">
      <c r="A673" s="22" t="s">
        <v>8</v>
      </c>
      <c r="B673" s="18" t="str">
        <f>"055105"</f>
        <v>055105</v>
      </c>
      <c r="C673" s="19" t="s">
        <v>678</v>
      </c>
      <c r="D673" s="19" t="s">
        <v>16107</v>
      </c>
      <c r="E673" s="19" t="s">
        <v>31117</v>
      </c>
      <c r="F673" s="19" t="s">
        <v>35978</v>
      </c>
      <c r="G673" s="18" t="str">
        <f>"91776"</f>
        <v>91776</v>
      </c>
      <c r="H673" s="19" t="s">
        <v>31109</v>
      </c>
      <c r="I673" s="20">
        <v>16.646999999999998</v>
      </c>
      <c r="J673" s="44" t="s">
        <v>8</v>
      </c>
      <c r="K673" s="23" t="s">
        <v>8</v>
      </c>
      <c r="L673" s="23" t="s">
        <v>8</v>
      </c>
      <c r="M673" s="23" t="s">
        <v>8</v>
      </c>
    </row>
    <row r="674" spans="1:13" s="21" customFormat="1" x14ac:dyDescent="0.25">
      <c r="A674" s="22" t="s">
        <v>8</v>
      </c>
      <c r="B674" s="18" t="str">
        <f>"055107"</f>
        <v>055107</v>
      </c>
      <c r="C674" s="19" t="s">
        <v>679</v>
      </c>
      <c r="D674" s="19" t="s">
        <v>16108</v>
      </c>
      <c r="E674" s="19" t="s">
        <v>31132</v>
      </c>
      <c r="F674" s="19" t="s">
        <v>35978</v>
      </c>
      <c r="G674" s="18" t="str">
        <f>"94577"</f>
        <v>94577</v>
      </c>
      <c r="H674" s="19" t="s">
        <v>31290</v>
      </c>
      <c r="I674" s="20">
        <v>18.109000000000002</v>
      </c>
      <c r="J674" s="44" t="s">
        <v>8</v>
      </c>
      <c r="K674" s="23" t="s">
        <v>8</v>
      </c>
      <c r="L674" s="23" t="s">
        <v>8</v>
      </c>
      <c r="M674" s="23" t="s">
        <v>8</v>
      </c>
    </row>
    <row r="675" spans="1:13" s="21" customFormat="1" x14ac:dyDescent="0.25">
      <c r="A675" s="22" t="s">
        <v>8</v>
      </c>
      <c r="B675" s="18" t="str">
        <f>"055109"</f>
        <v>055109</v>
      </c>
      <c r="C675" s="19" t="s">
        <v>680</v>
      </c>
      <c r="D675" s="19" t="s">
        <v>16109</v>
      </c>
      <c r="E675" s="19" t="s">
        <v>31105</v>
      </c>
      <c r="F675" s="19" t="s">
        <v>35978</v>
      </c>
      <c r="G675" s="18" t="str">
        <f>"95062"</f>
        <v>95062</v>
      </c>
      <c r="H675" s="19" t="s">
        <v>31105</v>
      </c>
      <c r="I675" s="20">
        <v>15.199</v>
      </c>
      <c r="J675" s="44" t="s">
        <v>8</v>
      </c>
      <c r="K675" s="23" t="s">
        <v>8</v>
      </c>
      <c r="L675" s="23" t="s">
        <v>8</v>
      </c>
      <c r="M675" s="23" t="s">
        <v>8</v>
      </c>
    </row>
    <row r="676" spans="1:13" s="21" customFormat="1" x14ac:dyDescent="0.25">
      <c r="A676" s="22" t="s">
        <v>8</v>
      </c>
      <c r="B676" s="18" t="str">
        <f>"055111"</f>
        <v>055111</v>
      </c>
      <c r="C676" s="19" t="s">
        <v>681</v>
      </c>
      <c r="D676" s="19" t="s">
        <v>16110</v>
      </c>
      <c r="E676" s="19" t="s">
        <v>31109</v>
      </c>
      <c r="F676" s="19" t="s">
        <v>35978</v>
      </c>
      <c r="G676" s="18" t="str">
        <f>"90029"</f>
        <v>90029</v>
      </c>
      <c r="H676" s="19" t="s">
        <v>31109</v>
      </c>
      <c r="I676" s="20">
        <v>19.852</v>
      </c>
      <c r="J676" s="44" t="s">
        <v>8</v>
      </c>
      <c r="K676" s="23" t="s">
        <v>8</v>
      </c>
      <c r="L676" s="23" t="s">
        <v>8</v>
      </c>
      <c r="M676" s="23" t="s">
        <v>8</v>
      </c>
    </row>
    <row r="677" spans="1:13" s="21" customFormat="1" x14ac:dyDescent="0.25">
      <c r="A677" s="22" t="s">
        <v>8</v>
      </c>
      <c r="B677" s="18" t="str">
        <f>"055114"</f>
        <v>055114</v>
      </c>
      <c r="C677" s="19" t="s">
        <v>682</v>
      </c>
      <c r="D677" s="19" t="s">
        <v>16111</v>
      </c>
      <c r="E677" s="19" t="s">
        <v>31124</v>
      </c>
      <c r="F677" s="19" t="s">
        <v>35978</v>
      </c>
      <c r="G677" s="18" t="str">
        <f>"91942"</f>
        <v>91942</v>
      </c>
      <c r="H677" s="19" t="s">
        <v>31176</v>
      </c>
      <c r="I677" s="20">
        <v>19.867000000000001</v>
      </c>
      <c r="J677" s="44" t="s">
        <v>8</v>
      </c>
      <c r="K677" s="23" t="s">
        <v>8</v>
      </c>
      <c r="L677" s="23" t="s">
        <v>8</v>
      </c>
      <c r="M677" s="23" t="s">
        <v>8</v>
      </c>
    </row>
    <row r="678" spans="1:13" s="21" customFormat="1" x14ac:dyDescent="0.25">
      <c r="A678" s="22" t="s">
        <v>8</v>
      </c>
      <c r="B678" s="18" t="str">
        <f>"055115"</f>
        <v>055115</v>
      </c>
      <c r="C678" s="19" t="s">
        <v>683</v>
      </c>
      <c r="D678" s="19" t="s">
        <v>16112</v>
      </c>
      <c r="E678" s="19" t="s">
        <v>31109</v>
      </c>
      <c r="F678" s="19" t="s">
        <v>35978</v>
      </c>
      <c r="G678" s="18" t="str">
        <f>"90033"</f>
        <v>90033</v>
      </c>
      <c r="H678" s="19" t="s">
        <v>31109</v>
      </c>
      <c r="I678" s="20">
        <v>17.530999999999999</v>
      </c>
      <c r="J678" s="44" t="s">
        <v>8</v>
      </c>
      <c r="K678" s="23" t="s">
        <v>8</v>
      </c>
      <c r="L678" s="23" t="s">
        <v>8</v>
      </c>
      <c r="M678" s="23" t="s">
        <v>8</v>
      </c>
    </row>
    <row r="679" spans="1:13" s="21" customFormat="1" x14ac:dyDescent="0.25">
      <c r="A679" s="22" t="s">
        <v>8</v>
      </c>
      <c r="B679" s="18" t="str">
        <f>"055116"</f>
        <v>055116</v>
      </c>
      <c r="C679" s="19" t="s">
        <v>684</v>
      </c>
      <c r="D679" s="19" t="s">
        <v>16113</v>
      </c>
      <c r="E679" s="19" t="s">
        <v>31133</v>
      </c>
      <c r="F679" s="19" t="s">
        <v>35978</v>
      </c>
      <c r="G679" s="18" t="str">
        <f>"94044"</f>
        <v>94044</v>
      </c>
      <c r="H679" s="19" t="s">
        <v>31152</v>
      </c>
      <c r="I679" s="20">
        <v>18.542999999999999</v>
      </c>
      <c r="J679" s="44" t="s">
        <v>8</v>
      </c>
      <c r="K679" s="23" t="s">
        <v>8</v>
      </c>
      <c r="L679" s="23" t="s">
        <v>8</v>
      </c>
      <c r="M679" s="23" t="s">
        <v>8</v>
      </c>
    </row>
    <row r="680" spans="1:13" s="21" customFormat="1" x14ac:dyDescent="0.25">
      <c r="A680" s="22" t="s">
        <v>8</v>
      </c>
      <c r="B680" s="18" t="str">
        <f>"055119"</f>
        <v>055119</v>
      </c>
      <c r="C680" s="19" t="s">
        <v>685</v>
      </c>
      <c r="D680" s="19" t="s">
        <v>16114</v>
      </c>
      <c r="E680" s="19" t="s">
        <v>31109</v>
      </c>
      <c r="F680" s="19" t="s">
        <v>35978</v>
      </c>
      <c r="G680" s="18" t="str">
        <f>"90035"</f>
        <v>90035</v>
      </c>
      <c r="H680" s="19" t="s">
        <v>31109</v>
      </c>
      <c r="I680" s="20">
        <v>20.834</v>
      </c>
      <c r="J680" s="44" t="s">
        <v>8</v>
      </c>
      <c r="K680" s="23" t="s">
        <v>8</v>
      </c>
      <c r="L680" s="23" t="s">
        <v>8</v>
      </c>
      <c r="M680" s="23" t="s">
        <v>8</v>
      </c>
    </row>
    <row r="681" spans="1:13" s="21" customFormat="1" x14ac:dyDescent="0.25">
      <c r="A681" s="22" t="s">
        <v>8</v>
      </c>
      <c r="B681" s="18" t="str">
        <f>"055121"</f>
        <v>055121</v>
      </c>
      <c r="C681" s="19" t="s">
        <v>686</v>
      </c>
      <c r="D681" s="19" t="s">
        <v>16115</v>
      </c>
      <c r="E681" s="19" t="s">
        <v>31134</v>
      </c>
      <c r="F681" s="19" t="s">
        <v>35978</v>
      </c>
      <c r="G681" s="18" t="str">
        <f>"92663"</f>
        <v>92663</v>
      </c>
      <c r="H681" s="19" t="s">
        <v>31169</v>
      </c>
      <c r="I681" s="20">
        <v>20.23</v>
      </c>
      <c r="J681" s="44" t="s">
        <v>8</v>
      </c>
      <c r="K681" s="23" t="s">
        <v>8</v>
      </c>
      <c r="L681" s="23" t="s">
        <v>8</v>
      </c>
      <c r="M681" s="23" t="s">
        <v>8</v>
      </c>
    </row>
    <row r="682" spans="1:13" s="21" customFormat="1" x14ac:dyDescent="0.25">
      <c r="A682" s="22" t="s">
        <v>8</v>
      </c>
      <c r="B682" s="18" t="str">
        <f>"055123"</f>
        <v>055123</v>
      </c>
      <c r="C682" s="19" t="s">
        <v>687</v>
      </c>
      <c r="D682" s="19" t="s">
        <v>16116</v>
      </c>
      <c r="E682" s="19" t="s">
        <v>31111</v>
      </c>
      <c r="F682" s="19" t="s">
        <v>35978</v>
      </c>
      <c r="G682" s="18" t="str">
        <f>"90810"</f>
        <v>90810</v>
      </c>
      <c r="H682" s="19" t="s">
        <v>31109</v>
      </c>
      <c r="I682" s="20">
        <v>18.123999999999999</v>
      </c>
      <c r="J682" s="44" t="s">
        <v>8</v>
      </c>
      <c r="K682" s="23" t="s">
        <v>8</v>
      </c>
      <c r="L682" s="23" t="s">
        <v>8</v>
      </c>
      <c r="M682" s="23" t="s">
        <v>8</v>
      </c>
    </row>
    <row r="683" spans="1:13" s="21" customFormat="1" x14ac:dyDescent="0.25">
      <c r="A683" s="22" t="s">
        <v>8</v>
      </c>
      <c r="B683" s="18" t="str">
        <f>"055126"</f>
        <v>055126</v>
      </c>
      <c r="C683" s="19" t="s">
        <v>688</v>
      </c>
      <c r="D683" s="19" t="s">
        <v>16117</v>
      </c>
      <c r="E683" s="19" t="s">
        <v>31104</v>
      </c>
      <c r="F683" s="19" t="s">
        <v>35978</v>
      </c>
      <c r="G683" s="18" t="str">
        <f>"91766"</f>
        <v>91766</v>
      </c>
      <c r="H683" s="19" t="s">
        <v>31109</v>
      </c>
      <c r="I683" s="20">
        <v>14.175000000000001</v>
      </c>
      <c r="J683" s="44" t="s">
        <v>8</v>
      </c>
      <c r="K683" s="23" t="s">
        <v>8</v>
      </c>
      <c r="L683" s="23" t="s">
        <v>8</v>
      </c>
      <c r="M683" s="23" t="s">
        <v>8</v>
      </c>
    </row>
    <row r="684" spans="1:13" s="21" customFormat="1" x14ac:dyDescent="0.25">
      <c r="A684" s="22" t="s">
        <v>8</v>
      </c>
      <c r="B684" s="18" t="str">
        <f>"055129"</f>
        <v>055129</v>
      </c>
      <c r="C684" s="19" t="s">
        <v>689</v>
      </c>
      <c r="D684" s="19" t="s">
        <v>16118</v>
      </c>
      <c r="E684" s="19" t="s">
        <v>31135</v>
      </c>
      <c r="F684" s="19" t="s">
        <v>35978</v>
      </c>
      <c r="G684" s="18" t="str">
        <f>"92313"</f>
        <v>92313</v>
      </c>
      <c r="H684" s="19" t="s">
        <v>31227</v>
      </c>
      <c r="I684" s="20">
        <v>20.417000000000002</v>
      </c>
      <c r="J684" s="44" t="s">
        <v>8</v>
      </c>
      <c r="K684" s="23" t="s">
        <v>8</v>
      </c>
      <c r="L684" s="23" t="s">
        <v>8</v>
      </c>
      <c r="M684" s="23" t="s">
        <v>8</v>
      </c>
    </row>
    <row r="685" spans="1:13" s="21" customFormat="1" x14ac:dyDescent="0.25">
      <c r="A685" s="22" t="s">
        <v>8</v>
      </c>
      <c r="B685" s="18" t="str">
        <f>"055135"</f>
        <v>055135</v>
      </c>
      <c r="C685" s="19" t="s">
        <v>690</v>
      </c>
      <c r="D685" s="19" t="s">
        <v>16119</v>
      </c>
      <c r="E685" s="19" t="s">
        <v>30923</v>
      </c>
      <c r="F685" s="19" t="s">
        <v>35978</v>
      </c>
      <c r="G685" s="18" t="str">
        <f>"91020"</f>
        <v>91020</v>
      </c>
      <c r="H685" s="19" t="s">
        <v>31109</v>
      </c>
      <c r="I685" s="20">
        <v>21.186</v>
      </c>
      <c r="J685" s="44" t="s">
        <v>8</v>
      </c>
      <c r="K685" s="23" t="s">
        <v>8</v>
      </c>
      <c r="L685" s="23" t="s">
        <v>8</v>
      </c>
      <c r="M685" s="23" t="s">
        <v>8</v>
      </c>
    </row>
    <row r="686" spans="1:13" s="21" customFormat="1" x14ac:dyDescent="0.25">
      <c r="A686" s="22" t="s">
        <v>8</v>
      </c>
      <c r="B686" s="18" t="str">
        <f>"055136"</f>
        <v>055136</v>
      </c>
      <c r="C686" s="19" t="s">
        <v>691</v>
      </c>
      <c r="D686" s="19" t="s">
        <v>16120</v>
      </c>
      <c r="E686" s="19" t="s">
        <v>31136</v>
      </c>
      <c r="F686" s="19" t="s">
        <v>35978</v>
      </c>
      <c r="G686" s="18" t="str">
        <f>"90404"</f>
        <v>90404</v>
      </c>
      <c r="H686" s="19" t="s">
        <v>31109</v>
      </c>
      <c r="I686" s="20">
        <v>18.695</v>
      </c>
      <c r="J686" s="44" t="s">
        <v>8</v>
      </c>
      <c r="K686" s="23" t="s">
        <v>8</v>
      </c>
      <c r="L686" s="23" t="s">
        <v>8</v>
      </c>
      <c r="M686" s="23" t="s">
        <v>8</v>
      </c>
    </row>
    <row r="687" spans="1:13" s="21" customFormat="1" x14ac:dyDescent="0.25">
      <c r="A687" s="22" t="s">
        <v>8</v>
      </c>
      <c r="B687" s="18" t="str">
        <f>"055139"</f>
        <v>055139</v>
      </c>
      <c r="C687" s="19" t="s">
        <v>692</v>
      </c>
      <c r="D687" s="19" t="s">
        <v>16121</v>
      </c>
      <c r="E687" s="19" t="s">
        <v>31137</v>
      </c>
      <c r="F687" s="19" t="s">
        <v>35978</v>
      </c>
      <c r="G687" s="18" t="str">
        <f>"91010"</f>
        <v>91010</v>
      </c>
      <c r="H687" s="19" t="s">
        <v>31109</v>
      </c>
      <c r="I687" s="20">
        <v>18.861999999999998</v>
      </c>
      <c r="J687" s="44" t="s">
        <v>8</v>
      </c>
      <c r="K687" s="23" t="s">
        <v>8</v>
      </c>
      <c r="L687" s="23" t="s">
        <v>8</v>
      </c>
      <c r="M687" s="23" t="s">
        <v>8</v>
      </c>
    </row>
    <row r="688" spans="1:13" s="21" customFormat="1" x14ac:dyDescent="0.25">
      <c r="A688" s="22" t="s">
        <v>8</v>
      </c>
      <c r="B688" s="18" t="str">
        <f>"055141"</f>
        <v>055141</v>
      </c>
      <c r="C688" s="19" t="s">
        <v>693</v>
      </c>
      <c r="D688" s="19" t="s">
        <v>16122</v>
      </c>
      <c r="E688" s="19" t="s">
        <v>31131</v>
      </c>
      <c r="F688" s="19" t="s">
        <v>35978</v>
      </c>
      <c r="G688" s="18" t="str">
        <f>"91732"</f>
        <v>91732</v>
      </c>
      <c r="H688" s="19" t="s">
        <v>31109</v>
      </c>
      <c r="I688" s="20">
        <v>21.155999999999999</v>
      </c>
      <c r="J688" s="44" t="s">
        <v>8</v>
      </c>
      <c r="K688" s="23" t="s">
        <v>8</v>
      </c>
      <c r="L688" s="23" t="s">
        <v>8</v>
      </c>
      <c r="M688" s="23" t="s">
        <v>8</v>
      </c>
    </row>
    <row r="689" spans="1:13" s="21" customFormat="1" x14ac:dyDescent="0.25">
      <c r="A689" s="22" t="s">
        <v>8</v>
      </c>
      <c r="B689" s="18" t="str">
        <f>"055142"</f>
        <v>055142</v>
      </c>
      <c r="C689" s="19" t="s">
        <v>694</v>
      </c>
      <c r="D689" s="19" t="s">
        <v>16123</v>
      </c>
      <c r="E689" s="19" t="s">
        <v>31138</v>
      </c>
      <c r="F689" s="19" t="s">
        <v>35978</v>
      </c>
      <c r="G689" s="18" t="str">
        <f>"91344"</f>
        <v>91344</v>
      </c>
      <c r="H689" s="19" t="s">
        <v>31109</v>
      </c>
      <c r="I689" s="20">
        <v>20.335999999999999</v>
      </c>
      <c r="J689" s="44" t="s">
        <v>8</v>
      </c>
      <c r="K689" s="23" t="s">
        <v>8</v>
      </c>
      <c r="L689" s="23" t="s">
        <v>8</v>
      </c>
      <c r="M689" s="23" t="s">
        <v>8</v>
      </c>
    </row>
    <row r="690" spans="1:13" s="21" customFormat="1" x14ac:dyDescent="0.25">
      <c r="A690" s="22" t="s">
        <v>8</v>
      </c>
      <c r="B690" s="18" t="str">
        <f>"055146"</f>
        <v>055146</v>
      </c>
      <c r="C690" s="19" t="s">
        <v>695</v>
      </c>
      <c r="D690" s="19" t="s">
        <v>16124</v>
      </c>
      <c r="E690" s="19" t="s">
        <v>31139</v>
      </c>
      <c r="F690" s="19" t="s">
        <v>35978</v>
      </c>
      <c r="G690" s="18" t="str">
        <f>"91042"</f>
        <v>91042</v>
      </c>
      <c r="H690" s="19" t="s">
        <v>31109</v>
      </c>
      <c r="I690" s="20">
        <v>19.675000000000001</v>
      </c>
      <c r="J690" s="44" t="s">
        <v>8</v>
      </c>
      <c r="K690" s="23" t="s">
        <v>8</v>
      </c>
      <c r="L690" s="23" t="s">
        <v>8</v>
      </c>
      <c r="M690" s="23" t="s">
        <v>8</v>
      </c>
    </row>
    <row r="691" spans="1:13" s="21" customFormat="1" x14ac:dyDescent="0.25">
      <c r="A691" s="22" t="s">
        <v>8</v>
      </c>
      <c r="B691" s="18" t="str">
        <f>"055147"</f>
        <v>055147</v>
      </c>
      <c r="C691" s="19" t="s">
        <v>696</v>
      </c>
      <c r="D691" s="19" t="s">
        <v>16125</v>
      </c>
      <c r="E691" s="19" t="s">
        <v>31140</v>
      </c>
      <c r="F691" s="19" t="s">
        <v>35978</v>
      </c>
      <c r="G691" s="18" t="str">
        <f>"93638"</f>
        <v>93638</v>
      </c>
      <c r="H691" s="19" t="s">
        <v>31140</v>
      </c>
      <c r="I691" s="20">
        <v>17.059000000000001</v>
      </c>
      <c r="J691" s="44" t="s">
        <v>8</v>
      </c>
      <c r="K691" s="23" t="s">
        <v>8</v>
      </c>
      <c r="L691" s="23" t="s">
        <v>8</v>
      </c>
      <c r="M691" s="23" t="s">
        <v>8</v>
      </c>
    </row>
    <row r="692" spans="1:13" s="21" customFormat="1" x14ac:dyDescent="0.25">
      <c r="A692" s="22" t="s">
        <v>8</v>
      </c>
      <c r="B692" s="18" t="str">
        <f>"055150"</f>
        <v>055150</v>
      </c>
      <c r="C692" s="19" t="s">
        <v>697</v>
      </c>
      <c r="D692" s="19" t="s">
        <v>16126</v>
      </c>
      <c r="E692" s="19" t="s">
        <v>31141</v>
      </c>
      <c r="F692" s="19" t="s">
        <v>35978</v>
      </c>
      <c r="G692" s="18" t="str">
        <f>"94521"</f>
        <v>94521</v>
      </c>
      <c r="H692" s="19" t="s">
        <v>36088</v>
      </c>
      <c r="I692" s="20">
        <v>20.099</v>
      </c>
      <c r="J692" s="44" t="s">
        <v>8</v>
      </c>
      <c r="K692" s="23" t="s">
        <v>8</v>
      </c>
      <c r="L692" s="23" t="s">
        <v>8</v>
      </c>
      <c r="M692" s="23" t="s">
        <v>8</v>
      </c>
    </row>
    <row r="693" spans="1:13" s="21" customFormat="1" x14ac:dyDescent="0.25">
      <c r="A693" s="22" t="s">
        <v>8</v>
      </c>
      <c r="B693" s="18" t="str">
        <f>"055153"</f>
        <v>055153</v>
      </c>
      <c r="C693" s="19" t="s">
        <v>698</v>
      </c>
      <c r="D693" s="19" t="s">
        <v>16127</v>
      </c>
      <c r="E693" s="19" t="s">
        <v>31142</v>
      </c>
      <c r="F693" s="19" t="s">
        <v>35978</v>
      </c>
      <c r="G693" s="18" t="str">
        <f>"90640"</f>
        <v>90640</v>
      </c>
      <c r="H693" s="19" t="s">
        <v>31109</v>
      </c>
      <c r="I693" s="20">
        <v>20.187000000000001</v>
      </c>
      <c r="J693" s="44" t="s">
        <v>8</v>
      </c>
      <c r="K693" s="23" t="s">
        <v>8</v>
      </c>
      <c r="L693" s="23" t="s">
        <v>8</v>
      </c>
      <c r="M693" s="23" t="s">
        <v>8</v>
      </c>
    </row>
    <row r="694" spans="1:13" s="21" customFormat="1" x14ac:dyDescent="0.25">
      <c r="A694" s="22" t="s">
        <v>8</v>
      </c>
      <c r="B694" s="18" t="str">
        <f>"055155"</f>
        <v>055155</v>
      </c>
      <c r="C694" s="19" t="s">
        <v>699</v>
      </c>
      <c r="D694" s="19" t="s">
        <v>16128</v>
      </c>
      <c r="E694" s="19" t="s">
        <v>31136</v>
      </c>
      <c r="F694" s="19" t="s">
        <v>35978</v>
      </c>
      <c r="G694" s="18" t="str">
        <f>"90404"</f>
        <v>90404</v>
      </c>
      <c r="H694" s="19" t="s">
        <v>31109</v>
      </c>
      <c r="I694" s="20">
        <v>22.47</v>
      </c>
      <c r="J694" s="44" t="s">
        <v>8</v>
      </c>
      <c r="K694" s="23" t="s">
        <v>8</v>
      </c>
      <c r="L694" s="23" t="s">
        <v>8</v>
      </c>
      <c r="M694" s="23" t="s">
        <v>8</v>
      </c>
    </row>
    <row r="695" spans="1:13" s="21" customFormat="1" x14ac:dyDescent="0.25">
      <c r="A695" s="22" t="s">
        <v>8</v>
      </c>
      <c r="B695" s="18" t="str">
        <f>"055156"</f>
        <v>055156</v>
      </c>
      <c r="C695" s="19" t="s">
        <v>700</v>
      </c>
      <c r="D695" s="19" t="s">
        <v>16129</v>
      </c>
      <c r="E695" s="19" t="s">
        <v>31143</v>
      </c>
      <c r="F695" s="19" t="s">
        <v>35978</v>
      </c>
      <c r="G695" s="18" t="str">
        <f>"94610"</f>
        <v>94610</v>
      </c>
      <c r="H695" s="19" t="s">
        <v>31290</v>
      </c>
      <c r="I695" s="20">
        <v>16.07</v>
      </c>
      <c r="J695" s="44" t="s">
        <v>8</v>
      </c>
      <c r="K695" s="23" t="s">
        <v>8</v>
      </c>
      <c r="L695" s="23" t="s">
        <v>8</v>
      </c>
      <c r="M695" s="23" t="s">
        <v>8</v>
      </c>
    </row>
    <row r="696" spans="1:13" s="21" customFormat="1" x14ac:dyDescent="0.25">
      <c r="A696" s="22" t="s">
        <v>8</v>
      </c>
      <c r="B696" s="18" t="str">
        <f>"055157"</f>
        <v>055157</v>
      </c>
      <c r="C696" s="19" t="s">
        <v>701</v>
      </c>
      <c r="D696" s="19" t="s">
        <v>16130</v>
      </c>
      <c r="E696" s="19" t="s">
        <v>31109</v>
      </c>
      <c r="F696" s="19" t="s">
        <v>35978</v>
      </c>
      <c r="G696" s="18" t="str">
        <f>"90029"</f>
        <v>90029</v>
      </c>
      <c r="H696" s="19" t="s">
        <v>31109</v>
      </c>
      <c r="I696" s="20">
        <v>20.582000000000001</v>
      </c>
      <c r="J696" s="44" t="s">
        <v>8</v>
      </c>
      <c r="K696" s="23" t="s">
        <v>8</v>
      </c>
      <c r="L696" s="23" t="s">
        <v>8</v>
      </c>
      <c r="M696" s="23" t="s">
        <v>8</v>
      </c>
    </row>
    <row r="697" spans="1:13" s="21" customFormat="1" x14ac:dyDescent="0.25">
      <c r="A697" s="22" t="s">
        <v>8</v>
      </c>
      <c r="B697" s="18" t="str">
        <f>"055160"</f>
        <v>055160</v>
      </c>
      <c r="C697" s="19" t="s">
        <v>702</v>
      </c>
      <c r="D697" s="19" t="s">
        <v>16131</v>
      </c>
      <c r="E697" s="19" t="s">
        <v>31109</v>
      </c>
      <c r="F697" s="19" t="s">
        <v>35978</v>
      </c>
      <c r="G697" s="18" t="str">
        <f>"90035"</f>
        <v>90035</v>
      </c>
      <c r="H697" s="19" t="s">
        <v>31109</v>
      </c>
      <c r="I697" s="20">
        <v>19.029</v>
      </c>
      <c r="J697" s="44" t="s">
        <v>8</v>
      </c>
      <c r="K697" s="23" t="s">
        <v>8</v>
      </c>
      <c r="L697" s="23" t="s">
        <v>8</v>
      </c>
      <c r="M697" s="23" t="s">
        <v>8</v>
      </c>
    </row>
    <row r="698" spans="1:13" s="21" customFormat="1" x14ac:dyDescent="0.25">
      <c r="A698" s="22" t="s">
        <v>8</v>
      </c>
      <c r="B698" s="18" t="str">
        <f>"055161"</f>
        <v>055161</v>
      </c>
      <c r="C698" s="19" t="s">
        <v>703</v>
      </c>
      <c r="D698" s="19" t="s">
        <v>16132</v>
      </c>
      <c r="E698" s="19" t="s">
        <v>31109</v>
      </c>
      <c r="F698" s="19" t="s">
        <v>35978</v>
      </c>
      <c r="G698" s="18" t="str">
        <f>"90026"</f>
        <v>90026</v>
      </c>
      <c r="H698" s="19" t="s">
        <v>31109</v>
      </c>
      <c r="I698" s="20">
        <v>17.600999999999999</v>
      </c>
      <c r="J698" s="44" t="s">
        <v>8</v>
      </c>
      <c r="K698" s="23" t="s">
        <v>8</v>
      </c>
      <c r="L698" s="23" t="s">
        <v>8</v>
      </c>
      <c r="M698" s="23" t="s">
        <v>8</v>
      </c>
    </row>
    <row r="699" spans="1:13" s="21" customFormat="1" x14ac:dyDescent="0.25">
      <c r="A699" s="22" t="s">
        <v>8</v>
      </c>
      <c r="B699" s="18" t="str">
        <f>"055162"</f>
        <v>055162</v>
      </c>
      <c r="C699" s="19" t="s">
        <v>704</v>
      </c>
      <c r="D699" s="19" t="s">
        <v>16133</v>
      </c>
      <c r="E699" s="19" t="s">
        <v>31144</v>
      </c>
      <c r="F699" s="19" t="s">
        <v>35978</v>
      </c>
      <c r="G699" s="18" t="str">
        <f>"91754"</f>
        <v>91754</v>
      </c>
      <c r="H699" s="19" t="s">
        <v>31109</v>
      </c>
      <c r="I699" s="20">
        <v>19.010000000000002</v>
      </c>
      <c r="J699" s="44" t="s">
        <v>8</v>
      </c>
      <c r="K699" s="23" t="s">
        <v>8</v>
      </c>
      <c r="L699" s="23" t="s">
        <v>8</v>
      </c>
      <c r="M699" s="23" t="s">
        <v>8</v>
      </c>
    </row>
    <row r="700" spans="1:13" s="21" customFormat="1" x14ac:dyDescent="0.25">
      <c r="A700" s="22" t="s">
        <v>8</v>
      </c>
      <c r="B700" s="18" t="str">
        <f>"055163"</f>
        <v>055163</v>
      </c>
      <c r="C700" s="19" t="s">
        <v>705</v>
      </c>
      <c r="D700" s="19" t="s">
        <v>16134</v>
      </c>
      <c r="E700" s="19" t="s">
        <v>31109</v>
      </c>
      <c r="F700" s="19" t="s">
        <v>35978</v>
      </c>
      <c r="G700" s="18" t="str">
        <f>"90065"</f>
        <v>90065</v>
      </c>
      <c r="H700" s="19" t="s">
        <v>31109</v>
      </c>
      <c r="I700" s="20">
        <v>21.446000000000002</v>
      </c>
      <c r="J700" s="44" t="s">
        <v>8</v>
      </c>
      <c r="K700" s="23" t="s">
        <v>8</v>
      </c>
      <c r="L700" s="23" t="s">
        <v>8</v>
      </c>
      <c r="M700" s="23" t="s">
        <v>8</v>
      </c>
    </row>
    <row r="701" spans="1:13" s="21" customFormat="1" x14ac:dyDescent="0.25">
      <c r="A701" s="22" t="s">
        <v>8</v>
      </c>
      <c r="B701" s="18" t="str">
        <f>"055167"</f>
        <v>055167</v>
      </c>
      <c r="C701" s="19" t="s">
        <v>706</v>
      </c>
      <c r="D701" s="19" t="s">
        <v>16135</v>
      </c>
      <c r="E701" s="19" t="s">
        <v>31109</v>
      </c>
      <c r="F701" s="19" t="s">
        <v>35978</v>
      </c>
      <c r="G701" s="18" t="str">
        <f>"90037"</f>
        <v>90037</v>
      </c>
      <c r="H701" s="19" t="s">
        <v>31109</v>
      </c>
      <c r="I701" s="20">
        <v>18.687000000000001</v>
      </c>
      <c r="J701" s="44" t="s">
        <v>8</v>
      </c>
      <c r="K701" s="23" t="s">
        <v>8</v>
      </c>
      <c r="L701" s="23" t="s">
        <v>8</v>
      </c>
      <c r="M701" s="23" t="s">
        <v>8</v>
      </c>
    </row>
    <row r="702" spans="1:13" s="21" customFormat="1" x14ac:dyDescent="0.25">
      <c r="A702" s="22" t="s">
        <v>8</v>
      </c>
      <c r="B702" s="18" t="str">
        <f>"055168"</f>
        <v>055168</v>
      </c>
      <c r="C702" s="19" t="s">
        <v>707</v>
      </c>
      <c r="D702" s="19" t="s">
        <v>16136</v>
      </c>
      <c r="E702" s="19" t="s">
        <v>31145</v>
      </c>
      <c r="F702" s="19" t="s">
        <v>35978</v>
      </c>
      <c r="G702" s="18" t="str">
        <f>"90606"</f>
        <v>90606</v>
      </c>
      <c r="H702" s="19" t="s">
        <v>31109</v>
      </c>
      <c r="I702" s="20">
        <v>18.489000000000001</v>
      </c>
      <c r="J702" s="44" t="s">
        <v>8</v>
      </c>
      <c r="K702" s="23" t="s">
        <v>8</v>
      </c>
      <c r="L702" s="23" t="s">
        <v>8</v>
      </c>
      <c r="M702" s="23" t="s">
        <v>8</v>
      </c>
    </row>
    <row r="703" spans="1:13" s="21" customFormat="1" x14ac:dyDescent="0.25">
      <c r="A703" s="22" t="s">
        <v>8</v>
      </c>
      <c r="B703" s="18" t="str">
        <f>"055169"</f>
        <v>055169</v>
      </c>
      <c r="C703" s="19" t="s">
        <v>708</v>
      </c>
      <c r="D703" s="19" t="s">
        <v>16137</v>
      </c>
      <c r="E703" s="19" t="s">
        <v>31146</v>
      </c>
      <c r="F703" s="19" t="s">
        <v>35978</v>
      </c>
      <c r="G703" s="18" t="str">
        <f>"94112"</f>
        <v>94112</v>
      </c>
      <c r="H703" s="19" t="s">
        <v>31146</v>
      </c>
      <c r="I703" s="20">
        <v>18.5</v>
      </c>
      <c r="J703" s="44" t="s">
        <v>8</v>
      </c>
      <c r="K703" s="23" t="s">
        <v>8</v>
      </c>
      <c r="L703" s="23" t="s">
        <v>8</v>
      </c>
      <c r="M703" s="23" t="s">
        <v>8</v>
      </c>
    </row>
    <row r="704" spans="1:13" s="21" customFormat="1" x14ac:dyDescent="0.25">
      <c r="A704" s="22" t="s">
        <v>8</v>
      </c>
      <c r="B704" s="18" t="str">
        <f>"055170"</f>
        <v>055170</v>
      </c>
      <c r="C704" s="19" t="s">
        <v>709</v>
      </c>
      <c r="D704" s="19" t="s">
        <v>16138</v>
      </c>
      <c r="E704" s="19" t="s">
        <v>31113</v>
      </c>
      <c r="F704" s="19" t="s">
        <v>35978</v>
      </c>
      <c r="G704" s="18" t="str">
        <f>"90660"</f>
        <v>90660</v>
      </c>
      <c r="H704" s="19" t="s">
        <v>31109</v>
      </c>
      <c r="I704" s="20">
        <v>16.861000000000001</v>
      </c>
      <c r="J704" s="44" t="s">
        <v>8</v>
      </c>
      <c r="K704" s="23" t="s">
        <v>8</v>
      </c>
      <c r="L704" s="23" t="s">
        <v>8</v>
      </c>
      <c r="M704" s="23" t="s">
        <v>8</v>
      </c>
    </row>
    <row r="705" spans="1:13" s="21" customFormat="1" x14ac:dyDescent="0.25">
      <c r="A705" s="22" t="s">
        <v>8</v>
      </c>
      <c r="B705" s="18" t="str">
        <f>"055173"</f>
        <v>055173</v>
      </c>
      <c r="C705" s="19" t="s">
        <v>710</v>
      </c>
      <c r="D705" s="19" t="s">
        <v>16139</v>
      </c>
      <c r="E705" s="19" t="s">
        <v>31147</v>
      </c>
      <c r="F705" s="19" t="s">
        <v>35978</v>
      </c>
      <c r="G705" s="18" t="str">
        <f>"95630"</f>
        <v>95630</v>
      </c>
      <c r="H705" s="19" t="s">
        <v>31180</v>
      </c>
      <c r="I705" s="20">
        <v>20.177</v>
      </c>
      <c r="J705" s="44" t="s">
        <v>8</v>
      </c>
      <c r="K705" s="23" t="s">
        <v>8</v>
      </c>
      <c r="L705" s="23" t="s">
        <v>8</v>
      </c>
      <c r="M705" s="23" t="s">
        <v>8</v>
      </c>
    </row>
    <row r="706" spans="1:13" s="21" customFormat="1" x14ac:dyDescent="0.25">
      <c r="A706" s="22" t="s">
        <v>8</v>
      </c>
      <c r="B706" s="18" t="str">
        <f>"055175"</f>
        <v>055175</v>
      </c>
      <c r="C706" s="19" t="s">
        <v>711</v>
      </c>
      <c r="D706" s="19" t="s">
        <v>16140</v>
      </c>
      <c r="E706" s="19" t="s">
        <v>31146</v>
      </c>
      <c r="F706" s="19" t="s">
        <v>35978</v>
      </c>
      <c r="G706" s="18" t="str">
        <f>"94122"</f>
        <v>94122</v>
      </c>
      <c r="H706" s="19" t="s">
        <v>31146</v>
      </c>
      <c r="I706" s="20">
        <v>20.765000000000001</v>
      </c>
      <c r="J706" s="44" t="s">
        <v>8</v>
      </c>
      <c r="K706" s="23" t="s">
        <v>8</v>
      </c>
      <c r="L706" s="23" t="s">
        <v>8</v>
      </c>
      <c r="M706" s="23" t="s">
        <v>8</v>
      </c>
    </row>
    <row r="707" spans="1:13" s="21" customFormat="1" x14ac:dyDescent="0.25">
      <c r="A707" s="22" t="s">
        <v>8</v>
      </c>
      <c r="B707" s="18" t="str">
        <f>"055181"</f>
        <v>055181</v>
      </c>
      <c r="C707" s="19" t="s">
        <v>712</v>
      </c>
      <c r="D707" s="19" t="s">
        <v>16141</v>
      </c>
      <c r="E707" s="19" t="s">
        <v>31148</v>
      </c>
      <c r="F707" s="19" t="s">
        <v>35978</v>
      </c>
      <c r="G707" s="18" t="str">
        <f>"91770"</f>
        <v>91770</v>
      </c>
      <c r="H707" s="19" t="s">
        <v>31109</v>
      </c>
      <c r="I707" s="20">
        <v>18.143999999999998</v>
      </c>
      <c r="J707" s="44" t="s">
        <v>8</v>
      </c>
      <c r="K707" s="23" t="s">
        <v>8</v>
      </c>
      <c r="L707" s="23" t="s">
        <v>8</v>
      </c>
      <c r="M707" s="23" t="s">
        <v>8</v>
      </c>
    </row>
    <row r="708" spans="1:13" s="21" customFormat="1" x14ac:dyDescent="0.25">
      <c r="A708" s="22" t="s">
        <v>8</v>
      </c>
      <c r="B708" s="18" t="str">
        <f>"055182"</f>
        <v>055182</v>
      </c>
      <c r="C708" s="19" t="s">
        <v>713</v>
      </c>
      <c r="D708" s="19" t="s">
        <v>16142</v>
      </c>
      <c r="E708" s="19" t="s">
        <v>31149</v>
      </c>
      <c r="F708" s="19" t="s">
        <v>35978</v>
      </c>
      <c r="G708" s="18" t="str">
        <f>"91945"</f>
        <v>91945</v>
      </c>
      <c r="H708" s="19" t="s">
        <v>31176</v>
      </c>
      <c r="I708" s="20">
        <v>20.102</v>
      </c>
      <c r="J708" s="44" t="s">
        <v>8</v>
      </c>
      <c r="K708" s="23" t="s">
        <v>8</v>
      </c>
      <c r="L708" s="23" t="s">
        <v>8</v>
      </c>
      <c r="M708" s="23" t="s">
        <v>8</v>
      </c>
    </row>
    <row r="709" spans="1:13" s="21" customFormat="1" x14ac:dyDescent="0.25">
      <c r="A709" s="22" t="s">
        <v>8</v>
      </c>
      <c r="B709" s="18" t="str">
        <f>"055183"</f>
        <v>055183</v>
      </c>
      <c r="C709" s="19" t="s">
        <v>714</v>
      </c>
      <c r="D709" s="19" t="s">
        <v>16143</v>
      </c>
      <c r="E709" s="19" t="s">
        <v>31150</v>
      </c>
      <c r="F709" s="19" t="s">
        <v>35978</v>
      </c>
      <c r="G709" s="18" t="str">
        <f>"92354"</f>
        <v>92354</v>
      </c>
      <c r="H709" s="19" t="s">
        <v>31227</v>
      </c>
      <c r="I709" s="20">
        <v>21.324999999999999</v>
      </c>
      <c r="J709" s="44" t="s">
        <v>8</v>
      </c>
      <c r="K709" s="23" t="s">
        <v>8</v>
      </c>
      <c r="L709" s="23" t="s">
        <v>8</v>
      </c>
      <c r="M709" s="23" t="s">
        <v>8</v>
      </c>
    </row>
    <row r="710" spans="1:13" s="21" customFormat="1" x14ac:dyDescent="0.25">
      <c r="A710" s="22" t="s">
        <v>8</v>
      </c>
      <c r="B710" s="18" t="str">
        <f>"055185"</f>
        <v>055185</v>
      </c>
      <c r="C710" s="19" t="s">
        <v>715</v>
      </c>
      <c r="D710" s="19" t="s">
        <v>16144</v>
      </c>
      <c r="E710" s="19" t="s">
        <v>31101</v>
      </c>
      <c r="F710" s="19" t="s">
        <v>35978</v>
      </c>
      <c r="G710" s="18" t="str">
        <f>"95350"</f>
        <v>95350</v>
      </c>
      <c r="H710" s="19" t="s">
        <v>36085</v>
      </c>
      <c r="I710" s="20">
        <v>23.356999999999999</v>
      </c>
      <c r="J710" s="44" t="s">
        <v>8</v>
      </c>
      <c r="K710" s="23" t="s">
        <v>8</v>
      </c>
      <c r="L710" s="23" t="s">
        <v>8</v>
      </c>
      <c r="M710" s="23" t="s">
        <v>8</v>
      </c>
    </row>
    <row r="711" spans="1:13" s="21" customFormat="1" x14ac:dyDescent="0.25">
      <c r="A711" s="22" t="s">
        <v>8</v>
      </c>
      <c r="B711" s="18" t="str">
        <f>"055187"</f>
        <v>055187</v>
      </c>
      <c r="C711" s="19" t="s">
        <v>716</v>
      </c>
      <c r="D711" s="19" t="s">
        <v>16145</v>
      </c>
      <c r="E711" s="19" t="s">
        <v>31151</v>
      </c>
      <c r="F711" s="19" t="s">
        <v>35978</v>
      </c>
      <c r="G711" s="18" t="str">
        <f>"91706"</f>
        <v>91706</v>
      </c>
      <c r="H711" s="19" t="s">
        <v>31109</v>
      </c>
      <c r="I711" s="20">
        <v>21.199000000000002</v>
      </c>
      <c r="J711" s="44" t="s">
        <v>8</v>
      </c>
      <c r="K711" s="23" t="s">
        <v>8</v>
      </c>
      <c r="L711" s="23" t="s">
        <v>8</v>
      </c>
      <c r="M711" s="23" t="s">
        <v>8</v>
      </c>
    </row>
    <row r="712" spans="1:13" s="21" customFormat="1" x14ac:dyDescent="0.25">
      <c r="A712" s="22" t="s">
        <v>8</v>
      </c>
      <c r="B712" s="18" t="str">
        <f>"055188"</f>
        <v>055188</v>
      </c>
      <c r="C712" s="19" t="s">
        <v>717</v>
      </c>
      <c r="D712" s="19" t="s">
        <v>16146</v>
      </c>
      <c r="E712" s="19" t="s">
        <v>31152</v>
      </c>
      <c r="F712" s="19" t="s">
        <v>35978</v>
      </c>
      <c r="G712" s="18" t="str">
        <f>"94403"</f>
        <v>94403</v>
      </c>
      <c r="H712" s="19" t="s">
        <v>31152</v>
      </c>
      <c r="I712" s="20">
        <v>16.97</v>
      </c>
      <c r="J712" s="44" t="s">
        <v>8</v>
      </c>
      <c r="K712" s="23" t="s">
        <v>8</v>
      </c>
      <c r="L712" s="23" t="s">
        <v>8</v>
      </c>
      <c r="M712" s="23" t="s">
        <v>8</v>
      </c>
    </row>
    <row r="713" spans="1:13" s="21" customFormat="1" x14ac:dyDescent="0.25">
      <c r="A713" s="22" t="s">
        <v>8</v>
      </c>
      <c r="B713" s="18" t="str">
        <f>"055189"</f>
        <v>055189</v>
      </c>
      <c r="C713" s="19" t="s">
        <v>718</v>
      </c>
      <c r="D713" s="19" t="s">
        <v>16147</v>
      </c>
      <c r="E713" s="19" t="s">
        <v>31103</v>
      </c>
      <c r="F713" s="19" t="s">
        <v>35978</v>
      </c>
      <c r="G713" s="18" t="str">
        <f>"94533"</f>
        <v>94533</v>
      </c>
      <c r="H713" s="19" t="s">
        <v>36086</v>
      </c>
      <c r="I713" s="20">
        <v>20.341999999999999</v>
      </c>
      <c r="J713" s="44" t="s">
        <v>8</v>
      </c>
      <c r="K713" s="23" t="s">
        <v>8</v>
      </c>
      <c r="L713" s="23" t="s">
        <v>8</v>
      </c>
      <c r="M713" s="23" t="s">
        <v>8</v>
      </c>
    </row>
    <row r="714" spans="1:13" s="21" customFormat="1" x14ac:dyDescent="0.25">
      <c r="A714" s="22" t="s">
        <v>8</v>
      </c>
      <c r="B714" s="18" t="str">
        <f>"055191"</f>
        <v>055191</v>
      </c>
      <c r="C714" s="19" t="s">
        <v>719</v>
      </c>
      <c r="D714" s="19" t="s">
        <v>16148</v>
      </c>
      <c r="E714" s="19" t="s">
        <v>31140</v>
      </c>
      <c r="F714" s="19" t="s">
        <v>35978</v>
      </c>
      <c r="G714" s="18" t="str">
        <f>"93637"</f>
        <v>93637</v>
      </c>
      <c r="H714" s="19" t="s">
        <v>31140</v>
      </c>
      <c r="I714" s="20">
        <v>20.832999999999998</v>
      </c>
      <c r="J714" s="44" t="s">
        <v>8</v>
      </c>
      <c r="K714" s="23" t="s">
        <v>8</v>
      </c>
      <c r="L714" s="23" t="s">
        <v>8</v>
      </c>
      <c r="M714" s="23" t="s">
        <v>8</v>
      </c>
    </row>
    <row r="715" spans="1:13" s="21" customFormat="1" x14ac:dyDescent="0.25">
      <c r="A715" s="22" t="s">
        <v>8</v>
      </c>
      <c r="B715" s="18" t="str">
        <f>"055192"</f>
        <v>055192</v>
      </c>
      <c r="C715" s="19" t="s">
        <v>720</v>
      </c>
      <c r="D715" s="19" t="s">
        <v>16149</v>
      </c>
      <c r="E715" s="19" t="s">
        <v>31153</v>
      </c>
      <c r="F715" s="19" t="s">
        <v>35978</v>
      </c>
      <c r="G715" s="18" t="str">
        <f>"91601"</f>
        <v>91601</v>
      </c>
      <c r="H715" s="19" t="s">
        <v>31109</v>
      </c>
      <c r="I715" s="20">
        <v>19.689</v>
      </c>
      <c r="J715" s="44" t="s">
        <v>8</v>
      </c>
      <c r="K715" s="23" t="s">
        <v>8</v>
      </c>
      <c r="L715" s="23" t="s">
        <v>8</v>
      </c>
      <c r="M715" s="23" t="s">
        <v>8</v>
      </c>
    </row>
    <row r="716" spans="1:13" s="21" customFormat="1" x14ac:dyDescent="0.25">
      <c r="A716" s="22" t="s">
        <v>8</v>
      </c>
      <c r="B716" s="18" t="str">
        <f>"055196"</f>
        <v>055196</v>
      </c>
      <c r="C716" s="19" t="s">
        <v>721</v>
      </c>
      <c r="D716" s="19" t="s">
        <v>16150</v>
      </c>
      <c r="E716" s="19" t="s">
        <v>31154</v>
      </c>
      <c r="F716" s="19" t="s">
        <v>35978</v>
      </c>
      <c r="G716" s="18" t="str">
        <f>"90230"</f>
        <v>90230</v>
      </c>
      <c r="H716" s="19" t="s">
        <v>31109</v>
      </c>
      <c r="I716" s="20">
        <v>18.523</v>
      </c>
      <c r="J716" s="44" t="s">
        <v>8</v>
      </c>
      <c r="K716" s="23" t="s">
        <v>8</v>
      </c>
      <c r="L716" s="23" t="s">
        <v>8</v>
      </c>
      <c r="M716" s="23" t="s">
        <v>8</v>
      </c>
    </row>
    <row r="717" spans="1:13" s="21" customFormat="1" x14ac:dyDescent="0.25">
      <c r="A717" s="22" t="s">
        <v>8</v>
      </c>
      <c r="B717" s="18" t="str">
        <f>"055199"</f>
        <v>055199</v>
      </c>
      <c r="C717" s="19" t="s">
        <v>722</v>
      </c>
      <c r="D717" s="19" t="s">
        <v>16151</v>
      </c>
      <c r="E717" s="19" t="s">
        <v>31155</v>
      </c>
      <c r="F717" s="19" t="s">
        <v>35978</v>
      </c>
      <c r="G717" s="18" t="str">
        <f>"93720"</f>
        <v>93720</v>
      </c>
      <c r="H717" s="19" t="s">
        <v>31155</v>
      </c>
      <c r="I717" s="20">
        <v>20.672000000000001</v>
      </c>
      <c r="J717" s="44" t="s">
        <v>8</v>
      </c>
      <c r="K717" s="23" t="s">
        <v>8</v>
      </c>
      <c r="L717" s="23" t="s">
        <v>8</v>
      </c>
      <c r="M717" s="23" t="s">
        <v>8</v>
      </c>
    </row>
    <row r="718" spans="1:13" s="21" customFormat="1" x14ac:dyDescent="0.25">
      <c r="A718" s="22" t="s">
        <v>8</v>
      </c>
      <c r="B718" s="18" t="str">
        <f>"055201"</f>
        <v>055201</v>
      </c>
      <c r="C718" s="19" t="s">
        <v>723</v>
      </c>
      <c r="D718" s="19" t="s">
        <v>16152</v>
      </c>
      <c r="E718" s="19" t="s">
        <v>31110</v>
      </c>
      <c r="F718" s="19" t="s">
        <v>35978</v>
      </c>
      <c r="G718" s="18" t="str">
        <f>"95207"</f>
        <v>95207</v>
      </c>
      <c r="H718" s="19" t="s">
        <v>36087</v>
      </c>
      <c r="I718" s="20">
        <v>20.035</v>
      </c>
      <c r="J718" s="44" t="s">
        <v>8</v>
      </c>
      <c r="K718" s="23" t="s">
        <v>8</v>
      </c>
      <c r="L718" s="23" t="s">
        <v>8</v>
      </c>
      <c r="M718" s="23" t="s">
        <v>8</v>
      </c>
    </row>
    <row r="719" spans="1:13" s="21" customFormat="1" x14ac:dyDescent="0.25">
      <c r="A719" s="22" t="s">
        <v>8</v>
      </c>
      <c r="B719" s="18" t="str">
        <f>"055202"</f>
        <v>055202</v>
      </c>
      <c r="C719" s="19" t="s">
        <v>724</v>
      </c>
      <c r="D719" s="19" t="s">
        <v>16153</v>
      </c>
      <c r="E719" s="19" t="s">
        <v>31131</v>
      </c>
      <c r="F719" s="19" t="s">
        <v>35978</v>
      </c>
      <c r="G719" s="18" t="str">
        <f>"91731"</f>
        <v>91731</v>
      </c>
      <c r="H719" s="19" t="s">
        <v>31109</v>
      </c>
      <c r="I719" s="20">
        <v>19.100999999999999</v>
      </c>
      <c r="J719" s="44" t="s">
        <v>8</v>
      </c>
      <c r="K719" s="23" t="s">
        <v>8</v>
      </c>
      <c r="L719" s="23" t="s">
        <v>8</v>
      </c>
      <c r="M719" s="23" t="s">
        <v>8</v>
      </c>
    </row>
    <row r="720" spans="1:13" s="21" customFormat="1" x14ac:dyDescent="0.25">
      <c r="A720" s="22" t="s">
        <v>8</v>
      </c>
      <c r="B720" s="18" t="str">
        <f>"055203"</f>
        <v>055203</v>
      </c>
      <c r="C720" s="19" t="s">
        <v>725</v>
      </c>
      <c r="D720" s="19" t="s">
        <v>16154</v>
      </c>
      <c r="E720" s="19" t="s">
        <v>31156</v>
      </c>
      <c r="F720" s="19" t="s">
        <v>35978</v>
      </c>
      <c r="G720" s="18" t="str">
        <f>"91803"</f>
        <v>91803</v>
      </c>
      <c r="H720" s="19" t="s">
        <v>31109</v>
      </c>
      <c r="I720" s="20">
        <v>19.677</v>
      </c>
      <c r="J720" s="44" t="s">
        <v>8</v>
      </c>
      <c r="K720" s="23" t="s">
        <v>8</v>
      </c>
      <c r="L720" s="23" t="s">
        <v>8</v>
      </c>
      <c r="M720" s="23" t="s">
        <v>8</v>
      </c>
    </row>
    <row r="721" spans="1:13" s="21" customFormat="1" x14ac:dyDescent="0.25">
      <c r="A721" s="22" t="s">
        <v>8</v>
      </c>
      <c r="B721" s="18" t="str">
        <f>"055204"</f>
        <v>055204</v>
      </c>
      <c r="C721" s="19" t="s">
        <v>726</v>
      </c>
      <c r="D721" s="19" t="s">
        <v>16155</v>
      </c>
      <c r="E721" s="19" t="s">
        <v>31155</v>
      </c>
      <c r="F721" s="19" t="s">
        <v>35978</v>
      </c>
      <c r="G721" s="18" t="str">
        <f>"93726"</f>
        <v>93726</v>
      </c>
      <c r="H721" s="19" t="s">
        <v>31155</v>
      </c>
      <c r="I721" s="20">
        <v>22.102</v>
      </c>
      <c r="J721" s="44" t="s">
        <v>8</v>
      </c>
      <c r="K721" s="23" t="s">
        <v>8</v>
      </c>
      <c r="L721" s="23" t="s">
        <v>8</v>
      </c>
      <c r="M721" s="23" t="s">
        <v>8</v>
      </c>
    </row>
    <row r="722" spans="1:13" s="21" customFormat="1" x14ac:dyDescent="0.25">
      <c r="A722" s="22" t="s">
        <v>8</v>
      </c>
      <c r="B722" s="18" t="str">
        <f>"055206"</f>
        <v>055206</v>
      </c>
      <c r="C722" s="19" t="s">
        <v>727</v>
      </c>
      <c r="D722" s="19" t="s">
        <v>16156</v>
      </c>
      <c r="E722" s="19" t="s">
        <v>31157</v>
      </c>
      <c r="F722" s="19" t="s">
        <v>35978</v>
      </c>
      <c r="G722" s="18" t="str">
        <f>"92707"</f>
        <v>92707</v>
      </c>
      <c r="H722" s="19" t="s">
        <v>31169</v>
      </c>
      <c r="I722" s="20">
        <v>19.908000000000001</v>
      </c>
      <c r="J722" s="44" t="s">
        <v>8</v>
      </c>
      <c r="K722" s="23" t="s">
        <v>8</v>
      </c>
      <c r="L722" s="23" t="s">
        <v>8</v>
      </c>
      <c r="M722" s="23" t="s">
        <v>8</v>
      </c>
    </row>
    <row r="723" spans="1:13" s="21" customFormat="1" x14ac:dyDescent="0.25">
      <c r="A723" s="22" t="s">
        <v>8</v>
      </c>
      <c r="B723" s="18" t="str">
        <f>"055208"</f>
        <v>055208</v>
      </c>
      <c r="C723" s="19" t="s">
        <v>728</v>
      </c>
      <c r="D723" s="19" t="s">
        <v>16157</v>
      </c>
      <c r="E723" s="19" t="s">
        <v>31100</v>
      </c>
      <c r="F723" s="19" t="s">
        <v>35978</v>
      </c>
      <c r="G723" s="18" t="str">
        <f>"95503"</f>
        <v>95503</v>
      </c>
      <c r="H723" s="19" t="s">
        <v>32530</v>
      </c>
      <c r="I723" s="20">
        <v>14.198</v>
      </c>
      <c r="J723" s="44" t="s">
        <v>8</v>
      </c>
      <c r="K723" s="23" t="s">
        <v>8</v>
      </c>
      <c r="L723" s="23" t="s">
        <v>8</v>
      </c>
      <c r="M723" s="23" t="s">
        <v>8</v>
      </c>
    </row>
    <row r="724" spans="1:13" s="21" customFormat="1" x14ac:dyDescent="0.25">
      <c r="A724" s="22" t="s">
        <v>8</v>
      </c>
      <c r="B724" s="18" t="str">
        <f>"055210"</f>
        <v>055210</v>
      </c>
      <c r="C724" s="19" t="s">
        <v>729</v>
      </c>
      <c r="D724" s="19" t="s">
        <v>16158</v>
      </c>
      <c r="E724" s="19" t="s">
        <v>31158</v>
      </c>
      <c r="F724" s="19" t="s">
        <v>35978</v>
      </c>
      <c r="G724" s="18" t="str">
        <f>"94022"</f>
        <v>94022</v>
      </c>
      <c r="H724" s="19" t="s">
        <v>31241</v>
      </c>
      <c r="I724" s="20">
        <v>19.626000000000001</v>
      </c>
      <c r="J724" s="44" t="s">
        <v>8</v>
      </c>
      <c r="K724" s="23" t="s">
        <v>8</v>
      </c>
      <c r="L724" s="23" t="s">
        <v>8</v>
      </c>
      <c r="M724" s="23" t="s">
        <v>8</v>
      </c>
    </row>
    <row r="725" spans="1:13" s="21" customFormat="1" x14ac:dyDescent="0.25">
      <c r="A725" s="22" t="s">
        <v>8</v>
      </c>
      <c r="B725" s="18" t="str">
        <f>"055211"</f>
        <v>055211</v>
      </c>
      <c r="C725" s="19" t="s">
        <v>730</v>
      </c>
      <c r="D725" s="19" t="s">
        <v>16159</v>
      </c>
      <c r="E725" s="19" t="s">
        <v>31159</v>
      </c>
      <c r="F725" s="19" t="s">
        <v>35978</v>
      </c>
      <c r="G725" s="18" t="str">
        <f>"94087"</f>
        <v>94087</v>
      </c>
      <c r="H725" s="19" t="s">
        <v>31241</v>
      </c>
      <c r="I725" s="20">
        <v>19.859000000000002</v>
      </c>
      <c r="J725" s="44" t="s">
        <v>8</v>
      </c>
      <c r="K725" s="23" t="s">
        <v>8</v>
      </c>
      <c r="L725" s="23" t="s">
        <v>8</v>
      </c>
      <c r="M725" s="23" t="s">
        <v>8</v>
      </c>
    </row>
    <row r="726" spans="1:13" s="21" customFormat="1" x14ac:dyDescent="0.25">
      <c r="A726" s="22" t="s">
        <v>8</v>
      </c>
      <c r="B726" s="18" t="str">
        <f>"055212"</f>
        <v>055212</v>
      </c>
      <c r="C726" s="19" t="s">
        <v>731</v>
      </c>
      <c r="D726" s="19" t="s">
        <v>16160</v>
      </c>
      <c r="E726" s="19" t="s">
        <v>31160</v>
      </c>
      <c r="F726" s="19" t="s">
        <v>35978</v>
      </c>
      <c r="G726" s="18" t="str">
        <f>"94550"</f>
        <v>94550</v>
      </c>
      <c r="H726" s="19" t="s">
        <v>31290</v>
      </c>
      <c r="I726" s="20">
        <v>17.826000000000001</v>
      </c>
      <c r="J726" s="44" t="s">
        <v>8</v>
      </c>
      <c r="K726" s="23" t="s">
        <v>8</v>
      </c>
      <c r="L726" s="23" t="s">
        <v>8</v>
      </c>
      <c r="M726" s="23" t="s">
        <v>8</v>
      </c>
    </row>
    <row r="727" spans="1:13" s="21" customFormat="1" x14ac:dyDescent="0.25">
      <c r="A727" s="22" t="s">
        <v>8</v>
      </c>
      <c r="B727" s="18" t="str">
        <f>"055213"</f>
        <v>055213</v>
      </c>
      <c r="C727" s="19" t="s">
        <v>732</v>
      </c>
      <c r="D727" s="19" t="s">
        <v>16161</v>
      </c>
      <c r="E727" s="19" t="s">
        <v>31161</v>
      </c>
      <c r="F727" s="19" t="s">
        <v>35978</v>
      </c>
      <c r="G727" s="18" t="str">
        <f>"92376"</f>
        <v>92376</v>
      </c>
      <c r="H727" s="19" t="s">
        <v>31227</v>
      </c>
      <c r="I727" s="20">
        <v>17.588999999999999</v>
      </c>
      <c r="J727" s="44" t="s">
        <v>8</v>
      </c>
      <c r="K727" s="23" t="s">
        <v>8</v>
      </c>
      <c r="L727" s="23" t="s">
        <v>8</v>
      </c>
      <c r="M727" s="23" t="s">
        <v>8</v>
      </c>
    </row>
    <row r="728" spans="1:13" s="21" customFormat="1" x14ac:dyDescent="0.25">
      <c r="A728" s="22" t="s">
        <v>8</v>
      </c>
      <c r="B728" s="18" t="str">
        <f>"055215"</f>
        <v>055215</v>
      </c>
      <c r="C728" s="19" t="s">
        <v>733</v>
      </c>
      <c r="D728" s="19" t="s">
        <v>16162</v>
      </c>
      <c r="E728" s="19" t="s">
        <v>31143</v>
      </c>
      <c r="F728" s="19" t="s">
        <v>35978</v>
      </c>
      <c r="G728" s="18" t="str">
        <f>"94609"</f>
        <v>94609</v>
      </c>
      <c r="H728" s="19" t="s">
        <v>31290</v>
      </c>
      <c r="I728" s="20">
        <v>18.041</v>
      </c>
      <c r="J728" s="44" t="s">
        <v>8</v>
      </c>
      <c r="K728" s="23" t="s">
        <v>8</v>
      </c>
      <c r="L728" s="23" t="s">
        <v>8</v>
      </c>
      <c r="M728" s="23" t="s">
        <v>8</v>
      </c>
    </row>
    <row r="729" spans="1:13" s="21" customFormat="1" x14ac:dyDescent="0.25">
      <c r="A729" s="22" t="s">
        <v>8</v>
      </c>
      <c r="B729" s="18" t="str">
        <f>"055222"</f>
        <v>055222</v>
      </c>
      <c r="C729" s="19" t="s">
        <v>734</v>
      </c>
      <c r="D729" s="19" t="s">
        <v>16163</v>
      </c>
      <c r="E729" s="19" t="s">
        <v>31162</v>
      </c>
      <c r="F729" s="19" t="s">
        <v>35978</v>
      </c>
      <c r="G729" s="18" t="str">
        <f>"94591"</f>
        <v>94591</v>
      </c>
      <c r="H729" s="19" t="s">
        <v>36086</v>
      </c>
      <c r="I729" s="20">
        <v>19.346</v>
      </c>
      <c r="J729" s="44" t="s">
        <v>8</v>
      </c>
      <c r="K729" s="23" t="s">
        <v>8</v>
      </c>
      <c r="L729" s="23" t="s">
        <v>8</v>
      </c>
      <c r="M729" s="23" t="s">
        <v>8</v>
      </c>
    </row>
    <row r="730" spans="1:13" s="21" customFormat="1" x14ac:dyDescent="0.25">
      <c r="A730" s="22" t="s">
        <v>8</v>
      </c>
      <c r="B730" s="18" t="str">
        <f>"055223"</f>
        <v>055223</v>
      </c>
      <c r="C730" s="19" t="s">
        <v>735</v>
      </c>
      <c r="D730" s="19" t="s">
        <v>16164</v>
      </c>
      <c r="E730" s="19" t="s">
        <v>31163</v>
      </c>
      <c r="F730" s="19" t="s">
        <v>35978</v>
      </c>
      <c r="G730" s="18" t="str">
        <f>"92543"</f>
        <v>92543</v>
      </c>
      <c r="H730" s="19" t="s">
        <v>31112</v>
      </c>
      <c r="I730" s="20">
        <v>20.658000000000001</v>
      </c>
      <c r="J730" s="44" t="s">
        <v>8</v>
      </c>
      <c r="K730" s="23" t="s">
        <v>8</v>
      </c>
      <c r="L730" s="23" t="s">
        <v>8</v>
      </c>
      <c r="M730" s="23" t="s">
        <v>8</v>
      </c>
    </row>
    <row r="731" spans="1:13" s="21" customFormat="1" x14ac:dyDescent="0.25">
      <c r="A731" s="22" t="s">
        <v>8</v>
      </c>
      <c r="B731" s="18" t="str">
        <f>"055237"</f>
        <v>055237</v>
      </c>
      <c r="C731" s="19" t="s">
        <v>736</v>
      </c>
      <c r="D731" s="19" t="s">
        <v>16165</v>
      </c>
      <c r="E731" s="19" t="s">
        <v>31164</v>
      </c>
      <c r="F731" s="19" t="s">
        <v>35978</v>
      </c>
      <c r="G731" s="18" t="str">
        <f>"92627"</f>
        <v>92627</v>
      </c>
      <c r="H731" s="19" t="s">
        <v>31169</v>
      </c>
      <c r="I731" s="20">
        <v>19.439</v>
      </c>
      <c r="J731" s="44" t="s">
        <v>8</v>
      </c>
      <c r="K731" s="23" t="s">
        <v>8</v>
      </c>
      <c r="L731" s="23" t="s">
        <v>8</v>
      </c>
      <c r="M731" s="23" t="s">
        <v>8</v>
      </c>
    </row>
    <row r="732" spans="1:13" s="21" customFormat="1" x14ac:dyDescent="0.25">
      <c r="A732" s="22" t="s">
        <v>8</v>
      </c>
      <c r="B732" s="18" t="str">
        <f>"055239"</f>
        <v>055239</v>
      </c>
      <c r="C732" s="19" t="s">
        <v>737</v>
      </c>
      <c r="D732" s="19" t="s">
        <v>16166</v>
      </c>
      <c r="E732" s="19" t="s">
        <v>31165</v>
      </c>
      <c r="F732" s="19" t="s">
        <v>35978</v>
      </c>
      <c r="G732" s="18" t="str">
        <f>"94546"</f>
        <v>94546</v>
      </c>
      <c r="H732" s="19" t="s">
        <v>31290</v>
      </c>
      <c r="I732" s="20">
        <v>17.62</v>
      </c>
      <c r="J732" s="44" t="s">
        <v>8</v>
      </c>
      <c r="K732" s="23" t="s">
        <v>8</v>
      </c>
      <c r="L732" s="23" t="s">
        <v>8</v>
      </c>
      <c r="M732" s="23" t="s">
        <v>8</v>
      </c>
    </row>
    <row r="733" spans="1:13" s="21" customFormat="1" x14ac:dyDescent="0.25">
      <c r="A733" s="22" t="s">
        <v>8</v>
      </c>
      <c r="B733" s="18" t="str">
        <f>"055240"</f>
        <v>055240</v>
      </c>
      <c r="C733" s="19" t="s">
        <v>738</v>
      </c>
      <c r="D733" s="19" t="s">
        <v>16167</v>
      </c>
      <c r="E733" s="19" t="s">
        <v>31166</v>
      </c>
      <c r="F733" s="19" t="s">
        <v>35978</v>
      </c>
      <c r="G733" s="18" t="str">
        <f>"95076"</f>
        <v>95076</v>
      </c>
      <c r="H733" s="19" t="s">
        <v>31105</v>
      </c>
      <c r="I733" s="20">
        <v>21.181999999999999</v>
      </c>
      <c r="J733" s="44" t="s">
        <v>8</v>
      </c>
      <c r="K733" s="23" t="s">
        <v>8</v>
      </c>
      <c r="L733" s="23" t="s">
        <v>8</v>
      </c>
      <c r="M733" s="23" t="s">
        <v>8</v>
      </c>
    </row>
    <row r="734" spans="1:13" s="21" customFormat="1" x14ac:dyDescent="0.25">
      <c r="A734" s="22" t="s">
        <v>8</v>
      </c>
      <c r="B734" s="18" t="str">
        <f>"055241"</f>
        <v>055241</v>
      </c>
      <c r="C734" s="19" t="s">
        <v>739</v>
      </c>
      <c r="D734" s="19" t="s">
        <v>16168</v>
      </c>
      <c r="E734" s="19" t="s">
        <v>31141</v>
      </c>
      <c r="F734" s="19" t="s">
        <v>35978</v>
      </c>
      <c r="G734" s="18" t="str">
        <f>"94519"</f>
        <v>94519</v>
      </c>
      <c r="H734" s="19" t="s">
        <v>36088</v>
      </c>
      <c r="I734" s="20">
        <v>19.931999999999999</v>
      </c>
      <c r="J734" s="44" t="s">
        <v>8</v>
      </c>
      <c r="K734" s="23" t="s">
        <v>8</v>
      </c>
      <c r="L734" s="23" t="s">
        <v>8</v>
      </c>
      <c r="M734" s="23" t="s">
        <v>8</v>
      </c>
    </row>
    <row r="735" spans="1:13" s="21" customFormat="1" x14ac:dyDescent="0.25">
      <c r="A735" s="22" t="s">
        <v>8</v>
      </c>
      <c r="B735" s="18" t="str">
        <f>"055242"</f>
        <v>055242</v>
      </c>
      <c r="C735" s="19" t="s">
        <v>740</v>
      </c>
      <c r="D735" s="19" t="s">
        <v>16169</v>
      </c>
      <c r="E735" s="19" t="s">
        <v>31167</v>
      </c>
      <c r="F735" s="19" t="s">
        <v>35978</v>
      </c>
      <c r="G735" s="18" t="str">
        <f>"95240"</f>
        <v>95240</v>
      </c>
      <c r="H735" s="19" t="s">
        <v>36087</v>
      </c>
      <c r="I735" s="20">
        <v>20.571999999999999</v>
      </c>
      <c r="J735" s="44" t="s">
        <v>8</v>
      </c>
      <c r="K735" s="23" t="s">
        <v>8</v>
      </c>
      <c r="L735" s="23" t="s">
        <v>8</v>
      </c>
      <c r="M735" s="23" t="s">
        <v>8</v>
      </c>
    </row>
    <row r="736" spans="1:13" s="21" customFormat="1" x14ac:dyDescent="0.25">
      <c r="A736" s="22" t="s">
        <v>8</v>
      </c>
      <c r="B736" s="18" t="str">
        <f>"055247"</f>
        <v>055247</v>
      </c>
      <c r="C736" s="19" t="s">
        <v>741</v>
      </c>
      <c r="D736" s="19" t="s">
        <v>16170</v>
      </c>
      <c r="E736" s="19" t="s">
        <v>31104</v>
      </c>
      <c r="F736" s="19" t="s">
        <v>35978</v>
      </c>
      <c r="G736" s="18" t="str">
        <f>"91768"</f>
        <v>91768</v>
      </c>
      <c r="H736" s="19" t="s">
        <v>31109</v>
      </c>
      <c r="I736" s="20">
        <v>20.483000000000001</v>
      </c>
      <c r="J736" s="44" t="s">
        <v>8</v>
      </c>
      <c r="K736" s="23" t="s">
        <v>8</v>
      </c>
      <c r="L736" s="23" t="s">
        <v>8</v>
      </c>
      <c r="M736" s="23" t="s">
        <v>8</v>
      </c>
    </row>
    <row r="737" spans="1:13" s="21" customFormat="1" x14ac:dyDescent="0.25">
      <c r="A737" s="22" t="s">
        <v>8</v>
      </c>
      <c r="B737" s="18" t="str">
        <f>"055249"</f>
        <v>055249</v>
      </c>
      <c r="C737" s="19" t="s">
        <v>742</v>
      </c>
      <c r="D737" s="19" t="s">
        <v>16171</v>
      </c>
      <c r="E737" s="19" t="s">
        <v>31168</v>
      </c>
      <c r="F737" s="19" t="s">
        <v>35978</v>
      </c>
      <c r="G737" s="18" t="str">
        <f>"95340"</f>
        <v>95340</v>
      </c>
      <c r="H737" s="19" t="s">
        <v>31168</v>
      </c>
      <c r="I737" s="20">
        <v>20.190000000000001</v>
      </c>
      <c r="J737" s="44" t="s">
        <v>8</v>
      </c>
      <c r="K737" s="23" t="s">
        <v>8</v>
      </c>
      <c r="L737" s="23" t="s">
        <v>8</v>
      </c>
      <c r="M737" s="23" t="s">
        <v>8</v>
      </c>
    </row>
    <row r="738" spans="1:13" s="21" customFormat="1" x14ac:dyDescent="0.25">
      <c r="A738" s="22" t="s">
        <v>8</v>
      </c>
      <c r="B738" s="18" t="str">
        <f>"055252"</f>
        <v>055252</v>
      </c>
      <c r="C738" s="19" t="s">
        <v>743</v>
      </c>
      <c r="D738" s="19" t="s">
        <v>16172</v>
      </c>
      <c r="E738" s="19" t="s">
        <v>31169</v>
      </c>
      <c r="F738" s="19" t="s">
        <v>35978</v>
      </c>
      <c r="G738" s="18" t="str">
        <f>"92868"</f>
        <v>92868</v>
      </c>
      <c r="H738" s="19" t="s">
        <v>31169</v>
      </c>
      <c r="I738" s="20">
        <v>20.957999999999998</v>
      </c>
      <c r="J738" s="44" t="s">
        <v>8</v>
      </c>
      <c r="K738" s="23" t="s">
        <v>8</v>
      </c>
      <c r="L738" s="23" t="s">
        <v>8</v>
      </c>
      <c r="M738" s="23" t="s">
        <v>8</v>
      </c>
    </row>
    <row r="739" spans="1:13" s="21" customFormat="1" x14ac:dyDescent="0.25">
      <c r="A739" s="22" t="s">
        <v>8</v>
      </c>
      <c r="B739" s="18" t="str">
        <f>"055253"</f>
        <v>055253</v>
      </c>
      <c r="C739" s="19" t="s">
        <v>744</v>
      </c>
      <c r="D739" s="19" t="s">
        <v>16173</v>
      </c>
      <c r="E739" s="19" t="s">
        <v>31109</v>
      </c>
      <c r="F739" s="19" t="s">
        <v>35978</v>
      </c>
      <c r="G739" s="18" t="str">
        <f>"90018"</f>
        <v>90018</v>
      </c>
      <c r="H739" s="19" t="s">
        <v>31109</v>
      </c>
      <c r="I739" s="20">
        <v>22.56</v>
      </c>
      <c r="J739" s="44" t="s">
        <v>8</v>
      </c>
      <c r="K739" s="23" t="s">
        <v>8</v>
      </c>
      <c r="L739" s="23" t="s">
        <v>8</v>
      </c>
      <c r="M739" s="23" t="s">
        <v>8</v>
      </c>
    </row>
    <row r="740" spans="1:13" s="21" customFormat="1" x14ac:dyDescent="0.25">
      <c r="A740" s="22" t="s">
        <v>8</v>
      </c>
      <c r="B740" s="18" t="str">
        <f>"055255"</f>
        <v>055255</v>
      </c>
      <c r="C740" s="19" t="s">
        <v>745</v>
      </c>
      <c r="D740" s="19" t="s">
        <v>16174</v>
      </c>
      <c r="E740" s="19" t="s">
        <v>31170</v>
      </c>
      <c r="F740" s="19" t="s">
        <v>35978</v>
      </c>
      <c r="G740" s="18" t="str">
        <f>"92879"</f>
        <v>92879</v>
      </c>
      <c r="H740" s="19" t="s">
        <v>31112</v>
      </c>
      <c r="I740" s="20">
        <v>20.588999999999999</v>
      </c>
      <c r="J740" s="44" t="s">
        <v>8</v>
      </c>
      <c r="K740" s="23" t="s">
        <v>8</v>
      </c>
      <c r="L740" s="23" t="s">
        <v>8</v>
      </c>
      <c r="M740" s="23" t="s">
        <v>8</v>
      </c>
    </row>
    <row r="741" spans="1:13" s="21" customFormat="1" x14ac:dyDescent="0.25">
      <c r="A741" s="22" t="s">
        <v>8</v>
      </c>
      <c r="B741" s="18" t="str">
        <f>"055256"</f>
        <v>055256</v>
      </c>
      <c r="C741" s="19" t="s">
        <v>746</v>
      </c>
      <c r="D741" s="19" t="s">
        <v>16175</v>
      </c>
      <c r="E741" s="19" t="s">
        <v>31171</v>
      </c>
      <c r="F741" s="19" t="s">
        <v>35978</v>
      </c>
      <c r="G741" s="18" t="str">
        <f>"93436"</f>
        <v>93436</v>
      </c>
      <c r="H741" s="19" t="s">
        <v>31246</v>
      </c>
      <c r="I741" s="20">
        <v>19.259</v>
      </c>
      <c r="J741" s="44" t="s">
        <v>8</v>
      </c>
      <c r="K741" s="23" t="s">
        <v>8</v>
      </c>
      <c r="L741" s="23" t="s">
        <v>8</v>
      </c>
      <c r="M741" s="23" t="s">
        <v>8</v>
      </c>
    </row>
    <row r="742" spans="1:13" s="21" customFormat="1" x14ac:dyDescent="0.25">
      <c r="A742" s="22" t="s">
        <v>8</v>
      </c>
      <c r="B742" s="18" t="str">
        <f>"055258"</f>
        <v>055258</v>
      </c>
      <c r="C742" s="19" t="s">
        <v>747</v>
      </c>
      <c r="D742" s="19" t="s">
        <v>16176</v>
      </c>
      <c r="E742" s="19" t="s">
        <v>31155</v>
      </c>
      <c r="F742" s="19" t="s">
        <v>35978</v>
      </c>
      <c r="G742" s="18" t="str">
        <f>"93703"</f>
        <v>93703</v>
      </c>
      <c r="H742" s="19" t="s">
        <v>31155</v>
      </c>
      <c r="I742" s="20">
        <v>19.381</v>
      </c>
      <c r="J742" s="44" t="s">
        <v>8</v>
      </c>
      <c r="K742" s="23" t="s">
        <v>8</v>
      </c>
      <c r="L742" s="23" t="s">
        <v>8</v>
      </c>
      <c r="M742" s="23" t="s">
        <v>8</v>
      </c>
    </row>
    <row r="743" spans="1:13" s="21" customFormat="1" x14ac:dyDescent="0.25">
      <c r="A743" s="22" t="s">
        <v>8</v>
      </c>
      <c r="B743" s="18" t="str">
        <f>"055259"</f>
        <v>055259</v>
      </c>
      <c r="C743" s="19" t="s">
        <v>748</v>
      </c>
      <c r="D743" s="19" t="s">
        <v>16177</v>
      </c>
      <c r="E743" s="19" t="s">
        <v>31137</v>
      </c>
      <c r="F743" s="19" t="s">
        <v>35978</v>
      </c>
      <c r="G743" s="18" t="str">
        <f>"91010"</f>
        <v>91010</v>
      </c>
      <c r="H743" s="19" t="s">
        <v>31109</v>
      </c>
      <c r="I743" s="20">
        <v>17.577000000000002</v>
      </c>
      <c r="J743" s="44" t="s">
        <v>8</v>
      </c>
      <c r="K743" s="23" t="s">
        <v>8</v>
      </c>
      <c r="L743" s="23" t="s">
        <v>8</v>
      </c>
      <c r="M743" s="23" t="s">
        <v>8</v>
      </c>
    </row>
    <row r="744" spans="1:13" s="21" customFormat="1" x14ac:dyDescent="0.25">
      <c r="A744" s="22" t="s">
        <v>8</v>
      </c>
      <c r="B744" s="18" t="str">
        <f>"055261"</f>
        <v>055261</v>
      </c>
      <c r="C744" s="19" t="s">
        <v>749</v>
      </c>
      <c r="D744" s="19" t="s">
        <v>16178</v>
      </c>
      <c r="E744" s="19" t="s">
        <v>31172</v>
      </c>
      <c r="F744" s="19" t="s">
        <v>35978</v>
      </c>
      <c r="G744" s="18" t="str">
        <f>"91711"</f>
        <v>91711</v>
      </c>
      <c r="H744" s="19" t="s">
        <v>31109</v>
      </c>
      <c r="I744" s="20">
        <v>17.327000000000002</v>
      </c>
      <c r="J744" s="44" t="s">
        <v>8</v>
      </c>
      <c r="K744" s="23" t="s">
        <v>8</v>
      </c>
      <c r="L744" s="23" t="s">
        <v>8</v>
      </c>
      <c r="M744" s="23" t="s">
        <v>8</v>
      </c>
    </row>
    <row r="745" spans="1:13" s="21" customFormat="1" x14ac:dyDescent="0.25">
      <c r="A745" s="22" t="s">
        <v>8</v>
      </c>
      <c r="B745" s="18" t="str">
        <f>"055262"</f>
        <v>055262</v>
      </c>
      <c r="C745" s="19" t="s">
        <v>750</v>
      </c>
      <c r="D745" s="19" t="s">
        <v>16179</v>
      </c>
      <c r="E745" s="19" t="s">
        <v>31173</v>
      </c>
      <c r="F745" s="19" t="s">
        <v>35978</v>
      </c>
      <c r="G745" s="18" t="str">
        <f>"90717"</f>
        <v>90717</v>
      </c>
      <c r="H745" s="19" t="s">
        <v>31109</v>
      </c>
      <c r="I745" s="20">
        <v>16.039000000000001</v>
      </c>
      <c r="J745" s="44" t="s">
        <v>8</v>
      </c>
      <c r="K745" s="23" t="s">
        <v>8</v>
      </c>
      <c r="L745" s="23" t="s">
        <v>8</v>
      </c>
      <c r="M745" s="23" t="s">
        <v>8</v>
      </c>
    </row>
    <row r="746" spans="1:13" s="21" customFormat="1" x14ac:dyDescent="0.25">
      <c r="A746" s="22" t="s">
        <v>8</v>
      </c>
      <c r="B746" s="18" t="str">
        <f>"055268"</f>
        <v>055268</v>
      </c>
      <c r="C746" s="19" t="s">
        <v>751</v>
      </c>
      <c r="D746" s="19" t="s">
        <v>16180</v>
      </c>
      <c r="E746" s="19" t="s">
        <v>31174</v>
      </c>
      <c r="F746" s="19" t="s">
        <v>35978</v>
      </c>
      <c r="G746" s="18" t="str">
        <f>"95476"</f>
        <v>95476</v>
      </c>
      <c r="H746" s="19" t="s">
        <v>31174</v>
      </c>
      <c r="I746" s="20">
        <v>18.545000000000002</v>
      </c>
      <c r="J746" s="44" t="s">
        <v>8</v>
      </c>
      <c r="K746" s="23" t="s">
        <v>8</v>
      </c>
      <c r="L746" s="23" t="s">
        <v>8</v>
      </c>
      <c r="M746" s="23" t="s">
        <v>8</v>
      </c>
    </row>
    <row r="747" spans="1:13" s="21" customFormat="1" x14ac:dyDescent="0.25">
      <c r="A747" s="22" t="s">
        <v>8</v>
      </c>
      <c r="B747" s="18" t="str">
        <f>"055271"</f>
        <v>055271</v>
      </c>
      <c r="C747" s="19" t="s">
        <v>752</v>
      </c>
      <c r="D747" s="19" t="s">
        <v>16181</v>
      </c>
      <c r="E747" s="19" t="s">
        <v>31168</v>
      </c>
      <c r="F747" s="19" t="s">
        <v>35978</v>
      </c>
      <c r="G747" s="18" t="str">
        <f>"95340"</f>
        <v>95340</v>
      </c>
      <c r="H747" s="19" t="s">
        <v>31168</v>
      </c>
      <c r="I747" s="20">
        <v>18.777999999999999</v>
      </c>
      <c r="J747" s="44" t="s">
        <v>8</v>
      </c>
      <c r="K747" s="23" t="s">
        <v>8</v>
      </c>
      <c r="L747" s="23" t="s">
        <v>8</v>
      </c>
      <c r="M747" s="23" t="s">
        <v>8</v>
      </c>
    </row>
    <row r="748" spans="1:13" s="21" customFormat="1" x14ac:dyDescent="0.25">
      <c r="A748" s="22" t="s">
        <v>8</v>
      </c>
      <c r="B748" s="18" t="str">
        <f>"055276"</f>
        <v>055276</v>
      </c>
      <c r="C748" s="19" t="s">
        <v>753</v>
      </c>
      <c r="D748" s="19" t="s">
        <v>16182</v>
      </c>
      <c r="E748" s="19" t="s">
        <v>31175</v>
      </c>
      <c r="F748" s="19" t="s">
        <v>35978</v>
      </c>
      <c r="G748" s="18" t="str">
        <f>"94536"</f>
        <v>94536</v>
      </c>
      <c r="H748" s="19" t="s">
        <v>31290</v>
      </c>
      <c r="I748" s="20">
        <v>18.850000000000001</v>
      </c>
      <c r="J748" s="44" t="s">
        <v>8</v>
      </c>
      <c r="K748" s="23" t="s">
        <v>8</v>
      </c>
      <c r="L748" s="23" t="s">
        <v>8</v>
      </c>
      <c r="M748" s="23" t="s">
        <v>8</v>
      </c>
    </row>
    <row r="749" spans="1:13" s="21" customFormat="1" x14ac:dyDescent="0.25">
      <c r="A749" s="22" t="s">
        <v>8</v>
      </c>
      <c r="B749" s="18" t="str">
        <f>"055280"</f>
        <v>055280</v>
      </c>
      <c r="C749" s="19" t="s">
        <v>754</v>
      </c>
      <c r="D749" s="19" t="s">
        <v>16183</v>
      </c>
      <c r="E749" s="19" t="s">
        <v>31146</v>
      </c>
      <c r="F749" s="19" t="s">
        <v>35978</v>
      </c>
      <c r="G749" s="18" t="str">
        <f>"94115"</f>
        <v>94115</v>
      </c>
      <c r="H749" s="19" t="s">
        <v>31146</v>
      </c>
      <c r="I749" s="20">
        <v>19.370999999999999</v>
      </c>
      <c r="J749" s="44" t="s">
        <v>8</v>
      </c>
      <c r="K749" s="23" t="s">
        <v>8</v>
      </c>
      <c r="L749" s="23" t="s">
        <v>8</v>
      </c>
      <c r="M749" s="23" t="s">
        <v>8</v>
      </c>
    </row>
    <row r="750" spans="1:13" s="21" customFormat="1" x14ac:dyDescent="0.25">
      <c r="A750" s="22" t="s">
        <v>8</v>
      </c>
      <c r="B750" s="18" t="str">
        <f>"055282"</f>
        <v>055282</v>
      </c>
      <c r="C750" s="19" t="s">
        <v>755</v>
      </c>
      <c r="D750" s="19" t="s">
        <v>16184</v>
      </c>
      <c r="E750" s="19" t="s">
        <v>31104</v>
      </c>
      <c r="F750" s="19" t="s">
        <v>35978</v>
      </c>
      <c r="G750" s="18" t="str">
        <f>"91768"</f>
        <v>91768</v>
      </c>
      <c r="H750" s="19" t="s">
        <v>31109</v>
      </c>
      <c r="I750" s="20">
        <v>20.597999999999999</v>
      </c>
      <c r="J750" s="44" t="s">
        <v>8</v>
      </c>
      <c r="K750" s="23" t="s">
        <v>8</v>
      </c>
      <c r="L750" s="23" t="s">
        <v>8</v>
      </c>
      <c r="M750" s="23" t="s">
        <v>8</v>
      </c>
    </row>
    <row r="751" spans="1:13" s="21" customFormat="1" x14ac:dyDescent="0.25">
      <c r="A751" s="22" t="s">
        <v>8</v>
      </c>
      <c r="B751" s="18" t="str">
        <f>"055286"</f>
        <v>055286</v>
      </c>
      <c r="C751" s="19" t="s">
        <v>756</v>
      </c>
      <c r="D751" s="19" t="s">
        <v>16185</v>
      </c>
      <c r="E751" s="19" t="s">
        <v>31176</v>
      </c>
      <c r="F751" s="19" t="s">
        <v>35978</v>
      </c>
      <c r="G751" s="18" t="str">
        <f>"92111"</f>
        <v>92111</v>
      </c>
      <c r="H751" s="19" t="s">
        <v>31176</v>
      </c>
      <c r="I751" s="20">
        <v>20.553999999999998</v>
      </c>
      <c r="J751" s="44" t="s">
        <v>8</v>
      </c>
      <c r="K751" s="23" t="s">
        <v>8</v>
      </c>
      <c r="L751" s="23" t="s">
        <v>8</v>
      </c>
      <c r="M751" s="23" t="s">
        <v>8</v>
      </c>
    </row>
    <row r="752" spans="1:13" s="21" customFormat="1" x14ac:dyDescent="0.25">
      <c r="A752" s="22" t="s">
        <v>8</v>
      </c>
      <c r="B752" s="18" t="str">
        <f>"055287"</f>
        <v>055287</v>
      </c>
      <c r="C752" s="19" t="s">
        <v>757</v>
      </c>
      <c r="D752" s="19" t="s">
        <v>16186</v>
      </c>
      <c r="E752" s="19" t="s">
        <v>31177</v>
      </c>
      <c r="F752" s="19" t="s">
        <v>35978</v>
      </c>
      <c r="G752" s="18" t="str">
        <f>"91605"</f>
        <v>91605</v>
      </c>
      <c r="H752" s="19" t="s">
        <v>31109</v>
      </c>
      <c r="I752" s="20">
        <v>20.731000000000002</v>
      </c>
      <c r="J752" s="44" t="s">
        <v>8</v>
      </c>
      <c r="K752" s="23" t="s">
        <v>8</v>
      </c>
      <c r="L752" s="23" t="s">
        <v>8</v>
      </c>
      <c r="M752" s="23" t="s">
        <v>8</v>
      </c>
    </row>
    <row r="753" spans="1:13" s="21" customFormat="1" x14ac:dyDescent="0.25">
      <c r="A753" s="22" t="s">
        <v>8</v>
      </c>
      <c r="B753" s="18" t="str">
        <f>"055288"</f>
        <v>055288</v>
      </c>
      <c r="C753" s="19" t="s">
        <v>758</v>
      </c>
      <c r="D753" s="19" t="s">
        <v>16187</v>
      </c>
      <c r="E753" s="19" t="s">
        <v>30946</v>
      </c>
      <c r="F753" s="19" t="s">
        <v>35978</v>
      </c>
      <c r="G753" s="18" t="str">
        <f>"91206"</f>
        <v>91206</v>
      </c>
      <c r="H753" s="19" t="s">
        <v>31109</v>
      </c>
      <c r="I753" s="20">
        <v>17.577999999999999</v>
      </c>
      <c r="J753" s="44" t="s">
        <v>8</v>
      </c>
      <c r="K753" s="23" t="s">
        <v>8</v>
      </c>
      <c r="L753" s="23" t="s">
        <v>8</v>
      </c>
      <c r="M753" s="23" t="s">
        <v>8</v>
      </c>
    </row>
    <row r="754" spans="1:13" s="21" customFormat="1" x14ac:dyDescent="0.25">
      <c r="A754" s="22" t="s">
        <v>8</v>
      </c>
      <c r="B754" s="18" t="str">
        <f>"055289"</f>
        <v>055289</v>
      </c>
      <c r="C754" s="19" t="s">
        <v>759</v>
      </c>
      <c r="D754" s="19" t="s">
        <v>16188</v>
      </c>
      <c r="E754" s="19" t="s">
        <v>31167</v>
      </c>
      <c r="F754" s="19" t="s">
        <v>35978</v>
      </c>
      <c r="G754" s="18" t="str">
        <f>"95240"</f>
        <v>95240</v>
      </c>
      <c r="H754" s="19" t="s">
        <v>36087</v>
      </c>
      <c r="I754" s="20">
        <v>18.088000000000001</v>
      </c>
      <c r="J754" s="44" t="s">
        <v>8</v>
      </c>
      <c r="K754" s="23" t="s">
        <v>8</v>
      </c>
      <c r="L754" s="23" t="s">
        <v>8</v>
      </c>
      <c r="M754" s="23" t="s">
        <v>8</v>
      </c>
    </row>
    <row r="755" spans="1:13" s="21" customFormat="1" x14ac:dyDescent="0.25">
      <c r="A755" s="22" t="s">
        <v>8</v>
      </c>
      <c r="B755" s="18" t="str">
        <f>"055292"</f>
        <v>055292</v>
      </c>
      <c r="C755" s="19" t="s">
        <v>760</v>
      </c>
      <c r="D755" s="19" t="s">
        <v>16189</v>
      </c>
      <c r="E755" s="19" t="s">
        <v>31178</v>
      </c>
      <c r="F755" s="19" t="s">
        <v>35978</v>
      </c>
      <c r="G755" s="18" t="str">
        <f>"94804"</f>
        <v>94804</v>
      </c>
      <c r="H755" s="19" t="s">
        <v>36088</v>
      </c>
      <c r="I755" s="20">
        <v>16.786000000000001</v>
      </c>
      <c r="J755" s="44" t="s">
        <v>8</v>
      </c>
      <c r="K755" s="23" t="s">
        <v>8</v>
      </c>
      <c r="L755" s="23" t="s">
        <v>8</v>
      </c>
      <c r="M755" s="23" t="s">
        <v>8</v>
      </c>
    </row>
    <row r="756" spans="1:13" s="21" customFormat="1" x14ac:dyDescent="0.25">
      <c r="A756" s="22" t="s">
        <v>8</v>
      </c>
      <c r="B756" s="18" t="str">
        <f>"055293"</f>
        <v>055293</v>
      </c>
      <c r="C756" s="19" t="s">
        <v>761</v>
      </c>
      <c r="D756" s="19" t="s">
        <v>16190</v>
      </c>
      <c r="E756" s="19" t="s">
        <v>31179</v>
      </c>
      <c r="F756" s="19" t="s">
        <v>35978</v>
      </c>
      <c r="G756" s="18" t="str">
        <f>"91780"</f>
        <v>91780</v>
      </c>
      <c r="H756" s="19" t="s">
        <v>31109</v>
      </c>
      <c r="I756" s="20">
        <v>18.036999999999999</v>
      </c>
      <c r="J756" s="44" t="s">
        <v>8</v>
      </c>
      <c r="K756" s="23" t="s">
        <v>8</v>
      </c>
      <c r="L756" s="23" t="s">
        <v>8</v>
      </c>
      <c r="M756" s="23" t="s">
        <v>8</v>
      </c>
    </row>
    <row r="757" spans="1:13" s="21" customFormat="1" x14ac:dyDescent="0.25">
      <c r="A757" s="22" t="s">
        <v>8</v>
      </c>
      <c r="B757" s="18" t="str">
        <f>"055296"</f>
        <v>055296</v>
      </c>
      <c r="C757" s="19" t="s">
        <v>762</v>
      </c>
      <c r="D757" s="19" t="s">
        <v>16191</v>
      </c>
      <c r="E757" s="19" t="s">
        <v>31180</v>
      </c>
      <c r="F757" s="19" t="s">
        <v>35978</v>
      </c>
      <c r="G757" s="18" t="str">
        <f>"95822"</f>
        <v>95822</v>
      </c>
      <c r="H757" s="19" t="s">
        <v>31180</v>
      </c>
      <c r="I757" s="20">
        <v>18.832999999999998</v>
      </c>
      <c r="J757" s="44" t="s">
        <v>8</v>
      </c>
      <c r="K757" s="23" t="s">
        <v>8</v>
      </c>
      <c r="L757" s="23" t="s">
        <v>8</v>
      </c>
      <c r="M757" s="23" t="s">
        <v>8</v>
      </c>
    </row>
    <row r="758" spans="1:13" s="21" customFormat="1" x14ac:dyDescent="0.25">
      <c r="A758" s="22" t="s">
        <v>8</v>
      </c>
      <c r="B758" s="18" t="str">
        <f>"055297"</f>
        <v>055297</v>
      </c>
      <c r="C758" s="19" t="s">
        <v>763</v>
      </c>
      <c r="D758" s="19" t="s">
        <v>16192</v>
      </c>
      <c r="E758" s="19" t="s">
        <v>31181</v>
      </c>
      <c r="F758" s="19" t="s">
        <v>35978</v>
      </c>
      <c r="G758" s="18" t="str">
        <f>"90650"</f>
        <v>90650</v>
      </c>
      <c r="H758" s="19" t="s">
        <v>31109</v>
      </c>
      <c r="I758" s="20">
        <v>20.609000000000002</v>
      </c>
      <c r="J758" s="44" t="s">
        <v>8</v>
      </c>
      <c r="K758" s="23" t="s">
        <v>8</v>
      </c>
      <c r="L758" s="23" t="s">
        <v>8</v>
      </c>
      <c r="M758" s="23" t="s">
        <v>8</v>
      </c>
    </row>
    <row r="759" spans="1:13" s="21" customFormat="1" x14ac:dyDescent="0.25">
      <c r="A759" s="22" t="s">
        <v>8</v>
      </c>
      <c r="B759" s="18" t="str">
        <f>"055298"</f>
        <v>055298</v>
      </c>
      <c r="C759" s="19" t="s">
        <v>764</v>
      </c>
      <c r="D759" s="19" t="s">
        <v>16193</v>
      </c>
      <c r="E759" s="19" t="s">
        <v>31182</v>
      </c>
      <c r="F759" s="19" t="s">
        <v>35978</v>
      </c>
      <c r="G759" s="18" t="str">
        <f>"92028"</f>
        <v>92028</v>
      </c>
      <c r="H759" s="19" t="s">
        <v>31176</v>
      </c>
      <c r="I759" s="20">
        <v>20.21</v>
      </c>
      <c r="J759" s="44" t="s">
        <v>8</v>
      </c>
      <c r="K759" s="23" t="s">
        <v>8</v>
      </c>
      <c r="L759" s="23" t="s">
        <v>8</v>
      </c>
      <c r="M759" s="23" t="s">
        <v>8</v>
      </c>
    </row>
    <row r="760" spans="1:13" s="21" customFormat="1" x14ac:dyDescent="0.25">
      <c r="A760" s="22" t="s">
        <v>8</v>
      </c>
      <c r="B760" s="18" t="str">
        <f>"055299"</f>
        <v>055299</v>
      </c>
      <c r="C760" s="19" t="s">
        <v>765</v>
      </c>
      <c r="D760" s="19" t="s">
        <v>16194</v>
      </c>
      <c r="E760" s="19" t="s">
        <v>31150</v>
      </c>
      <c r="F760" s="19" t="s">
        <v>35978</v>
      </c>
      <c r="G760" s="18" t="str">
        <f>"92354"</f>
        <v>92354</v>
      </c>
      <c r="H760" s="19" t="s">
        <v>31227</v>
      </c>
      <c r="I760" s="20">
        <v>21.106999999999999</v>
      </c>
      <c r="J760" s="44" t="s">
        <v>8</v>
      </c>
      <c r="K760" s="23" t="s">
        <v>8</v>
      </c>
      <c r="L760" s="23" t="s">
        <v>8</v>
      </c>
      <c r="M760" s="23" t="s">
        <v>8</v>
      </c>
    </row>
    <row r="761" spans="1:13" s="21" customFormat="1" x14ac:dyDescent="0.25">
      <c r="A761" s="22" t="s">
        <v>8</v>
      </c>
      <c r="B761" s="18" t="str">
        <f>"055303"</f>
        <v>055303</v>
      </c>
      <c r="C761" s="19" t="s">
        <v>766</v>
      </c>
      <c r="D761" s="19" t="s">
        <v>16195</v>
      </c>
      <c r="E761" s="19" t="s">
        <v>31183</v>
      </c>
      <c r="F761" s="19" t="s">
        <v>35978</v>
      </c>
      <c r="G761" s="18" t="str">
        <f>"93950"</f>
        <v>93950</v>
      </c>
      <c r="H761" s="19" t="s">
        <v>31274</v>
      </c>
      <c r="I761" s="20">
        <v>18.405999999999999</v>
      </c>
      <c r="J761" s="44" t="s">
        <v>8</v>
      </c>
      <c r="K761" s="23" t="s">
        <v>8</v>
      </c>
      <c r="L761" s="23" t="s">
        <v>8</v>
      </c>
      <c r="M761" s="23" t="s">
        <v>8</v>
      </c>
    </row>
    <row r="762" spans="1:13" s="21" customFormat="1" x14ac:dyDescent="0.25">
      <c r="A762" s="22" t="s">
        <v>8</v>
      </c>
      <c r="B762" s="18" t="str">
        <f>"055304"</f>
        <v>055304</v>
      </c>
      <c r="C762" s="19" t="s">
        <v>767</v>
      </c>
      <c r="D762" s="19" t="s">
        <v>16196</v>
      </c>
      <c r="E762" s="19" t="s">
        <v>31110</v>
      </c>
      <c r="F762" s="19" t="s">
        <v>35978</v>
      </c>
      <c r="G762" s="18" t="str">
        <f>"95207"</f>
        <v>95207</v>
      </c>
      <c r="H762" s="19" t="s">
        <v>36087</v>
      </c>
      <c r="I762" s="20">
        <v>20.741</v>
      </c>
      <c r="J762" s="44" t="s">
        <v>8</v>
      </c>
      <c r="K762" s="23" t="s">
        <v>8</v>
      </c>
      <c r="L762" s="23" t="s">
        <v>8</v>
      </c>
      <c r="M762" s="23" t="s">
        <v>8</v>
      </c>
    </row>
    <row r="763" spans="1:13" s="21" customFormat="1" x14ac:dyDescent="0.25">
      <c r="A763" s="22" t="s">
        <v>8</v>
      </c>
      <c r="B763" s="18" t="str">
        <f>"055305"</f>
        <v>055305</v>
      </c>
      <c r="C763" s="19" t="s">
        <v>768</v>
      </c>
      <c r="D763" s="19" t="s">
        <v>16197</v>
      </c>
      <c r="E763" s="19" t="s">
        <v>31180</v>
      </c>
      <c r="F763" s="19" t="s">
        <v>35978</v>
      </c>
      <c r="G763" s="18" t="str">
        <f>"95819"</f>
        <v>95819</v>
      </c>
      <c r="H763" s="19" t="s">
        <v>31180</v>
      </c>
      <c r="I763" s="20">
        <v>19.452000000000002</v>
      </c>
      <c r="J763" s="44" t="s">
        <v>8</v>
      </c>
      <c r="K763" s="23" t="s">
        <v>8</v>
      </c>
      <c r="L763" s="23" t="s">
        <v>8</v>
      </c>
      <c r="M763" s="23" t="s">
        <v>8</v>
      </c>
    </row>
    <row r="764" spans="1:13" s="21" customFormat="1" x14ac:dyDescent="0.25">
      <c r="A764" s="22" t="s">
        <v>8</v>
      </c>
      <c r="B764" s="18" t="str">
        <f>"055307"</f>
        <v>055307</v>
      </c>
      <c r="C764" s="19" t="s">
        <v>769</v>
      </c>
      <c r="D764" s="19" t="s">
        <v>16198</v>
      </c>
      <c r="E764" s="19" t="s">
        <v>31184</v>
      </c>
      <c r="F764" s="19" t="s">
        <v>35978</v>
      </c>
      <c r="G764" s="18" t="str">
        <f>"93534"</f>
        <v>93534</v>
      </c>
      <c r="H764" s="19" t="s">
        <v>31109</v>
      </c>
      <c r="I764" s="20">
        <v>20.849</v>
      </c>
      <c r="J764" s="44" t="s">
        <v>8</v>
      </c>
      <c r="K764" s="23" t="s">
        <v>8</v>
      </c>
      <c r="L764" s="23" t="s">
        <v>8</v>
      </c>
      <c r="M764" s="23" t="s">
        <v>8</v>
      </c>
    </row>
    <row r="765" spans="1:13" s="21" customFormat="1" x14ac:dyDescent="0.25">
      <c r="A765" s="22" t="s">
        <v>8</v>
      </c>
      <c r="B765" s="18" t="str">
        <f>"055308"</f>
        <v>055308</v>
      </c>
      <c r="C765" s="19" t="s">
        <v>770</v>
      </c>
      <c r="D765" s="19" t="s">
        <v>16199</v>
      </c>
      <c r="E765" s="19" t="s">
        <v>31185</v>
      </c>
      <c r="F765" s="19" t="s">
        <v>35978</v>
      </c>
      <c r="G765" s="18" t="str">
        <f>"95624"</f>
        <v>95624</v>
      </c>
      <c r="H765" s="19" t="s">
        <v>31180</v>
      </c>
      <c r="I765" s="20">
        <v>17.059999999999999</v>
      </c>
      <c r="J765" s="44" t="s">
        <v>8</v>
      </c>
      <c r="K765" s="23" t="s">
        <v>8</v>
      </c>
      <c r="L765" s="23" t="s">
        <v>8</v>
      </c>
      <c r="M765" s="23" t="s">
        <v>8</v>
      </c>
    </row>
    <row r="766" spans="1:13" s="21" customFormat="1" x14ac:dyDescent="0.25">
      <c r="A766" s="22" t="s">
        <v>8</v>
      </c>
      <c r="B766" s="18" t="str">
        <f>"055310"</f>
        <v>055310</v>
      </c>
      <c r="C766" s="19" t="s">
        <v>771</v>
      </c>
      <c r="D766" s="19" t="s">
        <v>16200</v>
      </c>
      <c r="E766" s="19" t="s">
        <v>31186</v>
      </c>
      <c r="F766" s="19" t="s">
        <v>35978</v>
      </c>
      <c r="G766" s="18" t="str">
        <f>"94903"</f>
        <v>94903</v>
      </c>
      <c r="H766" s="19" t="s">
        <v>36090</v>
      </c>
      <c r="I766" s="20">
        <v>20.966999999999999</v>
      </c>
      <c r="J766" s="44" t="s">
        <v>8</v>
      </c>
      <c r="K766" s="23" t="s">
        <v>8</v>
      </c>
      <c r="L766" s="23" t="s">
        <v>8</v>
      </c>
      <c r="M766" s="23" t="s">
        <v>8</v>
      </c>
    </row>
    <row r="767" spans="1:13" s="21" customFormat="1" x14ac:dyDescent="0.25">
      <c r="A767" s="22" t="s">
        <v>8</v>
      </c>
      <c r="B767" s="18" t="str">
        <f>"055311"</f>
        <v>055311</v>
      </c>
      <c r="C767" s="19" t="s">
        <v>772</v>
      </c>
      <c r="D767" s="19" t="s">
        <v>16201</v>
      </c>
      <c r="E767" s="19" t="s">
        <v>31187</v>
      </c>
      <c r="F767" s="19" t="s">
        <v>35978</v>
      </c>
      <c r="G767" s="18" t="str">
        <f>"93901"</f>
        <v>93901</v>
      </c>
      <c r="H767" s="19" t="s">
        <v>31274</v>
      </c>
      <c r="I767" s="20">
        <v>19.167999999999999</v>
      </c>
      <c r="J767" s="44" t="s">
        <v>8</v>
      </c>
      <c r="K767" s="23" t="s">
        <v>8</v>
      </c>
      <c r="L767" s="23" t="s">
        <v>8</v>
      </c>
      <c r="M767" s="23" t="s">
        <v>8</v>
      </c>
    </row>
    <row r="768" spans="1:13" s="21" customFormat="1" x14ac:dyDescent="0.25">
      <c r="A768" s="22" t="s">
        <v>8</v>
      </c>
      <c r="B768" s="18" t="str">
        <f>"055315"</f>
        <v>055315</v>
      </c>
      <c r="C768" s="19" t="s">
        <v>773</v>
      </c>
      <c r="D768" s="19" t="s">
        <v>16202</v>
      </c>
      <c r="E768" s="19" t="s">
        <v>30999</v>
      </c>
      <c r="F768" s="19" t="s">
        <v>35978</v>
      </c>
      <c r="G768" s="18" t="str">
        <f>"94040"</f>
        <v>94040</v>
      </c>
      <c r="H768" s="19" t="s">
        <v>31241</v>
      </c>
      <c r="I768" s="20">
        <v>18.097000000000001</v>
      </c>
      <c r="J768" s="44" t="s">
        <v>8</v>
      </c>
      <c r="K768" s="23" t="s">
        <v>8</v>
      </c>
      <c r="L768" s="23" t="s">
        <v>8</v>
      </c>
      <c r="M768" s="23" t="s">
        <v>8</v>
      </c>
    </row>
    <row r="769" spans="1:13" s="21" customFormat="1" x14ac:dyDescent="0.25">
      <c r="A769" s="22" t="s">
        <v>8</v>
      </c>
      <c r="B769" s="18" t="str">
        <f>"055316"</f>
        <v>055316</v>
      </c>
      <c r="C769" s="19" t="s">
        <v>774</v>
      </c>
      <c r="D769" s="19" t="s">
        <v>16203</v>
      </c>
      <c r="E769" s="19" t="s">
        <v>30999</v>
      </c>
      <c r="F769" s="19" t="s">
        <v>35978</v>
      </c>
      <c r="G769" s="18" t="str">
        <f>"94040"</f>
        <v>94040</v>
      </c>
      <c r="H769" s="19" t="s">
        <v>31241</v>
      </c>
      <c r="I769" s="20">
        <v>17.696999999999999</v>
      </c>
      <c r="J769" s="44" t="s">
        <v>8</v>
      </c>
      <c r="K769" s="23" t="s">
        <v>8</v>
      </c>
      <c r="L769" s="23" t="s">
        <v>8</v>
      </c>
      <c r="M769" s="23" t="s">
        <v>8</v>
      </c>
    </row>
    <row r="770" spans="1:13" s="21" customFormat="1" x14ac:dyDescent="0.25">
      <c r="A770" s="22" t="s">
        <v>8</v>
      </c>
      <c r="B770" s="18" t="str">
        <f>"055318"</f>
        <v>055318</v>
      </c>
      <c r="C770" s="19" t="s">
        <v>775</v>
      </c>
      <c r="D770" s="19" t="s">
        <v>16204</v>
      </c>
      <c r="E770" s="19" t="s">
        <v>31188</v>
      </c>
      <c r="F770" s="19" t="s">
        <v>35978</v>
      </c>
      <c r="G770" s="18" t="str">
        <f>"95128"</f>
        <v>95128</v>
      </c>
      <c r="H770" s="19" t="s">
        <v>31241</v>
      </c>
      <c r="I770" s="20">
        <v>16.641999999999999</v>
      </c>
      <c r="J770" s="44" t="s">
        <v>8</v>
      </c>
      <c r="K770" s="23" t="s">
        <v>8</v>
      </c>
      <c r="L770" s="23" t="s">
        <v>8</v>
      </c>
      <c r="M770" s="23" t="s">
        <v>8</v>
      </c>
    </row>
    <row r="771" spans="1:13" s="21" customFormat="1" x14ac:dyDescent="0.25">
      <c r="A771" s="22" t="s">
        <v>8</v>
      </c>
      <c r="B771" s="18" t="str">
        <f>"055322"</f>
        <v>055322</v>
      </c>
      <c r="C771" s="19" t="s">
        <v>776</v>
      </c>
      <c r="D771" s="19" t="s">
        <v>16205</v>
      </c>
      <c r="E771" s="19" t="s">
        <v>31176</v>
      </c>
      <c r="F771" s="19" t="s">
        <v>35978</v>
      </c>
      <c r="G771" s="18" t="str">
        <f>"92110"</f>
        <v>92110</v>
      </c>
      <c r="H771" s="19" t="s">
        <v>31176</v>
      </c>
      <c r="I771" s="20">
        <v>19.225999999999999</v>
      </c>
      <c r="J771" s="44" t="s">
        <v>8</v>
      </c>
      <c r="K771" s="23" t="s">
        <v>8</v>
      </c>
      <c r="L771" s="23" t="s">
        <v>8</v>
      </c>
      <c r="M771" s="23" t="s">
        <v>8</v>
      </c>
    </row>
    <row r="772" spans="1:13" s="21" customFormat="1" x14ac:dyDescent="0.25">
      <c r="A772" s="22" t="s">
        <v>8</v>
      </c>
      <c r="B772" s="18" t="str">
        <f>"055328"</f>
        <v>055328</v>
      </c>
      <c r="C772" s="19" t="s">
        <v>777</v>
      </c>
      <c r="D772" s="19" t="s">
        <v>16206</v>
      </c>
      <c r="E772" s="19" t="s">
        <v>31176</v>
      </c>
      <c r="F772" s="19" t="s">
        <v>35978</v>
      </c>
      <c r="G772" s="18" t="str">
        <f>"92105"</f>
        <v>92105</v>
      </c>
      <c r="H772" s="19" t="s">
        <v>31176</v>
      </c>
      <c r="I772" s="20">
        <v>19.289000000000001</v>
      </c>
      <c r="J772" s="44" t="s">
        <v>8</v>
      </c>
      <c r="K772" s="23" t="s">
        <v>8</v>
      </c>
      <c r="L772" s="23" t="s">
        <v>8</v>
      </c>
      <c r="M772" s="23" t="s">
        <v>8</v>
      </c>
    </row>
    <row r="773" spans="1:13" s="21" customFormat="1" x14ac:dyDescent="0.25">
      <c r="A773" s="22" t="s">
        <v>8</v>
      </c>
      <c r="B773" s="18" t="str">
        <f>"055329"</f>
        <v>055329</v>
      </c>
      <c r="C773" s="19" t="s">
        <v>778</v>
      </c>
      <c r="D773" s="19" t="s">
        <v>16207</v>
      </c>
      <c r="E773" s="19" t="s">
        <v>31111</v>
      </c>
      <c r="F773" s="19" t="s">
        <v>35978</v>
      </c>
      <c r="G773" s="18" t="str">
        <f>"90813"</f>
        <v>90813</v>
      </c>
      <c r="H773" s="19" t="s">
        <v>31109</v>
      </c>
      <c r="I773" s="20">
        <v>17.606000000000002</v>
      </c>
      <c r="J773" s="44" t="s">
        <v>8</v>
      </c>
      <c r="K773" s="23" t="s">
        <v>8</v>
      </c>
      <c r="L773" s="23" t="s">
        <v>8</v>
      </c>
      <c r="M773" s="23" t="s">
        <v>8</v>
      </c>
    </row>
    <row r="774" spans="1:13" s="21" customFormat="1" x14ac:dyDescent="0.25">
      <c r="A774" s="22" t="s">
        <v>8</v>
      </c>
      <c r="B774" s="18" t="str">
        <f>"055330"</f>
        <v>055330</v>
      </c>
      <c r="C774" s="19" t="s">
        <v>779</v>
      </c>
      <c r="D774" s="19" t="s">
        <v>16208</v>
      </c>
      <c r="E774" s="19" t="s">
        <v>31157</v>
      </c>
      <c r="F774" s="19" t="s">
        <v>35978</v>
      </c>
      <c r="G774" s="18" t="str">
        <f>"92705"</f>
        <v>92705</v>
      </c>
      <c r="H774" s="19" t="s">
        <v>31169</v>
      </c>
      <c r="I774" s="20">
        <v>24.163</v>
      </c>
      <c r="J774" s="44" t="s">
        <v>8</v>
      </c>
      <c r="K774" s="23" t="s">
        <v>8</v>
      </c>
      <c r="L774" s="23" t="s">
        <v>8</v>
      </c>
      <c r="M774" s="23" t="s">
        <v>8</v>
      </c>
    </row>
    <row r="775" spans="1:13" s="21" customFormat="1" x14ac:dyDescent="0.25">
      <c r="A775" s="22" t="s">
        <v>8</v>
      </c>
      <c r="B775" s="18" t="str">
        <f>"055331"</f>
        <v>055331</v>
      </c>
      <c r="C775" s="19" t="s">
        <v>780</v>
      </c>
      <c r="D775" s="19" t="s">
        <v>16209</v>
      </c>
      <c r="E775" s="19" t="s">
        <v>31186</v>
      </c>
      <c r="F775" s="19" t="s">
        <v>35978</v>
      </c>
      <c r="G775" s="18" t="str">
        <f>"94901"</f>
        <v>94901</v>
      </c>
      <c r="H775" s="19" t="s">
        <v>36090</v>
      </c>
      <c r="I775" s="20">
        <v>18.213999999999999</v>
      </c>
      <c r="J775" s="44" t="s">
        <v>8</v>
      </c>
      <c r="K775" s="23" t="s">
        <v>8</v>
      </c>
      <c r="L775" s="23" t="s">
        <v>8</v>
      </c>
      <c r="M775" s="23" t="s">
        <v>8</v>
      </c>
    </row>
    <row r="776" spans="1:13" s="21" customFormat="1" x14ac:dyDescent="0.25">
      <c r="A776" s="22" t="s">
        <v>8</v>
      </c>
      <c r="B776" s="18" t="str">
        <f>"055334"</f>
        <v>055334</v>
      </c>
      <c r="C776" s="19" t="s">
        <v>781</v>
      </c>
      <c r="D776" s="19" t="s">
        <v>16210</v>
      </c>
      <c r="E776" s="19" t="s">
        <v>31100</v>
      </c>
      <c r="F776" s="19" t="s">
        <v>35978</v>
      </c>
      <c r="G776" s="18" t="str">
        <f>"95501"</f>
        <v>95501</v>
      </c>
      <c r="H776" s="19" t="s">
        <v>32530</v>
      </c>
      <c r="I776" s="20">
        <v>17.748999999999999</v>
      </c>
      <c r="J776" s="44" t="s">
        <v>8</v>
      </c>
      <c r="K776" s="23" t="s">
        <v>8</v>
      </c>
      <c r="L776" s="23" t="s">
        <v>8</v>
      </c>
      <c r="M776" s="23" t="s">
        <v>8</v>
      </c>
    </row>
    <row r="777" spans="1:13" s="21" customFormat="1" x14ac:dyDescent="0.25">
      <c r="A777" s="22" t="s">
        <v>8</v>
      </c>
      <c r="B777" s="18" t="str">
        <f>"055335"</f>
        <v>055335</v>
      </c>
      <c r="C777" s="19" t="s">
        <v>782</v>
      </c>
      <c r="D777" s="19" t="s">
        <v>16211</v>
      </c>
      <c r="E777" s="19" t="s">
        <v>31189</v>
      </c>
      <c r="F777" s="19" t="s">
        <v>35978</v>
      </c>
      <c r="G777" s="18" t="str">
        <f>"92056"</f>
        <v>92056</v>
      </c>
      <c r="H777" s="19" t="s">
        <v>31176</v>
      </c>
      <c r="I777" s="20">
        <v>17.527999999999999</v>
      </c>
      <c r="J777" s="44" t="s">
        <v>8</v>
      </c>
      <c r="K777" s="23" t="s">
        <v>8</v>
      </c>
      <c r="L777" s="23" t="s">
        <v>8</v>
      </c>
      <c r="M777" s="23" t="s">
        <v>8</v>
      </c>
    </row>
    <row r="778" spans="1:13" s="21" customFormat="1" x14ac:dyDescent="0.25">
      <c r="A778" s="22" t="s">
        <v>8</v>
      </c>
      <c r="B778" s="18" t="str">
        <f>"055338"</f>
        <v>055338</v>
      </c>
      <c r="C778" s="19" t="s">
        <v>783</v>
      </c>
      <c r="D778" s="19" t="s">
        <v>16212</v>
      </c>
      <c r="E778" s="19" t="s">
        <v>31190</v>
      </c>
      <c r="F778" s="19" t="s">
        <v>35978</v>
      </c>
      <c r="G778" s="18" t="str">
        <f>"94541"</f>
        <v>94541</v>
      </c>
      <c r="H778" s="19" t="s">
        <v>31290</v>
      </c>
      <c r="I778" s="20">
        <v>20.416</v>
      </c>
      <c r="J778" s="44" t="s">
        <v>8</v>
      </c>
      <c r="K778" s="23" t="s">
        <v>8</v>
      </c>
      <c r="L778" s="23" t="s">
        <v>8</v>
      </c>
      <c r="M778" s="23" t="s">
        <v>8</v>
      </c>
    </row>
    <row r="779" spans="1:13" s="21" customFormat="1" x14ac:dyDescent="0.25">
      <c r="A779" s="22" t="s">
        <v>8</v>
      </c>
      <c r="B779" s="18" t="str">
        <f>"055341"</f>
        <v>055341</v>
      </c>
      <c r="C779" s="19" t="s">
        <v>784</v>
      </c>
      <c r="D779" s="19" t="s">
        <v>16213</v>
      </c>
      <c r="E779" s="19" t="s">
        <v>31191</v>
      </c>
      <c r="F779" s="19" t="s">
        <v>35978</v>
      </c>
      <c r="G779" s="18" t="str">
        <f>"91105"</f>
        <v>91105</v>
      </c>
      <c r="H779" s="19" t="s">
        <v>31109</v>
      </c>
      <c r="I779" s="20">
        <v>16.152999999999999</v>
      </c>
      <c r="J779" s="44" t="s">
        <v>8</v>
      </c>
      <c r="K779" s="23" t="s">
        <v>8</v>
      </c>
      <c r="L779" s="23" t="s">
        <v>8</v>
      </c>
      <c r="M779" s="23" t="s">
        <v>8</v>
      </c>
    </row>
    <row r="780" spans="1:13" s="21" customFormat="1" x14ac:dyDescent="0.25">
      <c r="A780" s="22" t="s">
        <v>8</v>
      </c>
      <c r="B780" s="18" t="str">
        <f>"055342"</f>
        <v>055342</v>
      </c>
      <c r="C780" s="19" t="s">
        <v>785</v>
      </c>
      <c r="D780" s="19" t="s">
        <v>16214</v>
      </c>
      <c r="E780" s="19" t="s">
        <v>31192</v>
      </c>
      <c r="F780" s="19" t="s">
        <v>35978</v>
      </c>
      <c r="G780" s="18" t="str">
        <f>"91360"</f>
        <v>91360</v>
      </c>
      <c r="H780" s="19" t="s">
        <v>31228</v>
      </c>
      <c r="I780" s="20">
        <v>24.388000000000002</v>
      </c>
      <c r="J780" s="44" t="s">
        <v>8</v>
      </c>
      <c r="K780" s="23" t="s">
        <v>8</v>
      </c>
      <c r="L780" s="23" t="s">
        <v>8</v>
      </c>
      <c r="M780" s="23" t="s">
        <v>8</v>
      </c>
    </row>
    <row r="781" spans="1:13" s="21" customFormat="1" x14ac:dyDescent="0.25">
      <c r="A781" s="22" t="s">
        <v>8</v>
      </c>
      <c r="B781" s="18" t="str">
        <f>"055344"</f>
        <v>055344</v>
      </c>
      <c r="C781" s="19" t="s">
        <v>786</v>
      </c>
      <c r="D781" s="19" t="s">
        <v>16215</v>
      </c>
      <c r="E781" s="19" t="s">
        <v>31172</v>
      </c>
      <c r="F781" s="19" t="s">
        <v>35978</v>
      </c>
      <c r="G781" s="18" t="str">
        <f>"91711"</f>
        <v>91711</v>
      </c>
      <c r="H781" s="19" t="s">
        <v>31109</v>
      </c>
      <c r="I781" s="20">
        <v>17.814</v>
      </c>
      <c r="J781" s="44" t="s">
        <v>8</v>
      </c>
      <c r="K781" s="23" t="s">
        <v>8</v>
      </c>
      <c r="L781" s="23" t="s">
        <v>8</v>
      </c>
      <c r="M781" s="23" t="s">
        <v>8</v>
      </c>
    </row>
    <row r="782" spans="1:13" s="21" customFormat="1" x14ac:dyDescent="0.25">
      <c r="A782" s="22" t="s">
        <v>8</v>
      </c>
      <c r="B782" s="18" t="str">
        <f>"055350"</f>
        <v>055350</v>
      </c>
      <c r="C782" s="19" t="s">
        <v>787</v>
      </c>
      <c r="D782" s="19" t="s">
        <v>16216</v>
      </c>
      <c r="E782" s="19" t="s">
        <v>31109</v>
      </c>
      <c r="F782" s="19" t="s">
        <v>35978</v>
      </c>
      <c r="G782" s="18" t="str">
        <f>"90066"</f>
        <v>90066</v>
      </c>
      <c r="H782" s="19" t="s">
        <v>31109</v>
      </c>
      <c r="I782" s="20">
        <v>22.59</v>
      </c>
      <c r="J782" s="44" t="s">
        <v>8</v>
      </c>
      <c r="K782" s="23" t="s">
        <v>8</v>
      </c>
      <c r="L782" s="23" t="s">
        <v>8</v>
      </c>
      <c r="M782" s="23" t="s">
        <v>8</v>
      </c>
    </row>
    <row r="783" spans="1:13" s="21" customFormat="1" x14ac:dyDescent="0.25">
      <c r="A783" s="22" t="s">
        <v>8</v>
      </c>
      <c r="B783" s="18" t="str">
        <f>"055353"</f>
        <v>055353</v>
      </c>
      <c r="C783" s="19" t="s">
        <v>788</v>
      </c>
      <c r="D783" s="19" t="s">
        <v>16217</v>
      </c>
      <c r="E783" s="19" t="s">
        <v>31111</v>
      </c>
      <c r="F783" s="19" t="s">
        <v>35978</v>
      </c>
      <c r="G783" s="18" t="str">
        <f>"90804"</f>
        <v>90804</v>
      </c>
      <c r="H783" s="19" t="s">
        <v>31109</v>
      </c>
      <c r="I783" s="20">
        <v>18.579999999999998</v>
      </c>
      <c r="J783" s="44" t="s">
        <v>8</v>
      </c>
      <c r="K783" s="23" t="s">
        <v>8</v>
      </c>
      <c r="L783" s="23" t="s">
        <v>8</v>
      </c>
      <c r="M783" s="23" t="s">
        <v>8</v>
      </c>
    </row>
    <row r="784" spans="1:13" s="21" customFormat="1" x14ac:dyDescent="0.25">
      <c r="A784" s="22" t="s">
        <v>8</v>
      </c>
      <c r="B784" s="18" t="str">
        <f>"055354"</f>
        <v>055354</v>
      </c>
      <c r="C784" s="19" t="s">
        <v>789</v>
      </c>
      <c r="D784" s="19" t="s">
        <v>16218</v>
      </c>
      <c r="E784" s="19" t="s">
        <v>31193</v>
      </c>
      <c r="F784" s="19" t="s">
        <v>35978</v>
      </c>
      <c r="G784" s="18" t="str">
        <f>"91910"</f>
        <v>91910</v>
      </c>
      <c r="H784" s="19" t="s">
        <v>31176</v>
      </c>
      <c r="I784" s="20">
        <v>20.536999999999999</v>
      </c>
      <c r="J784" s="44" t="s">
        <v>8</v>
      </c>
      <c r="K784" s="23" t="s">
        <v>8</v>
      </c>
      <c r="L784" s="23" t="s">
        <v>8</v>
      </c>
      <c r="M784" s="23" t="s">
        <v>8</v>
      </c>
    </row>
    <row r="785" spans="1:13" s="21" customFormat="1" x14ac:dyDescent="0.25">
      <c r="A785" s="22" t="s">
        <v>8</v>
      </c>
      <c r="B785" s="18" t="str">
        <f>"055356"</f>
        <v>055356</v>
      </c>
      <c r="C785" s="19" t="s">
        <v>790</v>
      </c>
      <c r="D785" s="19" t="s">
        <v>16219</v>
      </c>
      <c r="E785" s="19" t="s">
        <v>31183</v>
      </c>
      <c r="F785" s="19" t="s">
        <v>35978</v>
      </c>
      <c r="G785" s="18" t="str">
        <f>"93950"</f>
        <v>93950</v>
      </c>
      <c r="H785" s="19" t="s">
        <v>31274</v>
      </c>
      <c r="I785" s="20">
        <v>17.337</v>
      </c>
      <c r="J785" s="44" t="s">
        <v>8</v>
      </c>
      <c r="K785" s="23" t="s">
        <v>8</v>
      </c>
      <c r="L785" s="23" t="s">
        <v>8</v>
      </c>
      <c r="M785" s="23" t="s">
        <v>8</v>
      </c>
    </row>
    <row r="786" spans="1:13" s="21" customFormat="1" x14ac:dyDescent="0.25">
      <c r="A786" s="22" t="s">
        <v>8</v>
      </c>
      <c r="B786" s="18" t="str">
        <f>"055360"</f>
        <v>055360</v>
      </c>
      <c r="C786" s="19" t="s">
        <v>791</v>
      </c>
      <c r="D786" s="19" t="s">
        <v>16220</v>
      </c>
      <c r="E786" s="19" t="s">
        <v>31139</v>
      </c>
      <c r="F786" s="19" t="s">
        <v>35978</v>
      </c>
      <c r="G786" s="18" t="str">
        <f>"91042"</f>
        <v>91042</v>
      </c>
      <c r="H786" s="19" t="s">
        <v>31109</v>
      </c>
      <c r="I786" s="20">
        <v>19.864000000000001</v>
      </c>
      <c r="J786" s="44" t="s">
        <v>8</v>
      </c>
      <c r="K786" s="23" t="s">
        <v>8</v>
      </c>
      <c r="L786" s="23" t="s">
        <v>8</v>
      </c>
      <c r="M786" s="23" t="s">
        <v>8</v>
      </c>
    </row>
    <row r="787" spans="1:13" s="21" customFormat="1" x14ac:dyDescent="0.25">
      <c r="A787" s="22" t="s">
        <v>8</v>
      </c>
      <c r="B787" s="18" t="str">
        <f>"055361"</f>
        <v>055361</v>
      </c>
      <c r="C787" s="19" t="s">
        <v>792</v>
      </c>
      <c r="D787" s="19" t="s">
        <v>16221</v>
      </c>
      <c r="E787" s="19" t="s">
        <v>31112</v>
      </c>
      <c r="F787" s="19" t="s">
        <v>35978</v>
      </c>
      <c r="G787" s="18" t="str">
        <f>"92509"</f>
        <v>92509</v>
      </c>
      <c r="H787" s="19" t="s">
        <v>31112</v>
      </c>
      <c r="I787" s="20">
        <v>19.323</v>
      </c>
      <c r="J787" s="44" t="s">
        <v>8</v>
      </c>
      <c r="K787" s="23" t="s">
        <v>8</v>
      </c>
      <c r="L787" s="23" t="s">
        <v>8</v>
      </c>
      <c r="M787" s="23" t="s">
        <v>8</v>
      </c>
    </row>
    <row r="788" spans="1:13" s="21" customFormat="1" x14ac:dyDescent="0.25">
      <c r="A788" s="22" t="s">
        <v>8</v>
      </c>
      <c r="B788" s="18" t="str">
        <f>"055364"</f>
        <v>055364</v>
      </c>
      <c r="C788" s="19" t="s">
        <v>793</v>
      </c>
      <c r="D788" s="19" t="s">
        <v>16222</v>
      </c>
      <c r="E788" s="19" t="s">
        <v>31111</v>
      </c>
      <c r="F788" s="19" t="s">
        <v>35978</v>
      </c>
      <c r="G788" s="18" t="str">
        <f>"90807"</f>
        <v>90807</v>
      </c>
      <c r="H788" s="19" t="s">
        <v>31109</v>
      </c>
      <c r="I788" s="20">
        <v>18.222000000000001</v>
      </c>
      <c r="J788" s="44" t="s">
        <v>8</v>
      </c>
      <c r="K788" s="23" t="s">
        <v>8</v>
      </c>
      <c r="L788" s="23" t="s">
        <v>8</v>
      </c>
      <c r="M788" s="23" t="s">
        <v>8</v>
      </c>
    </row>
    <row r="789" spans="1:13" s="21" customFormat="1" x14ac:dyDescent="0.25">
      <c r="A789" s="22" t="s">
        <v>8</v>
      </c>
      <c r="B789" s="18" t="str">
        <f>"055367"</f>
        <v>055367</v>
      </c>
      <c r="C789" s="19" t="s">
        <v>794</v>
      </c>
      <c r="D789" s="19" t="s">
        <v>16223</v>
      </c>
      <c r="E789" s="19" t="s">
        <v>31194</v>
      </c>
      <c r="F789" s="19" t="s">
        <v>35978</v>
      </c>
      <c r="G789" s="18" t="str">
        <f>"91016"</f>
        <v>91016</v>
      </c>
      <c r="H789" s="19" t="s">
        <v>31109</v>
      </c>
      <c r="I789" s="20">
        <v>19.094999999999999</v>
      </c>
      <c r="J789" s="44" t="s">
        <v>8</v>
      </c>
      <c r="K789" s="23" t="s">
        <v>8</v>
      </c>
      <c r="L789" s="23" t="s">
        <v>8</v>
      </c>
      <c r="M789" s="23" t="s">
        <v>8</v>
      </c>
    </row>
    <row r="790" spans="1:13" s="21" customFormat="1" x14ac:dyDescent="0.25">
      <c r="A790" s="22" t="s">
        <v>8</v>
      </c>
      <c r="B790" s="18" t="str">
        <f>"055372"</f>
        <v>055372</v>
      </c>
      <c r="C790" s="19" t="s">
        <v>795</v>
      </c>
      <c r="D790" s="19" t="s">
        <v>16224</v>
      </c>
      <c r="E790" s="19" t="s">
        <v>31131</v>
      </c>
      <c r="F790" s="19" t="s">
        <v>35978</v>
      </c>
      <c r="G790" s="18" t="str">
        <f>"91733"</f>
        <v>91733</v>
      </c>
      <c r="H790" s="19" t="s">
        <v>31109</v>
      </c>
      <c r="I790" s="20">
        <v>20.018999999999998</v>
      </c>
      <c r="J790" s="44" t="s">
        <v>8</v>
      </c>
      <c r="K790" s="23" t="s">
        <v>8</v>
      </c>
      <c r="L790" s="23" t="s">
        <v>8</v>
      </c>
      <c r="M790" s="23" t="s">
        <v>8</v>
      </c>
    </row>
    <row r="791" spans="1:13" s="21" customFormat="1" x14ac:dyDescent="0.25">
      <c r="A791" s="22" t="s">
        <v>8</v>
      </c>
      <c r="B791" s="18" t="str">
        <f>"055374"</f>
        <v>055374</v>
      </c>
      <c r="C791" s="19" t="s">
        <v>796</v>
      </c>
      <c r="D791" s="19" t="s">
        <v>16225</v>
      </c>
      <c r="E791" s="19" t="s">
        <v>31195</v>
      </c>
      <c r="F791" s="19" t="s">
        <v>35978</v>
      </c>
      <c r="G791" s="18" t="str">
        <f>"91786"</f>
        <v>91786</v>
      </c>
      <c r="H791" s="19" t="s">
        <v>31227</v>
      </c>
      <c r="I791" s="20">
        <v>19.78</v>
      </c>
      <c r="J791" s="44" t="s">
        <v>8</v>
      </c>
      <c r="K791" s="23" t="s">
        <v>8</v>
      </c>
      <c r="L791" s="23" t="s">
        <v>8</v>
      </c>
      <c r="M791" s="23" t="s">
        <v>8</v>
      </c>
    </row>
    <row r="792" spans="1:13" s="21" customFormat="1" x14ac:dyDescent="0.25">
      <c r="A792" s="22" t="s">
        <v>8</v>
      </c>
      <c r="B792" s="18" t="str">
        <f>"055376"</f>
        <v>055376</v>
      </c>
      <c r="C792" s="19" t="s">
        <v>797</v>
      </c>
      <c r="D792" s="19" t="s">
        <v>16226</v>
      </c>
      <c r="E792" s="19" t="s">
        <v>31196</v>
      </c>
      <c r="F792" s="19" t="s">
        <v>35978</v>
      </c>
      <c r="G792" s="18" t="str">
        <f>"91007"</f>
        <v>91007</v>
      </c>
      <c r="H792" s="19" t="s">
        <v>31109</v>
      </c>
      <c r="I792" s="20">
        <v>18.361000000000001</v>
      </c>
      <c r="J792" s="44" t="s">
        <v>8</v>
      </c>
      <c r="K792" s="23" t="s">
        <v>8</v>
      </c>
      <c r="L792" s="23" t="s">
        <v>8</v>
      </c>
      <c r="M792" s="23" t="s">
        <v>8</v>
      </c>
    </row>
    <row r="793" spans="1:13" s="21" customFormat="1" x14ac:dyDescent="0.25">
      <c r="A793" s="22" t="s">
        <v>8</v>
      </c>
      <c r="B793" s="18" t="str">
        <f>"055387"</f>
        <v>055387</v>
      </c>
      <c r="C793" s="19" t="s">
        <v>798</v>
      </c>
      <c r="D793" s="19" t="s">
        <v>16227</v>
      </c>
      <c r="E793" s="19" t="s">
        <v>31111</v>
      </c>
      <c r="F793" s="19" t="s">
        <v>35978</v>
      </c>
      <c r="G793" s="18" t="str">
        <f>"90814"</f>
        <v>90814</v>
      </c>
      <c r="H793" s="19" t="s">
        <v>31109</v>
      </c>
      <c r="I793" s="20">
        <v>20.616</v>
      </c>
      <c r="J793" s="44" t="s">
        <v>8</v>
      </c>
      <c r="K793" s="23" t="s">
        <v>8</v>
      </c>
      <c r="L793" s="23" t="s">
        <v>8</v>
      </c>
      <c r="M793" s="23" t="s">
        <v>8</v>
      </c>
    </row>
    <row r="794" spans="1:13" s="21" customFormat="1" x14ac:dyDescent="0.25">
      <c r="A794" s="22" t="s">
        <v>8</v>
      </c>
      <c r="B794" s="18" t="str">
        <f>"055388"</f>
        <v>055388</v>
      </c>
      <c r="C794" s="19" t="s">
        <v>799</v>
      </c>
      <c r="D794" s="19" t="s">
        <v>16228</v>
      </c>
      <c r="E794" s="19" t="s">
        <v>31188</v>
      </c>
      <c r="F794" s="19" t="s">
        <v>35978</v>
      </c>
      <c r="G794" s="18" t="str">
        <f>"95112"</f>
        <v>95112</v>
      </c>
      <c r="H794" s="19" t="s">
        <v>31241</v>
      </c>
      <c r="I794" s="20">
        <v>18.954999999999998</v>
      </c>
      <c r="J794" s="44" t="s">
        <v>8</v>
      </c>
      <c r="K794" s="23" t="s">
        <v>8</v>
      </c>
      <c r="L794" s="23" t="s">
        <v>8</v>
      </c>
      <c r="M794" s="23" t="s">
        <v>8</v>
      </c>
    </row>
    <row r="795" spans="1:13" s="21" customFormat="1" x14ac:dyDescent="0.25">
      <c r="A795" s="22" t="s">
        <v>8</v>
      </c>
      <c r="B795" s="18" t="str">
        <f>"055394"</f>
        <v>055394</v>
      </c>
      <c r="C795" s="19" t="s">
        <v>800</v>
      </c>
      <c r="D795" s="19" t="s">
        <v>16229</v>
      </c>
      <c r="E795" s="19" t="s">
        <v>31104</v>
      </c>
      <c r="F795" s="19" t="s">
        <v>35978</v>
      </c>
      <c r="G795" s="18" t="str">
        <f>"91768"</f>
        <v>91768</v>
      </c>
      <c r="H795" s="19" t="s">
        <v>31109</v>
      </c>
      <c r="I795" s="20">
        <v>18.960999999999999</v>
      </c>
      <c r="J795" s="44" t="s">
        <v>8</v>
      </c>
      <c r="K795" s="23" t="s">
        <v>8</v>
      </c>
      <c r="L795" s="23" t="s">
        <v>8</v>
      </c>
      <c r="M795" s="23" t="s">
        <v>8</v>
      </c>
    </row>
    <row r="796" spans="1:13" s="21" customFormat="1" x14ac:dyDescent="0.25">
      <c r="A796" s="22" t="s">
        <v>8</v>
      </c>
      <c r="B796" s="18" t="str">
        <f>"055401"</f>
        <v>055401</v>
      </c>
      <c r="C796" s="19" t="s">
        <v>801</v>
      </c>
      <c r="D796" s="19" t="s">
        <v>16230</v>
      </c>
      <c r="E796" s="19" t="s">
        <v>31163</v>
      </c>
      <c r="F796" s="19" t="s">
        <v>35978</v>
      </c>
      <c r="G796" s="18" t="str">
        <f>"92543"</f>
        <v>92543</v>
      </c>
      <c r="H796" s="19" t="s">
        <v>31112</v>
      </c>
      <c r="I796" s="20">
        <v>19.914000000000001</v>
      </c>
      <c r="J796" s="44" t="s">
        <v>8</v>
      </c>
      <c r="K796" s="23" t="s">
        <v>8</v>
      </c>
      <c r="L796" s="23" t="s">
        <v>8</v>
      </c>
      <c r="M796" s="23" t="s">
        <v>8</v>
      </c>
    </row>
    <row r="797" spans="1:13" s="21" customFormat="1" x14ac:dyDescent="0.25">
      <c r="A797" s="22" t="s">
        <v>8</v>
      </c>
      <c r="B797" s="18" t="str">
        <f>"055402"</f>
        <v>055402</v>
      </c>
      <c r="C797" s="19" t="s">
        <v>802</v>
      </c>
      <c r="D797" s="19" t="s">
        <v>16231</v>
      </c>
      <c r="E797" s="19" t="s">
        <v>31197</v>
      </c>
      <c r="F797" s="19" t="s">
        <v>35978</v>
      </c>
      <c r="G797" s="18" t="str">
        <f>"95608"</f>
        <v>95608</v>
      </c>
      <c r="H797" s="19" t="s">
        <v>31180</v>
      </c>
      <c r="I797" s="20">
        <v>18.672000000000001</v>
      </c>
      <c r="J797" s="44" t="s">
        <v>8</v>
      </c>
      <c r="K797" s="23" t="s">
        <v>8</v>
      </c>
      <c r="L797" s="23" t="s">
        <v>8</v>
      </c>
      <c r="M797" s="23" t="s">
        <v>8</v>
      </c>
    </row>
    <row r="798" spans="1:13" s="21" customFormat="1" x14ac:dyDescent="0.25">
      <c r="A798" s="22" t="s">
        <v>8</v>
      </c>
      <c r="B798" s="18" t="str">
        <f>"055407"</f>
        <v>055407</v>
      </c>
      <c r="C798" s="19" t="s">
        <v>803</v>
      </c>
      <c r="D798" s="19" t="s">
        <v>16232</v>
      </c>
      <c r="E798" s="19" t="s">
        <v>31198</v>
      </c>
      <c r="F798" s="19" t="s">
        <v>35978</v>
      </c>
      <c r="G798" s="18" t="str">
        <f>"95014"</f>
        <v>95014</v>
      </c>
      <c r="H798" s="19" t="s">
        <v>31241</v>
      </c>
      <c r="I798" s="20">
        <v>24.4</v>
      </c>
      <c r="J798" s="44" t="s">
        <v>8</v>
      </c>
      <c r="K798" s="23" t="s">
        <v>8</v>
      </c>
      <c r="L798" s="23" t="s">
        <v>8</v>
      </c>
      <c r="M798" s="23" t="s">
        <v>8</v>
      </c>
    </row>
    <row r="799" spans="1:13" s="21" customFormat="1" x14ac:dyDescent="0.25">
      <c r="A799" s="22" t="s">
        <v>8</v>
      </c>
      <c r="B799" s="18" t="str">
        <f>"055409"</f>
        <v>055409</v>
      </c>
      <c r="C799" s="19" t="s">
        <v>804</v>
      </c>
      <c r="D799" s="19" t="s">
        <v>16233</v>
      </c>
      <c r="E799" s="19" t="s">
        <v>31112</v>
      </c>
      <c r="F799" s="19" t="s">
        <v>35978</v>
      </c>
      <c r="G799" s="18" t="str">
        <f>"92506"</f>
        <v>92506</v>
      </c>
      <c r="H799" s="19" t="s">
        <v>31112</v>
      </c>
      <c r="I799" s="20">
        <v>21.640999999999998</v>
      </c>
      <c r="J799" s="44" t="s">
        <v>8</v>
      </c>
      <c r="K799" s="23" t="s">
        <v>8</v>
      </c>
      <c r="L799" s="23" t="s">
        <v>8</v>
      </c>
      <c r="M799" s="23" t="s">
        <v>8</v>
      </c>
    </row>
    <row r="800" spans="1:13" s="21" customFormat="1" x14ac:dyDescent="0.25">
      <c r="A800" s="22" t="s">
        <v>8</v>
      </c>
      <c r="B800" s="18" t="str">
        <f>"055410"</f>
        <v>055410</v>
      </c>
      <c r="C800" s="19" t="s">
        <v>805</v>
      </c>
      <c r="D800" s="19" t="s">
        <v>16234</v>
      </c>
      <c r="E800" s="19" t="s">
        <v>31199</v>
      </c>
      <c r="F800" s="19" t="s">
        <v>35978</v>
      </c>
      <c r="G800" s="18" t="str">
        <f>"93230"</f>
        <v>93230</v>
      </c>
      <c r="H800" s="19" t="s">
        <v>36091</v>
      </c>
      <c r="I800" s="20">
        <v>18.140999999999998</v>
      </c>
      <c r="J800" s="44" t="s">
        <v>8</v>
      </c>
      <c r="K800" s="23" t="s">
        <v>8</v>
      </c>
      <c r="L800" s="23" t="s">
        <v>8</v>
      </c>
      <c r="M800" s="23" t="s">
        <v>8</v>
      </c>
    </row>
    <row r="801" spans="1:13" s="21" customFormat="1" x14ac:dyDescent="0.25">
      <c r="A801" s="22" t="s">
        <v>8</v>
      </c>
      <c r="B801" s="18" t="str">
        <f>"055412"</f>
        <v>055412</v>
      </c>
      <c r="C801" s="19" t="s">
        <v>806</v>
      </c>
      <c r="D801" s="19" t="s">
        <v>16235</v>
      </c>
      <c r="E801" s="19" t="s">
        <v>31200</v>
      </c>
      <c r="F801" s="19" t="s">
        <v>35978</v>
      </c>
      <c r="G801" s="18" t="str">
        <f>"95688"</f>
        <v>95688</v>
      </c>
      <c r="H801" s="19" t="s">
        <v>36086</v>
      </c>
      <c r="I801" s="20">
        <v>17.297000000000001</v>
      </c>
      <c r="J801" s="44" t="s">
        <v>8</v>
      </c>
      <c r="K801" s="23" t="s">
        <v>8</v>
      </c>
      <c r="L801" s="23" t="s">
        <v>8</v>
      </c>
      <c r="M801" s="23" t="s">
        <v>8</v>
      </c>
    </row>
    <row r="802" spans="1:13" s="21" customFormat="1" x14ac:dyDescent="0.25">
      <c r="A802" s="22" t="s">
        <v>8</v>
      </c>
      <c r="B802" s="18" t="str">
        <f>"055417"</f>
        <v>055417</v>
      </c>
      <c r="C802" s="19" t="s">
        <v>807</v>
      </c>
      <c r="D802" s="19" t="s">
        <v>16236</v>
      </c>
      <c r="E802" s="19" t="s">
        <v>31180</v>
      </c>
      <c r="F802" s="19" t="s">
        <v>35978</v>
      </c>
      <c r="G802" s="18" t="str">
        <f>"95816"</f>
        <v>95816</v>
      </c>
      <c r="H802" s="19" t="s">
        <v>31180</v>
      </c>
      <c r="I802" s="20">
        <v>18.181000000000001</v>
      </c>
      <c r="J802" s="44" t="s">
        <v>8</v>
      </c>
      <c r="K802" s="23" t="s">
        <v>8</v>
      </c>
      <c r="L802" s="23" t="s">
        <v>8</v>
      </c>
      <c r="M802" s="23" t="s">
        <v>8</v>
      </c>
    </row>
    <row r="803" spans="1:13" s="21" customFormat="1" x14ac:dyDescent="0.25">
      <c r="A803" s="22" t="s">
        <v>8</v>
      </c>
      <c r="B803" s="18" t="str">
        <f>"055423"</f>
        <v>055423</v>
      </c>
      <c r="C803" s="19" t="s">
        <v>808</v>
      </c>
      <c r="D803" s="19" t="s">
        <v>16237</v>
      </c>
      <c r="E803" s="19" t="s">
        <v>31155</v>
      </c>
      <c r="F803" s="19" t="s">
        <v>35978</v>
      </c>
      <c r="G803" s="18" t="str">
        <f>"93725"</f>
        <v>93725</v>
      </c>
      <c r="H803" s="19" t="s">
        <v>31155</v>
      </c>
      <c r="I803" s="20">
        <v>18.742999999999999</v>
      </c>
      <c r="J803" s="44" t="s">
        <v>8</v>
      </c>
      <c r="K803" s="23" t="s">
        <v>8</v>
      </c>
      <c r="L803" s="23" t="s">
        <v>8</v>
      </c>
      <c r="M803" s="23" t="s">
        <v>8</v>
      </c>
    </row>
    <row r="804" spans="1:13" s="21" customFormat="1" x14ac:dyDescent="0.25">
      <c r="A804" s="22" t="s">
        <v>8</v>
      </c>
      <c r="B804" s="18" t="str">
        <f>"055430"</f>
        <v>055430</v>
      </c>
      <c r="C804" s="19" t="s">
        <v>809</v>
      </c>
      <c r="D804" s="19" t="s">
        <v>16238</v>
      </c>
      <c r="E804" s="19" t="s">
        <v>31145</v>
      </c>
      <c r="F804" s="19" t="s">
        <v>35978</v>
      </c>
      <c r="G804" s="18" t="str">
        <f>"90603"</f>
        <v>90603</v>
      </c>
      <c r="H804" s="19" t="s">
        <v>31109</v>
      </c>
      <c r="I804" s="20">
        <v>19.425999999999998</v>
      </c>
      <c r="J804" s="44" t="s">
        <v>8</v>
      </c>
      <c r="K804" s="23" t="s">
        <v>8</v>
      </c>
      <c r="L804" s="23" t="s">
        <v>8</v>
      </c>
      <c r="M804" s="23" t="s">
        <v>8</v>
      </c>
    </row>
    <row r="805" spans="1:13" s="21" customFormat="1" x14ac:dyDescent="0.25">
      <c r="A805" s="22" t="s">
        <v>8</v>
      </c>
      <c r="B805" s="18" t="str">
        <f>"055434"</f>
        <v>055434</v>
      </c>
      <c r="C805" s="19" t="s">
        <v>810</v>
      </c>
      <c r="D805" s="19" t="s">
        <v>16239</v>
      </c>
      <c r="E805" s="19" t="s">
        <v>31190</v>
      </c>
      <c r="F805" s="19" t="s">
        <v>35978</v>
      </c>
      <c r="G805" s="18" t="str">
        <f>"94541"</f>
        <v>94541</v>
      </c>
      <c r="H805" s="19" t="s">
        <v>31290</v>
      </c>
      <c r="I805" s="20">
        <v>19.559000000000001</v>
      </c>
      <c r="J805" s="44" t="s">
        <v>8</v>
      </c>
      <c r="K805" s="23" t="s">
        <v>8</v>
      </c>
      <c r="L805" s="23" t="s">
        <v>8</v>
      </c>
      <c r="M805" s="23" t="s">
        <v>8</v>
      </c>
    </row>
    <row r="806" spans="1:13" s="21" customFormat="1" x14ac:dyDescent="0.25">
      <c r="A806" s="22" t="s">
        <v>8</v>
      </c>
      <c r="B806" s="18" t="str">
        <f>"055435"</f>
        <v>055435</v>
      </c>
      <c r="C806" s="19" t="s">
        <v>811</v>
      </c>
      <c r="D806" s="19" t="s">
        <v>16240</v>
      </c>
      <c r="E806" s="19" t="s">
        <v>31201</v>
      </c>
      <c r="F806" s="19" t="s">
        <v>35978</v>
      </c>
      <c r="G806" s="18" t="str">
        <f>"95070"</f>
        <v>95070</v>
      </c>
      <c r="H806" s="19" t="s">
        <v>31241</v>
      </c>
      <c r="I806" s="20">
        <v>16.503</v>
      </c>
      <c r="J806" s="44" t="s">
        <v>8</v>
      </c>
      <c r="K806" s="23" t="s">
        <v>8</v>
      </c>
      <c r="L806" s="23" t="s">
        <v>8</v>
      </c>
      <c r="M806" s="23" t="s">
        <v>8</v>
      </c>
    </row>
    <row r="807" spans="1:13" s="21" customFormat="1" x14ac:dyDescent="0.25">
      <c r="A807" s="22" t="s">
        <v>8</v>
      </c>
      <c r="B807" s="18" t="str">
        <f>"055438"</f>
        <v>055438</v>
      </c>
      <c r="C807" s="19" t="s">
        <v>812</v>
      </c>
      <c r="D807" s="19" t="s">
        <v>16241</v>
      </c>
      <c r="E807" s="19" t="s">
        <v>31202</v>
      </c>
      <c r="F807" s="19" t="s">
        <v>35978</v>
      </c>
      <c r="G807" s="18" t="str">
        <f>"95695"</f>
        <v>95695</v>
      </c>
      <c r="H807" s="19" t="s">
        <v>36092</v>
      </c>
      <c r="I807" s="20">
        <v>15.593999999999999</v>
      </c>
      <c r="J807" s="44" t="s">
        <v>8</v>
      </c>
      <c r="K807" s="23" t="s">
        <v>8</v>
      </c>
      <c r="L807" s="23" t="s">
        <v>8</v>
      </c>
      <c r="M807" s="23" t="s">
        <v>8</v>
      </c>
    </row>
    <row r="808" spans="1:13" s="21" customFormat="1" x14ac:dyDescent="0.25">
      <c r="A808" s="22" t="s">
        <v>8</v>
      </c>
      <c r="B808" s="18" t="str">
        <f>"055441"</f>
        <v>055441</v>
      </c>
      <c r="C808" s="19" t="s">
        <v>813</v>
      </c>
      <c r="D808" s="19" t="s">
        <v>16242</v>
      </c>
      <c r="E808" s="19" t="s">
        <v>31117</v>
      </c>
      <c r="F808" s="19" t="s">
        <v>35978</v>
      </c>
      <c r="G808" s="18" t="str">
        <f>"91775"</f>
        <v>91775</v>
      </c>
      <c r="H808" s="19" t="s">
        <v>31109</v>
      </c>
      <c r="I808" s="20">
        <v>19.649000000000001</v>
      </c>
      <c r="J808" s="44" t="s">
        <v>8</v>
      </c>
      <c r="K808" s="23" t="s">
        <v>8</v>
      </c>
      <c r="L808" s="23" t="s">
        <v>8</v>
      </c>
      <c r="M808" s="23" t="s">
        <v>8</v>
      </c>
    </row>
    <row r="809" spans="1:13" s="21" customFormat="1" x14ac:dyDescent="0.25">
      <c r="A809" s="22" t="s">
        <v>8</v>
      </c>
      <c r="B809" s="18" t="str">
        <f>"055443"</f>
        <v>055443</v>
      </c>
      <c r="C809" s="19" t="s">
        <v>814</v>
      </c>
      <c r="D809" s="19" t="s">
        <v>16243</v>
      </c>
      <c r="E809" s="19" t="s">
        <v>31203</v>
      </c>
      <c r="F809" s="19" t="s">
        <v>35978</v>
      </c>
      <c r="G809" s="18" t="str">
        <f>"91307"</f>
        <v>91307</v>
      </c>
      <c r="H809" s="19" t="s">
        <v>31109</v>
      </c>
      <c r="I809" s="20">
        <v>22.812999999999999</v>
      </c>
      <c r="J809" s="44" t="s">
        <v>8</v>
      </c>
      <c r="K809" s="23" t="s">
        <v>8</v>
      </c>
      <c r="L809" s="23" t="s">
        <v>8</v>
      </c>
      <c r="M809" s="23" t="s">
        <v>8</v>
      </c>
    </row>
    <row r="810" spans="1:13" s="21" customFormat="1" x14ac:dyDescent="0.25">
      <c r="A810" s="22" t="s">
        <v>8</v>
      </c>
      <c r="B810" s="18" t="str">
        <f>"055446"</f>
        <v>055446</v>
      </c>
      <c r="C810" s="19" t="s">
        <v>815</v>
      </c>
      <c r="D810" s="19" t="s">
        <v>16244</v>
      </c>
      <c r="E810" s="19" t="s">
        <v>30926</v>
      </c>
      <c r="F810" s="19" t="s">
        <v>35978</v>
      </c>
      <c r="G810" s="18" t="str">
        <f>"95603"</f>
        <v>95603</v>
      </c>
      <c r="H810" s="19" t="s">
        <v>36093</v>
      </c>
      <c r="I810" s="20">
        <v>16.341999999999999</v>
      </c>
      <c r="J810" s="44" t="s">
        <v>8</v>
      </c>
      <c r="K810" s="23" t="s">
        <v>8</v>
      </c>
      <c r="L810" s="23" t="s">
        <v>8</v>
      </c>
      <c r="M810" s="23" t="s">
        <v>8</v>
      </c>
    </row>
    <row r="811" spans="1:13" s="21" customFormat="1" x14ac:dyDescent="0.25">
      <c r="A811" s="22" t="s">
        <v>8</v>
      </c>
      <c r="B811" s="18" t="str">
        <f>"055448"</f>
        <v>055448</v>
      </c>
      <c r="C811" s="19" t="s">
        <v>816</v>
      </c>
      <c r="D811" s="19" t="s">
        <v>16245</v>
      </c>
      <c r="E811" s="19" t="s">
        <v>31204</v>
      </c>
      <c r="F811" s="19" t="s">
        <v>35978</v>
      </c>
      <c r="G811" s="18" t="str">
        <f>"93618"</f>
        <v>93618</v>
      </c>
      <c r="H811" s="19" t="s">
        <v>31243</v>
      </c>
      <c r="I811" s="20">
        <v>18.712</v>
      </c>
      <c r="J811" s="44" t="s">
        <v>8</v>
      </c>
      <c r="K811" s="23" t="s">
        <v>8</v>
      </c>
      <c r="L811" s="23" t="s">
        <v>8</v>
      </c>
      <c r="M811" s="23" t="s">
        <v>8</v>
      </c>
    </row>
    <row r="812" spans="1:13" s="21" customFormat="1" x14ac:dyDescent="0.25">
      <c r="A812" s="22" t="s">
        <v>8</v>
      </c>
      <c r="B812" s="18" t="str">
        <f>"055449"</f>
        <v>055449</v>
      </c>
      <c r="C812" s="19" t="s">
        <v>817</v>
      </c>
      <c r="D812" s="19" t="s">
        <v>16246</v>
      </c>
      <c r="E812" s="19" t="s">
        <v>31205</v>
      </c>
      <c r="F812" s="19" t="s">
        <v>35978</v>
      </c>
      <c r="G812" s="18" t="str">
        <f>"91723"</f>
        <v>91723</v>
      </c>
      <c r="H812" s="19" t="s">
        <v>31109</v>
      </c>
      <c r="I812" s="20">
        <v>17.664999999999999</v>
      </c>
      <c r="J812" s="44" t="s">
        <v>8</v>
      </c>
      <c r="K812" s="23" t="s">
        <v>8</v>
      </c>
      <c r="L812" s="23" t="s">
        <v>8</v>
      </c>
      <c r="M812" s="23" t="s">
        <v>8</v>
      </c>
    </row>
    <row r="813" spans="1:13" s="21" customFormat="1" x14ac:dyDescent="0.25">
      <c r="A813" s="22" t="s">
        <v>8</v>
      </c>
      <c r="B813" s="18" t="str">
        <f>"055454"</f>
        <v>055454</v>
      </c>
      <c r="C813" s="19" t="s">
        <v>818</v>
      </c>
      <c r="D813" s="19" t="s">
        <v>16247</v>
      </c>
      <c r="E813" s="19" t="s">
        <v>31206</v>
      </c>
      <c r="F813" s="19" t="s">
        <v>35978</v>
      </c>
      <c r="G813" s="18" t="str">
        <f>"93625"</f>
        <v>93625</v>
      </c>
      <c r="H813" s="19" t="s">
        <v>31155</v>
      </c>
      <c r="I813" s="20">
        <v>19.821999999999999</v>
      </c>
      <c r="J813" s="44" t="s">
        <v>8</v>
      </c>
      <c r="K813" s="23" t="s">
        <v>8</v>
      </c>
      <c r="L813" s="23" t="s">
        <v>8</v>
      </c>
      <c r="M813" s="23" t="s">
        <v>8</v>
      </c>
    </row>
    <row r="814" spans="1:13" s="21" customFormat="1" x14ac:dyDescent="0.25">
      <c r="A814" s="22" t="s">
        <v>8</v>
      </c>
      <c r="B814" s="18" t="str">
        <f>"055457"</f>
        <v>055457</v>
      </c>
      <c r="C814" s="19" t="s">
        <v>819</v>
      </c>
      <c r="D814" s="19" t="s">
        <v>16248</v>
      </c>
      <c r="E814" s="19" t="s">
        <v>31181</v>
      </c>
      <c r="F814" s="19" t="s">
        <v>35978</v>
      </c>
      <c r="G814" s="18" t="str">
        <f>"90650"</f>
        <v>90650</v>
      </c>
      <c r="H814" s="19" t="s">
        <v>31109</v>
      </c>
      <c r="I814" s="20">
        <v>17.035</v>
      </c>
      <c r="J814" s="44" t="s">
        <v>8</v>
      </c>
      <c r="K814" s="23" t="s">
        <v>8</v>
      </c>
      <c r="L814" s="23" t="s">
        <v>8</v>
      </c>
      <c r="M814" s="23" t="s">
        <v>8</v>
      </c>
    </row>
    <row r="815" spans="1:13" s="21" customFormat="1" x14ac:dyDescent="0.25">
      <c r="A815" s="22" t="s">
        <v>8</v>
      </c>
      <c r="B815" s="18" t="str">
        <f>"055459"</f>
        <v>055459</v>
      </c>
      <c r="C815" s="19" t="s">
        <v>820</v>
      </c>
      <c r="D815" s="19" t="s">
        <v>16249</v>
      </c>
      <c r="E815" s="19" t="s">
        <v>31207</v>
      </c>
      <c r="F815" s="19" t="s">
        <v>35978</v>
      </c>
      <c r="G815" s="18" t="str">
        <f>"92802"</f>
        <v>92802</v>
      </c>
      <c r="H815" s="19" t="s">
        <v>31169</v>
      </c>
      <c r="I815" s="20">
        <v>21.257000000000001</v>
      </c>
      <c r="J815" s="44" t="s">
        <v>8</v>
      </c>
      <c r="K815" s="23" t="s">
        <v>8</v>
      </c>
      <c r="L815" s="23" t="s">
        <v>8</v>
      </c>
      <c r="M815" s="23" t="s">
        <v>8</v>
      </c>
    </row>
    <row r="816" spans="1:13" s="21" customFormat="1" x14ac:dyDescent="0.25">
      <c r="A816" s="22" t="s">
        <v>8</v>
      </c>
      <c r="B816" s="18" t="str">
        <f>"055462"</f>
        <v>055462</v>
      </c>
      <c r="C816" s="19" t="s">
        <v>821</v>
      </c>
      <c r="D816" s="19" t="s">
        <v>16250</v>
      </c>
      <c r="E816" s="19" t="s">
        <v>31208</v>
      </c>
      <c r="F816" s="19" t="s">
        <v>35978</v>
      </c>
      <c r="G816" s="18" t="str">
        <f>"95023"</f>
        <v>95023</v>
      </c>
      <c r="H816" s="19" t="s">
        <v>36094</v>
      </c>
      <c r="I816" s="20">
        <v>20.795999999999999</v>
      </c>
      <c r="J816" s="44" t="s">
        <v>8</v>
      </c>
      <c r="K816" s="23" t="s">
        <v>8</v>
      </c>
      <c r="L816" s="23" t="s">
        <v>8</v>
      </c>
      <c r="M816" s="23" t="s">
        <v>8</v>
      </c>
    </row>
    <row r="817" spans="1:13" s="21" customFormat="1" x14ac:dyDescent="0.25">
      <c r="A817" s="22" t="s">
        <v>8</v>
      </c>
      <c r="B817" s="18" t="str">
        <f>"055464"</f>
        <v>055464</v>
      </c>
      <c r="C817" s="19" t="s">
        <v>822</v>
      </c>
      <c r="D817" s="19" t="s">
        <v>16251</v>
      </c>
      <c r="E817" s="19" t="s">
        <v>31191</v>
      </c>
      <c r="F817" s="19" t="s">
        <v>35978</v>
      </c>
      <c r="G817" s="18" t="str">
        <f>"91107"</f>
        <v>91107</v>
      </c>
      <c r="H817" s="19" t="s">
        <v>31109</v>
      </c>
      <c r="I817" s="20">
        <v>18.053000000000001</v>
      </c>
      <c r="J817" s="44" t="s">
        <v>8</v>
      </c>
      <c r="K817" s="23" t="s">
        <v>8</v>
      </c>
      <c r="L817" s="23" t="s">
        <v>8</v>
      </c>
      <c r="M817" s="23" t="s">
        <v>8</v>
      </c>
    </row>
    <row r="818" spans="1:13" s="21" customFormat="1" x14ac:dyDescent="0.25">
      <c r="A818" s="22" t="s">
        <v>8</v>
      </c>
      <c r="B818" s="18" t="str">
        <f>"055466"</f>
        <v>055466</v>
      </c>
      <c r="C818" s="19" t="s">
        <v>823</v>
      </c>
      <c r="D818" s="19" t="s">
        <v>16252</v>
      </c>
      <c r="E818" s="19" t="s">
        <v>31209</v>
      </c>
      <c r="F818" s="19" t="s">
        <v>35978</v>
      </c>
      <c r="G818" s="18" t="str">
        <f>"94028"</f>
        <v>94028</v>
      </c>
      <c r="H818" s="19" t="s">
        <v>31152</v>
      </c>
      <c r="I818" s="20">
        <v>16.827000000000002</v>
      </c>
      <c r="J818" s="44" t="s">
        <v>8</v>
      </c>
      <c r="K818" s="23" t="s">
        <v>8</v>
      </c>
      <c r="L818" s="23" t="s">
        <v>8</v>
      </c>
      <c r="M818" s="23" t="s">
        <v>8</v>
      </c>
    </row>
    <row r="819" spans="1:13" s="21" customFormat="1" x14ac:dyDescent="0.25">
      <c r="A819" s="22" t="s">
        <v>8</v>
      </c>
      <c r="B819" s="18" t="str">
        <f>"055473"</f>
        <v>055473</v>
      </c>
      <c r="C819" s="19" t="s">
        <v>824</v>
      </c>
      <c r="D819" s="19" t="s">
        <v>16253</v>
      </c>
      <c r="E819" s="19" t="s">
        <v>31109</v>
      </c>
      <c r="F819" s="19" t="s">
        <v>35978</v>
      </c>
      <c r="G819" s="18" t="str">
        <f>"90025"</f>
        <v>90025</v>
      </c>
      <c r="H819" s="19" t="s">
        <v>31109</v>
      </c>
      <c r="I819" s="20">
        <v>20.295999999999999</v>
      </c>
      <c r="J819" s="44" t="s">
        <v>8</v>
      </c>
      <c r="K819" s="23" t="s">
        <v>8</v>
      </c>
      <c r="L819" s="23" t="s">
        <v>8</v>
      </c>
      <c r="M819" s="23" t="s">
        <v>8</v>
      </c>
    </row>
    <row r="820" spans="1:13" s="21" customFormat="1" x14ac:dyDescent="0.25">
      <c r="A820" s="22" t="s">
        <v>8</v>
      </c>
      <c r="B820" s="18" t="str">
        <f>"055474"</f>
        <v>055474</v>
      </c>
      <c r="C820" s="19" t="s">
        <v>825</v>
      </c>
      <c r="D820" s="19" t="s">
        <v>16254</v>
      </c>
      <c r="E820" s="19" t="s">
        <v>31112</v>
      </c>
      <c r="F820" s="19" t="s">
        <v>35978</v>
      </c>
      <c r="G820" s="18" t="str">
        <f>"92504"</f>
        <v>92504</v>
      </c>
      <c r="H820" s="19" t="s">
        <v>31112</v>
      </c>
      <c r="I820" s="20">
        <v>18.876999999999999</v>
      </c>
      <c r="J820" s="44" t="s">
        <v>8</v>
      </c>
      <c r="K820" s="23" t="s">
        <v>8</v>
      </c>
      <c r="L820" s="23" t="s">
        <v>8</v>
      </c>
      <c r="M820" s="23" t="s">
        <v>8</v>
      </c>
    </row>
    <row r="821" spans="1:13" s="21" customFormat="1" x14ac:dyDescent="0.25">
      <c r="A821" s="22" t="s">
        <v>8</v>
      </c>
      <c r="B821" s="18" t="str">
        <f>"055475"</f>
        <v>055475</v>
      </c>
      <c r="C821" s="19" t="s">
        <v>826</v>
      </c>
      <c r="D821" s="19" t="s">
        <v>16255</v>
      </c>
      <c r="E821" s="19" t="s">
        <v>31210</v>
      </c>
      <c r="F821" s="19" t="s">
        <v>35978</v>
      </c>
      <c r="G821" s="18" t="str">
        <f>"95380"</f>
        <v>95380</v>
      </c>
      <c r="H821" s="19" t="s">
        <v>36085</v>
      </c>
      <c r="I821" s="20">
        <v>19.882000000000001</v>
      </c>
      <c r="J821" s="44" t="s">
        <v>8</v>
      </c>
      <c r="K821" s="23" t="s">
        <v>8</v>
      </c>
      <c r="L821" s="23" t="s">
        <v>8</v>
      </c>
      <c r="M821" s="23" t="s">
        <v>8</v>
      </c>
    </row>
    <row r="822" spans="1:13" s="21" customFormat="1" x14ac:dyDescent="0.25">
      <c r="A822" s="22" t="s">
        <v>8</v>
      </c>
      <c r="B822" s="18" t="str">
        <f>"055476"</f>
        <v>055476</v>
      </c>
      <c r="C822" s="19" t="s">
        <v>827</v>
      </c>
      <c r="D822" s="19" t="s">
        <v>16256</v>
      </c>
      <c r="E822" s="19" t="s">
        <v>31211</v>
      </c>
      <c r="F822" s="19" t="s">
        <v>35978</v>
      </c>
      <c r="G822" s="18" t="str">
        <f>"95472"</f>
        <v>95472</v>
      </c>
      <c r="H822" s="19" t="s">
        <v>31174</v>
      </c>
      <c r="I822" s="20">
        <v>17.669</v>
      </c>
      <c r="J822" s="44" t="s">
        <v>8</v>
      </c>
      <c r="K822" s="23" t="s">
        <v>8</v>
      </c>
      <c r="L822" s="23" t="s">
        <v>8</v>
      </c>
      <c r="M822" s="23" t="s">
        <v>8</v>
      </c>
    </row>
    <row r="823" spans="1:13" s="21" customFormat="1" x14ac:dyDescent="0.25">
      <c r="A823" s="22" t="s">
        <v>8</v>
      </c>
      <c r="B823" s="18" t="str">
        <f>"055480"</f>
        <v>055480</v>
      </c>
      <c r="C823" s="19" t="s">
        <v>828</v>
      </c>
      <c r="D823" s="19" t="s">
        <v>16257</v>
      </c>
      <c r="E823" s="19" t="s">
        <v>31191</v>
      </c>
      <c r="F823" s="19" t="s">
        <v>35978</v>
      </c>
      <c r="G823" s="18" t="str">
        <f>"91105"</f>
        <v>91105</v>
      </c>
      <c r="H823" s="19" t="s">
        <v>31109</v>
      </c>
      <c r="I823" s="20">
        <v>17.007000000000001</v>
      </c>
      <c r="J823" s="44" t="s">
        <v>8</v>
      </c>
      <c r="K823" s="23" t="s">
        <v>8</v>
      </c>
      <c r="L823" s="23" t="s">
        <v>8</v>
      </c>
      <c r="M823" s="23" t="s">
        <v>8</v>
      </c>
    </row>
    <row r="824" spans="1:13" s="21" customFormat="1" x14ac:dyDescent="0.25">
      <c r="A824" s="22" t="s">
        <v>8</v>
      </c>
      <c r="B824" s="18" t="str">
        <f>"055481"</f>
        <v>055481</v>
      </c>
      <c r="C824" s="19" t="s">
        <v>829</v>
      </c>
      <c r="D824" s="19" t="s">
        <v>16258</v>
      </c>
      <c r="E824" s="19" t="s">
        <v>31167</v>
      </c>
      <c r="F824" s="19" t="s">
        <v>35978</v>
      </c>
      <c r="G824" s="18" t="str">
        <f>"95242"</f>
        <v>95242</v>
      </c>
      <c r="H824" s="19" t="s">
        <v>36087</v>
      </c>
      <c r="I824" s="20">
        <v>17.887</v>
      </c>
      <c r="J824" s="44" t="s">
        <v>8</v>
      </c>
      <c r="K824" s="23" t="s">
        <v>8</v>
      </c>
      <c r="L824" s="23" t="s">
        <v>8</v>
      </c>
      <c r="M824" s="23" t="s">
        <v>8</v>
      </c>
    </row>
    <row r="825" spans="1:13" s="21" customFormat="1" x14ac:dyDescent="0.25">
      <c r="A825" s="22" t="s">
        <v>8</v>
      </c>
      <c r="B825" s="18" t="str">
        <f>"055488"</f>
        <v>055488</v>
      </c>
      <c r="C825" s="19" t="s">
        <v>830</v>
      </c>
      <c r="D825" s="19" t="s">
        <v>16259</v>
      </c>
      <c r="E825" s="19" t="s">
        <v>31124</v>
      </c>
      <c r="F825" s="19" t="s">
        <v>35978</v>
      </c>
      <c r="G825" s="18" t="str">
        <f>"91941"</f>
        <v>91941</v>
      </c>
      <c r="H825" s="19" t="s">
        <v>31176</v>
      </c>
      <c r="I825" s="20">
        <v>20.225000000000001</v>
      </c>
      <c r="J825" s="44" t="s">
        <v>8</v>
      </c>
      <c r="K825" s="23" t="s">
        <v>8</v>
      </c>
      <c r="L825" s="23" t="s">
        <v>8</v>
      </c>
      <c r="M825" s="23" t="s">
        <v>8</v>
      </c>
    </row>
    <row r="826" spans="1:13" s="21" customFormat="1" x14ac:dyDescent="0.25">
      <c r="A826" s="22" t="s">
        <v>8</v>
      </c>
      <c r="B826" s="18" t="str">
        <f>"055489"</f>
        <v>055489</v>
      </c>
      <c r="C826" s="19" t="s">
        <v>831</v>
      </c>
      <c r="D826" s="19" t="s">
        <v>16260</v>
      </c>
      <c r="E826" s="19" t="s">
        <v>31212</v>
      </c>
      <c r="F826" s="19" t="s">
        <v>35978</v>
      </c>
      <c r="G826" s="18" t="str">
        <f>"96080"</f>
        <v>96080</v>
      </c>
      <c r="H826" s="19" t="s">
        <v>36095</v>
      </c>
      <c r="I826" s="20">
        <v>19.245999999999999</v>
      </c>
      <c r="J826" s="44" t="s">
        <v>8</v>
      </c>
      <c r="K826" s="23" t="s">
        <v>8</v>
      </c>
      <c r="L826" s="23" t="s">
        <v>8</v>
      </c>
      <c r="M826" s="23" t="s">
        <v>8</v>
      </c>
    </row>
    <row r="827" spans="1:13" s="21" customFormat="1" x14ac:dyDescent="0.25">
      <c r="A827" s="22" t="s">
        <v>8</v>
      </c>
      <c r="B827" s="18" t="str">
        <f>"055491"</f>
        <v>055491</v>
      </c>
      <c r="C827" s="19" t="s">
        <v>832</v>
      </c>
      <c r="D827" s="19" t="s">
        <v>16261</v>
      </c>
      <c r="E827" s="19" t="s">
        <v>31213</v>
      </c>
      <c r="F827" s="19" t="s">
        <v>35978</v>
      </c>
      <c r="G827" s="18" t="str">
        <f>"95661"</f>
        <v>95661</v>
      </c>
      <c r="H827" s="19" t="s">
        <v>36093</v>
      </c>
      <c r="I827" s="20">
        <v>17.344999999999999</v>
      </c>
      <c r="J827" s="44" t="s">
        <v>8</v>
      </c>
      <c r="K827" s="23" t="s">
        <v>8</v>
      </c>
      <c r="L827" s="23" t="s">
        <v>8</v>
      </c>
      <c r="M827" s="23" t="s">
        <v>8</v>
      </c>
    </row>
    <row r="828" spans="1:13" s="21" customFormat="1" x14ac:dyDescent="0.25">
      <c r="A828" s="22" t="s">
        <v>8</v>
      </c>
      <c r="B828" s="18" t="str">
        <f>"055493"</f>
        <v>055493</v>
      </c>
      <c r="C828" s="19" t="s">
        <v>833</v>
      </c>
      <c r="D828" s="19" t="s">
        <v>16262</v>
      </c>
      <c r="E828" s="19" t="s">
        <v>31180</v>
      </c>
      <c r="F828" s="19" t="s">
        <v>35978</v>
      </c>
      <c r="G828" s="18" t="str">
        <f>"95816"</f>
        <v>95816</v>
      </c>
      <c r="H828" s="19" t="s">
        <v>31180</v>
      </c>
      <c r="I828" s="20">
        <v>18.202000000000002</v>
      </c>
      <c r="J828" s="44" t="s">
        <v>8</v>
      </c>
      <c r="K828" s="23" t="s">
        <v>8</v>
      </c>
      <c r="L828" s="23" t="s">
        <v>8</v>
      </c>
      <c r="M828" s="23" t="s">
        <v>8</v>
      </c>
    </row>
    <row r="829" spans="1:13" s="21" customFormat="1" x14ac:dyDescent="0.25">
      <c r="A829" s="22" t="s">
        <v>8</v>
      </c>
      <c r="B829" s="18" t="str">
        <f>"055494"</f>
        <v>055494</v>
      </c>
      <c r="C829" s="19" t="s">
        <v>834</v>
      </c>
      <c r="D829" s="19" t="s">
        <v>16263</v>
      </c>
      <c r="E829" s="19" t="s">
        <v>31214</v>
      </c>
      <c r="F829" s="19" t="s">
        <v>35978</v>
      </c>
      <c r="G829" s="18" t="str">
        <f>"95969"</f>
        <v>95969</v>
      </c>
      <c r="H829" s="19" t="s">
        <v>33744</v>
      </c>
      <c r="I829" s="20">
        <v>19.363</v>
      </c>
      <c r="J829" s="44" t="s">
        <v>8</v>
      </c>
      <c r="K829" s="23" t="s">
        <v>8</v>
      </c>
      <c r="L829" s="23" t="s">
        <v>8</v>
      </c>
      <c r="M829" s="23" t="s">
        <v>8</v>
      </c>
    </row>
    <row r="830" spans="1:13" s="21" customFormat="1" x14ac:dyDescent="0.25">
      <c r="A830" s="22" t="s">
        <v>8</v>
      </c>
      <c r="B830" s="18" t="str">
        <f>"055497"</f>
        <v>055497</v>
      </c>
      <c r="C830" s="19" t="s">
        <v>835</v>
      </c>
      <c r="D830" s="19" t="s">
        <v>16264</v>
      </c>
      <c r="E830" s="19" t="s">
        <v>31215</v>
      </c>
      <c r="F830" s="19" t="s">
        <v>35978</v>
      </c>
      <c r="G830" s="18" t="str">
        <f>"95667"</f>
        <v>95667</v>
      </c>
      <c r="H830" s="19" t="s">
        <v>31015</v>
      </c>
      <c r="I830" s="20">
        <v>21.727</v>
      </c>
      <c r="J830" s="44" t="s">
        <v>8</v>
      </c>
      <c r="K830" s="23" t="s">
        <v>8</v>
      </c>
      <c r="L830" s="23" t="s">
        <v>8</v>
      </c>
      <c r="M830" s="23" t="s">
        <v>8</v>
      </c>
    </row>
    <row r="831" spans="1:13" s="21" customFormat="1" x14ac:dyDescent="0.25">
      <c r="A831" s="22" t="s">
        <v>8</v>
      </c>
      <c r="B831" s="18" t="str">
        <f>"055499"</f>
        <v>055499</v>
      </c>
      <c r="C831" s="19" t="s">
        <v>836</v>
      </c>
      <c r="D831" s="19" t="s">
        <v>16265</v>
      </c>
      <c r="E831" s="19" t="s">
        <v>31216</v>
      </c>
      <c r="F831" s="19" t="s">
        <v>35978</v>
      </c>
      <c r="G831" s="18" t="str">
        <f>"95453"</f>
        <v>95453</v>
      </c>
      <c r="H831" s="19" t="s">
        <v>36096</v>
      </c>
      <c r="I831" s="20">
        <v>16.484000000000002</v>
      </c>
      <c r="J831" s="44" t="s">
        <v>8</v>
      </c>
      <c r="K831" s="23" t="s">
        <v>8</v>
      </c>
      <c r="L831" s="23" t="s">
        <v>8</v>
      </c>
      <c r="M831" s="23" t="s">
        <v>8</v>
      </c>
    </row>
    <row r="832" spans="1:13" s="21" customFormat="1" x14ac:dyDescent="0.25">
      <c r="A832" s="22" t="s">
        <v>8</v>
      </c>
      <c r="B832" s="18" t="str">
        <f>"055500"</f>
        <v>055500</v>
      </c>
      <c r="C832" s="19" t="s">
        <v>837</v>
      </c>
      <c r="D832" s="19" t="s">
        <v>16266</v>
      </c>
      <c r="E832" s="19" t="s">
        <v>31119</v>
      </c>
      <c r="F832" s="19" t="s">
        <v>35978</v>
      </c>
      <c r="G832" s="18" t="str">
        <f>"92025"</f>
        <v>92025</v>
      </c>
      <c r="H832" s="19" t="s">
        <v>31176</v>
      </c>
      <c r="I832" s="20">
        <v>19.765999999999998</v>
      </c>
      <c r="J832" s="44" t="s">
        <v>8</v>
      </c>
      <c r="K832" s="23" t="s">
        <v>8</v>
      </c>
      <c r="L832" s="23" t="s">
        <v>8</v>
      </c>
      <c r="M832" s="23" t="s">
        <v>8</v>
      </c>
    </row>
    <row r="833" spans="1:13" s="21" customFormat="1" x14ac:dyDescent="0.25">
      <c r="A833" s="22" t="s">
        <v>8</v>
      </c>
      <c r="B833" s="18" t="str">
        <f>"055504"</f>
        <v>055504</v>
      </c>
      <c r="C833" s="19" t="s">
        <v>838</v>
      </c>
      <c r="D833" s="19" t="s">
        <v>16267</v>
      </c>
      <c r="E833" s="19" t="s">
        <v>31109</v>
      </c>
      <c r="F833" s="19" t="s">
        <v>35978</v>
      </c>
      <c r="G833" s="18" t="str">
        <f>"90034"</f>
        <v>90034</v>
      </c>
      <c r="H833" s="19" t="s">
        <v>31109</v>
      </c>
      <c r="I833" s="20">
        <v>18.925999999999998</v>
      </c>
      <c r="J833" s="44" t="s">
        <v>8</v>
      </c>
      <c r="K833" s="23" t="s">
        <v>8</v>
      </c>
      <c r="L833" s="23" t="s">
        <v>8</v>
      </c>
      <c r="M833" s="23" t="s">
        <v>8</v>
      </c>
    </row>
    <row r="834" spans="1:13" s="21" customFormat="1" x14ac:dyDescent="0.25">
      <c r="A834" s="22" t="s">
        <v>8</v>
      </c>
      <c r="B834" s="18" t="str">
        <f>"055505"</f>
        <v>055505</v>
      </c>
      <c r="C834" s="19" t="s">
        <v>839</v>
      </c>
      <c r="D834" s="19" t="s">
        <v>16268</v>
      </c>
      <c r="E834" s="19" t="s">
        <v>31176</v>
      </c>
      <c r="F834" s="19" t="s">
        <v>35978</v>
      </c>
      <c r="G834" s="18" t="str">
        <f>"92105"</f>
        <v>92105</v>
      </c>
      <c r="H834" s="19" t="s">
        <v>31176</v>
      </c>
      <c r="I834" s="20">
        <v>19.277999999999999</v>
      </c>
      <c r="J834" s="44" t="s">
        <v>8</v>
      </c>
      <c r="K834" s="23" t="s">
        <v>8</v>
      </c>
      <c r="L834" s="23" t="s">
        <v>8</v>
      </c>
      <c r="M834" s="23" t="s">
        <v>8</v>
      </c>
    </row>
    <row r="835" spans="1:13" s="21" customFormat="1" x14ac:dyDescent="0.25">
      <c r="A835" s="22" t="s">
        <v>8</v>
      </c>
      <c r="B835" s="18" t="str">
        <f>"055507"</f>
        <v>055507</v>
      </c>
      <c r="C835" s="19" t="s">
        <v>840</v>
      </c>
      <c r="D835" s="19" t="s">
        <v>16269</v>
      </c>
      <c r="E835" s="19" t="s">
        <v>31197</v>
      </c>
      <c r="F835" s="19" t="s">
        <v>35978</v>
      </c>
      <c r="G835" s="18" t="str">
        <f>"95608"</f>
        <v>95608</v>
      </c>
      <c r="H835" s="19" t="s">
        <v>31180</v>
      </c>
      <c r="I835" s="20">
        <v>18.654</v>
      </c>
      <c r="J835" s="44" t="s">
        <v>8</v>
      </c>
      <c r="K835" s="23" t="s">
        <v>8</v>
      </c>
      <c r="L835" s="23" t="s">
        <v>8</v>
      </c>
      <c r="M835" s="23" t="s">
        <v>8</v>
      </c>
    </row>
    <row r="836" spans="1:13" s="21" customFormat="1" x14ac:dyDescent="0.25">
      <c r="A836" s="22" t="s">
        <v>8</v>
      </c>
      <c r="B836" s="18" t="str">
        <f>"055508"</f>
        <v>055508</v>
      </c>
      <c r="C836" s="19" t="s">
        <v>841</v>
      </c>
      <c r="D836" s="19" t="s">
        <v>16270</v>
      </c>
      <c r="E836" s="19" t="s">
        <v>31176</v>
      </c>
      <c r="F836" s="19" t="s">
        <v>35978</v>
      </c>
      <c r="G836" s="18" t="str">
        <f>"92105"</f>
        <v>92105</v>
      </c>
      <c r="H836" s="19" t="s">
        <v>31176</v>
      </c>
      <c r="I836" s="20">
        <v>19.295000000000002</v>
      </c>
      <c r="J836" s="44" t="s">
        <v>8</v>
      </c>
      <c r="K836" s="23" t="s">
        <v>8</v>
      </c>
      <c r="L836" s="23" t="s">
        <v>8</v>
      </c>
      <c r="M836" s="23" t="s">
        <v>8</v>
      </c>
    </row>
    <row r="837" spans="1:13" s="21" customFormat="1" x14ac:dyDescent="0.25">
      <c r="A837" s="22" t="s">
        <v>8</v>
      </c>
      <c r="B837" s="18" t="str">
        <f>"055510"</f>
        <v>055510</v>
      </c>
      <c r="C837" s="19" t="s">
        <v>842</v>
      </c>
      <c r="D837" s="19" t="s">
        <v>16271</v>
      </c>
      <c r="E837" s="19" t="s">
        <v>31217</v>
      </c>
      <c r="F837" s="19" t="s">
        <v>35978</v>
      </c>
      <c r="G837" s="18" t="str">
        <f>"96001"</f>
        <v>96001</v>
      </c>
      <c r="H837" s="19" t="s">
        <v>36097</v>
      </c>
      <c r="I837" s="20">
        <v>18.844999999999999</v>
      </c>
      <c r="J837" s="44" t="s">
        <v>8</v>
      </c>
      <c r="K837" s="23" t="s">
        <v>8</v>
      </c>
      <c r="L837" s="23" t="s">
        <v>8</v>
      </c>
      <c r="M837" s="23" t="s">
        <v>8</v>
      </c>
    </row>
    <row r="838" spans="1:13" s="21" customFormat="1" x14ac:dyDescent="0.25">
      <c r="A838" s="22" t="s">
        <v>8</v>
      </c>
      <c r="B838" s="18" t="str">
        <f>"055512"</f>
        <v>055512</v>
      </c>
      <c r="C838" s="19" t="s">
        <v>843</v>
      </c>
      <c r="D838" s="19" t="s">
        <v>16272</v>
      </c>
      <c r="E838" s="19" t="s">
        <v>31218</v>
      </c>
      <c r="F838" s="19" t="s">
        <v>35978</v>
      </c>
      <c r="G838" s="18" t="str">
        <f>"95945"</f>
        <v>95945</v>
      </c>
      <c r="H838" s="19" t="s">
        <v>32459</v>
      </c>
      <c r="I838" s="20">
        <v>21.628</v>
      </c>
      <c r="J838" s="44" t="s">
        <v>8</v>
      </c>
      <c r="K838" s="23" t="s">
        <v>8</v>
      </c>
      <c r="L838" s="23" t="s">
        <v>8</v>
      </c>
      <c r="M838" s="23" t="s">
        <v>8</v>
      </c>
    </row>
    <row r="839" spans="1:13" s="21" customFormat="1" x14ac:dyDescent="0.25">
      <c r="A839" s="22" t="s">
        <v>8</v>
      </c>
      <c r="B839" s="18" t="str">
        <f>"055516"</f>
        <v>055516</v>
      </c>
      <c r="C839" s="19" t="s">
        <v>844</v>
      </c>
      <c r="D839" s="19" t="s">
        <v>16273</v>
      </c>
      <c r="E839" s="19" t="s">
        <v>31219</v>
      </c>
      <c r="F839" s="19" t="s">
        <v>35978</v>
      </c>
      <c r="G839" s="18" t="str">
        <f>"95926"</f>
        <v>95926</v>
      </c>
      <c r="H839" s="19" t="s">
        <v>33744</v>
      </c>
      <c r="I839" s="20">
        <v>17.048999999999999</v>
      </c>
      <c r="J839" s="44" t="s">
        <v>8</v>
      </c>
      <c r="K839" s="23" t="s">
        <v>8</v>
      </c>
      <c r="L839" s="23" t="s">
        <v>8</v>
      </c>
      <c r="M839" s="23" t="s">
        <v>8</v>
      </c>
    </row>
    <row r="840" spans="1:13" s="21" customFormat="1" x14ac:dyDescent="0.25">
      <c r="A840" s="22" t="s">
        <v>8</v>
      </c>
      <c r="B840" s="18" t="str">
        <f>"055517"</f>
        <v>055517</v>
      </c>
      <c r="C840" s="19" t="s">
        <v>845</v>
      </c>
      <c r="D840" s="19" t="s">
        <v>16274</v>
      </c>
      <c r="E840" s="19" t="s">
        <v>31220</v>
      </c>
      <c r="F840" s="19" t="s">
        <v>35978</v>
      </c>
      <c r="G840" s="18" t="str">
        <f>"95030"</f>
        <v>95030</v>
      </c>
      <c r="H840" s="19" t="s">
        <v>31241</v>
      </c>
      <c r="I840" s="20">
        <v>22.265999999999998</v>
      </c>
      <c r="J840" s="44" t="s">
        <v>8</v>
      </c>
      <c r="K840" s="23" t="s">
        <v>8</v>
      </c>
      <c r="L840" s="23" t="s">
        <v>8</v>
      </c>
      <c r="M840" s="23" t="s">
        <v>8</v>
      </c>
    </row>
    <row r="841" spans="1:13" s="21" customFormat="1" x14ac:dyDescent="0.25">
      <c r="A841" s="22" t="s">
        <v>8</v>
      </c>
      <c r="B841" s="18" t="str">
        <f>"055518"</f>
        <v>055518</v>
      </c>
      <c r="C841" s="19" t="s">
        <v>846</v>
      </c>
      <c r="D841" s="19" t="s">
        <v>16275</v>
      </c>
      <c r="E841" s="19" t="s">
        <v>31134</v>
      </c>
      <c r="F841" s="19" t="s">
        <v>35978</v>
      </c>
      <c r="G841" s="18" t="str">
        <f>"92663"</f>
        <v>92663</v>
      </c>
      <c r="H841" s="19" t="s">
        <v>31169</v>
      </c>
      <c r="I841" s="20">
        <v>20.533000000000001</v>
      </c>
      <c r="J841" s="44" t="s">
        <v>8</v>
      </c>
      <c r="K841" s="23" t="s">
        <v>8</v>
      </c>
      <c r="L841" s="23" t="s">
        <v>8</v>
      </c>
      <c r="M841" s="23" t="s">
        <v>8</v>
      </c>
    </row>
    <row r="842" spans="1:13" s="21" customFormat="1" x14ac:dyDescent="0.25">
      <c r="A842" s="22" t="s">
        <v>8</v>
      </c>
      <c r="B842" s="18" t="str">
        <f>"055519"</f>
        <v>055519</v>
      </c>
      <c r="C842" s="19" t="s">
        <v>847</v>
      </c>
      <c r="D842" s="19" t="s">
        <v>16276</v>
      </c>
      <c r="E842" s="19" t="s">
        <v>31221</v>
      </c>
      <c r="F842" s="19" t="s">
        <v>35978</v>
      </c>
      <c r="G842" s="18" t="str">
        <f>"90242"</f>
        <v>90242</v>
      </c>
      <c r="H842" s="19" t="s">
        <v>31109</v>
      </c>
      <c r="I842" s="20">
        <v>17.367000000000001</v>
      </c>
      <c r="J842" s="44" t="s">
        <v>8</v>
      </c>
      <c r="K842" s="23" t="s">
        <v>8</v>
      </c>
      <c r="L842" s="23" t="s">
        <v>8</v>
      </c>
      <c r="M842" s="23" t="s">
        <v>8</v>
      </c>
    </row>
    <row r="843" spans="1:13" s="21" customFormat="1" x14ac:dyDescent="0.25">
      <c r="A843" s="22" t="s">
        <v>8</v>
      </c>
      <c r="B843" s="18" t="str">
        <f>"055523"</f>
        <v>055523</v>
      </c>
      <c r="C843" s="19" t="s">
        <v>848</v>
      </c>
      <c r="D843" s="19" t="s">
        <v>16277</v>
      </c>
      <c r="E843" s="19" t="s">
        <v>30946</v>
      </c>
      <c r="F843" s="19" t="s">
        <v>35978</v>
      </c>
      <c r="G843" s="18" t="str">
        <f>"91206"</f>
        <v>91206</v>
      </c>
      <c r="H843" s="19" t="s">
        <v>31109</v>
      </c>
      <c r="I843" s="20">
        <v>19.616</v>
      </c>
      <c r="J843" s="44" t="s">
        <v>8</v>
      </c>
      <c r="K843" s="23" t="s">
        <v>8</v>
      </c>
      <c r="L843" s="23" t="s">
        <v>8</v>
      </c>
      <c r="M843" s="23" t="s">
        <v>8</v>
      </c>
    </row>
    <row r="844" spans="1:13" s="21" customFormat="1" x14ac:dyDescent="0.25">
      <c r="A844" s="22" t="s">
        <v>8</v>
      </c>
      <c r="B844" s="18" t="str">
        <f>"055525"</f>
        <v>055525</v>
      </c>
      <c r="C844" s="19" t="s">
        <v>849</v>
      </c>
      <c r="D844" s="19" t="s">
        <v>16278</v>
      </c>
      <c r="E844" s="19" t="s">
        <v>31109</v>
      </c>
      <c r="F844" s="19" t="s">
        <v>35978</v>
      </c>
      <c r="G844" s="18" t="str">
        <f>"90016"</f>
        <v>90016</v>
      </c>
      <c r="H844" s="19" t="s">
        <v>31109</v>
      </c>
      <c r="I844" s="20">
        <v>22.52</v>
      </c>
      <c r="J844" s="44" t="s">
        <v>8</v>
      </c>
      <c r="K844" s="23" t="s">
        <v>8</v>
      </c>
      <c r="L844" s="23" t="s">
        <v>8</v>
      </c>
      <c r="M844" s="23" t="s">
        <v>8</v>
      </c>
    </row>
    <row r="845" spans="1:13" s="21" customFormat="1" x14ac:dyDescent="0.25">
      <c r="A845" s="22" t="s">
        <v>8</v>
      </c>
      <c r="B845" s="18" t="str">
        <f>"055526"</f>
        <v>055526</v>
      </c>
      <c r="C845" s="19" t="s">
        <v>850</v>
      </c>
      <c r="D845" s="19" t="s">
        <v>16279</v>
      </c>
      <c r="E845" s="19" t="s">
        <v>31222</v>
      </c>
      <c r="F845" s="19" t="s">
        <v>35978</v>
      </c>
      <c r="G845" s="18" t="str">
        <f>"90301"</f>
        <v>90301</v>
      </c>
      <c r="H845" s="19" t="s">
        <v>31109</v>
      </c>
      <c r="I845" s="20">
        <v>17.343</v>
      </c>
      <c r="J845" s="44" t="s">
        <v>8</v>
      </c>
      <c r="K845" s="23" t="s">
        <v>8</v>
      </c>
      <c r="L845" s="23" t="s">
        <v>8</v>
      </c>
      <c r="M845" s="23" t="s">
        <v>8</v>
      </c>
    </row>
    <row r="846" spans="1:13" s="21" customFormat="1" x14ac:dyDescent="0.25">
      <c r="A846" s="22" t="s">
        <v>8</v>
      </c>
      <c r="B846" s="18" t="str">
        <f>"055527"</f>
        <v>055527</v>
      </c>
      <c r="C846" s="19" t="s">
        <v>851</v>
      </c>
      <c r="D846" s="19" t="s">
        <v>16280</v>
      </c>
      <c r="E846" s="19" t="s">
        <v>31120</v>
      </c>
      <c r="F846" s="19" t="s">
        <v>35978</v>
      </c>
      <c r="G846" s="18" t="str">
        <f>"90732"</f>
        <v>90732</v>
      </c>
      <c r="H846" s="19" t="s">
        <v>31109</v>
      </c>
      <c r="I846" s="20">
        <v>17.623999999999999</v>
      </c>
      <c r="J846" s="44" t="s">
        <v>8</v>
      </c>
      <c r="K846" s="23" t="s">
        <v>8</v>
      </c>
      <c r="L846" s="23" t="s">
        <v>8</v>
      </c>
      <c r="M846" s="23" t="s">
        <v>8</v>
      </c>
    </row>
    <row r="847" spans="1:13" s="21" customFormat="1" x14ac:dyDescent="0.25">
      <c r="A847" s="22" t="s">
        <v>8</v>
      </c>
      <c r="B847" s="18" t="str">
        <f>"055531"</f>
        <v>055531</v>
      </c>
      <c r="C847" s="19" t="s">
        <v>852</v>
      </c>
      <c r="D847" s="19" t="s">
        <v>16281</v>
      </c>
      <c r="E847" s="19" t="s">
        <v>31108</v>
      </c>
      <c r="F847" s="19" t="s">
        <v>35978</v>
      </c>
      <c r="G847" s="18" t="str">
        <f>"90505"</f>
        <v>90505</v>
      </c>
      <c r="H847" s="19" t="s">
        <v>31109</v>
      </c>
      <c r="I847" s="20">
        <v>18.268000000000001</v>
      </c>
      <c r="J847" s="44" t="s">
        <v>8</v>
      </c>
      <c r="K847" s="23" t="s">
        <v>8</v>
      </c>
      <c r="L847" s="23" t="s">
        <v>8</v>
      </c>
      <c r="M847" s="23" t="s">
        <v>8</v>
      </c>
    </row>
    <row r="848" spans="1:13" s="21" customFormat="1" x14ac:dyDescent="0.25">
      <c r="A848" s="22" t="s">
        <v>8</v>
      </c>
      <c r="B848" s="18" t="str">
        <f>"055534"</f>
        <v>055534</v>
      </c>
      <c r="C848" s="19" t="s">
        <v>853</v>
      </c>
      <c r="D848" s="19" t="s">
        <v>16282</v>
      </c>
      <c r="E848" s="19" t="s">
        <v>30981</v>
      </c>
      <c r="F848" s="19" t="s">
        <v>35978</v>
      </c>
      <c r="G848" s="18" t="str">
        <f>"94506"</f>
        <v>94506</v>
      </c>
      <c r="H848" s="19" t="s">
        <v>36088</v>
      </c>
      <c r="I848" s="20">
        <v>17.640999999999998</v>
      </c>
      <c r="J848" s="44" t="s">
        <v>8</v>
      </c>
      <c r="K848" s="23" t="s">
        <v>8</v>
      </c>
      <c r="L848" s="23" t="s">
        <v>8</v>
      </c>
      <c r="M848" s="23" t="s">
        <v>8</v>
      </c>
    </row>
    <row r="849" spans="1:13" s="21" customFormat="1" x14ac:dyDescent="0.25">
      <c r="A849" s="22" t="s">
        <v>8</v>
      </c>
      <c r="B849" s="18" t="str">
        <f>"055538"</f>
        <v>055538</v>
      </c>
      <c r="C849" s="19" t="s">
        <v>854</v>
      </c>
      <c r="D849" s="19" t="s">
        <v>16283</v>
      </c>
      <c r="E849" s="19" t="s">
        <v>31109</v>
      </c>
      <c r="F849" s="19" t="s">
        <v>35978</v>
      </c>
      <c r="G849" s="18" t="str">
        <f>"90057"</f>
        <v>90057</v>
      </c>
      <c r="H849" s="19" t="s">
        <v>31109</v>
      </c>
      <c r="I849" s="20">
        <v>18.222000000000001</v>
      </c>
      <c r="J849" s="44" t="s">
        <v>8</v>
      </c>
      <c r="K849" s="23" t="s">
        <v>8</v>
      </c>
      <c r="L849" s="23" t="s">
        <v>8</v>
      </c>
      <c r="M849" s="23" t="s">
        <v>8</v>
      </c>
    </row>
    <row r="850" spans="1:13" s="21" customFormat="1" x14ac:dyDescent="0.25">
      <c r="A850" s="22" t="s">
        <v>8</v>
      </c>
      <c r="B850" s="18" t="str">
        <f>"055539"</f>
        <v>055539</v>
      </c>
      <c r="C850" s="19" t="s">
        <v>855</v>
      </c>
      <c r="D850" s="19" t="s">
        <v>16284</v>
      </c>
      <c r="E850" s="19" t="s">
        <v>31223</v>
      </c>
      <c r="F850" s="19" t="s">
        <v>35978</v>
      </c>
      <c r="G850" s="18" t="str">
        <f>"90701"</f>
        <v>90701</v>
      </c>
      <c r="H850" s="19" t="s">
        <v>31109</v>
      </c>
      <c r="I850" s="20">
        <v>18.710999999999999</v>
      </c>
      <c r="J850" s="44" t="s">
        <v>8</v>
      </c>
      <c r="K850" s="23" t="s">
        <v>8</v>
      </c>
      <c r="L850" s="23" t="s">
        <v>8</v>
      </c>
      <c r="M850" s="23" t="s">
        <v>8</v>
      </c>
    </row>
    <row r="851" spans="1:13" s="21" customFormat="1" x14ac:dyDescent="0.25">
      <c r="A851" s="22" t="s">
        <v>8</v>
      </c>
      <c r="B851" s="18" t="str">
        <f>"055540"</f>
        <v>055540</v>
      </c>
      <c r="C851" s="19" t="s">
        <v>856</v>
      </c>
      <c r="D851" s="19" t="s">
        <v>16285</v>
      </c>
      <c r="E851" s="19" t="s">
        <v>31136</v>
      </c>
      <c r="F851" s="19" t="s">
        <v>35978</v>
      </c>
      <c r="G851" s="18" t="str">
        <f>"90404"</f>
        <v>90404</v>
      </c>
      <c r="H851" s="19" t="s">
        <v>31109</v>
      </c>
      <c r="I851" s="20">
        <v>17.541</v>
      </c>
      <c r="J851" s="44" t="s">
        <v>8</v>
      </c>
      <c r="K851" s="23" t="s">
        <v>8</v>
      </c>
      <c r="L851" s="23" t="s">
        <v>8</v>
      </c>
      <c r="M851" s="23" t="s">
        <v>8</v>
      </c>
    </row>
    <row r="852" spans="1:13" s="21" customFormat="1" x14ac:dyDescent="0.25">
      <c r="A852" s="22" t="s">
        <v>8</v>
      </c>
      <c r="B852" s="18" t="str">
        <f>"055541"</f>
        <v>055541</v>
      </c>
      <c r="C852" s="19" t="s">
        <v>857</v>
      </c>
      <c r="D852" s="19" t="s">
        <v>16286</v>
      </c>
      <c r="E852" s="19" t="s">
        <v>31137</v>
      </c>
      <c r="F852" s="19" t="s">
        <v>35978</v>
      </c>
      <c r="G852" s="18" t="str">
        <f>"91010"</f>
        <v>91010</v>
      </c>
      <c r="H852" s="19" t="s">
        <v>31109</v>
      </c>
      <c r="I852" s="20">
        <v>17.686</v>
      </c>
      <c r="J852" s="44" t="s">
        <v>8</v>
      </c>
      <c r="K852" s="23" t="s">
        <v>8</v>
      </c>
      <c r="L852" s="23" t="s">
        <v>8</v>
      </c>
      <c r="M852" s="23" t="s">
        <v>8</v>
      </c>
    </row>
    <row r="853" spans="1:13" s="21" customFormat="1" x14ac:dyDescent="0.25">
      <c r="A853" s="22" t="s">
        <v>8</v>
      </c>
      <c r="B853" s="18" t="str">
        <f>"055542"</f>
        <v>055542</v>
      </c>
      <c r="C853" s="19" t="s">
        <v>858</v>
      </c>
      <c r="D853" s="19" t="s">
        <v>16287</v>
      </c>
      <c r="E853" s="19" t="s">
        <v>31112</v>
      </c>
      <c r="F853" s="19" t="s">
        <v>35978</v>
      </c>
      <c r="G853" s="18" t="str">
        <f>"92504"</f>
        <v>92504</v>
      </c>
      <c r="H853" s="19" t="s">
        <v>31112</v>
      </c>
      <c r="I853" s="20">
        <v>19.251000000000001</v>
      </c>
      <c r="J853" s="44" t="s">
        <v>8</v>
      </c>
      <c r="K853" s="23" t="s">
        <v>8</v>
      </c>
      <c r="L853" s="23" t="s">
        <v>8</v>
      </c>
      <c r="M853" s="23" t="s">
        <v>8</v>
      </c>
    </row>
    <row r="854" spans="1:13" s="21" customFormat="1" x14ac:dyDescent="0.25">
      <c r="A854" s="22" t="s">
        <v>8</v>
      </c>
      <c r="B854" s="18" t="str">
        <f>"055544"</f>
        <v>055544</v>
      </c>
      <c r="C854" s="19" t="s">
        <v>859</v>
      </c>
      <c r="D854" s="19" t="s">
        <v>16288</v>
      </c>
      <c r="E854" s="19" t="s">
        <v>31205</v>
      </c>
      <c r="F854" s="19" t="s">
        <v>35978</v>
      </c>
      <c r="G854" s="18" t="str">
        <f>"91722"</f>
        <v>91722</v>
      </c>
      <c r="H854" s="19" t="s">
        <v>31109</v>
      </c>
      <c r="I854" s="20">
        <v>19.318999999999999</v>
      </c>
      <c r="J854" s="44" t="s">
        <v>8</v>
      </c>
      <c r="K854" s="23" t="s">
        <v>8</v>
      </c>
      <c r="L854" s="23" t="s">
        <v>8</v>
      </c>
      <c r="M854" s="23" t="s">
        <v>8</v>
      </c>
    </row>
    <row r="855" spans="1:13" s="21" customFormat="1" x14ac:dyDescent="0.25">
      <c r="A855" s="22" t="s">
        <v>8</v>
      </c>
      <c r="B855" s="18" t="str">
        <f>"055548"</f>
        <v>055548</v>
      </c>
      <c r="C855" s="19" t="s">
        <v>860</v>
      </c>
      <c r="D855" s="19" t="s">
        <v>16289</v>
      </c>
      <c r="E855" s="19" t="s">
        <v>31191</v>
      </c>
      <c r="F855" s="19" t="s">
        <v>35978</v>
      </c>
      <c r="G855" s="18" t="str">
        <f>"91107"</f>
        <v>91107</v>
      </c>
      <c r="H855" s="19" t="s">
        <v>31109</v>
      </c>
      <c r="I855" s="20">
        <v>16.088999999999999</v>
      </c>
      <c r="J855" s="44" t="s">
        <v>8</v>
      </c>
      <c r="K855" s="23" t="s">
        <v>8</v>
      </c>
      <c r="L855" s="23" t="s">
        <v>8</v>
      </c>
      <c r="M855" s="23" t="s">
        <v>8</v>
      </c>
    </row>
    <row r="856" spans="1:13" s="21" customFormat="1" x14ac:dyDescent="0.25">
      <c r="A856" s="22" t="s">
        <v>8</v>
      </c>
      <c r="B856" s="18" t="str">
        <f>"055551"</f>
        <v>055551</v>
      </c>
      <c r="C856" s="19" t="s">
        <v>861</v>
      </c>
      <c r="D856" s="19" t="s">
        <v>16290</v>
      </c>
      <c r="E856" s="19" t="s">
        <v>31224</v>
      </c>
      <c r="F856" s="19" t="s">
        <v>35978</v>
      </c>
      <c r="G856" s="18" t="str">
        <f>"93257"</f>
        <v>93257</v>
      </c>
      <c r="H856" s="19" t="s">
        <v>31243</v>
      </c>
      <c r="I856" s="20">
        <v>20.605</v>
      </c>
      <c r="J856" s="44" t="s">
        <v>8</v>
      </c>
      <c r="K856" s="23" t="s">
        <v>8</v>
      </c>
      <c r="L856" s="23" t="s">
        <v>8</v>
      </c>
      <c r="M856" s="23" t="s">
        <v>8</v>
      </c>
    </row>
    <row r="857" spans="1:13" s="21" customFormat="1" x14ac:dyDescent="0.25">
      <c r="A857" s="22" t="s">
        <v>8</v>
      </c>
      <c r="B857" s="18" t="str">
        <f>"055557"</f>
        <v>055557</v>
      </c>
      <c r="C857" s="19" t="s">
        <v>862</v>
      </c>
      <c r="D857" s="19" t="s">
        <v>16291</v>
      </c>
      <c r="E857" s="19" t="s">
        <v>31225</v>
      </c>
      <c r="F857" s="19" t="s">
        <v>35978</v>
      </c>
      <c r="G857" s="18" t="str">
        <f>"92399"</f>
        <v>92399</v>
      </c>
      <c r="H857" s="19" t="s">
        <v>31227</v>
      </c>
      <c r="I857" s="20">
        <v>18.193999999999999</v>
      </c>
      <c r="J857" s="44" t="s">
        <v>8</v>
      </c>
      <c r="K857" s="23" t="s">
        <v>8</v>
      </c>
      <c r="L857" s="23" t="s">
        <v>8</v>
      </c>
      <c r="M857" s="23" t="s">
        <v>8</v>
      </c>
    </row>
    <row r="858" spans="1:13" s="21" customFormat="1" x14ac:dyDescent="0.25">
      <c r="A858" s="22" t="s">
        <v>8</v>
      </c>
      <c r="B858" s="18" t="str">
        <f>"055559"</f>
        <v>055559</v>
      </c>
      <c r="C858" s="19" t="s">
        <v>863</v>
      </c>
      <c r="D858" s="19" t="s">
        <v>16292</v>
      </c>
      <c r="E858" s="19" t="s">
        <v>31108</v>
      </c>
      <c r="F858" s="19" t="s">
        <v>35978</v>
      </c>
      <c r="G858" s="18" t="str">
        <f>"90503"</f>
        <v>90503</v>
      </c>
      <c r="H858" s="19" t="s">
        <v>31109</v>
      </c>
      <c r="I858" s="20">
        <v>19.129000000000001</v>
      </c>
      <c r="J858" s="44" t="s">
        <v>8</v>
      </c>
      <c r="K858" s="23" t="s">
        <v>8</v>
      </c>
      <c r="L858" s="23" t="s">
        <v>8</v>
      </c>
      <c r="M858" s="23" t="s">
        <v>8</v>
      </c>
    </row>
    <row r="859" spans="1:13" s="21" customFormat="1" x14ac:dyDescent="0.25">
      <c r="A859" s="22" t="s">
        <v>8</v>
      </c>
      <c r="B859" s="18" t="str">
        <f>"055562"</f>
        <v>055562</v>
      </c>
      <c r="C859" s="19" t="s">
        <v>864</v>
      </c>
      <c r="D859" s="19" t="s">
        <v>16293</v>
      </c>
      <c r="E859" s="19" t="s">
        <v>31175</v>
      </c>
      <c r="F859" s="19" t="s">
        <v>35978</v>
      </c>
      <c r="G859" s="18" t="str">
        <f>"94536"</f>
        <v>94536</v>
      </c>
      <c r="H859" s="19" t="s">
        <v>31290</v>
      </c>
      <c r="I859" s="20">
        <v>18.942</v>
      </c>
      <c r="J859" s="44" t="s">
        <v>8</v>
      </c>
      <c r="K859" s="23" t="s">
        <v>8</v>
      </c>
      <c r="L859" s="23" t="s">
        <v>8</v>
      </c>
      <c r="M859" s="23" t="s">
        <v>8</v>
      </c>
    </row>
    <row r="860" spans="1:13" s="21" customFormat="1" x14ac:dyDescent="0.25">
      <c r="A860" s="22" t="s">
        <v>8</v>
      </c>
      <c r="B860" s="18" t="str">
        <f>"055563"</f>
        <v>055563</v>
      </c>
      <c r="C860" s="19" t="s">
        <v>865</v>
      </c>
      <c r="D860" s="19" t="s">
        <v>16294</v>
      </c>
      <c r="E860" s="19" t="s">
        <v>31226</v>
      </c>
      <c r="F860" s="19" t="s">
        <v>35978</v>
      </c>
      <c r="G860" s="18" t="str">
        <f>"93458"</f>
        <v>93458</v>
      </c>
      <c r="H860" s="19" t="s">
        <v>31246</v>
      </c>
      <c r="I860" s="20">
        <v>19.949000000000002</v>
      </c>
      <c r="J860" s="44" t="s">
        <v>8</v>
      </c>
      <c r="K860" s="23" t="s">
        <v>8</v>
      </c>
      <c r="L860" s="23" t="s">
        <v>8</v>
      </c>
      <c r="M860" s="23" t="s">
        <v>8</v>
      </c>
    </row>
    <row r="861" spans="1:13" s="21" customFormat="1" x14ac:dyDescent="0.25">
      <c r="A861" s="22" t="s">
        <v>8</v>
      </c>
      <c r="B861" s="18" t="str">
        <f>"055565"</f>
        <v>055565</v>
      </c>
      <c r="C861" s="19" t="s">
        <v>866</v>
      </c>
      <c r="D861" s="19" t="s">
        <v>16295</v>
      </c>
      <c r="E861" s="19" t="s">
        <v>31227</v>
      </c>
      <c r="F861" s="19" t="s">
        <v>35978</v>
      </c>
      <c r="G861" s="18" t="str">
        <f>"92404"</f>
        <v>92404</v>
      </c>
      <c r="H861" s="19" t="s">
        <v>31227</v>
      </c>
      <c r="I861" s="20">
        <v>21.844999999999999</v>
      </c>
      <c r="J861" s="44" t="s">
        <v>8</v>
      </c>
      <c r="K861" s="23" t="s">
        <v>8</v>
      </c>
      <c r="L861" s="23" t="s">
        <v>8</v>
      </c>
      <c r="M861" s="23" t="s">
        <v>8</v>
      </c>
    </row>
    <row r="862" spans="1:13" s="21" customFormat="1" x14ac:dyDescent="0.25">
      <c r="A862" s="22" t="s">
        <v>8</v>
      </c>
      <c r="B862" s="18" t="str">
        <f>"055566"</f>
        <v>055566</v>
      </c>
      <c r="C862" s="19" t="s">
        <v>867</v>
      </c>
      <c r="D862" s="19" t="s">
        <v>16296</v>
      </c>
      <c r="E862" s="19" t="s">
        <v>31228</v>
      </c>
      <c r="F862" s="19" t="s">
        <v>35978</v>
      </c>
      <c r="G862" s="18" t="str">
        <f>"93003"</f>
        <v>93003</v>
      </c>
      <c r="H862" s="19" t="s">
        <v>31228</v>
      </c>
      <c r="I862" s="20">
        <v>19.474</v>
      </c>
      <c r="J862" s="44" t="s">
        <v>8</v>
      </c>
      <c r="K862" s="23" t="s">
        <v>8</v>
      </c>
      <c r="L862" s="23" t="s">
        <v>8</v>
      </c>
      <c r="M862" s="23" t="s">
        <v>8</v>
      </c>
    </row>
    <row r="863" spans="1:13" s="21" customFormat="1" x14ac:dyDescent="0.25">
      <c r="A863" s="22" t="s">
        <v>8</v>
      </c>
      <c r="B863" s="18" t="str">
        <f>"055568"</f>
        <v>055568</v>
      </c>
      <c r="C863" s="19" t="s">
        <v>868</v>
      </c>
      <c r="D863" s="19" t="s">
        <v>16297</v>
      </c>
      <c r="E863" s="19" t="s">
        <v>31224</v>
      </c>
      <c r="F863" s="19" t="s">
        <v>35978</v>
      </c>
      <c r="G863" s="18" t="str">
        <f>"93257"</f>
        <v>93257</v>
      </c>
      <c r="H863" s="19" t="s">
        <v>31243</v>
      </c>
      <c r="I863" s="20">
        <v>20.366</v>
      </c>
      <c r="J863" s="44" t="s">
        <v>8</v>
      </c>
      <c r="K863" s="23" t="s">
        <v>8</v>
      </c>
      <c r="L863" s="23" t="s">
        <v>8</v>
      </c>
      <c r="M863" s="23" t="s">
        <v>8</v>
      </c>
    </row>
    <row r="864" spans="1:13" s="21" customFormat="1" x14ac:dyDescent="0.25">
      <c r="A864" s="22" t="s">
        <v>8</v>
      </c>
      <c r="B864" s="18" t="str">
        <f>"055570"</f>
        <v>055570</v>
      </c>
      <c r="C864" s="19" t="s">
        <v>869</v>
      </c>
      <c r="D864" s="19" t="s">
        <v>16298</v>
      </c>
      <c r="E864" s="19" t="s">
        <v>31229</v>
      </c>
      <c r="F864" s="19" t="s">
        <v>35978</v>
      </c>
      <c r="G864" s="18" t="str">
        <f>"92835"</f>
        <v>92835</v>
      </c>
      <c r="H864" s="19" t="s">
        <v>31169</v>
      </c>
      <c r="I864" s="20">
        <v>19.875</v>
      </c>
      <c r="J864" s="44" t="s">
        <v>8</v>
      </c>
      <c r="K864" s="23" t="s">
        <v>8</v>
      </c>
      <c r="L864" s="23" t="s">
        <v>8</v>
      </c>
      <c r="M864" s="23" t="s">
        <v>8</v>
      </c>
    </row>
    <row r="865" spans="1:13" s="21" customFormat="1" x14ac:dyDescent="0.25">
      <c r="A865" s="22" t="s">
        <v>8</v>
      </c>
      <c r="B865" s="18" t="str">
        <f>"055571"</f>
        <v>055571</v>
      </c>
      <c r="C865" s="19" t="s">
        <v>870</v>
      </c>
      <c r="D865" s="19" t="s">
        <v>16299</v>
      </c>
      <c r="E865" s="19" t="s">
        <v>31230</v>
      </c>
      <c r="F865" s="19" t="s">
        <v>35978</v>
      </c>
      <c r="G865" s="18" t="str">
        <f>"90620"</f>
        <v>90620</v>
      </c>
      <c r="H865" s="19" t="s">
        <v>31169</v>
      </c>
      <c r="I865" s="20">
        <v>20.05</v>
      </c>
      <c r="J865" s="44" t="s">
        <v>8</v>
      </c>
      <c r="K865" s="23" t="s">
        <v>8</v>
      </c>
      <c r="L865" s="23" t="s">
        <v>8</v>
      </c>
      <c r="M865" s="23" t="s">
        <v>8</v>
      </c>
    </row>
    <row r="866" spans="1:13" s="21" customFormat="1" x14ac:dyDescent="0.25">
      <c r="A866" s="22" t="s">
        <v>8</v>
      </c>
      <c r="B866" s="18" t="str">
        <f>"055573"</f>
        <v>055573</v>
      </c>
      <c r="C866" s="19" t="s">
        <v>871</v>
      </c>
      <c r="D866" s="19" t="s">
        <v>16300</v>
      </c>
      <c r="E866" s="19" t="s">
        <v>31231</v>
      </c>
      <c r="F866" s="19" t="s">
        <v>35978</v>
      </c>
      <c r="G866" s="18" t="str">
        <f>"93631"</f>
        <v>93631</v>
      </c>
      <c r="H866" s="19" t="s">
        <v>31155</v>
      </c>
      <c r="I866" s="20">
        <v>19.297999999999998</v>
      </c>
      <c r="J866" s="44" t="s">
        <v>8</v>
      </c>
      <c r="K866" s="23" t="s">
        <v>8</v>
      </c>
      <c r="L866" s="23" t="s">
        <v>8</v>
      </c>
      <c r="M866" s="23" t="s">
        <v>8</v>
      </c>
    </row>
    <row r="867" spans="1:13" s="21" customFormat="1" x14ac:dyDescent="0.25">
      <c r="A867" s="22" t="s">
        <v>8</v>
      </c>
      <c r="B867" s="18" t="str">
        <f>"055575"</f>
        <v>055575</v>
      </c>
      <c r="C867" s="19" t="s">
        <v>872</v>
      </c>
      <c r="D867" s="19" t="s">
        <v>16301</v>
      </c>
      <c r="E867" s="19" t="s">
        <v>31232</v>
      </c>
      <c r="F867" s="19" t="s">
        <v>35978</v>
      </c>
      <c r="G867" s="18" t="str">
        <f>"92843"</f>
        <v>92843</v>
      </c>
      <c r="H867" s="19" t="s">
        <v>31169</v>
      </c>
      <c r="I867" s="20">
        <v>17.942</v>
      </c>
      <c r="J867" s="44" t="s">
        <v>8</v>
      </c>
      <c r="K867" s="23" t="s">
        <v>8</v>
      </c>
      <c r="L867" s="23" t="s">
        <v>8</v>
      </c>
      <c r="M867" s="23" t="s">
        <v>8</v>
      </c>
    </row>
    <row r="868" spans="1:13" s="21" customFormat="1" x14ac:dyDescent="0.25">
      <c r="A868" s="22" t="s">
        <v>8</v>
      </c>
      <c r="B868" s="18" t="str">
        <f>"055581"</f>
        <v>055581</v>
      </c>
      <c r="C868" s="19" t="s">
        <v>873</v>
      </c>
      <c r="D868" s="19" t="s">
        <v>16302</v>
      </c>
      <c r="E868" s="19" t="s">
        <v>31112</v>
      </c>
      <c r="F868" s="19" t="s">
        <v>35978</v>
      </c>
      <c r="G868" s="18" t="str">
        <f>"92509"</f>
        <v>92509</v>
      </c>
      <c r="H868" s="19" t="s">
        <v>31112</v>
      </c>
      <c r="I868" s="20">
        <v>18.588000000000001</v>
      </c>
      <c r="J868" s="44" t="s">
        <v>8</v>
      </c>
      <c r="K868" s="23" t="s">
        <v>8</v>
      </c>
      <c r="L868" s="23" t="s">
        <v>8</v>
      </c>
      <c r="M868" s="23" t="s">
        <v>8</v>
      </c>
    </row>
    <row r="869" spans="1:13" s="21" customFormat="1" x14ac:dyDescent="0.25">
      <c r="A869" s="22" t="s">
        <v>8</v>
      </c>
      <c r="B869" s="18" t="str">
        <f>"055585"</f>
        <v>055585</v>
      </c>
      <c r="C869" s="19" t="s">
        <v>874</v>
      </c>
      <c r="D869" s="19" t="s">
        <v>16303</v>
      </c>
      <c r="E869" s="19" t="s">
        <v>31233</v>
      </c>
      <c r="F869" s="19" t="s">
        <v>35978</v>
      </c>
      <c r="G869" s="18" t="str">
        <f>"92624"</f>
        <v>92624</v>
      </c>
      <c r="H869" s="19" t="s">
        <v>31169</v>
      </c>
      <c r="I869" s="20">
        <v>18.088999999999999</v>
      </c>
      <c r="J869" s="44" t="s">
        <v>8</v>
      </c>
      <c r="K869" s="23" t="s">
        <v>8</v>
      </c>
      <c r="L869" s="23" t="s">
        <v>8</v>
      </c>
      <c r="M869" s="23" t="s">
        <v>8</v>
      </c>
    </row>
    <row r="870" spans="1:13" s="21" customFormat="1" x14ac:dyDescent="0.25">
      <c r="A870" s="22" t="s">
        <v>8</v>
      </c>
      <c r="B870" s="18" t="str">
        <f>"055597"</f>
        <v>055597</v>
      </c>
      <c r="C870" s="19" t="s">
        <v>875</v>
      </c>
      <c r="D870" s="19" t="s">
        <v>16304</v>
      </c>
      <c r="E870" s="19" t="s">
        <v>31234</v>
      </c>
      <c r="F870" s="19" t="s">
        <v>35978</v>
      </c>
      <c r="G870" s="18" t="str">
        <f>"93033"</f>
        <v>93033</v>
      </c>
      <c r="H870" s="19" t="s">
        <v>31228</v>
      </c>
      <c r="I870" s="20">
        <v>17.510000000000002</v>
      </c>
      <c r="J870" s="44" t="s">
        <v>8</v>
      </c>
      <c r="K870" s="23" t="s">
        <v>8</v>
      </c>
      <c r="L870" s="23" t="s">
        <v>8</v>
      </c>
      <c r="M870" s="23" t="s">
        <v>8</v>
      </c>
    </row>
    <row r="871" spans="1:13" s="21" customFormat="1" x14ac:dyDescent="0.25">
      <c r="A871" s="22" t="s">
        <v>8</v>
      </c>
      <c r="B871" s="18" t="str">
        <f>"055598"</f>
        <v>055598</v>
      </c>
      <c r="C871" s="19" t="s">
        <v>876</v>
      </c>
      <c r="D871" s="19" t="s">
        <v>16305</v>
      </c>
      <c r="E871" s="19" t="s">
        <v>31235</v>
      </c>
      <c r="F871" s="19" t="s">
        <v>35978</v>
      </c>
      <c r="G871" s="18" t="str">
        <f>"92582"</f>
        <v>92582</v>
      </c>
      <c r="H871" s="19" t="s">
        <v>31112</v>
      </c>
      <c r="I871" s="20">
        <v>19.231999999999999</v>
      </c>
      <c r="J871" s="44" t="s">
        <v>8</v>
      </c>
      <c r="K871" s="23" t="s">
        <v>8</v>
      </c>
      <c r="L871" s="23" t="s">
        <v>8</v>
      </c>
      <c r="M871" s="23" t="s">
        <v>8</v>
      </c>
    </row>
    <row r="872" spans="1:13" s="21" customFormat="1" x14ac:dyDescent="0.25">
      <c r="A872" s="22" t="s">
        <v>8</v>
      </c>
      <c r="B872" s="18" t="str">
        <f>"055601"</f>
        <v>055601</v>
      </c>
      <c r="C872" s="19" t="s">
        <v>877</v>
      </c>
      <c r="D872" s="19" t="s">
        <v>16306</v>
      </c>
      <c r="E872" s="19" t="s">
        <v>31236</v>
      </c>
      <c r="F872" s="19" t="s">
        <v>35978</v>
      </c>
      <c r="G872" s="18" t="str">
        <f>"93304"</f>
        <v>93304</v>
      </c>
      <c r="H872" s="19" t="s">
        <v>36098</v>
      </c>
      <c r="I872" s="20">
        <v>17.579000000000001</v>
      </c>
      <c r="J872" s="44" t="s">
        <v>8</v>
      </c>
      <c r="K872" s="23" t="s">
        <v>8</v>
      </c>
      <c r="L872" s="23" t="s">
        <v>8</v>
      </c>
      <c r="M872" s="23" t="s">
        <v>8</v>
      </c>
    </row>
    <row r="873" spans="1:13" s="21" customFormat="1" x14ac:dyDescent="0.25">
      <c r="A873" s="22" t="s">
        <v>8</v>
      </c>
      <c r="B873" s="18" t="str">
        <f>"055604"</f>
        <v>055604</v>
      </c>
      <c r="C873" s="19" t="s">
        <v>878</v>
      </c>
      <c r="D873" s="19" t="s">
        <v>16307</v>
      </c>
      <c r="E873" s="19" t="s">
        <v>31237</v>
      </c>
      <c r="F873" s="19" t="s">
        <v>35978</v>
      </c>
      <c r="G873" s="18" t="str">
        <f>"93292"</f>
        <v>93292</v>
      </c>
      <c r="H873" s="19" t="s">
        <v>31243</v>
      </c>
      <c r="I873" s="20">
        <v>18.95</v>
      </c>
      <c r="J873" s="44" t="s">
        <v>8</v>
      </c>
      <c r="K873" s="23" t="s">
        <v>8</v>
      </c>
      <c r="L873" s="23" t="s">
        <v>8</v>
      </c>
      <c r="M873" s="23" t="s">
        <v>8</v>
      </c>
    </row>
    <row r="874" spans="1:13" s="21" customFormat="1" x14ac:dyDescent="0.25">
      <c r="A874" s="22" t="s">
        <v>8</v>
      </c>
      <c r="B874" s="18" t="str">
        <f>"055608"</f>
        <v>055608</v>
      </c>
      <c r="C874" s="19" t="s">
        <v>879</v>
      </c>
      <c r="D874" s="19" t="s">
        <v>16308</v>
      </c>
      <c r="E874" s="19" t="s">
        <v>31222</v>
      </c>
      <c r="F874" s="19" t="s">
        <v>35978</v>
      </c>
      <c r="G874" s="18" t="str">
        <f>"90302"</f>
        <v>90302</v>
      </c>
      <c r="H874" s="19" t="s">
        <v>31109</v>
      </c>
      <c r="I874" s="20">
        <v>19.5</v>
      </c>
      <c r="J874" s="44" t="s">
        <v>8</v>
      </c>
      <c r="K874" s="23" t="s">
        <v>8</v>
      </c>
      <c r="L874" s="23" t="s">
        <v>8</v>
      </c>
      <c r="M874" s="23" t="s">
        <v>8</v>
      </c>
    </row>
    <row r="875" spans="1:13" s="21" customFormat="1" x14ac:dyDescent="0.25">
      <c r="A875" s="22" t="s">
        <v>8</v>
      </c>
      <c r="B875" s="18" t="str">
        <f>"055612"</f>
        <v>055612</v>
      </c>
      <c r="C875" s="19" t="s">
        <v>880</v>
      </c>
      <c r="D875" s="19" t="s">
        <v>16309</v>
      </c>
      <c r="E875" s="19" t="s">
        <v>31238</v>
      </c>
      <c r="F875" s="19" t="s">
        <v>35978</v>
      </c>
      <c r="G875" s="18" t="str">
        <f>"95966"</f>
        <v>95966</v>
      </c>
      <c r="H875" s="19" t="s">
        <v>33744</v>
      </c>
      <c r="I875" s="20">
        <v>18.952000000000002</v>
      </c>
      <c r="J875" s="44" t="s">
        <v>8</v>
      </c>
      <c r="K875" s="23" t="s">
        <v>8</v>
      </c>
      <c r="L875" s="23" t="s">
        <v>8</v>
      </c>
      <c r="M875" s="23" t="s">
        <v>8</v>
      </c>
    </row>
    <row r="876" spans="1:13" s="21" customFormat="1" x14ac:dyDescent="0.25">
      <c r="A876" s="22" t="s">
        <v>8</v>
      </c>
      <c r="B876" s="18" t="str">
        <f>"055617"</f>
        <v>055617</v>
      </c>
      <c r="C876" s="19" t="s">
        <v>881</v>
      </c>
      <c r="D876" s="19" t="s">
        <v>16310</v>
      </c>
      <c r="E876" s="19" t="s">
        <v>31191</v>
      </c>
      <c r="F876" s="19" t="s">
        <v>35978</v>
      </c>
      <c r="G876" s="18" t="str">
        <f>"91103"</f>
        <v>91103</v>
      </c>
      <c r="H876" s="19" t="s">
        <v>31109</v>
      </c>
      <c r="I876" s="20">
        <v>19.928000000000001</v>
      </c>
      <c r="J876" s="44" t="s">
        <v>8</v>
      </c>
      <c r="K876" s="23" t="s">
        <v>8</v>
      </c>
      <c r="L876" s="23" t="s">
        <v>8</v>
      </c>
      <c r="M876" s="23" t="s">
        <v>8</v>
      </c>
    </row>
    <row r="877" spans="1:13" s="21" customFormat="1" x14ac:dyDescent="0.25">
      <c r="A877" s="22" t="s">
        <v>8</v>
      </c>
      <c r="B877" s="18" t="str">
        <f>"055619"</f>
        <v>055619</v>
      </c>
      <c r="C877" s="19" t="s">
        <v>882</v>
      </c>
      <c r="D877" s="19" t="s">
        <v>16311</v>
      </c>
      <c r="E877" s="19" t="s">
        <v>31239</v>
      </c>
      <c r="F877" s="19" t="s">
        <v>35978</v>
      </c>
      <c r="G877" s="18" t="str">
        <f>"91764"</f>
        <v>91764</v>
      </c>
      <c r="H877" s="19" t="s">
        <v>31227</v>
      </c>
      <c r="I877" s="20">
        <v>19.405000000000001</v>
      </c>
      <c r="J877" s="44" t="s">
        <v>8</v>
      </c>
      <c r="K877" s="23" t="s">
        <v>8</v>
      </c>
      <c r="L877" s="23" t="s">
        <v>8</v>
      </c>
      <c r="M877" s="23" t="s">
        <v>8</v>
      </c>
    </row>
    <row r="878" spans="1:13" s="21" customFormat="1" x14ac:dyDescent="0.25">
      <c r="A878" s="22" t="s">
        <v>8</v>
      </c>
      <c r="B878" s="18" t="str">
        <f>"055622"</f>
        <v>055622</v>
      </c>
      <c r="C878" s="19" t="s">
        <v>883</v>
      </c>
      <c r="D878" s="19" t="s">
        <v>16312</v>
      </c>
      <c r="E878" s="19" t="s">
        <v>31240</v>
      </c>
      <c r="F878" s="19" t="s">
        <v>35978</v>
      </c>
      <c r="G878" s="18" t="str">
        <f>"90631"</f>
        <v>90631</v>
      </c>
      <c r="H878" s="19" t="s">
        <v>31169</v>
      </c>
      <c r="I878" s="20">
        <v>20.164999999999999</v>
      </c>
      <c r="J878" s="44" t="s">
        <v>8</v>
      </c>
      <c r="K878" s="23" t="s">
        <v>8</v>
      </c>
      <c r="L878" s="23" t="s">
        <v>8</v>
      </c>
      <c r="M878" s="23" t="s">
        <v>8</v>
      </c>
    </row>
    <row r="879" spans="1:13" s="21" customFormat="1" x14ac:dyDescent="0.25">
      <c r="A879" s="22" t="s">
        <v>8</v>
      </c>
      <c r="B879" s="18" t="str">
        <f>"055626"</f>
        <v>055626</v>
      </c>
      <c r="C879" s="19" t="s">
        <v>884</v>
      </c>
      <c r="D879" s="19" t="s">
        <v>16313</v>
      </c>
      <c r="E879" s="19" t="s">
        <v>31155</v>
      </c>
      <c r="F879" s="19" t="s">
        <v>35978</v>
      </c>
      <c r="G879" s="18" t="str">
        <f>"93721"</f>
        <v>93721</v>
      </c>
      <c r="H879" s="19" t="s">
        <v>31155</v>
      </c>
      <c r="I879" s="20">
        <v>16.728000000000002</v>
      </c>
      <c r="J879" s="44" t="s">
        <v>8</v>
      </c>
      <c r="K879" s="23" t="s">
        <v>8</v>
      </c>
      <c r="L879" s="23" t="s">
        <v>8</v>
      </c>
      <c r="M879" s="23" t="s">
        <v>8</v>
      </c>
    </row>
    <row r="880" spans="1:13" s="21" customFormat="1" x14ac:dyDescent="0.25">
      <c r="A880" s="22" t="s">
        <v>8</v>
      </c>
      <c r="B880" s="18" t="str">
        <f>"055632"</f>
        <v>055632</v>
      </c>
      <c r="C880" s="19" t="s">
        <v>885</v>
      </c>
      <c r="D880" s="19" t="s">
        <v>16314</v>
      </c>
      <c r="E880" s="19" t="s">
        <v>31124</v>
      </c>
      <c r="F880" s="19" t="s">
        <v>35978</v>
      </c>
      <c r="G880" s="18" t="str">
        <f>"91942"</f>
        <v>91942</v>
      </c>
      <c r="H880" s="19" t="s">
        <v>31176</v>
      </c>
      <c r="I880" s="20">
        <v>21.704000000000001</v>
      </c>
      <c r="J880" s="44" t="s">
        <v>8</v>
      </c>
      <c r="K880" s="23" t="s">
        <v>8</v>
      </c>
      <c r="L880" s="23" t="s">
        <v>8</v>
      </c>
      <c r="M880" s="23" t="s">
        <v>8</v>
      </c>
    </row>
    <row r="881" spans="1:13" s="21" customFormat="1" x14ac:dyDescent="0.25">
      <c r="A881" s="22" t="s">
        <v>8</v>
      </c>
      <c r="B881" s="18" t="str">
        <f>"055635"</f>
        <v>055635</v>
      </c>
      <c r="C881" s="19" t="s">
        <v>886</v>
      </c>
      <c r="D881" s="19" t="s">
        <v>16315</v>
      </c>
      <c r="E881" s="19" t="s">
        <v>31210</v>
      </c>
      <c r="F881" s="19" t="s">
        <v>35978</v>
      </c>
      <c r="G881" s="18" t="str">
        <f>"95382"</f>
        <v>95382</v>
      </c>
      <c r="H881" s="19" t="s">
        <v>36085</v>
      </c>
      <c r="I881" s="20">
        <v>19.193999999999999</v>
      </c>
      <c r="J881" s="44" t="s">
        <v>8</v>
      </c>
      <c r="K881" s="23" t="s">
        <v>8</v>
      </c>
      <c r="L881" s="23" t="s">
        <v>8</v>
      </c>
      <c r="M881" s="23" t="s">
        <v>8</v>
      </c>
    </row>
    <row r="882" spans="1:13" s="21" customFormat="1" x14ac:dyDescent="0.25">
      <c r="A882" s="22" t="s">
        <v>8</v>
      </c>
      <c r="B882" s="18" t="str">
        <f>"055640"</f>
        <v>055640</v>
      </c>
      <c r="C882" s="19" t="s">
        <v>887</v>
      </c>
      <c r="D882" s="19" t="s">
        <v>16316</v>
      </c>
      <c r="E882" s="19" t="s">
        <v>31218</v>
      </c>
      <c r="F882" s="19" t="s">
        <v>35978</v>
      </c>
      <c r="G882" s="18" t="str">
        <f>"95945"</f>
        <v>95945</v>
      </c>
      <c r="H882" s="19" t="s">
        <v>32459</v>
      </c>
      <c r="I882" s="20">
        <v>19.702999999999999</v>
      </c>
      <c r="J882" s="44" t="s">
        <v>8</v>
      </c>
      <c r="K882" s="23" t="s">
        <v>8</v>
      </c>
      <c r="L882" s="23" t="s">
        <v>8</v>
      </c>
      <c r="M882" s="23" t="s">
        <v>8</v>
      </c>
    </row>
    <row r="883" spans="1:13" s="21" customFormat="1" x14ac:dyDescent="0.25">
      <c r="A883" s="22" t="s">
        <v>8</v>
      </c>
      <c r="B883" s="18" t="str">
        <f>"055645"</f>
        <v>055645</v>
      </c>
      <c r="C883" s="19" t="s">
        <v>888</v>
      </c>
      <c r="D883" s="19" t="s">
        <v>16317</v>
      </c>
      <c r="E883" s="19" t="s">
        <v>31241</v>
      </c>
      <c r="F883" s="19" t="s">
        <v>35978</v>
      </c>
      <c r="G883" s="18" t="str">
        <f>"95050"</f>
        <v>95050</v>
      </c>
      <c r="H883" s="19" t="s">
        <v>31241</v>
      </c>
      <c r="I883" s="20">
        <v>21.283999999999999</v>
      </c>
      <c r="J883" s="44" t="s">
        <v>8</v>
      </c>
      <c r="K883" s="23" t="s">
        <v>8</v>
      </c>
      <c r="L883" s="23" t="s">
        <v>8</v>
      </c>
      <c r="M883" s="23" t="s">
        <v>8</v>
      </c>
    </row>
    <row r="884" spans="1:13" s="21" customFormat="1" x14ac:dyDescent="0.25">
      <c r="A884" s="22" t="s">
        <v>8</v>
      </c>
      <c r="B884" s="18" t="str">
        <f>"055646"</f>
        <v>055646</v>
      </c>
      <c r="C884" s="19" t="s">
        <v>889</v>
      </c>
      <c r="D884" s="19" t="s">
        <v>16318</v>
      </c>
      <c r="E884" s="19" t="s">
        <v>31242</v>
      </c>
      <c r="F884" s="19" t="s">
        <v>35978</v>
      </c>
      <c r="G884" s="18" t="str">
        <f>"94301"</f>
        <v>94301</v>
      </c>
      <c r="H884" s="19" t="s">
        <v>31241</v>
      </c>
      <c r="I884" s="20">
        <v>19.053000000000001</v>
      </c>
      <c r="J884" s="44" t="s">
        <v>8</v>
      </c>
      <c r="K884" s="23" t="s">
        <v>8</v>
      </c>
      <c r="L884" s="23" t="s">
        <v>8</v>
      </c>
      <c r="M884" s="23" t="s">
        <v>8</v>
      </c>
    </row>
    <row r="885" spans="1:13" s="21" customFormat="1" x14ac:dyDescent="0.25">
      <c r="A885" s="22" t="s">
        <v>8</v>
      </c>
      <c r="B885" s="18" t="str">
        <f>"055649"</f>
        <v>055649</v>
      </c>
      <c r="C885" s="19" t="s">
        <v>890</v>
      </c>
      <c r="D885" s="19" t="s">
        <v>16319</v>
      </c>
      <c r="E885" s="19" t="s">
        <v>31243</v>
      </c>
      <c r="F885" s="19" t="s">
        <v>35978</v>
      </c>
      <c r="G885" s="18" t="str">
        <f>"93274"</f>
        <v>93274</v>
      </c>
      <c r="H885" s="19" t="s">
        <v>31243</v>
      </c>
      <c r="I885" s="20">
        <v>21.939</v>
      </c>
      <c r="J885" s="44" t="s">
        <v>8</v>
      </c>
      <c r="K885" s="23" t="s">
        <v>8</v>
      </c>
      <c r="L885" s="23" t="s">
        <v>8</v>
      </c>
      <c r="M885" s="23" t="s">
        <v>8</v>
      </c>
    </row>
    <row r="886" spans="1:13" s="21" customFormat="1" x14ac:dyDescent="0.25">
      <c r="A886" s="22" t="s">
        <v>8</v>
      </c>
      <c r="B886" s="18" t="str">
        <f>"055650"</f>
        <v>055650</v>
      </c>
      <c r="C886" s="19" t="s">
        <v>891</v>
      </c>
      <c r="D886" s="19" t="s">
        <v>16320</v>
      </c>
      <c r="E886" s="19" t="s">
        <v>31098</v>
      </c>
      <c r="F886" s="19" t="s">
        <v>35978</v>
      </c>
      <c r="G886" s="18" t="str">
        <f>"92374"</f>
        <v>92374</v>
      </c>
      <c r="H886" s="19" t="s">
        <v>31227</v>
      </c>
      <c r="I886" s="20">
        <v>20.673999999999999</v>
      </c>
      <c r="J886" s="44" t="s">
        <v>8</v>
      </c>
      <c r="K886" s="23" t="s">
        <v>8</v>
      </c>
      <c r="L886" s="23" t="s">
        <v>8</v>
      </c>
      <c r="M886" s="23" t="s">
        <v>8</v>
      </c>
    </row>
    <row r="887" spans="1:13" s="21" customFormat="1" x14ac:dyDescent="0.25">
      <c r="A887" s="22" t="s">
        <v>8</v>
      </c>
      <c r="B887" s="18" t="str">
        <f>"055653"</f>
        <v>055653</v>
      </c>
      <c r="C887" s="19" t="s">
        <v>892</v>
      </c>
      <c r="D887" s="19" t="s">
        <v>16321</v>
      </c>
      <c r="E887" s="19" t="s">
        <v>31157</v>
      </c>
      <c r="F887" s="19" t="s">
        <v>35978</v>
      </c>
      <c r="G887" s="18" t="str">
        <f>"92707"</f>
        <v>92707</v>
      </c>
      <c r="H887" s="19" t="s">
        <v>31169</v>
      </c>
      <c r="I887" s="20">
        <v>19.34</v>
      </c>
      <c r="J887" s="44" t="s">
        <v>8</v>
      </c>
      <c r="K887" s="23" t="s">
        <v>8</v>
      </c>
      <c r="L887" s="23" t="s">
        <v>8</v>
      </c>
      <c r="M887" s="23" t="s">
        <v>8</v>
      </c>
    </row>
    <row r="888" spans="1:13" s="21" customFormat="1" x14ac:dyDescent="0.25">
      <c r="A888" s="22" t="s">
        <v>8</v>
      </c>
      <c r="B888" s="18" t="str">
        <f>"055656"</f>
        <v>055656</v>
      </c>
      <c r="C888" s="19" t="s">
        <v>893</v>
      </c>
      <c r="D888" s="19" t="s">
        <v>16322</v>
      </c>
      <c r="E888" s="19" t="s">
        <v>31219</v>
      </c>
      <c r="F888" s="19" t="s">
        <v>35978</v>
      </c>
      <c r="G888" s="18" t="str">
        <f>"95926"</f>
        <v>95926</v>
      </c>
      <c r="H888" s="19" t="s">
        <v>33744</v>
      </c>
      <c r="I888" s="20">
        <v>20.678999999999998</v>
      </c>
      <c r="J888" s="44" t="s">
        <v>8</v>
      </c>
      <c r="K888" s="23" t="s">
        <v>8</v>
      </c>
      <c r="L888" s="23" t="s">
        <v>8</v>
      </c>
      <c r="M888" s="23" t="s">
        <v>8</v>
      </c>
    </row>
    <row r="889" spans="1:13" s="21" customFormat="1" x14ac:dyDescent="0.25">
      <c r="A889" s="22" t="s">
        <v>8</v>
      </c>
      <c r="B889" s="18" t="str">
        <f>"055658"</f>
        <v>055658</v>
      </c>
      <c r="C889" s="19" t="s">
        <v>894</v>
      </c>
      <c r="D889" s="19" t="s">
        <v>16323</v>
      </c>
      <c r="E889" s="19" t="s">
        <v>31155</v>
      </c>
      <c r="F889" s="19" t="s">
        <v>35978</v>
      </c>
      <c r="G889" s="18" t="str">
        <f>"93727"</f>
        <v>93727</v>
      </c>
      <c r="H889" s="19" t="s">
        <v>31155</v>
      </c>
      <c r="I889" s="20">
        <v>18.556000000000001</v>
      </c>
      <c r="J889" s="44" t="s">
        <v>8</v>
      </c>
      <c r="K889" s="23" t="s">
        <v>8</v>
      </c>
      <c r="L889" s="23" t="s">
        <v>8</v>
      </c>
      <c r="M889" s="23" t="s">
        <v>8</v>
      </c>
    </row>
    <row r="890" spans="1:13" s="21" customFormat="1" x14ac:dyDescent="0.25">
      <c r="A890" s="22" t="s">
        <v>8</v>
      </c>
      <c r="B890" s="18" t="str">
        <f>"055662"</f>
        <v>055662</v>
      </c>
      <c r="C890" s="19" t="s">
        <v>895</v>
      </c>
      <c r="D890" s="19" t="s">
        <v>16324</v>
      </c>
      <c r="E890" s="19" t="s">
        <v>31244</v>
      </c>
      <c r="F890" s="19" t="s">
        <v>35978</v>
      </c>
      <c r="G890" s="18" t="str">
        <f>"95366"</f>
        <v>95366</v>
      </c>
      <c r="H890" s="19" t="s">
        <v>36087</v>
      </c>
      <c r="I890" s="20">
        <v>18.991</v>
      </c>
      <c r="J890" s="44" t="s">
        <v>8</v>
      </c>
      <c r="K890" s="23" t="s">
        <v>8</v>
      </c>
      <c r="L890" s="23" t="s">
        <v>8</v>
      </c>
      <c r="M890" s="23" t="s">
        <v>8</v>
      </c>
    </row>
    <row r="891" spans="1:13" s="21" customFormat="1" x14ac:dyDescent="0.25">
      <c r="A891" s="22" t="s">
        <v>8</v>
      </c>
      <c r="B891" s="18" t="str">
        <f>"055664"</f>
        <v>055664</v>
      </c>
      <c r="C891" s="19" t="s">
        <v>896</v>
      </c>
      <c r="D891" s="19" t="s">
        <v>16325</v>
      </c>
      <c r="E891" s="19" t="s">
        <v>31109</v>
      </c>
      <c r="F891" s="19" t="s">
        <v>35978</v>
      </c>
      <c r="G891" s="18" t="str">
        <f>"90042"</f>
        <v>90042</v>
      </c>
      <c r="H891" s="19" t="s">
        <v>31109</v>
      </c>
      <c r="I891" s="20">
        <v>21.864999999999998</v>
      </c>
      <c r="J891" s="44" t="s">
        <v>8</v>
      </c>
      <c r="K891" s="23" t="s">
        <v>8</v>
      </c>
      <c r="L891" s="23" t="s">
        <v>8</v>
      </c>
      <c r="M891" s="23" t="s">
        <v>8</v>
      </c>
    </row>
    <row r="892" spans="1:13" s="21" customFormat="1" x14ac:dyDescent="0.25">
      <c r="A892" s="22" t="s">
        <v>8</v>
      </c>
      <c r="B892" s="18" t="str">
        <f>"055670"</f>
        <v>055670</v>
      </c>
      <c r="C892" s="19" t="s">
        <v>897</v>
      </c>
      <c r="D892" s="19" t="s">
        <v>16326</v>
      </c>
      <c r="E892" s="19" t="s">
        <v>30946</v>
      </c>
      <c r="F892" s="19" t="s">
        <v>35978</v>
      </c>
      <c r="G892" s="18" t="str">
        <f>"91204"</f>
        <v>91204</v>
      </c>
      <c r="H892" s="19" t="s">
        <v>31109</v>
      </c>
      <c r="I892" s="20">
        <v>17.428000000000001</v>
      </c>
      <c r="J892" s="44" t="s">
        <v>8</v>
      </c>
      <c r="K892" s="23" t="s">
        <v>8</v>
      </c>
      <c r="L892" s="23" t="s">
        <v>8</v>
      </c>
      <c r="M892" s="23" t="s">
        <v>8</v>
      </c>
    </row>
    <row r="893" spans="1:13" s="21" customFormat="1" x14ac:dyDescent="0.25">
      <c r="A893" s="22" t="s">
        <v>8</v>
      </c>
      <c r="B893" s="18" t="str">
        <f>"055671"</f>
        <v>055671</v>
      </c>
      <c r="C893" s="19" t="s">
        <v>898</v>
      </c>
      <c r="D893" s="19" t="s">
        <v>16327</v>
      </c>
      <c r="E893" s="19" t="s">
        <v>31207</v>
      </c>
      <c r="F893" s="19" t="s">
        <v>35978</v>
      </c>
      <c r="G893" s="18" t="str">
        <f>"92805"</f>
        <v>92805</v>
      </c>
      <c r="H893" s="19" t="s">
        <v>31169</v>
      </c>
      <c r="I893" s="20">
        <v>19.675999999999998</v>
      </c>
      <c r="J893" s="44" t="s">
        <v>8</v>
      </c>
      <c r="K893" s="23" t="s">
        <v>8</v>
      </c>
      <c r="L893" s="23" t="s">
        <v>8</v>
      </c>
      <c r="M893" s="23" t="s">
        <v>8</v>
      </c>
    </row>
    <row r="894" spans="1:13" s="21" customFormat="1" x14ac:dyDescent="0.25">
      <c r="A894" s="22" t="s">
        <v>8</v>
      </c>
      <c r="B894" s="18" t="str">
        <f>"055674"</f>
        <v>055674</v>
      </c>
      <c r="C894" s="19" t="s">
        <v>899</v>
      </c>
      <c r="D894" s="19" t="s">
        <v>16328</v>
      </c>
      <c r="E894" s="19" t="s">
        <v>31230</v>
      </c>
      <c r="F894" s="19" t="s">
        <v>35978</v>
      </c>
      <c r="G894" s="18" t="str">
        <f>"90620"</f>
        <v>90620</v>
      </c>
      <c r="H894" s="19" t="s">
        <v>31169</v>
      </c>
      <c r="I894" s="20">
        <v>20.405999999999999</v>
      </c>
      <c r="J894" s="44" t="s">
        <v>8</v>
      </c>
      <c r="K894" s="23" t="s">
        <v>8</v>
      </c>
      <c r="L894" s="23" t="s">
        <v>8</v>
      </c>
      <c r="M894" s="23" t="s">
        <v>8</v>
      </c>
    </row>
    <row r="895" spans="1:13" s="21" customFormat="1" x14ac:dyDescent="0.25">
      <c r="A895" s="22" t="s">
        <v>8</v>
      </c>
      <c r="B895" s="18" t="str">
        <f>"055677"</f>
        <v>055677</v>
      </c>
      <c r="C895" s="19" t="s">
        <v>900</v>
      </c>
      <c r="D895" s="19" t="s">
        <v>16329</v>
      </c>
      <c r="E895" s="19" t="s">
        <v>31245</v>
      </c>
      <c r="F895" s="19" t="s">
        <v>35978</v>
      </c>
      <c r="G895" s="18" t="str">
        <f>"94565"</f>
        <v>94565</v>
      </c>
      <c r="H895" s="19" t="s">
        <v>36088</v>
      </c>
      <c r="I895" s="20">
        <v>18.442</v>
      </c>
      <c r="J895" s="44" t="s">
        <v>8</v>
      </c>
      <c r="K895" s="23" t="s">
        <v>8</v>
      </c>
      <c r="L895" s="23" t="s">
        <v>8</v>
      </c>
      <c r="M895" s="23" t="s">
        <v>8</v>
      </c>
    </row>
    <row r="896" spans="1:13" s="21" customFormat="1" x14ac:dyDescent="0.25">
      <c r="A896" s="22" t="s">
        <v>8</v>
      </c>
      <c r="B896" s="18" t="str">
        <f>"055684"</f>
        <v>055684</v>
      </c>
      <c r="C896" s="19" t="s">
        <v>901</v>
      </c>
      <c r="D896" s="19" t="s">
        <v>16330</v>
      </c>
      <c r="E896" s="19" t="s">
        <v>31246</v>
      </c>
      <c r="F896" s="19" t="s">
        <v>35978</v>
      </c>
      <c r="G896" s="18" t="str">
        <f>"93105"</f>
        <v>93105</v>
      </c>
      <c r="H896" s="19" t="s">
        <v>31246</v>
      </c>
      <c r="I896" s="20">
        <v>18.655999999999999</v>
      </c>
      <c r="J896" s="44" t="s">
        <v>8</v>
      </c>
      <c r="K896" s="23" t="s">
        <v>8</v>
      </c>
      <c r="L896" s="23" t="s">
        <v>8</v>
      </c>
      <c r="M896" s="23" t="s">
        <v>8</v>
      </c>
    </row>
    <row r="897" spans="1:13" s="21" customFormat="1" x14ac:dyDescent="0.25">
      <c r="A897" s="22" t="s">
        <v>8</v>
      </c>
      <c r="B897" s="18" t="str">
        <f>"055685"</f>
        <v>055685</v>
      </c>
      <c r="C897" s="19" t="s">
        <v>902</v>
      </c>
      <c r="D897" s="19" t="s">
        <v>16331</v>
      </c>
      <c r="E897" s="19" t="s">
        <v>31247</v>
      </c>
      <c r="F897" s="19" t="s">
        <v>35978</v>
      </c>
      <c r="G897" s="18" t="str">
        <f>"91977"</f>
        <v>91977</v>
      </c>
      <c r="H897" s="19" t="s">
        <v>31176</v>
      </c>
      <c r="I897" s="20">
        <v>18.681999999999999</v>
      </c>
      <c r="J897" s="44" t="s">
        <v>8</v>
      </c>
      <c r="K897" s="23" t="s">
        <v>8</v>
      </c>
      <c r="L897" s="23" t="s">
        <v>8</v>
      </c>
      <c r="M897" s="23" t="s">
        <v>8</v>
      </c>
    </row>
    <row r="898" spans="1:13" s="21" customFormat="1" x14ac:dyDescent="0.25">
      <c r="A898" s="22" t="s">
        <v>8</v>
      </c>
      <c r="B898" s="18" t="str">
        <f>"055689"</f>
        <v>055689</v>
      </c>
      <c r="C898" s="19" t="s">
        <v>903</v>
      </c>
      <c r="D898" s="19" t="s">
        <v>16332</v>
      </c>
      <c r="E898" s="19" t="s">
        <v>31229</v>
      </c>
      <c r="F898" s="19" t="s">
        <v>35978</v>
      </c>
      <c r="G898" s="18" t="str">
        <f>"92832"</f>
        <v>92832</v>
      </c>
      <c r="H898" s="19" t="s">
        <v>31169</v>
      </c>
      <c r="I898" s="20">
        <v>21.187999999999999</v>
      </c>
      <c r="J898" s="44" t="s">
        <v>8</v>
      </c>
      <c r="K898" s="23" t="s">
        <v>8</v>
      </c>
      <c r="L898" s="23" t="s">
        <v>8</v>
      </c>
      <c r="M898" s="23" t="s">
        <v>8</v>
      </c>
    </row>
    <row r="899" spans="1:13" s="21" customFormat="1" x14ac:dyDescent="0.25">
      <c r="A899" s="22" t="s">
        <v>8</v>
      </c>
      <c r="B899" s="18" t="str">
        <f>"055693"</f>
        <v>055693</v>
      </c>
      <c r="C899" s="19" t="s">
        <v>904</v>
      </c>
      <c r="D899" s="19" t="s">
        <v>16333</v>
      </c>
      <c r="E899" s="19" t="s">
        <v>31239</v>
      </c>
      <c r="F899" s="19" t="s">
        <v>35978</v>
      </c>
      <c r="G899" s="18" t="str">
        <f>"91764"</f>
        <v>91764</v>
      </c>
      <c r="H899" s="19" t="s">
        <v>31227</v>
      </c>
      <c r="I899" s="20">
        <v>18.079000000000001</v>
      </c>
      <c r="J899" s="44" t="s">
        <v>8</v>
      </c>
      <c r="K899" s="23" t="s">
        <v>8</v>
      </c>
      <c r="L899" s="23" t="s">
        <v>8</v>
      </c>
      <c r="M899" s="23" t="s">
        <v>8</v>
      </c>
    </row>
    <row r="900" spans="1:13" s="21" customFormat="1" x14ac:dyDescent="0.25">
      <c r="A900" s="22" t="s">
        <v>8</v>
      </c>
      <c r="B900" s="18" t="str">
        <f>"055697"</f>
        <v>055697</v>
      </c>
      <c r="C900" s="19" t="s">
        <v>905</v>
      </c>
      <c r="D900" s="19" t="s">
        <v>16334</v>
      </c>
      <c r="E900" s="19" t="s">
        <v>31109</v>
      </c>
      <c r="F900" s="19" t="s">
        <v>35978</v>
      </c>
      <c r="G900" s="18" t="str">
        <f>"90023"</f>
        <v>90023</v>
      </c>
      <c r="H900" s="19" t="s">
        <v>31109</v>
      </c>
      <c r="I900" s="20">
        <v>20.358000000000001</v>
      </c>
      <c r="J900" s="44" t="s">
        <v>8</v>
      </c>
      <c r="K900" s="23" t="s">
        <v>8</v>
      </c>
      <c r="L900" s="23" t="s">
        <v>8</v>
      </c>
      <c r="M900" s="23" t="s">
        <v>8</v>
      </c>
    </row>
    <row r="901" spans="1:13" s="21" customFormat="1" x14ac:dyDescent="0.25">
      <c r="A901" s="22" t="s">
        <v>8</v>
      </c>
      <c r="B901" s="18" t="str">
        <f>"055698"</f>
        <v>055698</v>
      </c>
      <c r="C901" s="19" t="s">
        <v>906</v>
      </c>
      <c r="D901" s="19" t="s">
        <v>16335</v>
      </c>
      <c r="E901" s="19" t="s">
        <v>31176</v>
      </c>
      <c r="F901" s="19" t="s">
        <v>35978</v>
      </c>
      <c r="G901" s="18" t="str">
        <f>"92123"</f>
        <v>92123</v>
      </c>
      <c r="H901" s="19" t="s">
        <v>31176</v>
      </c>
      <c r="I901" s="20">
        <v>17.675999999999998</v>
      </c>
      <c r="J901" s="44" t="s">
        <v>8</v>
      </c>
      <c r="K901" s="23" t="s">
        <v>8</v>
      </c>
      <c r="L901" s="23" t="s">
        <v>8</v>
      </c>
      <c r="M901" s="23" t="s">
        <v>8</v>
      </c>
    </row>
    <row r="902" spans="1:13" s="21" customFormat="1" x14ac:dyDescent="0.25">
      <c r="A902" s="22" t="s">
        <v>8</v>
      </c>
      <c r="B902" s="18" t="str">
        <f>"055704"</f>
        <v>055704</v>
      </c>
      <c r="C902" s="19" t="s">
        <v>907</v>
      </c>
      <c r="D902" s="19" t="s">
        <v>16336</v>
      </c>
      <c r="E902" s="19" t="s">
        <v>31109</v>
      </c>
      <c r="F902" s="19" t="s">
        <v>35978</v>
      </c>
      <c r="G902" s="18" t="str">
        <f>"90017"</f>
        <v>90017</v>
      </c>
      <c r="H902" s="19" t="s">
        <v>31109</v>
      </c>
      <c r="I902" s="20">
        <v>20.98</v>
      </c>
      <c r="J902" s="44" t="s">
        <v>8</v>
      </c>
      <c r="K902" s="23" t="s">
        <v>8</v>
      </c>
      <c r="L902" s="23" t="s">
        <v>8</v>
      </c>
      <c r="M902" s="23" t="s">
        <v>8</v>
      </c>
    </row>
    <row r="903" spans="1:13" s="21" customFormat="1" x14ac:dyDescent="0.25">
      <c r="A903" s="22" t="s">
        <v>8</v>
      </c>
      <c r="B903" s="18" t="str">
        <f>"055706"</f>
        <v>055706</v>
      </c>
      <c r="C903" s="19" t="s">
        <v>908</v>
      </c>
      <c r="D903" s="19" t="s">
        <v>16337</v>
      </c>
      <c r="E903" s="19" t="s">
        <v>31145</v>
      </c>
      <c r="F903" s="19" t="s">
        <v>35978</v>
      </c>
      <c r="G903" s="18" t="str">
        <f>"90606"</f>
        <v>90606</v>
      </c>
      <c r="H903" s="19" t="s">
        <v>31109</v>
      </c>
      <c r="I903" s="20">
        <v>20.128</v>
      </c>
      <c r="J903" s="44" t="s">
        <v>8</v>
      </c>
      <c r="K903" s="23" t="s">
        <v>8</v>
      </c>
      <c r="L903" s="23" t="s">
        <v>8</v>
      </c>
      <c r="M903" s="23" t="s">
        <v>8</v>
      </c>
    </row>
    <row r="904" spans="1:13" s="21" customFormat="1" x14ac:dyDescent="0.25">
      <c r="A904" s="22" t="s">
        <v>8</v>
      </c>
      <c r="B904" s="18" t="str">
        <f>"055707"</f>
        <v>055707</v>
      </c>
      <c r="C904" s="19" t="s">
        <v>909</v>
      </c>
      <c r="D904" s="19" t="s">
        <v>16338</v>
      </c>
      <c r="E904" s="19" t="s">
        <v>31239</v>
      </c>
      <c r="F904" s="19" t="s">
        <v>35978</v>
      </c>
      <c r="G904" s="18" t="str">
        <f>"91762"</f>
        <v>91762</v>
      </c>
      <c r="H904" s="19" t="s">
        <v>31227</v>
      </c>
      <c r="I904" s="20">
        <v>21.481000000000002</v>
      </c>
      <c r="J904" s="44" t="s">
        <v>8</v>
      </c>
      <c r="K904" s="23" t="s">
        <v>8</v>
      </c>
      <c r="L904" s="23" t="s">
        <v>8</v>
      </c>
      <c r="M904" s="23" t="s">
        <v>8</v>
      </c>
    </row>
    <row r="905" spans="1:13" s="21" customFormat="1" x14ac:dyDescent="0.25">
      <c r="A905" s="22" t="s">
        <v>8</v>
      </c>
      <c r="B905" s="18" t="str">
        <f>"055708"</f>
        <v>055708</v>
      </c>
      <c r="C905" s="19" t="s">
        <v>910</v>
      </c>
      <c r="D905" s="19" t="s">
        <v>16339</v>
      </c>
      <c r="E905" s="19" t="s">
        <v>31227</v>
      </c>
      <c r="F905" s="19" t="s">
        <v>35978</v>
      </c>
      <c r="G905" s="18" t="str">
        <f>"92404"</f>
        <v>92404</v>
      </c>
      <c r="H905" s="19" t="s">
        <v>31227</v>
      </c>
      <c r="I905" s="20">
        <v>17.062999999999999</v>
      </c>
      <c r="J905" s="44" t="s">
        <v>8</v>
      </c>
      <c r="K905" s="23" t="s">
        <v>8</v>
      </c>
      <c r="L905" s="23" t="s">
        <v>8</v>
      </c>
      <c r="M905" s="23" t="s">
        <v>8</v>
      </c>
    </row>
    <row r="906" spans="1:13" s="21" customFormat="1" x14ac:dyDescent="0.25">
      <c r="A906" s="22" t="s">
        <v>8</v>
      </c>
      <c r="B906" s="18" t="str">
        <f>"055710"</f>
        <v>055710</v>
      </c>
      <c r="C906" s="19" t="s">
        <v>911</v>
      </c>
      <c r="D906" s="19" t="s">
        <v>16340</v>
      </c>
      <c r="E906" s="19" t="s">
        <v>31109</v>
      </c>
      <c r="F906" s="19" t="s">
        <v>35978</v>
      </c>
      <c r="G906" s="18" t="str">
        <f>"90046"</f>
        <v>90046</v>
      </c>
      <c r="H906" s="19" t="s">
        <v>31109</v>
      </c>
      <c r="I906" s="20">
        <v>19.907</v>
      </c>
      <c r="J906" s="44" t="s">
        <v>8</v>
      </c>
      <c r="K906" s="23" t="s">
        <v>8</v>
      </c>
      <c r="L906" s="23" t="s">
        <v>8</v>
      </c>
      <c r="M906" s="23" t="s">
        <v>8</v>
      </c>
    </row>
    <row r="907" spans="1:13" s="21" customFormat="1" x14ac:dyDescent="0.25">
      <c r="A907" s="22" t="s">
        <v>8</v>
      </c>
      <c r="B907" s="18" t="str">
        <f>"055711"</f>
        <v>055711</v>
      </c>
      <c r="C907" s="19" t="s">
        <v>912</v>
      </c>
      <c r="D907" s="19" t="s">
        <v>16341</v>
      </c>
      <c r="E907" s="19" t="s">
        <v>31136</v>
      </c>
      <c r="F907" s="19" t="s">
        <v>35978</v>
      </c>
      <c r="G907" s="18" t="str">
        <f>"90404"</f>
        <v>90404</v>
      </c>
      <c r="H907" s="19" t="s">
        <v>31109</v>
      </c>
      <c r="I907" s="20">
        <v>17.928999999999998</v>
      </c>
      <c r="J907" s="44" t="s">
        <v>8</v>
      </c>
      <c r="K907" s="23" t="s">
        <v>8</v>
      </c>
      <c r="L907" s="23" t="s">
        <v>8</v>
      </c>
      <c r="M907" s="23" t="s">
        <v>8</v>
      </c>
    </row>
    <row r="908" spans="1:13" s="21" customFormat="1" x14ac:dyDescent="0.25">
      <c r="A908" s="22" t="s">
        <v>8</v>
      </c>
      <c r="B908" s="18" t="str">
        <f>"055715"</f>
        <v>055715</v>
      </c>
      <c r="C908" s="19" t="s">
        <v>913</v>
      </c>
      <c r="D908" s="19" t="s">
        <v>16342</v>
      </c>
      <c r="E908" s="19" t="s">
        <v>31248</v>
      </c>
      <c r="F908" s="19" t="s">
        <v>35978</v>
      </c>
      <c r="G908" s="18" t="str">
        <f>"94704"</f>
        <v>94704</v>
      </c>
      <c r="H908" s="19" t="s">
        <v>31290</v>
      </c>
      <c r="I908" s="20">
        <v>18.693000000000001</v>
      </c>
      <c r="J908" s="44" t="s">
        <v>8</v>
      </c>
      <c r="K908" s="23" t="s">
        <v>8</v>
      </c>
      <c r="L908" s="23" t="s">
        <v>8</v>
      </c>
      <c r="M908" s="23" t="s">
        <v>8</v>
      </c>
    </row>
    <row r="909" spans="1:13" s="21" customFormat="1" x14ac:dyDescent="0.25">
      <c r="A909" s="22" t="s">
        <v>8</v>
      </c>
      <c r="B909" s="18" t="str">
        <f>"055718"</f>
        <v>055718</v>
      </c>
      <c r="C909" s="19" t="s">
        <v>914</v>
      </c>
      <c r="D909" s="19" t="s">
        <v>16343</v>
      </c>
      <c r="E909" s="19" t="s">
        <v>31249</v>
      </c>
      <c r="F909" s="19" t="s">
        <v>35978</v>
      </c>
      <c r="G909" s="18" t="str">
        <f>"91763"</f>
        <v>91763</v>
      </c>
      <c r="H909" s="19" t="s">
        <v>31227</v>
      </c>
      <c r="I909" s="20">
        <v>19.800999999999998</v>
      </c>
      <c r="J909" s="44" t="s">
        <v>8</v>
      </c>
      <c r="K909" s="23" t="s">
        <v>8</v>
      </c>
      <c r="L909" s="23" t="s">
        <v>8</v>
      </c>
      <c r="M909" s="23" t="s">
        <v>8</v>
      </c>
    </row>
    <row r="910" spans="1:13" s="21" customFormat="1" x14ac:dyDescent="0.25">
      <c r="A910" s="22" t="s">
        <v>8</v>
      </c>
      <c r="B910" s="18" t="str">
        <f>"055719"</f>
        <v>055719</v>
      </c>
      <c r="C910" s="19" t="s">
        <v>915</v>
      </c>
      <c r="D910" s="19" t="s">
        <v>16344</v>
      </c>
      <c r="E910" s="19" t="s">
        <v>31228</v>
      </c>
      <c r="F910" s="19" t="s">
        <v>35978</v>
      </c>
      <c r="G910" s="18" t="str">
        <f>"93003"</f>
        <v>93003</v>
      </c>
      <c r="H910" s="19" t="s">
        <v>31228</v>
      </c>
      <c r="I910" s="20">
        <v>18.395</v>
      </c>
      <c r="J910" s="44" t="s">
        <v>8</v>
      </c>
      <c r="K910" s="23" t="s">
        <v>8</v>
      </c>
      <c r="L910" s="23" t="s">
        <v>8</v>
      </c>
      <c r="M910" s="23" t="s">
        <v>8</v>
      </c>
    </row>
    <row r="911" spans="1:13" s="21" customFormat="1" x14ac:dyDescent="0.25">
      <c r="A911" s="22" t="s">
        <v>8</v>
      </c>
      <c r="B911" s="18" t="str">
        <f>"055728"</f>
        <v>055728</v>
      </c>
      <c r="C911" s="19" t="s">
        <v>916</v>
      </c>
      <c r="D911" s="19" t="s">
        <v>16345</v>
      </c>
      <c r="E911" s="19" t="s">
        <v>31250</v>
      </c>
      <c r="F911" s="19" t="s">
        <v>35978</v>
      </c>
      <c r="G911" s="18" t="str">
        <f>"91321"</f>
        <v>91321</v>
      </c>
      <c r="H911" s="19" t="s">
        <v>31109</v>
      </c>
      <c r="I911" s="20">
        <v>19.116</v>
      </c>
      <c r="J911" s="44" t="s">
        <v>8</v>
      </c>
      <c r="K911" s="23" t="s">
        <v>8</v>
      </c>
      <c r="L911" s="23" t="s">
        <v>8</v>
      </c>
      <c r="M911" s="23" t="s">
        <v>8</v>
      </c>
    </row>
    <row r="912" spans="1:13" s="21" customFormat="1" x14ac:dyDescent="0.25">
      <c r="A912" s="22" t="s">
        <v>8</v>
      </c>
      <c r="B912" s="18" t="str">
        <f>"055733"</f>
        <v>055733</v>
      </c>
      <c r="C912" s="19" t="s">
        <v>917</v>
      </c>
      <c r="D912" s="19" t="s">
        <v>16346</v>
      </c>
      <c r="E912" s="19" t="s">
        <v>31246</v>
      </c>
      <c r="F912" s="19" t="s">
        <v>35978</v>
      </c>
      <c r="G912" s="18" t="str">
        <f>"93105"</f>
        <v>93105</v>
      </c>
      <c r="H912" s="19" t="s">
        <v>31246</v>
      </c>
      <c r="I912" s="20">
        <v>17.173999999999999</v>
      </c>
      <c r="J912" s="44" t="s">
        <v>8</v>
      </c>
      <c r="K912" s="23" t="s">
        <v>8</v>
      </c>
      <c r="L912" s="23" t="s">
        <v>8</v>
      </c>
      <c r="M912" s="23" t="s">
        <v>8</v>
      </c>
    </row>
    <row r="913" spans="1:13" s="21" customFormat="1" x14ac:dyDescent="0.25">
      <c r="A913" s="22" t="s">
        <v>8</v>
      </c>
      <c r="B913" s="18" t="str">
        <f>"055734"</f>
        <v>055734</v>
      </c>
      <c r="C913" s="19" t="s">
        <v>918</v>
      </c>
      <c r="D913" s="19" t="s">
        <v>16347</v>
      </c>
      <c r="E913" s="19" t="s">
        <v>31251</v>
      </c>
      <c r="F913" s="19" t="s">
        <v>35978</v>
      </c>
      <c r="G913" s="18" t="str">
        <f>"95482"</f>
        <v>95482</v>
      </c>
      <c r="H913" s="19" t="s">
        <v>36099</v>
      </c>
      <c r="I913" s="20">
        <v>17.146999999999998</v>
      </c>
      <c r="J913" s="44" t="s">
        <v>8</v>
      </c>
      <c r="K913" s="23" t="s">
        <v>8</v>
      </c>
      <c r="L913" s="23" t="s">
        <v>8</v>
      </c>
      <c r="M913" s="23" t="s">
        <v>8</v>
      </c>
    </row>
    <row r="914" spans="1:13" s="21" customFormat="1" x14ac:dyDescent="0.25">
      <c r="A914" s="22" t="s">
        <v>8</v>
      </c>
      <c r="B914" s="18" t="str">
        <f>"055735"</f>
        <v>055735</v>
      </c>
      <c r="C914" s="19" t="s">
        <v>919</v>
      </c>
      <c r="D914" s="19" t="s">
        <v>16348</v>
      </c>
      <c r="E914" s="19" t="s">
        <v>31110</v>
      </c>
      <c r="F914" s="19" t="s">
        <v>35978</v>
      </c>
      <c r="G914" s="18" t="str">
        <f>"95207"</f>
        <v>95207</v>
      </c>
      <c r="H914" s="19" t="s">
        <v>36087</v>
      </c>
      <c r="I914" s="20">
        <v>19.399000000000001</v>
      </c>
      <c r="J914" s="44" t="s">
        <v>8</v>
      </c>
      <c r="K914" s="23" t="s">
        <v>8</v>
      </c>
      <c r="L914" s="23" t="s">
        <v>8</v>
      </c>
      <c r="M914" s="23" t="s">
        <v>8</v>
      </c>
    </row>
    <row r="915" spans="1:13" s="21" customFormat="1" x14ac:dyDescent="0.25">
      <c r="A915" s="22" t="s">
        <v>8</v>
      </c>
      <c r="B915" s="18" t="str">
        <f>"055737"</f>
        <v>055737</v>
      </c>
      <c r="C915" s="19" t="s">
        <v>920</v>
      </c>
      <c r="D915" s="19" t="s">
        <v>16349</v>
      </c>
      <c r="E915" s="19" t="s">
        <v>31252</v>
      </c>
      <c r="F915" s="19" t="s">
        <v>35978</v>
      </c>
      <c r="G915" s="18" t="str">
        <f>"90638"</f>
        <v>90638</v>
      </c>
      <c r="H915" s="19" t="s">
        <v>31109</v>
      </c>
      <c r="I915" s="20">
        <v>18.303999999999998</v>
      </c>
      <c r="J915" s="44" t="s">
        <v>8</v>
      </c>
      <c r="K915" s="23" t="s">
        <v>8</v>
      </c>
      <c r="L915" s="23" t="s">
        <v>8</v>
      </c>
      <c r="M915" s="23" t="s">
        <v>8</v>
      </c>
    </row>
    <row r="916" spans="1:13" s="21" customFormat="1" x14ac:dyDescent="0.25">
      <c r="A916" s="22" t="s">
        <v>8</v>
      </c>
      <c r="B916" s="18" t="str">
        <f>"055739"</f>
        <v>055739</v>
      </c>
      <c r="C916" s="19" t="s">
        <v>921</v>
      </c>
      <c r="D916" s="19" t="s">
        <v>16350</v>
      </c>
      <c r="E916" s="19" t="s">
        <v>31187</v>
      </c>
      <c r="F916" s="19" t="s">
        <v>35978</v>
      </c>
      <c r="G916" s="18" t="str">
        <f>"93901"</f>
        <v>93901</v>
      </c>
      <c r="H916" s="19" t="s">
        <v>31274</v>
      </c>
      <c r="I916" s="20">
        <v>16.878</v>
      </c>
      <c r="J916" s="44" t="s">
        <v>8</v>
      </c>
      <c r="K916" s="23" t="s">
        <v>8</v>
      </c>
      <c r="L916" s="23" t="s">
        <v>8</v>
      </c>
      <c r="M916" s="23" t="s">
        <v>8</v>
      </c>
    </row>
    <row r="917" spans="1:13" s="21" customFormat="1" x14ac:dyDescent="0.25">
      <c r="A917" s="22" t="s">
        <v>8</v>
      </c>
      <c r="B917" s="18" t="str">
        <f>"055742"</f>
        <v>055742</v>
      </c>
      <c r="C917" s="19" t="s">
        <v>922</v>
      </c>
      <c r="D917" s="19" t="s">
        <v>16351</v>
      </c>
      <c r="E917" s="19" t="s">
        <v>31207</v>
      </c>
      <c r="F917" s="19" t="s">
        <v>35978</v>
      </c>
      <c r="G917" s="18" t="str">
        <f>"92805"</f>
        <v>92805</v>
      </c>
      <c r="H917" s="19" t="s">
        <v>31169</v>
      </c>
      <c r="I917" s="20">
        <v>17.05</v>
      </c>
      <c r="J917" s="44" t="s">
        <v>8</v>
      </c>
      <c r="K917" s="23" t="s">
        <v>8</v>
      </c>
      <c r="L917" s="23" t="s">
        <v>8</v>
      </c>
      <c r="M917" s="23" t="s">
        <v>8</v>
      </c>
    </row>
    <row r="918" spans="1:13" s="21" customFormat="1" x14ac:dyDescent="0.25">
      <c r="A918" s="22" t="s">
        <v>8</v>
      </c>
      <c r="B918" s="18" t="str">
        <f>"055744"</f>
        <v>055744</v>
      </c>
      <c r="C918" s="19" t="s">
        <v>923</v>
      </c>
      <c r="D918" s="19" t="s">
        <v>16352</v>
      </c>
      <c r="E918" s="19" t="s">
        <v>31111</v>
      </c>
      <c r="F918" s="19" t="s">
        <v>35978</v>
      </c>
      <c r="G918" s="18" t="str">
        <f>"90806"</f>
        <v>90806</v>
      </c>
      <c r="H918" s="19" t="s">
        <v>31109</v>
      </c>
      <c r="I918" s="20">
        <v>19.965</v>
      </c>
      <c r="J918" s="44" t="s">
        <v>8</v>
      </c>
      <c r="K918" s="23" t="s">
        <v>8</v>
      </c>
      <c r="L918" s="23" t="s">
        <v>8</v>
      </c>
      <c r="M918" s="23" t="s">
        <v>8</v>
      </c>
    </row>
    <row r="919" spans="1:13" s="21" customFormat="1" x14ac:dyDescent="0.25">
      <c r="A919" s="22" t="s">
        <v>8</v>
      </c>
      <c r="B919" s="18" t="str">
        <f>"055748"</f>
        <v>055748</v>
      </c>
      <c r="C919" s="19" t="s">
        <v>924</v>
      </c>
      <c r="D919" s="19" t="s">
        <v>16353</v>
      </c>
      <c r="E919" s="19" t="s">
        <v>31136</v>
      </c>
      <c r="F919" s="19" t="s">
        <v>35978</v>
      </c>
      <c r="G919" s="18" t="str">
        <f>"90405"</f>
        <v>90405</v>
      </c>
      <c r="H919" s="19" t="s">
        <v>31109</v>
      </c>
      <c r="I919" s="20">
        <v>19.861000000000001</v>
      </c>
      <c r="J919" s="44" t="s">
        <v>8</v>
      </c>
      <c r="K919" s="23" t="s">
        <v>8</v>
      </c>
      <c r="L919" s="23" t="s">
        <v>8</v>
      </c>
      <c r="M919" s="23" t="s">
        <v>8</v>
      </c>
    </row>
    <row r="920" spans="1:13" s="21" customFormat="1" x14ac:dyDescent="0.25">
      <c r="A920" s="22" t="s">
        <v>8</v>
      </c>
      <c r="B920" s="18" t="str">
        <f>"055750"</f>
        <v>055750</v>
      </c>
      <c r="C920" s="19" t="s">
        <v>925</v>
      </c>
      <c r="D920" s="19" t="s">
        <v>16354</v>
      </c>
      <c r="E920" s="19" t="s">
        <v>31188</v>
      </c>
      <c r="F920" s="19" t="s">
        <v>35978</v>
      </c>
      <c r="G920" s="18" t="str">
        <f>"95129"</f>
        <v>95129</v>
      </c>
      <c r="H920" s="19" t="s">
        <v>31241</v>
      </c>
      <c r="I920" s="20">
        <v>18.843</v>
      </c>
      <c r="J920" s="44" t="s">
        <v>8</v>
      </c>
      <c r="K920" s="23" t="s">
        <v>8</v>
      </c>
      <c r="L920" s="23" t="s">
        <v>8</v>
      </c>
      <c r="M920" s="23" t="s">
        <v>8</v>
      </c>
    </row>
    <row r="921" spans="1:13" s="21" customFormat="1" x14ac:dyDescent="0.25">
      <c r="A921" s="22" t="s">
        <v>8</v>
      </c>
      <c r="B921" s="18" t="str">
        <f>"055753"</f>
        <v>055753</v>
      </c>
      <c r="C921" s="19" t="s">
        <v>926</v>
      </c>
      <c r="D921" s="19" t="s">
        <v>16355</v>
      </c>
      <c r="E921" s="19" t="s">
        <v>31109</v>
      </c>
      <c r="F921" s="19" t="s">
        <v>35978</v>
      </c>
      <c r="G921" s="18" t="str">
        <f>"90016"</f>
        <v>90016</v>
      </c>
      <c r="H921" s="19" t="s">
        <v>31109</v>
      </c>
      <c r="I921" s="20">
        <v>25.09</v>
      </c>
      <c r="J921" s="44" t="s">
        <v>8</v>
      </c>
      <c r="K921" s="23" t="s">
        <v>8</v>
      </c>
      <c r="L921" s="23" t="s">
        <v>8</v>
      </c>
      <c r="M921" s="23" t="s">
        <v>8</v>
      </c>
    </row>
    <row r="922" spans="1:13" s="21" customFormat="1" x14ac:dyDescent="0.25">
      <c r="A922" s="22" t="s">
        <v>8</v>
      </c>
      <c r="B922" s="18" t="str">
        <f>"055755"</f>
        <v>055755</v>
      </c>
      <c r="C922" s="19" t="s">
        <v>927</v>
      </c>
      <c r="D922" s="19" t="s">
        <v>16356</v>
      </c>
      <c r="E922" s="19" t="s">
        <v>31109</v>
      </c>
      <c r="F922" s="19" t="s">
        <v>35978</v>
      </c>
      <c r="G922" s="18" t="str">
        <f>"90048"</f>
        <v>90048</v>
      </c>
      <c r="H922" s="19" t="s">
        <v>31109</v>
      </c>
      <c r="I922" s="20">
        <v>19.655000000000001</v>
      </c>
      <c r="J922" s="44" t="s">
        <v>8</v>
      </c>
      <c r="K922" s="23" t="s">
        <v>8</v>
      </c>
      <c r="L922" s="23" t="s">
        <v>8</v>
      </c>
      <c r="M922" s="23" t="s">
        <v>8</v>
      </c>
    </row>
    <row r="923" spans="1:13" s="21" customFormat="1" x14ac:dyDescent="0.25">
      <c r="A923" s="22" t="s">
        <v>8</v>
      </c>
      <c r="B923" s="18" t="str">
        <f>"055756"</f>
        <v>055756</v>
      </c>
      <c r="C923" s="19" t="s">
        <v>928</v>
      </c>
      <c r="D923" s="19" t="s">
        <v>16357</v>
      </c>
      <c r="E923" s="19" t="s">
        <v>31253</v>
      </c>
      <c r="F923" s="19" t="s">
        <v>35978</v>
      </c>
      <c r="G923" s="18" t="str">
        <f>"95425"</f>
        <v>95425</v>
      </c>
      <c r="H923" s="19" t="s">
        <v>31174</v>
      </c>
      <c r="I923" s="20">
        <v>19.045000000000002</v>
      </c>
      <c r="J923" s="44" t="s">
        <v>8</v>
      </c>
      <c r="K923" s="23" t="s">
        <v>8</v>
      </c>
      <c r="L923" s="23" t="s">
        <v>8</v>
      </c>
      <c r="M923" s="23" t="s">
        <v>8</v>
      </c>
    </row>
    <row r="924" spans="1:13" s="21" customFormat="1" x14ac:dyDescent="0.25">
      <c r="A924" s="22" t="s">
        <v>8</v>
      </c>
      <c r="B924" s="18" t="str">
        <f>"055758"</f>
        <v>055758</v>
      </c>
      <c r="C924" s="19" t="s">
        <v>929</v>
      </c>
      <c r="D924" s="19" t="s">
        <v>16358</v>
      </c>
      <c r="E924" s="19" t="s">
        <v>31181</v>
      </c>
      <c r="F924" s="19" t="s">
        <v>35978</v>
      </c>
      <c r="G924" s="18" t="str">
        <f>"90650"</f>
        <v>90650</v>
      </c>
      <c r="H924" s="19" t="s">
        <v>31109</v>
      </c>
      <c r="I924" s="20">
        <v>17.896000000000001</v>
      </c>
      <c r="J924" s="44" t="s">
        <v>8</v>
      </c>
      <c r="K924" s="23" t="s">
        <v>8</v>
      </c>
      <c r="L924" s="23" t="s">
        <v>8</v>
      </c>
      <c r="M924" s="23" t="s">
        <v>8</v>
      </c>
    </row>
    <row r="925" spans="1:13" s="21" customFormat="1" x14ac:dyDescent="0.25">
      <c r="A925" s="22" t="s">
        <v>8</v>
      </c>
      <c r="B925" s="18" t="str">
        <f>"055760"</f>
        <v>055760</v>
      </c>
      <c r="C925" s="19" t="s">
        <v>930</v>
      </c>
      <c r="D925" s="19" t="s">
        <v>16359</v>
      </c>
      <c r="E925" s="19" t="s">
        <v>31156</v>
      </c>
      <c r="F925" s="19" t="s">
        <v>35978</v>
      </c>
      <c r="G925" s="18" t="str">
        <f>"91801"</f>
        <v>91801</v>
      </c>
      <c r="H925" s="19" t="s">
        <v>31109</v>
      </c>
      <c r="I925" s="20">
        <v>17.352</v>
      </c>
      <c r="J925" s="44" t="s">
        <v>8</v>
      </c>
      <c r="K925" s="23" t="s">
        <v>8</v>
      </c>
      <c r="L925" s="23" t="s">
        <v>8</v>
      </c>
      <c r="M925" s="23" t="s">
        <v>8</v>
      </c>
    </row>
    <row r="926" spans="1:13" s="21" customFormat="1" x14ac:dyDescent="0.25">
      <c r="A926" s="22" t="s">
        <v>8</v>
      </c>
      <c r="B926" s="18" t="str">
        <f>"055761"</f>
        <v>055761</v>
      </c>
      <c r="C926" s="19" t="s">
        <v>931</v>
      </c>
      <c r="D926" s="19" t="s">
        <v>16360</v>
      </c>
      <c r="E926" s="19" t="s">
        <v>31254</v>
      </c>
      <c r="F926" s="19" t="s">
        <v>35978</v>
      </c>
      <c r="G926" s="18" t="str">
        <f>"92024"</f>
        <v>92024</v>
      </c>
      <c r="H926" s="19" t="s">
        <v>31176</v>
      </c>
      <c r="I926" s="20">
        <v>17.681000000000001</v>
      </c>
      <c r="J926" s="44" t="s">
        <v>8</v>
      </c>
      <c r="K926" s="23" t="s">
        <v>8</v>
      </c>
      <c r="L926" s="23" t="s">
        <v>8</v>
      </c>
      <c r="M926" s="23" t="s">
        <v>8</v>
      </c>
    </row>
    <row r="927" spans="1:13" s="21" customFormat="1" x14ac:dyDescent="0.25">
      <c r="A927" s="22" t="s">
        <v>8</v>
      </c>
      <c r="B927" s="18" t="str">
        <f>"055764"</f>
        <v>055764</v>
      </c>
      <c r="C927" s="19" t="s">
        <v>932</v>
      </c>
      <c r="D927" s="19" t="s">
        <v>16361</v>
      </c>
      <c r="E927" s="19" t="s">
        <v>31145</v>
      </c>
      <c r="F927" s="19" t="s">
        <v>35978</v>
      </c>
      <c r="G927" s="18" t="str">
        <f>"90602"</f>
        <v>90602</v>
      </c>
      <c r="H927" s="19" t="s">
        <v>31109</v>
      </c>
      <c r="I927" s="20">
        <v>18.576000000000001</v>
      </c>
      <c r="J927" s="44" t="s">
        <v>8</v>
      </c>
      <c r="K927" s="23" t="s">
        <v>8</v>
      </c>
      <c r="L927" s="23" t="s">
        <v>8</v>
      </c>
      <c r="M927" s="23" t="s">
        <v>8</v>
      </c>
    </row>
    <row r="928" spans="1:13" s="21" customFormat="1" x14ac:dyDescent="0.25">
      <c r="A928" s="22" t="s">
        <v>8</v>
      </c>
      <c r="B928" s="18" t="str">
        <f>"055775"</f>
        <v>055775</v>
      </c>
      <c r="C928" s="19" t="s">
        <v>933</v>
      </c>
      <c r="D928" s="19" t="s">
        <v>16362</v>
      </c>
      <c r="E928" s="19" t="s">
        <v>31255</v>
      </c>
      <c r="F928" s="19" t="s">
        <v>35978</v>
      </c>
      <c r="G928" s="18" t="str">
        <f>"94563"</f>
        <v>94563</v>
      </c>
      <c r="H928" s="19" t="s">
        <v>36088</v>
      </c>
      <c r="I928" s="20">
        <v>21.917000000000002</v>
      </c>
      <c r="J928" s="44" t="s">
        <v>8</v>
      </c>
      <c r="K928" s="23" t="s">
        <v>8</v>
      </c>
      <c r="L928" s="23" t="s">
        <v>8</v>
      </c>
      <c r="M928" s="23" t="s">
        <v>8</v>
      </c>
    </row>
    <row r="929" spans="1:13" s="21" customFormat="1" x14ac:dyDescent="0.25">
      <c r="A929" s="22" t="s">
        <v>8</v>
      </c>
      <c r="B929" s="18" t="str">
        <f>"055776"</f>
        <v>055776</v>
      </c>
      <c r="C929" s="19" t="s">
        <v>934</v>
      </c>
      <c r="D929" s="19" t="s">
        <v>16363</v>
      </c>
      <c r="E929" s="19" t="s">
        <v>30926</v>
      </c>
      <c r="F929" s="19" t="s">
        <v>35978</v>
      </c>
      <c r="G929" s="18" t="str">
        <f>"95602"</f>
        <v>95602</v>
      </c>
      <c r="H929" s="19" t="s">
        <v>36093</v>
      </c>
      <c r="I929" s="20">
        <v>16.43</v>
      </c>
      <c r="J929" s="44" t="s">
        <v>8</v>
      </c>
      <c r="K929" s="23" t="s">
        <v>8</v>
      </c>
      <c r="L929" s="23" t="s">
        <v>8</v>
      </c>
      <c r="M929" s="23" t="s">
        <v>8</v>
      </c>
    </row>
    <row r="930" spans="1:13" s="21" customFormat="1" x14ac:dyDescent="0.25">
      <c r="A930" s="22" t="s">
        <v>8</v>
      </c>
      <c r="B930" s="18" t="str">
        <f>"055795"</f>
        <v>055795</v>
      </c>
      <c r="C930" s="19" t="s">
        <v>935</v>
      </c>
      <c r="D930" s="19" t="s">
        <v>16364</v>
      </c>
      <c r="E930" s="19" t="s">
        <v>31176</v>
      </c>
      <c r="F930" s="19" t="s">
        <v>35978</v>
      </c>
      <c r="G930" s="18" t="str">
        <f>"92105"</f>
        <v>92105</v>
      </c>
      <c r="H930" s="19" t="s">
        <v>31176</v>
      </c>
      <c r="I930" s="20">
        <v>16.305</v>
      </c>
      <c r="J930" s="44" t="s">
        <v>8</v>
      </c>
      <c r="K930" s="23" t="s">
        <v>8</v>
      </c>
      <c r="L930" s="23" t="s">
        <v>8</v>
      </c>
      <c r="M930" s="23" t="s">
        <v>8</v>
      </c>
    </row>
    <row r="931" spans="1:13" s="21" customFormat="1" x14ac:dyDescent="0.25">
      <c r="A931" s="22" t="s">
        <v>8</v>
      </c>
      <c r="B931" s="18" t="str">
        <f>"055797"</f>
        <v>055797</v>
      </c>
      <c r="C931" s="19" t="s">
        <v>936</v>
      </c>
      <c r="D931" s="19" t="s">
        <v>16365</v>
      </c>
      <c r="E931" s="19" t="s">
        <v>31256</v>
      </c>
      <c r="F931" s="19" t="s">
        <v>35978</v>
      </c>
      <c r="G931" s="18" t="str">
        <f>"95020"</f>
        <v>95020</v>
      </c>
      <c r="H931" s="19" t="s">
        <v>31241</v>
      </c>
      <c r="I931" s="20">
        <v>19.503</v>
      </c>
      <c r="J931" s="44" t="s">
        <v>8</v>
      </c>
      <c r="K931" s="23" t="s">
        <v>8</v>
      </c>
      <c r="L931" s="23" t="s">
        <v>8</v>
      </c>
      <c r="M931" s="23" t="s">
        <v>8</v>
      </c>
    </row>
    <row r="932" spans="1:13" s="21" customFormat="1" x14ac:dyDescent="0.25">
      <c r="A932" s="22" t="s">
        <v>8</v>
      </c>
      <c r="B932" s="18" t="str">
        <f>"055798"</f>
        <v>055798</v>
      </c>
      <c r="C932" s="19" t="s">
        <v>937</v>
      </c>
      <c r="D932" s="19" t="s">
        <v>16366</v>
      </c>
      <c r="E932" s="19" t="s">
        <v>31220</v>
      </c>
      <c r="F932" s="19" t="s">
        <v>35978</v>
      </c>
      <c r="G932" s="18" t="str">
        <f>"95032"</f>
        <v>95032</v>
      </c>
      <c r="H932" s="19" t="s">
        <v>31241</v>
      </c>
      <c r="I932" s="20">
        <v>22.245999999999999</v>
      </c>
      <c r="J932" s="44" t="s">
        <v>8</v>
      </c>
      <c r="K932" s="23" t="s">
        <v>8</v>
      </c>
      <c r="L932" s="23" t="s">
        <v>8</v>
      </c>
      <c r="M932" s="23" t="s">
        <v>8</v>
      </c>
    </row>
    <row r="933" spans="1:13" s="21" customFormat="1" x14ac:dyDescent="0.25">
      <c r="A933" s="22" t="s">
        <v>8</v>
      </c>
      <c r="B933" s="18" t="str">
        <f>"055799"</f>
        <v>055799</v>
      </c>
      <c r="C933" s="19" t="s">
        <v>938</v>
      </c>
      <c r="D933" s="19" t="s">
        <v>16367</v>
      </c>
      <c r="E933" s="19" t="s">
        <v>31257</v>
      </c>
      <c r="F933" s="19" t="s">
        <v>35978</v>
      </c>
      <c r="G933" s="18" t="str">
        <f>"93654"</f>
        <v>93654</v>
      </c>
      <c r="H933" s="19" t="s">
        <v>31155</v>
      </c>
      <c r="I933" s="20">
        <v>17.536000000000001</v>
      </c>
      <c r="J933" s="44" t="s">
        <v>8</v>
      </c>
      <c r="K933" s="23" t="s">
        <v>8</v>
      </c>
      <c r="L933" s="23" t="s">
        <v>8</v>
      </c>
      <c r="M933" s="23" t="s">
        <v>8</v>
      </c>
    </row>
    <row r="934" spans="1:13" s="21" customFormat="1" x14ac:dyDescent="0.25">
      <c r="A934" s="22" t="s">
        <v>8</v>
      </c>
      <c r="B934" s="18" t="str">
        <f>"055800"</f>
        <v>055800</v>
      </c>
      <c r="C934" s="19" t="s">
        <v>939</v>
      </c>
      <c r="D934" s="19" t="s">
        <v>16368</v>
      </c>
      <c r="E934" s="19" t="s">
        <v>31220</v>
      </c>
      <c r="F934" s="19" t="s">
        <v>35978</v>
      </c>
      <c r="G934" s="18" t="str">
        <f>"95030"</f>
        <v>95030</v>
      </c>
      <c r="H934" s="19" t="s">
        <v>31241</v>
      </c>
      <c r="I934" s="20">
        <v>20.22</v>
      </c>
      <c r="J934" s="44" t="s">
        <v>8</v>
      </c>
      <c r="K934" s="23" t="s">
        <v>8</v>
      </c>
      <c r="L934" s="23" t="s">
        <v>8</v>
      </c>
      <c r="M934" s="23" t="s">
        <v>8</v>
      </c>
    </row>
    <row r="935" spans="1:13" s="21" customFormat="1" x14ac:dyDescent="0.25">
      <c r="A935" s="22" t="s">
        <v>8</v>
      </c>
      <c r="B935" s="18" t="str">
        <f>"055806"</f>
        <v>055806</v>
      </c>
      <c r="C935" s="19" t="s">
        <v>940</v>
      </c>
      <c r="D935" s="19" t="s">
        <v>16369</v>
      </c>
      <c r="E935" s="19" t="s">
        <v>31118</v>
      </c>
      <c r="F935" s="19" t="s">
        <v>35978</v>
      </c>
      <c r="G935" s="18" t="str">
        <f>"92020"</f>
        <v>92020</v>
      </c>
      <c r="H935" s="19" t="s">
        <v>31176</v>
      </c>
      <c r="I935" s="20">
        <v>18.896999999999998</v>
      </c>
      <c r="J935" s="44" t="s">
        <v>8</v>
      </c>
      <c r="K935" s="23" t="s">
        <v>8</v>
      </c>
      <c r="L935" s="23" t="s">
        <v>8</v>
      </c>
      <c r="M935" s="23" t="s">
        <v>8</v>
      </c>
    </row>
    <row r="936" spans="1:13" s="21" customFormat="1" x14ac:dyDescent="0.25">
      <c r="A936" s="22" t="s">
        <v>8</v>
      </c>
      <c r="B936" s="18" t="str">
        <f>"055807"</f>
        <v>055807</v>
      </c>
      <c r="C936" s="19" t="s">
        <v>941</v>
      </c>
      <c r="D936" s="19" t="s">
        <v>16370</v>
      </c>
      <c r="E936" s="19" t="s">
        <v>31258</v>
      </c>
      <c r="F936" s="19" t="s">
        <v>35978</v>
      </c>
      <c r="G936" s="18" t="str">
        <f>"96094"</f>
        <v>96094</v>
      </c>
      <c r="H936" s="19" t="s">
        <v>36100</v>
      </c>
      <c r="I936" s="20">
        <v>18.09</v>
      </c>
      <c r="J936" s="44" t="s">
        <v>8</v>
      </c>
      <c r="K936" s="23" t="s">
        <v>8</v>
      </c>
      <c r="L936" s="23" t="s">
        <v>8</v>
      </c>
      <c r="M936" s="23" t="s">
        <v>8</v>
      </c>
    </row>
    <row r="937" spans="1:13" s="21" customFormat="1" x14ac:dyDescent="0.25">
      <c r="A937" s="22" t="s">
        <v>8</v>
      </c>
      <c r="B937" s="18" t="str">
        <f>"055809"</f>
        <v>055809</v>
      </c>
      <c r="C937" s="19" t="s">
        <v>942</v>
      </c>
      <c r="D937" s="19" t="s">
        <v>16371</v>
      </c>
      <c r="E937" s="19" t="s">
        <v>31190</v>
      </c>
      <c r="F937" s="19" t="s">
        <v>35978</v>
      </c>
      <c r="G937" s="18" t="str">
        <f>"94541"</f>
        <v>94541</v>
      </c>
      <c r="H937" s="19" t="s">
        <v>31290</v>
      </c>
      <c r="I937" s="20">
        <v>21.666</v>
      </c>
      <c r="J937" s="44" t="s">
        <v>8</v>
      </c>
      <c r="K937" s="23" t="s">
        <v>8</v>
      </c>
      <c r="L937" s="23" t="s">
        <v>8</v>
      </c>
      <c r="M937" s="23" t="s">
        <v>8</v>
      </c>
    </row>
    <row r="938" spans="1:13" s="21" customFormat="1" x14ac:dyDescent="0.25">
      <c r="A938" s="22" t="s">
        <v>8</v>
      </c>
      <c r="B938" s="18" t="str">
        <f>"055816"</f>
        <v>055816</v>
      </c>
      <c r="C938" s="19" t="s">
        <v>943</v>
      </c>
      <c r="D938" s="19" t="s">
        <v>16372</v>
      </c>
      <c r="E938" s="19" t="s">
        <v>31232</v>
      </c>
      <c r="F938" s="19" t="s">
        <v>35978</v>
      </c>
      <c r="G938" s="18" t="str">
        <f>"92840"</f>
        <v>92840</v>
      </c>
      <c r="H938" s="19" t="s">
        <v>31169</v>
      </c>
      <c r="I938" s="20">
        <v>25.248999999999999</v>
      </c>
      <c r="J938" s="44" t="s">
        <v>8</v>
      </c>
      <c r="K938" s="23" t="s">
        <v>8</v>
      </c>
      <c r="L938" s="23" t="s">
        <v>8</v>
      </c>
      <c r="M938" s="23" t="s">
        <v>8</v>
      </c>
    </row>
    <row r="939" spans="1:13" s="21" customFormat="1" x14ac:dyDescent="0.25">
      <c r="A939" s="22" t="s">
        <v>8</v>
      </c>
      <c r="B939" s="18" t="str">
        <f>"055817"</f>
        <v>055817</v>
      </c>
      <c r="C939" s="19" t="s">
        <v>944</v>
      </c>
      <c r="D939" s="19" t="s">
        <v>16373</v>
      </c>
      <c r="E939" s="19" t="s">
        <v>31137</v>
      </c>
      <c r="F939" s="19" t="s">
        <v>35978</v>
      </c>
      <c r="G939" s="18" t="str">
        <f>"91010"</f>
        <v>91010</v>
      </c>
      <c r="H939" s="19" t="s">
        <v>31109</v>
      </c>
      <c r="I939" s="20">
        <v>18.291</v>
      </c>
      <c r="J939" s="44" t="s">
        <v>8</v>
      </c>
      <c r="K939" s="23" t="s">
        <v>8</v>
      </c>
      <c r="L939" s="23" t="s">
        <v>8</v>
      </c>
      <c r="M939" s="23" t="s">
        <v>8</v>
      </c>
    </row>
    <row r="940" spans="1:13" s="21" customFormat="1" x14ac:dyDescent="0.25">
      <c r="A940" s="22" t="s">
        <v>8</v>
      </c>
      <c r="B940" s="18" t="str">
        <f>"055818"</f>
        <v>055818</v>
      </c>
      <c r="C940" s="19" t="s">
        <v>945</v>
      </c>
      <c r="D940" s="19" t="s">
        <v>16374</v>
      </c>
      <c r="E940" s="19" t="s">
        <v>31156</v>
      </c>
      <c r="F940" s="19" t="s">
        <v>35978</v>
      </c>
      <c r="G940" s="18" t="str">
        <f>"91803"</f>
        <v>91803</v>
      </c>
      <c r="H940" s="19" t="s">
        <v>31109</v>
      </c>
      <c r="I940" s="20">
        <v>18.047999999999998</v>
      </c>
      <c r="J940" s="44" t="s">
        <v>8</v>
      </c>
      <c r="K940" s="23" t="s">
        <v>8</v>
      </c>
      <c r="L940" s="23" t="s">
        <v>8</v>
      </c>
      <c r="M940" s="23" t="s">
        <v>8</v>
      </c>
    </row>
    <row r="941" spans="1:13" s="21" customFormat="1" x14ac:dyDescent="0.25">
      <c r="A941" s="22" t="s">
        <v>8</v>
      </c>
      <c r="B941" s="18" t="str">
        <f>"055826"</f>
        <v>055826</v>
      </c>
      <c r="C941" s="19" t="s">
        <v>741</v>
      </c>
      <c r="D941" s="19" t="s">
        <v>16375</v>
      </c>
      <c r="E941" s="19" t="s">
        <v>31226</v>
      </c>
      <c r="F941" s="19" t="s">
        <v>35978</v>
      </c>
      <c r="G941" s="18" t="str">
        <f>"93454"</f>
        <v>93454</v>
      </c>
      <c r="H941" s="19" t="s">
        <v>31246</v>
      </c>
      <c r="I941" s="20">
        <v>18.954999999999998</v>
      </c>
      <c r="J941" s="44" t="s">
        <v>8</v>
      </c>
      <c r="K941" s="23" t="s">
        <v>8</v>
      </c>
      <c r="L941" s="23" t="s">
        <v>8</v>
      </c>
      <c r="M941" s="23" t="s">
        <v>8</v>
      </c>
    </row>
    <row r="942" spans="1:13" s="21" customFormat="1" x14ac:dyDescent="0.25">
      <c r="A942" s="22" t="s">
        <v>8</v>
      </c>
      <c r="B942" s="18" t="str">
        <f>"055830"</f>
        <v>055830</v>
      </c>
      <c r="C942" s="19" t="s">
        <v>946</v>
      </c>
      <c r="D942" s="19" t="s">
        <v>16376</v>
      </c>
      <c r="E942" s="19" t="s">
        <v>31226</v>
      </c>
      <c r="F942" s="19" t="s">
        <v>35978</v>
      </c>
      <c r="G942" s="18" t="str">
        <f>"93454"</f>
        <v>93454</v>
      </c>
      <c r="H942" s="19" t="s">
        <v>31246</v>
      </c>
      <c r="I942" s="20">
        <v>18.959</v>
      </c>
      <c r="J942" s="44" t="s">
        <v>8</v>
      </c>
      <c r="K942" s="23" t="s">
        <v>8</v>
      </c>
      <c r="L942" s="23" t="s">
        <v>8</v>
      </c>
      <c r="M942" s="23" t="s">
        <v>8</v>
      </c>
    </row>
    <row r="943" spans="1:13" s="21" customFormat="1" x14ac:dyDescent="0.25">
      <c r="A943" s="22" t="s">
        <v>8</v>
      </c>
      <c r="B943" s="18" t="str">
        <f>"055833"</f>
        <v>055833</v>
      </c>
      <c r="C943" s="19" t="s">
        <v>947</v>
      </c>
      <c r="D943" s="19" t="s">
        <v>16377</v>
      </c>
      <c r="E943" s="19" t="s">
        <v>31110</v>
      </c>
      <c r="F943" s="19" t="s">
        <v>35978</v>
      </c>
      <c r="G943" s="18" t="str">
        <f>"95204"</f>
        <v>95204</v>
      </c>
      <c r="H943" s="19" t="s">
        <v>36087</v>
      </c>
      <c r="I943" s="20">
        <v>19.565999999999999</v>
      </c>
      <c r="J943" s="44" t="s">
        <v>8</v>
      </c>
      <c r="K943" s="23" t="s">
        <v>8</v>
      </c>
      <c r="L943" s="23" t="s">
        <v>8</v>
      </c>
      <c r="M943" s="23" t="s">
        <v>8</v>
      </c>
    </row>
    <row r="944" spans="1:13" s="21" customFormat="1" x14ac:dyDescent="0.25">
      <c r="A944" s="22" t="s">
        <v>8</v>
      </c>
      <c r="B944" s="18" t="str">
        <f>"055839"</f>
        <v>055839</v>
      </c>
      <c r="C944" s="19" t="s">
        <v>948</v>
      </c>
      <c r="D944" s="19" t="s">
        <v>16378</v>
      </c>
      <c r="E944" s="19" t="s">
        <v>31259</v>
      </c>
      <c r="F944" s="19" t="s">
        <v>35978</v>
      </c>
      <c r="G944" s="18" t="str">
        <f>"95360"</f>
        <v>95360</v>
      </c>
      <c r="H944" s="19" t="s">
        <v>36085</v>
      </c>
      <c r="I944" s="20">
        <v>19.966000000000001</v>
      </c>
      <c r="J944" s="44" t="s">
        <v>8</v>
      </c>
      <c r="K944" s="23" t="s">
        <v>8</v>
      </c>
      <c r="L944" s="23" t="s">
        <v>8</v>
      </c>
      <c r="M944" s="23" t="s">
        <v>8</v>
      </c>
    </row>
    <row r="945" spans="1:13" s="21" customFormat="1" x14ac:dyDescent="0.25">
      <c r="A945" s="22" t="s">
        <v>8</v>
      </c>
      <c r="B945" s="18" t="str">
        <f>"055845"</f>
        <v>055845</v>
      </c>
      <c r="C945" s="19" t="s">
        <v>949</v>
      </c>
      <c r="D945" s="19" t="s">
        <v>16379</v>
      </c>
      <c r="E945" s="19" t="s">
        <v>30946</v>
      </c>
      <c r="F945" s="19" t="s">
        <v>35978</v>
      </c>
      <c r="G945" s="18" t="str">
        <f>"91205"</f>
        <v>91205</v>
      </c>
      <c r="H945" s="19" t="s">
        <v>31109</v>
      </c>
      <c r="I945" s="20">
        <v>16.852</v>
      </c>
      <c r="J945" s="44" t="s">
        <v>8</v>
      </c>
      <c r="K945" s="23" t="s">
        <v>8</v>
      </c>
      <c r="L945" s="23" t="s">
        <v>8</v>
      </c>
      <c r="M945" s="23" t="s">
        <v>8</v>
      </c>
    </row>
    <row r="946" spans="1:13" s="21" customFormat="1" x14ac:dyDescent="0.25">
      <c r="A946" s="22" t="s">
        <v>8</v>
      </c>
      <c r="B946" s="18" t="str">
        <f>"055846"</f>
        <v>055846</v>
      </c>
      <c r="C946" s="19" t="s">
        <v>950</v>
      </c>
      <c r="D946" s="19" t="s">
        <v>16380</v>
      </c>
      <c r="E946" s="19" t="s">
        <v>31155</v>
      </c>
      <c r="F946" s="19" t="s">
        <v>35978</v>
      </c>
      <c r="G946" s="18" t="str">
        <f>"93710"</f>
        <v>93710</v>
      </c>
      <c r="H946" s="19" t="s">
        <v>31155</v>
      </c>
      <c r="I946" s="20">
        <v>19.068999999999999</v>
      </c>
      <c r="J946" s="44" t="s">
        <v>8</v>
      </c>
      <c r="K946" s="23" t="s">
        <v>8</v>
      </c>
      <c r="L946" s="23" t="s">
        <v>8</v>
      </c>
      <c r="M946" s="23" t="s">
        <v>8</v>
      </c>
    </row>
    <row r="947" spans="1:13" s="21" customFormat="1" x14ac:dyDescent="0.25">
      <c r="A947" s="22" t="s">
        <v>8</v>
      </c>
      <c r="B947" s="18" t="str">
        <f>"055848"</f>
        <v>055848</v>
      </c>
      <c r="C947" s="19" t="s">
        <v>951</v>
      </c>
      <c r="D947" s="19" t="s">
        <v>16381</v>
      </c>
      <c r="E947" s="19" t="s">
        <v>31146</v>
      </c>
      <c r="F947" s="19" t="s">
        <v>35978</v>
      </c>
      <c r="G947" s="18" t="str">
        <f>"94115"</f>
        <v>94115</v>
      </c>
      <c r="H947" s="19" t="s">
        <v>31146</v>
      </c>
      <c r="I947" s="20">
        <v>17.649000000000001</v>
      </c>
      <c r="J947" s="44" t="s">
        <v>8</v>
      </c>
      <c r="K947" s="23" t="s">
        <v>8</v>
      </c>
      <c r="L947" s="23" t="s">
        <v>8</v>
      </c>
      <c r="M947" s="23" t="s">
        <v>8</v>
      </c>
    </row>
    <row r="948" spans="1:13" s="21" customFormat="1" x14ac:dyDescent="0.25">
      <c r="A948" s="22" t="s">
        <v>8</v>
      </c>
      <c r="B948" s="18" t="str">
        <f>"055849"</f>
        <v>055849</v>
      </c>
      <c r="C948" s="19" t="s">
        <v>952</v>
      </c>
      <c r="D948" s="19" t="s">
        <v>16382</v>
      </c>
      <c r="E948" s="19" t="s">
        <v>31101</v>
      </c>
      <c r="F948" s="19" t="s">
        <v>35978</v>
      </c>
      <c r="G948" s="18" t="str">
        <f>"95350"</f>
        <v>95350</v>
      </c>
      <c r="H948" s="19" t="s">
        <v>36085</v>
      </c>
      <c r="I948" s="20">
        <v>23.335000000000001</v>
      </c>
      <c r="J948" s="44" t="s">
        <v>8</v>
      </c>
      <c r="K948" s="23" t="s">
        <v>8</v>
      </c>
      <c r="L948" s="23" t="s">
        <v>8</v>
      </c>
      <c r="M948" s="23" t="s">
        <v>8</v>
      </c>
    </row>
    <row r="949" spans="1:13" s="21" customFormat="1" x14ac:dyDescent="0.25">
      <c r="A949" s="22" t="s">
        <v>8</v>
      </c>
      <c r="B949" s="18" t="str">
        <f>"055850"</f>
        <v>055850</v>
      </c>
      <c r="C949" s="19" t="s">
        <v>953</v>
      </c>
      <c r="D949" s="19" t="s">
        <v>16383</v>
      </c>
      <c r="E949" s="19" t="s">
        <v>31186</v>
      </c>
      <c r="F949" s="19" t="s">
        <v>35978</v>
      </c>
      <c r="G949" s="18" t="str">
        <f>"94903"</f>
        <v>94903</v>
      </c>
      <c r="H949" s="19" t="s">
        <v>36090</v>
      </c>
      <c r="I949" s="20">
        <v>16.265000000000001</v>
      </c>
      <c r="J949" s="44" t="s">
        <v>8</v>
      </c>
      <c r="K949" s="23" t="s">
        <v>8</v>
      </c>
      <c r="L949" s="23" t="s">
        <v>8</v>
      </c>
      <c r="M949" s="23" t="s">
        <v>8</v>
      </c>
    </row>
    <row r="950" spans="1:13" s="21" customFormat="1" x14ac:dyDescent="0.25">
      <c r="A950" s="22" t="s">
        <v>8</v>
      </c>
      <c r="B950" s="18" t="str">
        <f>"055853"</f>
        <v>055853</v>
      </c>
      <c r="C950" s="19" t="s">
        <v>954</v>
      </c>
      <c r="D950" s="19" t="s">
        <v>16384</v>
      </c>
      <c r="E950" s="19" t="s">
        <v>31251</v>
      </c>
      <c r="F950" s="19" t="s">
        <v>35978</v>
      </c>
      <c r="G950" s="18" t="str">
        <f>"95482"</f>
        <v>95482</v>
      </c>
      <c r="H950" s="19" t="s">
        <v>36099</v>
      </c>
      <c r="I950" s="20">
        <v>15.272</v>
      </c>
      <c r="J950" s="44" t="s">
        <v>8</v>
      </c>
      <c r="K950" s="23" t="s">
        <v>8</v>
      </c>
      <c r="L950" s="23" t="s">
        <v>8</v>
      </c>
      <c r="M950" s="23" t="s">
        <v>8</v>
      </c>
    </row>
    <row r="951" spans="1:13" s="21" customFormat="1" x14ac:dyDescent="0.25">
      <c r="A951" s="22" t="s">
        <v>8</v>
      </c>
      <c r="B951" s="18" t="str">
        <f>"055854"</f>
        <v>055854</v>
      </c>
      <c r="C951" s="19" t="s">
        <v>955</v>
      </c>
      <c r="D951" s="19" t="s">
        <v>16385</v>
      </c>
      <c r="E951" s="19" t="s">
        <v>31260</v>
      </c>
      <c r="F951" s="19" t="s">
        <v>35978</v>
      </c>
      <c r="G951" s="18" t="str">
        <f>"95405"</f>
        <v>95405</v>
      </c>
      <c r="H951" s="19" t="s">
        <v>31174</v>
      </c>
      <c r="I951" s="20">
        <v>17.917000000000002</v>
      </c>
      <c r="J951" s="44" t="s">
        <v>8</v>
      </c>
      <c r="K951" s="23" t="s">
        <v>8</v>
      </c>
      <c r="L951" s="23" t="s">
        <v>8</v>
      </c>
      <c r="M951" s="23" t="s">
        <v>8</v>
      </c>
    </row>
    <row r="952" spans="1:13" s="21" customFormat="1" x14ac:dyDescent="0.25">
      <c r="A952" s="22" t="s">
        <v>8</v>
      </c>
      <c r="B952" s="18" t="str">
        <f>"055855"</f>
        <v>055855</v>
      </c>
      <c r="C952" s="19" t="s">
        <v>956</v>
      </c>
      <c r="D952" s="19" t="s">
        <v>16386</v>
      </c>
      <c r="E952" s="19" t="s">
        <v>31180</v>
      </c>
      <c r="F952" s="19" t="s">
        <v>35978</v>
      </c>
      <c r="G952" s="18" t="str">
        <f>"95825"</f>
        <v>95825</v>
      </c>
      <c r="H952" s="19" t="s">
        <v>31180</v>
      </c>
      <c r="I952" s="20">
        <v>18.456</v>
      </c>
      <c r="J952" s="44" t="s">
        <v>8</v>
      </c>
      <c r="K952" s="23" t="s">
        <v>8</v>
      </c>
      <c r="L952" s="23" t="s">
        <v>8</v>
      </c>
      <c r="M952" s="23" t="s">
        <v>8</v>
      </c>
    </row>
    <row r="953" spans="1:13" s="21" customFormat="1" x14ac:dyDescent="0.25">
      <c r="A953" s="22" t="s">
        <v>8</v>
      </c>
      <c r="B953" s="18" t="str">
        <f>"055856"</f>
        <v>055856</v>
      </c>
      <c r="C953" s="19" t="s">
        <v>957</v>
      </c>
      <c r="D953" s="19" t="s">
        <v>16387</v>
      </c>
      <c r="E953" s="19" t="s">
        <v>31261</v>
      </c>
      <c r="F953" s="19" t="s">
        <v>35978</v>
      </c>
      <c r="G953" s="18" t="str">
        <f>"91040"</f>
        <v>91040</v>
      </c>
      <c r="H953" s="19" t="s">
        <v>31109</v>
      </c>
      <c r="I953" s="20">
        <v>18.684999999999999</v>
      </c>
      <c r="J953" s="44" t="s">
        <v>8</v>
      </c>
      <c r="K953" s="23" t="s">
        <v>8</v>
      </c>
      <c r="L953" s="23" t="s">
        <v>8</v>
      </c>
      <c r="M953" s="23" t="s">
        <v>8</v>
      </c>
    </row>
    <row r="954" spans="1:13" s="21" customFormat="1" x14ac:dyDescent="0.25">
      <c r="A954" s="22" t="s">
        <v>8</v>
      </c>
      <c r="B954" s="18" t="str">
        <f>"055858"</f>
        <v>055858</v>
      </c>
      <c r="C954" s="19" t="s">
        <v>958</v>
      </c>
      <c r="D954" s="19" t="s">
        <v>16388</v>
      </c>
      <c r="E954" s="19" t="s">
        <v>31262</v>
      </c>
      <c r="F954" s="19" t="s">
        <v>35978</v>
      </c>
      <c r="G954" s="18" t="str">
        <f>"95632"</f>
        <v>95632</v>
      </c>
      <c r="H954" s="19" t="s">
        <v>31180</v>
      </c>
      <c r="I954" s="20">
        <v>17.827999999999999</v>
      </c>
      <c r="J954" s="44" t="s">
        <v>8</v>
      </c>
      <c r="K954" s="23" t="s">
        <v>8</v>
      </c>
      <c r="L954" s="23" t="s">
        <v>8</v>
      </c>
      <c r="M954" s="23" t="s">
        <v>8</v>
      </c>
    </row>
    <row r="955" spans="1:13" s="21" customFormat="1" x14ac:dyDescent="0.25">
      <c r="A955" s="22" t="s">
        <v>8</v>
      </c>
      <c r="B955" s="18" t="str">
        <f>"055861"</f>
        <v>055861</v>
      </c>
      <c r="C955" s="19" t="s">
        <v>959</v>
      </c>
      <c r="D955" s="19" t="s">
        <v>16389</v>
      </c>
      <c r="E955" s="19" t="s">
        <v>31263</v>
      </c>
      <c r="F955" s="19" t="s">
        <v>35978</v>
      </c>
      <c r="G955" s="18" t="str">
        <f>"93023"</f>
        <v>93023</v>
      </c>
      <c r="H955" s="19" t="s">
        <v>31228</v>
      </c>
      <c r="I955" s="20">
        <v>16.975999999999999</v>
      </c>
      <c r="J955" s="44" t="s">
        <v>8</v>
      </c>
      <c r="K955" s="23" t="s">
        <v>8</v>
      </c>
      <c r="L955" s="23" t="s">
        <v>8</v>
      </c>
      <c r="M955" s="23" t="s">
        <v>8</v>
      </c>
    </row>
    <row r="956" spans="1:13" s="21" customFormat="1" x14ac:dyDescent="0.25">
      <c r="A956" s="22" t="s">
        <v>8</v>
      </c>
      <c r="B956" s="18" t="str">
        <f>"055862"</f>
        <v>055862</v>
      </c>
      <c r="C956" s="19" t="s">
        <v>960</v>
      </c>
      <c r="D956" s="19" t="s">
        <v>16390</v>
      </c>
      <c r="E956" s="19" t="s">
        <v>31191</v>
      </c>
      <c r="F956" s="19" t="s">
        <v>35978</v>
      </c>
      <c r="G956" s="18" t="str">
        <f>"91103"</f>
        <v>91103</v>
      </c>
      <c r="H956" s="19" t="s">
        <v>31109</v>
      </c>
      <c r="I956" s="20">
        <v>19.466000000000001</v>
      </c>
      <c r="J956" s="44" t="s">
        <v>8</v>
      </c>
      <c r="K956" s="23" t="s">
        <v>8</v>
      </c>
      <c r="L956" s="23" t="s">
        <v>8</v>
      </c>
      <c r="M956" s="23" t="s">
        <v>8</v>
      </c>
    </row>
    <row r="957" spans="1:13" s="21" customFormat="1" x14ac:dyDescent="0.25">
      <c r="A957" s="22" t="s">
        <v>8</v>
      </c>
      <c r="B957" s="18" t="str">
        <f>"055866"</f>
        <v>055866</v>
      </c>
      <c r="C957" s="19" t="s">
        <v>961</v>
      </c>
      <c r="D957" s="19" t="s">
        <v>16391</v>
      </c>
      <c r="E957" s="19" t="s">
        <v>31188</v>
      </c>
      <c r="F957" s="19" t="s">
        <v>35978</v>
      </c>
      <c r="G957" s="18" t="str">
        <f>"95124"</f>
        <v>95124</v>
      </c>
      <c r="H957" s="19" t="s">
        <v>31241</v>
      </c>
      <c r="I957" s="20">
        <v>21.327000000000002</v>
      </c>
      <c r="J957" s="44" t="s">
        <v>8</v>
      </c>
      <c r="K957" s="23" t="s">
        <v>8</v>
      </c>
      <c r="L957" s="23" t="s">
        <v>8</v>
      </c>
      <c r="M957" s="23" t="s">
        <v>8</v>
      </c>
    </row>
    <row r="958" spans="1:13" s="21" customFormat="1" x14ac:dyDescent="0.25">
      <c r="A958" s="22" t="s">
        <v>8</v>
      </c>
      <c r="B958" s="18" t="str">
        <f>"055869"</f>
        <v>055869</v>
      </c>
      <c r="C958" s="19" t="s">
        <v>962</v>
      </c>
      <c r="D958" s="19" t="s">
        <v>16392</v>
      </c>
      <c r="E958" s="19" t="s">
        <v>31101</v>
      </c>
      <c r="F958" s="19" t="s">
        <v>35978</v>
      </c>
      <c r="G958" s="18" t="str">
        <f>"95350"</f>
        <v>95350</v>
      </c>
      <c r="H958" s="19" t="s">
        <v>36085</v>
      </c>
      <c r="I958" s="20">
        <v>20.247</v>
      </c>
      <c r="J958" s="44" t="s">
        <v>8</v>
      </c>
      <c r="K958" s="23" t="s">
        <v>8</v>
      </c>
      <c r="L958" s="23" t="s">
        <v>8</v>
      </c>
      <c r="M958" s="23" t="s">
        <v>8</v>
      </c>
    </row>
    <row r="959" spans="1:13" s="21" customFormat="1" x14ac:dyDescent="0.25">
      <c r="A959" s="22" t="s">
        <v>8</v>
      </c>
      <c r="B959" s="18" t="str">
        <f>"055870"</f>
        <v>055870</v>
      </c>
      <c r="C959" s="19" t="s">
        <v>963</v>
      </c>
      <c r="D959" s="19" t="s">
        <v>16393</v>
      </c>
      <c r="E959" s="19" t="s">
        <v>31109</v>
      </c>
      <c r="F959" s="19" t="s">
        <v>35978</v>
      </c>
      <c r="G959" s="18" t="str">
        <f>"90019"</f>
        <v>90019</v>
      </c>
      <c r="H959" s="19" t="s">
        <v>31109</v>
      </c>
      <c r="I959" s="20">
        <v>18.004999999999999</v>
      </c>
      <c r="J959" s="44" t="s">
        <v>8</v>
      </c>
      <c r="K959" s="23" t="s">
        <v>8</v>
      </c>
      <c r="L959" s="23" t="s">
        <v>8</v>
      </c>
      <c r="M959" s="23" t="s">
        <v>8</v>
      </c>
    </row>
    <row r="960" spans="1:13" s="21" customFormat="1" x14ac:dyDescent="0.25">
      <c r="A960" s="22" t="s">
        <v>8</v>
      </c>
      <c r="B960" s="18" t="str">
        <f>"055871"</f>
        <v>055871</v>
      </c>
      <c r="C960" s="19" t="s">
        <v>964</v>
      </c>
      <c r="D960" s="19" t="s">
        <v>16394</v>
      </c>
      <c r="E960" s="19" t="s">
        <v>31187</v>
      </c>
      <c r="F960" s="19" t="s">
        <v>35978</v>
      </c>
      <c r="G960" s="18" t="str">
        <f>"93906"</f>
        <v>93906</v>
      </c>
      <c r="H960" s="19" t="s">
        <v>31274</v>
      </c>
      <c r="I960" s="20">
        <v>16.596</v>
      </c>
      <c r="J960" s="44" t="s">
        <v>8</v>
      </c>
      <c r="K960" s="23" t="s">
        <v>8</v>
      </c>
      <c r="L960" s="23" t="s">
        <v>8</v>
      </c>
      <c r="M960" s="23" t="s">
        <v>8</v>
      </c>
    </row>
    <row r="961" spans="1:13" s="21" customFormat="1" x14ac:dyDescent="0.25">
      <c r="A961" s="22" t="s">
        <v>8</v>
      </c>
      <c r="B961" s="18" t="str">
        <f>"055872"</f>
        <v>055872</v>
      </c>
      <c r="C961" s="19" t="s">
        <v>965</v>
      </c>
      <c r="D961" s="19" t="s">
        <v>16395</v>
      </c>
      <c r="E961" s="19" t="s">
        <v>31264</v>
      </c>
      <c r="F961" s="19" t="s">
        <v>35978</v>
      </c>
      <c r="G961" s="18" t="str">
        <f>"92335"</f>
        <v>92335</v>
      </c>
      <c r="H961" s="19" t="s">
        <v>31227</v>
      </c>
      <c r="I961" s="20">
        <v>19.741</v>
      </c>
      <c r="J961" s="44" t="s">
        <v>8</v>
      </c>
      <c r="K961" s="23" t="s">
        <v>8</v>
      </c>
      <c r="L961" s="23" t="s">
        <v>8</v>
      </c>
      <c r="M961" s="23" t="s">
        <v>8</v>
      </c>
    </row>
    <row r="962" spans="1:13" s="21" customFormat="1" x14ac:dyDescent="0.25">
      <c r="A962" s="22" t="s">
        <v>8</v>
      </c>
      <c r="B962" s="18" t="str">
        <f>"055873"</f>
        <v>055873</v>
      </c>
      <c r="C962" s="19" t="s">
        <v>966</v>
      </c>
      <c r="D962" s="19" t="s">
        <v>16396</v>
      </c>
      <c r="E962" s="19" t="s">
        <v>31124</v>
      </c>
      <c r="F962" s="19" t="s">
        <v>35978</v>
      </c>
      <c r="G962" s="18" t="str">
        <f>"91942"</f>
        <v>91942</v>
      </c>
      <c r="H962" s="19" t="s">
        <v>31176</v>
      </c>
      <c r="I962" s="20">
        <v>17.251999999999999</v>
      </c>
      <c r="J962" s="44" t="s">
        <v>8</v>
      </c>
      <c r="K962" s="23" t="s">
        <v>8</v>
      </c>
      <c r="L962" s="23" t="s">
        <v>8</v>
      </c>
      <c r="M962" s="23" t="s">
        <v>8</v>
      </c>
    </row>
    <row r="963" spans="1:13" s="21" customFormat="1" x14ac:dyDescent="0.25">
      <c r="A963" s="22" t="s">
        <v>8</v>
      </c>
      <c r="B963" s="18" t="str">
        <f>"055874"</f>
        <v>055874</v>
      </c>
      <c r="C963" s="19" t="s">
        <v>967</v>
      </c>
      <c r="D963" s="19" t="s">
        <v>16397</v>
      </c>
      <c r="E963" s="19" t="s">
        <v>31190</v>
      </c>
      <c r="F963" s="19" t="s">
        <v>35978</v>
      </c>
      <c r="G963" s="18" t="str">
        <f>"94545"</f>
        <v>94545</v>
      </c>
      <c r="H963" s="19" t="s">
        <v>31290</v>
      </c>
      <c r="I963" s="20">
        <v>22.532</v>
      </c>
      <c r="J963" s="44" t="s">
        <v>8</v>
      </c>
      <c r="K963" s="23" t="s">
        <v>8</v>
      </c>
      <c r="L963" s="23" t="s">
        <v>8</v>
      </c>
      <c r="M963" s="23" t="s">
        <v>8</v>
      </c>
    </row>
    <row r="964" spans="1:13" s="21" customFormat="1" x14ac:dyDescent="0.25">
      <c r="A964" s="22" t="s">
        <v>8</v>
      </c>
      <c r="B964" s="18" t="str">
        <f>"055876"</f>
        <v>055876</v>
      </c>
      <c r="C964" s="19" t="s">
        <v>968</v>
      </c>
      <c r="D964" s="19" t="s">
        <v>16398</v>
      </c>
      <c r="E964" s="19" t="s">
        <v>31143</v>
      </c>
      <c r="F964" s="19" t="s">
        <v>35978</v>
      </c>
      <c r="G964" s="18" t="str">
        <f>"94621"</f>
        <v>94621</v>
      </c>
      <c r="H964" s="19" t="s">
        <v>31290</v>
      </c>
      <c r="I964" s="20">
        <v>18.265999999999998</v>
      </c>
      <c r="J964" s="44" t="s">
        <v>8</v>
      </c>
      <c r="K964" s="23" t="s">
        <v>8</v>
      </c>
      <c r="L964" s="23" t="s">
        <v>8</v>
      </c>
      <c r="M964" s="23" t="s">
        <v>8</v>
      </c>
    </row>
    <row r="965" spans="1:13" s="21" customFormat="1" x14ac:dyDescent="0.25">
      <c r="A965" s="22" t="s">
        <v>8</v>
      </c>
      <c r="B965" s="18" t="str">
        <f>"055884"</f>
        <v>055884</v>
      </c>
      <c r="C965" s="19" t="s">
        <v>969</v>
      </c>
      <c r="D965" s="19" t="s">
        <v>16399</v>
      </c>
      <c r="E965" s="19" t="s">
        <v>31188</v>
      </c>
      <c r="F965" s="19" t="s">
        <v>35978</v>
      </c>
      <c r="G965" s="18" t="str">
        <f>"95117"</f>
        <v>95117</v>
      </c>
      <c r="H965" s="19" t="s">
        <v>31241</v>
      </c>
      <c r="I965" s="20">
        <v>17.911999999999999</v>
      </c>
      <c r="J965" s="44" t="s">
        <v>8</v>
      </c>
      <c r="K965" s="23" t="s">
        <v>8</v>
      </c>
      <c r="L965" s="23" t="s">
        <v>8</v>
      </c>
      <c r="M965" s="23" t="s">
        <v>8</v>
      </c>
    </row>
    <row r="966" spans="1:13" s="21" customFormat="1" x14ac:dyDescent="0.25">
      <c r="A966" s="22" t="s">
        <v>8</v>
      </c>
      <c r="B966" s="18" t="str">
        <f>"055885"</f>
        <v>055885</v>
      </c>
      <c r="C966" s="19" t="s">
        <v>970</v>
      </c>
      <c r="D966" s="19" t="s">
        <v>16400</v>
      </c>
      <c r="E966" s="19" t="s">
        <v>31175</v>
      </c>
      <c r="F966" s="19" t="s">
        <v>35978</v>
      </c>
      <c r="G966" s="18" t="str">
        <f>"94536"</f>
        <v>94536</v>
      </c>
      <c r="H966" s="19" t="s">
        <v>31290</v>
      </c>
      <c r="I966" s="20">
        <v>21.288</v>
      </c>
      <c r="J966" s="44" t="s">
        <v>8</v>
      </c>
      <c r="K966" s="23" t="s">
        <v>8</v>
      </c>
      <c r="L966" s="23" t="s">
        <v>8</v>
      </c>
      <c r="M966" s="23" t="s">
        <v>8</v>
      </c>
    </row>
    <row r="967" spans="1:13" s="21" customFormat="1" x14ac:dyDescent="0.25">
      <c r="A967" s="22" t="s">
        <v>8</v>
      </c>
      <c r="B967" s="18" t="str">
        <f>"055886"</f>
        <v>055886</v>
      </c>
      <c r="C967" s="19" t="s">
        <v>971</v>
      </c>
      <c r="D967" s="19" t="s">
        <v>16401</v>
      </c>
      <c r="E967" s="19" t="s">
        <v>31213</v>
      </c>
      <c r="F967" s="19" t="s">
        <v>35978</v>
      </c>
      <c r="G967" s="18" t="str">
        <f>"95661"</f>
        <v>95661</v>
      </c>
      <c r="H967" s="19" t="s">
        <v>36093</v>
      </c>
      <c r="I967" s="20">
        <v>18.640999999999998</v>
      </c>
      <c r="J967" s="44" t="s">
        <v>8</v>
      </c>
      <c r="K967" s="23" t="s">
        <v>8</v>
      </c>
      <c r="L967" s="23" t="s">
        <v>8</v>
      </c>
      <c r="M967" s="23" t="s">
        <v>8</v>
      </c>
    </row>
    <row r="968" spans="1:13" s="21" customFormat="1" x14ac:dyDescent="0.25">
      <c r="A968" s="22" t="s">
        <v>8</v>
      </c>
      <c r="B968" s="18" t="str">
        <f>"055887"</f>
        <v>055887</v>
      </c>
      <c r="C968" s="19" t="s">
        <v>972</v>
      </c>
      <c r="D968" s="19" t="s">
        <v>16402</v>
      </c>
      <c r="E968" s="19" t="s">
        <v>31265</v>
      </c>
      <c r="F968" s="19" t="s">
        <v>35978</v>
      </c>
      <c r="G968" s="18" t="str">
        <f>"95691"</f>
        <v>95691</v>
      </c>
      <c r="H968" s="19" t="s">
        <v>36092</v>
      </c>
      <c r="I968" s="20">
        <v>18.84</v>
      </c>
      <c r="J968" s="44" t="s">
        <v>8</v>
      </c>
      <c r="K968" s="23" t="s">
        <v>8</v>
      </c>
      <c r="L968" s="23" t="s">
        <v>8</v>
      </c>
      <c r="M968" s="23" t="s">
        <v>8</v>
      </c>
    </row>
    <row r="969" spans="1:13" s="21" customFormat="1" x14ac:dyDescent="0.25">
      <c r="A969" s="22" t="s">
        <v>8</v>
      </c>
      <c r="B969" s="18" t="str">
        <f>"055888"</f>
        <v>055888</v>
      </c>
      <c r="C969" s="19" t="s">
        <v>973</v>
      </c>
      <c r="D969" s="19" t="s">
        <v>16403</v>
      </c>
      <c r="E969" s="19" t="s">
        <v>31266</v>
      </c>
      <c r="F969" s="19" t="s">
        <v>35978</v>
      </c>
      <c r="G969" s="18" t="str">
        <f>"92647"</f>
        <v>92647</v>
      </c>
      <c r="H969" s="19" t="s">
        <v>31169</v>
      </c>
      <c r="I969" s="20">
        <v>21.872</v>
      </c>
      <c r="J969" s="44" t="s">
        <v>8</v>
      </c>
      <c r="K969" s="23" t="s">
        <v>8</v>
      </c>
      <c r="L969" s="23" t="s">
        <v>8</v>
      </c>
      <c r="M969" s="23" t="s">
        <v>8</v>
      </c>
    </row>
    <row r="970" spans="1:13" s="21" customFormat="1" x14ac:dyDescent="0.25">
      <c r="A970" s="22" t="s">
        <v>8</v>
      </c>
      <c r="B970" s="18" t="str">
        <f>"055890"</f>
        <v>055890</v>
      </c>
      <c r="C970" s="19" t="s">
        <v>974</v>
      </c>
      <c r="D970" s="19" t="s">
        <v>16404</v>
      </c>
      <c r="E970" s="19" t="s">
        <v>31118</v>
      </c>
      <c r="F970" s="19" t="s">
        <v>35978</v>
      </c>
      <c r="G970" s="18" t="str">
        <f>"92020"</f>
        <v>92020</v>
      </c>
      <c r="H970" s="19" t="s">
        <v>31176</v>
      </c>
      <c r="I970" s="20">
        <v>23.234000000000002</v>
      </c>
      <c r="J970" s="44" t="s">
        <v>8</v>
      </c>
      <c r="K970" s="23" t="s">
        <v>8</v>
      </c>
      <c r="L970" s="23" t="s">
        <v>8</v>
      </c>
      <c r="M970" s="23" t="s">
        <v>8</v>
      </c>
    </row>
    <row r="971" spans="1:13" s="21" customFormat="1" x14ac:dyDescent="0.25">
      <c r="A971" s="22" t="s">
        <v>8</v>
      </c>
      <c r="B971" s="18" t="str">
        <f>"055892"</f>
        <v>055892</v>
      </c>
      <c r="C971" s="19" t="s">
        <v>975</v>
      </c>
      <c r="D971" s="19" t="s">
        <v>16405</v>
      </c>
      <c r="E971" s="19" t="s">
        <v>31248</v>
      </c>
      <c r="F971" s="19" t="s">
        <v>35978</v>
      </c>
      <c r="G971" s="18" t="str">
        <f>"94705"</f>
        <v>94705</v>
      </c>
      <c r="H971" s="19" t="s">
        <v>31290</v>
      </c>
      <c r="I971" s="20">
        <v>18.780999999999999</v>
      </c>
      <c r="J971" s="44" t="s">
        <v>8</v>
      </c>
      <c r="K971" s="23" t="s">
        <v>8</v>
      </c>
      <c r="L971" s="23" t="s">
        <v>8</v>
      </c>
      <c r="M971" s="23" t="s">
        <v>8</v>
      </c>
    </row>
    <row r="972" spans="1:13" s="21" customFormat="1" x14ac:dyDescent="0.25">
      <c r="A972" s="22" t="s">
        <v>8</v>
      </c>
      <c r="B972" s="18" t="str">
        <f>"055894"</f>
        <v>055894</v>
      </c>
      <c r="C972" s="19" t="s">
        <v>976</v>
      </c>
      <c r="D972" s="19" t="s">
        <v>16406</v>
      </c>
      <c r="E972" s="19" t="s">
        <v>31111</v>
      </c>
      <c r="F972" s="19" t="s">
        <v>35978</v>
      </c>
      <c r="G972" s="18" t="str">
        <f>"90803"</f>
        <v>90803</v>
      </c>
      <c r="H972" s="19" t="s">
        <v>31109</v>
      </c>
      <c r="I972" s="20">
        <v>21.382999999999999</v>
      </c>
      <c r="J972" s="44" t="s">
        <v>8</v>
      </c>
      <c r="K972" s="23" t="s">
        <v>8</v>
      </c>
      <c r="L972" s="23" t="s">
        <v>8</v>
      </c>
      <c r="M972" s="23" t="s">
        <v>8</v>
      </c>
    </row>
    <row r="973" spans="1:13" s="21" customFormat="1" x14ac:dyDescent="0.25">
      <c r="A973" s="22" t="s">
        <v>8</v>
      </c>
      <c r="B973" s="18" t="str">
        <f>"055899"</f>
        <v>055899</v>
      </c>
      <c r="C973" s="19" t="s">
        <v>977</v>
      </c>
      <c r="D973" s="19" t="s">
        <v>16407</v>
      </c>
      <c r="E973" s="19" t="s">
        <v>30946</v>
      </c>
      <c r="F973" s="19" t="s">
        <v>35978</v>
      </c>
      <c r="G973" s="18" t="str">
        <f>"91204"</f>
        <v>91204</v>
      </c>
      <c r="H973" s="19" t="s">
        <v>31109</v>
      </c>
      <c r="I973" s="20">
        <v>21.693000000000001</v>
      </c>
      <c r="J973" s="44" t="s">
        <v>8</v>
      </c>
      <c r="K973" s="23" t="s">
        <v>8</v>
      </c>
      <c r="L973" s="23" t="s">
        <v>8</v>
      </c>
      <c r="M973" s="23" t="s">
        <v>8</v>
      </c>
    </row>
    <row r="974" spans="1:13" s="21" customFormat="1" x14ac:dyDescent="0.25">
      <c r="A974" s="22" t="s">
        <v>8</v>
      </c>
      <c r="B974" s="18" t="str">
        <f>"055906"</f>
        <v>055906</v>
      </c>
      <c r="C974" s="19" t="s">
        <v>978</v>
      </c>
      <c r="D974" s="19" t="s">
        <v>16408</v>
      </c>
      <c r="E974" s="19" t="s">
        <v>31138</v>
      </c>
      <c r="F974" s="19" t="s">
        <v>35978</v>
      </c>
      <c r="G974" s="18" t="str">
        <f>"91344"</f>
        <v>91344</v>
      </c>
      <c r="H974" s="19" t="s">
        <v>31109</v>
      </c>
      <c r="I974" s="20">
        <v>17.54</v>
      </c>
      <c r="J974" s="44" t="s">
        <v>8</v>
      </c>
      <c r="K974" s="23" t="s">
        <v>8</v>
      </c>
      <c r="L974" s="23" t="s">
        <v>8</v>
      </c>
      <c r="M974" s="23" t="s">
        <v>8</v>
      </c>
    </row>
    <row r="975" spans="1:13" s="21" customFormat="1" x14ac:dyDescent="0.25">
      <c r="A975" s="22" t="s">
        <v>8</v>
      </c>
      <c r="B975" s="18" t="str">
        <f>"055910"</f>
        <v>055910</v>
      </c>
      <c r="C975" s="19" t="s">
        <v>979</v>
      </c>
      <c r="D975" s="19" t="s">
        <v>16409</v>
      </c>
      <c r="E975" s="19" t="s">
        <v>31124</v>
      </c>
      <c r="F975" s="19" t="s">
        <v>35978</v>
      </c>
      <c r="G975" s="18" t="str">
        <f>"91942"</f>
        <v>91942</v>
      </c>
      <c r="H975" s="19" t="s">
        <v>31176</v>
      </c>
      <c r="I975" s="20">
        <v>16.401</v>
      </c>
      <c r="J975" s="44" t="s">
        <v>8</v>
      </c>
      <c r="K975" s="23" t="s">
        <v>8</v>
      </c>
      <c r="L975" s="23" t="s">
        <v>8</v>
      </c>
      <c r="M975" s="23" t="s">
        <v>8</v>
      </c>
    </row>
    <row r="976" spans="1:13" s="21" customFormat="1" x14ac:dyDescent="0.25">
      <c r="A976" s="22" t="s">
        <v>8</v>
      </c>
      <c r="B976" s="18" t="str">
        <f>"055914"</f>
        <v>055914</v>
      </c>
      <c r="C976" s="19" t="s">
        <v>980</v>
      </c>
      <c r="D976" s="19" t="s">
        <v>16410</v>
      </c>
      <c r="E976" s="19" t="s">
        <v>31098</v>
      </c>
      <c r="F976" s="19" t="s">
        <v>35978</v>
      </c>
      <c r="G976" s="18" t="str">
        <f>"92373"</f>
        <v>92373</v>
      </c>
      <c r="H976" s="19" t="s">
        <v>31227</v>
      </c>
      <c r="I976" s="20">
        <v>17.54</v>
      </c>
      <c r="J976" s="44" t="s">
        <v>8</v>
      </c>
      <c r="K976" s="23" t="s">
        <v>8</v>
      </c>
      <c r="L976" s="23" t="s">
        <v>8</v>
      </c>
      <c r="M976" s="23" t="s">
        <v>8</v>
      </c>
    </row>
    <row r="977" spans="1:13" s="21" customFormat="1" x14ac:dyDescent="0.25">
      <c r="A977" s="22" t="s">
        <v>8</v>
      </c>
      <c r="B977" s="18" t="str">
        <f>"055916"</f>
        <v>055916</v>
      </c>
      <c r="C977" s="19" t="s">
        <v>981</v>
      </c>
      <c r="D977" s="19" t="s">
        <v>16411</v>
      </c>
      <c r="E977" s="19" t="s">
        <v>31237</v>
      </c>
      <c r="F977" s="19" t="s">
        <v>35978</v>
      </c>
      <c r="G977" s="18" t="str">
        <f>"93277"</f>
        <v>93277</v>
      </c>
      <c r="H977" s="19" t="s">
        <v>31243</v>
      </c>
      <c r="I977" s="20">
        <v>18.731000000000002</v>
      </c>
      <c r="J977" s="44" t="s">
        <v>8</v>
      </c>
      <c r="K977" s="23" t="s">
        <v>8</v>
      </c>
      <c r="L977" s="23" t="s">
        <v>8</v>
      </c>
      <c r="M977" s="23" t="s">
        <v>8</v>
      </c>
    </row>
    <row r="978" spans="1:13" s="21" customFormat="1" x14ac:dyDescent="0.25">
      <c r="A978" s="22" t="s">
        <v>8</v>
      </c>
      <c r="B978" s="18" t="str">
        <f>"055917"</f>
        <v>055917</v>
      </c>
      <c r="C978" s="19" t="s">
        <v>982</v>
      </c>
      <c r="D978" s="19" t="s">
        <v>16412</v>
      </c>
      <c r="E978" s="19" t="s">
        <v>31267</v>
      </c>
      <c r="F978" s="19" t="s">
        <v>35978</v>
      </c>
      <c r="G978" s="18" t="str">
        <f>"95336"</f>
        <v>95336</v>
      </c>
      <c r="H978" s="19" t="s">
        <v>36087</v>
      </c>
      <c r="I978" s="20">
        <v>17.423999999999999</v>
      </c>
      <c r="J978" s="44" t="s">
        <v>8</v>
      </c>
      <c r="K978" s="23" t="s">
        <v>8</v>
      </c>
      <c r="L978" s="23" t="s">
        <v>8</v>
      </c>
      <c r="M978" s="23" t="s">
        <v>8</v>
      </c>
    </row>
    <row r="979" spans="1:13" s="21" customFormat="1" x14ac:dyDescent="0.25">
      <c r="A979" s="22" t="s">
        <v>8</v>
      </c>
      <c r="B979" s="18" t="str">
        <f>"055918"</f>
        <v>055918</v>
      </c>
      <c r="C979" s="19" t="s">
        <v>983</v>
      </c>
      <c r="D979" s="19" t="s">
        <v>16413</v>
      </c>
      <c r="E979" s="19" t="s">
        <v>31268</v>
      </c>
      <c r="F979" s="19" t="s">
        <v>35978</v>
      </c>
      <c r="G979" s="18" t="str">
        <f>"90706"</f>
        <v>90706</v>
      </c>
      <c r="H979" s="19" t="s">
        <v>31109</v>
      </c>
      <c r="I979" s="20">
        <v>19.082000000000001</v>
      </c>
      <c r="J979" s="44" t="s">
        <v>8</v>
      </c>
      <c r="K979" s="23" t="s">
        <v>8</v>
      </c>
      <c r="L979" s="23" t="s">
        <v>8</v>
      </c>
      <c r="M979" s="23" t="s">
        <v>8</v>
      </c>
    </row>
    <row r="980" spans="1:13" s="21" customFormat="1" x14ac:dyDescent="0.25">
      <c r="A980" s="22" t="s">
        <v>8</v>
      </c>
      <c r="B980" s="18" t="str">
        <f>"055919"</f>
        <v>055919</v>
      </c>
      <c r="C980" s="19" t="s">
        <v>984</v>
      </c>
      <c r="D980" s="19" t="s">
        <v>16414</v>
      </c>
      <c r="E980" s="19" t="s">
        <v>31211</v>
      </c>
      <c r="F980" s="19" t="s">
        <v>35978</v>
      </c>
      <c r="G980" s="18" t="str">
        <f>"95472"</f>
        <v>95472</v>
      </c>
      <c r="H980" s="19" t="s">
        <v>31174</v>
      </c>
      <c r="I980" s="20">
        <v>18.626000000000001</v>
      </c>
      <c r="J980" s="44" t="s">
        <v>8</v>
      </c>
      <c r="K980" s="23" t="s">
        <v>8</v>
      </c>
      <c r="L980" s="23" t="s">
        <v>8</v>
      </c>
      <c r="M980" s="23" t="s">
        <v>8</v>
      </c>
    </row>
    <row r="981" spans="1:13" s="21" customFormat="1" x14ac:dyDescent="0.25">
      <c r="A981" s="22" t="s">
        <v>8</v>
      </c>
      <c r="B981" s="18" t="str">
        <f>"055922"</f>
        <v>055922</v>
      </c>
      <c r="C981" s="19" t="s">
        <v>985</v>
      </c>
      <c r="D981" s="19" t="s">
        <v>16415</v>
      </c>
      <c r="E981" s="19" t="s">
        <v>31269</v>
      </c>
      <c r="F981" s="19" t="s">
        <v>35978</v>
      </c>
      <c r="G981" s="18" t="str">
        <f>"95616"</f>
        <v>95616</v>
      </c>
      <c r="H981" s="19" t="s">
        <v>36092</v>
      </c>
      <c r="I981" s="20">
        <v>19.43</v>
      </c>
      <c r="J981" s="44" t="s">
        <v>8</v>
      </c>
      <c r="K981" s="23" t="s">
        <v>8</v>
      </c>
      <c r="L981" s="23" t="s">
        <v>8</v>
      </c>
      <c r="M981" s="23" t="s">
        <v>8</v>
      </c>
    </row>
    <row r="982" spans="1:13" s="21" customFormat="1" x14ac:dyDescent="0.25">
      <c r="A982" s="22" t="s">
        <v>8</v>
      </c>
      <c r="B982" s="18" t="str">
        <f>"055929"</f>
        <v>055929</v>
      </c>
      <c r="C982" s="19" t="s">
        <v>986</v>
      </c>
      <c r="D982" s="19" t="s">
        <v>16416</v>
      </c>
      <c r="E982" s="19" t="s">
        <v>31134</v>
      </c>
      <c r="F982" s="19" t="s">
        <v>35978</v>
      </c>
      <c r="G982" s="18" t="str">
        <f>"92663"</f>
        <v>92663</v>
      </c>
      <c r="H982" s="19" t="s">
        <v>31169</v>
      </c>
      <c r="I982" s="20">
        <v>19.544</v>
      </c>
      <c r="J982" s="44" t="s">
        <v>8</v>
      </c>
      <c r="K982" s="23" t="s">
        <v>8</v>
      </c>
      <c r="L982" s="23" t="s">
        <v>8</v>
      </c>
      <c r="M982" s="23" t="s">
        <v>8</v>
      </c>
    </row>
    <row r="983" spans="1:13" s="21" customFormat="1" x14ac:dyDescent="0.25">
      <c r="A983" s="22" t="s">
        <v>8</v>
      </c>
      <c r="B983" s="18" t="str">
        <f>"055932"</f>
        <v>055932</v>
      </c>
      <c r="C983" s="19" t="s">
        <v>987</v>
      </c>
      <c r="D983" s="19" t="s">
        <v>16417</v>
      </c>
      <c r="E983" s="19" t="s">
        <v>31153</v>
      </c>
      <c r="F983" s="19" t="s">
        <v>35978</v>
      </c>
      <c r="G983" s="18" t="str">
        <f>"91607"</f>
        <v>91607</v>
      </c>
      <c r="H983" s="19" t="s">
        <v>31109</v>
      </c>
      <c r="I983" s="20">
        <v>21.260999999999999</v>
      </c>
      <c r="J983" s="44" t="s">
        <v>8</v>
      </c>
      <c r="K983" s="23" t="s">
        <v>8</v>
      </c>
      <c r="L983" s="23" t="s">
        <v>8</v>
      </c>
      <c r="M983" s="23" t="s">
        <v>8</v>
      </c>
    </row>
    <row r="984" spans="1:13" s="21" customFormat="1" x14ac:dyDescent="0.25">
      <c r="A984" s="22" t="s">
        <v>8</v>
      </c>
      <c r="B984" s="18" t="str">
        <f>"055935"</f>
        <v>055935</v>
      </c>
      <c r="C984" s="19" t="s">
        <v>988</v>
      </c>
      <c r="D984" s="19" t="s">
        <v>16418</v>
      </c>
      <c r="E984" s="19" t="s">
        <v>31270</v>
      </c>
      <c r="F984" s="19" t="s">
        <v>35978</v>
      </c>
      <c r="G984" s="18" t="str">
        <f>"95307"</f>
        <v>95307</v>
      </c>
      <c r="H984" s="19" t="s">
        <v>36085</v>
      </c>
      <c r="I984" s="20">
        <v>18.206</v>
      </c>
      <c r="J984" s="44" t="s">
        <v>8</v>
      </c>
      <c r="K984" s="23" t="s">
        <v>8</v>
      </c>
      <c r="L984" s="23" t="s">
        <v>8</v>
      </c>
      <c r="M984" s="23" t="s">
        <v>8</v>
      </c>
    </row>
    <row r="985" spans="1:13" s="21" customFormat="1" x14ac:dyDescent="0.25">
      <c r="A985" s="22" t="s">
        <v>8</v>
      </c>
      <c r="B985" s="18" t="str">
        <f>"055952"</f>
        <v>055952</v>
      </c>
      <c r="C985" s="19" t="s">
        <v>989</v>
      </c>
      <c r="D985" s="19" t="s">
        <v>16419</v>
      </c>
      <c r="E985" s="19" t="s">
        <v>31108</v>
      </c>
      <c r="F985" s="19" t="s">
        <v>35978</v>
      </c>
      <c r="G985" s="18" t="str">
        <f>"90503"</f>
        <v>90503</v>
      </c>
      <c r="H985" s="19" t="s">
        <v>31109</v>
      </c>
      <c r="I985" s="20">
        <v>15.452999999999999</v>
      </c>
      <c r="J985" s="44" t="s">
        <v>8</v>
      </c>
      <c r="K985" s="23" t="s">
        <v>8</v>
      </c>
      <c r="L985" s="23" t="s">
        <v>8</v>
      </c>
      <c r="M985" s="23" t="s">
        <v>8</v>
      </c>
    </row>
    <row r="986" spans="1:13" s="21" customFormat="1" x14ac:dyDescent="0.25">
      <c r="A986" s="22" t="s">
        <v>8</v>
      </c>
      <c r="B986" s="18" t="str">
        <f>"055954"</f>
        <v>055954</v>
      </c>
      <c r="C986" s="19" t="s">
        <v>990</v>
      </c>
      <c r="D986" s="19" t="s">
        <v>16420</v>
      </c>
      <c r="E986" s="19" t="s">
        <v>31271</v>
      </c>
      <c r="F986" s="19" t="s">
        <v>35978</v>
      </c>
      <c r="G986" s="18" t="str">
        <f>"91950"</f>
        <v>91950</v>
      </c>
      <c r="H986" s="19" t="s">
        <v>31176</v>
      </c>
      <c r="I986" s="20">
        <v>18.359000000000002</v>
      </c>
      <c r="J986" s="44" t="s">
        <v>8</v>
      </c>
      <c r="K986" s="23" t="s">
        <v>8</v>
      </c>
      <c r="L986" s="23" t="s">
        <v>8</v>
      </c>
      <c r="M986" s="23" t="s">
        <v>8</v>
      </c>
    </row>
    <row r="987" spans="1:13" s="21" customFormat="1" x14ac:dyDescent="0.25">
      <c r="A987" s="22" t="s">
        <v>8</v>
      </c>
      <c r="B987" s="18" t="str">
        <f>"055955"</f>
        <v>055955</v>
      </c>
      <c r="C987" s="19" t="s">
        <v>991</v>
      </c>
      <c r="D987" s="19" t="s">
        <v>16421</v>
      </c>
      <c r="E987" s="19" t="s">
        <v>31155</v>
      </c>
      <c r="F987" s="19" t="s">
        <v>35978</v>
      </c>
      <c r="G987" s="18" t="str">
        <f>"93727"</f>
        <v>93727</v>
      </c>
      <c r="H987" s="19" t="s">
        <v>31155</v>
      </c>
      <c r="I987" s="20">
        <v>19.928999999999998</v>
      </c>
      <c r="J987" s="44" t="s">
        <v>8</v>
      </c>
      <c r="K987" s="23" t="s">
        <v>8</v>
      </c>
      <c r="L987" s="23" t="s">
        <v>8</v>
      </c>
      <c r="M987" s="23" t="s">
        <v>8</v>
      </c>
    </row>
    <row r="988" spans="1:13" s="21" customFormat="1" x14ac:dyDescent="0.25">
      <c r="A988" s="22" t="s">
        <v>8</v>
      </c>
      <c r="B988" s="18" t="str">
        <f>"055956"</f>
        <v>055956</v>
      </c>
      <c r="C988" s="19" t="s">
        <v>992</v>
      </c>
      <c r="D988" s="19" t="s">
        <v>16422</v>
      </c>
      <c r="E988" s="19" t="s">
        <v>31180</v>
      </c>
      <c r="F988" s="19" t="s">
        <v>35978</v>
      </c>
      <c r="G988" s="18" t="str">
        <f>"95824"</f>
        <v>95824</v>
      </c>
      <c r="H988" s="19" t="s">
        <v>31180</v>
      </c>
      <c r="I988" s="20">
        <v>20.544</v>
      </c>
      <c r="J988" s="44" t="s">
        <v>8</v>
      </c>
      <c r="K988" s="23" t="s">
        <v>8</v>
      </c>
      <c r="L988" s="23" t="s">
        <v>8</v>
      </c>
      <c r="M988" s="23" t="s">
        <v>8</v>
      </c>
    </row>
    <row r="989" spans="1:13" s="21" customFormat="1" x14ac:dyDescent="0.25">
      <c r="A989" s="22" t="s">
        <v>8</v>
      </c>
      <c r="B989" s="18" t="str">
        <f>"055957"</f>
        <v>055957</v>
      </c>
      <c r="C989" s="19" t="s">
        <v>993</v>
      </c>
      <c r="D989" s="19" t="s">
        <v>16423</v>
      </c>
      <c r="E989" s="19" t="s">
        <v>31272</v>
      </c>
      <c r="F989" s="19" t="s">
        <v>35978</v>
      </c>
      <c r="G989" s="18" t="str">
        <f>"93060"</f>
        <v>93060</v>
      </c>
      <c r="H989" s="19" t="s">
        <v>31228</v>
      </c>
      <c r="I989" s="20">
        <v>17.751000000000001</v>
      </c>
      <c r="J989" s="44" t="s">
        <v>8</v>
      </c>
      <c r="K989" s="23" t="s">
        <v>8</v>
      </c>
      <c r="L989" s="23" t="s">
        <v>8</v>
      </c>
      <c r="M989" s="23" t="s">
        <v>8</v>
      </c>
    </row>
    <row r="990" spans="1:13" s="21" customFormat="1" x14ac:dyDescent="0.25">
      <c r="A990" s="22" t="s">
        <v>8</v>
      </c>
      <c r="B990" s="18" t="str">
        <f>"055959"</f>
        <v>055959</v>
      </c>
      <c r="C990" s="19" t="s">
        <v>994</v>
      </c>
      <c r="D990" s="19" t="s">
        <v>16424</v>
      </c>
      <c r="E990" s="19" t="s">
        <v>31166</v>
      </c>
      <c r="F990" s="19" t="s">
        <v>35978</v>
      </c>
      <c r="G990" s="18" t="str">
        <f>"95076"</f>
        <v>95076</v>
      </c>
      <c r="H990" s="19" t="s">
        <v>31105</v>
      </c>
      <c r="I990" s="20">
        <v>16.052</v>
      </c>
      <c r="J990" s="44" t="s">
        <v>8</v>
      </c>
      <c r="K990" s="23" t="s">
        <v>8</v>
      </c>
      <c r="L990" s="23" t="s">
        <v>8</v>
      </c>
      <c r="M990" s="23" t="s">
        <v>8</v>
      </c>
    </row>
    <row r="991" spans="1:13" s="21" customFormat="1" x14ac:dyDescent="0.25">
      <c r="A991" s="22" t="s">
        <v>8</v>
      </c>
      <c r="B991" s="18" t="str">
        <f>"055960"</f>
        <v>055960</v>
      </c>
      <c r="C991" s="19" t="s">
        <v>995</v>
      </c>
      <c r="D991" s="19" t="s">
        <v>16425</v>
      </c>
      <c r="E991" s="19" t="s">
        <v>31273</v>
      </c>
      <c r="F991" s="19" t="s">
        <v>35978</v>
      </c>
      <c r="G991" s="18" t="str">
        <f>"91214"</f>
        <v>91214</v>
      </c>
      <c r="H991" s="19" t="s">
        <v>31109</v>
      </c>
      <c r="I991" s="20">
        <v>19.872</v>
      </c>
      <c r="J991" s="44" t="s">
        <v>8</v>
      </c>
      <c r="K991" s="23" t="s">
        <v>8</v>
      </c>
      <c r="L991" s="23" t="s">
        <v>8</v>
      </c>
      <c r="M991" s="23" t="s">
        <v>8</v>
      </c>
    </row>
    <row r="992" spans="1:13" s="21" customFormat="1" x14ac:dyDescent="0.25">
      <c r="A992" s="22" t="s">
        <v>8</v>
      </c>
      <c r="B992" s="18" t="str">
        <f>"055962"</f>
        <v>055962</v>
      </c>
      <c r="C992" s="19" t="s">
        <v>996</v>
      </c>
      <c r="D992" s="19" t="s">
        <v>16426</v>
      </c>
      <c r="E992" s="19" t="s">
        <v>31274</v>
      </c>
      <c r="F992" s="19" t="s">
        <v>35978</v>
      </c>
      <c r="G992" s="18" t="str">
        <f>"93940"</f>
        <v>93940</v>
      </c>
      <c r="H992" s="19" t="s">
        <v>31274</v>
      </c>
      <c r="I992" s="20">
        <v>18.949000000000002</v>
      </c>
      <c r="J992" s="44" t="s">
        <v>8</v>
      </c>
      <c r="K992" s="23" t="s">
        <v>8</v>
      </c>
      <c r="L992" s="23" t="s">
        <v>8</v>
      </c>
      <c r="M992" s="23" t="s">
        <v>8</v>
      </c>
    </row>
    <row r="993" spans="1:13" s="21" customFormat="1" x14ac:dyDescent="0.25">
      <c r="A993" s="22" t="s">
        <v>8</v>
      </c>
      <c r="B993" s="18" t="str">
        <f>"055963"</f>
        <v>055963</v>
      </c>
      <c r="C993" s="19" t="s">
        <v>997</v>
      </c>
      <c r="D993" s="19" t="s">
        <v>16427</v>
      </c>
      <c r="E993" s="19" t="s">
        <v>31146</v>
      </c>
      <c r="F993" s="19" t="s">
        <v>35978</v>
      </c>
      <c r="G993" s="18" t="str">
        <f>"94116"</f>
        <v>94116</v>
      </c>
      <c r="H993" s="19" t="s">
        <v>31146</v>
      </c>
      <c r="I993" s="20">
        <v>19.550999999999998</v>
      </c>
      <c r="J993" s="44" t="s">
        <v>8</v>
      </c>
      <c r="K993" s="23" t="s">
        <v>8</v>
      </c>
      <c r="L993" s="23" t="s">
        <v>8</v>
      </c>
      <c r="M993" s="23" t="s">
        <v>8</v>
      </c>
    </row>
    <row r="994" spans="1:13" s="21" customFormat="1" x14ac:dyDescent="0.25">
      <c r="A994" s="22" t="s">
        <v>8</v>
      </c>
      <c r="B994" s="18" t="str">
        <f>"055964"</f>
        <v>055964</v>
      </c>
      <c r="C994" s="19" t="s">
        <v>998</v>
      </c>
      <c r="D994" s="19" t="s">
        <v>16428</v>
      </c>
      <c r="E994" s="19" t="s">
        <v>31271</v>
      </c>
      <c r="F994" s="19" t="s">
        <v>35978</v>
      </c>
      <c r="G994" s="18" t="str">
        <f>"91950"</f>
        <v>91950</v>
      </c>
      <c r="H994" s="19" t="s">
        <v>31176</v>
      </c>
      <c r="I994" s="20">
        <v>15.398</v>
      </c>
      <c r="J994" s="44" t="s">
        <v>8</v>
      </c>
      <c r="K994" s="23" t="s">
        <v>8</v>
      </c>
      <c r="L994" s="23" t="s">
        <v>8</v>
      </c>
      <c r="M994" s="23" t="s">
        <v>8</v>
      </c>
    </row>
    <row r="995" spans="1:13" s="21" customFormat="1" x14ac:dyDescent="0.25">
      <c r="A995" s="22" t="s">
        <v>8</v>
      </c>
      <c r="B995" s="18" t="str">
        <f>"055968"</f>
        <v>055968</v>
      </c>
      <c r="C995" s="19" t="s">
        <v>999</v>
      </c>
      <c r="D995" s="19" t="s">
        <v>16429</v>
      </c>
      <c r="E995" s="19" t="s">
        <v>31275</v>
      </c>
      <c r="F995" s="19" t="s">
        <v>35978</v>
      </c>
      <c r="G995" s="18" t="str">
        <f>"94015"</f>
        <v>94015</v>
      </c>
      <c r="H995" s="19" t="s">
        <v>31152</v>
      </c>
      <c r="I995" s="20">
        <v>22.329000000000001</v>
      </c>
      <c r="J995" s="44" t="s">
        <v>8</v>
      </c>
      <c r="K995" s="23" t="s">
        <v>8</v>
      </c>
      <c r="L995" s="23" t="s">
        <v>8</v>
      </c>
      <c r="M995" s="23" t="s">
        <v>8</v>
      </c>
    </row>
    <row r="996" spans="1:13" s="21" customFormat="1" x14ac:dyDescent="0.25">
      <c r="A996" s="22" t="s">
        <v>8</v>
      </c>
      <c r="B996" s="18" t="str">
        <f>"055977"</f>
        <v>055977</v>
      </c>
      <c r="C996" s="19" t="s">
        <v>1000</v>
      </c>
      <c r="D996" s="19" t="s">
        <v>16430</v>
      </c>
      <c r="E996" s="19" t="s">
        <v>31109</v>
      </c>
      <c r="F996" s="19" t="s">
        <v>35978</v>
      </c>
      <c r="G996" s="18" t="str">
        <f>"90036"</f>
        <v>90036</v>
      </c>
      <c r="H996" s="19" t="s">
        <v>31109</v>
      </c>
      <c r="I996" s="20">
        <v>18.561</v>
      </c>
      <c r="J996" s="44" t="s">
        <v>8</v>
      </c>
      <c r="K996" s="23" t="s">
        <v>8</v>
      </c>
      <c r="L996" s="23" t="s">
        <v>8</v>
      </c>
      <c r="M996" s="23" t="s">
        <v>8</v>
      </c>
    </row>
    <row r="997" spans="1:13" s="21" customFormat="1" x14ac:dyDescent="0.25">
      <c r="A997" s="22" t="s">
        <v>8</v>
      </c>
      <c r="B997" s="18" t="str">
        <f>"055979"</f>
        <v>055979</v>
      </c>
      <c r="C997" s="19" t="s">
        <v>1001</v>
      </c>
      <c r="D997" s="19" t="s">
        <v>16431</v>
      </c>
      <c r="E997" s="19" t="s">
        <v>31168</v>
      </c>
      <c r="F997" s="19" t="s">
        <v>35978</v>
      </c>
      <c r="G997" s="18" t="str">
        <f>"95348"</f>
        <v>95348</v>
      </c>
      <c r="H997" s="19" t="s">
        <v>31168</v>
      </c>
      <c r="I997" s="20">
        <v>18.992999999999999</v>
      </c>
      <c r="J997" s="44" t="s">
        <v>8</v>
      </c>
      <c r="K997" s="23" t="s">
        <v>8</v>
      </c>
      <c r="L997" s="23" t="s">
        <v>8</v>
      </c>
      <c r="M997" s="23" t="s">
        <v>8</v>
      </c>
    </row>
    <row r="998" spans="1:13" s="21" customFormat="1" x14ac:dyDescent="0.25">
      <c r="A998" s="22" t="s">
        <v>8</v>
      </c>
      <c r="B998" s="18" t="str">
        <f>"055983"</f>
        <v>055983</v>
      </c>
      <c r="C998" s="19" t="s">
        <v>1002</v>
      </c>
      <c r="D998" s="19" t="s">
        <v>16432</v>
      </c>
      <c r="E998" s="19" t="s">
        <v>31207</v>
      </c>
      <c r="F998" s="19" t="s">
        <v>35978</v>
      </c>
      <c r="G998" s="18" t="str">
        <f>"92802"</f>
        <v>92802</v>
      </c>
      <c r="H998" s="19" t="s">
        <v>31169</v>
      </c>
      <c r="I998" s="20">
        <v>17.052</v>
      </c>
      <c r="J998" s="44" t="s">
        <v>8</v>
      </c>
      <c r="K998" s="23" t="s">
        <v>8</v>
      </c>
      <c r="L998" s="23" t="s">
        <v>8</v>
      </c>
      <c r="M998" s="23" t="s">
        <v>8</v>
      </c>
    </row>
    <row r="999" spans="1:13" s="21" customFormat="1" x14ac:dyDescent="0.25">
      <c r="A999" s="22" t="s">
        <v>8</v>
      </c>
      <c r="B999" s="18" t="str">
        <f>"055984"</f>
        <v>055984</v>
      </c>
      <c r="C999" s="19" t="s">
        <v>1003</v>
      </c>
      <c r="D999" s="19" t="s">
        <v>16433</v>
      </c>
      <c r="E999" s="19" t="s">
        <v>31207</v>
      </c>
      <c r="F999" s="19" t="s">
        <v>35978</v>
      </c>
      <c r="G999" s="18" t="str">
        <f>"92804"</f>
        <v>92804</v>
      </c>
      <c r="H999" s="19" t="s">
        <v>31169</v>
      </c>
      <c r="I999" s="20">
        <v>18.809000000000001</v>
      </c>
      <c r="J999" s="44" t="s">
        <v>8</v>
      </c>
      <c r="K999" s="23" t="s">
        <v>8</v>
      </c>
      <c r="L999" s="23" t="s">
        <v>8</v>
      </c>
      <c r="M999" s="23" t="s">
        <v>8</v>
      </c>
    </row>
    <row r="1000" spans="1:13" s="21" customFormat="1" x14ac:dyDescent="0.25">
      <c r="A1000" s="22" t="s">
        <v>8</v>
      </c>
      <c r="B1000" s="18" t="str">
        <f>"055987"</f>
        <v>055987</v>
      </c>
      <c r="C1000" s="19" t="s">
        <v>1004</v>
      </c>
      <c r="D1000" s="19" t="s">
        <v>16434</v>
      </c>
      <c r="E1000" s="19" t="s">
        <v>31174</v>
      </c>
      <c r="F1000" s="19" t="s">
        <v>35978</v>
      </c>
      <c r="G1000" s="18" t="str">
        <f>"95476"</f>
        <v>95476</v>
      </c>
      <c r="H1000" s="19" t="s">
        <v>31174</v>
      </c>
      <c r="I1000" s="20">
        <v>15.936</v>
      </c>
      <c r="J1000" s="44" t="s">
        <v>8</v>
      </c>
      <c r="K1000" s="23" t="s">
        <v>8</v>
      </c>
      <c r="L1000" s="23" t="s">
        <v>8</v>
      </c>
      <c r="M1000" s="23" t="s">
        <v>8</v>
      </c>
    </row>
    <row r="1001" spans="1:13" s="21" customFormat="1" x14ac:dyDescent="0.25">
      <c r="A1001" s="22" t="s">
        <v>8</v>
      </c>
      <c r="B1001" s="18" t="str">
        <f>"055988"</f>
        <v>055988</v>
      </c>
      <c r="C1001" s="19" t="s">
        <v>1005</v>
      </c>
      <c r="D1001" s="19" t="s">
        <v>16435</v>
      </c>
      <c r="E1001" s="19" t="s">
        <v>31168</v>
      </c>
      <c r="F1001" s="19" t="s">
        <v>35978</v>
      </c>
      <c r="G1001" s="18" t="str">
        <f>"95340"</f>
        <v>95340</v>
      </c>
      <c r="H1001" s="19" t="s">
        <v>31168</v>
      </c>
      <c r="I1001" s="20">
        <v>18.542999999999999</v>
      </c>
      <c r="J1001" s="44" t="s">
        <v>8</v>
      </c>
      <c r="K1001" s="23" t="s">
        <v>8</v>
      </c>
      <c r="L1001" s="23" t="s">
        <v>8</v>
      </c>
      <c r="M1001" s="23" t="s">
        <v>8</v>
      </c>
    </row>
    <row r="1002" spans="1:13" s="21" customFormat="1" x14ac:dyDescent="0.25">
      <c r="A1002" s="22" t="s">
        <v>8</v>
      </c>
      <c r="B1002" s="18" t="str">
        <f>"055989"</f>
        <v>055989</v>
      </c>
      <c r="C1002" s="19" t="s">
        <v>1006</v>
      </c>
      <c r="D1002" s="19" t="s">
        <v>16436</v>
      </c>
      <c r="E1002" s="19" t="s">
        <v>31144</v>
      </c>
      <c r="F1002" s="19" t="s">
        <v>35978</v>
      </c>
      <c r="G1002" s="18" t="str">
        <f>"91754"</f>
        <v>91754</v>
      </c>
      <c r="H1002" s="19" t="s">
        <v>31109</v>
      </c>
      <c r="I1002" s="20">
        <v>16.891999999999999</v>
      </c>
      <c r="J1002" s="44" t="s">
        <v>8</v>
      </c>
      <c r="K1002" s="23" t="s">
        <v>8</v>
      </c>
      <c r="L1002" s="23" t="s">
        <v>8</v>
      </c>
      <c r="M1002" s="23" t="s">
        <v>8</v>
      </c>
    </row>
    <row r="1003" spans="1:13" s="21" customFormat="1" x14ac:dyDescent="0.25">
      <c r="A1003" s="22" t="s">
        <v>8</v>
      </c>
      <c r="B1003" s="18" t="str">
        <f>"055991"</f>
        <v>055991</v>
      </c>
      <c r="C1003" s="19" t="s">
        <v>1007</v>
      </c>
      <c r="D1003" s="19" t="s">
        <v>16437</v>
      </c>
      <c r="E1003" s="19" t="s">
        <v>31246</v>
      </c>
      <c r="F1003" s="19" t="s">
        <v>35978</v>
      </c>
      <c r="G1003" s="18" t="str">
        <f>"93105"</f>
        <v>93105</v>
      </c>
      <c r="H1003" s="19" t="s">
        <v>31246</v>
      </c>
      <c r="I1003" s="20">
        <v>15.247</v>
      </c>
      <c r="J1003" s="44" t="s">
        <v>8</v>
      </c>
      <c r="K1003" s="23" t="s">
        <v>8</v>
      </c>
      <c r="L1003" s="23" t="s">
        <v>8</v>
      </c>
      <c r="M1003" s="23" t="s">
        <v>8</v>
      </c>
    </row>
    <row r="1004" spans="1:13" s="21" customFormat="1" x14ac:dyDescent="0.25">
      <c r="A1004" s="22" t="s">
        <v>8</v>
      </c>
      <c r="B1004" s="18" t="str">
        <f>"055992"</f>
        <v>055992</v>
      </c>
      <c r="C1004" s="19" t="s">
        <v>1008</v>
      </c>
      <c r="D1004" s="19" t="s">
        <v>16438</v>
      </c>
      <c r="E1004" s="19" t="s">
        <v>31276</v>
      </c>
      <c r="F1004" s="19" t="s">
        <v>35978</v>
      </c>
      <c r="G1004" s="18" t="str">
        <f>"91790"</f>
        <v>91790</v>
      </c>
      <c r="H1004" s="19" t="s">
        <v>31109</v>
      </c>
      <c r="I1004" s="20">
        <v>17.611000000000001</v>
      </c>
      <c r="J1004" s="44" t="s">
        <v>8</v>
      </c>
      <c r="K1004" s="23" t="s">
        <v>8</v>
      </c>
      <c r="L1004" s="23" t="s">
        <v>8</v>
      </c>
      <c r="M1004" s="23" t="s">
        <v>8</v>
      </c>
    </row>
    <row r="1005" spans="1:13" s="21" customFormat="1" x14ac:dyDescent="0.25">
      <c r="A1005" s="22" t="s">
        <v>8</v>
      </c>
      <c r="B1005" s="18" t="str">
        <f>"055995"</f>
        <v>055995</v>
      </c>
      <c r="C1005" s="19" t="s">
        <v>1009</v>
      </c>
      <c r="D1005" s="19" t="s">
        <v>16439</v>
      </c>
      <c r="E1005" s="19" t="s">
        <v>31111</v>
      </c>
      <c r="F1005" s="19" t="s">
        <v>35978</v>
      </c>
      <c r="G1005" s="18" t="str">
        <f>"90805"</f>
        <v>90805</v>
      </c>
      <c r="H1005" s="19" t="s">
        <v>31109</v>
      </c>
      <c r="I1005" s="20">
        <v>22.024999999999999</v>
      </c>
      <c r="J1005" s="44" t="s">
        <v>8</v>
      </c>
      <c r="K1005" s="23" t="s">
        <v>8</v>
      </c>
      <c r="L1005" s="23" t="s">
        <v>8</v>
      </c>
      <c r="M1005" s="23" t="s">
        <v>8</v>
      </c>
    </row>
    <row r="1006" spans="1:13" s="21" customFormat="1" x14ac:dyDescent="0.25">
      <c r="A1006" s="22" t="s">
        <v>8</v>
      </c>
      <c r="B1006" s="18" t="str">
        <f>"055996"</f>
        <v>055996</v>
      </c>
      <c r="C1006" s="19" t="s">
        <v>1010</v>
      </c>
      <c r="D1006" s="19" t="s">
        <v>16440</v>
      </c>
      <c r="E1006" s="19" t="s">
        <v>31155</v>
      </c>
      <c r="F1006" s="19" t="s">
        <v>35978</v>
      </c>
      <c r="G1006" s="18" t="str">
        <f>"93726"</f>
        <v>93726</v>
      </c>
      <c r="H1006" s="19" t="s">
        <v>31155</v>
      </c>
      <c r="I1006" s="20">
        <v>21.721</v>
      </c>
      <c r="J1006" s="44" t="s">
        <v>8</v>
      </c>
      <c r="K1006" s="23" t="s">
        <v>8</v>
      </c>
      <c r="L1006" s="23" t="s">
        <v>8</v>
      </c>
      <c r="M1006" s="23" t="s">
        <v>8</v>
      </c>
    </row>
    <row r="1007" spans="1:13" s="21" customFormat="1" x14ac:dyDescent="0.25">
      <c r="A1007" s="22" t="s">
        <v>8</v>
      </c>
      <c r="B1007" s="18" t="str">
        <f>"056007"</f>
        <v>056007</v>
      </c>
      <c r="C1007" s="19" t="s">
        <v>1011</v>
      </c>
      <c r="D1007" s="19" t="s">
        <v>16441</v>
      </c>
      <c r="E1007" s="19" t="s">
        <v>31111</v>
      </c>
      <c r="F1007" s="19" t="s">
        <v>35978</v>
      </c>
      <c r="G1007" s="18" t="str">
        <f>"90806"</f>
        <v>90806</v>
      </c>
      <c r="H1007" s="19" t="s">
        <v>31109</v>
      </c>
      <c r="I1007" s="20">
        <v>20.350000000000001</v>
      </c>
      <c r="J1007" s="44" t="s">
        <v>8</v>
      </c>
      <c r="K1007" s="23" t="s">
        <v>8</v>
      </c>
      <c r="L1007" s="23" t="s">
        <v>8</v>
      </c>
      <c r="M1007" s="23" t="s">
        <v>8</v>
      </c>
    </row>
    <row r="1008" spans="1:13" s="21" customFormat="1" x14ac:dyDescent="0.25">
      <c r="A1008" s="22" t="s">
        <v>8</v>
      </c>
      <c r="B1008" s="18" t="str">
        <f>"056008"</f>
        <v>056008</v>
      </c>
      <c r="C1008" s="19" t="s">
        <v>1012</v>
      </c>
      <c r="D1008" s="19" t="s">
        <v>16442</v>
      </c>
      <c r="E1008" s="19" t="s">
        <v>31109</v>
      </c>
      <c r="F1008" s="19" t="s">
        <v>35978</v>
      </c>
      <c r="G1008" s="18" t="str">
        <f>"90036"</f>
        <v>90036</v>
      </c>
      <c r="H1008" s="19" t="s">
        <v>31109</v>
      </c>
      <c r="I1008" s="20">
        <v>19.838999999999999</v>
      </c>
      <c r="J1008" s="44" t="s">
        <v>8</v>
      </c>
      <c r="K1008" s="23" t="s">
        <v>8</v>
      </c>
      <c r="L1008" s="23" t="s">
        <v>8</v>
      </c>
      <c r="M1008" s="23" t="s">
        <v>8</v>
      </c>
    </row>
    <row r="1009" spans="1:13" s="21" customFormat="1" x14ac:dyDescent="0.25">
      <c r="A1009" s="22" t="s">
        <v>8</v>
      </c>
      <c r="B1009" s="18" t="str">
        <f>"056010"</f>
        <v>056010</v>
      </c>
      <c r="C1009" s="19" t="s">
        <v>1013</v>
      </c>
      <c r="D1009" s="19" t="s">
        <v>16443</v>
      </c>
      <c r="E1009" s="19" t="s">
        <v>31277</v>
      </c>
      <c r="F1009" s="19" t="s">
        <v>35978</v>
      </c>
      <c r="G1009" s="18" t="str">
        <f>"90740"</f>
        <v>90740</v>
      </c>
      <c r="H1009" s="19" t="s">
        <v>31169</v>
      </c>
      <c r="I1009" s="20">
        <v>18.782</v>
      </c>
      <c r="J1009" s="44" t="s">
        <v>8</v>
      </c>
      <c r="K1009" s="23" t="s">
        <v>8</v>
      </c>
      <c r="L1009" s="23" t="s">
        <v>8</v>
      </c>
      <c r="M1009" s="23" t="s">
        <v>8</v>
      </c>
    </row>
    <row r="1010" spans="1:13" s="21" customFormat="1" x14ac:dyDescent="0.25">
      <c r="A1010" s="22" t="s">
        <v>8</v>
      </c>
      <c r="B1010" s="18" t="str">
        <f>"056014"</f>
        <v>056014</v>
      </c>
      <c r="C1010" s="19" t="s">
        <v>1014</v>
      </c>
      <c r="D1010" s="19" t="s">
        <v>16444</v>
      </c>
      <c r="E1010" s="19" t="s">
        <v>31221</v>
      </c>
      <c r="F1010" s="19" t="s">
        <v>35978</v>
      </c>
      <c r="G1010" s="18" t="str">
        <f>"90240"</f>
        <v>90240</v>
      </c>
      <c r="H1010" s="19" t="s">
        <v>31109</v>
      </c>
      <c r="I1010" s="20">
        <v>20.413</v>
      </c>
      <c r="J1010" s="44" t="s">
        <v>8</v>
      </c>
      <c r="K1010" s="23" t="s">
        <v>8</v>
      </c>
      <c r="L1010" s="23" t="s">
        <v>8</v>
      </c>
      <c r="M1010" s="23" t="s">
        <v>8</v>
      </c>
    </row>
    <row r="1011" spans="1:13" s="21" customFormat="1" x14ac:dyDescent="0.25">
      <c r="A1011" s="22" t="s">
        <v>8</v>
      </c>
      <c r="B1011" s="18" t="str">
        <f>"056017"</f>
        <v>056017</v>
      </c>
      <c r="C1011" s="19" t="s">
        <v>1015</v>
      </c>
      <c r="D1011" s="19" t="s">
        <v>16445</v>
      </c>
      <c r="E1011" s="19" t="s">
        <v>31278</v>
      </c>
      <c r="F1011" s="19" t="s">
        <v>35978</v>
      </c>
      <c r="G1011" s="18" t="str">
        <f>"92037"</f>
        <v>92037</v>
      </c>
      <c r="H1011" s="19" t="s">
        <v>31176</v>
      </c>
      <c r="I1011" s="20">
        <v>16.702000000000002</v>
      </c>
      <c r="J1011" s="44" t="s">
        <v>8</v>
      </c>
      <c r="K1011" s="23" t="s">
        <v>8</v>
      </c>
      <c r="L1011" s="23" t="s">
        <v>8</v>
      </c>
      <c r="M1011" s="23" t="s">
        <v>8</v>
      </c>
    </row>
    <row r="1012" spans="1:13" s="21" customFormat="1" x14ac:dyDescent="0.25">
      <c r="A1012" s="22" t="s">
        <v>8</v>
      </c>
      <c r="B1012" s="18" t="str">
        <f>"056019"</f>
        <v>056019</v>
      </c>
      <c r="C1012" s="19" t="s">
        <v>1016</v>
      </c>
      <c r="D1012" s="19" t="s">
        <v>16446</v>
      </c>
      <c r="E1012" s="19" t="s">
        <v>31121</v>
      </c>
      <c r="F1012" s="19" t="s">
        <v>35978</v>
      </c>
      <c r="G1012" s="18" t="str">
        <f>"90247"</f>
        <v>90247</v>
      </c>
      <c r="H1012" s="19" t="s">
        <v>31109</v>
      </c>
      <c r="I1012" s="20">
        <v>22.045999999999999</v>
      </c>
      <c r="J1012" s="44" t="s">
        <v>8</v>
      </c>
      <c r="K1012" s="23" t="s">
        <v>8</v>
      </c>
      <c r="L1012" s="23" t="s">
        <v>8</v>
      </c>
      <c r="M1012" s="23" t="s">
        <v>8</v>
      </c>
    </row>
    <row r="1013" spans="1:13" s="21" customFormat="1" x14ac:dyDescent="0.25">
      <c r="A1013" s="22" t="s">
        <v>8</v>
      </c>
      <c r="B1013" s="18" t="str">
        <f>"056021"</f>
        <v>056021</v>
      </c>
      <c r="C1013" s="19" t="s">
        <v>1017</v>
      </c>
      <c r="D1013" s="19" t="s">
        <v>16447</v>
      </c>
      <c r="E1013" s="19" t="s">
        <v>31279</v>
      </c>
      <c r="F1013" s="19" t="s">
        <v>35978</v>
      </c>
      <c r="G1013" s="18" t="str">
        <f>"94509"</f>
        <v>94509</v>
      </c>
      <c r="H1013" s="19" t="s">
        <v>36088</v>
      </c>
      <c r="I1013" s="20">
        <v>19.12</v>
      </c>
      <c r="J1013" s="44" t="s">
        <v>8</v>
      </c>
      <c r="K1013" s="23" t="s">
        <v>8</v>
      </c>
      <c r="L1013" s="23" t="s">
        <v>8</v>
      </c>
      <c r="M1013" s="23" t="s">
        <v>8</v>
      </c>
    </row>
    <row r="1014" spans="1:13" s="21" customFormat="1" x14ac:dyDescent="0.25">
      <c r="A1014" s="22" t="s">
        <v>8</v>
      </c>
      <c r="B1014" s="18" t="str">
        <f>"056023"</f>
        <v>056023</v>
      </c>
      <c r="C1014" s="19" t="s">
        <v>1018</v>
      </c>
      <c r="D1014" s="19" t="s">
        <v>16448</v>
      </c>
      <c r="E1014" s="19" t="s">
        <v>31109</v>
      </c>
      <c r="F1014" s="19" t="s">
        <v>35978</v>
      </c>
      <c r="G1014" s="18" t="str">
        <f>"90061"</f>
        <v>90061</v>
      </c>
      <c r="H1014" s="19" t="s">
        <v>31109</v>
      </c>
      <c r="I1014" s="20">
        <v>19.803000000000001</v>
      </c>
      <c r="J1014" s="44" t="s">
        <v>8</v>
      </c>
      <c r="K1014" s="23" t="s">
        <v>8</v>
      </c>
      <c r="L1014" s="23" t="s">
        <v>8</v>
      </c>
      <c r="M1014" s="23" t="s">
        <v>8</v>
      </c>
    </row>
    <row r="1015" spans="1:13" s="21" customFormat="1" x14ac:dyDescent="0.25">
      <c r="A1015" s="22" t="s">
        <v>8</v>
      </c>
      <c r="B1015" s="18" t="str">
        <f>"056024"</f>
        <v>056024</v>
      </c>
      <c r="C1015" s="19" t="s">
        <v>1019</v>
      </c>
      <c r="D1015" s="19" t="s">
        <v>16449</v>
      </c>
      <c r="E1015" s="19" t="s">
        <v>31280</v>
      </c>
      <c r="F1015" s="19" t="s">
        <v>35978</v>
      </c>
      <c r="G1015" s="18" t="str">
        <f>"92346"</f>
        <v>92346</v>
      </c>
      <c r="H1015" s="19" t="s">
        <v>31227</v>
      </c>
      <c r="I1015" s="20">
        <v>17.933</v>
      </c>
      <c r="J1015" s="44" t="s">
        <v>8</v>
      </c>
      <c r="K1015" s="23" t="s">
        <v>8</v>
      </c>
      <c r="L1015" s="23" t="s">
        <v>8</v>
      </c>
      <c r="M1015" s="23" t="s">
        <v>8</v>
      </c>
    </row>
    <row r="1016" spans="1:13" s="21" customFormat="1" x14ac:dyDescent="0.25">
      <c r="A1016" s="22" t="s">
        <v>8</v>
      </c>
      <c r="B1016" s="18" t="str">
        <f>"056026"</f>
        <v>056026</v>
      </c>
      <c r="C1016" s="19" t="s">
        <v>1020</v>
      </c>
      <c r="D1016" s="19" t="s">
        <v>16450</v>
      </c>
      <c r="E1016" s="19" t="s">
        <v>31188</v>
      </c>
      <c r="F1016" s="19" t="s">
        <v>35978</v>
      </c>
      <c r="G1016" s="18" t="str">
        <f>"95128"</f>
        <v>95128</v>
      </c>
      <c r="H1016" s="19" t="s">
        <v>31241</v>
      </c>
      <c r="I1016" s="20">
        <v>18.498000000000001</v>
      </c>
      <c r="J1016" s="44" t="s">
        <v>8</v>
      </c>
      <c r="K1016" s="23" t="s">
        <v>8</v>
      </c>
      <c r="L1016" s="23" t="s">
        <v>8</v>
      </c>
      <c r="M1016" s="23" t="s">
        <v>8</v>
      </c>
    </row>
    <row r="1017" spans="1:13" s="21" customFormat="1" x14ac:dyDescent="0.25">
      <c r="A1017" s="22" t="s">
        <v>8</v>
      </c>
      <c r="B1017" s="18" t="str">
        <f>"056031"</f>
        <v>056031</v>
      </c>
      <c r="C1017" s="19" t="s">
        <v>1021</v>
      </c>
      <c r="D1017" s="19" t="s">
        <v>16451</v>
      </c>
      <c r="E1017" s="19" t="s">
        <v>31261</v>
      </c>
      <c r="F1017" s="19" t="s">
        <v>35978</v>
      </c>
      <c r="G1017" s="18" t="str">
        <f>"91040"</f>
        <v>91040</v>
      </c>
      <c r="H1017" s="19" t="s">
        <v>31109</v>
      </c>
      <c r="I1017" s="20">
        <v>21.815000000000001</v>
      </c>
      <c r="J1017" s="44" t="s">
        <v>8</v>
      </c>
      <c r="K1017" s="23" t="s">
        <v>8</v>
      </c>
      <c r="L1017" s="23" t="s">
        <v>8</v>
      </c>
      <c r="M1017" s="23" t="s">
        <v>8</v>
      </c>
    </row>
    <row r="1018" spans="1:13" s="21" customFormat="1" x14ac:dyDescent="0.25">
      <c r="A1018" s="22" t="s">
        <v>8</v>
      </c>
      <c r="B1018" s="18" t="str">
        <f>"056035"</f>
        <v>056035</v>
      </c>
      <c r="C1018" s="19" t="s">
        <v>1022</v>
      </c>
      <c r="D1018" s="19" t="s">
        <v>16452</v>
      </c>
      <c r="E1018" s="19" t="s">
        <v>31281</v>
      </c>
      <c r="F1018" s="19" t="s">
        <v>35978</v>
      </c>
      <c r="G1018" s="18" t="str">
        <f>"93263"</f>
        <v>93263</v>
      </c>
      <c r="H1018" s="19" t="s">
        <v>36098</v>
      </c>
      <c r="I1018" s="20">
        <v>18.922000000000001</v>
      </c>
      <c r="J1018" s="44" t="s">
        <v>8</v>
      </c>
      <c r="K1018" s="23" t="s">
        <v>8</v>
      </c>
      <c r="L1018" s="23" t="s">
        <v>8</v>
      </c>
      <c r="M1018" s="23" t="s">
        <v>8</v>
      </c>
    </row>
    <row r="1019" spans="1:13" s="21" customFormat="1" x14ac:dyDescent="0.25">
      <c r="A1019" s="22" t="s">
        <v>8</v>
      </c>
      <c r="B1019" s="18" t="str">
        <f>"056037"</f>
        <v>056037</v>
      </c>
      <c r="C1019" s="19" t="s">
        <v>1023</v>
      </c>
      <c r="D1019" s="19" t="s">
        <v>16453</v>
      </c>
      <c r="E1019" s="19" t="s">
        <v>31282</v>
      </c>
      <c r="F1019" s="19" t="s">
        <v>35978</v>
      </c>
      <c r="G1019" s="18" t="str">
        <f>"95037"</f>
        <v>95037</v>
      </c>
      <c r="H1019" s="19" t="s">
        <v>31241</v>
      </c>
      <c r="I1019" s="20">
        <v>19.001999999999999</v>
      </c>
      <c r="J1019" s="44" t="s">
        <v>8</v>
      </c>
      <c r="K1019" s="23" t="s">
        <v>8</v>
      </c>
      <c r="L1019" s="23" t="s">
        <v>8</v>
      </c>
      <c r="M1019" s="23" t="s">
        <v>8</v>
      </c>
    </row>
    <row r="1020" spans="1:13" s="21" customFormat="1" x14ac:dyDescent="0.25">
      <c r="A1020" s="22" t="s">
        <v>8</v>
      </c>
      <c r="B1020" s="18" t="str">
        <f>"056039"</f>
        <v>056039</v>
      </c>
      <c r="C1020" s="19" t="s">
        <v>1024</v>
      </c>
      <c r="D1020" s="19" t="s">
        <v>16454</v>
      </c>
      <c r="E1020" s="19" t="s">
        <v>31184</v>
      </c>
      <c r="F1020" s="19" t="s">
        <v>35978</v>
      </c>
      <c r="G1020" s="18" t="str">
        <f>"93534"</f>
        <v>93534</v>
      </c>
      <c r="H1020" s="19" t="s">
        <v>31109</v>
      </c>
      <c r="I1020" s="20">
        <v>19.206</v>
      </c>
      <c r="J1020" s="44" t="s">
        <v>8</v>
      </c>
      <c r="K1020" s="23" t="s">
        <v>8</v>
      </c>
      <c r="L1020" s="23" t="s">
        <v>8</v>
      </c>
      <c r="M1020" s="23" t="s">
        <v>8</v>
      </c>
    </row>
    <row r="1021" spans="1:13" s="21" customFormat="1" x14ac:dyDescent="0.25">
      <c r="A1021" s="22" t="s">
        <v>8</v>
      </c>
      <c r="B1021" s="18" t="str">
        <f>"056040"</f>
        <v>056040</v>
      </c>
      <c r="C1021" s="19" t="s">
        <v>1025</v>
      </c>
      <c r="D1021" s="19" t="s">
        <v>16455</v>
      </c>
      <c r="E1021" s="19" t="s">
        <v>31119</v>
      </c>
      <c r="F1021" s="19" t="s">
        <v>35978</v>
      </c>
      <c r="G1021" s="18" t="str">
        <f>"92025"</f>
        <v>92025</v>
      </c>
      <c r="H1021" s="19" t="s">
        <v>31176</v>
      </c>
      <c r="I1021" s="20">
        <v>18.771000000000001</v>
      </c>
      <c r="J1021" s="44" t="s">
        <v>8</v>
      </c>
      <c r="K1021" s="23" t="s">
        <v>8</v>
      </c>
      <c r="L1021" s="23" t="s">
        <v>8</v>
      </c>
      <c r="M1021" s="23" t="s">
        <v>8</v>
      </c>
    </row>
    <row r="1022" spans="1:13" s="21" customFormat="1" x14ac:dyDescent="0.25">
      <c r="A1022" s="22" t="s">
        <v>8</v>
      </c>
      <c r="B1022" s="18" t="str">
        <f>"056042"</f>
        <v>056042</v>
      </c>
      <c r="C1022" s="19" t="s">
        <v>1026</v>
      </c>
      <c r="D1022" s="19" t="s">
        <v>16456</v>
      </c>
      <c r="E1022" s="19" t="s">
        <v>31111</v>
      </c>
      <c r="F1022" s="19" t="s">
        <v>35978</v>
      </c>
      <c r="G1022" s="18" t="str">
        <f>"90805"</f>
        <v>90805</v>
      </c>
      <c r="H1022" s="19" t="s">
        <v>31109</v>
      </c>
      <c r="I1022" s="20">
        <v>19.518000000000001</v>
      </c>
      <c r="J1022" s="44" t="s">
        <v>8</v>
      </c>
      <c r="K1022" s="23" t="s">
        <v>8</v>
      </c>
      <c r="L1022" s="23" t="s">
        <v>8</v>
      </c>
      <c r="M1022" s="23" t="s">
        <v>8</v>
      </c>
    </row>
    <row r="1023" spans="1:13" s="21" customFormat="1" x14ac:dyDescent="0.25">
      <c r="A1023" s="22" t="s">
        <v>8</v>
      </c>
      <c r="B1023" s="18" t="str">
        <f>"056043"</f>
        <v>056043</v>
      </c>
      <c r="C1023" s="19" t="s">
        <v>1027</v>
      </c>
      <c r="D1023" s="19" t="s">
        <v>16457</v>
      </c>
      <c r="E1023" s="19" t="s">
        <v>31111</v>
      </c>
      <c r="F1023" s="19" t="s">
        <v>35978</v>
      </c>
      <c r="G1023" s="18" t="str">
        <f>"90802"</f>
        <v>90802</v>
      </c>
      <c r="H1023" s="19" t="s">
        <v>31109</v>
      </c>
      <c r="I1023" s="20">
        <v>16.725999999999999</v>
      </c>
      <c r="J1023" s="44" t="s">
        <v>8</v>
      </c>
      <c r="K1023" s="23" t="s">
        <v>8</v>
      </c>
      <c r="L1023" s="23" t="s">
        <v>8</v>
      </c>
      <c r="M1023" s="23" t="s">
        <v>8</v>
      </c>
    </row>
    <row r="1024" spans="1:13" s="21" customFormat="1" x14ac:dyDescent="0.25">
      <c r="A1024" s="22" t="s">
        <v>8</v>
      </c>
      <c r="B1024" s="18" t="str">
        <f>"056048"</f>
        <v>056048</v>
      </c>
      <c r="C1024" s="19" t="s">
        <v>1028</v>
      </c>
      <c r="D1024" s="19" t="s">
        <v>16458</v>
      </c>
      <c r="E1024" s="19" t="s">
        <v>31283</v>
      </c>
      <c r="F1024" s="19" t="s">
        <v>35978</v>
      </c>
      <c r="G1024" s="18" t="str">
        <f>"95010"</f>
        <v>95010</v>
      </c>
      <c r="H1024" s="19" t="s">
        <v>31105</v>
      </c>
      <c r="I1024" s="20">
        <v>17.414999999999999</v>
      </c>
      <c r="J1024" s="44" t="s">
        <v>8</v>
      </c>
      <c r="K1024" s="23" t="s">
        <v>8</v>
      </c>
      <c r="L1024" s="23" t="s">
        <v>8</v>
      </c>
      <c r="M1024" s="23" t="s">
        <v>8</v>
      </c>
    </row>
    <row r="1025" spans="1:13" s="21" customFormat="1" x14ac:dyDescent="0.25">
      <c r="A1025" s="22" t="s">
        <v>8</v>
      </c>
      <c r="B1025" s="18" t="str">
        <f>"056052"</f>
        <v>056052</v>
      </c>
      <c r="C1025" s="19" t="s">
        <v>898</v>
      </c>
      <c r="D1025" s="19" t="s">
        <v>16459</v>
      </c>
      <c r="E1025" s="19" t="s">
        <v>31190</v>
      </c>
      <c r="F1025" s="19" t="s">
        <v>35978</v>
      </c>
      <c r="G1025" s="18" t="str">
        <f>"94544"</f>
        <v>94544</v>
      </c>
      <c r="H1025" s="19" t="s">
        <v>31290</v>
      </c>
      <c r="I1025" s="20">
        <v>20.896999999999998</v>
      </c>
      <c r="J1025" s="44" t="s">
        <v>8</v>
      </c>
      <c r="K1025" s="23" t="s">
        <v>8</v>
      </c>
      <c r="L1025" s="23" t="s">
        <v>8</v>
      </c>
      <c r="M1025" s="23" t="s">
        <v>8</v>
      </c>
    </row>
    <row r="1026" spans="1:13" s="21" customFormat="1" x14ac:dyDescent="0.25">
      <c r="A1026" s="22" t="s">
        <v>8</v>
      </c>
      <c r="B1026" s="18" t="str">
        <f>"056053"</f>
        <v>056053</v>
      </c>
      <c r="C1026" s="19" t="s">
        <v>1029</v>
      </c>
      <c r="D1026" s="19" t="s">
        <v>16460</v>
      </c>
      <c r="E1026" s="19" t="s">
        <v>31227</v>
      </c>
      <c r="F1026" s="19" t="s">
        <v>35978</v>
      </c>
      <c r="G1026" s="18" t="str">
        <f>"92404"</f>
        <v>92404</v>
      </c>
      <c r="H1026" s="19" t="s">
        <v>31227</v>
      </c>
      <c r="I1026" s="20">
        <v>17.349</v>
      </c>
      <c r="J1026" s="44" t="s">
        <v>8</v>
      </c>
      <c r="K1026" s="23" t="s">
        <v>8</v>
      </c>
      <c r="L1026" s="23" t="s">
        <v>8</v>
      </c>
      <c r="M1026" s="23" t="s">
        <v>8</v>
      </c>
    </row>
    <row r="1027" spans="1:13" s="21" customFormat="1" x14ac:dyDescent="0.25">
      <c r="A1027" s="22" t="s">
        <v>8</v>
      </c>
      <c r="B1027" s="18" t="str">
        <f>"056055"</f>
        <v>056055</v>
      </c>
      <c r="C1027" s="19" t="s">
        <v>1030</v>
      </c>
      <c r="D1027" s="19" t="s">
        <v>16461</v>
      </c>
      <c r="E1027" s="19" t="s">
        <v>31274</v>
      </c>
      <c r="F1027" s="19" t="s">
        <v>35978</v>
      </c>
      <c r="G1027" s="18" t="str">
        <f>"93940"</f>
        <v>93940</v>
      </c>
      <c r="H1027" s="19" t="s">
        <v>31274</v>
      </c>
      <c r="I1027" s="20">
        <v>17.835999999999999</v>
      </c>
      <c r="J1027" s="44" t="s">
        <v>8</v>
      </c>
      <c r="K1027" s="23" t="s">
        <v>8</v>
      </c>
      <c r="L1027" s="23" t="s">
        <v>8</v>
      </c>
      <c r="M1027" s="23" t="s">
        <v>8</v>
      </c>
    </row>
    <row r="1028" spans="1:13" s="21" customFormat="1" x14ac:dyDescent="0.25">
      <c r="A1028" s="22" t="s">
        <v>8</v>
      </c>
      <c r="B1028" s="18" t="str">
        <f>"056056"</f>
        <v>056056</v>
      </c>
      <c r="C1028" s="19" t="s">
        <v>1031</v>
      </c>
      <c r="D1028" s="19" t="s">
        <v>16462</v>
      </c>
      <c r="E1028" s="19" t="s">
        <v>31109</v>
      </c>
      <c r="F1028" s="19" t="s">
        <v>35978</v>
      </c>
      <c r="G1028" s="18" t="str">
        <f>"90027"</f>
        <v>90027</v>
      </c>
      <c r="H1028" s="19" t="s">
        <v>31109</v>
      </c>
      <c r="I1028" s="20">
        <v>18.111999999999998</v>
      </c>
      <c r="J1028" s="44" t="s">
        <v>8</v>
      </c>
      <c r="K1028" s="23" t="s">
        <v>8</v>
      </c>
      <c r="L1028" s="23" t="s">
        <v>8</v>
      </c>
      <c r="M1028" s="23" t="s">
        <v>8</v>
      </c>
    </row>
    <row r="1029" spans="1:13" s="21" customFormat="1" x14ac:dyDescent="0.25">
      <c r="A1029" s="22" t="s">
        <v>8</v>
      </c>
      <c r="B1029" s="18" t="str">
        <f>"056058"</f>
        <v>056058</v>
      </c>
      <c r="C1029" s="19" t="s">
        <v>1032</v>
      </c>
      <c r="D1029" s="19" t="s">
        <v>16463</v>
      </c>
      <c r="E1029" s="19" t="s">
        <v>31188</v>
      </c>
      <c r="F1029" s="19" t="s">
        <v>35978</v>
      </c>
      <c r="G1029" s="18" t="str">
        <f>"95124"</f>
        <v>95124</v>
      </c>
      <c r="H1029" s="19" t="s">
        <v>31241</v>
      </c>
      <c r="I1029" s="20">
        <v>21.712</v>
      </c>
      <c r="J1029" s="44" t="s">
        <v>8</v>
      </c>
      <c r="K1029" s="23" t="s">
        <v>8</v>
      </c>
      <c r="L1029" s="23" t="s">
        <v>8</v>
      </c>
      <c r="M1029" s="23" t="s">
        <v>8</v>
      </c>
    </row>
    <row r="1030" spans="1:13" s="21" customFormat="1" x14ac:dyDescent="0.25">
      <c r="A1030" s="22" t="s">
        <v>8</v>
      </c>
      <c r="B1030" s="18" t="str">
        <f>"056062"</f>
        <v>056062</v>
      </c>
      <c r="C1030" s="19" t="s">
        <v>1033</v>
      </c>
      <c r="D1030" s="19" t="s">
        <v>16464</v>
      </c>
      <c r="E1030" s="19" t="s">
        <v>31247</v>
      </c>
      <c r="F1030" s="19" t="s">
        <v>35978</v>
      </c>
      <c r="G1030" s="18" t="str">
        <f>"91977"</f>
        <v>91977</v>
      </c>
      <c r="H1030" s="19" t="s">
        <v>31176</v>
      </c>
      <c r="I1030" s="20">
        <v>19.724</v>
      </c>
      <c r="J1030" s="44" t="s">
        <v>8</v>
      </c>
      <c r="K1030" s="23" t="s">
        <v>8</v>
      </c>
      <c r="L1030" s="23" t="s">
        <v>8</v>
      </c>
      <c r="M1030" s="23" t="s">
        <v>8</v>
      </c>
    </row>
    <row r="1031" spans="1:13" s="21" customFormat="1" x14ac:dyDescent="0.25">
      <c r="A1031" s="22" t="s">
        <v>8</v>
      </c>
      <c r="B1031" s="18" t="str">
        <f>"056063"</f>
        <v>056063</v>
      </c>
      <c r="C1031" s="19" t="s">
        <v>1034</v>
      </c>
      <c r="D1031" s="19" t="s">
        <v>16465</v>
      </c>
      <c r="E1031" s="19" t="s">
        <v>31109</v>
      </c>
      <c r="F1031" s="19" t="s">
        <v>35978</v>
      </c>
      <c r="G1031" s="18" t="str">
        <f>"90033"</f>
        <v>90033</v>
      </c>
      <c r="H1031" s="19" t="s">
        <v>31109</v>
      </c>
      <c r="I1031" s="20">
        <v>19.091999999999999</v>
      </c>
      <c r="J1031" s="44" t="s">
        <v>8</v>
      </c>
      <c r="K1031" s="23" t="s">
        <v>8</v>
      </c>
      <c r="L1031" s="23" t="s">
        <v>8</v>
      </c>
      <c r="M1031" s="23" t="s">
        <v>8</v>
      </c>
    </row>
    <row r="1032" spans="1:13" s="21" customFormat="1" x14ac:dyDescent="0.25">
      <c r="A1032" s="22" t="s">
        <v>8</v>
      </c>
      <c r="B1032" s="18" t="str">
        <f>"056065"</f>
        <v>056065</v>
      </c>
      <c r="C1032" s="19" t="s">
        <v>1035</v>
      </c>
      <c r="D1032" s="19" t="s">
        <v>16466</v>
      </c>
      <c r="E1032" s="19" t="s">
        <v>31105</v>
      </c>
      <c r="F1032" s="19" t="s">
        <v>35978</v>
      </c>
      <c r="G1032" s="18" t="str">
        <f>"95062"</f>
        <v>95062</v>
      </c>
      <c r="H1032" s="19" t="s">
        <v>31105</v>
      </c>
      <c r="I1032" s="20">
        <v>17.308</v>
      </c>
      <c r="J1032" s="44" t="s">
        <v>8</v>
      </c>
      <c r="K1032" s="23" t="s">
        <v>8</v>
      </c>
      <c r="L1032" s="23" t="s">
        <v>8</v>
      </c>
      <c r="M1032" s="23" t="s">
        <v>8</v>
      </c>
    </row>
    <row r="1033" spans="1:13" s="21" customFormat="1" x14ac:dyDescent="0.25">
      <c r="A1033" s="22" t="s">
        <v>8</v>
      </c>
      <c r="B1033" s="18" t="str">
        <f>"056066"</f>
        <v>056066</v>
      </c>
      <c r="C1033" s="19" t="s">
        <v>1036</v>
      </c>
      <c r="D1033" s="19" t="s">
        <v>16467</v>
      </c>
      <c r="E1033" s="19" t="s">
        <v>31102</v>
      </c>
      <c r="F1033" s="19" t="s">
        <v>35978</v>
      </c>
      <c r="G1033" s="18" t="str">
        <f>"91335"</f>
        <v>91335</v>
      </c>
      <c r="H1033" s="19" t="s">
        <v>31109</v>
      </c>
      <c r="I1033" s="20">
        <v>20.353000000000002</v>
      </c>
      <c r="J1033" s="44" t="s">
        <v>8</v>
      </c>
      <c r="K1033" s="23" t="s">
        <v>8</v>
      </c>
      <c r="L1033" s="23" t="s">
        <v>8</v>
      </c>
      <c r="M1033" s="23" t="s">
        <v>8</v>
      </c>
    </row>
    <row r="1034" spans="1:13" s="21" customFormat="1" x14ac:dyDescent="0.25">
      <c r="A1034" s="22" t="s">
        <v>8</v>
      </c>
      <c r="B1034" s="18" t="str">
        <f>"056069"</f>
        <v>056069</v>
      </c>
      <c r="C1034" s="19" t="s">
        <v>1037</v>
      </c>
      <c r="D1034" s="19" t="s">
        <v>16468</v>
      </c>
      <c r="E1034" s="19" t="s">
        <v>31241</v>
      </c>
      <c r="F1034" s="19" t="s">
        <v>35978</v>
      </c>
      <c r="G1034" s="18" t="str">
        <f>"95054"</f>
        <v>95054</v>
      </c>
      <c r="H1034" s="19" t="s">
        <v>31241</v>
      </c>
      <c r="I1034" s="20">
        <v>18.390999999999998</v>
      </c>
      <c r="J1034" s="44" t="s">
        <v>8</v>
      </c>
      <c r="K1034" s="23" t="s">
        <v>8</v>
      </c>
      <c r="L1034" s="23" t="s">
        <v>8</v>
      </c>
      <c r="M1034" s="23" t="s">
        <v>8</v>
      </c>
    </row>
    <row r="1035" spans="1:13" s="21" customFormat="1" x14ac:dyDescent="0.25">
      <c r="A1035" s="22" t="s">
        <v>8</v>
      </c>
      <c r="B1035" s="18" t="str">
        <f>"056071"</f>
        <v>056071</v>
      </c>
      <c r="C1035" s="19" t="s">
        <v>1038</v>
      </c>
      <c r="D1035" s="19" t="s">
        <v>16469</v>
      </c>
      <c r="E1035" s="19" t="s">
        <v>31146</v>
      </c>
      <c r="F1035" s="19" t="s">
        <v>35978</v>
      </c>
      <c r="G1035" s="18" t="str">
        <f>"94109"</f>
        <v>94109</v>
      </c>
      <c r="H1035" s="19" t="s">
        <v>31146</v>
      </c>
      <c r="I1035" s="20">
        <v>18.042000000000002</v>
      </c>
      <c r="J1035" s="44" t="s">
        <v>8</v>
      </c>
      <c r="K1035" s="23" t="s">
        <v>8</v>
      </c>
      <c r="L1035" s="23" t="s">
        <v>8</v>
      </c>
      <c r="M1035" s="23" t="s">
        <v>8</v>
      </c>
    </row>
    <row r="1036" spans="1:13" s="21" customFormat="1" x14ac:dyDescent="0.25">
      <c r="A1036" s="22" t="s">
        <v>8</v>
      </c>
      <c r="B1036" s="18" t="str">
        <f>"056072"</f>
        <v>056072</v>
      </c>
      <c r="C1036" s="19" t="s">
        <v>1039</v>
      </c>
      <c r="D1036" s="19" t="s">
        <v>16470</v>
      </c>
      <c r="E1036" s="19" t="s">
        <v>31284</v>
      </c>
      <c r="F1036" s="19" t="s">
        <v>35978</v>
      </c>
      <c r="G1036" s="18" t="str">
        <f>"94952"</f>
        <v>94952</v>
      </c>
      <c r="H1036" s="19" t="s">
        <v>31174</v>
      </c>
      <c r="I1036" s="20">
        <v>15.853</v>
      </c>
      <c r="J1036" s="44" t="s">
        <v>8</v>
      </c>
      <c r="K1036" s="23" t="s">
        <v>8</v>
      </c>
      <c r="L1036" s="23" t="s">
        <v>8</v>
      </c>
      <c r="M1036" s="23" t="s">
        <v>8</v>
      </c>
    </row>
    <row r="1037" spans="1:13" s="21" customFormat="1" x14ac:dyDescent="0.25">
      <c r="A1037" s="22" t="s">
        <v>8</v>
      </c>
      <c r="B1037" s="18" t="str">
        <f>"056073"</f>
        <v>056073</v>
      </c>
      <c r="C1037" s="19" t="s">
        <v>1040</v>
      </c>
      <c r="D1037" s="19" t="s">
        <v>16471</v>
      </c>
      <c r="E1037" s="19" t="s">
        <v>31180</v>
      </c>
      <c r="F1037" s="19" t="s">
        <v>35978</v>
      </c>
      <c r="G1037" s="18" t="str">
        <f>"95841"</f>
        <v>95841</v>
      </c>
      <c r="H1037" s="19" t="s">
        <v>31180</v>
      </c>
      <c r="I1037" s="20">
        <v>21.492999999999999</v>
      </c>
      <c r="J1037" s="44" t="s">
        <v>8</v>
      </c>
      <c r="K1037" s="23" t="s">
        <v>8</v>
      </c>
      <c r="L1037" s="23" t="s">
        <v>8</v>
      </c>
      <c r="M1037" s="23" t="s">
        <v>8</v>
      </c>
    </row>
    <row r="1038" spans="1:13" s="21" customFormat="1" x14ac:dyDescent="0.25">
      <c r="A1038" s="22" t="s">
        <v>8</v>
      </c>
      <c r="B1038" s="18" t="str">
        <f>"056074"</f>
        <v>056074</v>
      </c>
      <c r="C1038" s="19" t="s">
        <v>1041</v>
      </c>
      <c r="D1038" s="19" t="s">
        <v>16472</v>
      </c>
      <c r="E1038" s="19" t="s">
        <v>31219</v>
      </c>
      <c r="F1038" s="19" t="s">
        <v>35978</v>
      </c>
      <c r="G1038" s="18" t="str">
        <f>"95926"</f>
        <v>95926</v>
      </c>
      <c r="H1038" s="19" t="s">
        <v>33744</v>
      </c>
      <c r="I1038" s="20">
        <v>19.516999999999999</v>
      </c>
      <c r="J1038" s="44" t="s">
        <v>8</v>
      </c>
      <c r="K1038" s="23" t="s">
        <v>8</v>
      </c>
      <c r="L1038" s="23" t="s">
        <v>8</v>
      </c>
      <c r="M1038" s="23" t="s">
        <v>8</v>
      </c>
    </row>
    <row r="1039" spans="1:13" s="21" customFormat="1" x14ac:dyDescent="0.25">
      <c r="A1039" s="22" t="s">
        <v>8</v>
      </c>
      <c r="B1039" s="18" t="str">
        <f>"056076"</f>
        <v>056076</v>
      </c>
      <c r="C1039" s="19" t="s">
        <v>1042</v>
      </c>
      <c r="D1039" s="19" t="s">
        <v>16473</v>
      </c>
      <c r="E1039" s="19" t="s">
        <v>31207</v>
      </c>
      <c r="F1039" s="19" t="s">
        <v>35978</v>
      </c>
      <c r="G1039" s="18" t="str">
        <f>"92804"</f>
        <v>92804</v>
      </c>
      <c r="H1039" s="19" t="s">
        <v>31169</v>
      </c>
      <c r="I1039" s="20">
        <v>22.138999999999999</v>
      </c>
      <c r="J1039" s="44" t="s">
        <v>8</v>
      </c>
      <c r="K1039" s="23" t="s">
        <v>8</v>
      </c>
      <c r="L1039" s="23" t="s">
        <v>8</v>
      </c>
      <c r="M1039" s="23" t="s">
        <v>8</v>
      </c>
    </row>
    <row r="1040" spans="1:13" s="21" customFormat="1" x14ac:dyDescent="0.25">
      <c r="A1040" s="22" t="s">
        <v>8</v>
      </c>
      <c r="B1040" s="18" t="str">
        <f>"056077"</f>
        <v>056077</v>
      </c>
      <c r="C1040" s="19" t="s">
        <v>1043</v>
      </c>
      <c r="D1040" s="19" t="s">
        <v>16474</v>
      </c>
      <c r="E1040" s="19" t="s">
        <v>31129</v>
      </c>
      <c r="F1040" s="19" t="s">
        <v>35978</v>
      </c>
      <c r="G1040" s="18" t="str">
        <f>"94904"</f>
        <v>94904</v>
      </c>
      <c r="H1040" s="19" t="s">
        <v>36090</v>
      </c>
      <c r="I1040" s="20">
        <v>17.335999999999999</v>
      </c>
      <c r="J1040" s="44" t="s">
        <v>8</v>
      </c>
      <c r="K1040" s="23" t="s">
        <v>8</v>
      </c>
      <c r="L1040" s="23" t="s">
        <v>8</v>
      </c>
      <c r="M1040" s="23" t="s">
        <v>8</v>
      </c>
    </row>
    <row r="1041" spans="1:13" s="21" customFormat="1" x14ac:dyDescent="0.25">
      <c r="A1041" s="22" t="s">
        <v>8</v>
      </c>
      <c r="B1041" s="18" t="str">
        <f>"056078"</f>
        <v>056078</v>
      </c>
      <c r="C1041" s="19" t="s">
        <v>1044</v>
      </c>
      <c r="D1041" s="19" t="s">
        <v>16475</v>
      </c>
      <c r="E1041" s="19" t="s">
        <v>31109</v>
      </c>
      <c r="F1041" s="19" t="s">
        <v>35978</v>
      </c>
      <c r="G1041" s="18" t="str">
        <f>"90057"</f>
        <v>90057</v>
      </c>
      <c r="H1041" s="19" t="s">
        <v>31109</v>
      </c>
      <c r="I1041" s="20">
        <v>17.844999999999999</v>
      </c>
      <c r="J1041" s="44" t="s">
        <v>8</v>
      </c>
      <c r="K1041" s="23" t="s">
        <v>8</v>
      </c>
      <c r="L1041" s="23" t="s">
        <v>8</v>
      </c>
      <c r="M1041" s="23" t="s">
        <v>8</v>
      </c>
    </row>
    <row r="1042" spans="1:13" s="21" customFormat="1" x14ac:dyDescent="0.25">
      <c r="A1042" s="22" t="s">
        <v>8</v>
      </c>
      <c r="B1042" s="18" t="str">
        <f>"056079"</f>
        <v>056079</v>
      </c>
      <c r="C1042" s="19" t="s">
        <v>1045</v>
      </c>
      <c r="D1042" s="19" t="s">
        <v>16476</v>
      </c>
      <c r="E1042" s="19" t="s">
        <v>31285</v>
      </c>
      <c r="F1042" s="19" t="s">
        <v>35978</v>
      </c>
      <c r="G1042" s="18" t="str">
        <f>"91740"</f>
        <v>91740</v>
      </c>
      <c r="H1042" s="19" t="s">
        <v>31109</v>
      </c>
      <c r="I1042" s="20">
        <v>16.792000000000002</v>
      </c>
      <c r="J1042" s="44" t="s">
        <v>8</v>
      </c>
      <c r="K1042" s="23" t="s">
        <v>8</v>
      </c>
      <c r="L1042" s="23" t="s">
        <v>8</v>
      </c>
      <c r="M1042" s="23" t="s">
        <v>8</v>
      </c>
    </row>
    <row r="1043" spans="1:13" s="21" customFormat="1" x14ac:dyDescent="0.25">
      <c r="A1043" s="22" t="s">
        <v>8</v>
      </c>
      <c r="B1043" s="18" t="str">
        <f>"056080"</f>
        <v>056080</v>
      </c>
      <c r="C1043" s="19" t="s">
        <v>1046</v>
      </c>
      <c r="D1043" s="19" t="s">
        <v>16477</v>
      </c>
      <c r="E1043" s="19" t="s">
        <v>31191</v>
      </c>
      <c r="F1043" s="19" t="s">
        <v>35978</v>
      </c>
      <c r="G1043" s="18" t="str">
        <f>"91105"</f>
        <v>91105</v>
      </c>
      <c r="H1043" s="19" t="s">
        <v>31109</v>
      </c>
      <c r="I1043" s="20">
        <v>17.75</v>
      </c>
      <c r="J1043" s="44" t="s">
        <v>8</v>
      </c>
      <c r="K1043" s="23" t="s">
        <v>8</v>
      </c>
      <c r="L1043" s="23" t="s">
        <v>8</v>
      </c>
      <c r="M1043" s="23" t="s">
        <v>8</v>
      </c>
    </row>
    <row r="1044" spans="1:13" s="21" customFormat="1" x14ac:dyDescent="0.25">
      <c r="A1044" s="22" t="s">
        <v>8</v>
      </c>
      <c r="B1044" s="18" t="str">
        <f>"056082"</f>
        <v>056082</v>
      </c>
      <c r="C1044" s="19" t="s">
        <v>1047</v>
      </c>
      <c r="D1044" s="19" t="s">
        <v>16478</v>
      </c>
      <c r="E1044" s="19" t="s">
        <v>31188</v>
      </c>
      <c r="F1044" s="19" t="s">
        <v>35978</v>
      </c>
      <c r="G1044" s="18" t="str">
        <f>"95116"</f>
        <v>95116</v>
      </c>
      <c r="H1044" s="19" t="s">
        <v>31241</v>
      </c>
      <c r="I1044" s="20">
        <v>18.254000000000001</v>
      </c>
      <c r="J1044" s="44" t="s">
        <v>8</v>
      </c>
      <c r="K1044" s="23" t="s">
        <v>8</v>
      </c>
      <c r="L1044" s="23" t="s">
        <v>8</v>
      </c>
      <c r="M1044" s="23" t="s">
        <v>8</v>
      </c>
    </row>
    <row r="1045" spans="1:13" s="21" customFormat="1" x14ac:dyDescent="0.25">
      <c r="A1045" s="22" t="s">
        <v>8</v>
      </c>
      <c r="B1045" s="18" t="str">
        <f>"056083"</f>
        <v>056083</v>
      </c>
      <c r="C1045" s="19" t="s">
        <v>1048</v>
      </c>
      <c r="D1045" s="19" t="s">
        <v>16479</v>
      </c>
      <c r="E1045" s="19" t="s">
        <v>31286</v>
      </c>
      <c r="F1045" s="19" t="s">
        <v>35978</v>
      </c>
      <c r="G1045" s="18" t="str">
        <f>"91750"</f>
        <v>91750</v>
      </c>
      <c r="H1045" s="19" t="s">
        <v>31109</v>
      </c>
      <c r="I1045" s="20">
        <v>17.760000000000002</v>
      </c>
      <c r="J1045" s="44" t="s">
        <v>8</v>
      </c>
      <c r="K1045" s="23" t="s">
        <v>8</v>
      </c>
      <c r="L1045" s="23" t="s">
        <v>8</v>
      </c>
      <c r="M1045" s="23" t="s">
        <v>8</v>
      </c>
    </row>
    <row r="1046" spans="1:13" s="21" customFormat="1" x14ac:dyDescent="0.25">
      <c r="A1046" s="22" t="s">
        <v>8</v>
      </c>
      <c r="B1046" s="18" t="str">
        <f>"056084"</f>
        <v>056084</v>
      </c>
      <c r="C1046" s="19" t="s">
        <v>1049</v>
      </c>
      <c r="D1046" s="19" t="s">
        <v>16480</v>
      </c>
      <c r="E1046" s="19" t="s">
        <v>31287</v>
      </c>
      <c r="F1046" s="19" t="s">
        <v>35978</v>
      </c>
      <c r="G1046" s="18" t="str">
        <f>"91342"</f>
        <v>91342</v>
      </c>
      <c r="H1046" s="19" t="s">
        <v>31109</v>
      </c>
      <c r="I1046" s="20">
        <v>20.413</v>
      </c>
      <c r="J1046" s="44" t="s">
        <v>8</v>
      </c>
      <c r="K1046" s="23" t="s">
        <v>8</v>
      </c>
      <c r="L1046" s="23" t="s">
        <v>8</v>
      </c>
      <c r="M1046" s="23" t="s">
        <v>8</v>
      </c>
    </row>
    <row r="1047" spans="1:13" s="21" customFormat="1" x14ac:dyDescent="0.25">
      <c r="A1047" s="22" t="s">
        <v>8</v>
      </c>
      <c r="B1047" s="18" t="str">
        <f>"056086"</f>
        <v>056086</v>
      </c>
      <c r="C1047" s="19" t="s">
        <v>1050</v>
      </c>
      <c r="D1047" s="19" t="s">
        <v>16481</v>
      </c>
      <c r="E1047" s="19" t="s">
        <v>31103</v>
      </c>
      <c r="F1047" s="19" t="s">
        <v>35978</v>
      </c>
      <c r="G1047" s="18" t="str">
        <f>"94533"</f>
        <v>94533</v>
      </c>
      <c r="H1047" s="19" t="s">
        <v>36086</v>
      </c>
      <c r="I1047" s="20">
        <v>18.547000000000001</v>
      </c>
      <c r="J1047" s="44" t="s">
        <v>8</v>
      </c>
      <c r="K1047" s="23" t="s">
        <v>8</v>
      </c>
      <c r="L1047" s="23" t="s">
        <v>8</v>
      </c>
      <c r="M1047" s="23" t="s">
        <v>8</v>
      </c>
    </row>
    <row r="1048" spans="1:13" s="21" customFormat="1" x14ac:dyDescent="0.25">
      <c r="A1048" s="22" t="s">
        <v>8</v>
      </c>
      <c r="B1048" s="18" t="str">
        <f>"056090"</f>
        <v>056090</v>
      </c>
      <c r="C1048" s="19" t="s">
        <v>1051</v>
      </c>
      <c r="D1048" s="19" t="s">
        <v>16482</v>
      </c>
      <c r="E1048" s="19" t="s">
        <v>31260</v>
      </c>
      <c r="F1048" s="19" t="s">
        <v>35978</v>
      </c>
      <c r="G1048" s="18" t="str">
        <f>"95404"</f>
        <v>95404</v>
      </c>
      <c r="H1048" s="19" t="s">
        <v>31174</v>
      </c>
      <c r="I1048" s="20">
        <v>14.199</v>
      </c>
      <c r="J1048" s="44" t="s">
        <v>8</v>
      </c>
      <c r="K1048" s="23" t="s">
        <v>8</v>
      </c>
      <c r="L1048" s="23" t="s">
        <v>8</v>
      </c>
      <c r="M1048" s="23" t="s">
        <v>8</v>
      </c>
    </row>
    <row r="1049" spans="1:13" s="21" customFormat="1" x14ac:dyDescent="0.25">
      <c r="A1049" s="22" t="s">
        <v>8</v>
      </c>
      <c r="B1049" s="18" t="str">
        <f>"056092"</f>
        <v>056092</v>
      </c>
      <c r="C1049" s="19" t="s">
        <v>1052</v>
      </c>
      <c r="D1049" s="19" t="s">
        <v>16483</v>
      </c>
      <c r="E1049" s="19" t="s">
        <v>31288</v>
      </c>
      <c r="F1049" s="19" t="s">
        <v>35978</v>
      </c>
      <c r="G1049" s="18" t="str">
        <f>"91304"</f>
        <v>91304</v>
      </c>
      <c r="H1049" s="19" t="s">
        <v>31109</v>
      </c>
      <c r="I1049" s="20">
        <v>20.25</v>
      </c>
      <c r="J1049" s="44" t="s">
        <v>8</v>
      </c>
      <c r="K1049" s="23" t="s">
        <v>8</v>
      </c>
      <c r="L1049" s="23" t="s">
        <v>8</v>
      </c>
      <c r="M1049" s="23" t="s">
        <v>8</v>
      </c>
    </row>
    <row r="1050" spans="1:13" s="21" customFormat="1" x14ac:dyDescent="0.25">
      <c r="A1050" s="22" t="s">
        <v>8</v>
      </c>
      <c r="B1050" s="18" t="str">
        <f>"056095"</f>
        <v>056095</v>
      </c>
      <c r="C1050" s="19" t="s">
        <v>1053</v>
      </c>
      <c r="D1050" s="19" t="s">
        <v>16484</v>
      </c>
      <c r="E1050" s="19" t="s">
        <v>31163</v>
      </c>
      <c r="F1050" s="19" t="s">
        <v>35978</v>
      </c>
      <c r="G1050" s="18" t="str">
        <f>"92544"</f>
        <v>92544</v>
      </c>
      <c r="H1050" s="19" t="s">
        <v>31112</v>
      </c>
      <c r="I1050" s="20">
        <v>20.504999999999999</v>
      </c>
      <c r="J1050" s="44" t="s">
        <v>8</v>
      </c>
      <c r="K1050" s="23" t="s">
        <v>8</v>
      </c>
      <c r="L1050" s="23" t="s">
        <v>8</v>
      </c>
      <c r="M1050" s="23" t="s">
        <v>8</v>
      </c>
    </row>
    <row r="1051" spans="1:13" s="21" customFormat="1" x14ac:dyDescent="0.25">
      <c r="A1051" s="22" t="s">
        <v>8</v>
      </c>
      <c r="B1051" s="18" t="str">
        <f>"056096"</f>
        <v>056096</v>
      </c>
      <c r="C1051" s="19" t="s">
        <v>1054</v>
      </c>
      <c r="D1051" s="19" t="s">
        <v>16485</v>
      </c>
      <c r="E1051" s="19" t="s">
        <v>31143</v>
      </c>
      <c r="F1051" s="19" t="s">
        <v>35978</v>
      </c>
      <c r="G1051" s="18" t="str">
        <f>"94611"</f>
        <v>94611</v>
      </c>
      <c r="H1051" s="19" t="s">
        <v>31290</v>
      </c>
      <c r="I1051" s="20">
        <v>18.885999999999999</v>
      </c>
      <c r="J1051" s="44" t="s">
        <v>8</v>
      </c>
      <c r="K1051" s="23" t="s">
        <v>8</v>
      </c>
      <c r="L1051" s="23" t="s">
        <v>8</v>
      </c>
      <c r="M1051" s="23" t="s">
        <v>8</v>
      </c>
    </row>
    <row r="1052" spans="1:13" s="21" customFormat="1" x14ac:dyDescent="0.25">
      <c r="A1052" s="22" t="s">
        <v>8</v>
      </c>
      <c r="B1052" s="18" t="str">
        <f>"056098"</f>
        <v>056098</v>
      </c>
      <c r="C1052" s="19" t="s">
        <v>1055</v>
      </c>
      <c r="D1052" s="19" t="s">
        <v>16486</v>
      </c>
      <c r="E1052" s="19" t="s">
        <v>31202</v>
      </c>
      <c r="F1052" s="19" t="s">
        <v>35978</v>
      </c>
      <c r="G1052" s="18" t="str">
        <f>"95695"</f>
        <v>95695</v>
      </c>
      <c r="H1052" s="19" t="s">
        <v>36092</v>
      </c>
      <c r="I1052" s="20">
        <v>17.274999999999999</v>
      </c>
      <c r="J1052" s="44" t="s">
        <v>8</v>
      </c>
      <c r="K1052" s="23" t="s">
        <v>8</v>
      </c>
      <c r="L1052" s="23" t="s">
        <v>8</v>
      </c>
      <c r="M1052" s="23" t="s">
        <v>8</v>
      </c>
    </row>
    <row r="1053" spans="1:13" s="21" customFormat="1" x14ac:dyDescent="0.25">
      <c r="A1053" s="22" t="s">
        <v>8</v>
      </c>
      <c r="B1053" s="18" t="str">
        <f>"056100"</f>
        <v>056100</v>
      </c>
      <c r="C1053" s="19" t="s">
        <v>1056</v>
      </c>
      <c r="D1053" s="19" t="s">
        <v>16487</v>
      </c>
      <c r="E1053" s="19" t="s">
        <v>31289</v>
      </c>
      <c r="F1053" s="19" t="s">
        <v>35978</v>
      </c>
      <c r="G1053" s="18" t="str">
        <f>"93657"</f>
        <v>93657</v>
      </c>
      <c r="H1053" s="19" t="s">
        <v>31155</v>
      </c>
      <c r="I1053" s="20">
        <v>19.838999999999999</v>
      </c>
      <c r="J1053" s="44" t="s">
        <v>8</v>
      </c>
      <c r="K1053" s="23" t="s">
        <v>8</v>
      </c>
      <c r="L1053" s="23" t="s">
        <v>8</v>
      </c>
      <c r="M1053" s="23" t="s">
        <v>8</v>
      </c>
    </row>
    <row r="1054" spans="1:13" s="21" customFormat="1" x14ac:dyDescent="0.25">
      <c r="A1054" s="22" t="s">
        <v>8</v>
      </c>
      <c r="B1054" s="18" t="str">
        <f>"056101"</f>
        <v>056101</v>
      </c>
      <c r="C1054" s="19" t="s">
        <v>1057</v>
      </c>
      <c r="D1054" s="19" t="s">
        <v>16488</v>
      </c>
      <c r="E1054" s="19" t="s">
        <v>31197</v>
      </c>
      <c r="F1054" s="19" t="s">
        <v>35978</v>
      </c>
      <c r="G1054" s="18" t="str">
        <f>"95608"</f>
        <v>95608</v>
      </c>
      <c r="H1054" s="19" t="s">
        <v>31180</v>
      </c>
      <c r="I1054" s="20">
        <v>17.111999999999998</v>
      </c>
      <c r="J1054" s="44" t="s">
        <v>8</v>
      </c>
      <c r="K1054" s="23" t="s">
        <v>8</v>
      </c>
      <c r="L1054" s="23" t="s">
        <v>8</v>
      </c>
      <c r="M1054" s="23" t="s">
        <v>8</v>
      </c>
    </row>
    <row r="1055" spans="1:13" s="21" customFormat="1" x14ac:dyDescent="0.25">
      <c r="A1055" s="22" t="s">
        <v>8</v>
      </c>
      <c r="B1055" s="18" t="str">
        <f>"056103"</f>
        <v>056103</v>
      </c>
      <c r="C1055" s="19" t="s">
        <v>1058</v>
      </c>
      <c r="D1055" s="19" t="s">
        <v>16489</v>
      </c>
      <c r="E1055" s="19" t="s">
        <v>31290</v>
      </c>
      <c r="F1055" s="19" t="s">
        <v>35978</v>
      </c>
      <c r="G1055" s="18" t="str">
        <f>"94501"</f>
        <v>94501</v>
      </c>
      <c r="H1055" s="19" t="s">
        <v>31290</v>
      </c>
      <c r="I1055" s="20">
        <v>18.728000000000002</v>
      </c>
      <c r="J1055" s="44" t="s">
        <v>8</v>
      </c>
      <c r="K1055" s="23" t="s">
        <v>8</v>
      </c>
      <c r="L1055" s="23" t="s">
        <v>8</v>
      </c>
      <c r="M1055" s="23" t="s">
        <v>8</v>
      </c>
    </row>
    <row r="1056" spans="1:13" s="21" customFormat="1" x14ac:dyDescent="0.25">
      <c r="A1056" s="22" t="s">
        <v>8</v>
      </c>
      <c r="B1056" s="18" t="str">
        <f>"056104"</f>
        <v>056104</v>
      </c>
      <c r="C1056" s="19" t="s">
        <v>1059</v>
      </c>
      <c r="D1056" s="19" t="s">
        <v>16490</v>
      </c>
      <c r="E1056" s="19" t="s">
        <v>31268</v>
      </c>
      <c r="F1056" s="19" t="s">
        <v>35978</v>
      </c>
      <c r="G1056" s="18" t="str">
        <f>"90706"</f>
        <v>90706</v>
      </c>
      <c r="H1056" s="19" t="s">
        <v>31109</v>
      </c>
      <c r="I1056" s="20">
        <v>18.103999999999999</v>
      </c>
      <c r="J1056" s="44" t="s">
        <v>8</v>
      </c>
      <c r="K1056" s="23" t="s">
        <v>8</v>
      </c>
      <c r="L1056" s="23" t="s">
        <v>8</v>
      </c>
      <c r="M1056" s="23" t="s">
        <v>8</v>
      </c>
    </row>
    <row r="1057" spans="1:13" s="21" customFormat="1" x14ac:dyDescent="0.25">
      <c r="A1057" s="22" t="s">
        <v>8</v>
      </c>
      <c r="B1057" s="18" t="str">
        <f>"056105"</f>
        <v>056105</v>
      </c>
      <c r="C1057" s="19" t="s">
        <v>1060</v>
      </c>
      <c r="D1057" s="19" t="s">
        <v>16491</v>
      </c>
      <c r="E1057" s="19" t="s">
        <v>31176</v>
      </c>
      <c r="F1057" s="19" t="s">
        <v>35978</v>
      </c>
      <c r="G1057" s="18" t="str">
        <f>"92103"</f>
        <v>92103</v>
      </c>
      <c r="H1057" s="19" t="s">
        <v>31176</v>
      </c>
      <c r="I1057" s="20">
        <v>20.702999999999999</v>
      </c>
      <c r="J1057" s="44" t="s">
        <v>8</v>
      </c>
      <c r="K1057" s="23" t="s">
        <v>8</v>
      </c>
      <c r="L1057" s="23" t="s">
        <v>8</v>
      </c>
      <c r="M1057" s="23" t="s">
        <v>8</v>
      </c>
    </row>
    <row r="1058" spans="1:13" s="21" customFormat="1" x14ac:dyDescent="0.25">
      <c r="A1058" s="22" t="s">
        <v>8</v>
      </c>
      <c r="B1058" s="18" t="str">
        <f>"056109"</f>
        <v>056109</v>
      </c>
      <c r="C1058" s="19" t="s">
        <v>1061</v>
      </c>
      <c r="D1058" s="19" t="s">
        <v>16492</v>
      </c>
      <c r="E1058" s="19" t="s">
        <v>31202</v>
      </c>
      <c r="F1058" s="19" t="s">
        <v>35978</v>
      </c>
      <c r="G1058" s="18" t="str">
        <f>"95695"</f>
        <v>95695</v>
      </c>
      <c r="H1058" s="19" t="s">
        <v>36092</v>
      </c>
      <c r="I1058" s="20">
        <v>18.594999999999999</v>
      </c>
      <c r="J1058" s="44" t="s">
        <v>8</v>
      </c>
      <c r="K1058" s="23" t="s">
        <v>8</v>
      </c>
      <c r="L1058" s="23" t="s">
        <v>8</v>
      </c>
      <c r="M1058" s="23" t="s">
        <v>8</v>
      </c>
    </row>
    <row r="1059" spans="1:13" s="21" customFormat="1" x14ac:dyDescent="0.25">
      <c r="A1059" s="22" t="s">
        <v>8</v>
      </c>
      <c r="B1059" s="18" t="str">
        <f>"056110"</f>
        <v>056110</v>
      </c>
      <c r="C1059" s="19" t="s">
        <v>1062</v>
      </c>
      <c r="D1059" s="19" t="s">
        <v>16493</v>
      </c>
      <c r="E1059" s="19" t="s">
        <v>31291</v>
      </c>
      <c r="F1059" s="19" t="s">
        <v>35978</v>
      </c>
      <c r="G1059" s="18" t="str">
        <f>"92653"</f>
        <v>92653</v>
      </c>
      <c r="H1059" s="19" t="s">
        <v>31169</v>
      </c>
      <c r="I1059" s="20">
        <v>23.344999999999999</v>
      </c>
      <c r="J1059" s="44" t="s">
        <v>8</v>
      </c>
      <c r="K1059" s="23" t="s">
        <v>8</v>
      </c>
      <c r="L1059" s="23" t="s">
        <v>8</v>
      </c>
      <c r="M1059" s="23" t="s">
        <v>8</v>
      </c>
    </row>
    <row r="1060" spans="1:13" s="21" customFormat="1" x14ac:dyDescent="0.25">
      <c r="A1060" s="22" t="s">
        <v>8</v>
      </c>
      <c r="B1060" s="18" t="str">
        <f>"056111"</f>
        <v>056111</v>
      </c>
      <c r="C1060" s="19" t="s">
        <v>1063</v>
      </c>
      <c r="D1060" s="19" t="s">
        <v>16494</v>
      </c>
      <c r="E1060" s="19" t="s">
        <v>30946</v>
      </c>
      <c r="F1060" s="19" t="s">
        <v>35978</v>
      </c>
      <c r="G1060" s="18" t="str">
        <f>"91201"</f>
        <v>91201</v>
      </c>
      <c r="H1060" s="19" t="s">
        <v>31109</v>
      </c>
      <c r="I1060" s="20">
        <v>23.547999999999998</v>
      </c>
      <c r="J1060" s="44" t="s">
        <v>8</v>
      </c>
      <c r="K1060" s="23" t="s">
        <v>8</v>
      </c>
      <c r="L1060" s="23" t="s">
        <v>8</v>
      </c>
      <c r="M1060" s="23" t="s">
        <v>8</v>
      </c>
    </row>
    <row r="1061" spans="1:13" s="21" customFormat="1" x14ac:dyDescent="0.25">
      <c r="A1061" s="22" t="s">
        <v>8</v>
      </c>
      <c r="B1061" s="18" t="str">
        <f>"056113"</f>
        <v>056113</v>
      </c>
      <c r="C1061" s="19" t="s">
        <v>1064</v>
      </c>
      <c r="D1061" s="19" t="s">
        <v>16495</v>
      </c>
      <c r="E1061" s="19" t="s">
        <v>31109</v>
      </c>
      <c r="F1061" s="19" t="s">
        <v>35978</v>
      </c>
      <c r="G1061" s="18" t="str">
        <f>"90027"</f>
        <v>90027</v>
      </c>
      <c r="H1061" s="19" t="s">
        <v>31109</v>
      </c>
      <c r="I1061" s="20">
        <v>20.524999999999999</v>
      </c>
      <c r="J1061" s="44" t="s">
        <v>8</v>
      </c>
      <c r="K1061" s="23" t="s">
        <v>8</v>
      </c>
      <c r="L1061" s="23" t="s">
        <v>8</v>
      </c>
      <c r="M1061" s="23" t="s">
        <v>8</v>
      </c>
    </row>
    <row r="1062" spans="1:13" s="21" customFormat="1" x14ac:dyDescent="0.25">
      <c r="A1062" s="22" t="s">
        <v>8</v>
      </c>
      <c r="B1062" s="18" t="str">
        <f>"056114"</f>
        <v>056114</v>
      </c>
      <c r="C1062" s="19" t="s">
        <v>1065</v>
      </c>
      <c r="D1062" s="19" t="s">
        <v>16496</v>
      </c>
      <c r="E1062" s="19" t="s">
        <v>31109</v>
      </c>
      <c r="F1062" s="19" t="s">
        <v>35978</v>
      </c>
      <c r="G1062" s="18" t="str">
        <f>"90018"</f>
        <v>90018</v>
      </c>
      <c r="H1062" s="19" t="s">
        <v>31109</v>
      </c>
      <c r="I1062" s="20">
        <v>20.936</v>
      </c>
      <c r="J1062" s="44" t="s">
        <v>8</v>
      </c>
      <c r="K1062" s="23" t="s">
        <v>8</v>
      </c>
      <c r="L1062" s="23" t="s">
        <v>8</v>
      </c>
      <c r="M1062" s="23" t="s">
        <v>8</v>
      </c>
    </row>
    <row r="1063" spans="1:13" s="21" customFormat="1" x14ac:dyDescent="0.25">
      <c r="A1063" s="22" t="s">
        <v>8</v>
      </c>
      <c r="B1063" s="18" t="str">
        <f>"056115"</f>
        <v>056115</v>
      </c>
      <c r="C1063" s="19" t="s">
        <v>1066</v>
      </c>
      <c r="D1063" s="19" t="s">
        <v>16497</v>
      </c>
      <c r="E1063" s="19" t="s">
        <v>31252</v>
      </c>
      <c r="F1063" s="19" t="s">
        <v>35978</v>
      </c>
      <c r="G1063" s="18" t="str">
        <f>"90638"</f>
        <v>90638</v>
      </c>
      <c r="H1063" s="19" t="s">
        <v>31109</v>
      </c>
      <c r="I1063" s="20">
        <v>16.917000000000002</v>
      </c>
      <c r="J1063" s="44" t="s">
        <v>8</v>
      </c>
      <c r="K1063" s="23" t="s">
        <v>8</v>
      </c>
      <c r="L1063" s="23" t="s">
        <v>8</v>
      </c>
      <c r="M1063" s="23" t="s">
        <v>8</v>
      </c>
    </row>
    <row r="1064" spans="1:13" s="21" customFormat="1" x14ac:dyDescent="0.25">
      <c r="A1064" s="22" t="s">
        <v>8</v>
      </c>
      <c r="B1064" s="18" t="str">
        <f>"056116"</f>
        <v>056116</v>
      </c>
      <c r="C1064" s="19" t="s">
        <v>1067</v>
      </c>
      <c r="D1064" s="19" t="s">
        <v>16498</v>
      </c>
      <c r="E1064" s="19" t="s">
        <v>31158</v>
      </c>
      <c r="F1064" s="19" t="s">
        <v>35978</v>
      </c>
      <c r="G1064" s="18" t="str">
        <f>"94024"</f>
        <v>94024</v>
      </c>
      <c r="H1064" s="19" t="s">
        <v>31241</v>
      </c>
      <c r="I1064" s="20">
        <v>20.530999999999999</v>
      </c>
      <c r="J1064" s="44" t="s">
        <v>8</v>
      </c>
      <c r="K1064" s="23" t="s">
        <v>8</v>
      </c>
      <c r="L1064" s="23" t="s">
        <v>8</v>
      </c>
      <c r="M1064" s="23" t="s">
        <v>8</v>
      </c>
    </row>
    <row r="1065" spans="1:13" s="21" customFormat="1" x14ac:dyDescent="0.25">
      <c r="A1065" s="22" t="s">
        <v>8</v>
      </c>
      <c r="B1065" s="18" t="str">
        <f>"056117"</f>
        <v>056117</v>
      </c>
      <c r="C1065" s="19" t="s">
        <v>1068</v>
      </c>
      <c r="D1065" s="19" t="s">
        <v>16499</v>
      </c>
      <c r="E1065" s="19" t="s">
        <v>31205</v>
      </c>
      <c r="F1065" s="19" t="s">
        <v>35978</v>
      </c>
      <c r="G1065" s="18" t="str">
        <f>"91723"</f>
        <v>91723</v>
      </c>
      <c r="H1065" s="19" t="s">
        <v>31109</v>
      </c>
      <c r="I1065" s="20">
        <v>19.106999999999999</v>
      </c>
      <c r="J1065" s="44" t="s">
        <v>8</v>
      </c>
      <c r="K1065" s="23" t="s">
        <v>8</v>
      </c>
      <c r="L1065" s="23" t="s">
        <v>8</v>
      </c>
      <c r="M1065" s="23" t="s">
        <v>8</v>
      </c>
    </row>
    <row r="1066" spans="1:13" s="21" customFormat="1" x14ac:dyDescent="0.25">
      <c r="A1066" s="22" t="s">
        <v>8</v>
      </c>
      <c r="B1066" s="18" t="str">
        <f>"056118"</f>
        <v>056118</v>
      </c>
      <c r="C1066" s="19" t="s">
        <v>1069</v>
      </c>
      <c r="D1066" s="19" t="s">
        <v>16500</v>
      </c>
      <c r="E1066" s="19" t="s">
        <v>31285</v>
      </c>
      <c r="F1066" s="19" t="s">
        <v>35978</v>
      </c>
      <c r="G1066" s="18" t="str">
        <f>"91740"</f>
        <v>91740</v>
      </c>
      <c r="H1066" s="19" t="s">
        <v>31109</v>
      </c>
      <c r="I1066" s="20">
        <v>18.472000000000001</v>
      </c>
      <c r="J1066" s="44" t="s">
        <v>8</v>
      </c>
      <c r="K1066" s="23" t="s">
        <v>8</v>
      </c>
      <c r="L1066" s="23" t="s">
        <v>8</v>
      </c>
      <c r="M1066" s="23" t="s">
        <v>8</v>
      </c>
    </row>
    <row r="1067" spans="1:13" s="21" customFormat="1" x14ac:dyDescent="0.25">
      <c r="A1067" s="22" t="s">
        <v>8</v>
      </c>
      <c r="B1067" s="18" t="str">
        <f>"056120"</f>
        <v>056120</v>
      </c>
      <c r="C1067" s="19" t="s">
        <v>1070</v>
      </c>
      <c r="D1067" s="19" t="s">
        <v>16501</v>
      </c>
      <c r="E1067" s="19" t="s">
        <v>31284</v>
      </c>
      <c r="F1067" s="19" t="s">
        <v>35978</v>
      </c>
      <c r="G1067" s="18" t="str">
        <f>"94952"</f>
        <v>94952</v>
      </c>
      <c r="H1067" s="19" t="s">
        <v>31174</v>
      </c>
      <c r="I1067" s="20">
        <v>17.38</v>
      </c>
      <c r="J1067" s="44" t="s">
        <v>8</v>
      </c>
      <c r="K1067" s="23" t="s">
        <v>8</v>
      </c>
      <c r="L1067" s="23" t="s">
        <v>8</v>
      </c>
      <c r="M1067" s="23" t="s">
        <v>8</v>
      </c>
    </row>
    <row r="1068" spans="1:13" s="21" customFormat="1" x14ac:dyDescent="0.25">
      <c r="A1068" s="22" t="s">
        <v>8</v>
      </c>
      <c r="B1068" s="18" t="str">
        <f>"056121"</f>
        <v>056121</v>
      </c>
      <c r="C1068" s="19" t="s">
        <v>1071</v>
      </c>
      <c r="D1068" s="19" t="s">
        <v>16502</v>
      </c>
      <c r="E1068" s="19" t="s">
        <v>31132</v>
      </c>
      <c r="F1068" s="19" t="s">
        <v>35978</v>
      </c>
      <c r="G1068" s="18" t="str">
        <f>"94578"</f>
        <v>94578</v>
      </c>
      <c r="H1068" s="19" t="s">
        <v>31290</v>
      </c>
      <c r="I1068" s="20">
        <v>18.07</v>
      </c>
      <c r="J1068" s="44" t="s">
        <v>8</v>
      </c>
      <c r="K1068" s="23" t="s">
        <v>8</v>
      </c>
      <c r="L1068" s="23" t="s">
        <v>8</v>
      </c>
      <c r="M1068" s="23" t="s">
        <v>8</v>
      </c>
    </row>
    <row r="1069" spans="1:13" s="21" customFormat="1" x14ac:dyDescent="0.25">
      <c r="A1069" s="22" t="s">
        <v>8</v>
      </c>
      <c r="B1069" s="18" t="str">
        <f>"056122"</f>
        <v>056122</v>
      </c>
      <c r="C1069" s="19" t="s">
        <v>1072</v>
      </c>
      <c r="D1069" s="19" t="s">
        <v>16503</v>
      </c>
      <c r="E1069" s="19" t="s">
        <v>31292</v>
      </c>
      <c r="F1069" s="19" t="s">
        <v>35978</v>
      </c>
      <c r="G1069" s="18" t="str">
        <f>"94030"</f>
        <v>94030</v>
      </c>
      <c r="H1069" s="19" t="s">
        <v>31152</v>
      </c>
      <c r="I1069" s="20">
        <v>17.257000000000001</v>
      </c>
      <c r="J1069" s="44" t="s">
        <v>8</v>
      </c>
      <c r="K1069" s="23" t="s">
        <v>8</v>
      </c>
      <c r="L1069" s="23" t="s">
        <v>8</v>
      </c>
      <c r="M1069" s="23" t="s">
        <v>8</v>
      </c>
    </row>
    <row r="1070" spans="1:13" s="21" customFormat="1" x14ac:dyDescent="0.25">
      <c r="A1070" s="22" t="s">
        <v>8</v>
      </c>
      <c r="B1070" s="18" t="str">
        <f>"056124"</f>
        <v>056124</v>
      </c>
      <c r="C1070" s="19" t="s">
        <v>1073</v>
      </c>
      <c r="D1070" s="19" t="s">
        <v>16504</v>
      </c>
      <c r="E1070" s="19" t="s">
        <v>31293</v>
      </c>
      <c r="F1070" s="19" t="s">
        <v>35978</v>
      </c>
      <c r="G1070" s="18" t="str">
        <f>"91356"</f>
        <v>91356</v>
      </c>
      <c r="H1070" s="19" t="s">
        <v>31109</v>
      </c>
      <c r="I1070" s="20">
        <v>19.634</v>
      </c>
      <c r="J1070" s="44" t="s">
        <v>8</v>
      </c>
      <c r="K1070" s="23" t="s">
        <v>8</v>
      </c>
      <c r="L1070" s="23" t="s">
        <v>8</v>
      </c>
      <c r="M1070" s="23" t="s">
        <v>8</v>
      </c>
    </row>
    <row r="1071" spans="1:13" s="21" customFormat="1" x14ac:dyDescent="0.25">
      <c r="A1071" s="22" t="s">
        <v>8</v>
      </c>
      <c r="B1071" s="18" t="str">
        <f>"056125"</f>
        <v>056125</v>
      </c>
      <c r="C1071" s="19" t="s">
        <v>1074</v>
      </c>
      <c r="D1071" s="19" t="s">
        <v>16505</v>
      </c>
      <c r="E1071" s="19" t="s">
        <v>31111</v>
      </c>
      <c r="F1071" s="19" t="s">
        <v>35978</v>
      </c>
      <c r="G1071" s="18" t="str">
        <f>"90814"</f>
        <v>90814</v>
      </c>
      <c r="H1071" s="19" t="s">
        <v>31109</v>
      </c>
      <c r="I1071" s="20">
        <v>18.617000000000001</v>
      </c>
      <c r="J1071" s="44" t="s">
        <v>8</v>
      </c>
      <c r="K1071" s="23" t="s">
        <v>8</v>
      </c>
      <c r="L1071" s="23" t="s">
        <v>8</v>
      </c>
      <c r="M1071" s="23" t="s">
        <v>8</v>
      </c>
    </row>
    <row r="1072" spans="1:13" s="21" customFormat="1" x14ac:dyDescent="0.25">
      <c r="A1072" s="22" t="s">
        <v>8</v>
      </c>
      <c r="B1072" s="18" t="str">
        <f>"056127"</f>
        <v>056127</v>
      </c>
      <c r="C1072" s="19" t="s">
        <v>1075</v>
      </c>
      <c r="D1072" s="19" t="s">
        <v>16506</v>
      </c>
      <c r="E1072" s="19" t="s">
        <v>31117</v>
      </c>
      <c r="F1072" s="19" t="s">
        <v>35978</v>
      </c>
      <c r="G1072" s="18" t="str">
        <f>"91776"</f>
        <v>91776</v>
      </c>
      <c r="H1072" s="19" t="s">
        <v>31109</v>
      </c>
      <c r="I1072" s="20">
        <v>20.564</v>
      </c>
      <c r="J1072" s="44" t="s">
        <v>8</v>
      </c>
      <c r="K1072" s="23" t="s">
        <v>8</v>
      </c>
      <c r="L1072" s="23" t="s">
        <v>8</v>
      </c>
      <c r="M1072" s="23" t="s">
        <v>8</v>
      </c>
    </row>
    <row r="1073" spans="1:13" s="21" customFormat="1" x14ac:dyDescent="0.25">
      <c r="A1073" s="22" t="s">
        <v>8</v>
      </c>
      <c r="B1073" s="18" t="str">
        <f>"056129"</f>
        <v>056129</v>
      </c>
      <c r="C1073" s="19" t="s">
        <v>1076</v>
      </c>
      <c r="D1073" s="19" t="s">
        <v>16507</v>
      </c>
      <c r="E1073" s="19" t="s">
        <v>31294</v>
      </c>
      <c r="F1073" s="19" t="s">
        <v>35978</v>
      </c>
      <c r="G1073" s="18" t="str">
        <f>"91506"</f>
        <v>91506</v>
      </c>
      <c r="H1073" s="19" t="s">
        <v>31109</v>
      </c>
      <c r="I1073" s="20">
        <v>21.497</v>
      </c>
      <c r="J1073" s="44" t="s">
        <v>8</v>
      </c>
      <c r="K1073" s="23" t="s">
        <v>8</v>
      </c>
      <c r="L1073" s="23" t="s">
        <v>8</v>
      </c>
      <c r="M1073" s="23" t="s">
        <v>8</v>
      </c>
    </row>
    <row r="1074" spans="1:13" s="21" customFormat="1" x14ac:dyDescent="0.25">
      <c r="A1074" s="22" t="s">
        <v>8</v>
      </c>
      <c r="B1074" s="18" t="str">
        <f>"056132"</f>
        <v>056132</v>
      </c>
      <c r="C1074" s="19" t="s">
        <v>1077</v>
      </c>
      <c r="D1074" s="19" t="s">
        <v>16508</v>
      </c>
      <c r="E1074" s="19" t="s">
        <v>31295</v>
      </c>
      <c r="F1074" s="19" t="s">
        <v>35978</v>
      </c>
      <c r="G1074" s="18" t="str">
        <f>"95249"</f>
        <v>95249</v>
      </c>
      <c r="H1074" s="19" t="s">
        <v>36101</v>
      </c>
      <c r="I1074" s="20">
        <v>17.690999999999999</v>
      </c>
      <c r="J1074" s="44" t="s">
        <v>8</v>
      </c>
      <c r="K1074" s="23" t="s">
        <v>8</v>
      </c>
      <c r="L1074" s="23" t="s">
        <v>8</v>
      </c>
      <c r="M1074" s="23" t="s">
        <v>8</v>
      </c>
    </row>
    <row r="1075" spans="1:13" s="21" customFormat="1" x14ac:dyDescent="0.25">
      <c r="A1075" s="22" t="s">
        <v>8</v>
      </c>
      <c r="B1075" s="18" t="str">
        <f>"056133"</f>
        <v>056133</v>
      </c>
      <c r="C1075" s="19" t="s">
        <v>1078</v>
      </c>
      <c r="D1075" s="19" t="s">
        <v>16509</v>
      </c>
      <c r="E1075" s="19" t="s">
        <v>31288</v>
      </c>
      <c r="F1075" s="19" t="s">
        <v>35978</v>
      </c>
      <c r="G1075" s="18" t="str">
        <f>"91304"</f>
        <v>91304</v>
      </c>
      <c r="H1075" s="19" t="s">
        <v>31109</v>
      </c>
      <c r="I1075" s="20">
        <v>22.518999999999998</v>
      </c>
      <c r="J1075" s="44" t="s">
        <v>8</v>
      </c>
      <c r="K1075" s="23" t="s">
        <v>8</v>
      </c>
      <c r="L1075" s="23" t="s">
        <v>8</v>
      </c>
      <c r="M1075" s="23" t="s">
        <v>8</v>
      </c>
    </row>
    <row r="1076" spans="1:13" s="21" customFormat="1" x14ac:dyDescent="0.25">
      <c r="A1076" s="22" t="s">
        <v>8</v>
      </c>
      <c r="B1076" s="18" t="str">
        <f>"056136"</f>
        <v>056136</v>
      </c>
      <c r="C1076" s="19" t="s">
        <v>1079</v>
      </c>
      <c r="D1076" s="19" t="s">
        <v>16510</v>
      </c>
      <c r="E1076" s="19" t="s">
        <v>31195</v>
      </c>
      <c r="F1076" s="19" t="s">
        <v>35978</v>
      </c>
      <c r="G1076" s="18" t="str">
        <f>"91786"</f>
        <v>91786</v>
      </c>
      <c r="H1076" s="19" t="s">
        <v>31227</v>
      </c>
      <c r="I1076" s="20">
        <v>19.38</v>
      </c>
      <c r="J1076" s="44" t="s">
        <v>8</v>
      </c>
      <c r="K1076" s="23" t="s">
        <v>8</v>
      </c>
      <c r="L1076" s="23" t="s">
        <v>8</v>
      </c>
      <c r="M1076" s="23" t="s">
        <v>8</v>
      </c>
    </row>
    <row r="1077" spans="1:13" s="21" customFormat="1" x14ac:dyDescent="0.25">
      <c r="A1077" s="22" t="s">
        <v>8</v>
      </c>
      <c r="B1077" s="18" t="str">
        <f>"056137"</f>
        <v>056137</v>
      </c>
      <c r="C1077" s="19" t="s">
        <v>1080</v>
      </c>
      <c r="D1077" s="19" t="s">
        <v>16511</v>
      </c>
      <c r="E1077" s="19" t="s">
        <v>31296</v>
      </c>
      <c r="F1077" s="19" t="s">
        <v>35978</v>
      </c>
      <c r="G1077" s="18" t="str">
        <f>"91402"</f>
        <v>91402</v>
      </c>
      <c r="H1077" s="19" t="s">
        <v>31109</v>
      </c>
      <c r="I1077" s="20">
        <v>23.126999999999999</v>
      </c>
      <c r="J1077" s="44" t="s">
        <v>8</v>
      </c>
      <c r="K1077" s="23" t="s">
        <v>8</v>
      </c>
      <c r="L1077" s="23" t="s">
        <v>8</v>
      </c>
      <c r="M1077" s="23" t="s">
        <v>8</v>
      </c>
    </row>
    <row r="1078" spans="1:13" s="21" customFormat="1" x14ac:dyDescent="0.25">
      <c r="A1078" s="22" t="s">
        <v>8</v>
      </c>
      <c r="B1078" s="18" t="str">
        <f>"056138"</f>
        <v>056138</v>
      </c>
      <c r="C1078" s="19" t="s">
        <v>1081</v>
      </c>
      <c r="D1078" s="19" t="s">
        <v>16512</v>
      </c>
      <c r="E1078" s="19" t="s">
        <v>31202</v>
      </c>
      <c r="F1078" s="19" t="s">
        <v>35978</v>
      </c>
      <c r="G1078" s="18" t="str">
        <f>"95695"</f>
        <v>95695</v>
      </c>
      <c r="H1078" s="19" t="s">
        <v>36092</v>
      </c>
      <c r="I1078" s="20">
        <v>19.710999999999999</v>
      </c>
      <c r="J1078" s="44" t="s">
        <v>8</v>
      </c>
      <c r="K1078" s="23" t="s">
        <v>8</v>
      </c>
      <c r="L1078" s="23" t="s">
        <v>8</v>
      </c>
      <c r="M1078" s="23" t="s">
        <v>8</v>
      </c>
    </row>
    <row r="1079" spans="1:13" s="21" customFormat="1" x14ac:dyDescent="0.25">
      <c r="A1079" s="22" t="s">
        <v>8</v>
      </c>
      <c r="B1079" s="18" t="str">
        <f>"056139"</f>
        <v>056139</v>
      </c>
      <c r="C1079" s="19" t="s">
        <v>1082</v>
      </c>
      <c r="D1079" s="19" t="s">
        <v>16513</v>
      </c>
      <c r="E1079" s="19" t="s">
        <v>31213</v>
      </c>
      <c r="F1079" s="19" t="s">
        <v>35978</v>
      </c>
      <c r="G1079" s="18" t="str">
        <f>"95661"</f>
        <v>95661</v>
      </c>
      <c r="H1079" s="19" t="s">
        <v>36093</v>
      </c>
      <c r="I1079" s="20">
        <v>13.688000000000001</v>
      </c>
      <c r="J1079" s="44" t="s">
        <v>8</v>
      </c>
      <c r="K1079" s="23" t="s">
        <v>8</v>
      </c>
      <c r="L1079" s="23" t="s">
        <v>8</v>
      </c>
      <c r="M1079" s="23" t="s">
        <v>8</v>
      </c>
    </row>
    <row r="1080" spans="1:13" s="21" customFormat="1" x14ac:dyDescent="0.25">
      <c r="A1080" s="22" t="s">
        <v>8</v>
      </c>
      <c r="B1080" s="18" t="str">
        <f>"056143"</f>
        <v>056143</v>
      </c>
      <c r="C1080" s="19" t="s">
        <v>1083</v>
      </c>
      <c r="D1080" s="19" t="s">
        <v>16514</v>
      </c>
      <c r="E1080" s="19" t="s">
        <v>31222</v>
      </c>
      <c r="F1080" s="19" t="s">
        <v>35978</v>
      </c>
      <c r="G1080" s="18" t="str">
        <f>"90301"</f>
        <v>90301</v>
      </c>
      <c r="H1080" s="19" t="s">
        <v>31109</v>
      </c>
      <c r="I1080" s="20">
        <v>22.879000000000001</v>
      </c>
      <c r="J1080" s="44" t="s">
        <v>8</v>
      </c>
      <c r="K1080" s="23" t="s">
        <v>8</v>
      </c>
      <c r="L1080" s="23" t="s">
        <v>8</v>
      </c>
      <c r="M1080" s="23" t="s">
        <v>8</v>
      </c>
    </row>
    <row r="1081" spans="1:13" s="21" customFormat="1" x14ac:dyDescent="0.25">
      <c r="A1081" s="22" t="s">
        <v>8</v>
      </c>
      <c r="B1081" s="18" t="str">
        <f>"056144"</f>
        <v>056144</v>
      </c>
      <c r="C1081" s="19" t="s">
        <v>1084</v>
      </c>
      <c r="D1081" s="19" t="s">
        <v>16515</v>
      </c>
      <c r="E1081" s="19" t="s">
        <v>31297</v>
      </c>
      <c r="F1081" s="19" t="s">
        <v>35978</v>
      </c>
      <c r="G1081" s="18" t="str">
        <f>"90255"</f>
        <v>90255</v>
      </c>
      <c r="H1081" s="19" t="s">
        <v>31109</v>
      </c>
      <c r="I1081" s="20">
        <v>22.03</v>
      </c>
      <c r="J1081" s="44" t="s">
        <v>8</v>
      </c>
      <c r="K1081" s="23" t="s">
        <v>8</v>
      </c>
      <c r="L1081" s="23" t="s">
        <v>8</v>
      </c>
      <c r="M1081" s="23" t="s">
        <v>8</v>
      </c>
    </row>
    <row r="1082" spans="1:13" s="21" customFormat="1" x14ac:dyDescent="0.25">
      <c r="A1082" s="22" t="s">
        <v>8</v>
      </c>
      <c r="B1082" s="18" t="str">
        <f>"056145"</f>
        <v>056145</v>
      </c>
      <c r="C1082" s="19" t="s">
        <v>1085</v>
      </c>
      <c r="D1082" s="19" t="s">
        <v>16516</v>
      </c>
      <c r="E1082" s="19" t="s">
        <v>31232</v>
      </c>
      <c r="F1082" s="19" t="s">
        <v>35978</v>
      </c>
      <c r="G1082" s="18" t="str">
        <f>"92841"</f>
        <v>92841</v>
      </c>
      <c r="H1082" s="19" t="s">
        <v>31169</v>
      </c>
      <c r="I1082" s="20">
        <v>18.475999999999999</v>
      </c>
      <c r="J1082" s="44" t="s">
        <v>8</v>
      </c>
      <c r="K1082" s="23" t="s">
        <v>8</v>
      </c>
      <c r="L1082" s="23" t="s">
        <v>8</v>
      </c>
      <c r="M1082" s="23" t="s">
        <v>8</v>
      </c>
    </row>
    <row r="1083" spans="1:13" s="21" customFormat="1" x14ac:dyDescent="0.25">
      <c r="A1083" s="22" t="s">
        <v>8</v>
      </c>
      <c r="B1083" s="18" t="str">
        <f>"056148"</f>
        <v>056148</v>
      </c>
      <c r="C1083" s="19" t="s">
        <v>1086</v>
      </c>
      <c r="D1083" s="19" t="s">
        <v>16517</v>
      </c>
      <c r="E1083" s="19" t="s">
        <v>31138</v>
      </c>
      <c r="F1083" s="19" t="s">
        <v>35978</v>
      </c>
      <c r="G1083" s="18" t="str">
        <f>"91344"</f>
        <v>91344</v>
      </c>
      <c r="H1083" s="19" t="s">
        <v>31109</v>
      </c>
      <c r="I1083" s="20">
        <v>20.28</v>
      </c>
      <c r="J1083" s="44" t="s">
        <v>8</v>
      </c>
      <c r="K1083" s="23" t="s">
        <v>8</v>
      </c>
      <c r="L1083" s="23" t="s">
        <v>8</v>
      </c>
      <c r="M1083" s="23" t="s">
        <v>8</v>
      </c>
    </row>
    <row r="1084" spans="1:13" s="21" customFormat="1" x14ac:dyDescent="0.25">
      <c r="A1084" s="22" t="s">
        <v>8</v>
      </c>
      <c r="B1084" s="18" t="str">
        <f>"056149"</f>
        <v>056149</v>
      </c>
      <c r="C1084" s="19" t="s">
        <v>1087</v>
      </c>
      <c r="D1084" s="19" t="s">
        <v>16518</v>
      </c>
      <c r="E1084" s="19" t="s">
        <v>31298</v>
      </c>
      <c r="F1084" s="19" t="s">
        <v>35978</v>
      </c>
      <c r="G1084" s="18" t="str">
        <f>"91411"</f>
        <v>91411</v>
      </c>
      <c r="H1084" s="19" t="s">
        <v>31109</v>
      </c>
      <c r="I1084" s="20">
        <v>20.826000000000001</v>
      </c>
      <c r="J1084" s="44" t="s">
        <v>8</v>
      </c>
      <c r="K1084" s="23" t="s">
        <v>8</v>
      </c>
      <c r="L1084" s="23" t="s">
        <v>8</v>
      </c>
      <c r="M1084" s="23" t="s">
        <v>8</v>
      </c>
    </row>
    <row r="1085" spans="1:13" s="21" customFormat="1" x14ac:dyDescent="0.25">
      <c r="A1085" s="22" t="s">
        <v>8</v>
      </c>
      <c r="B1085" s="18" t="str">
        <f>"056150"</f>
        <v>056150</v>
      </c>
      <c r="C1085" s="19" t="s">
        <v>1088</v>
      </c>
      <c r="D1085" s="19" t="s">
        <v>16519</v>
      </c>
      <c r="E1085" s="19" t="s">
        <v>31111</v>
      </c>
      <c r="F1085" s="19" t="s">
        <v>35978</v>
      </c>
      <c r="G1085" s="18" t="str">
        <f>"90807"</f>
        <v>90807</v>
      </c>
      <c r="H1085" s="19" t="s">
        <v>31109</v>
      </c>
      <c r="I1085" s="20">
        <v>21.271000000000001</v>
      </c>
      <c r="J1085" s="44" t="s">
        <v>8</v>
      </c>
      <c r="K1085" s="23" t="s">
        <v>8</v>
      </c>
      <c r="L1085" s="23" t="s">
        <v>8</v>
      </c>
      <c r="M1085" s="23" t="s">
        <v>8</v>
      </c>
    </row>
    <row r="1086" spans="1:13" s="21" customFormat="1" x14ac:dyDescent="0.25">
      <c r="A1086" s="22" t="s">
        <v>8</v>
      </c>
      <c r="B1086" s="18" t="str">
        <f>"056151"</f>
        <v>056151</v>
      </c>
      <c r="C1086" s="19" t="s">
        <v>1089</v>
      </c>
      <c r="D1086" s="19" t="s">
        <v>16520</v>
      </c>
      <c r="E1086" s="19" t="s">
        <v>31229</v>
      </c>
      <c r="F1086" s="19" t="s">
        <v>35978</v>
      </c>
      <c r="G1086" s="18" t="str">
        <f>"92835"</f>
        <v>92835</v>
      </c>
      <c r="H1086" s="19" t="s">
        <v>31169</v>
      </c>
      <c r="I1086" s="20">
        <v>19.712</v>
      </c>
      <c r="J1086" s="44" t="s">
        <v>8</v>
      </c>
      <c r="K1086" s="23" t="s">
        <v>8</v>
      </c>
      <c r="L1086" s="23" t="s">
        <v>8</v>
      </c>
      <c r="M1086" s="23" t="s">
        <v>8</v>
      </c>
    </row>
    <row r="1087" spans="1:13" s="21" customFormat="1" x14ac:dyDescent="0.25">
      <c r="A1087" s="22" t="s">
        <v>8</v>
      </c>
      <c r="B1087" s="18" t="str">
        <f>"056153"</f>
        <v>056153</v>
      </c>
      <c r="C1087" s="19" t="s">
        <v>1090</v>
      </c>
      <c r="D1087" s="19" t="s">
        <v>16521</v>
      </c>
      <c r="E1087" s="19" t="s">
        <v>31299</v>
      </c>
      <c r="F1087" s="19" t="s">
        <v>35978</v>
      </c>
      <c r="G1087" s="18" t="str">
        <f>"94558"</f>
        <v>94558</v>
      </c>
      <c r="H1087" s="19" t="s">
        <v>31299</v>
      </c>
      <c r="I1087" s="20">
        <v>17.753</v>
      </c>
      <c r="J1087" s="44" t="s">
        <v>8</v>
      </c>
      <c r="K1087" s="23" t="s">
        <v>8</v>
      </c>
      <c r="L1087" s="23" t="s">
        <v>8</v>
      </c>
      <c r="M1087" s="23" t="s">
        <v>8</v>
      </c>
    </row>
    <row r="1088" spans="1:13" s="21" customFormat="1" x14ac:dyDescent="0.25">
      <c r="A1088" s="22" t="s">
        <v>8</v>
      </c>
      <c r="B1088" s="18" t="str">
        <f>"056155"</f>
        <v>056155</v>
      </c>
      <c r="C1088" s="19" t="s">
        <v>1091</v>
      </c>
      <c r="D1088" s="19" t="s">
        <v>16522</v>
      </c>
      <c r="E1088" s="19" t="s">
        <v>31300</v>
      </c>
      <c r="F1088" s="19" t="s">
        <v>35978</v>
      </c>
      <c r="G1088" s="18" t="str">
        <f>"95361"</f>
        <v>95361</v>
      </c>
      <c r="H1088" s="19" t="s">
        <v>36085</v>
      </c>
      <c r="I1088" s="20">
        <v>17.571000000000002</v>
      </c>
      <c r="J1088" s="44" t="s">
        <v>8</v>
      </c>
      <c r="K1088" s="23" t="s">
        <v>8</v>
      </c>
      <c r="L1088" s="23" t="s">
        <v>8</v>
      </c>
      <c r="M1088" s="23" t="s">
        <v>8</v>
      </c>
    </row>
    <row r="1089" spans="1:13" s="21" customFormat="1" x14ac:dyDescent="0.25">
      <c r="A1089" s="22" t="s">
        <v>8</v>
      </c>
      <c r="B1089" s="18" t="str">
        <f>"056157"</f>
        <v>056157</v>
      </c>
      <c r="C1089" s="19" t="s">
        <v>1092</v>
      </c>
      <c r="D1089" s="19" t="s">
        <v>16523</v>
      </c>
      <c r="E1089" s="19" t="s">
        <v>31109</v>
      </c>
      <c r="F1089" s="19" t="s">
        <v>35978</v>
      </c>
      <c r="G1089" s="18" t="str">
        <f>"90006"</f>
        <v>90006</v>
      </c>
      <c r="H1089" s="19" t="s">
        <v>31109</v>
      </c>
      <c r="I1089" s="20">
        <v>17.867000000000001</v>
      </c>
      <c r="J1089" s="44" t="s">
        <v>8</v>
      </c>
      <c r="K1089" s="23" t="s">
        <v>8</v>
      </c>
      <c r="L1089" s="23" t="s">
        <v>8</v>
      </c>
      <c r="M1089" s="23" t="s">
        <v>8</v>
      </c>
    </row>
    <row r="1090" spans="1:13" s="21" customFormat="1" x14ac:dyDescent="0.25">
      <c r="A1090" s="22" t="s">
        <v>8</v>
      </c>
      <c r="B1090" s="18" t="str">
        <f>"056158"</f>
        <v>056158</v>
      </c>
      <c r="C1090" s="19" t="s">
        <v>1093</v>
      </c>
      <c r="D1090" s="19" t="s">
        <v>16524</v>
      </c>
      <c r="E1090" s="19" t="s">
        <v>31180</v>
      </c>
      <c r="F1090" s="19" t="s">
        <v>35978</v>
      </c>
      <c r="G1090" s="18" t="str">
        <f>"95841"</f>
        <v>95841</v>
      </c>
      <c r="H1090" s="19" t="s">
        <v>31180</v>
      </c>
      <c r="I1090" s="20">
        <v>17.236999999999998</v>
      </c>
      <c r="J1090" s="44" t="s">
        <v>8</v>
      </c>
      <c r="K1090" s="23" t="s">
        <v>8</v>
      </c>
      <c r="L1090" s="23" t="s">
        <v>8</v>
      </c>
      <c r="M1090" s="23" t="s">
        <v>8</v>
      </c>
    </row>
    <row r="1091" spans="1:13" s="21" customFormat="1" x14ac:dyDescent="0.25">
      <c r="A1091" s="22" t="s">
        <v>8</v>
      </c>
      <c r="B1091" s="18" t="str">
        <f>"056159"</f>
        <v>056159</v>
      </c>
      <c r="C1091" s="19" t="s">
        <v>1094</v>
      </c>
      <c r="D1091" s="19" t="s">
        <v>16525</v>
      </c>
      <c r="E1091" s="19" t="s">
        <v>31153</v>
      </c>
      <c r="F1091" s="19" t="s">
        <v>35978</v>
      </c>
      <c r="G1091" s="18" t="str">
        <f>"91607"</f>
        <v>91607</v>
      </c>
      <c r="H1091" s="19" t="s">
        <v>31109</v>
      </c>
      <c r="I1091" s="20">
        <v>22.361999999999998</v>
      </c>
      <c r="J1091" s="44" t="s">
        <v>8</v>
      </c>
      <c r="K1091" s="23" t="s">
        <v>8</v>
      </c>
      <c r="L1091" s="23" t="s">
        <v>8</v>
      </c>
      <c r="M1091" s="23" t="s">
        <v>8</v>
      </c>
    </row>
    <row r="1092" spans="1:13" s="21" customFormat="1" x14ac:dyDescent="0.25">
      <c r="A1092" s="22" t="s">
        <v>8</v>
      </c>
      <c r="B1092" s="18" t="str">
        <f>"056162"</f>
        <v>056162</v>
      </c>
      <c r="C1092" s="19" t="s">
        <v>1095</v>
      </c>
      <c r="D1092" s="19" t="s">
        <v>16526</v>
      </c>
      <c r="E1092" s="19" t="s">
        <v>31112</v>
      </c>
      <c r="F1092" s="19" t="s">
        <v>35978</v>
      </c>
      <c r="G1092" s="18" t="str">
        <f>"92504"</f>
        <v>92504</v>
      </c>
      <c r="H1092" s="19" t="s">
        <v>31112</v>
      </c>
      <c r="I1092" s="20">
        <v>18.562999999999999</v>
      </c>
      <c r="J1092" s="44" t="s">
        <v>8</v>
      </c>
      <c r="K1092" s="23" t="s">
        <v>8</v>
      </c>
      <c r="L1092" s="23" t="s">
        <v>8</v>
      </c>
      <c r="M1092" s="23" t="s">
        <v>8</v>
      </c>
    </row>
    <row r="1093" spans="1:13" s="21" customFormat="1" x14ac:dyDescent="0.25">
      <c r="A1093" s="22" t="s">
        <v>8</v>
      </c>
      <c r="B1093" s="18" t="str">
        <f>"056164"</f>
        <v>056164</v>
      </c>
      <c r="C1093" s="19" t="s">
        <v>1096</v>
      </c>
      <c r="D1093" s="19" t="s">
        <v>16527</v>
      </c>
      <c r="E1093" s="19" t="s">
        <v>31111</v>
      </c>
      <c r="F1093" s="19" t="s">
        <v>35978</v>
      </c>
      <c r="G1093" s="18" t="str">
        <f>"90804"</f>
        <v>90804</v>
      </c>
      <c r="H1093" s="19" t="s">
        <v>31109</v>
      </c>
      <c r="I1093" s="20">
        <v>21.402000000000001</v>
      </c>
      <c r="J1093" s="44" t="s">
        <v>8</v>
      </c>
      <c r="K1093" s="23" t="s">
        <v>8</v>
      </c>
      <c r="L1093" s="23" t="s">
        <v>8</v>
      </c>
      <c r="M1093" s="23" t="s">
        <v>8</v>
      </c>
    </row>
    <row r="1094" spans="1:13" s="21" customFormat="1" x14ac:dyDescent="0.25">
      <c r="A1094" s="22" t="s">
        <v>8</v>
      </c>
      <c r="B1094" s="18" t="str">
        <f>"056166"</f>
        <v>056166</v>
      </c>
      <c r="C1094" s="19" t="s">
        <v>1097</v>
      </c>
      <c r="D1094" s="19" t="s">
        <v>16528</v>
      </c>
      <c r="E1094" s="19" t="s">
        <v>31301</v>
      </c>
      <c r="F1094" s="19" t="s">
        <v>35978</v>
      </c>
      <c r="G1094" s="18" t="str">
        <f>"90723"</f>
        <v>90723</v>
      </c>
      <c r="H1094" s="19" t="s">
        <v>31109</v>
      </c>
      <c r="I1094" s="20">
        <v>21.678000000000001</v>
      </c>
      <c r="J1094" s="44" t="s">
        <v>8</v>
      </c>
      <c r="K1094" s="23" t="s">
        <v>8</v>
      </c>
      <c r="L1094" s="23" t="s">
        <v>8</v>
      </c>
      <c r="M1094" s="23" t="s">
        <v>8</v>
      </c>
    </row>
    <row r="1095" spans="1:13" s="21" customFormat="1" x14ac:dyDescent="0.25">
      <c r="A1095" s="22" t="s">
        <v>8</v>
      </c>
      <c r="B1095" s="18" t="str">
        <f>"056167"</f>
        <v>056167</v>
      </c>
      <c r="C1095" s="19" t="s">
        <v>1098</v>
      </c>
      <c r="D1095" s="19" t="s">
        <v>16529</v>
      </c>
      <c r="E1095" s="19" t="s">
        <v>31222</v>
      </c>
      <c r="F1095" s="19" t="s">
        <v>35978</v>
      </c>
      <c r="G1095" s="18" t="str">
        <f>"90301"</f>
        <v>90301</v>
      </c>
      <c r="H1095" s="19" t="s">
        <v>31109</v>
      </c>
      <c r="I1095" s="20">
        <v>20.318999999999999</v>
      </c>
      <c r="J1095" s="44" t="s">
        <v>8</v>
      </c>
      <c r="K1095" s="23" t="s">
        <v>8</v>
      </c>
      <c r="L1095" s="23" t="s">
        <v>8</v>
      </c>
      <c r="M1095" s="23" t="s">
        <v>8</v>
      </c>
    </row>
    <row r="1096" spans="1:13" s="21" customFormat="1" x14ac:dyDescent="0.25">
      <c r="A1096" s="22" t="s">
        <v>8</v>
      </c>
      <c r="B1096" s="18" t="str">
        <f>"056168"</f>
        <v>056168</v>
      </c>
      <c r="C1096" s="19" t="s">
        <v>1099</v>
      </c>
      <c r="D1096" s="19" t="s">
        <v>16530</v>
      </c>
      <c r="E1096" s="19" t="s">
        <v>31138</v>
      </c>
      <c r="F1096" s="19" t="s">
        <v>35978</v>
      </c>
      <c r="G1096" s="18" t="str">
        <f>"91344"</f>
        <v>91344</v>
      </c>
      <c r="H1096" s="19" t="s">
        <v>31109</v>
      </c>
      <c r="I1096" s="20">
        <v>17.763999999999999</v>
      </c>
      <c r="J1096" s="44" t="s">
        <v>8</v>
      </c>
      <c r="K1096" s="23" t="s">
        <v>8</v>
      </c>
      <c r="L1096" s="23" t="s">
        <v>8</v>
      </c>
      <c r="M1096" s="23" t="s">
        <v>8</v>
      </c>
    </row>
    <row r="1097" spans="1:13" s="21" customFormat="1" x14ac:dyDescent="0.25">
      <c r="A1097" s="22" t="s">
        <v>8</v>
      </c>
      <c r="B1097" s="18" t="str">
        <f>"056169"</f>
        <v>056169</v>
      </c>
      <c r="C1097" s="19" t="s">
        <v>1100</v>
      </c>
      <c r="D1097" s="19" t="s">
        <v>16531</v>
      </c>
      <c r="E1097" s="19" t="s">
        <v>31302</v>
      </c>
      <c r="F1097" s="19" t="s">
        <v>35978</v>
      </c>
      <c r="G1097" s="18" t="str">
        <f>"90720"</f>
        <v>90720</v>
      </c>
      <c r="H1097" s="19" t="s">
        <v>31169</v>
      </c>
      <c r="I1097" s="20">
        <v>21.216999999999999</v>
      </c>
      <c r="J1097" s="44" t="s">
        <v>8</v>
      </c>
      <c r="K1097" s="23" t="s">
        <v>8</v>
      </c>
      <c r="L1097" s="23" t="s">
        <v>8</v>
      </c>
      <c r="M1097" s="23" t="s">
        <v>8</v>
      </c>
    </row>
    <row r="1098" spans="1:13" s="21" customFormat="1" x14ac:dyDescent="0.25">
      <c r="A1098" s="22" t="s">
        <v>8</v>
      </c>
      <c r="B1098" s="18" t="str">
        <f>"056170"</f>
        <v>056170</v>
      </c>
      <c r="C1098" s="19" t="s">
        <v>1101</v>
      </c>
      <c r="D1098" s="19" t="s">
        <v>16532</v>
      </c>
      <c r="E1098" s="19" t="s">
        <v>31143</v>
      </c>
      <c r="F1098" s="19" t="s">
        <v>35978</v>
      </c>
      <c r="G1098" s="18" t="str">
        <f>"94619"</f>
        <v>94619</v>
      </c>
      <c r="H1098" s="19" t="s">
        <v>31290</v>
      </c>
      <c r="I1098" s="20">
        <v>20.036000000000001</v>
      </c>
      <c r="J1098" s="44" t="s">
        <v>8</v>
      </c>
      <c r="K1098" s="23" t="s">
        <v>8</v>
      </c>
      <c r="L1098" s="23" t="s">
        <v>8</v>
      </c>
      <c r="M1098" s="23" t="s">
        <v>8</v>
      </c>
    </row>
    <row r="1099" spans="1:13" s="21" customFormat="1" x14ac:dyDescent="0.25">
      <c r="A1099" s="22" t="s">
        <v>8</v>
      </c>
      <c r="B1099" s="18" t="str">
        <f>"056174"</f>
        <v>056174</v>
      </c>
      <c r="C1099" s="19" t="s">
        <v>1102</v>
      </c>
      <c r="D1099" s="19" t="s">
        <v>16533</v>
      </c>
      <c r="E1099" s="19" t="s">
        <v>31109</v>
      </c>
      <c r="F1099" s="19" t="s">
        <v>35978</v>
      </c>
      <c r="G1099" s="18" t="str">
        <f>"90057"</f>
        <v>90057</v>
      </c>
      <c r="H1099" s="19" t="s">
        <v>31109</v>
      </c>
      <c r="I1099" s="20">
        <v>19.716999999999999</v>
      </c>
      <c r="J1099" s="44" t="s">
        <v>8</v>
      </c>
      <c r="K1099" s="23" t="s">
        <v>8</v>
      </c>
      <c r="L1099" s="23" t="s">
        <v>8</v>
      </c>
      <c r="M1099" s="23" t="s">
        <v>8</v>
      </c>
    </row>
    <row r="1100" spans="1:13" s="21" customFormat="1" x14ac:dyDescent="0.25">
      <c r="A1100" s="22" t="s">
        <v>8</v>
      </c>
      <c r="B1100" s="18" t="str">
        <f>"056176"</f>
        <v>056176</v>
      </c>
      <c r="C1100" s="19" t="s">
        <v>1103</v>
      </c>
      <c r="D1100" s="19" t="s">
        <v>16534</v>
      </c>
      <c r="E1100" s="19" t="s">
        <v>31146</v>
      </c>
      <c r="F1100" s="19" t="s">
        <v>35978</v>
      </c>
      <c r="G1100" s="18" t="str">
        <f>"94115"</f>
        <v>94115</v>
      </c>
      <c r="H1100" s="19" t="s">
        <v>31146</v>
      </c>
      <c r="I1100" s="20">
        <v>18.693999999999999</v>
      </c>
      <c r="J1100" s="44" t="s">
        <v>8</v>
      </c>
      <c r="K1100" s="23" t="s">
        <v>8</v>
      </c>
      <c r="L1100" s="23" t="s">
        <v>8</v>
      </c>
      <c r="M1100" s="23" t="s">
        <v>8</v>
      </c>
    </row>
    <row r="1101" spans="1:13" s="21" customFormat="1" x14ac:dyDescent="0.25">
      <c r="A1101" s="22" t="s">
        <v>8</v>
      </c>
      <c r="B1101" s="18" t="str">
        <f>"056177"</f>
        <v>056177</v>
      </c>
      <c r="C1101" s="19" t="s">
        <v>1104</v>
      </c>
      <c r="D1101" s="19" t="s">
        <v>16535</v>
      </c>
      <c r="E1101" s="19" t="s">
        <v>31180</v>
      </c>
      <c r="F1101" s="19" t="s">
        <v>35978</v>
      </c>
      <c r="G1101" s="18" t="str">
        <f>"95822"</f>
        <v>95822</v>
      </c>
      <c r="H1101" s="19" t="s">
        <v>31180</v>
      </c>
      <c r="I1101" s="20">
        <v>17.521999999999998</v>
      </c>
      <c r="J1101" s="44" t="s">
        <v>8</v>
      </c>
      <c r="K1101" s="23" t="s">
        <v>8</v>
      </c>
      <c r="L1101" s="23" t="s">
        <v>8</v>
      </c>
      <c r="M1101" s="23" t="s">
        <v>8</v>
      </c>
    </row>
    <row r="1102" spans="1:13" s="21" customFormat="1" x14ac:dyDescent="0.25">
      <c r="A1102" s="22" t="s">
        <v>8</v>
      </c>
      <c r="B1102" s="18" t="str">
        <f>"056178"</f>
        <v>056178</v>
      </c>
      <c r="C1102" s="19" t="s">
        <v>1105</v>
      </c>
      <c r="D1102" s="19" t="s">
        <v>16536</v>
      </c>
      <c r="E1102" s="19" t="s">
        <v>31166</v>
      </c>
      <c r="F1102" s="19" t="s">
        <v>35978</v>
      </c>
      <c r="G1102" s="18" t="str">
        <f>"95076"</f>
        <v>95076</v>
      </c>
      <c r="H1102" s="19" t="s">
        <v>31105</v>
      </c>
      <c r="I1102" s="20">
        <v>21.733000000000001</v>
      </c>
      <c r="J1102" s="44" t="s">
        <v>8</v>
      </c>
      <c r="K1102" s="23" t="s">
        <v>8</v>
      </c>
      <c r="L1102" s="23" t="s">
        <v>8</v>
      </c>
      <c r="M1102" s="23" t="s">
        <v>8</v>
      </c>
    </row>
    <row r="1103" spans="1:13" s="21" customFormat="1" x14ac:dyDescent="0.25">
      <c r="A1103" s="22" t="s">
        <v>8</v>
      </c>
      <c r="B1103" s="18" t="str">
        <f>"056180"</f>
        <v>056180</v>
      </c>
      <c r="C1103" s="19" t="s">
        <v>1106</v>
      </c>
      <c r="D1103" s="19" t="s">
        <v>16537</v>
      </c>
      <c r="E1103" s="19" t="s">
        <v>31298</v>
      </c>
      <c r="F1103" s="19" t="s">
        <v>35978</v>
      </c>
      <c r="G1103" s="18" t="str">
        <f>"91406"</f>
        <v>91406</v>
      </c>
      <c r="H1103" s="19" t="s">
        <v>31109</v>
      </c>
      <c r="I1103" s="20">
        <v>20.059000000000001</v>
      </c>
      <c r="J1103" s="44" t="s">
        <v>8</v>
      </c>
      <c r="K1103" s="23" t="s">
        <v>8</v>
      </c>
      <c r="L1103" s="23" t="s">
        <v>8</v>
      </c>
      <c r="M1103" s="23" t="s">
        <v>8</v>
      </c>
    </row>
    <row r="1104" spans="1:13" s="21" customFormat="1" x14ac:dyDescent="0.25">
      <c r="A1104" s="22" t="s">
        <v>8</v>
      </c>
      <c r="B1104" s="18" t="str">
        <f>"056182"</f>
        <v>056182</v>
      </c>
      <c r="C1104" s="19" t="s">
        <v>1107</v>
      </c>
      <c r="D1104" s="19" t="s">
        <v>16538</v>
      </c>
      <c r="E1104" s="19" t="s">
        <v>31176</v>
      </c>
      <c r="F1104" s="19" t="s">
        <v>35978</v>
      </c>
      <c r="G1104" s="18" t="str">
        <f>"92102"</f>
        <v>92102</v>
      </c>
      <c r="H1104" s="19" t="s">
        <v>31176</v>
      </c>
      <c r="I1104" s="20">
        <v>19.593</v>
      </c>
      <c r="J1104" s="44" t="s">
        <v>8</v>
      </c>
      <c r="K1104" s="23" t="s">
        <v>8</v>
      </c>
      <c r="L1104" s="23" t="s">
        <v>8</v>
      </c>
      <c r="M1104" s="23" t="s">
        <v>8</v>
      </c>
    </row>
    <row r="1105" spans="1:13" s="21" customFormat="1" x14ac:dyDescent="0.25">
      <c r="A1105" s="22" t="s">
        <v>8</v>
      </c>
      <c r="B1105" s="18" t="str">
        <f>"056183"</f>
        <v>056183</v>
      </c>
      <c r="C1105" s="19" t="s">
        <v>1108</v>
      </c>
      <c r="D1105" s="19" t="s">
        <v>16539</v>
      </c>
      <c r="E1105" s="19" t="s">
        <v>31227</v>
      </c>
      <c r="F1105" s="19" t="s">
        <v>35978</v>
      </c>
      <c r="G1105" s="18" t="str">
        <f>"92404"</f>
        <v>92404</v>
      </c>
      <c r="H1105" s="19" t="s">
        <v>31227</v>
      </c>
      <c r="I1105" s="20">
        <v>18.587</v>
      </c>
      <c r="J1105" s="44" t="s">
        <v>8</v>
      </c>
      <c r="K1105" s="23" t="s">
        <v>8</v>
      </c>
      <c r="L1105" s="23" t="s">
        <v>8</v>
      </c>
      <c r="M1105" s="23" t="s">
        <v>8</v>
      </c>
    </row>
    <row r="1106" spans="1:13" s="21" customFormat="1" x14ac:dyDescent="0.25">
      <c r="A1106" s="22" t="s">
        <v>8</v>
      </c>
      <c r="B1106" s="18" t="str">
        <f>"056185"</f>
        <v>056185</v>
      </c>
      <c r="C1106" s="19" t="s">
        <v>1109</v>
      </c>
      <c r="D1106" s="19" t="s">
        <v>16540</v>
      </c>
      <c r="E1106" s="19" t="s">
        <v>30959</v>
      </c>
      <c r="F1106" s="19" t="s">
        <v>35978</v>
      </c>
      <c r="G1106" s="18" t="str">
        <f>"92586"</f>
        <v>92586</v>
      </c>
      <c r="H1106" s="19" t="s">
        <v>31112</v>
      </c>
      <c r="I1106" s="20">
        <v>17.706</v>
      </c>
      <c r="J1106" s="44" t="s">
        <v>8</v>
      </c>
      <c r="K1106" s="23" t="s">
        <v>8</v>
      </c>
      <c r="L1106" s="23" t="s">
        <v>8</v>
      </c>
      <c r="M1106" s="23" t="s">
        <v>8</v>
      </c>
    </row>
    <row r="1107" spans="1:13" s="21" customFormat="1" x14ac:dyDescent="0.25">
      <c r="A1107" s="22" t="s">
        <v>8</v>
      </c>
      <c r="B1107" s="18" t="str">
        <f>"056186"</f>
        <v>056186</v>
      </c>
      <c r="C1107" s="19" t="s">
        <v>1110</v>
      </c>
      <c r="D1107" s="19" t="s">
        <v>16541</v>
      </c>
      <c r="E1107" s="19" t="s">
        <v>31303</v>
      </c>
      <c r="F1107" s="19" t="s">
        <v>35978</v>
      </c>
      <c r="G1107" s="18" t="str">
        <f>"92571"</f>
        <v>92571</v>
      </c>
      <c r="H1107" s="19" t="s">
        <v>31112</v>
      </c>
      <c r="I1107" s="20">
        <v>16.771999999999998</v>
      </c>
      <c r="J1107" s="44" t="s">
        <v>8</v>
      </c>
      <c r="K1107" s="23" t="s">
        <v>8</v>
      </c>
      <c r="L1107" s="23" t="s">
        <v>8</v>
      </c>
      <c r="M1107" s="23" t="s">
        <v>8</v>
      </c>
    </row>
    <row r="1108" spans="1:13" s="21" customFormat="1" x14ac:dyDescent="0.25">
      <c r="A1108" s="22" t="s">
        <v>8</v>
      </c>
      <c r="B1108" s="18" t="str">
        <f>"056188"</f>
        <v>056188</v>
      </c>
      <c r="C1108" s="19" t="s">
        <v>1111</v>
      </c>
      <c r="D1108" s="19" t="s">
        <v>16542</v>
      </c>
      <c r="E1108" s="19" t="s">
        <v>31111</v>
      </c>
      <c r="F1108" s="19" t="s">
        <v>35978</v>
      </c>
      <c r="G1108" s="18" t="str">
        <f>"90815"</f>
        <v>90815</v>
      </c>
      <c r="H1108" s="19" t="s">
        <v>31109</v>
      </c>
      <c r="I1108" s="20">
        <v>19.928999999999998</v>
      </c>
      <c r="J1108" s="44" t="s">
        <v>8</v>
      </c>
      <c r="K1108" s="23" t="s">
        <v>8</v>
      </c>
      <c r="L1108" s="23" t="s">
        <v>8</v>
      </c>
      <c r="M1108" s="23" t="s">
        <v>8</v>
      </c>
    </row>
    <row r="1109" spans="1:13" s="21" customFormat="1" x14ac:dyDescent="0.25">
      <c r="A1109" s="22" t="s">
        <v>8</v>
      </c>
      <c r="B1109" s="18" t="str">
        <f>"056189"</f>
        <v>056189</v>
      </c>
      <c r="C1109" s="19" t="s">
        <v>1112</v>
      </c>
      <c r="D1109" s="19" t="s">
        <v>16543</v>
      </c>
      <c r="E1109" s="19" t="s">
        <v>31125</v>
      </c>
      <c r="F1109" s="19" t="s">
        <v>35978</v>
      </c>
      <c r="G1109" s="18" t="str">
        <f>"93401"</f>
        <v>93401</v>
      </c>
      <c r="H1109" s="19" t="s">
        <v>31125</v>
      </c>
      <c r="I1109" s="20">
        <v>16.902000000000001</v>
      </c>
      <c r="J1109" s="44" t="s">
        <v>8</v>
      </c>
      <c r="K1109" s="23" t="s">
        <v>8</v>
      </c>
      <c r="L1109" s="23" t="s">
        <v>8</v>
      </c>
      <c r="M1109" s="23" t="s">
        <v>8</v>
      </c>
    </row>
    <row r="1110" spans="1:13" s="21" customFormat="1" x14ac:dyDescent="0.25">
      <c r="A1110" s="22" t="s">
        <v>8</v>
      </c>
      <c r="B1110" s="18" t="str">
        <f>"056190"</f>
        <v>056190</v>
      </c>
      <c r="C1110" s="19" t="s">
        <v>1113</v>
      </c>
      <c r="D1110" s="19" t="s">
        <v>16544</v>
      </c>
      <c r="E1110" s="19" t="s">
        <v>30946</v>
      </c>
      <c r="F1110" s="19" t="s">
        <v>35978</v>
      </c>
      <c r="G1110" s="18" t="str">
        <f>"91204"</f>
        <v>91204</v>
      </c>
      <c r="H1110" s="19" t="s">
        <v>31109</v>
      </c>
      <c r="I1110" s="20">
        <v>19.678000000000001</v>
      </c>
      <c r="J1110" s="44" t="s">
        <v>8</v>
      </c>
      <c r="K1110" s="23" t="s">
        <v>8</v>
      </c>
      <c r="L1110" s="23" t="s">
        <v>8</v>
      </c>
      <c r="M1110" s="23" t="s">
        <v>8</v>
      </c>
    </row>
    <row r="1111" spans="1:13" s="21" customFormat="1" x14ac:dyDescent="0.25">
      <c r="A1111" s="22" t="s">
        <v>8</v>
      </c>
      <c r="B1111" s="18" t="str">
        <f>"056192"</f>
        <v>056192</v>
      </c>
      <c r="C1111" s="19" t="s">
        <v>1114</v>
      </c>
      <c r="D1111" s="19" t="s">
        <v>16545</v>
      </c>
      <c r="E1111" s="19" t="s">
        <v>31108</v>
      </c>
      <c r="F1111" s="19" t="s">
        <v>35978</v>
      </c>
      <c r="G1111" s="18" t="str">
        <f>"90502"</f>
        <v>90502</v>
      </c>
      <c r="H1111" s="19" t="s">
        <v>31109</v>
      </c>
      <c r="I1111" s="20">
        <v>17.855</v>
      </c>
      <c r="J1111" s="44" t="s">
        <v>8</v>
      </c>
      <c r="K1111" s="23" t="s">
        <v>8</v>
      </c>
      <c r="L1111" s="23" t="s">
        <v>8</v>
      </c>
      <c r="M1111" s="23" t="s">
        <v>8</v>
      </c>
    </row>
    <row r="1112" spans="1:13" s="21" customFormat="1" x14ac:dyDescent="0.25">
      <c r="A1112" s="22" t="s">
        <v>8</v>
      </c>
      <c r="B1112" s="18" t="str">
        <f>"056194"</f>
        <v>056194</v>
      </c>
      <c r="C1112" s="19" t="s">
        <v>1115</v>
      </c>
      <c r="D1112" s="19" t="s">
        <v>16546</v>
      </c>
      <c r="E1112" s="19" t="s">
        <v>31109</v>
      </c>
      <c r="F1112" s="19" t="s">
        <v>35978</v>
      </c>
      <c r="G1112" s="18" t="str">
        <f>"90019"</f>
        <v>90019</v>
      </c>
      <c r="H1112" s="19" t="s">
        <v>31109</v>
      </c>
      <c r="I1112" s="20">
        <v>22.172000000000001</v>
      </c>
      <c r="J1112" s="44" t="s">
        <v>8</v>
      </c>
      <c r="K1112" s="23" t="s">
        <v>8</v>
      </c>
      <c r="L1112" s="23" t="s">
        <v>8</v>
      </c>
      <c r="M1112" s="23" t="s">
        <v>8</v>
      </c>
    </row>
    <row r="1113" spans="1:13" s="21" customFormat="1" x14ac:dyDescent="0.25">
      <c r="A1113" s="22" t="s">
        <v>8</v>
      </c>
      <c r="B1113" s="18" t="str">
        <f>"056195"</f>
        <v>056195</v>
      </c>
      <c r="C1113" s="19" t="s">
        <v>1116</v>
      </c>
      <c r="D1113" s="19" t="s">
        <v>16547</v>
      </c>
      <c r="E1113" s="19" t="s">
        <v>31109</v>
      </c>
      <c r="F1113" s="19" t="s">
        <v>35978</v>
      </c>
      <c r="G1113" s="18" t="str">
        <f>"90036"</f>
        <v>90036</v>
      </c>
      <c r="H1113" s="19" t="s">
        <v>31109</v>
      </c>
      <c r="I1113" s="20">
        <v>19.855</v>
      </c>
      <c r="J1113" s="44" t="s">
        <v>8</v>
      </c>
      <c r="K1113" s="23" t="s">
        <v>8</v>
      </c>
      <c r="L1113" s="23" t="s">
        <v>8</v>
      </c>
      <c r="M1113" s="23" t="s">
        <v>8</v>
      </c>
    </row>
    <row r="1114" spans="1:13" s="21" customFormat="1" x14ac:dyDescent="0.25">
      <c r="A1114" s="22" t="s">
        <v>8</v>
      </c>
      <c r="B1114" s="18" t="str">
        <f>"056198"</f>
        <v>056198</v>
      </c>
      <c r="C1114" s="19" t="s">
        <v>1117</v>
      </c>
      <c r="D1114" s="19" t="s">
        <v>16548</v>
      </c>
      <c r="E1114" s="19" t="s">
        <v>30816</v>
      </c>
      <c r="F1114" s="19" t="s">
        <v>35978</v>
      </c>
      <c r="G1114" s="18" t="str">
        <f>"95642"</f>
        <v>95642</v>
      </c>
      <c r="H1114" s="19" t="s">
        <v>36102</v>
      </c>
      <c r="I1114" s="20">
        <v>22.196999999999999</v>
      </c>
      <c r="J1114" s="44" t="s">
        <v>8</v>
      </c>
      <c r="K1114" s="23" t="s">
        <v>8</v>
      </c>
      <c r="L1114" s="23" t="s">
        <v>8</v>
      </c>
      <c r="M1114" s="23" t="s">
        <v>8</v>
      </c>
    </row>
    <row r="1115" spans="1:13" s="21" customFormat="1" x14ac:dyDescent="0.25">
      <c r="A1115" s="22" t="s">
        <v>8</v>
      </c>
      <c r="B1115" s="18" t="str">
        <f>"056200"</f>
        <v>056200</v>
      </c>
      <c r="C1115" s="19" t="s">
        <v>1118</v>
      </c>
      <c r="D1115" s="19" t="s">
        <v>16549</v>
      </c>
      <c r="E1115" s="19" t="s">
        <v>31263</v>
      </c>
      <c r="F1115" s="19" t="s">
        <v>35978</v>
      </c>
      <c r="G1115" s="18" t="str">
        <f>"93023"</f>
        <v>93023</v>
      </c>
      <c r="H1115" s="19" t="s">
        <v>31228</v>
      </c>
      <c r="I1115" s="20">
        <v>17.355</v>
      </c>
      <c r="J1115" s="44" t="s">
        <v>8</v>
      </c>
      <c r="K1115" s="23" t="s">
        <v>8</v>
      </c>
      <c r="L1115" s="23" t="s">
        <v>8</v>
      </c>
      <c r="M1115" s="23" t="s">
        <v>8</v>
      </c>
    </row>
    <row r="1116" spans="1:13" s="21" customFormat="1" x14ac:dyDescent="0.25">
      <c r="A1116" s="22" t="s">
        <v>8</v>
      </c>
      <c r="B1116" s="18" t="str">
        <f>"056201"</f>
        <v>056201</v>
      </c>
      <c r="C1116" s="19" t="s">
        <v>1119</v>
      </c>
      <c r="D1116" s="19" t="s">
        <v>16550</v>
      </c>
      <c r="E1116" s="19" t="s">
        <v>31117</v>
      </c>
      <c r="F1116" s="19" t="s">
        <v>35978</v>
      </c>
      <c r="G1116" s="18" t="str">
        <f>"91776"</f>
        <v>91776</v>
      </c>
      <c r="H1116" s="19" t="s">
        <v>31109</v>
      </c>
      <c r="I1116" s="20">
        <v>18</v>
      </c>
      <c r="J1116" s="44" t="s">
        <v>8</v>
      </c>
      <c r="K1116" s="23" t="s">
        <v>8</v>
      </c>
      <c r="L1116" s="23" t="s">
        <v>8</v>
      </c>
      <c r="M1116" s="23" t="s">
        <v>8</v>
      </c>
    </row>
    <row r="1117" spans="1:13" s="21" customFormat="1" x14ac:dyDescent="0.25">
      <c r="A1117" s="22" t="s">
        <v>8</v>
      </c>
      <c r="B1117" s="18" t="str">
        <f>"056203"</f>
        <v>056203</v>
      </c>
      <c r="C1117" s="19" t="s">
        <v>1120</v>
      </c>
      <c r="D1117" s="19" t="s">
        <v>16551</v>
      </c>
      <c r="E1117" s="19" t="s">
        <v>31146</v>
      </c>
      <c r="F1117" s="19" t="s">
        <v>35978</v>
      </c>
      <c r="G1117" s="18" t="str">
        <f>"94109"</f>
        <v>94109</v>
      </c>
      <c r="H1117" s="19" t="s">
        <v>31146</v>
      </c>
      <c r="I1117" s="20">
        <v>19.641999999999999</v>
      </c>
      <c r="J1117" s="44" t="s">
        <v>8</v>
      </c>
      <c r="K1117" s="23" t="s">
        <v>8</v>
      </c>
      <c r="L1117" s="23" t="s">
        <v>8</v>
      </c>
      <c r="M1117" s="23" t="s">
        <v>8</v>
      </c>
    </row>
    <row r="1118" spans="1:13" s="21" customFormat="1" x14ac:dyDescent="0.25">
      <c r="A1118" s="22" t="s">
        <v>8</v>
      </c>
      <c r="B1118" s="18" t="str">
        <f>"056205"</f>
        <v>056205</v>
      </c>
      <c r="C1118" s="19" t="s">
        <v>1121</v>
      </c>
      <c r="D1118" s="19" t="s">
        <v>16552</v>
      </c>
      <c r="E1118" s="19" t="s">
        <v>31133</v>
      </c>
      <c r="F1118" s="19" t="s">
        <v>35978</v>
      </c>
      <c r="G1118" s="18" t="str">
        <f>"94044"</f>
        <v>94044</v>
      </c>
      <c r="H1118" s="19" t="s">
        <v>31152</v>
      </c>
      <c r="I1118" s="20">
        <v>16.242000000000001</v>
      </c>
      <c r="J1118" s="44" t="s">
        <v>8</v>
      </c>
      <c r="K1118" s="23" t="s">
        <v>8</v>
      </c>
      <c r="L1118" s="23" t="s">
        <v>8</v>
      </c>
      <c r="M1118" s="23" t="s">
        <v>8</v>
      </c>
    </row>
    <row r="1119" spans="1:13" s="21" customFormat="1" x14ac:dyDescent="0.25">
      <c r="A1119" s="22" t="s">
        <v>8</v>
      </c>
      <c r="B1119" s="18" t="str">
        <f>"056206"</f>
        <v>056206</v>
      </c>
      <c r="C1119" s="19" t="s">
        <v>1122</v>
      </c>
      <c r="D1119" s="19" t="s">
        <v>16553</v>
      </c>
      <c r="E1119" s="19" t="s">
        <v>31109</v>
      </c>
      <c r="F1119" s="19" t="s">
        <v>35978</v>
      </c>
      <c r="G1119" s="18" t="str">
        <f>"90011"</f>
        <v>90011</v>
      </c>
      <c r="H1119" s="19" t="s">
        <v>31109</v>
      </c>
      <c r="I1119" s="20">
        <v>21.616</v>
      </c>
      <c r="J1119" s="44" t="s">
        <v>8</v>
      </c>
      <c r="K1119" s="23" t="s">
        <v>8</v>
      </c>
      <c r="L1119" s="23" t="s">
        <v>8</v>
      </c>
      <c r="M1119" s="23" t="s">
        <v>8</v>
      </c>
    </row>
    <row r="1120" spans="1:13" s="21" customFormat="1" x14ac:dyDescent="0.25">
      <c r="A1120" s="22" t="s">
        <v>8</v>
      </c>
      <c r="B1120" s="18" t="str">
        <f>"056207"</f>
        <v>056207</v>
      </c>
      <c r="C1120" s="19" t="s">
        <v>1123</v>
      </c>
      <c r="D1120" s="19" t="s">
        <v>16554</v>
      </c>
      <c r="E1120" s="19" t="s">
        <v>31155</v>
      </c>
      <c r="F1120" s="19" t="s">
        <v>35978</v>
      </c>
      <c r="G1120" s="18" t="str">
        <f>"93727"</f>
        <v>93727</v>
      </c>
      <c r="H1120" s="19" t="s">
        <v>31155</v>
      </c>
      <c r="I1120" s="20">
        <v>16.134</v>
      </c>
      <c r="J1120" s="44" t="s">
        <v>8</v>
      </c>
      <c r="K1120" s="23" t="s">
        <v>8</v>
      </c>
      <c r="L1120" s="23" t="s">
        <v>8</v>
      </c>
      <c r="M1120" s="23" t="s">
        <v>8</v>
      </c>
    </row>
    <row r="1121" spans="1:13" s="21" customFormat="1" x14ac:dyDescent="0.25">
      <c r="A1121" s="22" t="s">
        <v>8</v>
      </c>
      <c r="B1121" s="18" t="str">
        <f>"056212"</f>
        <v>056212</v>
      </c>
      <c r="C1121" s="19" t="s">
        <v>1124</v>
      </c>
      <c r="D1121" s="19" t="s">
        <v>16555</v>
      </c>
      <c r="E1121" s="19" t="s">
        <v>31188</v>
      </c>
      <c r="F1121" s="19" t="s">
        <v>35978</v>
      </c>
      <c r="G1121" s="18" t="str">
        <f>"95125"</f>
        <v>95125</v>
      </c>
      <c r="H1121" s="19" t="s">
        <v>31241</v>
      </c>
      <c r="I1121" s="20">
        <v>20.064</v>
      </c>
      <c r="J1121" s="44" t="s">
        <v>8</v>
      </c>
      <c r="K1121" s="23" t="s">
        <v>8</v>
      </c>
      <c r="L1121" s="23" t="s">
        <v>8</v>
      </c>
      <c r="M1121" s="23" t="s">
        <v>8</v>
      </c>
    </row>
    <row r="1122" spans="1:13" s="21" customFormat="1" x14ac:dyDescent="0.25">
      <c r="A1122" s="22" t="s">
        <v>8</v>
      </c>
      <c r="B1122" s="18" t="str">
        <f>"056213"</f>
        <v>056213</v>
      </c>
      <c r="C1122" s="19" t="s">
        <v>1125</v>
      </c>
      <c r="D1122" s="19" t="s">
        <v>16556</v>
      </c>
      <c r="E1122" s="19" t="s">
        <v>31304</v>
      </c>
      <c r="F1122" s="19" t="s">
        <v>35978</v>
      </c>
      <c r="G1122" s="18" t="str">
        <f>"94598"</f>
        <v>94598</v>
      </c>
      <c r="H1122" s="19" t="s">
        <v>36088</v>
      </c>
      <c r="I1122" s="20">
        <v>20.914000000000001</v>
      </c>
      <c r="J1122" s="44" t="s">
        <v>8</v>
      </c>
      <c r="K1122" s="23" t="s">
        <v>8</v>
      </c>
      <c r="L1122" s="23" t="s">
        <v>8</v>
      </c>
      <c r="M1122" s="23" t="s">
        <v>8</v>
      </c>
    </row>
    <row r="1123" spans="1:13" s="21" customFormat="1" x14ac:dyDescent="0.25">
      <c r="A1123" s="22" t="s">
        <v>8</v>
      </c>
      <c r="B1123" s="18" t="str">
        <f>"056214"</f>
        <v>056214</v>
      </c>
      <c r="C1123" s="19" t="s">
        <v>1126</v>
      </c>
      <c r="D1123" s="19" t="s">
        <v>16557</v>
      </c>
      <c r="E1123" s="19" t="s">
        <v>31163</v>
      </c>
      <c r="F1123" s="19" t="s">
        <v>35978</v>
      </c>
      <c r="G1123" s="18" t="str">
        <f>"92543"</f>
        <v>92543</v>
      </c>
      <c r="H1123" s="19" t="s">
        <v>31112</v>
      </c>
      <c r="I1123" s="20">
        <v>22.844999999999999</v>
      </c>
      <c r="J1123" s="44" t="s">
        <v>8</v>
      </c>
      <c r="K1123" s="23" t="s">
        <v>8</v>
      </c>
      <c r="L1123" s="23" t="s">
        <v>8</v>
      </c>
      <c r="M1123" s="23" t="s">
        <v>8</v>
      </c>
    </row>
    <row r="1124" spans="1:13" s="21" customFormat="1" x14ac:dyDescent="0.25">
      <c r="A1124" s="22" t="s">
        <v>8</v>
      </c>
      <c r="B1124" s="18" t="str">
        <f>"056215"</f>
        <v>056215</v>
      </c>
      <c r="C1124" s="19" t="s">
        <v>1127</v>
      </c>
      <c r="D1124" s="19" t="s">
        <v>16558</v>
      </c>
      <c r="E1124" s="19" t="s">
        <v>31305</v>
      </c>
      <c r="F1124" s="19" t="s">
        <v>35978</v>
      </c>
      <c r="G1124" s="18" t="str">
        <f>"95490"</f>
        <v>95490</v>
      </c>
      <c r="H1124" s="19" t="s">
        <v>36099</v>
      </c>
      <c r="I1124" s="20">
        <v>16.468</v>
      </c>
      <c r="J1124" s="44" t="s">
        <v>8</v>
      </c>
      <c r="K1124" s="23" t="s">
        <v>8</v>
      </c>
      <c r="L1124" s="23" t="s">
        <v>8</v>
      </c>
      <c r="M1124" s="23" t="s">
        <v>8</v>
      </c>
    </row>
    <row r="1125" spans="1:13" s="21" customFormat="1" x14ac:dyDescent="0.25">
      <c r="A1125" s="22" t="s">
        <v>8</v>
      </c>
      <c r="B1125" s="18" t="str">
        <f>"056216"</f>
        <v>056216</v>
      </c>
      <c r="C1125" s="19" t="s">
        <v>1128</v>
      </c>
      <c r="D1125" s="19" t="s">
        <v>16559</v>
      </c>
      <c r="E1125" s="19" t="s">
        <v>31267</v>
      </c>
      <c r="F1125" s="19" t="s">
        <v>35978</v>
      </c>
      <c r="G1125" s="18" t="str">
        <f>"95336"</f>
        <v>95336</v>
      </c>
      <c r="H1125" s="19" t="s">
        <v>36087</v>
      </c>
      <c r="I1125" s="20">
        <v>18.681000000000001</v>
      </c>
      <c r="J1125" s="44" t="s">
        <v>8</v>
      </c>
      <c r="K1125" s="23" t="s">
        <v>8</v>
      </c>
      <c r="L1125" s="23" t="s">
        <v>8</v>
      </c>
      <c r="M1125" s="23" t="s">
        <v>8</v>
      </c>
    </row>
    <row r="1126" spans="1:13" s="21" customFormat="1" x14ac:dyDescent="0.25">
      <c r="A1126" s="22" t="s">
        <v>8</v>
      </c>
      <c r="B1126" s="18" t="str">
        <f>"056218"</f>
        <v>056218</v>
      </c>
      <c r="C1126" s="19" t="s">
        <v>1129</v>
      </c>
      <c r="D1126" s="19" t="s">
        <v>16560</v>
      </c>
      <c r="E1126" s="19" t="s">
        <v>31306</v>
      </c>
      <c r="F1126" s="19" t="s">
        <v>35978</v>
      </c>
      <c r="G1126" s="18" t="str">
        <f>"90201"</f>
        <v>90201</v>
      </c>
      <c r="H1126" s="19" t="s">
        <v>31109</v>
      </c>
      <c r="I1126" s="20">
        <v>19.114999999999998</v>
      </c>
      <c r="J1126" s="44" t="s">
        <v>8</v>
      </c>
      <c r="K1126" s="23" t="s">
        <v>8</v>
      </c>
      <c r="L1126" s="23" t="s">
        <v>8</v>
      </c>
      <c r="M1126" s="23" t="s">
        <v>8</v>
      </c>
    </row>
    <row r="1127" spans="1:13" s="21" customFormat="1" x14ac:dyDescent="0.25">
      <c r="A1127" s="22" t="s">
        <v>8</v>
      </c>
      <c r="B1127" s="18" t="str">
        <f>"056220"</f>
        <v>056220</v>
      </c>
      <c r="C1127" s="19" t="s">
        <v>1130</v>
      </c>
      <c r="D1127" s="19" t="s">
        <v>16561</v>
      </c>
      <c r="E1127" s="19" t="s">
        <v>31307</v>
      </c>
      <c r="F1127" s="19" t="s">
        <v>35978</v>
      </c>
      <c r="G1127" s="18" t="str">
        <f>"90201"</f>
        <v>90201</v>
      </c>
      <c r="H1127" s="19" t="s">
        <v>31109</v>
      </c>
      <c r="I1127" s="20">
        <v>19.774999999999999</v>
      </c>
      <c r="J1127" s="44" t="s">
        <v>8</v>
      </c>
      <c r="K1127" s="23" t="s">
        <v>8</v>
      </c>
      <c r="L1127" s="23" t="s">
        <v>8</v>
      </c>
      <c r="M1127" s="23" t="s">
        <v>8</v>
      </c>
    </row>
    <row r="1128" spans="1:13" s="21" customFormat="1" x14ac:dyDescent="0.25">
      <c r="A1128" s="22" t="s">
        <v>8</v>
      </c>
      <c r="B1128" s="18" t="str">
        <f>"056222"</f>
        <v>056222</v>
      </c>
      <c r="C1128" s="19" t="s">
        <v>1131</v>
      </c>
      <c r="D1128" s="19" t="s">
        <v>16562</v>
      </c>
      <c r="E1128" s="19" t="s">
        <v>31217</v>
      </c>
      <c r="F1128" s="19" t="s">
        <v>35978</v>
      </c>
      <c r="G1128" s="18" t="str">
        <f>"96002"</f>
        <v>96002</v>
      </c>
      <c r="H1128" s="19" t="s">
        <v>36097</v>
      </c>
      <c r="I1128" s="20">
        <v>16.501999999999999</v>
      </c>
      <c r="J1128" s="44" t="s">
        <v>8</v>
      </c>
      <c r="K1128" s="23" t="s">
        <v>8</v>
      </c>
      <c r="L1128" s="23" t="s">
        <v>8</v>
      </c>
      <c r="M1128" s="23" t="s">
        <v>8</v>
      </c>
    </row>
    <row r="1129" spans="1:13" s="21" customFormat="1" x14ac:dyDescent="0.25">
      <c r="A1129" s="22" t="s">
        <v>8</v>
      </c>
      <c r="B1129" s="18" t="str">
        <f>"056225"</f>
        <v>056225</v>
      </c>
      <c r="C1129" s="19" t="s">
        <v>1108</v>
      </c>
      <c r="D1129" s="19" t="s">
        <v>16563</v>
      </c>
      <c r="E1129" s="19" t="s">
        <v>31155</v>
      </c>
      <c r="F1129" s="19" t="s">
        <v>35978</v>
      </c>
      <c r="G1129" s="18" t="str">
        <f>"93727"</f>
        <v>93727</v>
      </c>
      <c r="H1129" s="19" t="s">
        <v>31155</v>
      </c>
      <c r="I1129" s="20">
        <v>20.946000000000002</v>
      </c>
      <c r="J1129" s="44" t="s">
        <v>8</v>
      </c>
      <c r="K1129" s="23" t="s">
        <v>8</v>
      </c>
      <c r="L1129" s="23" t="s">
        <v>8</v>
      </c>
      <c r="M1129" s="23" t="s">
        <v>8</v>
      </c>
    </row>
    <row r="1130" spans="1:13" s="21" customFormat="1" x14ac:dyDescent="0.25">
      <c r="A1130" s="22" t="s">
        <v>8</v>
      </c>
      <c r="B1130" s="18" t="str">
        <f>"056228"</f>
        <v>056228</v>
      </c>
      <c r="C1130" s="19" t="s">
        <v>1132</v>
      </c>
      <c r="D1130" s="19" t="s">
        <v>16564</v>
      </c>
      <c r="E1130" s="19" t="s">
        <v>31276</v>
      </c>
      <c r="F1130" s="19" t="s">
        <v>35978</v>
      </c>
      <c r="G1130" s="18" t="str">
        <f>"91790"</f>
        <v>91790</v>
      </c>
      <c r="H1130" s="19" t="s">
        <v>31109</v>
      </c>
      <c r="I1130" s="20">
        <v>17.459</v>
      </c>
      <c r="J1130" s="44" t="s">
        <v>8</v>
      </c>
      <c r="K1130" s="23" t="s">
        <v>8</v>
      </c>
      <c r="L1130" s="23" t="s">
        <v>8</v>
      </c>
      <c r="M1130" s="23" t="s">
        <v>8</v>
      </c>
    </row>
    <row r="1131" spans="1:13" s="21" customFormat="1" x14ac:dyDescent="0.25">
      <c r="A1131" s="22" t="s">
        <v>8</v>
      </c>
      <c r="B1131" s="18" t="str">
        <f>"056229"</f>
        <v>056229</v>
      </c>
      <c r="C1131" s="19" t="s">
        <v>1133</v>
      </c>
      <c r="D1131" s="19" t="s">
        <v>16565</v>
      </c>
      <c r="E1131" s="19" t="s">
        <v>31308</v>
      </c>
      <c r="F1131" s="19" t="s">
        <v>35978</v>
      </c>
      <c r="G1131" s="18" t="str">
        <f>"92262"</f>
        <v>92262</v>
      </c>
      <c r="H1131" s="19" t="s">
        <v>31112</v>
      </c>
      <c r="I1131" s="20">
        <v>21.931000000000001</v>
      </c>
      <c r="J1131" s="44" t="s">
        <v>8</v>
      </c>
      <c r="K1131" s="23" t="s">
        <v>8</v>
      </c>
      <c r="L1131" s="23" t="s">
        <v>8</v>
      </c>
      <c r="M1131" s="23" t="s">
        <v>8</v>
      </c>
    </row>
    <row r="1132" spans="1:13" s="21" customFormat="1" x14ac:dyDescent="0.25">
      <c r="A1132" s="22" t="s">
        <v>8</v>
      </c>
      <c r="B1132" s="18" t="str">
        <f>"056231"</f>
        <v>056231</v>
      </c>
      <c r="C1132" s="19" t="s">
        <v>1134</v>
      </c>
      <c r="D1132" s="19" t="s">
        <v>16566</v>
      </c>
      <c r="E1132" s="19" t="s">
        <v>31309</v>
      </c>
      <c r="F1132" s="19" t="s">
        <v>35978</v>
      </c>
      <c r="G1132" s="18" t="str">
        <f>"96130"</f>
        <v>96130</v>
      </c>
      <c r="H1132" s="19" t="s">
        <v>36103</v>
      </c>
      <c r="I1132" s="20">
        <v>18.77</v>
      </c>
      <c r="J1132" s="44" t="s">
        <v>8</v>
      </c>
      <c r="K1132" s="23" t="s">
        <v>8</v>
      </c>
      <c r="L1132" s="23" t="s">
        <v>8</v>
      </c>
      <c r="M1132" s="23" t="s">
        <v>8</v>
      </c>
    </row>
    <row r="1133" spans="1:13" s="21" customFormat="1" x14ac:dyDescent="0.25">
      <c r="A1133" s="22" t="s">
        <v>8</v>
      </c>
      <c r="B1133" s="18" t="str">
        <f>"056234"</f>
        <v>056234</v>
      </c>
      <c r="C1133" s="19" t="s">
        <v>1135</v>
      </c>
      <c r="D1133" s="19" t="s">
        <v>16567</v>
      </c>
      <c r="E1133" s="19" t="s">
        <v>31111</v>
      </c>
      <c r="F1133" s="19" t="s">
        <v>35978</v>
      </c>
      <c r="G1133" s="18" t="str">
        <f>"90804"</f>
        <v>90804</v>
      </c>
      <c r="H1133" s="19" t="s">
        <v>31109</v>
      </c>
      <c r="I1133" s="20">
        <v>16.141999999999999</v>
      </c>
      <c r="J1133" s="44" t="s">
        <v>8</v>
      </c>
      <c r="K1133" s="23" t="s">
        <v>8</v>
      </c>
      <c r="L1133" s="23" t="s">
        <v>8</v>
      </c>
      <c r="M1133" s="23" t="s">
        <v>8</v>
      </c>
    </row>
    <row r="1134" spans="1:13" s="21" customFormat="1" x14ac:dyDescent="0.25">
      <c r="A1134" s="22" t="s">
        <v>8</v>
      </c>
      <c r="B1134" s="18" t="str">
        <f>"056237"</f>
        <v>056237</v>
      </c>
      <c r="C1134" s="19" t="s">
        <v>1136</v>
      </c>
      <c r="D1134" s="19" t="s">
        <v>16568</v>
      </c>
      <c r="E1134" s="19" t="s">
        <v>31109</v>
      </c>
      <c r="F1134" s="19" t="s">
        <v>35978</v>
      </c>
      <c r="G1134" s="18" t="str">
        <f>"90006"</f>
        <v>90006</v>
      </c>
      <c r="H1134" s="19" t="s">
        <v>31109</v>
      </c>
      <c r="I1134" s="20">
        <v>17.890999999999998</v>
      </c>
      <c r="J1134" s="44" t="s">
        <v>8</v>
      </c>
      <c r="K1134" s="23" t="s">
        <v>8</v>
      </c>
      <c r="L1134" s="23" t="s">
        <v>8</v>
      </c>
      <c r="M1134" s="23" t="s">
        <v>8</v>
      </c>
    </row>
    <row r="1135" spans="1:13" s="21" customFormat="1" x14ac:dyDescent="0.25">
      <c r="A1135" s="22" t="s">
        <v>8</v>
      </c>
      <c r="B1135" s="18" t="str">
        <f>"056238"</f>
        <v>056238</v>
      </c>
      <c r="C1135" s="19" t="s">
        <v>1137</v>
      </c>
      <c r="D1135" s="19" t="s">
        <v>16569</v>
      </c>
      <c r="E1135" s="19" t="s">
        <v>31162</v>
      </c>
      <c r="F1135" s="19" t="s">
        <v>35978</v>
      </c>
      <c r="G1135" s="18" t="str">
        <f>"94589"</f>
        <v>94589</v>
      </c>
      <c r="H1135" s="19" t="s">
        <v>36086</v>
      </c>
      <c r="I1135" s="20">
        <v>18.449000000000002</v>
      </c>
      <c r="J1135" s="44" t="s">
        <v>8</v>
      </c>
      <c r="K1135" s="23" t="s">
        <v>8</v>
      </c>
      <c r="L1135" s="23" t="s">
        <v>8</v>
      </c>
      <c r="M1135" s="23" t="s">
        <v>8</v>
      </c>
    </row>
    <row r="1136" spans="1:13" s="21" customFormat="1" x14ac:dyDescent="0.25">
      <c r="A1136" s="22" t="s">
        <v>8</v>
      </c>
      <c r="B1136" s="18" t="str">
        <f>"056242"</f>
        <v>056242</v>
      </c>
      <c r="C1136" s="19" t="s">
        <v>1138</v>
      </c>
      <c r="D1136" s="19" t="s">
        <v>16570</v>
      </c>
      <c r="E1136" s="19" t="s">
        <v>31109</v>
      </c>
      <c r="F1136" s="19" t="s">
        <v>35978</v>
      </c>
      <c r="G1136" s="18" t="str">
        <f>"90057"</f>
        <v>90057</v>
      </c>
      <c r="H1136" s="19" t="s">
        <v>31109</v>
      </c>
      <c r="I1136" s="20">
        <v>18.66</v>
      </c>
      <c r="J1136" s="44" t="s">
        <v>8</v>
      </c>
      <c r="K1136" s="23" t="s">
        <v>8</v>
      </c>
      <c r="L1136" s="23" t="s">
        <v>8</v>
      </c>
      <c r="M1136" s="23" t="s">
        <v>8</v>
      </c>
    </row>
    <row r="1137" spans="1:13" s="21" customFormat="1" x14ac:dyDescent="0.25">
      <c r="A1137" s="22" t="s">
        <v>8</v>
      </c>
      <c r="B1137" s="18" t="str">
        <f>"056243"</f>
        <v>056243</v>
      </c>
      <c r="C1137" s="19" t="s">
        <v>1139</v>
      </c>
      <c r="D1137" s="19" t="s">
        <v>16571</v>
      </c>
      <c r="E1137" s="19" t="s">
        <v>31215</v>
      </c>
      <c r="F1137" s="19" t="s">
        <v>35978</v>
      </c>
      <c r="G1137" s="18" t="str">
        <f>"95667"</f>
        <v>95667</v>
      </c>
      <c r="H1137" s="19" t="s">
        <v>31015</v>
      </c>
      <c r="I1137" s="20">
        <v>20.512</v>
      </c>
      <c r="J1137" s="44" t="s">
        <v>8</v>
      </c>
      <c r="K1137" s="23" t="s">
        <v>8</v>
      </c>
      <c r="L1137" s="23" t="s">
        <v>8</v>
      </c>
      <c r="M1137" s="23" t="s">
        <v>8</v>
      </c>
    </row>
    <row r="1138" spans="1:13" s="21" customFormat="1" x14ac:dyDescent="0.25">
      <c r="A1138" s="22" t="s">
        <v>8</v>
      </c>
      <c r="B1138" s="18" t="str">
        <f>"056244"</f>
        <v>056244</v>
      </c>
      <c r="C1138" s="19" t="s">
        <v>1140</v>
      </c>
      <c r="D1138" s="19" t="s">
        <v>16572</v>
      </c>
      <c r="E1138" s="19" t="s">
        <v>31109</v>
      </c>
      <c r="F1138" s="19" t="s">
        <v>35978</v>
      </c>
      <c r="G1138" s="18" t="str">
        <f>"90057"</f>
        <v>90057</v>
      </c>
      <c r="H1138" s="19" t="s">
        <v>31109</v>
      </c>
      <c r="I1138" s="20">
        <v>24.818999999999999</v>
      </c>
      <c r="J1138" s="44" t="s">
        <v>8</v>
      </c>
      <c r="K1138" s="23" t="s">
        <v>8</v>
      </c>
      <c r="L1138" s="23" t="s">
        <v>8</v>
      </c>
      <c r="M1138" s="23" t="s">
        <v>8</v>
      </c>
    </row>
    <row r="1139" spans="1:13" s="21" customFormat="1" x14ac:dyDescent="0.25">
      <c r="A1139" s="22" t="s">
        <v>8</v>
      </c>
      <c r="B1139" s="18" t="str">
        <f>"056245"</f>
        <v>056245</v>
      </c>
      <c r="C1139" s="19" t="s">
        <v>1141</v>
      </c>
      <c r="D1139" s="19" t="s">
        <v>16573</v>
      </c>
      <c r="E1139" s="19" t="s">
        <v>31146</v>
      </c>
      <c r="F1139" s="19" t="s">
        <v>35978</v>
      </c>
      <c r="G1139" s="18" t="str">
        <f>"94117"</f>
        <v>94117</v>
      </c>
      <c r="H1139" s="19" t="s">
        <v>31146</v>
      </c>
      <c r="I1139" s="20">
        <v>15.605</v>
      </c>
      <c r="J1139" s="44" t="s">
        <v>8</v>
      </c>
      <c r="K1139" s="23" t="s">
        <v>8</v>
      </c>
      <c r="L1139" s="23" t="s">
        <v>8</v>
      </c>
      <c r="M1139" s="23" t="s">
        <v>8</v>
      </c>
    </row>
    <row r="1140" spans="1:13" s="21" customFormat="1" x14ac:dyDescent="0.25">
      <c r="A1140" s="22" t="s">
        <v>8</v>
      </c>
      <c r="B1140" s="18" t="str">
        <f>"056250"</f>
        <v>056250</v>
      </c>
      <c r="C1140" s="19" t="s">
        <v>1142</v>
      </c>
      <c r="D1140" s="19" t="s">
        <v>16574</v>
      </c>
      <c r="E1140" s="19" t="s">
        <v>31310</v>
      </c>
      <c r="F1140" s="19" t="s">
        <v>35978</v>
      </c>
      <c r="G1140" s="18" t="str">
        <f>"91423"</f>
        <v>91423</v>
      </c>
      <c r="H1140" s="19" t="s">
        <v>31109</v>
      </c>
      <c r="I1140" s="20">
        <v>23.596</v>
      </c>
      <c r="J1140" s="44" t="s">
        <v>8</v>
      </c>
      <c r="K1140" s="23" t="s">
        <v>8</v>
      </c>
      <c r="L1140" s="23" t="s">
        <v>8</v>
      </c>
      <c r="M1140" s="23" t="s">
        <v>8</v>
      </c>
    </row>
    <row r="1141" spans="1:13" s="21" customFormat="1" x14ac:dyDescent="0.25">
      <c r="A1141" s="22" t="s">
        <v>8</v>
      </c>
      <c r="B1141" s="18" t="str">
        <f>"056253"</f>
        <v>056253</v>
      </c>
      <c r="C1141" s="19" t="s">
        <v>1143</v>
      </c>
      <c r="D1141" s="19" t="s">
        <v>16575</v>
      </c>
      <c r="E1141" s="19" t="s">
        <v>31298</v>
      </c>
      <c r="F1141" s="19" t="s">
        <v>35978</v>
      </c>
      <c r="G1141" s="18" t="str">
        <f>"91411"</f>
        <v>91411</v>
      </c>
      <c r="H1141" s="19" t="s">
        <v>31109</v>
      </c>
      <c r="I1141" s="20">
        <v>20.425000000000001</v>
      </c>
      <c r="J1141" s="44" t="s">
        <v>8</v>
      </c>
      <c r="K1141" s="23" t="s">
        <v>8</v>
      </c>
      <c r="L1141" s="23" t="s">
        <v>8</v>
      </c>
      <c r="M1141" s="23" t="s">
        <v>8</v>
      </c>
    </row>
    <row r="1142" spans="1:13" s="21" customFormat="1" x14ac:dyDescent="0.25">
      <c r="A1142" s="22" t="s">
        <v>8</v>
      </c>
      <c r="B1142" s="18" t="str">
        <f>"056258"</f>
        <v>056258</v>
      </c>
      <c r="C1142" s="19" t="s">
        <v>1144</v>
      </c>
      <c r="D1142" s="19" t="s">
        <v>16576</v>
      </c>
      <c r="E1142" s="19" t="s">
        <v>31217</v>
      </c>
      <c r="F1142" s="19" t="s">
        <v>35978</v>
      </c>
      <c r="G1142" s="18" t="str">
        <f>"96001"</f>
        <v>96001</v>
      </c>
      <c r="H1142" s="19" t="s">
        <v>36097</v>
      </c>
      <c r="I1142" s="20">
        <v>18.372</v>
      </c>
      <c r="J1142" s="44" t="s">
        <v>8</v>
      </c>
      <c r="K1142" s="23" t="s">
        <v>8</v>
      </c>
      <c r="L1142" s="23" t="s">
        <v>8</v>
      </c>
      <c r="M1142" s="23" t="s">
        <v>8</v>
      </c>
    </row>
    <row r="1143" spans="1:13" s="21" customFormat="1" x14ac:dyDescent="0.25">
      <c r="A1143" s="22" t="s">
        <v>8</v>
      </c>
      <c r="B1143" s="18" t="str">
        <f>"056259"</f>
        <v>056259</v>
      </c>
      <c r="C1143" s="19" t="s">
        <v>1145</v>
      </c>
      <c r="D1143" s="19" t="s">
        <v>16577</v>
      </c>
      <c r="E1143" s="19" t="s">
        <v>31260</v>
      </c>
      <c r="F1143" s="19" t="s">
        <v>35978</v>
      </c>
      <c r="G1143" s="18" t="str">
        <f>"95407"</f>
        <v>95407</v>
      </c>
      <c r="H1143" s="19" t="s">
        <v>31174</v>
      </c>
      <c r="I1143" s="20">
        <v>19.983000000000001</v>
      </c>
      <c r="J1143" s="44" t="s">
        <v>8</v>
      </c>
      <c r="K1143" s="23" t="s">
        <v>8</v>
      </c>
      <c r="L1143" s="23" t="s">
        <v>8</v>
      </c>
      <c r="M1143" s="23" t="s">
        <v>8</v>
      </c>
    </row>
    <row r="1144" spans="1:13" s="21" customFormat="1" x14ac:dyDescent="0.25">
      <c r="A1144" s="22" t="s">
        <v>8</v>
      </c>
      <c r="B1144" s="18" t="str">
        <f>"056260"</f>
        <v>056260</v>
      </c>
      <c r="C1144" s="19" t="s">
        <v>1146</v>
      </c>
      <c r="D1144" s="19" t="s">
        <v>16578</v>
      </c>
      <c r="E1144" s="19" t="s">
        <v>31141</v>
      </c>
      <c r="F1144" s="19" t="s">
        <v>35978</v>
      </c>
      <c r="G1144" s="18" t="str">
        <f>"94520"</f>
        <v>94520</v>
      </c>
      <c r="H1144" s="19" t="s">
        <v>36088</v>
      </c>
      <c r="I1144" s="20">
        <v>19.196999999999999</v>
      </c>
      <c r="J1144" s="44" t="s">
        <v>8</v>
      </c>
      <c r="K1144" s="23" t="s">
        <v>8</v>
      </c>
      <c r="L1144" s="23" t="s">
        <v>8</v>
      </c>
      <c r="M1144" s="23" t="s">
        <v>8</v>
      </c>
    </row>
    <row r="1145" spans="1:13" s="21" customFormat="1" x14ac:dyDescent="0.25">
      <c r="A1145" s="22" t="s">
        <v>8</v>
      </c>
      <c r="B1145" s="18" t="str">
        <f>"056261"</f>
        <v>056261</v>
      </c>
      <c r="C1145" s="19" t="s">
        <v>1147</v>
      </c>
      <c r="D1145" s="19" t="s">
        <v>16579</v>
      </c>
      <c r="E1145" s="19" t="s">
        <v>31243</v>
      </c>
      <c r="F1145" s="19" t="s">
        <v>35978</v>
      </c>
      <c r="G1145" s="18" t="str">
        <f>"93274"</f>
        <v>93274</v>
      </c>
      <c r="H1145" s="19" t="s">
        <v>31243</v>
      </c>
      <c r="I1145" s="20">
        <v>19.021000000000001</v>
      </c>
      <c r="J1145" s="44" t="s">
        <v>8</v>
      </c>
      <c r="K1145" s="23" t="s">
        <v>8</v>
      </c>
      <c r="L1145" s="23" t="s">
        <v>8</v>
      </c>
      <c r="M1145" s="23" t="s">
        <v>8</v>
      </c>
    </row>
    <row r="1146" spans="1:13" s="21" customFormat="1" x14ac:dyDescent="0.25">
      <c r="A1146" s="22" t="s">
        <v>8</v>
      </c>
      <c r="B1146" s="18" t="str">
        <f>"056265"</f>
        <v>056265</v>
      </c>
      <c r="C1146" s="19" t="s">
        <v>1148</v>
      </c>
      <c r="D1146" s="19" t="s">
        <v>16580</v>
      </c>
      <c r="E1146" s="19" t="s">
        <v>31311</v>
      </c>
      <c r="F1146" s="19" t="s">
        <v>35978</v>
      </c>
      <c r="G1146" s="18" t="str">
        <f>"95971"</f>
        <v>95971</v>
      </c>
      <c r="H1146" s="19" t="s">
        <v>36104</v>
      </c>
      <c r="I1146" s="20">
        <v>20.117999999999999</v>
      </c>
      <c r="J1146" s="44" t="s">
        <v>8</v>
      </c>
      <c r="K1146" s="23" t="s">
        <v>8</v>
      </c>
      <c r="L1146" s="23" t="s">
        <v>8</v>
      </c>
      <c r="M1146" s="23" t="s">
        <v>8</v>
      </c>
    </row>
    <row r="1147" spans="1:13" s="21" customFormat="1" x14ac:dyDescent="0.25">
      <c r="A1147" s="22" t="s">
        <v>8</v>
      </c>
      <c r="B1147" s="18" t="str">
        <f>"056266"</f>
        <v>056266</v>
      </c>
      <c r="C1147" s="19" t="s">
        <v>1149</v>
      </c>
      <c r="D1147" s="19" t="s">
        <v>16581</v>
      </c>
      <c r="E1147" s="19" t="s">
        <v>31155</v>
      </c>
      <c r="F1147" s="19" t="s">
        <v>35978</v>
      </c>
      <c r="G1147" s="18" t="str">
        <f>"93726"</f>
        <v>93726</v>
      </c>
      <c r="H1147" s="19" t="s">
        <v>31155</v>
      </c>
      <c r="I1147" s="20">
        <v>19.687000000000001</v>
      </c>
      <c r="J1147" s="44" t="s">
        <v>8</v>
      </c>
      <c r="K1147" s="23" t="s">
        <v>8</v>
      </c>
      <c r="L1147" s="23" t="s">
        <v>8</v>
      </c>
      <c r="M1147" s="23" t="s">
        <v>8</v>
      </c>
    </row>
    <row r="1148" spans="1:13" s="21" customFormat="1" x14ac:dyDescent="0.25">
      <c r="A1148" s="22" t="s">
        <v>8</v>
      </c>
      <c r="B1148" s="18" t="str">
        <f>"056267"</f>
        <v>056267</v>
      </c>
      <c r="C1148" s="19" t="s">
        <v>1150</v>
      </c>
      <c r="D1148" s="19" t="s">
        <v>16582</v>
      </c>
      <c r="E1148" s="19" t="s">
        <v>31312</v>
      </c>
      <c r="F1148" s="19" t="s">
        <v>35978</v>
      </c>
      <c r="G1148" s="18" t="str">
        <f>"90250"</f>
        <v>90250</v>
      </c>
      <c r="H1148" s="19" t="s">
        <v>31109</v>
      </c>
      <c r="I1148" s="20">
        <v>23.312999999999999</v>
      </c>
      <c r="J1148" s="44" t="s">
        <v>8</v>
      </c>
      <c r="K1148" s="23" t="s">
        <v>8</v>
      </c>
      <c r="L1148" s="23" t="s">
        <v>8</v>
      </c>
      <c r="M1148" s="23" t="s">
        <v>8</v>
      </c>
    </row>
    <row r="1149" spans="1:13" s="21" customFormat="1" x14ac:dyDescent="0.25">
      <c r="A1149" s="22" t="s">
        <v>8</v>
      </c>
      <c r="B1149" s="18" t="str">
        <f>"056271"</f>
        <v>056271</v>
      </c>
      <c r="C1149" s="19" t="s">
        <v>1151</v>
      </c>
      <c r="D1149" s="19" t="s">
        <v>16583</v>
      </c>
      <c r="E1149" s="19" t="s">
        <v>31313</v>
      </c>
      <c r="F1149" s="19" t="s">
        <v>35978</v>
      </c>
      <c r="G1149" s="18" t="str">
        <f>"92683"</f>
        <v>92683</v>
      </c>
      <c r="H1149" s="19" t="s">
        <v>31169</v>
      </c>
      <c r="I1149" s="20">
        <v>16.675999999999998</v>
      </c>
      <c r="J1149" s="44" t="s">
        <v>8</v>
      </c>
      <c r="K1149" s="23" t="s">
        <v>8</v>
      </c>
      <c r="L1149" s="23" t="s">
        <v>8</v>
      </c>
      <c r="M1149" s="23" t="s">
        <v>8</v>
      </c>
    </row>
    <row r="1150" spans="1:13" s="21" customFormat="1" x14ac:dyDescent="0.25">
      <c r="A1150" s="22" t="s">
        <v>8</v>
      </c>
      <c r="B1150" s="18" t="str">
        <f>"056272"</f>
        <v>056272</v>
      </c>
      <c r="C1150" s="19" t="s">
        <v>1152</v>
      </c>
      <c r="D1150" s="19" t="s">
        <v>16584</v>
      </c>
      <c r="E1150" s="19" t="s">
        <v>31146</v>
      </c>
      <c r="F1150" s="19" t="s">
        <v>35978</v>
      </c>
      <c r="G1150" s="18" t="str">
        <f>"94117"</f>
        <v>94117</v>
      </c>
      <c r="H1150" s="19" t="s">
        <v>31146</v>
      </c>
      <c r="I1150" s="20">
        <v>21.09</v>
      </c>
      <c r="J1150" s="44" t="s">
        <v>8</v>
      </c>
      <c r="K1150" s="23" t="s">
        <v>8</v>
      </c>
      <c r="L1150" s="23" t="s">
        <v>8</v>
      </c>
      <c r="M1150" s="23" t="s">
        <v>8</v>
      </c>
    </row>
    <row r="1151" spans="1:13" s="21" customFormat="1" x14ac:dyDescent="0.25">
      <c r="A1151" s="22" t="s">
        <v>8</v>
      </c>
      <c r="B1151" s="18" t="str">
        <f>"056274"</f>
        <v>056274</v>
      </c>
      <c r="C1151" s="19" t="s">
        <v>1153</v>
      </c>
      <c r="D1151" s="19" t="s">
        <v>16585</v>
      </c>
      <c r="E1151" s="19" t="s">
        <v>31212</v>
      </c>
      <c r="F1151" s="19" t="s">
        <v>35978</v>
      </c>
      <c r="G1151" s="18" t="str">
        <f>"96080"</f>
        <v>96080</v>
      </c>
      <c r="H1151" s="19" t="s">
        <v>36095</v>
      </c>
      <c r="I1151" s="20">
        <v>18.126999999999999</v>
      </c>
      <c r="J1151" s="44" t="s">
        <v>8</v>
      </c>
      <c r="K1151" s="23" t="s">
        <v>8</v>
      </c>
      <c r="L1151" s="23" t="s">
        <v>8</v>
      </c>
      <c r="M1151" s="23" t="s">
        <v>8</v>
      </c>
    </row>
    <row r="1152" spans="1:13" s="21" customFormat="1" x14ac:dyDescent="0.25">
      <c r="A1152" s="22" t="s">
        <v>8</v>
      </c>
      <c r="B1152" s="18" t="str">
        <f>"056279"</f>
        <v>056279</v>
      </c>
      <c r="C1152" s="19" t="s">
        <v>1154</v>
      </c>
      <c r="D1152" s="19" t="s">
        <v>16586</v>
      </c>
      <c r="E1152" s="19" t="s">
        <v>31257</v>
      </c>
      <c r="F1152" s="19" t="s">
        <v>35978</v>
      </c>
      <c r="G1152" s="18" t="str">
        <f>"93654"</f>
        <v>93654</v>
      </c>
      <c r="H1152" s="19" t="s">
        <v>31155</v>
      </c>
      <c r="I1152" s="20">
        <v>16.62</v>
      </c>
      <c r="J1152" s="44" t="s">
        <v>8</v>
      </c>
      <c r="K1152" s="23" t="s">
        <v>8</v>
      </c>
      <c r="L1152" s="23" t="s">
        <v>8</v>
      </c>
      <c r="M1152" s="23" t="s">
        <v>8</v>
      </c>
    </row>
    <row r="1153" spans="1:13" s="21" customFormat="1" x14ac:dyDescent="0.25">
      <c r="A1153" s="22" t="s">
        <v>8</v>
      </c>
      <c r="B1153" s="18" t="str">
        <f>"056280"</f>
        <v>056280</v>
      </c>
      <c r="C1153" s="19" t="s">
        <v>1155</v>
      </c>
      <c r="D1153" s="19" t="s">
        <v>16587</v>
      </c>
      <c r="E1153" s="19" t="s">
        <v>31143</v>
      </c>
      <c r="F1153" s="19" t="s">
        <v>35978</v>
      </c>
      <c r="G1153" s="18" t="str">
        <f>"94602"</f>
        <v>94602</v>
      </c>
      <c r="H1153" s="19" t="s">
        <v>31290</v>
      </c>
      <c r="I1153" s="20">
        <v>15.907</v>
      </c>
      <c r="J1153" s="44" t="s">
        <v>8</v>
      </c>
      <c r="K1153" s="23" t="s">
        <v>8</v>
      </c>
      <c r="L1153" s="23" t="s">
        <v>8</v>
      </c>
      <c r="M1153" s="23" t="s">
        <v>8</v>
      </c>
    </row>
    <row r="1154" spans="1:13" s="21" customFormat="1" x14ac:dyDescent="0.25">
      <c r="A1154" s="22" t="s">
        <v>8</v>
      </c>
      <c r="B1154" s="18" t="str">
        <f>"056281"</f>
        <v>056281</v>
      </c>
      <c r="C1154" s="19" t="s">
        <v>1156</v>
      </c>
      <c r="D1154" s="19" t="s">
        <v>16588</v>
      </c>
      <c r="E1154" s="19" t="s">
        <v>31155</v>
      </c>
      <c r="F1154" s="19" t="s">
        <v>35978</v>
      </c>
      <c r="G1154" s="18" t="str">
        <f>"93706"</f>
        <v>93706</v>
      </c>
      <c r="H1154" s="19" t="s">
        <v>31155</v>
      </c>
      <c r="I1154" s="20">
        <v>18.628</v>
      </c>
      <c r="J1154" s="44" t="s">
        <v>8</v>
      </c>
      <c r="K1154" s="23" t="s">
        <v>8</v>
      </c>
      <c r="L1154" s="23" t="s">
        <v>8</v>
      </c>
      <c r="M1154" s="23" t="s">
        <v>8</v>
      </c>
    </row>
    <row r="1155" spans="1:13" s="21" customFormat="1" x14ac:dyDescent="0.25">
      <c r="A1155" s="22" t="s">
        <v>8</v>
      </c>
      <c r="B1155" s="18" t="str">
        <f>"056283"</f>
        <v>056283</v>
      </c>
      <c r="C1155" s="19" t="s">
        <v>1157</v>
      </c>
      <c r="D1155" s="19" t="s">
        <v>16589</v>
      </c>
      <c r="E1155" s="19" t="s">
        <v>31111</v>
      </c>
      <c r="F1155" s="19" t="s">
        <v>35978</v>
      </c>
      <c r="G1155" s="18" t="str">
        <f>"90807"</f>
        <v>90807</v>
      </c>
      <c r="H1155" s="19" t="s">
        <v>31109</v>
      </c>
      <c r="I1155" s="20">
        <v>18.902000000000001</v>
      </c>
      <c r="J1155" s="44" t="s">
        <v>8</v>
      </c>
      <c r="K1155" s="23" t="s">
        <v>8</v>
      </c>
      <c r="L1155" s="23" t="s">
        <v>8</v>
      </c>
      <c r="M1155" s="23" t="s">
        <v>8</v>
      </c>
    </row>
    <row r="1156" spans="1:13" s="21" customFormat="1" x14ac:dyDescent="0.25">
      <c r="A1156" s="22" t="s">
        <v>8</v>
      </c>
      <c r="B1156" s="18" t="str">
        <f>"056286"</f>
        <v>056286</v>
      </c>
      <c r="C1156" s="19" t="s">
        <v>1158</v>
      </c>
      <c r="D1156" s="19" t="s">
        <v>16590</v>
      </c>
      <c r="E1156" s="19" t="s">
        <v>31184</v>
      </c>
      <c r="F1156" s="19" t="s">
        <v>35978</v>
      </c>
      <c r="G1156" s="18" t="str">
        <f>"93536"</f>
        <v>93536</v>
      </c>
      <c r="H1156" s="19" t="s">
        <v>31109</v>
      </c>
      <c r="I1156" s="20">
        <v>16.696000000000002</v>
      </c>
      <c r="J1156" s="44" t="s">
        <v>8</v>
      </c>
      <c r="K1156" s="23" t="s">
        <v>8</v>
      </c>
      <c r="L1156" s="23" t="s">
        <v>8</v>
      </c>
      <c r="M1156" s="23" t="s">
        <v>8</v>
      </c>
    </row>
    <row r="1157" spans="1:13" s="21" customFormat="1" x14ac:dyDescent="0.25">
      <c r="A1157" s="22" t="s">
        <v>8</v>
      </c>
      <c r="B1157" s="18" t="str">
        <f>"056288"</f>
        <v>056288</v>
      </c>
      <c r="C1157" s="19" t="s">
        <v>1159</v>
      </c>
      <c r="D1157" s="19" t="s">
        <v>16591</v>
      </c>
      <c r="E1157" s="19" t="s">
        <v>31199</v>
      </c>
      <c r="F1157" s="19" t="s">
        <v>35978</v>
      </c>
      <c r="G1157" s="18" t="str">
        <f>"93230"</f>
        <v>93230</v>
      </c>
      <c r="H1157" s="19" t="s">
        <v>36091</v>
      </c>
      <c r="I1157" s="20">
        <v>16.056000000000001</v>
      </c>
      <c r="J1157" s="44" t="s">
        <v>8</v>
      </c>
      <c r="K1157" s="23" t="s">
        <v>8</v>
      </c>
      <c r="L1157" s="23" t="s">
        <v>8</v>
      </c>
      <c r="M1157" s="23" t="s">
        <v>8</v>
      </c>
    </row>
    <row r="1158" spans="1:13" s="21" customFormat="1" x14ac:dyDescent="0.25">
      <c r="A1158" s="22" t="s">
        <v>8</v>
      </c>
      <c r="B1158" s="18" t="str">
        <f>"056290"</f>
        <v>056290</v>
      </c>
      <c r="C1158" s="19" t="s">
        <v>1160</v>
      </c>
      <c r="D1158" s="19" t="s">
        <v>16592</v>
      </c>
      <c r="E1158" s="19" t="s">
        <v>31220</v>
      </c>
      <c r="F1158" s="19" t="s">
        <v>35978</v>
      </c>
      <c r="G1158" s="18" t="str">
        <f>"95030"</f>
        <v>95030</v>
      </c>
      <c r="H1158" s="19" t="s">
        <v>31241</v>
      </c>
      <c r="I1158" s="20">
        <v>17.225999999999999</v>
      </c>
      <c r="J1158" s="44" t="s">
        <v>8</v>
      </c>
      <c r="K1158" s="23" t="s">
        <v>8</v>
      </c>
      <c r="L1158" s="23" t="s">
        <v>8</v>
      </c>
      <c r="M1158" s="23" t="s">
        <v>8</v>
      </c>
    </row>
    <row r="1159" spans="1:13" s="21" customFormat="1" x14ac:dyDescent="0.25">
      <c r="A1159" s="22" t="s">
        <v>8</v>
      </c>
      <c r="B1159" s="18" t="str">
        <f>"056291"</f>
        <v>056291</v>
      </c>
      <c r="C1159" s="19" t="s">
        <v>1161</v>
      </c>
      <c r="D1159" s="19" t="s">
        <v>16593</v>
      </c>
      <c r="E1159" s="19" t="s">
        <v>31314</v>
      </c>
      <c r="F1159" s="19" t="s">
        <v>35978</v>
      </c>
      <c r="G1159" s="18" t="str">
        <f>"91773"</f>
        <v>91773</v>
      </c>
      <c r="H1159" s="19" t="s">
        <v>31109</v>
      </c>
      <c r="I1159" s="20">
        <v>19.268000000000001</v>
      </c>
      <c r="J1159" s="44" t="s">
        <v>8</v>
      </c>
      <c r="K1159" s="23" t="s">
        <v>8</v>
      </c>
      <c r="L1159" s="23" t="s">
        <v>8</v>
      </c>
      <c r="M1159" s="23" t="s">
        <v>8</v>
      </c>
    </row>
    <row r="1160" spans="1:13" s="21" customFormat="1" x14ac:dyDescent="0.25">
      <c r="A1160" s="22" t="s">
        <v>8</v>
      </c>
      <c r="B1160" s="18" t="str">
        <f>"056293"</f>
        <v>056293</v>
      </c>
      <c r="C1160" s="19" t="s">
        <v>1162</v>
      </c>
      <c r="D1160" s="19" t="s">
        <v>16594</v>
      </c>
      <c r="E1160" s="19" t="s">
        <v>31109</v>
      </c>
      <c r="F1160" s="19" t="s">
        <v>35978</v>
      </c>
      <c r="G1160" s="18" t="str">
        <f>"90019"</f>
        <v>90019</v>
      </c>
      <c r="H1160" s="19" t="s">
        <v>31109</v>
      </c>
      <c r="I1160" s="20">
        <v>16.501000000000001</v>
      </c>
      <c r="J1160" s="44" t="s">
        <v>8</v>
      </c>
      <c r="K1160" s="23" t="s">
        <v>8</v>
      </c>
      <c r="L1160" s="23" t="s">
        <v>8</v>
      </c>
      <c r="M1160" s="23" t="s">
        <v>8</v>
      </c>
    </row>
    <row r="1161" spans="1:13" s="21" customFormat="1" x14ac:dyDescent="0.25">
      <c r="A1161" s="22" t="s">
        <v>8</v>
      </c>
      <c r="B1161" s="18" t="str">
        <f>"056294"</f>
        <v>056294</v>
      </c>
      <c r="C1161" s="19" t="s">
        <v>1163</v>
      </c>
      <c r="D1161" s="19" t="s">
        <v>16595</v>
      </c>
      <c r="E1161" s="19" t="s">
        <v>31236</v>
      </c>
      <c r="F1161" s="19" t="s">
        <v>35978</v>
      </c>
      <c r="G1161" s="18" t="str">
        <f>"93301"</f>
        <v>93301</v>
      </c>
      <c r="H1161" s="19" t="s">
        <v>36098</v>
      </c>
      <c r="I1161" s="20">
        <v>20.736000000000001</v>
      </c>
      <c r="J1161" s="44" t="s">
        <v>8</v>
      </c>
      <c r="K1161" s="23" t="s">
        <v>8</v>
      </c>
      <c r="L1161" s="23" t="s">
        <v>8</v>
      </c>
      <c r="M1161" s="23" t="s">
        <v>8</v>
      </c>
    </row>
    <row r="1162" spans="1:13" s="21" customFormat="1" x14ac:dyDescent="0.25">
      <c r="A1162" s="22" t="s">
        <v>8</v>
      </c>
      <c r="B1162" s="18" t="str">
        <f>"056296"</f>
        <v>056296</v>
      </c>
      <c r="C1162" s="19" t="s">
        <v>1164</v>
      </c>
      <c r="D1162" s="19" t="s">
        <v>16596</v>
      </c>
      <c r="E1162" s="19" t="s">
        <v>31315</v>
      </c>
      <c r="F1162" s="19" t="s">
        <v>35978</v>
      </c>
      <c r="G1162" s="18" t="str">
        <f>"95531"</f>
        <v>95531</v>
      </c>
      <c r="H1162" s="19" t="s">
        <v>36105</v>
      </c>
      <c r="I1162" s="20">
        <v>19.672999999999998</v>
      </c>
      <c r="J1162" s="44" t="s">
        <v>8</v>
      </c>
      <c r="K1162" s="23" t="s">
        <v>8</v>
      </c>
      <c r="L1162" s="23" t="s">
        <v>8</v>
      </c>
      <c r="M1162" s="23" t="s">
        <v>8</v>
      </c>
    </row>
    <row r="1163" spans="1:13" s="21" customFormat="1" x14ac:dyDescent="0.25">
      <c r="A1163" s="22" t="s">
        <v>8</v>
      </c>
      <c r="B1163" s="18" t="str">
        <f>"056298"</f>
        <v>056298</v>
      </c>
      <c r="C1163" s="19" t="s">
        <v>1165</v>
      </c>
      <c r="D1163" s="19" t="s">
        <v>16597</v>
      </c>
      <c r="E1163" s="19" t="s">
        <v>31175</v>
      </c>
      <c r="F1163" s="19" t="s">
        <v>35978</v>
      </c>
      <c r="G1163" s="18" t="str">
        <f>"94536"</f>
        <v>94536</v>
      </c>
      <c r="H1163" s="19" t="s">
        <v>31290</v>
      </c>
      <c r="I1163" s="20">
        <v>21.95</v>
      </c>
      <c r="J1163" s="44" t="s">
        <v>8</v>
      </c>
      <c r="K1163" s="23" t="s">
        <v>8</v>
      </c>
      <c r="L1163" s="23" t="s">
        <v>8</v>
      </c>
      <c r="M1163" s="23" t="s">
        <v>8</v>
      </c>
    </row>
    <row r="1164" spans="1:13" s="21" customFormat="1" x14ac:dyDescent="0.25">
      <c r="A1164" s="22" t="s">
        <v>8</v>
      </c>
      <c r="B1164" s="18" t="str">
        <f>"056300"</f>
        <v>056300</v>
      </c>
      <c r="C1164" s="19" t="s">
        <v>1166</v>
      </c>
      <c r="D1164" s="19" t="s">
        <v>16598</v>
      </c>
      <c r="E1164" s="19" t="s">
        <v>31100</v>
      </c>
      <c r="F1164" s="19" t="s">
        <v>35978</v>
      </c>
      <c r="G1164" s="18" t="str">
        <f>"95503"</f>
        <v>95503</v>
      </c>
      <c r="H1164" s="19" t="s">
        <v>32530</v>
      </c>
      <c r="I1164" s="20">
        <v>15.654999999999999</v>
      </c>
      <c r="J1164" s="44" t="s">
        <v>8</v>
      </c>
      <c r="K1164" s="23" t="s">
        <v>8</v>
      </c>
      <c r="L1164" s="23" t="s">
        <v>8</v>
      </c>
      <c r="M1164" s="23" t="s">
        <v>8</v>
      </c>
    </row>
    <row r="1165" spans="1:13" s="21" customFormat="1" x14ac:dyDescent="0.25">
      <c r="A1165" s="22" t="s">
        <v>8</v>
      </c>
      <c r="B1165" s="18" t="str">
        <f>"056301"</f>
        <v>056301</v>
      </c>
      <c r="C1165" s="19" t="s">
        <v>1167</v>
      </c>
      <c r="D1165" s="19" t="s">
        <v>16599</v>
      </c>
      <c r="E1165" s="19" t="s">
        <v>31101</v>
      </c>
      <c r="F1165" s="19" t="s">
        <v>35978</v>
      </c>
      <c r="G1165" s="18" t="str">
        <f>"95355"</f>
        <v>95355</v>
      </c>
      <c r="H1165" s="19" t="s">
        <v>36085</v>
      </c>
      <c r="I1165" s="20">
        <v>22.24</v>
      </c>
      <c r="J1165" s="44" t="s">
        <v>8</v>
      </c>
      <c r="K1165" s="23" t="s">
        <v>8</v>
      </c>
      <c r="L1165" s="23" t="s">
        <v>8</v>
      </c>
      <c r="M1165" s="23" t="s">
        <v>8</v>
      </c>
    </row>
    <row r="1166" spans="1:13" s="21" customFormat="1" x14ac:dyDescent="0.25">
      <c r="A1166" s="22" t="s">
        <v>8</v>
      </c>
      <c r="B1166" s="18" t="str">
        <f>"056304"</f>
        <v>056304</v>
      </c>
      <c r="C1166" s="19" t="s">
        <v>1168</v>
      </c>
      <c r="D1166" s="19" t="s">
        <v>16600</v>
      </c>
      <c r="E1166" s="19" t="s">
        <v>31197</v>
      </c>
      <c r="F1166" s="19" t="s">
        <v>35978</v>
      </c>
      <c r="G1166" s="18" t="str">
        <f>"95608"</f>
        <v>95608</v>
      </c>
      <c r="H1166" s="19" t="s">
        <v>31180</v>
      </c>
      <c r="I1166" s="20">
        <v>20.701000000000001</v>
      </c>
      <c r="J1166" s="44" t="s">
        <v>8</v>
      </c>
      <c r="K1166" s="23" t="s">
        <v>8</v>
      </c>
      <c r="L1166" s="23" t="s">
        <v>8</v>
      </c>
      <c r="M1166" s="23" t="s">
        <v>8</v>
      </c>
    </row>
    <row r="1167" spans="1:13" s="21" customFormat="1" x14ac:dyDescent="0.25">
      <c r="A1167" s="22" t="s">
        <v>8</v>
      </c>
      <c r="B1167" s="18" t="str">
        <f>"056308"</f>
        <v>056308</v>
      </c>
      <c r="C1167" s="19" t="s">
        <v>1169</v>
      </c>
      <c r="D1167" s="19" t="s">
        <v>16601</v>
      </c>
      <c r="E1167" s="19" t="s">
        <v>31108</v>
      </c>
      <c r="F1167" s="19" t="s">
        <v>35978</v>
      </c>
      <c r="G1167" s="18" t="str">
        <f>"90502"</f>
        <v>90502</v>
      </c>
      <c r="H1167" s="19" t="s">
        <v>31109</v>
      </c>
      <c r="I1167" s="20">
        <v>18.536999999999999</v>
      </c>
      <c r="J1167" s="44" t="s">
        <v>8</v>
      </c>
      <c r="K1167" s="23" t="s">
        <v>8</v>
      </c>
      <c r="L1167" s="23" t="s">
        <v>8</v>
      </c>
      <c r="M1167" s="23" t="s">
        <v>8</v>
      </c>
    </row>
    <row r="1168" spans="1:13" s="21" customFormat="1" x14ac:dyDescent="0.25">
      <c r="A1168" s="22" t="s">
        <v>8</v>
      </c>
      <c r="B1168" s="18" t="str">
        <f>"056311"</f>
        <v>056311</v>
      </c>
      <c r="C1168" s="19" t="s">
        <v>1170</v>
      </c>
      <c r="D1168" s="19" t="s">
        <v>16602</v>
      </c>
      <c r="E1168" s="19" t="s">
        <v>31109</v>
      </c>
      <c r="F1168" s="19" t="s">
        <v>35978</v>
      </c>
      <c r="G1168" s="18" t="str">
        <f>"90029"</f>
        <v>90029</v>
      </c>
      <c r="H1168" s="19" t="s">
        <v>31109</v>
      </c>
      <c r="I1168" s="20">
        <v>18.853999999999999</v>
      </c>
      <c r="J1168" s="44" t="s">
        <v>8</v>
      </c>
      <c r="K1168" s="23" t="s">
        <v>8</v>
      </c>
      <c r="L1168" s="23" t="s">
        <v>8</v>
      </c>
      <c r="M1168" s="23" t="s">
        <v>8</v>
      </c>
    </row>
    <row r="1169" spans="1:13" s="21" customFormat="1" x14ac:dyDescent="0.25">
      <c r="A1169" s="22" t="s">
        <v>8</v>
      </c>
      <c r="B1169" s="18" t="str">
        <f>"056313"</f>
        <v>056313</v>
      </c>
      <c r="C1169" s="19" t="s">
        <v>1171</v>
      </c>
      <c r="D1169" s="19" t="s">
        <v>16603</v>
      </c>
      <c r="E1169" s="19" t="s">
        <v>31111</v>
      </c>
      <c r="F1169" s="19" t="s">
        <v>35978</v>
      </c>
      <c r="G1169" s="18" t="str">
        <f>"90807"</f>
        <v>90807</v>
      </c>
      <c r="H1169" s="19" t="s">
        <v>31109</v>
      </c>
      <c r="I1169" s="20">
        <v>16.318000000000001</v>
      </c>
      <c r="J1169" s="44" t="s">
        <v>8</v>
      </c>
      <c r="K1169" s="23" t="s">
        <v>8</v>
      </c>
      <c r="L1169" s="23" t="s">
        <v>8</v>
      </c>
      <c r="M1169" s="23" t="s">
        <v>8</v>
      </c>
    </row>
    <row r="1170" spans="1:13" s="21" customFormat="1" x14ac:dyDescent="0.25">
      <c r="A1170" s="22" t="s">
        <v>8</v>
      </c>
      <c r="B1170" s="18" t="str">
        <f>"056315"</f>
        <v>056315</v>
      </c>
      <c r="C1170" s="19" t="s">
        <v>1172</v>
      </c>
      <c r="D1170" s="19" t="s">
        <v>16604</v>
      </c>
      <c r="E1170" s="19" t="s">
        <v>31112</v>
      </c>
      <c r="F1170" s="19" t="s">
        <v>35978</v>
      </c>
      <c r="G1170" s="18" t="str">
        <f>"92503"</f>
        <v>92503</v>
      </c>
      <c r="H1170" s="19" t="s">
        <v>31112</v>
      </c>
      <c r="I1170" s="20">
        <v>20.164999999999999</v>
      </c>
      <c r="J1170" s="44" t="s">
        <v>8</v>
      </c>
      <c r="K1170" s="23" t="s">
        <v>8</v>
      </c>
      <c r="L1170" s="23" t="s">
        <v>8</v>
      </c>
      <c r="M1170" s="23" t="s">
        <v>8</v>
      </c>
    </row>
    <row r="1171" spans="1:13" s="21" customFormat="1" x14ac:dyDescent="0.25">
      <c r="A1171" s="22" t="s">
        <v>8</v>
      </c>
      <c r="B1171" s="18" t="str">
        <f>"056316"</f>
        <v>056316</v>
      </c>
      <c r="C1171" s="19" t="s">
        <v>1173</v>
      </c>
      <c r="D1171" s="19" t="s">
        <v>16605</v>
      </c>
      <c r="E1171" s="19" t="s">
        <v>31191</v>
      </c>
      <c r="F1171" s="19" t="s">
        <v>35978</v>
      </c>
      <c r="G1171" s="18" t="str">
        <f>"91103"</f>
        <v>91103</v>
      </c>
      <c r="H1171" s="19" t="s">
        <v>31109</v>
      </c>
      <c r="I1171" s="20">
        <v>18.917000000000002</v>
      </c>
      <c r="J1171" s="44" t="s">
        <v>8</v>
      </c>
      <c r="K1171" s="23" t="s">
        <v>8</v>
      </c>
      <c r="L1171" s="23" t="s">
        <v>8</v>
      </c>
      <c r="M1171" s="23" t="s">
        <v>8</v>
      </c>
    </row>
    <row r="1172" spans="1:13" s="21" customFormat="1" x14ac:dyDescent="0.25">
      <c r="A1172" s="22" t="s">
        <v>8</v>
      </c>
      <c r="B1172" s="18" t="str">
        <f>"056317"</f>
        <v>056317</v>
      </c>
      <c r="C1172" s="19" t="s">
        <v>1174</v>
      </c>
      <c r="D1172" s="19" t="s">
        <v>16606</v>
      </c>
      <c r="E1172" s="19" t="s">
        <v>30946</v>
      </c>
      <c r="F1172" s="19" t="s">
        <v>35978</v>
      </c>
      <c r="G1172" s="18" t="str">
        <f>"91202"</f>
        <v>91202</v>
      </c>
      <c r="H1172" s="19" t="s">
        <v>31109</v>
      </c>
      <c r="I1172" s="20">
        <v>21.17</v>
      </c>
      <c r="J1172" s="44" t="s">
        <v>8</v>
      </c>
      <c r="K1172" s="23" t="s">
        <v>8</v>
      </c>
      <c r="L1172" s="23" t="s">
        <v>8</v>
      </c>
      <c r="M1172" s="23" t="s">
        <v>8</v>
      </c>
    </row>
    <row r="1173" spans="1:13" s="21" customFormat="1" x14ac:dyDescent="0.25">
      <c r="A1173" s="22" t="s">
        <v>8</v>
      </c>
      <c r="B1173" s="18" t="str">
        <f>"056321"</f>
        <v>056321</v>
      </c>
      <c r="C1173" s="19" t="s">
        <v>1175</v>
      </c>
      <c r="D1173" s="19" t="s">
        <v>16607</v>
      </c>
      <c r="E1173" s="19" t="s">
        <v>31109</v>
      </c>
      <c r="F1173" s="19" t="s">
        <v>35978</v>
      </c>
      <c r="G1173" s="18" t="str">
        <f>"90006"</f>
        <v>90006</v>
      </c>
      <c r="H1173" s="19" t="s">
        <v>31109</v>
      </c>
      <c r="I1173" s="20">
        <v>21.102</v>
      </c>
      <c r="J1173" s="44" t="s">
        <v>8</v>
      </c>
      <c r="K1173" s="23" t="s">
        <v>8</v>
      </c>
      <c r="L1173" s="23" t="s">
        <v>8</v>
      </c>
      <c r="M1173" s="23" t="s">
        <v>8</v>
      </c>
    </row>
    <row r="1174" spans="1:13" s="21" customFormat="1" x14ac:dyDescent="0.25">
      <c r="A1174" s="22" t="s">
        <v>8</v>
      </c>
      <c r="B1174" s="18" t="str">
        <f>"056322"</f>
        <v>056322</v>
      </c>
      <c r="C1174" s="19" t="s">
        <v>1176</v>
      </c>
      <c r="D1174" s="19" t="s">
        <v>16608</v>
      </c>
      <c r="E1174" s="19" t="s">
        <v>30923</v>
      </c>
      <c r="F1174" s="19" t="s">
        <v>35978</v>
      </c>
      <c r="G1174" s="18" t="str">
        <f>"91020"</f>
        <v>91020</v>
      </c>
      <c r="H1174" s="19" t="s">
        <v>31109</v>
      </c>
      <c r="I1174" s="20">
        <v>17.315000000000001</v>
      </c>
      <c r="J1174" s="44" t="s">
        <v>8</v>
      </c>
      <c r="K1174" s="23" t="s">
        <v>8</v>
      </c>
      <c r="L1174" s="23" t="s">
        <v>8</v>
      </c>
      <c r="M1174" s="23" t="s">
        <v>8</v>
      </c>
    </row>
    <row r="1175" spans="1:13" s="21" customFormat="1" x14ac:dyDescent="0.25">
      <c r="A1175" s="22" t="s">
        <v>8</v>
      </c>
      <c r="B1175" s="18" t="str">
        <f>"056324"</f>
        <v>056324</v>
      </c>
      <c r="C1175" s="19" t="s">
        <v>1177</v>
      </c>
      <c r="D1175" s="19" t="s">
        <v>16609</v>
      </c>
      <c r="E1175" s="19" t="s">
        <v>31110</v>
      </c>
      <c r="F1175" s="19" t="s">
        <v>35978</v>
      </c>
      <c r="G1175" s="18" t="str">
        <f>"95204"</f>
        <v>95204</v>
      </c>
      <c r="H1175" s="19" t="s">
        <v>36087</v>
      </c>
      <c r="I1175" s="20">
        <v>17.381</v>
      </c>
      <c r="J1175" s="44" t="s">
        <v>8</v>
      </c>
      <c r="K1175" s="23" t="s">
        <v>8</v>
      </c>
      <c r="L1175" s="23" t="s">
        <v>8</v>
      </c>
      <c r="M1175" s="23" t="s">
        <v>8</v>
      </c>
    </row>
    <row r="1176" spans="1:13" s="21" customFormat="1" x14ac:dyDescent="0.25">
      <c r="A1176" s="22" t="s">
        <v>8</v>
      </c>
      <c r="B1176" s="18" t="str">
        <f>"056325"</f>
        <v>056325</v>
      </c>
      <c r="C1176" s="19" t="s">
        <v>1178</v>
      </c>
      <c r="D1176" s="19" t="s">
        <v>16610</v>
      </c>
      <c r="E1176" s="19" t="s">
        <v>31155</v>
      </c>
      <c r="F1176" s="19" t="s">
        <v>35978</v>
      </c>
      <c r="G1176" s="18" t="str">
        <f>"93721"</f>
        <v>93721</v>
      </c>
      <c r="H1176" s="19" t="s">
        <v>31155</v>
      </c>
      <c r="I1176" s="20">
        <v>19.332999999999998</v>
      </c>
      <c r="J1176" s="44" t="s">
        <v>8</v>
      </c>
      <c r="K1176" s="23" t="s">
        <v>8</v>
      </c>
      <c r="L1176" s="23" t="s">
        <v>8</v>
      </c>
      <c r="M1176" s="23" t="s">
        <v>8</v>
      </c>
    </row>
    <row r="1177" spans="1:13" s="21" customFormat="1" x14ac:dyDescent="0.25">
      <c r="A1177" s="22" t="s">
        <v>8</v>
      </c>
      <c r="B1177" s="18" t="str">
        <f>"056326"</f>
        <v>056326</v>
      </c>
      <c r="C1177" s="19" t="s">
        <v>1179</v>
      </c>
      <c r="D1177" s="19" t="s">
        <v>16611</v>
      </c>
      <c r="E1177" s="19" t="s">
        <v>31109</v>
      </c>
      <c r="F1177" s="19" t="s">
        <v>35978</v>
      </c>
      <c r="G1177" s="18" t="str">
        <f>"90057"</f>
        <v>90057</v>
      </c>
      <c r="H1177" s="19" t="s">
        <v>31109</v>
      </c>
      <c r="I1177" s="20">
        <v>17.521999999999998</v>
      </c>
      <c r="J1177" s="44" t="s">
        <v>8</v>
      </c>
      <c r="K1177" s="23" t="s">
        <v>8</v>
      </c>
      <c r="L1177" s="23" t="s">
        <v>8</v>
      </c>
      <c r="M1177" s="23" t="s">
        <v>8</v>
      </c>
    </row>
    <row r="1178" spans="1:13" s="21" customFormat="1" x14ac:dyDescent="0.25">
      <c r="A1178" s="22" t="s">
        <v>8</v>
      </c>
      <c r="B1178" s="18" t="str">
        <f>"056327"</f>
        <v>056327</v>
      </c>
      <c r="C1178" s="19" t="s">
        <v>1180</v>
      </c>
      <c r="D1178" s="19" t="s">
        <v>16612</v>
      </c>
      <c r="E1178" s="19" t="s">
        <v>31304</v>
      </c>
      <c r="F1178" s="19" t="s">
        <v>35978</v>
      </c>
      <c r="G1178" s="18" t="str">
        <f>"94595"</f>
        <v>94595</v>
      </c>
      <c r="H1178" s="19" t="s">
        <v>36088</v>
      </c>
      <c r="I1178" s="20">
        <v>18.984000000000002</v>
      </c>
      <c r="J1178" s="44" t="s">
        <v>8</v>
      </c>
      <c r="K1178" s="23" t="s">
        <v>8</v>
      </c>
      <c r="L1178" s="23" t="s">
        <v>8</v>
      </c>
      <c r="M1178" s="23" t="s">
        <v>8</v>
      </c>
    </row>
    <row r="1179" spans="1:13" s="21" customFormat="1" x14ac:dyDescent="0.25">
      <c r="A1179" s="22" t="s">
        <v>8</v>
      </c>
      <c r="B1179" s="18" t="str">
        <f>"056328"</f>
        <v>056328</v>
      </c>
      <c r="C1179" s="19" t="s">
        <v>1181</v>
      </c>
      <c r="D1179" s="19" t="s">
        <v>16613</v>
      </c>
      <c r="E1179" s="19" t="s">
        <v>31308</v>
      </c>
      <c r="F1179" s="19" t="s">
        <v>35978</v>
      </c>
      <c r="G1179" s="18" t="str">
        <f>"92264"</f>
        <v>92264</v>
      </c>
      <c r="H1179" s="19" t="s">
        <v>31112</v>
      </c>
      <c r="I1179" s="20">
        <v>19.829000000000001</v>
      </c>
      <c r="J1179" s="44" t="s">
        <v>8</v>
      </c>
      <c r="K1179" s="23" t="s">
        <v>8</v>
      </c>
      <c r="L1179" s="23" t="s">
        <v>8</v>
      </c>
      <c r="M1179" s="23" t="s">
        <v>8</v>
      </c>
    </row>
    <row r="1180" spans="1:13" s="21" customFormat="1" x14ac:dyDescent="0.25">
      <c r="A1180" s="22" t="s">
        <v>8</v>
      </c>
      <c r="B1180" s="18" t="str">
        <f>"056330"</f>
        <v>056330</v>
      </c>
      <c r="C1180" s="19" t="s">
        <v>1182</v>
      </c>
      <c r="D1180" s="19" t="s">
        <v>16614</v>
      </c>
      <c r="E1180" s="19" t="s">
        <v>31176</v>
      </c>
      <c r="F1180" s="19" t="s">
        <v>35978</v>
      </c>
      <c r="G1180" s="18" t="str">
        <f>"92139"</f>
        <v>92139</v>
      </c>
      <c r="H1180" s="19" t="s">
        <v>31176</v>
      </c>
      <c r="I1180" s="20">
        <v>15.627000000000001</v>
      </c>
      <c r="J1180" s="44" t="s">
        <v>8</v>
      </c>
      <c r="K1180" s="23" t="s">
        <v>8</v>
      </c>
      <c r="L1180" s="23" t="s">
        <v>8</v>
      </c>
      <c r="M1180" s="23" t="s">
        <v>8</v>
      </c>
    </row>
    <row r="1181" spans="1:13" s="21" customFormat="1" x14ac:dyDescent="0.25">
      <c r="A1181" s="22" t="s">
        <v>8</v>
      </c>
      <c r="B1181" s="18" t="str">
        <f>"056331"</f>
        <v>056331</v>
      </c>
      <c r="C1181" s="19" t="s">
        <v>1183</v>
      </c>
      <c r="D1181" s="19" t="s">
        <v>16615</v>
      </c>
      <c r="E1181" s="19" t="s">
        <v>31276</v>
      </c>
      <c r="F1181" s="19" t="s">
        <v>35978</v>
      </c>
      <c r="G1181" s="18" t="str">
        <f>"91790"</f>
        <v>91790</v>
      </c>
      <c r="H1181" s="19" t="s">
        <v>31109</v>
      </c>
      <c r="I1181" s="20">
        <v>21.238</v>
      </c>
      <c r="J1181" s="44" t="s">
        <v>8</v>
      </c>
      <c r="K1181" s="23" t="s">
        <v>8</v>
      </c>
      <c r="L1181" s="23" t="s">
        <v>8</v>
      </c>
      <c r="M1181" s="23" t="s">
        <v>8</v>
      </c>
    </row>
    <row r="1182" spans="1:13" s="21" customFormat="1" x14ac:dyDescent="0.25">
      <c r="A1182" s="22" t="s">
        <v>8</v>
      </c>
      <c r="B1182" s="18" t="str">
        <f>"056333"</f>
        <v>056333</v>
      </c>
      <c r="C1182" s="19" t="s">
        <v>1184</v>
      </c>
      <c r="D1182" s="19" t="s">
        <v>16616</v>
      </c>
      <c r="E1182" s="19" t="s">
        <v>31287</v>
      </c>
      <c r="F1182" s="19" t="s">
        <v>35978</v>
      </c>
      <c r="G1182" s="18" t="str">
        <f>"91342"</f>
        <v>91342</v>
      </c>
      <c r="H1182" s="19" t="s">
        <v>31109</v>
      </c>
      <c r="I1182" s="20">
        <v>21.483000000000001</v>
      </c>
      <c r="J1182" s="44" t="s">
        <v>8</v>
      </c>
      <c r="K1182" s="23" t="s">
        <v>8</v>
      </c>
      <c r="L1182" s="23" t="s">
        <v>8</v>
      </c>
      <c r="M1182" s="23" t="s">
        <v>8</v>
      </c>
    </row>
    <row r="1183" spans="1:13" s="21" customFormat="1" x14ac:dyDescent="0.25">
      <c r="A1183" s="22" t="s">
        <v>8</v>
      </c>
      <c r="B1183" s="18" t="str">
        <f>"056334"</f>
        <v>056334</v>
      </c>
      <c r="C1183" s="19" t="s">
        <v>1185</v>
      </c>
      <c r="D1183" s="19" t="s">
        <v>16617</v>
      </c>
      <c r="E1183" s="19" t="s">
        <v>31136</v>
      </c>
      <c r="F1183" s="19" t="s">
        <v>35978</v>
      </c>
      <c r="G1183" s="18" t="str">
        <f>"90404"</f>
        <v>90404</v>
      </c>
      <c r="H1183" s="19" t="s">
        <v>31109</v>
      </c>
      <c r="I1183" s="20">
        <v>18.295000000000002</v>
      </c>
      <c r="J1183" s="44" t="s">
        <v>8</v>
      </c>
      <c r="K1183" s="23" t="s">
        <v>8</v>
      </c>
      <c r="L1183" s="23" t="s">
        <v>8</v>
      </c>
      <c r="M1183" s="23" t="s">
        <v>8</v>
      </c>
    </row>
    <row r="1184" spans="1:13" s="21" customFormat="1" x14ac:dyDescent="0.25">
      <c r="A1184" s="22" t="s">
        <v>8</v>
      </c>
      <c r="B1184" s="18" t="str">
        <f>"056337"</f>
        <v>056337</v>
      </c>
      <c r="C1184" s="19" t="s">
        <v>1186</v>
      </c>
      <c r="D1184" s="19" t="s">
        <v>16618</v>
      </c>
      <c r="E1184" s="19" t="s">
        <v>31296</v>
      </c>
      <c r="F1184" s="19" t="s">
        <v>35978</v>
      </c>
      <c r="G1184" s="18" t="str">
        <f>"91402"</f>
        <v>91402</v>
      </c>
      <c r="H1184" s="19" t="s">
        <v>31109</v>
      </c>
      <c r="I1184" s="20">
        <v>20.2</v>
      </c>
      <c r="J1184" s="44" t="s">
        <v>8</v>
      </c>
      <c r="K1184" s="23" t="s">
        <v>8</v>
      </c>
      <c r="L1184" s="23" t="s">
        <v>8</v>
      </c>
      <c r="M1184" s="23" t="s">
        <v>8</v>
      </c>
    </row>
    <row r="1185" spans="1:13" s="21" customFormat="1" x14ac:dyDescent="0.25">
      <c r="A1185" s="22" t="s">
        <v>8</v>
      </c>
      <c r="B1185" s="18" t="str">
        <f>"056338"</f>
        <v>056338</v>
      </c>
      <c r="C1185" s="19" t="s">
        <v>1187</v>
      </c>
      <c r="D1185" s="19" t="s">
        <v>16619</v>
      </c>
      <c r="E1185" s="19" t="s">
        <v>31316</v>
      </c>
      <c r="F1185" s="19" t="s">
        <v>35978</v>
      </c>
      <c r="G1185" s="18" t="str">
        <f>"93612"</f>
        <v>93612</v>
      </c>
      <c r="H1185" s="19" t="s">
        <v>31155</v>
      </c>
      <c r="I1185" s="20">
        <v>17.420999999999999</v>
      </c>
      <c r="J1185" s="44" t="s">
        <v>8</v>
      </c>
      <c r="K1185" s="23" t="s">
        <v>8</v>
      </c>
      <c r="L1185" s="23" t="s">
        <v>8</v>
      </c>
      <c r="M1185" s="23" t="s">
        <v>8</v>
      </c>
    </row>
    <row r="1186" spans="1:13" s="21" customFormat="1" x14ac:dyDescent="0.25">
      <c r="A1186" s="22" t="s">
        <v>8</v>
      </c>
      <c r="B1186" s="18" t="str">
        <f>"056343"</f>
        <v>056343</v>
      </c>
      <c r="C1186" s="19" t="s">
        <v>1188</v>
      </c>
      <c r="D1186" s="19" t="s">
        <v>16620</v>
      </c>
      <c r="E1186" s="19" t="s">
        <v>31191</v>
      </c>
      <c r="F1186" s="19" t="s">
        <v>35978</v>
      </c>
      <c r="G1186" s="18" t="str">
        <f>"91103"</f>
        <v>91103</v>
      </c>
      <c r="H1186" s="19" t="s">
        <v>31109</v>
      </c>
      <c r="I1186" s="20">
        <v>18.8</v>
      </c>
      <c r="J1186" s="44" t="s">
        <v>8</v>
      </c>
      <c r="K1186" s="23" t="s">
        <v>8</v>
      </c>
      <c r="L1186" s="23" t="s">
        <v>8</v>
      </c>
      <c r="M1186" s="23" t="s">
        <v>8</v>
      </c>
    </row>
    <row r="1187" spans="1:13" s="21" customFormat="1" x14ac:dyDescent="0.25">
      <c r="A1187" s="22" t="s">
        <v>8</v>
      </c>
      <c r="B1187" s="18" t="str">
        <f>"056345"</f>
        <v>056345</v>
      </c>
      <c r="C1187" s="19" t="s">
        <v>1189</v>
      </c>
      <c r="D1187" s="19" t="s">
        <v>16621</v>
      </c>
      <c r="E1187" s="19" t="s">
        <v>31132</v>
      </c>
      <c r="F1187" s="19" t="s">
        <v>35978</v>
      </c>
      <c r="G1187" s="18" t="str">
        <f>"94577"</f>
        <v>94577</v>
      </c>
      <c r="H1187" s="19" t="s">
        <v>31290</v>
      </c>
      <c r="I1187" s="20">
        <v>21.437000000000001</v>
      </c>
      <c r="J1187" s="44" t="s">
        <v>8</v>
      </c>
      <c r="K1187" s="23" t="s">
        <v>8</v>
      </c>
      <c r="L1187" s="23" t="s">
        <v>8</v>
      </c>
      <c r="M1187" s="23" t="s">
        <v>8</v>
      </c>
    </row>
    <row r="1188" spans="1:13" s="21" customFormat="1" x14ac:dyDescent="0.25">
      <c r="A1188" s="22" t="s">
        <v>8</v>
      </c>
      <c r="B1188" s="18" t="str">
        <f>"056346"</f>
        <v>056346</v>
      </c>
      <c r="C1188" s="19" t="s">
        <v>1190</v>
      </c>
      <c r="D1188" s="19" t="s">
        <v>16622</v>
      </c>
      <c r="E1188" s="19" t="s">
        <v>31128</v>
      </c>
      <c r="F1188" s="19" t="s">
        <v>35978</v>
      </c>
      <c r="G1188" s="18" t="str">
        <f>"95991"</f>
        <v>95991</v>
      </c>
      <c r="H1188" s="19" t="s">
        <v>36089</v>
      </c>
      <c r="I1188" s="20">
        <v>20.239000000000001</v>
      </c>
      <c r="J1188" s="44" t="s">
        <v>8</v>
      </c>
      <c r="K1188" s="23" t="s">
        <v>8</v>
      </c>
      <c r="L1188" s="23" t="s">
        <v>8</v>
      </c>
      <c r="M1188" s="23" t="s">
        <v>8</v>
      </c>
    </row>
    <row r="1189" spans="1:13" s="21" customFormat="1" x14ac:dyDescent="0.25">
      <c r="A1189" s="22" t="s">
        <v>8</v>
      </c>
      <c r="B1189" s="18" t="str">
        <f>"056348"</f>
        <v>056348</v>
      </c>
      <c r="C1189" s="19" t="s">
        <v>1191</v>
      </c>
      <c r="D1189" s="19" t="s">
        <v>16623</v>
      </c>
      <c r="E1189" s="19" t="s">
        <v>31290</v>
      </c>
      <c r="F1189" s="19" t="s">
        <v>35978</v>
      </c>
      <c r="G1189" s="18" t="str">
        <f>"94501"</f>
        <v>94501</v>
      </c>
      <c r="H1189" s="19" t="s">
        <v>31290</v>
      </c>
      <c r="I1189" s="20">
        <v>19.189</v>
      </c>
      <c r="J1189" s="44" t="s">
        <v>8</v>
      </c>
      <c r="K1189" s="23" t="s">
        <v>8</v>
      </c>
      <c r="L1189" s="23" t="s">
        <v>8</v>
      </c>
      <c r="M1189" s="23" t="s">
        <v>8</v>
      </c>
    </row>
    <row r="1190" spans="1:13" s="21" customFormat="1" x14ac:dyDescent="0.25">
      <c r="A1190" s="22" t="s">
        <v>8</v>
      </c>
      <c r="B1190" s="18" t="str">
        <f>"056350"</f>
        <v>056350</v>
      </c>
      <c r="C1190" s="19" t="s">
        <v>1192</v>
      </c>
      <c r="D1190" s="19" t="s">
        <v>16624</v>
      </c>
      <c r="E1190" s="19" t="s">
        <v>31143</v>
      </c>
      <c r="F1190" s="19" t="s">
        <v>35978</v>
      </c>
      <c r="G1190" s="18" t="str">
        <f>"94610"</f>
        <v>94610</v>
      </c>
      <c r="H1190" s="19" t="s">
        <v>31290</v>
      </c>
      <c r="I1190" s="20">
        <v>18.792999999999999</v>
      </c>
      <c r="J1190" s="44" t="s">
        <v>8</v>
      </c>
      <c r="K1190" s="23" t="s">
        <v>8</v>
      </c>
      <c r="L1190" s="23" t="s">
        <v>8</v>
      </c>
      <c r="M1190" s="23" t="s">
        <v>8</v>
      </c>
    </row>
    <row r="1191" spans="1:13" s="21" customFormat="1" x14ac:dyDescent="0.25">
      <c r="A1191" s="22" t="s">
        <v>8</v>
      </c>
      <c r="B1191" s="18" t="str">
        <f>"056351"</f>
        <v>056351</v>
      </c>
      <c r="C1191" s="19" t="s">
        <v>1193</v>
      </c>
      <c r="D1191" s="19" t="s">
        <v>16625</v>
      </c>
      <c r="E1191" s="19" t="s">
        <v>31317</v>
      </c>
      <c r="F1191" s="19" t="s">
        <v>35978</v>
      </c>
      <c r="G1191" s="18" t="str">
        <f>"91311"</f>
        <v>91311</v>
      </c>
      <c r="H1191" s="19" t="s">
        <v>31109</v>
      </c>
      <c r="I1191" s="20">
        <v>24.068000000000001</v>
      </c>
      <c r="J1191" s="44" t="s">
        <v>8</v>
      </c>
      <c r="K1191" s="23" t="s">
        <v>8</v>
      </c>
      <c r="L1191" s="23" t="s">
        <v>8</v>
      </c>
      <c r="M1191" s="23" t="s">
        <v>8</v>
      </c>
    </row>
    <row r="1192" spans="1:13" s="21" customFormat="1" x14ac:dyDescent="0.25">
      <c r="A1192" s="22" t="s">
        <v>8</v>
      </c>
      <c r="B1192" s="18" t="str">
        <f>"056353"</f>
        <v>056353</v>
      </c>
      <c r="C1192" s="19" t="s">
        <v>1194</v>
      </c>
      <c r="D1192" s="19" t="s">
        <v>16626</v>
      </c>
      <c r="E1192" s="19" t="s">
        <v>31318</v>
      </c>
      <c r="F1192" s="19" t="s">
        <v>35978</v>
      </c>
      <c r="G1192" s="18" t="str">
        <f>"93463"</f>
        <v>93463</v>
      </c>
      <c r="H1192" s="19" t="s">
        <v>31246</v>
      </c>
      <c r="I1192" s="20">
        <v>21.062000000000001</v>
      </c>
      <c r="J1192" s="44" t="s">
        <v>8</v>
      </c>
      <c r="K1192" s="23" t="s">
        <v>8</v>
      </c>
      <c r="L1192" s="23" t="s">
        <v>8</v>
      </c>
      <c r="M1192" s="23" t="s">
        <v>8</v>
      </c>
    </row>
    <row r="1193" spans="1:13" s="21" customFormat="1" x14ac:dyDescent="0.25">
      <c r="A1193" s="22" t="s">
        <v>8</v>
      </c>
      <c r="B1193" s="18" t="str">
        <f>"056359"</f>
        <v>056359</v>
      </c>
      <c r="C1193" s="19" t="s">
        <v>1195</v>
      </c>
      <c r="D1193" s="19" t="s">
        <v>16627</v>
      </c>
      <c r="E1193" s="19" t="s">
        <v>31130</v>
      </c>
      <c r="F1193" s="19" t="s">
        <v>35978</v>
      </c>
      <c r="G1193" s="18" t="str">
        <f>"94806"</f>
        <v>94806</v>
      </c>
      <c r="H1193" s="19" t="s">
        <v>36088</v>
      </c>
      <c r="I1193" s="20">
        <v>17.065999999999999</v>
      </c>
      <c r="J1193" s="44" t="s">
        <v>8</v>
      </c>
      <c r="K1193" s="23" t="s">
        <v>8</v>
      </c>
      <c r="L1193" s="23" t="s">
        <v>8</v>
      </c>
      <c r="M1193" s="23" t="s">
        <v>8</v>
      </c>
    </row>
    <row r="1194" spans="1:13" s="21" customFormat="1" x14ac:dyDescent="0.25">
      <c r="A1194" s="22" t="s">
        <v>8</v>
      </c>
      <c r="B1194" s="18" t="str">
        <f>"056360"</f>
        <v>056360</v>
      </c>
      <c r="C1194" s="19" t="s">
        <v>1196</v>
      </c>
      <c r="D1194" s="19" t="s">
        <v>16628</v>
      </c>
      <c r="E1194" s="19" t="s">
        <v>31285</v>
      </c>
      <c r="F1194" s="19" t="s">
        <v>35978</v>
      </c>
      <c r="G1194" s="18" t="str">
        <f>"91740"</f>
        <v>91740</v>
      </c>
      <c r="H1194" s="19" t="s">
        <v>31109</v>
      </c>
      <c r="I1194" s="20">
        <v>18.771000000000001</v>
      </c>
      <c r="J1194" s="44" t="s">
        <v>8</v>
      </c>
      <c r="K1194" s="23" t="s">
        <v>8</v>
      </c>
      <c r="L1194" s="23" t="s">
        <v>8</v>
      </c>
      <c r="M1194" s="23" t="s">
        <v>8</v>
      </c>
    </row>
    <row r="1195" spans="1:13" s="21" customFormat="1" x14ac:dyDescent="0.25">
      <c r="A1195" s="22" t="s">
        <v>8</v>
      </c>
      <c r="B1195" s="18" t="str">
        <f>"056361"</f>
        <v>056361</v>
      </c>
      <c r="C1195" s="19" t="s">
        <v>1197</v>
      </c>
      <c r="D1195" s="19" t="s">
        <v>16629</v>
      </c>
      <c r="E1195" s="19" t="s">
        <v>31319</v>
      </c>
      <c r="F1195" s="19" t="s">
        <v>35978</v>
      </c>
      <c r="G1195" s="18" t="str">
        <f>"95540"</f>
        <v>95540</v>
      </c>
      <c r="H1195" s="19" t="s">
        <v>32530</v>
      </c>
      <c r="I1195" s="20">
        <v>16.777000000000001</v>
      </c>
      <c r="J1195" s="44" t="s">
        <v>8</v>
      </c>
      <c r="K1195" s="23" t="s">
        <v>8</v>
      </c>
      <c r="L1195" s="23" t="s">
        <v>8</v>
      </c>
      <c r="M1195" s="23" t="s">
        <v>8</v>
      </c>
    </row>
    <row r="1196" spans="1:13" s="21" customFormat="1" x14ac:dyDescent="0.25">
      <c r="A1196" s="22" t="s">
        <v>8</v>
      </c>
      <c r="B1196" s="18" t="str">
        <f>"056362"</f>
        <v>056362</v>
      </c>
      <c r="C1196" s="19" t="s">
        <v>1198</v>
      </c>
      <c r="D1196" s="19" t="s">
        <v>16630</v>
      </c>
      <c r="E1196" s="19" t="s">
        <v>31164</v>
      </c>
      <c r="F1196" s="19" t="s">
        <v>35978</v>
      </c>
      <c r="G1196" s="18" t="str">
        <f>"92627"</f>
        <v>92627</v>
      </c>
      <c r="H1196" s="19" t="s">
        <v>31169</v>
      </c>
      <c r="I1196" s="20">
        <v>18.231999999999999</v>
      </c>
      <c r="J1196" s="44" t="s">
        <v>8</v>
      </c>
      <c r="K1196" s="23" t="s">
        <v>8</v>
      </c>
      <c r="L1196" s="23" t="s">
        <v>8</v>
      </c>
      <c r="M1196" s="23" t="s">
        <v>8</v>
      </c>
    </row>
    <row r="1197" spans="1:13" s="21" customFormat="1" x14ac:dyDescent="0.25">
      <c r="A1197" s="22" t="s">
        <v>8</v>
      </c>
      <c r="B1197" s="18" t="str">
        <f>"056363"</f>
        <v>056363</v>
      </c>
      <c r="C1197" s="19" t="s">
        <v>1199</v>
      </c>
      <c r="D1197" s="19" t="s">
        <v>16631</v>
      </c>
      <c r="E1197" s="19" t="s">
        <v>31298</v>
      </c>
      <c r="F1197" s="19" t="s">
        <v>35978</v>
      </c>
      <c r="G1197" s="18" t="str">
        <f>"91405"</f>
        <v>91405</v>
      </c>
      <c r="H1197" s="19" t="s">
        <v>31109</v>
      </c>
      <c r="I1197" s="20">
        <v>22.277999999999999</v>
      </c>
      <c r="J1197" s="44" t="s">
        <v>8</v>
      </c>
      <c r="K1197" s="23" t="s">
        <v>8</v>
      </c>
      <c r="L1197" s="23" t="s">
        <v>8</v>
      </c>
      <c r="M1197" s="23" t="s">
        <v>8</v>
      </c>
    </row>
    <row r="1198" spans="1:13" s="21" customFormat="1" x14ac:dyDescent="0.25">
      <c r="A1198" s="22" t="s">
        <v>8</v>
      </c>
      <c r="B1198" s="18" t="str">
        <f>"056364"</f>
        <v>056364</v>
      </c>
      <c r="C1198" s="19" t="s">
        <v>1200</v>
      </c>
      <c r="D1198" s="19" t="s">
        <v>16632</v>
      </c>
      <c r="E1198" s="19" t="s">
        <v>31260</v>
      </c>
      <c r="F1198" s="19" t="s">
        <v>35978</v>
      </c>
      <c r="G1198" s="18" t="str">
        <f>"95405"</f>
        <v>95405</v>
      </c>
      <c r="H1198" s="19" t="s">
        <v>31174</v>
      </c>
      <c r="I1198" s="20">
        <v>16.904</v>
      </c>
      <c r="J1198" s="44" t="s">
        <v>8</v>
      </c>
      <c r="K1198" s="23" t="s">
        <v>8</v>
      </c>
      <c r="L1198" s="23" t="s">
        <v>8</v>
      </c>
      <c r="M1198" s="23" t="s">
        <v>8</v>
      </c>
    </row>
    <row r="1199" spans="1:13" s="21" customFormat="1" x14ac:dyDescent="0.25">
      <c r="A1199" s="22" t="s">
        <v>8</v>
      </c>
      <c r="B1199" s="18" t="str">
        <f>"056365"</f>
        <v>056365</v>
      </c>
      <c r="C1199" s="19" t="s">
        <v>1201</v>
      </c>
      <c r="D1199" s="19" t="s">
        <v>16633</v>
      </c>
      <c r="E1199" s="19" t="s">
        <v>31225</v>
      </c>
      <c r="F1199" s="19" t="s">
        <v>35978</v>
      </c>
      <c r="G1199" s="18" t="str">
        <f>"92399"</f>
        <v>92399</v>
      </c>
      <c r="H1199" s="19" t="s">
        <v>31227</v>
      </c>
      <c r="I1199" s="20">
        <v>18.584</v>
      </c>
      <c r="J1199" s="44" t="s">
        <v>8</v>
      </c>
      <c r="K1199" s="23" t="s">
        <v>8</v>
      </c>
      <c r="L1199" s="23" t="s">
        <v>8</v>
      </c>
      <c r="M1199" s="23" t="s">
        <v>8</v>
      </c>
    </row>
    <row r="1200" spans="1:13" s="21" customFormat="1" x14ac:dyDescent="0.25">
      <c r="A1200" s="22" t="s">
        <v>8</v>
      </c>
      <c r="B1200" s="18" t="str">
        <f>"056367"</f>
        <v>056367</v>
      </c>
      <c r="C1200" s="19" t="s">
        <v>1202</v>
      </c>
      <c r="D1200" s="19" t="s">
        <v>16634</v>
      </c>
      <c r="E1200" s="19" t="s">
        <v>31320</v>
      </c>
      <c r="F1200" s="19" t="s">
        <v>35978</v>
      </c>
      <c r="G1200" s="18" t="str">
        <f>"91343"</f>
        <v>91343</v>
      </c>
      <c r="H1200" s="19" t="s">
        <v>31109</v>
      </c>
      <c r="I1200" s="20">
        <v>17.936</v>
      </c>
      <c r="J1200" s="44" t="s">
        <v>8</v>
      </c>
      <c r="K1200" s="23" t="s">
        <v>8</v>
      </c>
      <c r="L1200" s="23" t="s">
        <v>8</v>
      </c>
      <c r="M1200" s="23" t="s">
        <v>8</v>
      </c>
    </row>
    <row r="1201" spans="1:13" s="21" customFormat="1" x14ac:dyDescent="0.25">
      <c r="A1201" s="22" t="s">
        <v>8</v>
      </c>
      <c r="B1201" s="18" t="str">
        <f>"056372"</f>
        <v>056372</v>
      </c>
      <c r="C1201" s="19" t="s">
        <v>1203</v>
      </c>
      <c r="D1201" s="19" t="s">
        <v>16635</v>
      </c>
      <c r="E1201" s="19" t="s">
        <v>31098</v>
      </c>
      <c r="F1201" s="19" t="s">
        <v>35978</v>
      </c>
      <c r="G1201" s="18" t="str">
        <f>"92373"</f>
        <v>92373</v>
      </c>
      <c r="H1201" s="19" t="s">
        <v>31227</v>
      </c>
      <c r="I1201" s="20">
        <v>19.029</v>
      </c>
      <c r="J1201" s="44" t="s">
        <v>8</v>
      </c>
      <c r="K1201" s="23" t="s">
        <v>8</v>
      </c>
      <c r="L1201" s="23" t="s">
        <v>8</v>
      </c>
      <c r="M1201" s="23" t="s">
        <v>8</v>
      </c>
    </row>
    <row r="1202" spans="1:13" s="21" customFormat="1" x14ac:dyDescent="0.25">
      <c r="A1202" s="22" t="s">
        <v>8</v>
      </c>
      <c r="B1202" s="18" t="str">
        <f>"056376"</f>
        <v>056376</v>
      </c>
      <c r="C1202" s="19" t="s">
        <v>1204</v>
      </c>
      <c r="D1202" s="19" t="s">
        <v>16636</v>
      </c>
      <c r="E1202" s="19" t="s">
        <v>31188</v>
      </c>
      <c r="F1202" s="19" t="s">
        <v>35978</v>
      </c>
      <c r="G1202" s="18" t="str">
        <f>"95128"</f>
        <v>95128</v>
      </c>
      <c r="H1202" s="19" t="s">
        <v>31241</v>
      </c>
      <c r="I1202" s="20">
        <v>18.853000000000002</v>
      </c>
      <c r="J1202" s="44" t="s">
        <v>8</v>
      </c>
      <c r="K1202" s="23" t="s">
        <v>8</v>
      </c>
      <c r="L1202" s="23" t="s">
        <v>8</v>
      </c>
      <c r="M1202" s="23" t="s">
        <v>8</v>
      </c>
    </row>
    <row r="1203" spans="1:13" s="21" customFormat="1" x14ac:dyDescent="0.25">
      <c r="A1203" s="22" t="s">
        <v>8</v>
      </c>
      <c r="B1203" s="18" t="str">
        <f>"056377"</f>
        <v>056377</v>
      </c>
      <c r="C1203" s="19" t="s">
        <v>1205</v>
      </c>
      <c r="D1203" s="19" t="s">
        <v>16637</v>
      </c>
      <c r="E1203" s="19" t="s">
        <v>31109</v>
      </c>
      <c r="F1203" s="19" t="s">
        <v>35978</v>
      </c>
      <c r="G1203" s="18" t="str">
        <f>"90019"</f>
        <v>90019</v>
      </c>
      <c r="H1203" s="19" t="s">
        <v>31109</v>
      </c>
      <c r="I1203" s="20">
        <v>20.507000000000001</v>
      </c>
      <c r="J1203" s="44" t="s">
        <v>8</v>
      </c>
      <c r="K1203" s="23" t="s">
        <v>8</v>
      </c>
      <c r="L1203" s="23" t="s">
        <v>8</v>
      </c>
      <c r="M1203" s="23" t="s">
        <v>8</v>
      </c>
    </row>
    <row r="1204" spans="1:13" s="21" customFormat="1" x14ac:dyDescent="0.25">
      <c r="A1204" s="22" t="s">
        <v>8</v>
      </c>
      <c r="B1204" s="18" t="str">
        <f>"056378"</f>
        <v>056378</v>
      </c>
      <c r="C1204" s="19" t="s">
        <v>1206</v>
      </c>
      <c r="D1204" s="19" t="s">
        <v>16638</v>
      </c>
      <c r="E1204" s="19" t="s">
        <v>31111</v>
      </c>
      <c r="F1204" s="19" t="s">
        <v>35978</v>
      </c>
      <c r="G1204" s="18" t="str">
        <f>"90804"</f>
        <v>90804</v>
      </c>
      <c r="H1204" s="19" t="s">
        <v>31109</v>
      </c>
      <c r="I1204" s="20">
        <v>21.783999999999999</v>
      </c>
      <c r="J1204" s="44" t="s">
        <v>8</v>
      </c>
      <c r="K1204" s="23" t="s">
        <v>8</v>
      </c>
      <c r="L1204" s="23" t="s">
        <v>8</v>
      </c>
      <c r="M1204" s="23" t="s">
        <v>8</v>
      </c>
    </row>
    <row r="1205" spans="1:13" s="21" customFormat="1" x14ac:dyDescent="0.25">
      <c r="A1205" s="22" t="s">
        <v>8</v>
      </c>
      <c r="B1205" s="18" t="str">
        <f>"056379"</f>
        <v>056379</v>
      </c>
      <c r="C1205" s="19" t="s">
        <v>1207</v>
      </c>
      <c r="D1205" s="19" t="s">
        <v>16639</v>
      </c>
      <c r="E1205" s="19" t="s">
        <v>31234</v>
      </c>
      <c r="F1205" s="19" t="s">
        <v>35978</v>
      </c>
      <c r="G1205" s="18" t="str">
        <f>"93030"</f>
        <v>93030</v>
      </c>
      <c r="H1205" s="19" t="s">
        <v>31228</v>
      </c>
      <c r="I1205" s="20">
        <v>19.997</v>
      </c>
      <c r="J1205" s="44" t="s">
        <v>8</v>
      </c>
      <c r="K1205" s="23" t="s">
        <v>8</v>
      </c>
      <c r="L1205" s="23" t="s">
        <v>8</v>
      </c>
      <c r="M1205" s="23" t="s">
        <v>8</v>
      </c>
    </row>
    <row r="1206" spans="1:13" s="21" customFormat="1" x14ac:dyDescent="0.25">
      <c r="A1206" s="22" t="s">
        <v>8</v>
      </c>
      <c r="B1206" s="18" t="str">
        <f>"056380"</f>
        <v>056380</v>
      </c>
      <c r="C1206" s="19" t="s">
        <v>1208</v>
      </c>
      <c r="D1206" s="19" t="s">
        <v>16640</v>
      </c>
      <c r="E1206" s="19" t="s">
        <v>31109</v>
      </c>
      <c r="F1206" s="19" t="s">
        <v>35978</v>
      </c>
      <c r="G1206" s="18" t="str">
        <f>"90039"</f>
        <v>90039</v>
      </c>
      <c r="H1206" s="19" t="s">
        <v>31109</v>
      </c>
      <c r="I1206" s="20">
        <v>16.599</v>
      </c>
      <c r="J1206" s="44" t="s">
        <v>8</v>
      </c>
      <c r="K1206" s="23" t="s">
        <v>8</v>
      </c>
      <c r="L1206" s="23" t="s">
        <v>8</v>
      </c>
      <c r="M1206" s="23" t="s">
        <v>8</v>
      </c>
    </row>
    <row r="1207" spans="1:13" s="21" customFormat="1" x14ac:dyDescent="0.25">
      <c r="A1207" s="22" t="s">
        <v>8</v>
      </c>
      <c r="B1207" s="18" t="str">
        <f>"056381"</f>
        <v>056381</v>
      </c>
      <c r="C1207" s="19" t="s">
        <v>1209</v>
      </c>
      <c r="D1207" s="19" t="s">
        <v>16641</v>
      </c>
      <c r="E1207" s="19" t="s">
        <v>31279</v>
      </c>
      <c r="F1207" s="19" t="s">
        <v>35978</v>
      </c>
      <c r="G1207" s="18" t="str">
        <f>"94509"</f>
        <v>94509</v>
      </c>
      <c r="H1207" s="19" t="s">
        <v>36088</v>
      </c>
      <c r="I1207" s="20">
        <v>18.306000000000001</v>
      </c>
      <c r="J1207" s="44" t="s">
        <v>8</v>
      </c>
      <c r="K1207" s="23" t="s">
        <v>8</v>
      </c>
      <c r="L1207" s="23" t="s">
        <v>8</v>
      </c>
      <c r="M1207" s="23" t="s">
        <v>8</v>
      </c>
    </row>
    <row r="1208" spans="1:13" s="21" customFormat="1" x14ac:dyDescent="0.25">
      <c r="A1208" s="22" t="s">
        <v>8</v>
      </c>
      <c r="B1208" s="18" t="str">
        <f>"056382"</f>
        <v>056382</v>
      </c>
      <c r="C1208" s="19" t="s">
        <v>1210</v>
      </c>
      <c r="D1208" s="19" t="s">
        <v>16642</v>
      </c>
      <c r="E1208" s="19" t="s">
        <v>31287</v>
      </c>
      <c r="F1208" s="19" t="s">
        <v>35978</v>
      </c>
      <c r="G1208" s="18" t="str">
        <f>"91342"</f>
        <v>91342</v>
      </c>
      <c r="H1208" s="19" t="s">
        <v>31109</v>
      </c>
      <c r="I1208" s="20">
        <v>20.591000000000001</v>
      </c>
      <c r="J1208" s="44" t="s">
        <v>8</v>
      </c>
      <c r="K1208" s="23" t="s">
        <v>8</v>
      </c>
      <c r="L1208" s="23" t="s">
        <v>8</v>
      </c>
      <c r="M1208" s="23" t="s">
        <v>8</v>
      </c>
    </row>
    <row r="1209" spans="1:13" s="21" customFormat="1" x14ac:dyDescent="0.25">
      <c r="A1209" s="22" t="s">
        <v>8</v>
      </c>
      <c r="B1209" s="18" t="str">
        <f>"056388"</f>
        <v>056388</v>
      </c>
      <c r="C1209" s="19" t="s">
        <v>1211</v>
      </c>
      <c r="D1209" s="19" t="s">
        <v>16643</v>
      </c>
      <c r="E1209" s="19" t="s">
        <v>31271</v>
      </c>
      <c r="F1209" s="19" t="s">
        <v>35978</v>
      </c>
      <c r="G1209" s="18" t="str">
        <f>"91950"</f>
        <v>91950</v>
      </c>
      <c r="H1209" s="19" t="s">
        <v>31176</v>
      </c>
      <c r="I1209" s="20">
        <v>21.186</v>
      </c>
      <c r="J1209" s="44" t="s">
        <v>8</v>
      </c>
      <c r="K1209" s="23" t="s">
        <v>8</v>
      </c>
      <c r="L1209" s="23" t="s">
        <v>8</v>
      </c>
      <c r="M1209" s="23" t="s">
        <v>8</v>
      </c>
    </row>
    <row r="1210" spans="1:13" s="21" customFormat="1" x14ac:dyDescent="0.25">
      <c r="A1210" s="22" t="s">
        <v>8</v>
      </c>
      <c r="B1210" s="18" t="str">
        <f>"056389"</f>
        <v>056389</v>
      </c>
      <c r="C1210" s="19" t="s">
        <v>1212</v>
      </c>
      <c r="D1210" s="19" t="s">
        <v>16644</v>
      </c>
      <c r="E1210" s="19" t="s">
        <v>31130</v>
      </c>
      <c r="F1210" s="19" t="s">
        <v>35978</v>
      </c>
      <c r="G1210" s="18" t="str">
        <f>"94806"</f>
        <v>94806</v>
      </c>
      <c r="H1210" s="19" t="s">
        <v>36088</v>
      </c>
      <c r="I1210" s="20">
        <v>17.308</v>
      </c>
      <c r="J1210" s="44" t="s">
        <v>8</v>
      </c>
      <c r="K1210" s="23" t="s">
        <v>8</v>
      </c>
      <c r="L1210" s="23" t="s">
        <v>8</v>
      </c>
      <c r="M1210" s="23" t="s">
        <v>8</v>
      </c>
    </row>
    <row r="1211" spans="1:13" s="21" customFormat="1" x14ac:dyDescent="0.25">
      <c r="A1211" s="22" t="s">
        <v>8</v>
      </c>
      <c r="B1211" s="18" t="str">
        <f>"056391"</f>
        <v>056391</v>
      </c>
      <c r="C1211" s="19" t="s">
        <v>1213</v>
      </c>
      <c r="D1211" s="19" t="s">
        <v>16645</v>
      </c>
      <c r="E1211" s="19" t="s">
        <v>31218</v>
      </c>
      <c r="F1211" s="19" t="s">
        <v>35978</v>
      </c>
      <c r="G1211" s="18" t="str">
        <f>"95945"</f>
        <v>95945</v>
      </c>
      <c r="H1211" s="19" t="s">
        <v>32459</v>
      </c>
      <c r="I1211" s="20">
        <v>15.228999999999999</v>
      </c>
      <c r="J1211" s="44" t="s">
        <v>8</v>
      </c>
      <c r="K1211" s="23" t="s">
        <v>8</v>
      </c>
      <c r="L1211" s="23" t="s">
        <v>8</v>
      </c>
      <c r="M1211" s="23" t="s">
        <v>8</v>
      </c>
    </row>
    <row r="1212" spans="1:13" s="21" customFormat="1" x14ac:dyDescent="0.25">
      <c r="A1212" s="22" t="s">
        <v>8</v>
      </c>
      <c r="B1212" s="18" t="str">
        <f>"056392"</f>
        <v>056392</v>
      </c>
      <c r="C1212" s="19" t="s">
        <v>1214</v>
      </c>
      <c r="D1212" s="19" t="s">
        <v>16646</v>
      </c>
      <c r="E1212" s="19" t="s">
        <v>31321</v>
      </c>
      <c r="F1212" s="19" t="s">
        <v>35978</v>
      </c>
      <c r="G1212" s="18" t="str">
        <f>"94566"</f>
        <v>94566</v>
      </c>
      <c r="H1212" s="19" t="s">
        <v>31290</v>
      </c>
      <c r="I1212" s="20">
        <v>16.643999999999998</v>
      </c>
      <c r="J1212" s="44" t="s">
        <v>8</v>
      </c>
      <c r="K1212" s="23" t="s">
        <v>8</v>
      </c>
      <c r="L1212" s="23" t="s">
        <v>8</v>
      </c>
      <c r="M1212" s="23" t="s">
        <v>8</v>
      </c>
    </row>
    <row r="1213" spans="1:13" s="21" customFormat="1" x14ac:dyDescent="0.25">
      <c r="A1213" s="22" t="s">
        <v>8</v>
      </c>
      <c r="B1213" s="18" t="str">
        <f>"056394"</f>
        <v>056394</v>
      </c>
      <c r="C1213" s="19" t="s">
        <v>1215</v>
      </c>
      <c r="D1213" s="19" t="s">
        <v>16647</v>
      </c>
      <c r="E1213" s="19" t="s">
        <v>31275</v>
      </c>
      <c r="F1213" s="19" t="s">
        <v>35978</v>
      </c>
      <c r="G1213" s="18" t="str">
        <f>"94015"</f>
        <v>94015</v>
      </c>
      <c r="H1213" s="19" t="s">
        <v>31152</v>
      </c>
      <c r="I1213" s="20">
        <v>19.98</v>
      </c>
      <c r="J1213" s="44" t="s">
        <v>8</v>
      </c>
      <c r="K1213" s="23" t="s">
        <v>8</v>
      </c>
      <c r="L1213" s="23" t="s">
        <v>8</v>
      </c>
      <c r="M1213" s="23" t="s">
        <v>8</v>
      </c>
    </row>
    <row r="1214" spans="1:13" s="21" customFormat="1" x14ac:dyDescent="0.25">
      <c r="A1214" s="22" t="s">
        <v>8</v>
      </c>
      <c r="B1214" s="18" t="str">
        <f>"056399"</f>
        <v>056399</v>
      </c>
      <c r="C1214" s="19" t="s">
        <v>1216</v>
      </c>
      <c r="D1214" s="19" t="s">
        <v>16648</v>
      </c>
      <c r="E1214" s="19" t="s">
        <v>31304</v>
      </c>
      <c r="F1214" s="19" t="s">
        <v>35978</v>
      </c>
      <c r="G1214" s="18" t="str">
        <f>"94598"</f>
        <v>94598</v>
      </c>
      <c r="H1214" s="19" t="s">
        <v>36088</v>
      </c>
      <c r="I1214" s="20">
        <v>19.649000000000001</v>
      </c>
      <c r="J1214" s="44" t="s">
        <v>8</v>
      </c>
      <c r="K1214" s="23" t="s">
        <v>8</v>
      </c>
      <c r="L1214" s="23" t="s">
        <v>8</v>
      </c>
      <c r="M1214" s="23" t="s">
        <v>8</v>
      </c>
    </row>
    <row r="1215" spans="1:13" s="21" customFormat="1" x14ac:dyDescent="0.25">
      <c r="A1215" s="22" t="s">
        <v>8</v>
      </c>
      <c r="B1215" s="18" t="str">
        <f>"056401"</f>
        <v>056401</v>
      </c>
      <c r="C1215" s="19" t="s">
        <v>1217</v>
      </c>
      <c r="D1215" s="19" t="s">
        <v>16649</v>
      </c>
      <c r="E1215" s="19" t="s">
        <v>31176</v>
      </c>
      <c r="F1215" s="19" t="s">
        <v>35978</v>
      </c>
      <c r="G1215" s="18" t="str">
        <f>"92103"</f>
        <v>92103</v>
      </c>
      <c r="H1215" s="19" t="s">
        <v>31176</v>
      </c>
      <c r="I1215" s="20">
        <v>19.056000000000001</v>
      </c>
      <c r="J1215" s="44" t="s">
        <v>8</v>
      </c>
      <c r="K1215" s="23" t="s">
        <v>8</v>
      </c>
      <c r="L1215" s="23" t="s">
        <v>8</v>
      </c>
      <c r="M1215" s="23" t="s">
        <v>8</v>
      </c>
    </row>
    <row r="1216" spans="1:13" s="21" customFormat="1" x14ac:dyDescent="0.25">
      <c r="A1216" s="22" t="s">
        <v>8</v>
      </c>
      <c r="B1216" s="18" t="str">
        <f>"056405"</f>
        <v>056405</v>
      </c>
      <c r="C1216" s="19" t="s">
        <v>1218</v>
      </c>
      <c r="D1216" s="19" t="s">
        <v>16650</v>
      </c>
      <c r="E1216" s="19" t="s">
        <v>31268</v>
      </c>
      <c r="F1216" s="19" t="s">
        <v>35978</v>
      </c>
      <c r="G1216" s="18" t="str">
        <f>"90706"</f>
        <v>90706</v>
      </c>
      <c r="H1216" s="19" t="s">
        <v>31109</v>
      </c>
      <c r="I1216" s="20">
        <v>19.805</v>
      </c>
      <c r="J1216" s="44" t="s">
        <v>8</v>
      </c>
      <c r="K1216" s="23" t="s">
        <v>8</v>
      </c>
      <c r="L1216" s="23" t="s">
        <v>8</v>
      </c>
      <c r="M1216" s="23" t="s">
        <v>8</v>
      </c>
    </row>
    <row r="1217" spans="1:13" s="21" customFormat="1" x14ac:dyDescent="0.25">
      <c r="A1217" s="22" t="s">
        <v>8</v>
      </c>
      <c r="B1217" s="18" t="str">
        <f>"056407"</f>
        <v>056407</v>
      </c>
      <c r="C1217" s="19" t="s">
        <v>1219</v>
      </c>
      <c r="D1217" s="19" t="s">
        <v>16651</v>
      </c>
      <c r="E1217" s="19" t="s">
        <v>31153</v>
      </c>
      <c r="F1217" s="19" t="s">
        <v>35978</v>
      </c>
      <c r="G1217" s="18" t="str">
        <f>"91605"</f>
        <v>91605</v>
      </c>
      <c r="H1217" s="19" t="s">
        <v>31109</v>
      </c>
      <c r="I1217" s="20">
        <v>19.712</v>
      </c>
      <c r="J1217" s="44" t="s">
        <v>8</v>
      </c>
      <c r="K1217" s="23" t="s">
        <v>8</v>
      </c>
      <c r="L1217" s="23" t="s">
        <v>8</v>
      </c>
      <c r="M1217" s="23" t="s">
        <v>8</v>
      </c>
    </row>
    <row r="1218" spans="1:13" s="21" customFormat="1" x14ac:dyDescent="0.25">
      <c r="A1218" s="22" t="s">
        <v>8</v>
      </c>
      <c r="B1218" s="18" t="str">
        <f>"056410"</f>
        <v>056410</v>
      </c>
      <c r="C1218" s="19" t="s">
        <v>1220</v>
      </c>
      <c r="D1218" s="19" t="s">
        <v>16652</v>
      </c>
      <c r="E1218" s="19" t="s">
        <v>31197</v>
      </c>
      <c r="F1218" s="19" t="s">
        <v>35978</v>
      </c>
      <c r="G1218" s="18" t="str">
        <f>"95608"</f>
        <v>95608</v>
      </c>
      <c r="H1218" s="19" t="s">
        <v>31180</v>
      </c>
      <c r="I1218" s="20">
        <v>20.634</v>
      </c>
      <c r="J1218" s="44" t="s">
        <v>8</v>
      </c>
      <c r="K1218" s="23" t="s">
        <v>8</v>
      </c>
      <c r="L1218" s="23" t="s">
        <v>8</v>
      </c>
      <c r="M1218" s="23" t="s">
        <v>8</v>
      </c>
    </row>
    <row r="1219" spans="1:13" s="21" customFormat="1" x14ac:dyDescent="0.25">
      <c r="A1219" s="22" t="s">
        <v>8</v>
      </c>
      <c r="B1219" s="18" t="str">
        <f>"056411"</f>
        <v>056411</v>
      </c>
      <c r="C1219" s="19" t="s">
        <v>1221</v>
      </c>
      <c r="D1219" s="19" t="s">
        <v>16653</v>
      </c>
      <c r="E1219" s="19" t="s">
        <v>31260</v>
      </c>
      <c r="F1219" s="19" t="s">
        <v>35978</v>
      </c>
      <c r="G1219" s="18" t="str">
        <f>"95405"</f>
        <v>95405</v>
      </c>
      <c r="H1219" s="19" t="s">
        <v>31174</v>
      </c>
      <c r="I1219" s="20">
        <v>15.14</v>
      </c>
      <c r="J1219" s="44" t="s">
        <v>8</v>
      </c>
      <c r="K1219" s="23" t="s">
        <v>8</v>
      </c>
      <c r="L1219" s="23" t="s">
        <v>8</v>
      </c>
      <c r="M1219" s="23" t="s">
        <v>8</v>
      </c>
    </row>
    <row r="1220" spans="1:13" s="21" customFormat="1" x14ac:dyDescent="0.25">
      <c r="A1220" s="22" t="s">
        <v>8</v>
      </c>
      <c r="B1220" s="18" t="str">
        <f>"056412"</f>
        <v>056412</v>
      </c>
      <c r="C1220" s="19" t="s">
        <v>1222</v>
      </c>
      <c r="D1220" s="19" t="s">
        <v>16654</v>
      </c>
      <c r="E1220" s="19" t="s">
        <v>31102</v>
      </c>
      <c r="F1220" s="19" t="s">
        <v>35978</v>
      </c>
      <c r="G1220" s="18" t="str">
        <f>"91335"</f>
        <v>91335</v>
      </c>
      <c r="H1220" s="19" t="s">
        <v>31109</v>
      </c>
      <c r="I1220" s="20">
        <v>20.056000000000001</v>
      </c>
      <c r="J1220" s="44" t="s">
        <v>8</v>
      </c>
      <c r="K1220" s="23" t="s">
        <v>8</v>
      </c>
      <c r="L1220" s="23" t="s">
        <v>8</v>
      </c>
      <c r="M1220" s="23" t="s">
        <v>8</v>
      </c>
    </row>
    <row r="1221" spans="1:13" s="21" customFormat="1" x14ac:dyDescent="0.25">
      <c r="A1221" s="22" t="s">
        <v>8</v>
      </c>
      <c r="B1221" s="18" t="str">
        <f>"056413"</f>
        <v>056413</v>
      </c>
      <c r="C1221" s="19" t="s">
        <v>1223</v>
      </c>
      <c r="D1221" s="19" t="s">
        <v>16655</v>
      </c>
      <c r="E1221" s="19" t="s">
        <v>31179</v>
      </c>
      <c r="F1221" s="19" t="s">
        <v>35978</v>
      </c>
      <c r="G1221" s="18" t="str">
        <f>"91780"</f>
        <v>91780</v>
      </c>
      <c r="H1221" s="19" t="s">
        <v>31109</v>
      </c>
      <c r="I1221" s="20">
        <v>19.933</v>
      </c>
      <c r="J1221" s="44" t="s">
        <v>8</v>
      </c>
      <c r="K1221" s="23" t="s">
        <v>8</v>
      </c>
      <c r="L1221" s="23" t="s">
        <v>8</v>
      </c>
      <c r="M1221" s="23" t="s">
        <v>8</v>
      </c>
    </row>
    <row r="1222" spans="1:13" s="21" customFormat="1" x14ac:dyDescent="0.25">
      <c r="A1222" s="22" t="s">
        <v>8</v>
      </c>
      <c r="B1222" s="18" t="str">
        <f>"056415"</f>
        <v>056415</v>
      </c>
      <c r="C1222" s="19" t="s">
        <v>1224</v>
      </c>
      <c r="D1222" s="19" t="s">
        <v>16656</v>
      </c>
      <c r="E1222" s="19" t="s">
        <v>31116</v>
      </c>
      <c r="F1222" s="19" t="s">
        <v>35978</v>
      </c>
      <c r="G1222" s="18" t="str">
        <f>"90262"</f>
        <v>90262</v>
      </c>
      <c r="H1222" s="19" t="s">
        <v>31109</v>
      </c>
      <c r="I1222" s="20">
        <v>18.373999999999999</v>
      </c>
      <c r="J1222" s="44" t="s">
        <v>8</v>
      </c>
      <c r="K1222" s="23" t="s">
        <v>8</v>
      </c>
      <c r="L1222" s="23" t="s">
        <v>8</v>
      </c>
      <c r="M1222" s="23" t="s">
        <v>8</v>
      </c>
    </row>
    <row r="1223" spans="1:13" s="21" customFormat="1" x14ac:dyDescent="0.25">
      <c r="A1223" s="22" t="s">
        <v>8</v>
      </c>
      <c r="B1223" s="18" t="str">
        <f>"056422"</f>
        <v>056422</v>
      </c>
      <c r="C1223" s="19" t="s">
        <v>1225</v>
      </c>
      <c r="D1223" s="19" t="s">
        <v>16657</v>
      </c>
      <c r="E1223" s="19" t="s">
        <v>31175</v>
      </c>
      <c r="F1223" s="19" t="s">
        <v>35978</v>
      </c>
      <c r="G1223" s="18" t="str">
        <f>"94538"</f>
        <v>94538</v>
      </c>
      <c r="H1223" s="19" t="s">
        <v>31290</v>
      </c>
      <c r="I1223" s="20">
        <v>21.536000000000001</v>
      </c>
      <c r="J1223" s="44" t="s">
        <v>8</v>
      </c>
      <c r="K1223" s="23" t="s">
        <v>8</v>
      </c>
      <c r="L1223" s="23" t="s">
        <v>8</v>
      </c>
      <c r="M1223" s="23" t="s">
        <v>8</v>
      </c>
    </row>
    <row r="1224" spans="1:13" s="21" customFormat="1" x14ac:dyDescent="0.25">
      <c r="A1224" s="22" t="s">
        <v>8</v>
      </c>
      <c r="B1224" s="18" t="str">
        <f>"056423"</f>
        <v>056423</v>
      </c>
      <c r="C1224" s="19" t="s">
        <v>1226</v>
      </c>
      <c r="D1224" s="19" t="s">
        <v>16658</v>
      </c>
      <c r="E1224" s="19" t="s">
        <v>31224</v>
      </c>
      <c r="F1224" s="19" t="s">
        <v>35978</v>
      </c>
      <c r="G1224" s="18" t="str">
        <f>"93257"</f>
        <v>93257</v>
      </c>
      <c r="H1224" s="19" t="s">
        <v>31243</v>
      </c>
      <c r="I1224" s="20">
        <v>19.454999999999998</v>
      </c>
      <c r="J1224" s="44" t="s">
        <v>8</v>
      </c>
      <c r="K1224" s="23" t="s">
        <v>8</v>
      </c>
      <c r="L1224" s="23" t="s">
        <v>8</v>
      </c>
      <c r="M1224" s="23" t="s">
        <v>8</v>
      </c>
    </row>
    <row r="1225" spans="1:13" s="21" customFormat="1" x14ac:dyDescent="0.25">
      <c r="A1225" s="22" t="s">
        <v>8</v>
      </c>
      <c r="B1225" s="18" t="str">
        <f>"056425"</f>
        <v>056425</v>
      </c>
      <c r="C1225" s="19" t="s">
        <v>1227</v>
      </c>
      <c r="D1225" s="19" t="s">
        <v>16659</v>
      </c>
      <c r="E1225" s="19" t="s">
        <v>31181</v>
      </c>
      <c r="F1225" s="19" t="s">
        <v>35978</v>
      </c>
      <c r="G1225" s="18" t="str">
        <f>"90650"</f>
        <v>90650</v>
      </c>
      <c r="H1225" s="19" t="s">
        <v>31109</v>
      </c>
      <c r="I1225" s="20">
        <v>19.882999999999999</v>
      </c>
      <c r="J1225" s="44" t="s">
        <v>8</v>
      </c>
      <c r="K1225" s="23" t="s">
        <v>8</v>
      </c>
      <c r="L1225" s="23" t="s">
        <v>8</v>
      </c>
      <c r="M1225" s="23" t="s">
        <v>8</v>
      </c>
    </row>
    <row r="1226" spans="1:13" s="21" customFormat="1" x14ac:dyDescent="0.25">
      <c r="A1226" s="22" t="s">
        <v>8</v>
      </c>
      <c r="B1226" s="18" t="str">
        <f>"056426"</f>
        <v>056426</v>
      </c>
      <c r="C1226" s="19" t="s">
        <v>1228</v>
      </c>
      <c r="D1226" s="19" t="s">
        <v>16660</v>
      </c>
      <c r="E1226" s="19" t="s">
        <v>31322</v>
      </c>
      <c r="F1226" s="19" t="s">
        <v>35978</v>
      </c>
      <c r="G1226" s="18" t="str">
        <f>"93215"</f>
        <v>93215</v>
      </c>
      <c r="H1226" s="19" t="s">
        <v>36098</v>
      </c>
      <c r="I1226" s="20">
        <v>19.524000000000001</v>
      </c>
      <c r="J1226" s="44" t="s">
        <v>8</v>
      </c>
      <c r="K1226" s="23" t="s">
        <v>8</v>
      </c>
      <c r="L1226" s="23" t="s">
        <v>8</v>
      </c>
      <c r="M1226" s="23" t="s">
        <v>8</v>
      </c>
    </row>
    <row r="1227" spans="1:13" s="21" customFormat="1" x14ac:dyDescent="0.25">
      <c r="A1227" s="22" t="s">
        <v>8</v>
      </c>
      <c r="B1227" s="18" t="str">
        <f>"056428"</f>
        <v>056428</v>
      </c>
      <c r="C1227" s="19" t="s">
        <v>1229</v>
      </c>
      <c r="D1227" s="19" t="s">
        <v>16661</v>
      </c>
      <c r="E1227" s="19" t="s">
        <v>31308</v>
      </c>
      <c r="F1227" s="19" t="s">
        <v>35978</v>
      </c>
      <c r="G1227" s="18" t="str">
        <f>"92262"</f>
        <v>92262</v>
      </c>
      <c r="H1227" s="19" t="s">
        <v>31112</v>
      </c>
      <c r="I1227" s="20">
        <v>18.992000000000001</v>
      </c>
      <c r="J1227" s="44" t="s">
        <v>8</v>
      </c>
      <c r="K1227" s="23" t="s">
        <v>8</v>
      </c>
      <c r="L1227" s="23" t="s">
        <v>8</v>
      </c>
      <c r="M1227" s="23" t="s">
        <v>8</v>
      </c>
    </row>
    <row r="1228" spans="1:13" s="21" customFormat="1" x14ac:dyDescent="0.25">
      <c r="A1228" s="22" t="s">
        <v>8</v>
      </c>
      <c r="B1228" s="18" t="str">
        <f>"056429"</f>
        <v>056429</v>
      </c>
      <c r="C1228" s="19" t="s">
        <v>1230</v>
      </c>
      <c r="D1228" s="19" t="s">
        <v>16662</v>
      </c>
      <c r="E1228" s="19" t="s">
        <v>31264</v>
      </c>
      <c r="F1228" s="19" t="s">
        <v>35978</v>
      </c>
      <c r="G1228" s="18" t="str">
        <f>"92336"</f>
        <v>92336</v>
      </c>
      <c r="H1228" s="19" t="s">
        <v>31227</v>
      </c>
      <c r="I1228" s="20">
        <v>20.061</v>
      </c>
      <c r="J1228" s="44" t="s">
        <v>8</v>
      </c>
      <c r="K1228" s="23" t="s">
        <v>8</v>
      </c>
      <c r="L1228" s="23" t="s">
        <v>8</v>
      </c>
      <c r="M1228" s="23" t="s">
        <v>8</v>
      </c>
    </row>
    <row r="1229" spans="1:13" s="21" customFormat="1" x14ac:dyDescent="0.25">
      <c r="A1229" s="22" t="s">
        <v>8</v>
      </c>
      <c r="B1229" s="18" t="str">
        <f>"056430"</f>
        <v>056430</v>
      </c>
      <c r="C1229" s="19" t="s">
        <v>1231</v>
      </c>
      <c r="D1229" s="19" t="s">
        <v>16663</v>
      </c>
      <c r="E1229" s="19" t="s">
        <v>31186</v>
      </c>
      <c r="F1229" s="19" t="s">
        <v>35978</v>
      </c>
      <c r="G1229" s="18" t="str">
        <f>"94903"</f>
        <v>94903</v>
      </c>
      <c r="H1229" s="19" t="s">
        <v>36090</v>
      </c>
      <c r="I1229" s="20">
        <v>19.108000000000001</v>
      </c>
      <c r="J1229" s="44" t="s">
        <v>8</v>
      </c>
      <c r="K1229" s="23" t="s">
        <v>8</v>
      </c>
      <c r="L1229" s="23" t="s">
        <v>8</v>
      </c>
      <c r="M1229" s="23" t="s">
        <v>8</v>
      </c>
    </row>
    <row r="1230" spans="1:13" s="21" customFormat="1" x14ac:dyDescent="0.25">
      <c r="A1230" s="22" t="s">
        <v>8</v>
      </c>
      <c r="B1230" s="18" t="str">
        <f>"056431"</f>
        <v>056431</v>
      </c>
      <c r="C1230" s="19" t="s">
        <v>1232</v>
      </c>
      <c r="D1230" s="19" t="s">
        <v>16664</v>
      </c>
      <c r="E1230" s="19" t="s">
        <v>31104</v>
      </c>
      <c r="F1230" s="19" t="s">
        <v>35978</v>
      </c>
      <c r="G1230" s="18" t="str">
        <f>"91768"</f>
        <v>91768</v>
      </c>
      <c r="H1230" s="19" t="s">
        <v>31109</v>
      </c>
      <c r="I1230" s="20">
        <v>21.138000000000002</v>
      </c>
      <c r="J1230" s="44" t="s">
        <v>8</v>
      </c>
      <c r="K1230" s="23" t="s">
        <v>8</v>
      </c>
      <c r="L1230" s="23" t="s">
        <v>8</v>
      </c>
      <c r="M1230" s="23" t="s">
        <v>8</v>
      </c>
    </row>
    <row r="1231" spans="1:13" s="21" customFormat="1" x14ac:dyDescent="0.25">
      <c r="A1231" s="22" t="s">
        <v>8</v>
      </c>
      <c r="B1231" s="18" t="str">
        <f>"056433"</f>
        <v>056433</v>
      </c>
      <c r="C1231" s="19" t="s">
        <v>1233</v>
      </c>
      <c r="D1231" s="19" t="s">
        <v>16665</v>
      </c>
      <c r="E1231" s="19" t="s">
        <v>31108</v>
      </c>
      <c r="F1231" s="19" t="s">
        <v>35978</v>
      </c>
      <c r="G1231" s="18" t="str">
        <f>"90502"</f>
        <v>90502</v>
      </c>
      <c r="H1231" s="19" t="s">
        <v>31109</v>
      </c>
      <c r="I1231" s="20">
        <v>17.524000000000001</v>
      </c>
      <c r="J1231" s="44" t="s">
        <v>8</v>
      </c>
      <c r="K1231" s="23" t="s">
        <v>8</v>
      </c>
      <c r="L1231" s="23" t="s">
        <v>8</v>
      </c>
      <c r="M1231" s="23" t="s">
        <v>8</v>
      </c>
    </row>
    <row r="1232" spans="1:13" s="21" customFormat="1" x14ac:dyDescent="0.25">
      <c r="A1232" s="22" t="s">
        <v>8</v>
      </c>
      <c r="B1232" s="18" t="str">
        <f>"056436"</f>
        <v>056436</v>
      </c>
      <c r="C1232" s="19" t="s">
        <v>1234</v>
      </c>
      <c r="D1232" s="19" t="s">
        <v>16666</v>
      </c>
      <c r="E1232" s="19" t="s">
        <v>31227</v>
      </c>
      <c r="F1232" s="19" t="s">
        <v>35978</v>
      </c>
      <c r="G1232" s="18" t="str">
        <f>"92404"</f>
        <v>92404</v>
      </c>
      <c r="H1232" s="19" t="s">
        <v>31227</v>
      </c>
      <c r="I1232" s="20">
        <v>17.382999999999999</v>
      </c>
      <c r="J1232" s="44" t="s">
        <v>8</v>
      </c>
      <c r="K1232" s="23" t="s">
        <v>8</v>
      </c>
      <c r="L1232" s="23" t="s">
        <v>8</v>
      </c>
      <c r="M1232" s="23" t="s">
        <v>8</v>
      </c>
    </row>
    <row r="1233" spans="1:13" s="21" customFormat="1" x14ac:dyDescent="0.25">
      <c r="A1233" s="22" t="s">
        <v>8</v>
      </c>
      <c r="B1233" s="18" t="str">
        <f>"056437"</f>
        <v>056437</v>
      </c>
      <c r="C1233" s="19" t="s">
        <v>1235</v>
      </c>
      <c r="D1233" s="19" t="s">
        <v>16667</v>
      </c>
      <c r="E1233" s="19" t="s">
        <v>31274</v>
      </c>
      <c r="F1233" s="19" t="s">
        <v>35978</v>
      </c>
      <c r="G1233" s="18" t="str">
        <f>"93940"</f>
        <v>93940</v>
      </c>
      <c r="H1233" s="19" t="s">
        <v>31274</v>
      </c>
      <c r="I1233" s="20">
        <v>16.29</v>
      </c>
      <c r="J1233" s="44" t="s">
        <v>8</v>
      </c>
      <c r="K1233" s="23" t="s">
        <v>8</v>
      </c>
      <c r="L1233" s="23" t="s">
        <v>8</v>
      </c>
      <c r="M1233" s="23" t="s">
        <v>8</v>
      </c>
    </row>
    <row r="1234" spans="1:13" s="21" customFormat="1" x14ac:dyDescent="0.25">
      <c r="A1234" s="22" t="s">
        <v>8</v>
      </c>
      <c r="B1234" s="18" t="str">
        <f>"056438"</f>
        <v>056438</v>
      </c>
      <c r="C1234" s="19" t="s">
        <v>1236</v>
      </c>
      <c r="D1234" s="19" t="s">
        <v>16668</v>
      </c>
      <c r="E1234" s="19" t="s">
        <v>31109</v>
      </c>
      <c r="F1234" s="19" t="s">
        <v>35978</v>
      </c>
      <c r="G1234" s="18" t="str">
        <f>"90035"</f>
        <v>90035</v>
      </c>
      <c r="H1234" s="19" t="s">
        <v>31109</v>
      </c>
      <c r="I1234" s="20">
        <v>17.577999999999999</v>
      </c>
      <c r="J1234" s="44" t="s">
        <v>8</v>
      </c>
      <c r="K1234" s="23" t="s">
        <v>8</v>
      </c>
      <c r="L1234" s="23" t="s">
        <v>8</v>
      </c>
      <c r="M1234" s="23" t="s">
        <v>8</v>
      </c>
    </row>
    <row r="1235" spans="1:13" s="21" customFormat="1" x14ac:dyDescent="0.25">
      <c r="A1235" s="22" t="s">
        <v>8</v>
      </c>
      <c r="B1235" s="18" t="str">
        <f>"056443"</f>
        <v>056443</v>
      </c>
      <c r="C1235" s="19" t="s">
        <v>1237</v>
      </c>
      <c r="D1235" s="19" t="s">
        <v>16066</v>
      </c>
      <c r="E1235" s="19" t="s">
        <v>31095</v>
      </c>
      <c r="F1235" s="19" t="s">
        <v>35978</v>
      </c>
      <c r="G1235" s="18" t="str">
        <f>"93930"</f>
        <v>93930</v>
      </c>
      <c r="H1235" s="19" t="s">
        <v>31274</v>
      </c>
      <c r="I1235" s="20">
        <v>18.678999999999998</v>
      </c>
      <c r="J1235" s="44" t="s">
        <v>8</v>
      </c>
      <c r="K1235" s="23" t="s">
        <v>8</v>
      </c>
      <c r="L1235" s="23" t="s">
        <v>8</v>
      </c>
      <c r="M1235" s="23" t="s">
        <v>8</v>
      </c>
    </row>
    <row r="1236" spans="1:13" s="21" customFormat="1" x14ac:dyDescent="0.25">
      <c r="A1236" s="22" t="s">
        <v>8</v>
      </c>
      <c r="B1236" s="18" t="str">
        <f>"056444"</f>
        <v>056444</v>
      </c>
      <c r="C1236" s="19" t="s">
        <v>1238</v>
      </c>
      <c r="D1236" s="19" t="s">
        <v>16669</v>
      </c>
      <c r="E1236" s="19" t="s">
        <v>31249</v>
      </c>
      <c r="F1236" s="19" t="s">
        <v>35978</v>
      </c>
      <c r="G1236" s="18" t="str">
        <f>"91763"</f>
        <v>91763</v>
      </c>
      <c r="H1236" s="19" t="s">
        <v>31227</v>
      </c>
      <c r="I1236" s="20">
        <v>21.157</v>
      </c>
      <c r="J1236" s="44" t="s">
        <v>8</v>
      </c>
      <c r="K1236" s="23" t="s">
        <v>8</v>
      </c>
      <c r="L1236" s="23" t="s">
        <v>8</v>
      </c>
      <c r="M1236" s="23" t="s">
        <v>8</v>
      </c>
    </row>
    <row r="1237" spans="1:13" s="21" customFormat="1" x14ac:dyDescent="0.25">
      <c r="A1237" s="22" t="s">
        <v>8</v>
      </c>
      <c r="B1237" s="18" t="str">
        <f>"056446"</f>
        <v>056446</v>
      </c>
      <c r="C1237" s="19" t="s">
        <v>1239</v>
      </c>
      <c r="D1237" s="19" t="s">
        <v>16670</v>
      </c>
      <c r="E1237" s="19" t="s">
        <v>31301</v>
      </c>
      <c r="F1237" s="19" t="s">
        <v>35978</v>
      </c>
      <c r="G1237" s="18" t="str">
        <f>"90723"</f>
        <v>90723</v>
      </c>
      <c r="H1237" s="19" t="s">
        <v>31109</v>
      </c>
      <c r="I1237" s="20">
        <v>16.036999999999999</v>
      </c>
      <c r="J1237" s="44" t="s">
        <v>8</v>
      </c>
      <c r="K1237" s="23" t="s">
        <v>8</v>
      </c>
      <c r="L1237" s="23" t="s">
        <v>8</v>
      </c>
      <c r="M1237" s="23" t="s">
        <v>8</v>
      </c>
    </row>
    <row r="1238" spans="1:13" s="21" customFormat="1" x14ac:dyDescent="0.25">
      <c r="A1238" s="22" t="s">
        <v>8</v>
      </c>
      <c r="B1238" s="18" t="str">
        <f>"056447"</f>
        <v>056447</v>
      </c>
      <c r="C1238" s="19" t="s">
        <v>1240</v>
      </c>
      <c r="D1238" s="19" t="s">
        <v>16671</v>
      </c>
      <c r="E1238" s="19" t="s">
        <v>31190</v>
      </c>
      <c r="F1238" s="19" t="s">
        <v>35978</v>
      </c>
      <c r="G1238" s="18" t="str">
        <f>"94541"</f>
        <v>94541</v>
      </c>
      <c r="H1238" s="19" t="s">
        <v>31290</v>
      </c>
      <c r="I1238" s="20">
        <v>17.491</v>
      </c>
      <c r="J1238" s="44" t="s">
        <v>8</v>
      </c>
      <c r="K1238" s="23" t="s">
        <v>8</v>
      </c>
      <c r="L1238" s="23" t="s">
        <v>8</v>
      </c>
      <c r="M1238" s="23" t="s">
        <v>8</v>
      </c>
    </row>
    <row r="1239" spans="1:13" s="21" customFormat="1" x14ac:dyDescent="0.25">
      <c r="A1239" s="22" t="s">
        <v>8</v>
      </c>
      <c r="B1239" s="18" t="str">
        <f>"056449"</f>
        <v>056449</v>
      </c>
      <c r="C1239" s="19" t="s">
        <v>1241</v>
      </c>
      <c r="D1239" s="19" t="s">
        <v>16672</v>
      </c>
      <c r="E1239" s="19" t="s">
        <v>31146</v>
      </c>
      <c r="F1239" s="19" t="s">
        <v>35978</v>
      </c>
      <c r="G1239" s="18" t="str">
        <f>"94112"</f>
        <v>94112</v>
      </c>
      <c r="H1239" s="19" t="s">
        <v>31146</v>
      </c>
      <c r="I1239" s="20">
        <v>20.216999999999999</v>
      </c>
      <c r="J1239" s="44" t="s">
        <v>8</v>
      </c>
      <c r="K1239" s="23" t="s">
        <v>8</v>
      </c>
      <c r="L1239" s="23" t="s">
        <v>8</v>
      </c>
      <c r="M1239" s="23" t="s">
        <v>8</v>
      </c>
    </row>
    <row r="1240" spans="1:13" s="21" customFormat="1" x14ac:dyDescent="0.25">
      <c r="A1240" s="22" t="s">
        <v>8</v>
      </c>
      <c r="B1240" s="18" t="str">
        <f>"056451"</f>
        <v>056451</v>
      </c>
      <c r="C1240" s="19" t="s">
        <v>1242</v>
      </c>
      <c r="D1240" s="19" t="s">
        <v>16673</v>
      </c>
      <c r="E1240" s="19" t="s">
        <v>31109</v>
      </c>
      <c r="F1240" s="19" t="s">
        <v>35978</v>
      </c>
      <c r="G1240" s="18" t="str">
        <f>"90034"</f>
        <v>90034</v>
      </c>
      <c r="H1240" s="19" t="s">
        <v>31109</v>
      </c>
      <c r="I1240" s="20">
        <v>20.852</v>
      </c>
      <c r="J1240" s="44" t="s">
        <v>8</v>
      </c>
      <c r="K1240" s="23" t="s">
        <v>8</v>
      </c>
      <c r="L1240" s="23" t="s">
        <v>8</v>
      </c>
      <c r="M1240" s="23" t="s">
        <v>8</v>
      </c>
    </row>
    <row r="1241" spans="1:13" s="21" customFormat="1" x14ac:dyDescent="0.25">
      <c r="A1241" s="22" t="s">
        <v>8</v>
      </c>
      <c r="B1241" s="18" t="str">
        <f>"056456"</f>
        <v>056456</v>
      </c>
      <c r="C1241" s="19" t="s">
        <v>1243</v>
      </c>
      <c r="D1241" s="19" t="s">
        <v>16674</v>
      </c>
      <c r="E1241" s="19" t="s">
        <v>31109</v>
      </c>
      <c r="F1241" s="19" t="s">
        <v>35978</v>
      </c>
      <c r="G1241" s="18" t="str">
        <f>"90029"</f>
        <v>90029</v>
      </c>
      <c r="H1241" s="19" t="s">
        <v>31109</v>
      </c>
      <c r="I1241" s="20">
        <v>18.774000000000001</v>
      </c>
      <c r="J1241" s="44" t="s">
        <v>8</v>
      </c>
      <c r="K1241" s="23" t="s">
        <v>8</v>
      </c>
      <c r="L1241" s="23" t="s">
        <v>8</v>
      </c>
      <c r="M1241" s="23" t="s">
        <v>8</v>
      </c>
    </row>
    <row r="1242" spans="1:13" s="21" customFormat="1" x14ac:dyDescent="0.25">
      <c r="A1242" s="22" t="s">
        <v>8</v>
      </c>
      <c r="B1242" s="18" t="str">
        <f>"056457"</f>
        <v>056457</v>
      </c>
      <c r="C1242" s="19" t="s">
        <v>1244</v>
      </c>
      <c r="D1242" s="19" t="s">
        <v>16675</v>
      </c>
      <c r="E1242" s="19" t="s">
        <v>31323</v>
      </c>
      <c r="F1242" s="19" t="s">
        <v>35978</v>
      </c>
      <c r="G1242" s="18" t="str">
        <f>"94803"</f>
        <v>94803</v>
      </c>
      <c r="H1242" s="19" t="s">
        <v>36088</v>
      </c>
      <c r="I1242" s="20">
        <v>19.45</v>
      </c>
      <c r="J1242" s="44" t="s">
        <v>8</v>
      </c>
      <c r="K1242" s="23" t="s">
        <v>8</v>
      </c>
      <c r="L1242" s="23" t="s">
        <v>8</v>
      </c>
      <c r="M1242" s="23" t="s">
        <v>8</v>
      </c>
    </row>
    <row r="1243" spans="1:13" s="21" customFormat="1" x14ac:dyDescent="0.25">
      <c r="A1243" s="22" t="s">
        <v>8</v>
      </c>
      <c r="B1243" s="18" t="str">
        <f>"056458"</f>
        <v>056458</v>
      </c>
      <c r="C1243" s="19" t="s">
        <v>1245</v>
      </c>
      <c r="D1243" s="19" t="s">
        <v>16676</v>
      </c>
      <c r="E1243" s="19" t="s">
        <v>31324</v>
      </c>
      <c r="F1243" s="19" t="s">
        <v>35978</v>
      </c>
      <c r="G1243" s="18" t="str">
        <f>"90280"</f>
        <v>90280</v>
      </c>
      <c r="H1243" s="19" t="s">
        <v>31109</v>
      </c>
      <c r="I1243" s="20">
        <v>19.908000000000001</v>
      </c>
      <c r="J1243" s="44" t="s">
        <v>8</v>
      </c>
      <c r="K1243" s="23" t="s">
        <v>8</v>
      </c>
      <c r="L1243" s="23" t="s">
        <v>8</v>
      </c>
      <c r="M1243" s="23" t="s">
        <v>8</v>
      </c>
    </row>
    <row r="1244" spans="1:13" s="21" customFormat="1" x14ac:dyDescent="0.25">
      <c r="A1244" s="22" t="s">
        <v>8</v>
      </c>
      <c r="B1244" s="18" t="str">
        <f>"056463"</f>
        <v>056463</v>
      </c>
      <c r="C1244" s="19" t="s">
        <v>1246</v>
      </c>
      <c r="D1244" s="19" t="s">
        <v>16677</v>
      </c>
      <c r="E1244" s="19" t="s">
        <v>31190</v>
      </c>
      <c r="F1244" s="19" t="s">
        <v>35978</v>
      </c>
      <c r="G1244" s="18" t="str">
        <f>"94544"</f>
        <v>94544</v>
      </c>
      <c r="H1244" s="19" t="s">
        <v>31290</v>
      </c>
      <c r="I1244" s="20">
        <v>16.547999999999998</v>
      </c>
      <c r="J1244" s="44" t="s">
        <v>8</v>
      </c>
      <c r="K1244" s="23" t="s">
        <v>8</v>
      </c>
      <c r="L1244" s="23" t="s">
        <v>8</v>
      </c>
      <c r="M1244" s="23" t="s">
        <v>8</v>
      </c>
    </row>
    <row r="1245" spans="1:13" s="21" customFormat="1" x14ac:dyDescent="0.25">
      <c r="A1245" s="22" t="s">
        <v>8</v>
      </c>
      <c r="B1245" s="18" t="str">
        <f>"056466"</f>
        <v>056466</v>
      </c>
      <c r="C1245" s="19" t="s">
        <v>1247</v>
      </c>
      <c r="D1245" s="19" t="s">
        <v>16678</v>
      </c>
      <c r="E1245" s="19" t="s">
        <v>31151</v>
      </c>
      <c r="F1245" s="19" t="s">
        <v>35978</v>
      </c>
      <c r="G1245" s="18" t="str">
        <f>"91706"</f>
        <v>91706</v>
      </c>
      <c r="H1245" s="19" t="s">
        <v>31109</v>
      </c>
      <c r="I1245" s="20">
        <v>19.597000000000001</v>
      </c>
      <c r="J1245" s="44" t="s">
        <v>8</v>
      </c>
      <c r="K1245" s="23" t="s">
        <v>8</v>
      </c>
      <c r="L1245" s="23" t="s">
        <v>8</v>
      </c>
      <c r="M1245" s="23" t="s">
        <v>8</v>
      </c>
    </row>
    <row r="1246" spans="1:13" s="21" customFormat="1" x14ac:dyDescent="0.25">
      <c r="A1246" s="22" t="s">
        <v>8</v>
      </c>
      <c r="B1246" s="18" t="str">
        <f>"056471"</f>
        <v>056471</v>
      </c>
      <c r="C1246" s="19" t="s">
        <v>1248</v>
      </c>
      <c r="D1246" s="19" t="s">
        <v>16679</v>
      </c>
      <c r="E1246" s="19" t="s">
        <v>31190</v>
      </c>
      <c r="F1246" s="19" t="s">
        <v>35978</v>
      </c>
      <c r="G1246" s="18" t="str">
        <f>"94541"</f>
        <v>94541</v>
      </c>
      <c r="H1246" s="19" t="s">
        <v>31290</v>
      </c>
      <c r="I1246" s="20">
        <v>19.975999999999999</v>
      </c>
      <c r="J1246" s="44" t="s">
        <v>8</v>
      </c>
      <c r="K1246" s="23" t="s">
        <v>8</v>
      </c>
      <c r="L1246" s="23" t="s">
        <v>8</v>
      </c>
      <c r="M1246" s="23" t="s">
        <v>8</v>
      </c>
    </row>
    <row r="1247" spans="1:13" s="21" customFormat="1" x14ac:dyDescent="0.25">
      <c r="A1247" s="22" t="s">
        <v>8</v>
      </c>
      <c r="B1247" s="18" t="str">
        <f>"056475"</f>
        <v>056475</v>
      </c>
      <c r="C1247" s="19" t="s">
        <v>1249</v>
      </c>
      <c r="D1247" s="19" t="s">
        <v>16680</v>
      </c>
      <c r="E1247" s="19" t="s">
        <v>31190</v>
      </c>
      <c r="F1247" s="19" t="s">
        <v>35978</v>
      </c>
      <c r="G1247" s="18" t="str">
        <f>"94541"</f>
        <v>94541</v>
      </c>
      <c r="H1247" s="19" t="s">
        <v>31290</v>
      </c>
      <c r="I1247" s="20">
        <v>18.648</v>
      </c>
      <c r="J1247" s="44" t="s">
        <v>8</v>
      </c>
      <c r="K1247" s="23" t="s">
        <v>8</v>
      </c>
      <c r="L1247" s="23" t="s">
        <v>8</v>
      </c>
      <c r="M1247" s="23" t="s">
        <v>8</v>
      </c>
    </row>
    <row r="1248" spans="1:13" s="21" customFormat="1" x14ac:dyDescent="0.25">
      <c r="A1248" s="22" t="s">
        <v>8</v>
      </c>
      <c r="B1248" s="18" t="str">
        <f>"056476"</f>
        <v>056476</v>
      </c>
      <c r="C1248" s="19" t="s">
        <v>1250</v>
      </c>
      <c r="D1248" s="19" t="s">
        <v>16681</v>
      </c>
      <c r="E1248" s="19" t="s">
        <v>31115</v>
      </c>
      <c r="F1248" s="19" t="s">
        <v>35978</v>
      </c>
      <c r="G1248" s="18" t="str">
        <f>"94523"</f>
        <v>94523</v>
      </c>
      <c r="H1248" s="19" t="s">
        <v>36088</v>
      </c>
      <c r="I1248" s="20">
        <v>19.77</v>
      </c>
      <c r="J1248" s="44" t="s">
        <v>8</v>
      </c>
      <c r="K1248" s="23" t="s">
        <v>8</v>
      </c>
      <c r="L1248" s="23" t="s">
        <v>8</v>
      </c>
      <c r="M1248" s="23" t="s">
        <v>8</v>
      </c>
    </row>
    <row r="1249" spans="1:13" s="21" customFormat="1" x14ac:dyDescent="0.25">
      <c r="A1249" s="22" t="s">
        <v>8</v>
      </c>
      <c r="B1249" s="18" t="str">
        <f>"056477"</f>
        <v>056477</v>
      </c>
      <c r="C1249" s="19" t="s">
        <v>1251</v>
      </c>
      <c r="D1249" s="19" t="s">
        <v>16682</v>
      </c>
      <c r="E1249" s="19" t="s">
        <v>31131</v>
      </c>
      <c r="F1249" s="19" t="s">
        <v>35978</v>
      </c>
      <c r="G1249" s="18" t="str">
        <f>"91732"</f>
        <v>91732</v>
      </c>
      <c r="H1249" s="19" t="s">
        <v>31109</v>
      </c>
      <c r="I1249" s="20">
        <v>19.71</v>
      </c>
      <c r="J1249" s="44" t="s">
        <v>8</v>
      </c>
      <c r="K1249" s="23" t="s">
        <v>8</v>
      </c>
      <c r="L1249" s="23" t="s">
        <v>8</v>
      </c>
      <c r="M1249" s="23" t="s">
        <v>8</v>
      </c>
    </row>
    <row r="1250" spans="1:13" s="21" customFormat="1" x14ac:dyDescent="0.25">
      <c r="A1250" s="22" t="s">
        <v>8</v>
      </c>
      <c r="B1250" s="18" t="str">
        <f>"056478"</f>
        <v>056478</v>
      </c>
      <c r="C1250" s="19" t="s">
        <v>1252</v>
      </c>
      <c r="D1250" s="19" t="s">
        <v>16683</v>
      </c>
      <c r="E1250" s="19" t="s">
        <v>31109</v>
      </c>
      <c r="F1250" s="19" t="s">
        <v>35978</v>
      </c>
      <c r="G1250" s="18" t="str">
        <f>"90059"</f>
        <v>90059</v>
      </c>
      <c r="H1250" s="19" t="s">
        <v>31109</v>
      </c>
      <c r="I1250" s="20">
        <v>22.693000000000001</v>
      </c>
      <c r="J1250" s="44" t="s">
        <v>8</v>
      </c>
      <c r="K1250" s="23" t="s">
        <v>8</v>
      </c>
      <c r="L1250" s="23" t="s">
        <v>8</v>
      </c>
      <c r="M1250" s="23" t="s">
        <v>8</v>
      </c>
    </row>
    <row r="1251" spans="1:13" s="21" customFormat="1" x14ac:dyDescent="0.25">
      <c r="A1251" s="22" t="s">
        <v>8</v>
      </c>
      <c r="B1251" s="18" t="str">
        <f>"056479"</f>
        <v>056479</v>
      </c>
      <c r="C1251" s="19" t="s">
        <v>1253</v>
      </c>
      <c r="D1251" s="19" t="s">
        <v>16684</v>
      </c>
      <c r="E1251" s="19" t="s">
        <v>31132</v>
      </c>
      <c r="F1251" s="19" t="s">
        <v>35978</v>
      </c>
      <c r="G1251" s="18" t="str">
        <f>"94578"</f>
        <v>94578</v>
      </c>
      <c r="H1251" s="19" t="s">
        <v>31290</v>
      </c>
      <c r="I1251" s="20">
        <v>18.675000000000001</v>
      </c>
      <c r="J1251" s="44" t="s">
        <v>8</v>
      </c>
      <c r="K1251" s="23" t="s">
        <v>8</v>
      </c>
      <c r="L1251" s="23" t="s">
        <v>8</v>
      </c>
      <c r="M1251" s="23" t="s">
        <v>8</v>
      </c>
    </row>
    <row r="1252" spans="1:13" s="21" customFormat="1" x14ac:dyDescent="0.25">
      <c r="A1252" s="22" t="s">
        <v>8</v>
      </c>
      <c r="B1252" s="18" t="str">
        <f>"056483"</f>
        <v>056483</v>
      </c>
      <c r="C1252" s="19" t="s">
        <v>1254</v>
      </c>
      <c r="D1252" s="19" t="s">
        <v>16685</v>
      </c>
      <c r="E1252" s="19" t="s">
        <v>31325</v>
      </c>
      <c r="F1252" s="19" t="s">
        <v>35978</v>
      </c>
      <c r="G1252" s="18" t="str">
        <f>"95437"</f>
        <v>95437</v>
      </c>
      <c r="H1252" s="19" t="s">
        <v>36099</v>
      </c>
      <c r="I1252" s="20">
        <v>18.308</v>
      </c>
      <c r="J1252" s="44" t="s">
        <v>8</v>
      </c>
      <c r="K1252" s="23" t="s">
        <v>8</v>
      </c>
      <c r="L1252" s="23" t="s">
        <v>8</v>
      </c>
      <c r="M1252" s="23" t="s">
        <v>8</v>
      </c>
    </row>
    <row r="1253" spans="1:13" s="21" customFormat="1" x14ac:dyDescent="0.25">
      <c r="A1253" s="22" t="s">
        <v>8</v>
      </c>
      <c r="B1253" s="18" t="str">
        <f>"056485"</f>
        <v>056485</v>
      </c>
      <c r="C1253" s="19" t="s">
        <v>1255</v>
      </c>
      <c r="D1253" s="19" t="s">
        <v>16686</v>
      </c>
      <c r="E1253" s="19" t="s">
        <v>31112</v>
      </c>
      <c r="F1253" s="19" t="s">
        <v>35978</v>
      </c>
      <c r="G1253" s="18" t="str">
        <f>"92505"</f>
        <v>92505</v>
      </c>
      <c r="H1253" s="19" t="s">
        <v>31112</v>
      </c>
      <c r="I1253" s="20">
        <v>19.978999999999999</v>
      </c>
      <c r="J1253" s="44" t="s">
        <v>8</v>
      </c>
      <c r="K1253" s="23" t="s">
        <v>8</v>
      </c>
      <c r="L1253" s="23" t="s">
        <v>8</v>
      </c>
      <c r="M1253" s="23" t="s">
        <v>8</v>
      </c>
    </row>
    <row r="1254" spans="1:13" s="21" customFormat="1" x14ac:dyDescent="0.25">
      <c r="A1254" s="22" t="s">
        <v>8</v>
      </c>
      <c r="B1254" s="18" t="str">
        <f>"056487"</f>
        <v>056487</v>
      </c>
      <c r="C1254" s="19" t="s">
        <v>1256</v>
      </c>
      <c r="D1254" s="19" t="s">
        <v>16687</v>
      </c>
      <c r="E1254" s="19" t="s">
        <v>31142</v>
      </c>
      <c r="F1254" s="19" t="s">
        <v>35978</v>
      </c>
      <c r="G1254" s="18" t="str">
        <f>"90640"</f>
        <v>90640</v>
      </c>
      <c r="H1254" s="19" t="s">
        <v>31109</v>
      </c>
      <c r="I1254" s="20">
        <v>18.277000000000001</v>
      </c>
      <c r="J1254" s="44" t="s">
        <v>8</v>
      </c>
      <c r="K1254" s="23" t="s">
        <v>8</v>
      </c>
      <c r="L1254" s="23" t="s">
        <v>8</v>
      </c>
      <c r="M1254" s="23" t="s">
        <v>8</v>
      </c>
    </row>
    <row r="1255" spans="1:13" s="21" customFormat="1" x14ac:dyDescent="0.25">
      <c r="A1255" s="22" t="s">
        <v>8</v>
      </c>
      <c r="B1255" s="18" t="str">
        <f>"056488"</f>
        <v>056488</v>
      </c>
      <c r="C1255" s="19" t="s">
        <v>1257</v>
      </c>
      <c r="D1255" s="19" t="s">
        <v>16688</v>
      </c>
      <c r="E1255" s="19" t="s">
        <v>31108</v>
      </c>
      <c r="F1255" s="19" t="s">
        <v>35978</v>
      </c>
      <c r="G1255" s="18" t="str">
        <f>"90502"</f>
        <v>90502</v>
      </c>
      <c r="H1255" s="19" t="s">
        <v>31109</v>
      </c>
      <c r="I1255" s="20">
        <v>19.779</v>
      </c>
      <c r="J1255" s="44" t="s">
        <v>8</v>
      </c>
      <c r="K1255" s="23" t="s">
        <v>8</v>
      </c>
      <c r="L1255" s="23" t="s">
        <v>8</v>
      </c>
      <c r="M1255" s="23" t="s">
        <v>8</v>
      </c>
    </row>
    <row r="1256" spans="1:13" s="21" customFormat="1" x14ac:dyDescent="0.25">
      <c r="A1256" s="22" t="s">
        <v>8</v>
      </c>
      <c r="B1256" s="18" t="str">
        <f>"056489"</f>
        <v>056489</v>
      </c>
      <c r="C1256" s="19" t="s">
        <v>1258</v>
      </c>
      <c r="D1256" s="19" t="s">
        <v>16689</v>
      </c>
      <c r="E1256" s="19" t="s">
        <v>31109</v>
      </c>
      <c r="F1256" s="19" t="s">
        <v>35978</v>
      </c>
      <c r="G1256" s="18" t="str">
        <f>"90029"</f>
        <v>90029</v>
      </c>
      <c r="H1256" s="19" t="s">
        <v>31109</v>
      </c>
      <c r="I1256" s="20">
        <v>18.878</v>
      </c>
      <c r="J1256" s="44" t="s">
        <v>8</v>
      </c>
      <c r="K1256" s="23" t="s">
        <v>8</v>
      </c>
      <c r="L1256" s="23" t="s">
        <v>8</v>
      </c>
      <c r="M1256" s="23" t="s">
        <v>8</v>
      </c>
    </row>
    <row r="1257" spans="1:13" s="21" customFormat="1" x14ac:dyDescent="0.25">
      <c r="A1257" s="22" t="s">
        <v>8</v>
      </c>
      <c r="B1257" s="18" t="str">
        <f>"056495"</f>
        <v>056495</v>
      </c>
      <c r="C1257" s="19" t="s">
        <v>1259</v>
      </c>
      <c r="D1257" s="19" t="s">
        <v>16690</v>
      </c>
      <c r="E1257" s="19" t="s">
        <v>31326</v>
      </c>
      <c r="F1257" s="19" t="s">
        <v>35978</v>
      </c>
      <c r="G1257" s="18" t="str">
        <f>"95670"</f>
        <v>95670</v>
      </c>
      <c r="H1257" s="19" t="s">
        <v>31180</v>
      </c>
      <c r="I1257" s="20">
        <v>17.460999999999999</v>
      </c>
      <c r="J1257" s="44" t="s">
        <v>8</v>
      </c>
      <c r="K1257" s="23" t="s">
        <v>8</v>
      </c>
      <c r="L1257" s="23" t="s">
        <v>8</v>
      </c>
      <c r="M1257" s="23" t="s">
        <v>8</v>
      </c>
    </row>
    <row r="1258" spans="1:13" s="21" customFormat="1" x14ac:dyDescent="0.25">
      <c r="A1258" s="22" t="s">
        <v>8</v>
      </c>
      <c r="B1258" s="18" t="str">
        <f>"056496"</f>
        <v>056496</v>
      </c>
      <c r="C1258" s="19" t="s">
        <v>1260</v>
      </c>
      <c r="D1258" s="19" t="s">
        <v>16691</v>
      </c>
      <c r="E1258" s="19" t="s">
        <v>31327</v>
      </c>
      <c r="F1258" s="19" t="s">
        <v>35978</v>
      </c>
      <c r="G1258" s="18" t="str">
        <f>"92008"</f>
        <v>92008</v>
      </c>
      <c r="H1258" s="19" t="s">
        <v>31176</v>
      </c>
      <c r="I1258" s="20">
        <v>19.873000000000001</v>
      </c>
      <c r="J1258" s="44" t="s">
        <v>8</v>
      </c>
      <c r="K1258" s="23" t="s">
        <v>8</v>
      </c>
      <c r="L1258" s="23" t="s">
        <v>8</v>
      </c>
      <c r="M1258" s="23" t="s">
        <v>8</v>
      </c>
    </row>
    <row r="1259" spans="1:13" s="21" customFormat="1" x14ac:dyDescent="0.25">
      <c r="A1259" s="22" t="s">
        <v>8</v>
      </c>
      <c r="B1259" s="18" t="str">
        <f>"056499"</f>
        <v>056499</v>
      </c>
      <c r="C1259" s="19" t="s">
        <v>1261</v>
      </c>
      <c r="D1259" s="19" t="s">
        <v>16692</v>
      </c>
      <c r="E1259" s="19" t="s">
        <v>31108</v>
      </c>
      <c r="F1259" s="19" t="s">
        <v>35978</v>
      </c>
      <c r="G1259" s="18" t="str">
        <f>"90503"</f>
        <v>90503</v>
      </c>
      <c r="H1259" s="19" t="s">
        <v>31109</v>
      </c>
      <c r="I1259" s="20">
        <v>21.224</v>
      </c>
      <c r="J1259" s="44" t="s">
        <v>8</v>
      </c>
      <c r="K1259" s="23" t="s">
        <v>8</v>
      </c>
      <c r="L1259" s="23" t="s">
        <v>8</v>
      </c>
      <c r="M1259" s="23" t="s">
        <v>8</v>
      </c>
    </row>
    <row r="1260" spans="1:13" s="21" customFormat="1" x14ac:dyDescent="0.25">
      <c r="A1260" s="22" t="s">
        <v>8</v>
      </c>
      <c r="B1260" s="18" t="s">
        <v>15152</v>
      </c>
      <c r="C1260" s="19" t="s">
        <v>1262</v>
      </c>
      <c r="D1260" s="19" t="s">
        <v>16693</v>
      </c>
      <c r="E1260" s="19" t="s">
        <v>31328</v>
      </c>
      <c r="F1260" s="19" t="s">
        <v>35979</v>
      </c>
      <c r="G1260" s="18" t="str">
        <f>"81101"</f>
        <v>81101</v>
      </c>
      <c r="H1260" s="19" t="s">
        <v>31328</v>
      </c>
      <c r="I1260" s="20">
        <v>18.169</v>
      </c>
      <c r="J1260" s="44" t="s">
        <v>8</v>
      </c>
      <c r="K1260" s="23" t="s">
        <v>8</v>
      </c>
      <c r="L1260" s="23" t="s">
        <v>8</v>
      </c>
      <c r="M1260" s="23" t="s">
        <v>8</v>
      </c>
    </row>
    <row r="1261" spans="1:13" s="21" customFormat="1" x14ac:dyDescent="0.25">
      <c r="A1261" s="22" t="s">
        <v>8</v>
      </c>
      <c r="B1261" s="18" t="s">
        <v>15153</v>
      </c>
      <c r="C1261" s="19" t="s">
        <v>1263</v>
      </c>
      <c r="D1261" s="19" t="s">
        <v>16694</v>
      </c>
      <c r="E1261" s="19" t="s">
        <v>31329</v>
      </c>
      <c r="F1261" s="19" t="s">
        <v>35979</v>
      </c>
      <c r="G1261" s="18" t="str">
        <f>"81212"</f>
        <v>81212</v>
      </c>
      <c r="H1261" s="19" t="s">
        <v>31175</v>
      </c>
      <c r="I1261" s="20">
        <v>18.079999999999998</v>
      </c>
      <c r="J1261" s="44" t="s">
        <v>8</v>
      </c>
      <c r="K1261" s="23" t="s">
        <v>8</v>
      </c>
      <c r="L1261" s="23" t="s">
        <v>8</v>
      </c>
      <c r="M1261" s="23" t="s">
        <v>8</v>
      </c>
    </row>
    <row r="1262" spans="1:13" s="21" customFormat="1" x14ac:dyDescent="0.25">
      <c r="A1262" s="22" t="s">
        <v>8</v>
      </c>
      <c r="B1262" s="18" t="s">
        <v>15154</v>
      </c>
      <c r="C1262" s="19" t="s">
        <v>1264</v>
      </c>
      <c r="D1262" s="19" t="s">
        <v>16695</v>
      </c>
      <c r="E1262" s="19" t="s">
        <v>31330</v>
      </c>
      <c r="F1262" s="19" t="s">
        <v>35979</v>
      </c>
      <c r="G1262" s="18" t="str">
        <f>"80701"</f>
        <v>80701</v>
      </c>
      <c r="H1262" s="19" t="s">
        <v>33505</v>
      </c>
      <c r="I1262" s="20">
        <v>17.475999999999999</v>
      </c>
      <c r="J1262" s="44" t="s">
        <v>8</v>
      </c>
      <c r="K1262" s="23" t="s">
        <v>8</v>
      </c>
      <c r="L1262" s="23" t="s">
        <v>8</v>
      </c>
      <c r="M1262" s="23" t="s">
        <v>8</v>
      </c>
    </row>
    <row r="1263" spans="1:13" s="21" customFormat="1" x14ac:dyDescent="0.25">
      <c r="A1263" s="22" t="s">
        <v>8</v>
      </c>
      <c r="B1263" s="18" t="s">
        <v>15155</v>
      </c>
      <c r="C1263" s="19" t="s">
        <v>1265</v>
      </c>
      <c r="D1263" s="19" t="s">
        <v>16696</v>
      </c>
      <c r="E1263" s="19" t="s">
        <v>31331</v>
      </c>
      <c r="F1263" s="19" t="s">
        <v>35979</v>
      </c>
      <c r="G1263" s="18" t="str">
        <f>"80487"</f>
        <v>80487</v>
      </c>
      <c r="H1263" s="19" t="s">
        <v>36106</v>
      </c>
      <c r="I1263" s="20">
        <v>20.617000000000001</v>
      </c>
      <c r="J1263" s="44" t="s">
        <v>8</v>
      </c>
      <c r="K1263" s="23" t="s">
        <v>8</v>
      </c>
      <c r="L1263" s="23" t="s">
        <v>8</v>
      </c>
      <c r="M1263" s="23" t="s">
        <v>8</v>
      </c>
    </row>
    <row r="1264" spans="1:13" s="21" customFormat="1" x14ac:dyDescent="0.25">
      <c r="A1264" s="22" t="s">
        <v>8</v>
      </c>
      <c r="B1264" s="18" t="s">
        <v>15156</v>
      </c>
      <c r="C1264" s="19" t="s">
        <v>1266</v>
      </c>
      <c r="D1264" s="19" t="s">
        <v>16697</v>
      </c>
      <c r="E1264" s="19" t="s">
        <v>31332</v>
      </c>
      <c r="F1264" s="19" t="s">
        <v>35979</v>
      </c>
      <c r="G1264" s="18" t="str">
        <f>"80443"</f>
        <v>80443</v>
      </c>
      <c r="H1264" s="19" t="s">
        <v>36107</v>
      </c>
      <c r="I1264" s="20">
        <v>19.331</v>
      </c>
      <c r="J1264" s="44" t="s">
        <v>8</v>
      </c>
      <c r="K1264" s="23" t="s">
        <v>8</v>
      </c>
      <c r="L1264" s="23" t="s">
        <v>8</v>
      </c>
      <c r="M1264" s="23" t="s">
        <v>8</v>
      </c>
    </row>
    <row r="1265" spans="1:13" s="21" customFormat="1" x14ac:dyDescent="0.25">
      <c r="A1265" s="22" t="s">
        <v>8</v>
      </c>
      <c r="B1265" s="18" t="str">
        <f>"065001"</f>
        <v>065001</v>
      </c>
      <c r="C1265" s="19" t="s">
        <v>1267</v>
      </c>
      <c r="D1265" s="19" t="s">
        <v>16698</v>
      </c>
      <c r="E1265" s="19" t="s">
        <v>31333</v>
      </c>
      <c r="F1265" s="19" t="s">
        <v>35979</v>
      </c>
      <c r="G1265" s="18" t="str">
        <f>"80010"</f>
        <v>80010</v>
      </c>
      <c r="H1265" s="19" t="s">
        <v>33802</v>
      </c>
      <c r="I1265" s="20">
        <v>19.817</v>
      </c>
      <c r="J1265" s="44" t="s">
        <v>8</v>
      </c>
      <c r="K1265" s="23" t="s">
        <v>8</v>
      </c>
      <c r="L1265" s="23" t="s">
        <v>8</v>
      </c>
      <c r="M1265" s="23" t="s">
        <v>8</v>
      </c>
    </row>
    <row r="1266" spans="1:13" s="21" customFormat="1" x14ac:dyDescent="0.25">
      <c r="A1266" s="22" t="s">
        <v>8</v>
      </c>
      <c r="B1266" s="18" t="str">
        <f>"065009"</f>
        <v>065009</v>
      </c>
      <c r="C1266" s="19" t="s">
        <v>1268</v>
      </c>
      <c r="D1266" s="19" t="s">
        <v>16699</v>
      </c>
      <c r="E1266" s="19" t="s">
        <v>31334</v>
      </c>
      <c r="F1266" s="19" t="s">
        <v>35979</v>
      </c>
      <c r="G1266" s="18" t="str">
        <f>"80206"</f>
        <v>80206</v>
      </c>
      <c r="H1266" s="19" t="s">
        <v>31334</v>
      </c>
      <c r="I1266" s="20">
        <v>17.471</v>
      </c>
      <c r="J1266" s="44" t="s">
        <v>8</v>
      </c>
      <c r="K1266" s="23" t="s">
        <v>8</v>
      </c>
      <c r="L1266" s="23" t="s">
        <v>8</v>
      </c>
      <c r="M1266" s="23" t="s">
        <v>8</v>
      </c>
    </row>
    <row r="1267" spans="1:13" s="21" customFormat="1" x14ac:dyDescent="0.25">
      <c r="A1267" s="22" t="s">
        <v>8</v>
      </c>
      <c r="B1267" s="18" t="str">
        <f>"065015"</f>
        <v>065015</v>
      </c>
      <c r="C1267" s="19" t="s">
        <v>1269</v>
      </c>
      <c r="D1267" s="19" t="s">
        <v>16700</v>
      </c>
      <c r="E1267" s="19" t="s">
        <v>31335</v>
      </c>
      <c r="F1267" s="19" t="s">
        <v>35979</v>
      </c>
      <c r="G1267" s="18" t="str">
        <f>"80033"</f>
        <v>80033</v>
      </c>
      <c r="H1267" s="19" t="s">
        <v>32391</v>
      </c>
      <c r="I1267" s="20">
        <v>19.044</v>
      </c>
      <c r="J1267" s="44" t="s">
        <v>8</v>
      </c>
      <c r="K1267" s="23" t="s">
        <v>8</v>
      </c>
      <c r="L1267" s="23" t="s">
        <v>8</v>
      </c>
      <c r="M1267" s="23" t="s">
        <v>8</v>
      </c>
    </row>
    <row r="1268" spans="1:13" s="21" customFormat="1" x14ac:dyDescent="0.25">
      <c r="A1268" s="22" t="s">
        <v>8</v>
      </c>
      <c r="B1268" s="18" t="str">
        <f>"065034"</f>
        <v>065034</v>
      </c>
      <c r="C1268" s="19" t="s">
        <v>1270</v>
      </c>
      <c r="D1268" s="19" t="s">
        <v>16701</v>
      </c>
      <c r="E1268" s="19" t="s">
        <v>31334</v>
      </c>
      <c r="F1268" s="19" t="s">
        <v>35979</v>
      </c>
      <c r="G1268" s="18" t="str">
        <f>"80222"</f>
        <v>80222</v>
      </c>
      <c r="H1268" s="19" t="s">
        <v>31334</v>
      </c>
      <c r="I1268" s="20">
        <v>18.501000000000001</v>
      </c>
      <c r="J1268" s="44" t="s">
        <v>8</v>
      </c>
      <c r="K1268" s="23" t="s">
        <v>8</v>
      </c>
      <c r="L1268" s="23" t="s">
        <v>8</v>
      </c>
      <c r="M1268" s="23" t="s">
        <v>8</v>
      </c>
    </row>
    <row r="1269" spans="1:13" s="21" customFormat="1" x14ac:dyDescent="0.25">
      <c r="A1269" s="22" t="s">
        <v>8</v>
      </c>
      <c r="B1269" s="18" t="str">
        <f>"065052"</f>
        <v>065052</v>
      </c>
      <c r="C1269" s="19" t="s">
        <v>1271</v>
      </c>
      <c r="D1269" s="19" t="s">
        <v>16702</v>
      </c>
      <c r="E1269" s="19" t="s">
        <v>31336</v>
      </c>
      <c r="F1269" s="19" t="s">
        <v>35979</v>
      </c>
      <c r="G1269" s="18" t="str">
        <f>"80304"</f>
        <v>80304</v>
      </c>
      <c r="H1269" s="19" t="s">
        <v>31336</v>
      </c>
      <c r="I1269" s="20">
        <v>18.082000000000001</v>
      </c>
      <c r="J1269" s="44" t="s">
        <v>8</v>
      </c>
      <c r="K1269" s="23" t="s">
        <v>8</v>
      </c>
      <c r="L1269" s="23" t="s">
        <v>8</v>
      </c>
      <c r="M1269" s="23" t="s">
        <v>8</v>
      </c>
    </row>
    <row r="1270" spans="1:13" s="21" customFormat="1" x14ac:dyDescent="0.25">
      <c r="A1270" s="22" t="s">
        <v>8</v>
      </c>
      <c r="B1270" s="18" t="str">
        <f>"065077"</f>
        <v>065077</v>
      </c>
      <c r="C1270" s="19" t="s">
        <v>1272</v>
      </c>
      <c r="D1270" s="19" t="s">
        <v>16703</v>
      </c>
      <c r="E1270" s="19" t="s">
        <v>31337</v>
      </c>
      <c r="F1270" s="19" t="s">
        <v>35979</v>
      </c>
      <c r="G1270" s="18" t="str">
        <f>"80110"</f>
        <v>80110</v>
      </c>
      <c r="H1270" s="19" t="s">
        <v>33802</v>
      </c>
      <c r="I1270" s="20">
        <v>20.523</v>
      </c>
      <c r="J1270" s="44" t="s">
        <v>8</v>
      </c>
      <c r="K1270" s="23" t="s">
        <v>8</v>
      </c>
      <c r="L1270" s="23" t="s">
        <v>8</v>
      </c>
      <c r="M1270" s="23" t="s">
        <v>8</v>
      </c>
    </row>
    <row r="1271" spans="1:13" s="21" customFormat="1" x14ac:dyDescent="0.25">
      <c r="A1271" s="22" t="s">
        <v>8</v>
      </c>
      <c r="B1271" s="18" t="str">
        <f>"065089"</f>
        <v>065089</v>
      </c>
      <c r="C1271" s="19" t="s">
        <v>1273</v>
      </c>
      <c r="D1271" s="19" t="s">
        <v>16704</v>
      </c>
      <c r="E1271" s="19" t="s">
        <v>31338</v>
      </c>
      <c r="F1271" s="19" t="s">
        <v>35979</v>
      </c>
      <c r="G1271" s="18" t="str">
        <f>"80910"</f>
        <v>80910</v>
      </c>
      <c r="H1271" s="19" t="s">
        <v>31965</v>
      </c>
      <c r="I1271" s="20">
        <v>19.126999999999999</v>
      </c>
      <c r="J1271" s="44" t="s">
        <v>8</v>
      </c>
      <c r="K1271" s="23" t="s">
        <v>8</v>
      </c>
      <c r="L1271" s="23" t="s">
        <v>8</v>
      </c>
      <c r="M1271" s="23" t="s">
        <v>8</v>
      </c>
    </row>
    <row r="1272" spans="1:13" s="21" customFormat="1" x14ac:dyDescent="0.25">
      <c r="A1272" s="22" t="s">
        <v>8</v>
      </c>
      <c r="B1272" s="18" t="str">
        <f>"065092"</f>
        <v>065092</v>
      </c>
      <c r="C1272" s="19" t="s">
        <v>1274</v>
      </c>
      <c r="D1272" s="19" t="s">
        <v>16705</v>
      </c>
      <c r="E1272" s="19" t="s">
        <v>31339</v>
      </c>
      <c r="F1272" s="19" t="s">
        <v>35979</v>
      </c>
      <c r="G1272" s="18" t="str">
        <f>"80226"</f>
        <v>80226</v>
      </c>
      <c r="H1272" s="19" t="s">
        <v>32391</v>
      </c>
      <c r="I1272" s="20">
        <v>17.84</v>
      </c>
      <c r="J1272" s="44" t="s">
        <v>8</v>
      </c>
      <c r="K1272" s="23" t="s">
        <v>8</v>
      </c>
      <c r="L1272" s="23" t="s">
        <v>8</v>
      </c>
      <c r="M1272" s="23" t="s">
        <v>8</v>
      </c>
    </row>
    <row r="1273" spans="1:13" s="21" customFormat="1" x14ac:dyDescent="0.25">
      <c r="A1273" s="22" t="s">
        <v>8</v>
      </c>
      <c r="B1273" s="18" t="str">
        <f>"065095"</f>
        <v>065095</v>
      </c>
      <c r="C1273" s="19" t="s">
        <v>1275</v>
      </c>
      <c r="D1273" s="19" t="s">
        <v>16706</v>
      </c>
      <c r="E1273" s="19" t="s">
        <v>31340</v>
      </c>
      <c r="F1273" s="19" t="s">
        <v>35979</v>
      </c>
      <c r="G1273" s="18" t="str">
        <f>"80631"</f>
        <v>80631</v>
      </c>
      <c r="H1273" s="19" t="s">
        <v>36108</v>
      </c>
      <c r="I1273" s="20">
        <v>16.553000000000001</v>
      </c>
      <c r="J1273" s="44" t="s">
        <v>8</v>
      </c>
      <c r="K1273" s="23" t="s">
        <v>8</v>
      </c>
      <c r="L1273" s="23" t="s">
        <v>8</v>
      </c>
      <c r="M1273" s="23" t="s">
        <v>8</v>
      </c>
    </row>
    <row r="1274" spans="1:13" s="21" customFormat="1" x14ac:dyDescent="0.25">
      <c r="A1274" s="22" t="s">
        <v>8</v>
      </c>
      <c r="B1274" s="18" t="str">
        <f>"065100"</f>
        <v>065100</v>
      </c>
      <c r="C1274" s="19" t="s">
        <v>1276</v>
      </c>
      <c r="D1274" s="19" t="s">
        <v>16707</v>
      </c>
      <c r="E1274" s="19" t="s">
        <v>31341</v>
      </c>
      <c r="F1274" s="19" t="s">
        <v>35979</v>
      </c>
      <c r="G1274" s="18" t="str">
        <f>"81004"</f>
        <v>81004</v>
      </c>
      <c r="H1274" s="19" t="s">
        <v>31341</v>
      </c>
      <c r="I1274" s="20">
        <v>18.442</v>
      </c>
      <c r="J1274" s="44" t="s">
        <v>8</v>
      </c>
      <c r="K1274" s="23" t="s">
        <v>8</v>
      </c>
      <c r="L1274" s="23" t="s">
        <v>8</v>
      </c>
      <c r="M1274" s="23" t="s">
        <v>8</v>
      </c>
    </row>
    <row r="1275" spans="1:13" s="21" customFormat="1" x14ac:dyDescent="0.25">
      <c r="A1275" s="22" t="s">
        <v>8</v>
      </c>
      <c r="B1275" s="18" t="str">
        <f>"065108"</f>
        <v>065108</v>
      </c>
      <c r="C1275" s="19" t="s">
        <v>1277</v>
      </c>
      <c r="D1275" s="19" t="s">
        <v>16708</v>
      </c>
      <c r="E1275" s="19" t="s">
        <v>31342</v>
      </c>
      <c r="F1275" s="19" t="s">
        <v>35979</v>
      </c>
      <c r="G1275" s="18" t="str">
        <f>"80233"</f>
        <v>80233</v>
      </c>
      <c r="H1275" s="19" t="s">
        <v>33467</v>
      </c>
      <c r="I1275" s="20">
        <v>17.584</v>
      </c>
      <c r="J1275" s="44" t="s">
        <v>8</v>
      </c>
      <c r="K1275" s="23" t="s">
        <v>8</v>
      </c>
      <c r="L1275" s="23" t="s">
        <v>8</v>
      </c>
      <c r="M1275" s="23" t="s">
        <v>8</v>
      </c>
    </row>
    <row r="1276" spans="1:13" s="21" customFormat="1" x14ac:dyDescent="0.25">
      <c r="A1276" s="22" t="s">
        <v>8</v>
      </c>
      <c r="B1276" s="18" t="str">
        <f>"065110"</f>
        <v>065110</v>
      </c>
      <c r="C1276" s="19" t="s">
        <v>1278</v>
      </c>
      <c r="D1276" s="19" t="s">
        <v>16709</v>
      </c>
      <c r="E1276" s="19" t="s">
        <v>31343</v>
      </c>
      <c r="F1276" s="19" t="s">
        <v>35979</v>
      </c>
      <c r="G1276" s="18" t="str">
        <f>"81506"</f>
        <v>81506</v>
      </c>
      <c r="H1276" s="19" t="s">
        <v>30941</v>
      </c>
      <c r="I1276" s="20">
        <v>17.408999999999999</v>
      </c>
      <c r="J1276" s="44" t="s">
        <v>8</v>
      </c>
      <c r="K1276" s="23" t="s">
        <v>8</v>
      </c>
      <c r="L1276" s="23" t="s">
        <v>8</v>
      </c>
      <c r="M1276" s="23" t="s">
        <v>8</v>
      </c>
    </row>
    <row r="1277" spans="1:13" s="21" customFormat="1" x14ac:dyDescent="0.25">
      <c r="A1277" s="22" t="s">
        <v>8</v>
      </c>
      <c r="B1277" s="18" t="str">
        <f>"065113"</f>
        <v>065113</v>
      </c>
      <c r="C1277" s="19" t="s">
        <v>1279</v>
      </c>
      <c r="D1277" s="19" t="s">
        <v>16710</v>
      </c>
      <c r="E1277" s="19" t="s">
        <v>31338</v>
      </c>
      <c r="F1277" s="19" t="s">
        <v>35979</v>
      </c>
      <c r="G1277" s="18" t="str">
        <f>"80909"</f>
        <v>80909</v>
      </c>
      <c r="H1277" s="19" t="s">
        <v>31965</v>
      </c>
      <c r="I1277" s="20">
        <v>18.187999999999999</v>
      </c>
      <c r="J1277" s="44" t="s">
        <v>8</v>
      </c>
      <c r="K1277" s="23" t="s">
        <v>8</v>
      </c>
      <c r="L1277" s="23" t="s">
        <v>8</v>
      </c>
      <c r="M1277" s="23" t="s">
        <v>8</v>
      </c>
    </row>
    <row r="1278" spans="1:13" s="21" customFormat="1" x14ac:dyDescent="0.25">
      <c r="A1278" s="22" t="s">
        <v>8</v>
      </c>
      <c r="B1278" s="18" t="str">
        <f>"065119"</f>
        <v>065119</v>
      </c>
      <c r="C1278" s="19" t="s">
        <v>1280</v>
      </c>
      <c r="D1278" s="19" t="s">
        <v>16711</v>
      </c>
      <c r="E1278" s="19" t="s">
        <v>30923</v>
      </c>
      <c r="F1278" s="19" t="s">
        <v>35979</v>
      </c>
      <c r="G1278" s="18" t="str">
        <f>"81401"</f>
        <v>81401</v>
      </c>
      <c r="H1278" s="19" t="s">
        <v>30923</v>
      </c>
      <c r="I1278" s="20">
        <v>18.542000000000002</v>
      </c>
      <c r="J1278" s="44" t="s">
        <v>8</v>
      </c>
      <c r="K1278" s="23" t="s">
        <v>8</v>
      </c>
      <c r="L1278" s="23" t="s">
        <v>8</v>
      </c>
      <c r="M1278" s="23" t="s">
        <v>8</v>
      </c>
    </row>
    <row r="1279" spans="1:13" s="21" customFormat="1" x14ac:dyDescent="0.25">
      <c r="A1279" s="22" t="s">
        <v>8</v>
      </c>
      <c r="B1279" s="18" t="str">
        <f>"065120"</f>
        <v>065120</v>
      </c>
      <c r="C1279" s="19" t="s">
        <v>1281</v>
      </c>
      <c r="D1279" s="19" t="s">
        <v>16712</v>
      </c>
      <c r="E1279" s="19" t="s">
        <v>31313</v>
      </c>
      <c r="F1279" s="19" t="s">
        <v>35979</v>
      </c>
      <c r="G1279" s="18" t="str">
        <f>"80030"</f>
        <v>80030</v>
      </c>
      <c r="H1279" s="19" t="s">
        <v>33467</v>
      </c>
      <c r="I1279" s="20">
        <v>16.314</v>
      </c>
      <c r="J1279" s="44" t="s">
        <v>8</v>
      </c>
      <c r="K1279" s="23" t="s">
        <v>8</v>
      </c>
      <c r="L1279" s="23" t="s">
        <v>8</v>
      </c>
      <c r="M1279" s="23" t="s">
        <v>8</v>
      </c>
    </row>
    <row r="1280" spans="1:13" s="21" customFormat="1" x14ac:dyDescent="0.25">
      <c r="A1280" s="22" t="s">
        <v>8</v>
      </c>
      <c r="B1280" s="18" t="str">
        <f>"065121"</f>
        <v>065121</v>
      </c>
      <c r="C1280" s="19" t="s">
        <v>1282</v>
      </c>
      <c r="D1280" s="19" t="s">
        <v>16713</v>
      </c>
      <c r="E1280" s="19" t="s">
        <v>31341</v>
      </c>
      <c r="F1280" s="19" t="s">
        <v>35979</v>
      </c>
      <c r="G1280" s="18" t="str">
        <f>"81001"</f>
        <v>81001</v>
      </c>
      <c r="H1280" s="19" t="s">
        <v>31341</v>
      </c>
      <c r="I1280" s="20">
        <v>17.297999999999998</v>
      </c>
      <c r="J1280" s="44" t="s">
        <v>8</v>
      </c>
      <c r="K1280" s="23" t="s">
        <v>8</v>
      </c>
      <c r="L1280" s="23" t="s">
        <v>8</v>
      </c>
      <c r="M1280" s="23" t="s">
        <v>8</v>
      </c>
    </row>
    <row r="1281" spans="1:13" s="21" customFormat="1" x14ac:dyDescent="0.25">
      <c r="A1281" s="22" t="s">
        <v>8</v>
      </c>
      <c r="B1281" s="18" t="str">
        <f>"065124"</f>
        <v>065124</v>
      </c>
      <c r="C1281" s="19" t="s">
        <v>1283</v>
      </c>
      <c r="D1281" s="19" t="s">
        <v>16714</v>
      </c>
      <c r="E1281" s="19" t="s">
        <v>31334</v>
      </c>
      <c r="F1281" s="19" t="s">
        <v>35979</v>
      </c>
      <c r="G1281" s="18" t="str">
        <f>"80222"</f>
        <v>80222</v>
      </c>
      <c r="H1281" s="19" t="s">
        <v>31334</v>
      </c>
      <c r="I1281" s="20">
        <v>18.131</v>
      </c>
      <c r="J1281" s="44" t="s">
        <v>8</v>
      </c>
      <c r="K1281" s="23" t="s">
        <v>8</v>
      </c>
      <c r="L1281" s="23" t="s">
        <v>8</v>
      </c>
      <c r="M1281" s="23" t="s">
        <v>8</v>
      </c>
    </row>
    <row r="1282" spans="1:13" s="21" customFormat="1" x14ac:dyDescent="0.25">
      <c r="A1282" s="22" t="s">
        <v>8</v>
      </c>
      <c r="B1282" s="18" t="str">
        <f>"065129"</f>
        <v>065129</v>
      </c>
      <c r="C1282" s="19" t="s">
        <v>1284</v>
      </c>
      <c r="D1282" s="19" t="s">
        <v>16715</v>
      </c>
      <c r="E1282" s="19" t="s">
        <v>31344</v>
      </c>
      <c r="F1282" s="19" t="s">
        <v>35979</v>
      </c>
      <c r="G1282" s="18" t="str">
        <f>"80538"</f>
        <v>80538</v>
      </c>
      <c r="H1282" s="19" t="s">
        <v>36109</v>
      </c>
      <c r="I1282" s="20">
        <v>20.234999999999999</v>
      </c>
      <c r="J1282" s="44" t="s">
        <v>8</v>
      </c>
      <c r="K1282" s="23" t="s">
        <v>8</v>
      </c>
      <c r="L1282" s="23" t="s">
        <v>8</v>
      </c>
      <c r="M1282" s="23" t="s">
        <v>8</v>
      </c>
    </row>
    <row r="1283" spans="1:13" s="21" customFormat="1" x14ac:dyDescent="0.25">
      <c r="A1283" s="22" t="s">
        <v>8</v>
      </c>
      <c r="B1283" s="18" t="str">
        <f>"065139"</f>
        <v>065139</v>
      </c>
      <c r="C1283" s="19" t="s">
        <v>1285</v>
      </c>
      <c r="D1283" s="19" t="s">
        <v>16716</v>
      </c>
      <c r="E1283" s="19" t="s">
        <v>31344</v>
      </c>
      <c r="F1283" s="19" t="s">
        <v>35979</v>
      </c>
      <c r="G1283" s="18" t="str">
        <f>"80537"</f>
        <v>80537</v>
      </c>
      <c r="H1283" s="19" t="s">
        <v>36109</v>
      </c>
      <c r="I1283" s="20">
        <v>16.678000000000001</v>
      </c>
      <c r="J1283" s="44" t="s">
        <v>8</v>
      </c>
      <c r="K1283" s="23" t="s">
        <v>8</v>
      </c>
      <c r="L1283" s="23" t="s">
        <v>8</v>
      </c>
      <c r="M1283" s="23" t="s">
        <v>8</v>
      </c>
    </row>
    <row r="1284" spans="1:13" s="21" customFormat="1" x14ac:dyDescent="0.25">
      <c r="A1284" s="22" t="s">
        <v>8</v>
      </c>
      <c r="B1284" s="18" t="str">
        <f>"065142"</f>
        <v>065142</v>
      </c>
      <c r="C1284" s="19" t="s">
        <v>1286</v>
      </c>
      <c r="D1284" s="19" t="s">
        <v>16717</v>
      </c>
      <c r="E1284" s="19" t="s">
        <v>31345</v>
      </c>
      <c r="F1284" s="19" t="s">
        <v>35979</v>
      </c>
      <c r="G1284" s="18" t="str">
        <f>"80525"</f>
        <v>80525</v>
      </c>
      <c r="H1284" s="19" t="s">
        <v>36109</v>
      </c>
      <c r="I1284" s="20">
        <v>17.917999999999999</v>
      </c>
      <c r="J1284" s="44" t="s">
        <v>8</v>
      </c>
      <c r="K1284" s="23" t="s">
        <v>8</v>
      </c>
      <c r="L1284" s="23" t="s">
        <v>8</v>
      </c>
      <c r="M1284" s="23" t="s">
        <v>8</v>
      </c>
    </row>
    <row r="1285" spans="1:13" s="21" customFormat="1" x14ac:dyDescent="0.25">
      <c r="A1285" s="22" t="s">
        <v>8</v>
      </c>
      <c r="B1285" s="18" t="str">
        <f>"065144"</f>
        <v>065144</v>
      </c>
      <c r="C1285" s="19" t="s">
        <v>1287</v>
      </c>
      <c r="D1285" s="19" t="s">
        <v>16718</v>
      </c>
      <c r="E1285" s="19" t="s">
        <v>31346</v>
      </c>
      <c r="F1285" s="19" t="s">
        <v>35979</v>
      </c>
      <c r="G1285" s="18" t="str">
        <f>"81230"</f>
        <v>81230</v>
      </c>
      <c r="H1285" s="19" t="s">
        <v>31346</v>
      </c>
      <c r="I1285" s="20">
        <v>18.323</v>
      </c>
      <c r="J1285" s="44" t="s">
        <v>8</v>
      </c>
      <c r="K1285" s="23" t="s">
        <v>8</v>
      </c>
      <c r="L1285" s="23" t="s">
        <v>8</v>
      </c>
      <c r="M1285" s="23" t="s">
        <v>8</v>
      </c>
    </row>
    <row r="1286" spans="1:13" s="21" customFormat="1" x14ac:dyDescent="0.25">
      <c r="A1286" s="22" t="s">
        <v>8</v>
      </c>
      <c r="B1286" s="18" t="str">
        <f>"065146"</f>
        <v>065146</v>
      </c>
      <c r="C1286" s="19" t="s">
        <v>1288</v>
      </c>
      <c r="D1286" s="19" t="s">
        <v>16719</v>
      </c>
      <c r="E1286" s="19" t="s">
        <v>31333</v>
      </c>
      <c r="F1286" s="19" t="s">
        <v>35979</v>
      </c>
      <c r="G1286" s="18" t="str">
        <f>"80014"</f>
        <v>80014</v>
      </c>
      <c r="H1286" s="19" t="s">
        <v>33802</v>
      </c>
      <c r="I1286" s="20">
        <v>19.567</v>
      </c>
      <c r="J1286" s="44" t="s">
        <v>8</v>
      </c>
      <c r="K1286" s="23" t="s">
        <v>8</v>
      </c>
      <c r="L1286" s="23" t="s">
        <v>8</v>
      </c>
      <c r="M1286" s="23" t="s">
        <v>8</v>
      </c>
    </row>
    <row r="1287" spans="1:13" s="21" customFormat="1" x14ac:dyDescent="0.25">
      <c r="A1287" s="22" t="s">
        <v>8</v>
      </c>
      <c r="B1287" s="18" t="str">
        <f>"065147"</f>
        <v>065147</v>
      </c>
      <c r="C1287" s="19" t="s">
        <v>1289</v>
      </c>
      <c r="D1287" s="19" t="s">
        <v>16720</v>
      </c>
      <c r="E1287" s="19" t="s">
        <v>31338</v>
      </c>
      <c r="F1287" s="19" t="s">
        <v>35979</v>
      </c>
      <c r="G1287" s="18" t="str">
        <f>"80906"</f>
        <v>80906</v>
      </c>
      <c r="H1287" s="19" t="s">
        <v>31965</v>
      </c>
      <c r="I1287" s="20">
        <v>17.530999999999999</v>
      </c>
      <c r="J1287" s="44" t="s">
        <v>8</v>
      </c>
      <c r="K1287" s="23" t="s">
        <v>8</v>
      </c>
      <c r="L1287" s="23" t="s">
        <v>8</v>
      </c>
      <c r="M1287" s="23" t="s">
        <v>8</v>
      </c>
    </row>
    <row r="1288" spans="1:13" s="21" customFormat="1" x14ac:dyDescent="0.25">
      <c r="A1288" s="22" t="s">
        <v>8</v>
      </c>
      <c r="B1288" s="18" t="str">
        <f>"065150"</f>
        <v>065150</v>
      </c>
      <c r="C1288" s="19" t="s">
        <v>1290</v>
      </c>
      <c r="D1288" s="19" t="s">
        <v>16721</v>
      </c>
      <c r="E1288" s="19" t="s">
        <v>31347</v>
      </c>
      <c r="F1288" s="19" t="s">
        <v>35979</v>
      </c>
      <c r="G1288" s="18" t="str">
        <f>"80751"</f>
        <v>80751</v>
      </c>
      <c r="H1288" s="19" t="s">
        <v>32373</v>
      </c>
      <c r="I1288" s="20">
        <v>17.829000000000001</v>
      </c>
      <c r="J1288" s="44" t="s">
        <v>8</v>
      </c>
      <c r="K1288" s="23" t="s">
        <v>8</v>
      </c>
      <c r="L1288" s="23" t="s">
        <v>8</v>
      </c>
      <c r="M1288" s="23" t="s">
        <v>8</v>
      </c>
    </row>
    <row r="1289" spans="1:13" s="21" customFormat="1" x14ac:dyDescent="0.25">
      <c r="A1289" s="22" t="s">
        <v>8</v>
      </c>
      <c r="B1289" s="18" t="str">
        <f>"065152"</f>
        <v>065152</v>
      </c>
      <c r="C1289" s="19" t="s">
        <v>1291</v>
      </c>
      <c r="D1289" s="19" t="s">
        <v>16722</v>
      </c>
      <c r="E1289" s="19" t="s">
        <v>31338</v>
      </c>
      <c r="F1289" s="19" t="s">
        <v>35979</v>
      </c>
      <c r="G1289" s="18" t="str">
        <f>"80904"</f>
        <v>80904</v>
      </c>
      <c r="H1289" s="19" t="s">
        <v>31965</v>
      </c>
      <c r="I1289" s="20">
        <v>19.414999999999999</v>
      </c>
      <c r="J1289" s="44" t="s">
        <v>8</v>
      </c>
      <c r="K1289" s="23" t="s">
        <v>8</v>
      </c>
      <c r="L1289" s="23" t="s">
        <v>8</v>
      </c>
      <c r="M1289" s="23" t="s">
        <v>8</v>
      </c>
    </row>
    <row r="1290" spans="1:13" s="21" customFormat="1" x14ac:dyDescent="0.25">
      <c r="A1290" s="22" t="s">
        <v>8</v>
      </c>
      <c r="B1290" s="18" t="str">
        <f>"065153"</f>
        <v>065153</v>
      </c>
      <c r="C1290" s="19" t="s">
        <v>1292</v>
      </c>
      <c r="D1290" s="19" t="s">
        <v>16723</v>
      </c>
      <c r="E1290" s="19" t="s">
        <v>31348</v>
      </c>
      <c r="F1290" s="19" t="s">
        <v>35979</v>
      </c>
      <c r="G1290" s="18" t="str">
        <f>"81321"</f>
        <v>81321</v>
      </c>
      <c r="H1290" s="19" t="s">
        <v>31750</v>
      </c>
      <c r="I1290" s="20">
        <v>16.047999999999998</v>
      </c>
      <c r="J1290" s="44" t="s">
        <v>8</v>
      </c>
      <c r="K1290" s="23" t="s">
        <v>8</v>
      </c>
      <c r="L1290" s="23" t="s">
        <v>8</v>
      </c>
      <c r="M1290" s="23" t="s">
        <v>8</v>
      </c>
    </row>
    <row r="1291" spans="1:13" s="21" customFormat="1" x14ac:dyDescent="0.25">
      <c r="A1291" s="22" t="s">
        <v>8</v>
      </c>
      <c r="B1291" s="18" t="str">
        <f>"065163"</f>
        <v>065163</v>
      </c>
      <c r="C1291" s="19" t="s">
        <v>1293</v>
      </c>
      <c r="D1291" s="19" t="s">
        <v>16724</v>
      </c>
      <c r="E1291" s="19" t="s">
        <v>31349</v>
      </c>
      <c r="F1291" s="19" t="s">
        <v>35979</v>
      </c>
      <c r="G1291" s="18" t="str">
        <f>"80723"</f>
        <v>80723</v>
      </c>
      <c r="H1291" s="19" t="s">
        <v>33505</v>
      </c>
      <c r="I1291" s="20">
        <v>17.507000000000001</v>
      </c>
      <c r="J1291" s="44" t="s">
        <v>8</v>
      </c>
      <c r="K1291" s="23" t="s">
        <v>8</v>
      </c>
      <c r="L1291" s="23" t="s">
        <v>8</v>
      </c>
      <c r="M1291" s="23" t="s">
        <v>8</v>
      </c>
    </row>
    <row r="1292" spans="1:13" s="21" customFormat="1" x14ac:dyDescent="0.25">
      <c r="A1292" s="22" t="s">
        <v>8</v>
      </c>
      <c r="B1292" s="18" t="str">
        <f>"065165"</f>
        <v>065165</v>
      </c>
      <c r="C1292" s="19" t="s">
        <v>1294</v>
      </c>
      <c r="D1292" s="19" t="s">
        <v>16725</v>
      </c>
      <c r="E1292" s="19" t="s">
        <v>31344</v>
      </c>
      <c r="F1292" s="19" t="s">
        <v>35979</v>
      </c>
      <c r="G1292" s="18" t="str">
        <f>"80537"</f>
        <v>80537</v>
      </c>
      <c r="H1292" s="19" t="s">
        <v>36109</v>
      </c>
      <c r="I1292" s="20">
        <v>18.713000000000001</v>
      </c>
      <c r="J1292" s="44" t="s">
        <v>8</v>
      </c>
      <c r="K1292" s="23" t="s">
        <v>8</v>
      </c>
      <c r="L1292" s="23" t="s">
        <v>8</v>
      </c>
      <c r="M1292" s="23" t="s">
        <v>8</v>
      </c>
    </row>
    <row r="1293" spans="1:13" s="21" customFormat="1" x14ac:dyDescent="0.25">
      <c r="A1293" s="22" t="s">
        <v>8</v>
      </c>
      <c r="B1293" s="18" t="str">
        <f>"065166"</f>
        <v>065166</v>
      </c>
      <c r="C1293" s="19" t="s">
        <v>1295</v>
      </c>
      <c r="D1293" s="19" t="s">
        <v>16726</v>
      </c>
      <c r="E1293" s="19" t="s">
        <v>31345</v>
      </c>
      <c r="F1293" s="19" t="s">
        <v>35979</v>
      </c>
      <c r="G1293" s="18" t="str">
        <f>"80524"</f>
        <v>80524</v>
      </c>
      <c r="H1293" s="19" t="s">
        <v>36109</v>
      </c>
      <c r="I1293" s="20">
        <v>22.265000000000001</v>
      </c>
      <c r="J1293" s="44" t="s">
        <v>8</v>
      </c>
      <c r="K1293" s="23" t="s">
        <v>8</v>
      </c>
      <c r="L1293" s="23" t="s">
        <v>8</v>
      </c>
      <c r="M1293" s="23" t="s">
        <v>8</v>
      </c>
    </row>
    <row r="1294" spans="1:13" s="21" customFormat="1" x14ac:dyDescent="0.25">
      <c r="A1294" s="22" t="s">
        <v>8</v>
      </c>
      <c r="B1294" s="18" t="str">
        <f>"065168"</f>
        <v>065168</v>
      </c>
      <c r="C1294" s="19" t="s">
        <v>1296</v>
      </c>
      <c r="D1294" s="19" t="s">
        <v>16727</v>
      </c>
      <c r="E1294" s="19" t="s">
        <v>31338</v>
      </c>
      <c r="F1294" s="19" t="s">
        <v>35979</v>
      </c>
      <c r="G1294" s="18" t="str">
        <f>"80910"</f>
        <v>80910</v>
      </c>
      <c r="H1294" s="19" t="s">
        <v>31965</v>
      </c>
      <c r="I1294" s="20">
        <v>18.309000000000001</v>
      </c>
      <c r="J1294" s="44" t="s">
        <v>8</v>
      </c>
      <c r="K1294" s="23" t="s">
        <v>8</v>
      </c>
      <c r="L1294" s="23" t="s">
        <v>8</v>
      </c>
      <c r="M1294" s="23" t="s">
        <v>8</v>
      </c>
    </row>
    <row r="1295" spans="1:13" s="21" customFormat="1" x14ac:dyDescent="0.25">
      <c r="A1295" s="22" t="s">
        <v>8</v>
      </c>
      <c r="B1295" s="18" t="str">
        <f>"065169"</f>
        <v>065169</v>
      </c>
      <c r="C1295" s="19" t="s">
        <v>1297</v>
      </c>
      <c r="D1295" s="19" t="s">
        <v>16728</v>
      </c>
      <c r="E1295" s="19" t="s">
        <v>31341</v>
      </c>
      <c r="F1295" s="19" t="s">
        <v>35979</v>
      </c>
      <c r="G1295" s="18" t="str">
        <f>"81001"</f>
        <v>81001</v>
      </c>
      <c r="H1295" s="19" t="s">
        <v>31341</v>
      </c>
      <c r="I1295" s="20">
        <v>16.407</v>
      </c>
      <c r="J1295" s="44" t="s">
        <v>8</v>
      </c>
      <c r="K1295" s="23" t="s">
        <v>8</v>
      </c>
      <c r="L1295" s="23" t="s">
        <v>8</v>
      </c>
      <c r="M1295" s="23" t="s">
        <v>8</v>
      </c>
    </row>
    <row r="1296" spans="1:13" s="21" customFormat="1" x14ac:dyDescent="0.25">
      <c r="A1296" s="22" t="s">
        <v>8</v>
      </c>
      <c r="B1296" s="18" t="str">
        <f>"065170"</f>
        <v>065170</v>
      </c>
      <c r="C1296" s="19" t="s">
        <v>1298</v>
      </c>
      <c r="D1296" s="19" t="s">
        <v>16729</v>
      </c>
      <c r="E1296" s="19" t="s">
        <v>31349</v>
      </c>
      <c r="F1296" s="19" t="s">
        <v>35979</v>
      </c>
      <c r="G1296" s="18" t="str">
        <f>"80723"</f>
        <v>80723</v>
      </c>
      <c r="H1296" s="19" t="s">
        <v>33505</v>
      </c>
      <c r="I1296" s="20">
        <v>18.106000000000002</v>
      </c>
      <c r="J1296" s="44" t="s">
        <v>8</v>
      </c>
      <c r="K1296" s="23" t="s">
        <v>8</v>
      </c>
      <c r="L1296" s="23" t="s">
        <v>8</v>
      </c>
      <c r="M1296" s="23" t="s">
        <v>8</v>
      </c>
    </row>
    <row r="1297" spans="1:13" s="21" customFormat="1" x14ac:dyDescent="0.25">
      <c r="A1297" s="22" t="s">
        <v>8</v>
      </c>
      <c r="B1297" s="18" t="str">
        <f>"065171"</f>
        <v>065171</v>
      </c>
      <c r="C1297" s="19" t="s">
        <v>1299</v>
      </c>
      <c r="D1297" s="19" t="s">
        <v>16730</v>
      </c>
      <c r="E1297" s="19" t="s">
        <v>31339</v>
      </c>
      <c r="F1297" s="19" t="s">
        <v>35979</v>
      </c>
      <c r="G1297" s="18" t="str">
        <f>"80214"</f>
        <v>80214</v>
      </c>
      <c r="H1297" s="19" t="s">
        <v>32391</v>
      </c>
      <c r="I1297" s="20">
        <v>18.084</v>
      </c>
      <c r="J1297" s="44" t="s">
        <v>8</v>
      </c>
      <c r="K1297" s="23" t="s">
        <v>8</v>
      </c>
      <c r="L1297" s="23" t="s">
        <v>8</v>
      </c>
      <c r="M1297" s="23" t="s">
        <v>8</v>
      </c>
    </row>
    <row r="1298" spans="1:13" s="21" customFormat="1" x14ac:dyDescent="0.25">
      <c r="A1298" s="22" t="s">
        <v>8</v>
      </c>
      <c r="B1298" s="18" t="str">
        <f>"065172"</f>
        <v>065172</v>
      </c>
      <c r="C1298" s="19" t="s">
        <v>1300</v>
      </c>
      <c r="D1298" s="19" t="s">
        <v>16731</v>
      </c>
      <c r="E1298" s="19" t="s">
        <v>31338</v>
      </c>
      <c r="F1298" s="19" t="s">
        <v>35979</v>
      </c>
      <c r="G1298" s="18" t="str">
        <f>"80910"</f>
        <v>80910</v>
      </c>
      <c r="H1298" s="19" t="s">
        <v>31965</v>
      </c>
      <c r="I1298" s="20">
        <v>21.207999999999998</v>
      </c>
      <c r="J1298" s="44" t="s">
        <v>8</v>
      </c>
      <c r="K1298" s="23" t="s">
        <v>8</v>
      </c>
      <c r="L1298" s="23" t="s">
        <v>8</v>
      </c>
      <c r="M1298" s="23" t="s">
        <v>8</v>
      </c>
    </row>
    <row r="1299" spans="1:13" s="21" customFormat="1" x14ac:dyDescent="0.25">
      <c r="A1299" s="22" t="s">
        <v>8</v>
      </c>
      <c r="B1299" s="18" t="str">
        <f>"065174"</f>
        <v>065174</v>
      </c>
      <c r="C1299" s="19" t="s">
        <v>1301</v>
      </c>
      <c r="D1299" s="19" t="s">
        <v>16732</v>
      </c>
      <c r="E1299" s="19" t="s">
        <v>31347</v>
      </c>
      <c r="F1299" s="19" t="s">
        <v>35979</v>
      </c>
      <c r="G1299" s="18" t="str">
        <f>"80751"</f>
        <v>80751</v>
      </c>
      <c r="H1299" s="19" t="s">
        <v>32373</v>
      </c>
      <c r="I1299" s="20">
        <v>18.501000000000001</v>
      </c>
      <c r="J1299" s="44" t="s">
        <v>8</v>
      </c>
      <c r="K1299" s="23" t="s">
        <v>8</v>
      </c>
      <c r="L1299" s="23" t="s">
        <v>8</v>
      </c>
      <c r="M1299" s="23" t="s">
        <v>8</v>
      </c>
    </row>
    <row r="1300" spans="1:13" s="21" customFormat="1" x14ac:dyDescent="0.25">
      <c r="A1300" s="22" t="s">
        <v>8</v>
      </c>
      <c r="B1300" s="18" t="str">
        <f>"065175"</f>
        <v>065175</v>
      </c>
      <c r="C1300" s="19" t="s">
        <v>1302</v>
      </c>
      <c r="D1300" s="19" t="s">
        <v>16733</v>
      </c>
      <c r="E1300" s="19" t="s">
        <v>31338</v>
      </c>
      <c r="F1300" s="19" t="s">
        <v>35979</v>
      </c>
      <c r="G1300" s="18" t="str">
        <f>"80905"</f>
        <v>80905</v>
      </c>
      <c r="H1300" s="19" t="s">
        <v>31965</v>
      </c>
      <c r="I1300" s="20">
        <v>19.693999999999999</v>
      </c>
      <c r="J1300" s="44" t="s">
        <v>8</v>
      </c>
      <c r="K1300" s="23" t="s">
        <v>8</v>
      </c>
      <c r="L1300" s="23" t="s">
        <v>8</v>
      </c>
      <c r="M1300" s="23" t="s">
        <v>8</v>
      </c>
    </row>
    <row r="1301" spans="1:13" s="21" customFormat="1" x14ac:dyDescent="0.25">
      <c r="A1301" s="22" t="s">
        <v>8</v>
      </c>
      <c r="B1301" s="18" t="str">
        <f>"065176"</f>
        <v>065176</v>
      </c>
      <c r="C1301" s="19" t="s">
        <v>1303</v>
      </c>
      <c r="D1301" s="19" t="s">
        <v>16734</v>
      </c>
      <c r="E1301" s="19" t="s">
        <v>31333</v>
      </c>
      <c r="F1301" s="19" t="s">
        <v>35979</v>
      </c>
      <c r="G1301" s="18" t="str">
        <f>"80010"</f>
        <v>80010</v>
      </c>
      <c r="H1301" s="19" t="s">
        <v>33802</v>
      </c>
      <c r="I1301" s="20">
        <v>17.561</v>
      </c>
      <c r="J1301" s="44" t="s">
        <v>8</v>
      </c>
      <c r="K1301" s="23" t="s">
        <v>8</v>
      </c>
      <c r="L1301" s="23" t="s">
        <v>8</v>
      </c>
      <c r="M1301" s="23" t="s">
        <v>8</v>
      </c>
    </row>
    <row r="1302" spans="1:13" s="21" customFormat="1" x14ac:dyDescent="0.25">
      <c r="A1302" s="22" t="s">
        <v>8</v>
      </c>
      <c r="B1302" s="18" t="str">
        <f>"065179"</f>
        <v>065179</v>
      </c>
      <c r="C1302" s="19" t="s">
        <v>1304</v>
      </c>
      <c r="D1302" s="19" t="s">
        <v>16735</v>
      </c>
      <c r="E1302" s="19" t="s">
        <v>31329</v>
      </c>
      <c r="F1302" s="19" t="s">
        <v>35979</v>
      </c>
      <c r="G1302" s="18" t="str">
        <f>"81212"</f>
        <v>81212</v>
      </c>
      <c r="H1302" s="19" t="s">
        <v>31175</v>
      </c>
      <c r="I1302" s="20">
        <v>17.998999999999999</v>
      </c>
      <c r="J1302" s="44" t="s">
        <v>8</v>
      </c>
      <c r="K1302" s="23" t="s">
        <v>8</v>
      </c>
      <c r="L1302" s="23" t="s">
        <v>8</v>
      </c>
      <c r="M1302" s="23" t="s">
        <v>8</v>
      </c>
    </row>
    <row r="1303" spans="1:13" s="21" customFormat="1" x14ac:dyDescent="0.25">
      <c r="A1303" s="22" t="s">
        <v>8</v>
      </c>
      <c r="B1303" s="18" t="str">
        <f>"065181"</f>
        <v>065181</v>
      </c>
      <c r="C1303" s="19" t="s">
        <v>1305</v>
      </c>
      <c r="D1303" s="19" t="s">
        <v>16736</v>
      </c>
      <c r="E1303" s="19" t="s">
        <v>31330</v>
      </c>
      <c r="F1303" s="19" t="s">
        <v>35979</v>
      </c>
      <c r="G1303" s="18" t="str">
        <f>"80701"</f>
        <v>80701</v>
      </c>
      <c r="H1303" s="19" t="s">
        <v>33505</v>
      </c>
      <c r="I1303" s="20">
        <v>17.109000000000002</v>
      </c>
      <c r="J1303" s="44" t="s">
        <v>8</v>
      </c>
      <c r="K1303" s="23" t="s">
        <v>8</v>
      </c>
      <c r="L1303" s="23" t="s">
        <v>8</v>
      </c>
      <c r="M1303" s="23" t="s">
        <v>8</v>
      </c>
    </row>
    <row r="1304" spans="1:13" s="21" customFormat="1" x14ac:dyDescent="0.25">
      <c r="A1304" s="22" t="s">
        <v>8</v>
      </c>
      <c r="B1304" s="18" t="str">
        <f>"065183"</f>
        <v>065183</v>
      </c>
      <c r="C1304" s="19" t="s">
        <v>1306</v>
      </c>
      <c r="D1304" s="19" t="s">
        <v>16737</v>
      </c>
      <c r="E1304" s="19" t="s">
        <v>31329</v>
      </c>
      <c r="F1304" s="19" t="s">
        <v>35979</v>
      </c>
      <c r="G1304" s="18" t="str">
        <f>"81212"</f>
        <v>81212</v>
      </c>
      <c r="H1304" s="19" t="s">
        <v>31175</v>
      </c>
      <c r="I1304" s="20">
        <v>16.420000000000002</v>
      </c>
      <c r="J1304" s="44" t="s">
        <v>8</v>
      </c>
      <c r="K1304" s="23" t="s">
        <v>8</v>
      </c>
      <c r="L1304" s="23" t="s">
        <v>8</v>
      </c>
      <c r="M1304" s="23" t="s">
        <v>8</v>
      </c>
    </row>
    <row r="1305" spans="1:13" s="21" customFormat="1" x14ac:dyDescent="0.25">
      <c r="A1305" s="22" t="s">
        <v>8</v>
      </c>
      <c r="B1305" s="18" t="str">
        <f>"065185"</f>
        <v>065185</v>
      </c>
      <c r="C1305" s="19" t="s">
        <v>1307</v>
      </c>
      <c r="D1305" s="19" t="s">
        <v>16738</v>
      </c>
      <c r="E1305" s="19" t="s">
        <v>31350</v>
      </c>
      <c r="F1305" s="19" t="s">
        <v>35979</v>
      </c>
      <c r="G1305" s="18" t="str">
        <f>"80517"</f>
        <v>80517</v>
      </c>
      <c r="H1305" s="19" t="s">
        <v>36109</v>
      </c>
      <c r="I1305" s="20">
        <v>18.709</v>
      </c>
      <c r="J1305" s="44" t="s">
        <v>8</v>
      </c>
      <c r="K1305" s="23" t="s">
        <v>8</v>
      </c>
      <c r="L1305" s="23" t="s">
        <v>8</v>
      </c>
      <c r="M1305" s="23" t="s">
        <v>8</v>
      </c>
    </row>
    <row r="1306" spans="1:13" s="21" customFormat="1" x14ac:dyDescent="0.25">
      <c r="A1306" s="22" t="s">
        <v>8</v>
      </c>
      <c r="B1306" s="18" t="str">
        <f>"065188"</f>
        <v>065188</v>
      </c>
      <c r="C1306" s="19" t="s">
        <v>1308</v>
      </c>
      <c r="D1306" s="19" t="s">
        <v>16739</v>
      </c>
      <c r="E1306" s="19" t="s">
        <v>31351</v>
      </c>
      <c r="F1306" s="19" t="s">
        <v>35979</v>
      </c>
      <c r="G1306" s="18" t="str">
        <f>"80465"</f>
        <v>80465</v>
      </c>
      <c r="H1306" s="19" t="s">
        <v>32391</v>
      </c>
      <c r="I1306" s="20">
        <v>18.701000000000001</v>
      </c>
      <c r="J1306" s="44" t="s">
        <v>8</v>
      </c>
      <c r="K1306" s="23" t="s">
        <v>8</v>
      </c>
      <c r="L1306" s="23" t="s">
        <v>8</v>
      </c>
      <c r="M1306" s="23" t="s">
        <v>8</v>
      </c>
    </row>
    <row r="1307" spans="1:13" s="21" customFormat="1" x14ac:dyDescent="0.25">
      <c r="A1307" s="22" t="s">
        <v>8</v>
      </c>
      <c r="B1307" s="18" t="str">
        <f>"065189"</f>
        <v>065189</v>
      </c>
      <c r="C1307" s="19" t="s">
        <v>1309</v>
      </c>
      <c r="D1307" s="19" t="s">
        <v>16740</v>
      </c>
      <c r="E1307" s="19" t="s">
        <v>31352</v>
      </c>
      <c r="F1307" s="19" t="s">
        <v>35979</v>
      </c>
      <c r="G1307" s="18" t="str">
        <f>"80501"</f>
        <v>80501</v>
      </c>
      <c r="H1307" s="19" t="s">
        <v>31336</v>
      </c>
      <c r="I1307" s="20">
        <v>19.765000000000001</v>
      </c>
      <c r="J1307" s="44" t="s">
        <v>8</v>
      </c>
      <c r="K1307" s="23" t="s">
        <v>8</v>
      </c>
      <c r="L1307" s="23" t="s">
        <v>8</v>
      </c>
      <c r="M1307" s="23" t="s">
        <v>8</v>
      </c>
    </row>
    <row r="1308" spans="1:13" s="21" customFormat="1" x14ac:dyDescent="0.25">
      <c r="A1308" s="22" t="s">
        <v>8</v>
      </c>
      <c r="B1308" s="18" t="str">
        <f>"065191"</f>
        <v>065191</v>
      </c>
      <c r="C1308" s="19" t="s">
        <v>1310</v>
      </c>
      <c r="D1308" s="19" t="s">
        <v>16741</v>
      </c>
      <c r="E1308" s="19" t="s">
        <v>31334</v>
      </c>
      <c r="F1308" s="19" t="s">
        <v>35979</v>
      </c>
      <c r="G1308" s="18" t="str">
        <f>"80236"</f>
        <v>80236</v>
      </c>
      <c r="H1308" s="19" t="s">
        <v>31334</v>
      </c>
      <c r="I1308" s="20">
        <v>17.77</v>
      </c>
      <c r="J1308" s="44" t="s">
        <v>8</v>
      </c>
      <c r="K1308" s="23" t="s">
        <v>8</v>
      </c>
      <c r="L1308" s="23" t="s">
        <v>8</v>
      </c>
      <c r="M1308" s="23" t="s">
        <v>8</v>
      </c>
    </row>
    <row r="1309" spans="1:13" s="21" customFormat="1" x14ac:dyDescent="0.25">
      <c r="A1309" s="22" t="s">
        <v>8</v>
      </c>
      <c r="B1309" s="18" t="str">
        <f>"065192"</f>
        <v>065192</v>
      </c>
      <c r="C1309" s="19" t="s">
        <v>1311</v>
      </c>
      <c r="D1309" s="19" t="s">
        <v>16742</v>
      </c>
      <c r="E1309" s="19" t="s">
        <v>31345</v>
      </c>
      <c r="F1309" s="19" t="s">
        <v>35979</v>
      </c>
      <c r="G1309" s="18" t="str">
        <f>"80524"</f>
        <v>80524</v>
      </c>
      <c r="H1309" s="19" t="s">
        <v>36109</v>
      </c>
      <c r="I1309" s="20">
        <v>18.068999999999999</v>
      </c>
      <c r="J1309" s="44" t="s">
        <v>8</v>
      </c>
      <c r="K1309" s="23" t="s">
        <v>8</v>
      </c>
      <c r="L1309" s="23" t="s">
        <v>8</v>
      </c>
      <c r="M1309" s="23" t="s">
        <v>8</v>
      </c>
    </row>
    <row r="1310" spans="1:13" s="21" customFormat="1" x14ac:dyDescent="0.25">
      <c r="A1310" s="22" t="s">
        <v>8</v>
      </c>
      <c r="B1310" s="18" t="str">
        <f>"065193"</f>
        <v>065193</v>
      </c>
      <c r="C1310" s="19" t="s">
        <v>1312</v>
      </c>
      <c r="D1310" s="19" t="s">
        <v>16743</v>
      </c>
      <c r="E1310" s="19" t="s">
        <v>31342</v>
      </c>
      <c r="F1310" s="19" t="s">
        <v>35979</v>
      </c>
      <c r="G1310" s="18" t="str">
        <f>"80229"</f>
        <v>80229</v>
      </c>
      <c r="H1310" s="19" t="s">
        <v>33467</v>
      </c>
      <c r="I1310" s="20">
        <v>19.986999999999998</v>
      </c>
      <c r="J1310" s="44" t="s">
        <v>8</v>
      </c>
      <c r="K1310" s="23" t="s">
        <v>8</v>
      </c>
      <c r="L1310" s="23" t="s">
        <v>8</v>
      </c>
      <c r="M1310" s="23" t="s">
        <v>8</v>
      </c>
    </row>
    <row r="1311" spans="1:13" s="21" customFormat="1" x14ac:dyDescent="0.25">
      <c r="A1311" s="22" t="s">
        <v>8</v>
      </c>
      <c r="B1311" s="18" t="str">
        <f>"065195"</f>
        <v>065195</v>
      </c>
      <c r="C1311" s="19" t="s">
        <v>1313</v>
      </c>
      <c r="D1311" s="19" t="s">
        <v>16744</v>
      </c>
      <c r="E1311" s="19" t="s">
        <v>30923</v>
      </c>
      <c r="F1311" s="19" t="s">
        <v>35979</v>
      </c>
      <c r="G1311" s="18" t="str">
        <f>"81401"</f>
        <v>81401</v>
      </c>
      <c r="H1311" s="19" t="s">
        <v>30923</v>
      </c>
      <c r="I1311" s="20">
        <v>16.007999999999999</v>
      </c>
      <c r="J1311" s="44" t="s">
        <v>8</v>
      </c>
      <c r="K1311" s="23" t="s">
        <v>8</v>
      </c>
      <c r="L1311" s="23" t="s">
        <v>8</v>
      </c>
      <c r="M1311" s="23" t="s">
        <v>8</v>
      </c>
    </row>
    <row r="1312" spans="1:13" s="21" customFormat="1" x14ac:dyDescent="0.25">
      <c r="A1312" s="22" t="s">
        <v>8</v>
      </c>
      <c r="B1312" s="18" t="str">
        <f>"065196"</f>
        <v>065196</v>
      </c>
      <c r="C1312" s="19" t="s">
        <v>1314</v>
      </c>
      <c r="D1312" s="19" t="s">
        <v>16745</v>
      </c>
      <c r="E1312" s="19" t="s">
        <v>31353</v>
      </c>
      <c r="F1312" s="19" t="s">
        <v>35979</v>
      </c>
      <c r="G1312" s="18" t="str">
        <f>"80233"</f>
        <v>80233</v>
      </c>
      <c r="H1312" s="19" t="s">
        <v>33467</v>
      </c>
      <c r="I1312" s="20">
        <v>15.616</v>
      </c>
      <c r="J1312" s="44" t="s">
        <v>8</v>
      </c>
      <c r="K1312" s="23" t="s">
        <v>8</v>
      </c>
      <c r="L1312" s="23" t="s">
        <v>8</v>
      </c>
      <c r="M1312" s="23" t="s">
        <v>8</v>
      </c>
    </row>
    <row r="1313" spans="1:13" s="21" customFormat="1" x14ac:dyDescent="0.25">
      <c r="A1313" s="22" t="s">
        <v>8</v>
      </c>
      <c r="B1313" s="18" t="str">
        <f>"065198"</f>
        <v>065198</v>
      </c>
      <c r="C1313" s="19" t="s">
        <v>1315</v>
      </c>
      <c r="D1313" s="19" t="s">
        <v>16746</v>
      </c>
      <c r="E1313" s="19" t="s">
        <v>31338</v>
      </c>
      <c r="F1313" s="19" t="s">
        <v>35979</v>
      </c>
      <c r="G1313" s="18" t="str">
        <f>"80904"</f>
        <v>80904</v>
      </c>
      <c r="H1313" s="19" t="s">
        <v>31965</v>
      </c>
      <c r="I1313" s="20">
        <v>17.279</v>
      </c>
      <c r="J1313" s="44" t="s">
        <v>8</v>
      </c>
      <c r="K1313" s="23" t="s">
        <v>8</v>
      </c>
      <c r="L1313" s="23" t="s">
        <v>8</v>
      </c>
      <c r="M1313" s="23" t="s">
        <v>8</v>
      </c>
    </row>
    <row r="1314" spans="1:13" s="21" customFormat="1" x14ac:dyDescent="0.25">
      <c r="A1314" s="22" t="s">
        <v>8</v>
      </c>
      <c r="B1314" s="18" t="str">
        <f>"065202"</f>
        <v>065202</v>
      </c>
      <c r="C1314" s="19" t="s">
        <v>1316</v>
      </c>
      <c r="D1314" s="19" t="s">
        <v>16747</v>
      </c>
      <c r="E1314" s="19" t="s">
        <v>31339</v>
      </c>
      <c r="F1314" s="19" t="s">
        <v>35979</v>
      </c>
      <c r="G1314" s="18" t="str">
        <f>"80214"</f>
        <v>80214</v>
      </c>
      <c r="H1314" s="19" t="s">
        <v>32391</v>
      </c>
      <c r="I1314" s="20">
        <v>18.175000000000001</v>
      </c>
      <c r="J1314" s="44" t="s">
        <v>8</v>
      </c>
      <c r="K1314" s="23" t="s">
        <v>8</v>
      </c>
      <c r="L1314" s="23" t="s">
        <v>8</v>
      </c>
      <c r="M1314" s="23" t="s">
        <v>8</v>
      </c>
    </row>
    <row r="1315" spans="1:13" s="21" customFormat="1" x14ac:dyDescent="0.25">
      <c r="A1315" s="22" t="s">
        <v>8</v>
      </c>
      <c r="B1315" s="18" t="str">
        <f>"065203"</f>
        <v>065203</v>
      </c>
      <c r="C1315" s="19" t="s">
        <v>1317</v>
      </c>
      <c r="D1315" s="19" t="s">
        <v>16748</v>
      </c>
      <c r="E1315" s="19" t="s">
        <v>31354</v>
      </c>
      <c r="F1315" s="19" t="s">
        <v>35979</v>
      </c>
      <c r="G1315" s="18" t="str">
        <f>"80120"</f>
        <v>80120</v>
      </c>
      <c r="H1315" s="19" t="s">
        <v>33802</v>
      </c>
      <c r="I1315" s="20">
        <v>17.137</v>
      </c>
      <c r="J1315" s="44" t="s">
        <v>8</v>
      </c>
      <c r="K1315" s="23" t="s">
        <v>8</v>
      </c>
      <c r="L1315" s="23" t="s">
        <v>8</v>
      </c>
      <c r="M1315" s="23" t="s">
        <v>8</v>
      </c>
    </row>
    <row r="1316" spans="1:13" s="21" customFormat="1" x14ac:dyDescent="0.25">
      <c r="A1316" s="22" t="s">
        <v>8</v>
      </c>
      <c r="B1316" s="18" t="str">
        <f>"065206"</f>
        <v>065206</v>
      </c>
      <c r="C1316" s="19" t="s">
        <v>1318</v>
      </c>
      <c r="D1316" s="19" t="s">
        <v>16749</v>
      </c>
      <c r="E1316" s="19" t="s">
        <v>31334</v>
      </c>
      <c r="F1316" s="19" t="s">
        <v>35979</v>
      </c>
      <c r="G1316" s="18" t="str">
        <f>"80222"</f>
        <v>80222</v>
      </c>
      <c r="H1316" s="19" t="s">
        <v>31334</v>
      </c>
      <c r="I1316" s="20">
        <v>19.826000000000001</v>
      </c>
      <c r="J1316" s="44" t="s">
        <v>8</v>
      </c>
      <c r="K1316" s="23" t="s">
        <v>8</v>
      </c>
      <c r="L1316" s="23" t="s">
        <v>8</v>
      </c>
      <c r="M1316" s="23" t="s">
        <v>8</v>
      </c>
    </row>
    <row r="1317" spans="1:13" s="21" customFormat="1" x14ac:dyDescent="0.25">
      <c r="A1317" s="22" t="s">
        <v>8</v>
      </c>
      <c r="B1317" s="18" t="str">
        <f>"065208"</f>
        <v>065208</v>
      </c>
      <c r="C1317" s="19" t="s">
        <v>1319</v>
      </c>
      <c r="D1317" s="19" t="s">
        <v>16750</v>
      </c>
      <c r="E1317" s="19" t="s">
        <v>31337</v>
      </c>
      <c r="F1317" s="19" t="s">
        <v>35979</v>
      </c>
      <c r="G1317" s="18" t="str">
        <f>"80110"</f>
        <v>80110</v>
      </c>
      <c r="H1317" s="19" t="s">
        <v>33802</v>
      </c>
      <c r="I1317" s="20">
        <v>19.46</v>
      </c>
      <c r="J1317" s="44" t="s">
        <v>8</v>
      </c>
      <c r="K1317" s="23" t="s">
        <v>8</v>
      </c>
      <c r="L1317" s="23" t="s">
        <v>8</v>
      </c>
      <c r="M1317" s="23" t="s">
        <v>8</v>
      </c>
    </row>
    <row r="1318" spans="1:13" s="21" customFormat="1" x14ac:dyDescent="0.25">
      <c r="A1318" s="22" t="s">
        <v>8</v>
      </c>
      <c r="B1318" s="18" t="str">
        <f>"065209"</f>
        <v>065209</v>
      </c>
      <c r="C1318" s="19" t="s">
        <v>1320</v>
      </c>
      <c r="D1318" s="19" t="s">
        <v>16751</v>
      </c>
      <c r="E1318" s="19" t="s">
        <v>31339</v>
      </c>
      <c r="F1318" s="19" t="s">
        <v>35979</v>
      </c>
      <c r="G1318" s="18" t="str">
        <f>"80214"</f>
        <v>80214</v>
      </c>
      <c r="H1318" s="19" t="s">
        <v>32391</v>
      </c>
      <c r="I1318" s="20">
        <v>15.438000000000001</v>
      </c>
      <c r="J1318" s="44" t="s">
        <v>8</v>
      </c>
      <c r="K1318" s="23" t="s">
        <v>8</v>
      </c>
      <c r="L1318" s="23" t="s">
        <v>8</v>
      </c>
      <c r="M1318" s="23" t="s">
        <v>8</v>
      </c>
    </row>
    <row r="1319" spans="1:13" s="21" customFormat="1" x14ac:dyDescent="0.25">
      <c r="A1319" s="22" t="s">
        <v>8</v>
      </c>
      <c r="B1319" s="18" t="str">
        <f>"065211"</f>
        <v>065211</v>
      </c>
      <c r="C1319" s="19" t="s">
        <v>1321</v>
      </c>
      <c r="D1319" s="19" t="s">
        <v>16752</v>
      </c>
      <c r="E1319" s="19" t="s">
        <v>31340</v>
      </c>
      <c r="F1319" s="19" t="s">
        <v>35979</v>
      </c>
      <c r="G1319" s="18" t="str">
        <f>"80631"</f>
        <v>80631</v>
      </c>
      <c r="H1319" s="19" t="s">
        <v>36108</v>
      </c>
      <c r="I1319" s="20">
        <v>17.376999999999999</v>
      </c>
      <c r="J1319" s="44" t="s">
        <v>8</v>
      </c>
      <c r="K1319" s="23" t="s">
        <v>8</v>
      </c>
      <c r="L1319" s="23" t="s">
        <v>8</v>
      </c>
      <c r="M1319" s="23" t="s">
        <v>8</v>
      </c>
    </row>
    <row r="1320" spans="1:13" s="21" customFormat="1" x14ac:dyDescent="0.25">
      <c r="A1320" s="22" t="s">
        <v>8</v>
      </c>
      <c r="B1320" s="18" t="str">
        <f>"065212"</f>
        <v>065212</v>
      </c>
      <c r="C1320" s="19" t="s">
        <v>1322</v>
      </c>
      <c r="D1320" s="19" t="s">
        <v>16753</v>
      </c>
      <c r="E1320" s="19" t="s">
        <v>31340</v>
      </c>
      <c r="F1320" s="19" t="s">
        <v>35979</v>
      </c>
      <c r="G1320" s="18" t="str">
        <f>"80634"</f>
        <v>80634</v>
      </c>
      <c r="H1320" s="19" t="s">
        <v>36108</v>
      </c>
      <c r="I1320" s="20">
        <v>17.157</v>
      </c>
      <c r="J1320" s="44" t="s">
        <v>8</v>
      </c>
      <c r="K1320" s="23" t="s">
        <v>8</v>
      </c>
      <c r="L1320" s="23" t="s">
        <v>8</v>
      </c>
      <c r="M1320" s="23" t="s">
        <v>8</v>
      </c>
    </row>
    <row r="1321" spans="1:13" s="21" customFormat="1" x14ac:dyDescent="0.25">
      <c r="A1321" s="22" t="s">
        <v>8</v>
      </c>
      <c r="B1321" s="18" t="str">
        <f>"065213"</f>
        <v>065213</v>
      </c>
      <c r="C1321" s="19" t="s">
        <v>1323</v>
      </c>
      <c r="D1321" s="19" t="s">
        <v>16754</v>
      </c>
      <c r="E1321" s="19" t="s">
        <v>31334</v>
      </c>
      <c r="F1321" s="19" t="s">
        <v>35979</v>
      </c>
      <c r="G1321" s="18" t="str">
        <f>"80218"</f>
        <v>80218</v>
      </c>
      <c r="H1321" s="19" t="s">
        <v>31334</v>
      </c>
      <c r="I1321" s="20">
        <v>19.262</v>
      </c>
      <c r="J1321" s="44" t="s">
        <v>8</v>
      </c>
      <c r="K1321" s="23" t="s">
        <v>8</v>
      </c>
      <c r="L1321" s="23" t="s">
        <v>8</v>
      </c>
      <c r="M1321" s="23" t="s">
        <v>8</v>
      </c>
    </row>
    <row r="1322" spans="1:13" s="21" customFormat="1" x14ac:dyDescent="0.25">
      <c r="A1322" s="22" t="s">
        <v>8</v>
      </c>
      <c r="B1322" s="18" t="str">
        <f>"065214"</f>
        <v>065214</v>
      </c>
      <c r="C1322" s="19" t="s">
        <v>1324</v>
      </c>
      <c r="D1322" s="19" t="s">
        <v>16755</v>
      </c>
      <c r="E1322" s="19" t="s">
        <v>31355</v>
      </c>
      <c r="F1322" s="19" t="s">
        <v>35979</v>
      </c>
      <c r="G1322" s="18" t="str">
        <f>"81050"</f>
        <v>81050</v>
      </c>
      <c r="H1322" s="19" t="s">
        <v>36110</v>
      </c>
      <c r="I1322" s="20">
        <v>18.146000000000001</v>
      </c>
      <c r="J1322" s="44" t="s">
        <v>8</v>
      </c>
      <c r="K1322" s="23" t="s">
        <v>8</v>
      </c>
      <c r="L1322" s="23" t="s">
        <v>8</v>
      </c>
      <c r="M1322" s="23" t="s">
        <v>8</v>
      </c>
    </row>
    <row r="1323" spans="1:13" s="21" customFormat="1" x14ac:dyDescent="0.25">
      <c r="A1323" s="22" t="s">
        <v>8</v>
      </c>
      <c r="B1323" s="18" t="str">
        <f>"065217"</f>
        <v>065217</v>
      </c>
      <c r="C1323" s="19" t="s">
        <v>1325</v>
      </c>
      <c r="D1323" s="19" t="s">
        <v>16756</v>
      </c>
      <c r="E1323" s="19" t="s">
        <v>31329</v>
      </c>
      <c r="F1323" s="19" t="s">
        <v>35979</v>
      </c>
      <c r="G1323" s="18" t="str">
        <f>"81212"</f>
        <v>81212</v>
      </c>
      <c r="H1323" s="19" t="s">
        <v>31175</v>
      </c>
      <c r="I1323" s="20">
        <v>17.513999999999999</v>
      </c>
      <c r="J1323" s="44" t="s">
        <v>8</v>
      </c>
      <c r="K1323" s="23" t="s">
        <v>8</v>
      </c>
      <c r="L1323" s="23" t="s">
        <v>8</v>
      </c>
      <c r="M1323" s="23" t="s">
        <v>8</v>
      </c>
    </row>
    <row r="1324" spans="1:13" s="21" customFormat="1" x14ac:dyDescent="0.25">
      <c r="A1324" s="22" t="s">
        <v>8</v>
      </c>
      <c r="B1324" s="18" t="str">
        <f>"065219"</f>
        <v>065219</v>
      </c>
      <c r="C1324" s="19" t="s">
        <v>1326</v>
      </c>
      <c r="D1324" s="19" t="s">
        <v>16757</v>
      </c>
      <c r="E1324" s="19" t="s">
        <v>31340</v>
      </c>
      <c r="F1324" s="19" t="s">
        <v>35979</v>
      </c>
      <c r="G1324" s="18" t="str">
        <f>"80634"</f>
        <v>80634</v>
      </c>
      <c r="H1324" s="19" t="s">
        <v>36108</v>
      </c>
      <c r="I1324" s="20">
        <v>18.533999999999999</v>
      </c>
      <c r="J1324" s="44" t="s">
        <v>8</v>
      </c>
      <c r="K1324" s="23" t="s">
        <v>8</v>
      </c>
      <c r="L1324" s="23" t="s">
        <v>8</v>
      </c>
      <c r="M1324" s="23" t="s">
        <v>8</v>
      </c>
    </row>
    <row r="1325" spans="1:13" s="21" customFormat="1" x14ac:dyDescent="0.25">
      <c r="A1325" s="22" t="s">
        <v>8</v>
      </c>
      <c r="B1325" s="18" t="str">
        <f>"065220"</f>
        <v>065220</v>
      </c>
      <c r="C1325" s="19" t="s">
        <v>1327</v>
      </c>
      <c r="D1325" s="19" t="s">
        <v>16758</v>
      </c>
      <c r="E1325" s="19" t="s">
        <v>31356</v>
      </c>
      <c r="F1325" s="19" t="s">
        <v>35979</v>
      </c>
      <c r="G1325" s="18" t="str">
        <f>"81201"</f>
        <v>81201</v>
      </c>
      <c r="H1325" s="19" t="s">
        <v>33661</v>
      </c>
      <c r="I1325" s="20">
        <v>16.335000000000001</v>
      </c>
      <c r="J1325" s="44" t="s">
        <v>8</v>
      </c>
      <c r="K1325" s="23" t="s">
        <v>8</v>
      </c>
      <c r="L1325" s="23" t="s">
        <v>8</v>
      </c>
      <c r="M1325" s="23" t="s">
        <v>8</v>
      </c>
    </row>
    <row r="1326" spans="1:13" s="21" customFormat="1" x14ac:dyDescent="0.25">
      <c r="A1326" s="22" t="s">
        <v>8</v>
      </c>
      <c r="B1326" s="18" t="str">
        <f>"065221"</f>
        <v>065221</v>
      </c>
      <c r="C1326" s="19" t="s">
        <v>1328</v>
      </c>
      <c r="D1326" s="19" t="s">
        <v>16759</v>
      </c>
      <c r="E1326" s="19" t="s">
        <v>31345</v>
      </c>
      <c r="F1326" s="19" t="s">
        <v>35979</v>
      </c>
      <c r="G1326" s="18" t="str">
        <f>"80525"</f>
        <v>80525</v>
      </c>
      <c r="H1326" s="19" t="s">
        <v>36109</v>
      </c>
      <c r="I1326" s="20">
        <v>20.021000000000001</v>
      </c>
      <c r="J1326" s="44" t="s">
        <v>8</v>
      </c>
      <c r="K1326" s="23" t="s">
        <v>8</v>
      </c>
      <c r="L1326" s="23" t="s">
        <v>8</v>
      </c>
      <c r="M1326" s="23" t="s">
        <v>8</v>
      </c>
    </row>
    <row r="1327" spans="1:13" s="21" customFormat="1" x14ac:dyDescent="0.25">
      <c r="A1327" s="22" t="s">
        <v>8</v>
      </c>
      <c r="B1327" s="18" t="str">
        <f>"065222"</f>
        <v>065222</v>
      </c>
      <c r="C1327" s="19" t="s">
        <v>1329</v>
      </c>
      <c r="D1327" s="19" t="s">
        <v>16760</v>
      </c>
      <c r="E1327" s="19" t="s">
        <v>31336</v>
      </c>
      <c r="F1327" s="19" t="s">
        <v>35979</v>
      </c>
      <c r="G1327" s="18" t="str">
        <f>"80303"</f>
        <v>80303</v>
      </c>
      <c r="H1327" s="19" t="s">
        <v>31336</v>
      </c>
      <c r="I1327" s="20">
        <v>17.036999999999999</v>
      </c>
      <c r="J1327" s="44" t="s">
        <v>8</v>
      </c>
      <c r="K1327" s="23" t="s">
        <v>8</v>
      </c>
      <c r="L1327" s="23" t="s">
        <v>8</v>
      </c>
      <c r="M1327" s="23" t="s">
        <v>8</v>
      </c>
    </row>
    <row r="1328" spans="1:13" s="21" customFormat="1" x14ac:dyDescent="0.25">
      <c r="A1328" s="22" t="s">
        <v>8</v>
      </c>
      <c r="B1328" s="18" t="str">
        <f>"065223"</f>
        <v>065223</v>
      </c>
      <c r="C1328" s="19" t="s">
        <v>1330</v>
      </c>
      <c r="D1328" s="19" t="s">
        <v>16761</v>
      </c>
      <c r="E1328" s="19" t="s">
        <v>31334</v>
      </c>
      <c r="F1328" s="19" t="s">
        <v>35979</v>
      </c>
      <c r="G1328" s="18" t="str">
        <f>"80224"</f>
        <v>80224</v>
      </c>
      <c r="H1328" s="19" t="s">
        <v>31334</v>
      </c>
      <c r="I1328" s="20">
        <v>16.558</v>
      </c>
      <c r="J1328" s="44" t="s">
        <v>8</v>
      </c>
      <c r="K1328" s="23" t="s">
        <v>8</v>
      </c>
      <c r="L1328" s="23" t="s">
        <v>8</v>
      </c>
      <c r="M1328" s="23" t="s">
        <v>8</v>
      </c>
    </row>
    <row r="1329" spans="1:13" s="21" customFormat="1" x14ac:dyDescent="0.25">
      <c r="A1329" s="22" t="s">
        <v>8</v>
      </c>
      <c r="B1329" s="18" t="str">
        <f>"065225"</f>
        <v>065225</v>
      </c>
      <c r="C1329" s="19" t="s">
        <v>1331</v>
      </c>
      <c r="D1329" s="19" t="s">
        <v>16762</v>
      </c>
      <c r="E1329" s="19" t="s">
        <v>31338</v>
      </c>
      <c r="F1329" s="19" t="s">
        <v>35979</v>
      </c>
      <c r="G1329" s="18" t="str">
        <f>"80907"</f>
        <v>80907</v>
      </c>
      <c r="H1329" s="19" t="s">
        <v>31965</v>
      </c>
      <c r="I1329" s="20">
        <v>19.37</v>
      </c>
      <c r="J1329" s="44" t="s">
        <v>8</v>
      </c>
      <c r="K1329" s="23" t="s">
        <v>8</v>
      </c>
      <c r="L1329" s="23" t="s">
        <v>8</v>
      </c>
      <c r="M1329" s="23" t="s">
        <v>8</v>
      </c>
    </row>
    <row r="1330" spans="1:13" s="21" customFormat="1" x14ac:dyDescent="0.25">
      <c r="A1330" s="22" t="s">
        <v>8</v>
      </c>
      <c r="B1330" s="18" t="str">
        <f>"065226"</f>
        <v>065226</v>
      </c>
      <c r="C1330" s="19" t="s">
        <v>1332</v>
      </c>
      <c r="D1330" s="19" t="s">
        <v>16763</v>
      </c>
      <c r="E1330" s="19" t="s">
        <v>31352</v>
      </c>
      <c r="F1330" s="19" t="s">
        <v>35979</v>
      </c>
      <c r="G1330" s="18" t="str">
        <f>"80501"</f>
        <v>80501</v>
      </c>
      <c r="H1330" s="19" t="s">
        <v>31336</v>
      </c>
      <c r="I1330" s="20">
        <v>20.515000000000001</v>
      </c>
      <c r="J1330" s="44" t="s">
        <v>8</v>
      </c>
      <c r="K1330" s="23" t="s">
        <v>8</v>
      </c>
      <c r="L1330" s="23" t="s">
        <v>8</v>
      </c>
      <c r="M1330" s="23" t="s">
        <v>8</v>
      </c>
    </row>
    <row r="1331" spans="1:13" s="21" customFormat="1" x14ac:dyDescent="0.25">
      <c r="A1331" s="22" t="s">
        <v>8</v>
      </c>
      <c r="B1331" s="18" t="str">
        <f>"065227"</f>
        <v>065227</v>
      </c>
      <c r="C1331" s="19" t="s">
        <v>1333</v>
      </c>
      <c r="D1331" s="19" t="s">
        <v>16764</v>
      </c>
      <c r="E1331" s="19" t="s">
        <v>31345</v>
      </c>
      <c r="F1331" s="19" t="s">
        <v>35979</v>
      </c>
      <c r="G1331" s="18" t="str">
        <f>"80525"</f>
        <v>80525</v>
      </c>
      <c r="H1331" s="19" t="s">
        <v>36109</v>
      </c>
      <c r="I1331" s="20">
        <v>17.004999999999999</v>
      </c>
      <c r="J1331" s="44" t="s">
        <v>8</v>
      </c>
      <c r="K1331" s="23" t="s">
        <v>8</v>
      </c>
      <c r="L1331" s="23" t="s">
        <v>8</v>
      </c>
      <c r="M1331" s="23" t="s">
        <v>8</v>
      </c>
    </row>
    <row r="1332" spans="1:13" s="21" customFormat="1" x14ac:dyDescent="0.25">
      <c r="A1332" s="22" t="s">
        <v>8</v>
      </c>
      <c r="B1332" s="18" t="str">
        <f>"065228"</f>
        <v>065228</v>
      </c>
      <c r="C1332" s="19" t="s">
        <v>1334</v>
      </c>
      <c r="D1332" s="19" t="s">
        <v>16765</v>
      </c>
      <c r="E1332" s="19" t="s">
        <v>31357</v>
      </c>
      <c r="F1332" s="19" t="s">
        <v>35979</v>
      </c>
      <c r="G1332" s="18" t="str">
        <f>"81526"</f>
        <v>81526</v>
      </c>
      <c r="H1332" s="19" t="s">
        <v>30941</v>
      </c>
      <c r="I1332" s="20">
        <v>16.783999999999999</v>
      </c>
      <c r="J1332" s="44" t="s">
        <v>8</v>
      </c>
      <c r="K1332" s="23" t="s">
        <v>8</v>
      </c>
      <c r="L1332" s="23" t="s">
        <v>8</v>
      </c>
      <c r="M1332" s="23" t="s">
        <v>8</v>
      </c>
    </row>
    <row r="1333" spans="1:13" s="21" customFormat="1" x14ac:dyDescent="0.25">
      <c r="A1333" s="22" t="s">
        <v>8</v>
      </c>
      <c r="B1333" s="18" t="str">
        <f>"065229"</f>
        <v>065229</v>
      </c>
      <c r="C1333" s="19" t="s">
        <v>1335</v>
      </c>
      <c r="D1333" s="19" t="s">
        <v>16766</v>
      </c>
      <c r="E1333" s="19" t="s">
        <v>31341</v>
      </c>
      <c r="F1333" s="19" t="s">
        <v>35979</v>
      </c>
      <c r="G1333" s="18" t="str">
        <f>"81004"</f>
        <v>81004</v>
      </c>
      <c r="H1333" s="19" t="s">
        <v>31341</v>
      </c>
      <c r="I1333" s="20">
        <v>18.245000000000001</v>
      </c>
      <c r="J1333" s="44" t="s">
        <v>8</v>
      </c>
      <c r="K1333" s="23" t="s">
        <v>8</v>
      </c>
      <c r="L1333" s="23" t="s">
        <v>8</v>
      </c>
      <c r="M1333" s="23" t="s">
        <v>8</v>
      </c>
    </row>
    <row r="1334" spans="1:13" s="21" customFormat="1" x14ac:dyDescent="0.25">
      <c r="A1334" s="22" t="s">
        <v>8</v>
      </c>
      <c r="B1334" s="18" t="str">
        <f>"065230"</f>
        <v>065230</v>
      </c>
      <c r="C1334" s="19" t="s">
        <v>1336</v>
      </c>
      <c r="D1334" s="19" t="s">
        <v>16767</v>
      </c>
      <c r="E1334" s="19" t="s">
        <v>31334</v>
      </c>
      <c r="F1334" s="19" t="s">
        <v>35979</v>
      </c>
      <c r="G1334" s="18" t="str">
        <f>"80222"</f>
        <v>80222</v>
      </c>
      <c r="H1334" s="19" t="s">
        <v>31334</v>
      </c>
      <c r="I1334" s="20">
        <v>17.55</v>
      </c>
      <c r="J1334" s="44" t="s">
        <v>8</v>
      </c>
      <c r="K1334" s="23" t="s">
        <v>8</v>
      </c>
      <c r="L1334" s="23" t="s">
        <v>8</v>
      </c>
      <c r="M1334" s="23" t="s">
        <v>8</v>
      </c>
    </row>
    <row r="1335" spans="1:13" s="21" customFormat="1" x14ac:dyDescent="0.25">
      <c r="A1335" s="22" t="s">
        <v>8</v>
      </c>
      <c r="B1335" s="18" t="str">
        <f>"065231"</f>
        <v>065231</v>
      </c>
      <c r="C1335" s="19" t="s">
        <v>1337</v>
      </c>
      <c r="D1335" s="19" t="s">
        <v>16768</v>
      </c>
      <c r="E1335" s="19" t="s">
        <v>31341</v>
      </c>
      <c r="F1335" s="19" t="s">
        <v>35979</v>
      </c>
      <c r="G1335" s="18" t="str">
        <f>"81001"</f>
        <v>81001</v>
      </c>
      <c r="H1335" s="19" t="s">
        <v>31341</v>
      </c>
      <c r="I1335" s="20">
        <v>17.994</v>
      </c>
      <c r="J1335" s="44" t="s">
        <v>8</v>
      </c>
      <c r="K1335" s="23" t="s">
        <v>8</v>
      </c>
      <c r="L1335" s="23" t="s">
        <v>8</v>
      </c>
      <c r="M1335" s="23" t="s">
        <v>8</v>
      </c>
    </row>
    <row r="1336" spans="1:13" s="21" customFormat="1" x14ac:dyDescent="0.25">
      <c r="A1336" s="22" t="s">
        <v>8</v>
      </c>
      <c r="B1336" s="18" t="str">
        <f>"065232"</f>
        <v>065232</v>
      </c>
      <c r="C1336" s="19" t="s">
        <v>1338</v>
      </c>
      <c r="D1336" s="19" t="s">
        <v>16769</v>
      </c>
      <c r="E1336" s="19" t="s">
        <v>31341</v>
      </c>
      <c r="F1336" s="19" t="s">
        <v>35979</v>
      </c>
      <c r="G1336" s="18" t="str">
        <f>"81004"</f>
        <v>81004</v>
      </c>
      <c r="H1336" s="19" t="s">
        <v>31341</v>
      </c>
      <c r="I1336" s="20">
        <v>18.545999999999999</v>
      </c>
      <c r="J1336" s="44" t="s">
        <v>8</v>
      </c>
      <c r="K1336" s="23" t="s">
        <v>8</v>
      </c>
      <c r="L1336" s="23" t="s">
        <v>8</v>
      </c>
      <c r="M1336" s="23" t="s">
        <v>8</v>
      </c>
    </row>
    <row r="1337" spans="1:13" s="21" customFormat="1" x14ac:dyDescent="0.25">
      <c r="A1337" s="22" t="s">
        <v>8</v>
      </c>
      <c r="B1337" s="18" t="str">
        <f>"065233"</f>
        <v>065233</v>
      </c>
      <c r="C1337" s="19" t="s">
        <v>1339</v>
      </c>
      <c r="D1337" s="19" t="s">
        <v>16770</v>
      </c>
      <c r="E1337" s="19" t="s">
        <v>31334</v>
      </c>
      <c r="F1337" s="19" t="s">
        <v>35979</v>
      </c>
      <c r="G1337" s="18" t="str">
        <f>"80236"</f>
        <v>80236</v>
      </c>
      <c r="H1337" s="19" t="s">
        <v>31334</v>
      </c>
      <c r="I1337" s="20">
        <v>18.21</v>
      </c>
      <c r="J1337" s="44" t="s">
        <v>8</v>
      </c>
      <c r="K1337" s="23" t="s">
        <v>8</v>
      </c>
      <c r="L1337" s="23" t="s">
        <v>8</v>
      </c>
      <c r="M1337" s="23" t="s">
        <v>8</v>
      </c>
    </row>
    <row r="1338" spans="1:13" s="21" customFormat="1" x14ac:dyDescent="0.25">
      <c r="A1338" s="22" t="s">
        <v>8</v>
      </c>
      <c r="B1338" s="18" t="str">
        <f>"065234"</f>
        <v>065234</v>
      </c>
      <c r="C1338" s="19" t="s">
        <v>68</v>
      </c>
      <c r="D1338" s="19" t="s">
        <v>16771</v>
      </c>
      <c r="E1338" s="19" t="s">
        <v>31328</v>
      </c>
      <c r="F1338" s="19" t="s">
        <v>35979</v>
      </c>
      <c r="G1338" s="18" t="str">
        <f>"81101"</f>
        <v>81101</v>
      </c>
      <c r="H1338" s="19" t="s">
        <v>31328</v>
      </c>
      <c r="I1338" s="20">
        <v>17.413</v>
      </c>
      <c r="J1338" s="44" t="s">
        <v>8</v>
      </c>
      <c r="K1338" s="23" t="s">
        <v>8</v>
      </c>
      <c r="L1338" s="23" t="s">
        <v>8</v>
      </c>
      <c r="M1338" s="23" t="s">
        <v>8</v>
      </c>
    </row>
    <row r="1339" spans="1:13" s="21" customFormat="1" x14ac:dyDescent="0.25">
      <c r="A1339" s="22" t="s">
        <v>8</v>
      </c>
      <c r="B1339" s="18" t="str">
        <f>"065235"</f>
        <v>065235</v>
      </c>
      <c r="C1339" s="19" t="s">
        <v>1340</v>
      </c>
      <c r="D1339" s="19" t="s">
        <v>16772</v>
      </c>
      <c r="E1339" s="19" t="s">
        <v>31358</v>
      </c>
      <c r="F1339" s="19" t="s">
        <v>35979</v>
      </c>
      <c r="G1339" s="18" t="str">
        <f>"81067"</f>
        <v>81067</v>
      </c>
      <c r="H1339" s="19" t="s">
        <v>36110</v>
      </c>
      <c r="I1339" s="20">
        <v>20.692</v>
      </c>
      <c r="J1339" s="44" t="s">
        <v>8</v>
      </c>
      <c r="K1339" s="23" t="s">
        <v>8</v>
      </c>
      <c r="L1339" s="23" t="s">
        <v>8</v>
      </c>
      <c r="M1339" s="23" t="s">
        <v>8</v>
      </c>
    </row>
    <row r="1340" spans="1:13" s="21" customFormat="1" x14ac:dyDescent="0.25">
      <c r="A1340" s="22" t="s">
        <v>8</v>
      </c>
      <c r="B1340" s="18" t="str">
        <f>"065236"</f>
        <v>065236</v>
      </c>
      <c r="C1340" s="19" t="s">
        <v>1341</v>
      </c>
      <c r="D1340" s="19" t="s">
        <v>16773</v>
      </c>
      <c r="E1340" s="19" t="s">
        <v>31341</v>
      </c>
      <c r="F1340" s="19" t="s">
        <v>35979</v>
      </c>
      <c r="G1340" s="18" t="str">
        <f>"81004"</f>
        <v>81004</v>
      </c>
      <c r="H1340" s="19" t="s">
        <v>31341</v>
      </c>
      <c r="I1340" s="20">
        <v>17.361999999999998</v>
      </c>
      <c r="J1340" s="44" t="s">
        <v>8</v>
      </c>
      <c r="K1340" s="23" t="s">
        <v>8</v>
      </c>
      <c r="L1340" s="23" t="s">
        <v>8</v>
      </c>
      <c r="M1340" s="23" t="s">
        <v>8</v>
      </c>
    </row>
    <row r="1341" spans="1:13" s="21" customFormat="1" x14ac:dyDescent="0.25">
      <c r="A1341" s="22" t="s">
        <v>8</v>
      </c>
      <c r="B1341" s="18" t="str">
        <f>"065237"</f>
        <v>065237</v>
      </c>
      <c r="C1341" s="19" t="s">
        <v>1342</v>
      </c>
      <c r="D1341" s="19" t="s">
        <v>16774</v>
      </c>
      <c r="E1341" s="19" t="s">
        <v>31359</v>
      </c>
      <c r="F1341" s="19" t="s">
        <v>35979</v>
      </c>
      <c r="G1341" s="18" t="str">
        <f>"81623"</f>
        <v>81623</v>
      </c>
      <c r="H1341" s="19" t="s">
        <v>36111</v>
      </c>
      <c r="I1341" s="20">
        <v>17.614000000000001</v>
      </c>
      <c r="J1341" s="44" t="s">
        <v>8</v>
      </c>
      <c r="K1341" s="23" t="s">
        <v>8</v>
      </c>
      <c r="L1341" s="23" t="s">
        <v>8</v>
      </c>
      <c r="M1341" s="23" t="s">
        <v>8</v>
      </c>
    </row>
    <row r="1342" spans="1:13" s="21" customFormat="1" x14ac:dyDescent="0.25">
      <c r="A1342" s="22" t="s">
        <v>8</v>
      </c>
      <c r="B1342" s="18" t="str">
        <f>"065238"</f>
        <v>065238</v>
      </c>
      <c r="C1342" s="19" t="s">
        <v>1343</v>
      </c>
      <c r="D1342" s="19" t="s">
        <v>16775</v>
      </c>
      <c r="E1342" s="19" t="s">
        <v>31342</v>
      </c>
      <c r="F1342" s="19" t="s">
        <v>35979</v>
      </c>
      <c r="G1342" s="18" t="str">
        <f>"80241"</f>
        <v>80241</v>
      </c>
      <c r="H1342" s="19" t="s">
        <v>33467</v>
      </c>
      <c r="I1342" s="20">
        <v>18.363</v>
      </c>
      <c r="J1342" s="44" t="s">
        <v>8</v>
      </c>
      <c r="K1342" s="23" t="s">
        <v>8</v>
      </c>
      <c r="L1342" s="23" t="s">
        <v>8</v>
      </c>
      <c r="M1342" s="23" t="s">
        <v>8</v>
      </c>
    </row>
    <row r="1343" spans="1:13" s="21" customFormat="1" x14ac:dyDescent="0.25">
      <c r="A1343" s="22" t="s">
        <v>8</v>
      </c>
      <c r="B1343" s="18" t="str">
        <f>"065239"</f>
        <v>065239</v>
      </c>
      <c r="C1343" s="19" t="s">
        <v>948</v>
      </c>
      <c r="D1343" s="19" t="s">
        <v>16776</v>
      </c>
      <c r="E1343" s="19" t="s">
        <v>31328</v>
      </c>
      <c r="F1343" s="19" t="s">
        <v>35979</v>
      </c>
      <c r="G1343" s="18" t="str">
        <f>"81101"</f>
        <v>81101</v>
      </c>
      <c r="H1343" s="19" t="s">
        <v>31328</v>
      </c>
      <c r="I1343" s="20">
        <v>17.417999999999999</v>
      </c>
      <c r="J1343" s="44" t="s">
        <v>8</v>
      </c>
      <c r="K1343" s="23" t="s">
        <v>8</v>
      </c>
      <c r="L1343" s="23" t="s">
        <v>8</v>
      </c>
      <c r="M1343" s="23" t="s">
        <v>8</v>
      </c>
    </row>
    <row r="1344" spans="1:13" s="21" customFormat="1" x14ac:dyDescent="0.25">
      <c r="A1344" s="22" t="s">
        <v>8</v>
      </c>
      <c r="B1344" s="18" t="str">
        <f>"065240"</f>
        <v>065240</v>
      </c>
      <c r="C1344" s="19" t="s">
        <v>1344</v>
      </c>
      <c r="D1344" s="19" t="s">
        <v>16777</v>
      </c>
      <c r="E1344" s="19" t="s">
        <v>31360</v>
      </c>
      <c r="F1344" s="19" t="s">
        <v>35979</v>
      </c>
      <c r="G1344" s="18" t="str">
        <f>"80601"</f>
        <v>80601</v>
      </c>
      <c r="H1344" s="19" t="s">
        <v>33467</v>
      </c>
      <c r="I1344" s="20">
        <v>16.683</v>
      </c>
      <c r="J1344" s="44" t="s">
        <v>8</v>
      </c>
      <c r="K1344" s="23" t="s">
        <v>8</v>
      </c>
      <c r="L1344" s="23" t="s">
        <v>8</v>
      </c>
      <c r="M1344" s="23" t="s">
        <v>8</v>
      </c>
    </row>
    <row r="1345" spans="1:13" s="21" customFormat="1" x14ac:dyDescent="0.25">
      <c r="A1345" s="22" t="s">
        <v>8</v>
      </c>
      <c r="B1345" s="18" t="str">
        <f>"065241"</f>
        <v>065241</v>
      </c>
      <c r="C1345" s="19" t="s">
        <v>1345</v>
      </c>
      <c r="D1345" s="19" t="s">
        <v>16778</v>
      </c>
      <c r="E1345" s="19" t="s">
        <v>31334</v>
      </c>
      <c r="F1345" s="19" t="s">
        <v>35979</v>
      </c>
      <c r="G1345" s="18" t="str">
        <f>"80224"</f>
        <v>80224</v>
      </c>
      <c r="H1345" s="19" t="s">
        <v>31334</v>
      </c>
      <c r="I1345" s="20">
        <v>20.282</v>
      </c>
      <c r="J1345" s="44" t="s">
        <v>8</v>
      </c>
      <c r="K1345" s="23" t="s">
        <v>8</v>
      </c>
      <c r="L1345" s="23" t="s">
        <v>8</v>
      </c>
      <c r="M1345" s="23" t="s">
        <v>8</v>
      </c>
    </row>
    <row r="1346" spans="1:13" s="21" customFormat="1" x14ac:dyDescent="0.25">
      <c r="A1346" s="22" t="s">
        <v>8</v>
      </c>
      <c r="B1346" s="18" t="str">
        <f>"065242"</f>
        <v>065242</v>
      </c>
      <c r="C1346" s="19" t="s">
        <v>1346</v>
      </c>
      <c r="D1346" s="19" t="s">
        <v>16779</v>
      </c>
      <c r="E1346" s="19" t="s">
        <v>31334</v>
      </c>
      <c r="F1346" s="19" t="s">
        <v>35979</v>
      </c>
      <c r="G1346" s="18" t="str">
        <f>"80222"</f>
        <v>80222</v>
      </c>
      <c r="H1346" s="19" t="s">
        <v>31334</v>
      </c>
      <c r="I1346" s="20">
        <v>19.948</v>
      </c>
      <c r="J1346" s="44" t="s">
        <v>8</v>
      </c>
      <c r="K1346" s="23" t="s">
        <v>8</v>
      </c>
      <c r="L1346" s="23" t="s">
        <v>8</v>
      </c>
      <c r="M1346" s="23" t="s">
        <v>8</v>
      </c>
    </row>
    <row r="1347" spans="1:13" s="21" customFormat="1" x14ac:dyDescent="0.25">
      <c r="A1347" s="22" t="s">
        <v>8</v>
      </c>
      <c r="B1347" s="18" t="str">
        <f>"065243"</f>
        <v>065243</v>
      </c>
      <c r="C1347" s="19" t="s">
        <v>1347</v>
      </c>
      <c r="D1347" s="19" t="s">
        <v>16780</v>
      </c>
      <c r="E1347" s="19" t="s">
        <v>31361</v>
      </c>
      <c r="F1347" s="19" t="s">
        <v>35979</v>
      </c>
      <c r="G1347" s="18" t="str">
        <f>"81301"</f>
        <v>81301</v>
      </c>
      <c r="H1347" s="19" t="s">
        <v>33723</v>
      </c>
      <c r="I1347" s="20">
        <v>16.675000000000001</v>
      </c>
      <c r="J1347" s="44" t="s">
        <v>8</v>
      </c>
      <c r="K1347" s="23" t="s">
        <v>8</v>
      </c>
      <c r="L1347" s="23" t="s">
        <v>8</v>
      </c>
      <c r="M1347" s="23" t="s">
        <v>8</v>
      </c>
    </row>
    <row r="1348" spans="1:13" s="21" customFormat="1" x14ac:dyDescent="0.25">
      <c r="A1348" s="22" t="s">
        <v>8</v>
      </c>
      <c r="B1348" s="18" t="str">
        <f>"065244"</f>
        <v>065244</v>
      </c>
      <c r="C1348" s="19" t="s">
        <v>1348</v>
      </c>
      <c r="D1348" s="19" t="s">
        <v>16781</v>
      </c>
      <c r="E1348" s="19" t="s">
        <v>31362</v>
      </c>
      <c r="F1348" s="19" t="s">
        <v>35979</v>
      </c>
      <c r="G1348" s="18" t="str">
        <f>"81601"</f>
        <v>81601</v>
      </c>
      <c r="H1348" s="19" t="s">
        <v>36111</v>
      </c>
      <c r="I1348" s="20">
        <v>21.274000000000001</v>
      </c>
      <c r="J1348" s="44" t="s">
        <v>8</v>
      </c>
      <c r="K1348" s="23" t="s">
        <v>8</v>
      </c>
      <c r="L1348" s="23" t="s">
        <v>8</v>
      </c>
      <c r="M1348" s="23" t="s">
        <v>8</v>
      </c>
    </row>
    <row r="1349" spans="1:13" s="21" customFormat="1" x14ac:dyDescent="0.25">
      <c r="A1349" s="22" t="s">
        <v>8</v>
      </c>
      <c r="B1349" s="18" t="str">
        <f>"065245"</f>
        <v>065245</v>
      </c>
      <c r="C1349" s="19" t="s">
        <v>1349</v>
      </c>
      <c r="D1349" s="19" t="s">
        <v>16782</v>
      </c>
      <c r="E1349" s="19" t="s">
        <v>31345</v>
      </c>
      <c r="F1349" s="19" t="s">
        <v>35979</v>
      </c>
      <c r="G1349" s="18" t="str">
        <f>"80526"</f>
        <v>80526</v>
      </c>
      <c r="H1349" s="19" t="s">
        <v>36109</v>
      </c>
      <c r="I1349" s="20">
        <v>20.690999999999999</v>
      </c>
      <c r="J1349" s="44" t="s">
        <v>8</v>
      </c>
      <c r="K1349" s="23" t="s">
        <v>8</v>
      </c>
      <c r="L1349" s="23" t="s">
        <v>8</v>
      </c>
      <c r="M1349" s="23" t="s">
        <v>8</v>
      </c>
    </row>
    <row r="1350" spans="1:13" s="21" customFormat="1" x14ac:dyDescent="0.25">
      <c r="A1350" s="22" t="s">
        <v>8</v>
      </c>
      <c r="B1350" s="18" t="str">
        <f>"065246"</f>
        <v>065246</v>
      </c>
      <c r="C1350" s="19" t="s">
        <v>1350</v>
      </c>
      <c r="D1350" s="19" t="s">
        <v>16783</v>
      </c>
      <c r="E1350" s="19" t="s">
        <v>31338</v>
      </c>
      <c r="F1350" s="19" t="s">
        <v>35979</v>
      </c>
      <c r="G1350" s="18" t="str">
        <f>"80910"</f>
        <v>80910</v>
      </c>
      <c r="H1350" s="19" t="s">
        <v>31965</v>
      </c>
      <c r="I1350" s="20">
        <v>20.324000000000002</v>
      </c>
      <c r="J1350" s="44" t="s">
        <v>8</v>
      </c>
      <c r="K1350" s="23" t="s">
        <v>8</v>
      </c>
      <c r="L1350" s="23" t="s">
        <v>8</v>
      </c>
      <c r="M1350" s="23" t="s">
        <v>8</v>
      </c>
    </row>
    <row r="1351" spans="1:13" s="21" customFormat="1" x14ac:dyDescent="0.25">
      <c r="A1351" s="22" t="s">
        <v>8</v>
      </c>
      <c r="B1351" s="18" t="str">
        <f>"065247"</f>
        <v>065247</v>
      </c>
      <c r="C1351" s="19" t="s">
        <v>1351</v>
      </c>
      <c r="D1351" s="19" t="s">
        <v>16784</v>
      </c>
      <c r="E1351" s="19" t="s">
        <v>31338</v>
      </c>
      <c r="F1351" s="19" t="s">
        <v>35979</v>
      </c>
      <c r="G1351" s="18" t="str">
        <f>"80907"</f>
        <v>80907</v>
      </c>
      <c r="H1351" s="19" t="s">
        <v>31965</v>
      </c>
      <c r="I1351" s="20">
        <v>17.478000000000002</v>
      </c>
      <c r="J1351" s="44" t="s">
        <v>8</v>
      </c>
      <c r="K1351" s="23" t="s">
        <v>8</v>
      </c>
      <c r="L1351" s="23" t="s">
        <v>8</v>
      </c>
      <c r="M1351" s="23" t="s">
        <v>8</v>
      </c>
    </row>
    <row r="1352" spans="1:13" s="21" customFormat="1" x14ac:dyDescent="0.25">
      <c r="A1352" s="22" t="s">
        <v>8</v>
      </c>
      <c r="B1352" s="18" t="str">
        <f>"065248"</f>
        <v>065248</v>
      </c>
      <c r="C1352" s="19" t="s">
        <v>1352</v>
      </c>
      <c r="D1352" s="19" t="s">
        <v>16785</v>
      </c>
      <c r="E1352" s="19" t="s">
        <v>31339</v>
      </c>
      <c r="F1352" s="19" t="s">
        <v>35979</v>
      </c>
      <c r="G1352" s="18" t="str">
        <f>"80226"</f>
        <v>80226</v>
      </c>
      <c r="H1352" s="19" t="s">
        <v>32391</v>
      </c>
      <c r="I1352" s="20">
        <v>18.05</v>
      </c>
      <c r="J1352" s="44" t="s">
        <v>8</v>
      </c>
      <c r="K1352" s="23" t="s">
        <v>8</v>
      </c>
      <c r="L1352" s="23" t="s">
        <v>8</v>
      </c>
      <c r="M1352" s="23" t="s">
        <v>8</v>
      </c>
    </row>
    <row r="1353" spans="1:13" s="21" customFormat="1" x14ac:dyDescent="0.25">
      <c r="A1353" s="22" t="s">
        <v>8</v>
      </c>
      <c r="B1353" s="18" t="str">
        <f>"065249"</f>
        <v>065249</v>
      </c>
      <c r="C1353" s="19" t="s">
        <v>1353</v>
      </c>
      <c r="D1353" s="19" t="s">
        <v>16786</v>
      </c>
      <c r="E1353" s="19" t="s">
        <v>31363</v>
      </c>
      <c r="F1353" s="19" t="s">
        <v>35979</v>
      </c>
      <c r="G1353" s="18" t="str">
        <f>"81416"</f>
        <v>81416</v>
      </c>
      <c r="H1353" s="19" t="s">
        <v>31363</v>
      </c>
      <c r="I1353" s="20">
        <v>19.228000000000002</v>
      </c>
      <c r="J1353" s="44" t="s">
        <v>8</v>
      </c>
      <c r="K1353" s="23" t="s">
        <v>8</v>
      </c>
      <c r="L1353" s="23" t="s">
        <v>8</v>
      </c>
      <c r="M1353" s="23" t="s">
        <v>8</v>
      </c>
    </row>
    <row r="1354" spans="1:13" s="21" customFormat="1" x14ac:dyDescent="0.25">
      <c r="A1354" s="22" t="s">
        <v>8</v>
      </c>
      <c r="B1354" s="18" t="str">
        <f>"065250"</f>
        <v>065250</v>
      </c>
      <c r="C1354" s="19" t="s">
        <v>1354</v>
      </c>
      <c r="D1354" s="19" t="s">
        <v>16787</v>
      </c>
      <c r="E1354" s="19" t="s">
        <v>31329</v>
      </c>
      <c r="F1354" s="19" t="s">
        <v>35979</v>
      </c>
      <c r="G1354" s="18" t="str">
        <f>"81212"</f>
        <v>81212</v>
      </c>
      <c r="H1354" s="19" t="s">
        <v>31175</v>
      </c>
      <c r="I1354" s="20">
        <v>16.908999999999999</v>
      </c>
      <c r="J1354" s="44" t="s">
        <v>8</v>
      </c>
      <c r="K1354" s="23" t="s">
        <v>8</v>
      </c>
      <c r="L1354" s="23" t="s">
        <v>8</v>
      </c>
      <c r="M1354" s="23" t="s">
        <v>8</v>
      </c>
    </row>
    <row r="1355" spans="1:13" s="21" customFormat="1" x14ac:dyDescent="0.25">
      <c r="A1355" s="22" t="s">
        <v>8</v>
      </c>
      <c r="B1355" s="18" t="str">
        <f>"065251"</f>
        <v>065251</v>
      </c>
      <c r="C1355" s="19" t="s">
        <v>1355</v>
      </c>
      <c r="D1355" s="19" t="s">
        <v>16788</v>
      </c>
      <c r="E1355" s="19" t="s">
        <v>31364</v>
      </c>
      <c r="F1355" s="19" t="s">
        <v>35979</v>
      </c>
      <c r="G1355" s="18" t="str">
        <f>"81428"</f>
        <v>81428</v>
      </c>
      <c r="H1355" s="19" t="s">
        <v>31363</v>
      </c>
      <c r="I1355" s="20">
        <v>17.529</v>
      </c>
      <c r="J1355" s="44" t="s">
        <v>8</v>
      </c>
      <c r="K1355" s="23" t="s">
        <v>8</v>
      </c>
      <c r="L1355" s="23" t="s">
        <v>8</v>
      </c>
      <c r="M1355" s="23" t="s">
        <v>8</v>
      </c>
    </row>
    <row r="1356" spans="1:13" s="21" customFormat="1" x14ac:dyDescent="0.25">
      <c r="A1356" s="22" t="s">
        <v>8</v>
      </c>
      <c r="B1356" s="18" t="str">
        <f>"065252"</f>
        <v>065252</v>
      </c>
      <c r="C1356" s="19" t="s">
        <v>1356</v>
      </c>
      <c r="D1356" s="19" t="s">
        <v>16789</v>
      </c>
      <c r="E1356" s="19" t="s">
        <v>31338</v>
      </c>
      <c r="F1356" s="19" t="s">
        <v>35979</v>
      </c>
      <c r="G1356" s="18" t="str">
        <f>"80917"</f>
        <v>80917</v>
      </c>
      <c r="H1356" s="19" t="s">
        <v>31965</v>
      </c>
      <c r="I1356" s="20">
        <v>19.416</v>
      </c>
      <c r="J1356" s="44" t="s">
        <v>8</v>
      </c>
      <c r="K1356" s="23" t="s">
        <v>8</v>
      </c>
      <c r="L1356" s="23" t="s">
        <v>8</v>
      </c>
      <c r="M1356" s="23" t="s">
        <v>8</v>
      </c>
    </row>
    <row r="1357" spans="1:13" s="21" customFormat="1" x14ac:dyDescent="0.25">
      <c r="A1357" s="22" t="s">
        <v>8</v>
      </c>
      <c r="B1357" s="18" t="str">
        <f>"065253"</f>
        <v>065253</v>
      </c>
      <c r="C1357" s="19" t="s">
        <v>1357</v>
      </c>
      <c r="D1357" s="19" t="s">
        <v>16790</v>
      </c>
      <c r="E1357" s="19" t="s">
        <v>31343</v>
      </c>
      <c r="F1357" s="19" t="s">
        <v>35979</v>
      </c>
      <c r="G1357" s="18" t="str">
        <f>"81501"</f>
        <v>81501</v>
      </c>
      <c r="H1357" s="19" t="s">
        <v>30941</v>
      </c>
      <c r="I1357" s="20">
        <v>18.148</v>
      </c>
      <c r="J1357" s="44" t="s">
        <v>8</v>
      </c>
      <c r="K1357" s="23" t="s">
        <v>8</v>
      </c>
      <c r="L1357" s="23" t="s">
        <v>8</v>
      </c>
      <c r="M1357" s="23" t="s">
        <v>8</v>
      </c>
    </row>
    <row r="1358" spans="1:13" s="21" customFormat="1" x14ac:dyDescent="0.25">
      <c r="A1358" s="22" t="s">
        <v>8</v>
      </c>
      <c r="B1358" s="18" t="str">
        <f>"065254"</f>
        <v>065254</v>
      </c>
      <c r="C1358" s="19" t="s">
        <v>1358</v>
      </c>
      <c r="D1358" s="19" t="s">
        <v>16791</v>
      </c>
      <c r="E1358" s="19" t="s">
        <v>31338</v>
      </c>
      <c r="F1358" s="19" t="s">
        <v>35979</v>
      </c>
      <c r="G1358" s="18" t="str">
        <f>"80909"</f>
        <v>80909</v>
      </c>
      <c r="H1358" s="19" t="s">
        <v>31965</v>
      </c>
      <c r="I1358" s="20">
        <v>17.606000000000002</v>
      </c>
      <c r="J1358" s="44" t="s">
        <v>8</v>
      </c>
      <c r="K1358" s="23" t="s">
        <v>8</v>
      </c>
      <c r="L1358" s="23" t="s">
        <v>8</v>
      </c>
      <c r="M1358" s="23" t="s">
        <v>8</v>
      </c>
    </row>
    <row r="1359" spans="1:13" s="21" customFormat="1" x14ac:dyDescent="0.25">
      <c r="A1359" s="22" t="s">
        <v>8</v>
      </c>
      <c r="B1359" s="18" t="str">
        <f>"065255"</f>
        <v>065255</v>
      </c>
      <c r="C1359" s="19" t="s">
        <v>1359</v>
      </c>
      <c r="D1359" s="19" t="s">
        <v>16792</v>
      </c>
      <c r="E1359" s="19" t="s">
        <v>31334</v>
      </c>
      <c r="F1359" s="19" t="s">
        <v>35979</v>
      </c>
      <c r="G1359" s="18" t="str">
        <f>"80206"</f>
        <v>80206</v>
      </c>
      <c r="H1359" s="19" t="s">
        <v>31334</v>
      </c>
      <c r="I1359" s="20">
        <v>17.504000000000001</v>
      </c>
      <c r="J1359" s="44" t="s">
        <v>8</v>
      </c>
      <c r="K1359" s="23" t="s">
        <v>8</v>
      </c>
      <c r="L1359" s="23" t="s">
        <v>8</v>
      </c>
      <c r="M1359" s="23" t="s">
        <v>8</v>
      </c>
    </row>
    <row r="1360" spans="1:13" s="21" customFormat="1" x14ac:dyDescent="0.25">
      <c r="A1360" s="22" t="s">
        <v>8</v>
      </c>
      <c r="B1360" s="18" t="str">
        <f>"065256"</f>
        <v>065256</v>
      </c>
      <c r="C1360" s="19" t="s">
        <v>1360</v>
      </c>
      <c r="D1360" s="19" t="s">
        <v>16793</v>
      </c>
      <c r="E1360" s="19" t="s">
        <v>31334</v>
      </c>
      <c r="F1360" s="19" t="s">
        <v>35979</v>
      </c>
      <c r="G1360" s="18" t="str">
        <f>"80222"</f>
        <v>80222</v>
      </c>
      <c r="H1360" s="19" t="s">
        <v>31334</v>
      </c>
      <c r="I1360" s="20">
        <v>17.318000000000001</v>
      </c>
      <c r="J1360" s="44" t="s">
        <v>8</v>
      </c>
      <c r="K1360" s="23" t="s">
        <v>8</v>
      </c>
      <c r="L1360" s="23" t="s">
        <v>8</v>
      </c>
      <c r="M1360" s="23" t="s">
        <v>8</v>
      </c>
    </row>
    <row r="1361" spans="1:13" s="21" customFormat="1" x14ac:dyDescent="0.25">
      <c r="A1361" s="22" t="s">
        <v>8</v>
      </c>
      <c r="B1361" s="18" t="str">
        <f>"065257"</f>
        <v>065257</v>
      </c>
      <c r="C1361" s="19" t="s">
        <v>1361</v>
      </c>
      <c r="D1361" s="19" t="s">
        <v>16794</v>
      </c>
      <c r="E1361" s="19" t="s">
        <v>31345</v>
      </c>
      <c r="F1361" s="19" t="s">
        <v>35979</v>
      </c>
      <c r="G1361" s="18" t="str">
        <f>"80524"</f>
        <v>80524</v>
      </c>
      <c r="H1361" s="19" t="s">
        <v>36109</v>
      </c>
      <c r="I1361" s="20">
        <v>21.318999999999999</v>
      </c>
      <c r="J1361" s="44" t="s">
        <v>8</v>
      </c>
      <c r="K1361" s="23" t="s">
        <v>8</v>
      </c>
      <c r="L1361" s="23" t="s">
        <v>8</v>
      </c>
      <c r="M1361" s="23" t="s">
        <v>8</v>
      </c>
    </row>
    <row r="1362" spans="1:13" s="21" customFormat="1" x14ac:dyDescent="0.25">
      <c r="A1362" s="22" t="s">
        <v>8</v>
      </c>
      <c r="B1362" s="18" t="str">
        <f>"065258"</f>
        <v>065258</v>
      </c>
      <c r="C1362" s="19" t="s">
        <v>1362</v>
      </c>
      <c r="D1362" s="19" t="s">
        <v>16795</v>
      </c>
      <c r="E1362" s="19" t="s">
        <v>31365</v>
      </c>
      <c r="F1362" s="19" t="s">
        <v>35979</v>
      </c>
      <c r="G1362" s="18" t="str">
        <f>"81418"</f>
        <v>81418</v>
      </c>
      <c r="H1362" s="19" t="s">
        <v>31363</v>
      </c>
      <c r="I1362" s="20">
        <v>20.411000000000001</v>
      </c>
      <c r="J1362" s="44" t="s">
        <v>8</v>
      </c>
      <c r="K1362" s="23" t="s">
        <v>8</v>
      </c>
      <c r="L1362" s="23" t="s">
        <v>8</v>
      </c>
      <c r="M1362" s="23" t="s">
        <v>8</v>
      </c>
    </row>
    <row r="1363" spans="1:13" s="21" customFormat="1" x14ac:dyDescent="0.25">
      <c r="A1363" s="22" t="s">
        <v>8</v>
      </c>
      <c r="B1363" s="18" t="str">
        <f>"065259"</f>
        <v>065259</v>
      </c>
      <c r="C1363" s="19" t="s">
        <v>1363</v>
      </c>
      <c r="D1363" s="19" t="s">
        <v>16796</v>
      </c>
      <c r="E1363" s="19" t="s">
        <v>31354</v>
      </c>
      <c r="F1363" s="19" t="s">
        <v>35979</v>
      </c>
      <c r="G1363" s="18" t="str">
        <f>"80121"</f>
        <v>80121</v>
      </c>
      <c r="H1363" s="19" t="s">
        <v>33802</v>
      </c>
      <c r="I1363" s="20">
        <v>20.97</v>
      </c>
      <c r="J1363" s="44" t="s">
        <v>8</v>
      </c>
      <c r="K1363" s="23" t="s">
        <v>8</v>
      </c>
      <c r="L1363" s="23" t="s">
        <v>8</v>
      </c>
      <c r="M1363" s="23" t="s">
        <v>8</v>
      </c>
    </row>
    <row r="1364" spans="1:13" s="21" customFormat="1" x14ac:dyDescent="0.25">
      <c r="A1364" s="22" t="s">
        <v>8</v>
      </c>
      <c r="B1364" s="18" t="str">
        <f>"065263"</f>
        <v>065263</v>
      </c>
      <c r="C1364" s="19" t="s">
        <v>1364</v>
      </c>
      <c r="D1364" s="19" t="s">
        <v>16797</v>
      </c>
      <c r="E1364" s="19" t="s">
        <v>30950</v>
      </c>
      <c r="F1364" s="19" t="s">
        <v>35979</v>
      </c>
      <c r="G1364" s="18" t="str">
        <f>"80759"</f>
        <v>80759</v>
      </c>
      <c r="H1364" s="19" t="s">
        <v>30950</v>
      </c>
      <c r="I1364" s="20">
        <v>19.675000000000001</v>
      </c>
      <c r="J1364" s="44" t="s">
        <v>8</v>
      </c>
      <c r="K1364" s="23" t="s">
        <v>8</v>
      </c>
      <c r="L1364" s="23" t="s">
        <v>8</v>
      </c>
      <c r="M1364" s="23" t="s">
        <v>8</v>
      </c>
    </row>
    <row r="1365" spans="1:13" s="21" customFormat="1" x14ac:dyDescent="0.25">
      <c r="A1365" s="22" t="s">
        <v>8</v>
      </c>
      <c r="B1365" s="18" t="str">
        <f>"065265"</f>
        <v>065265</v>
      </c>
      <c r="C1365" s="19" t="s">
        <v>1365</v>
      </c>
      <c r="D1365" s="19" t="s">
        <v>16798</v>
      </c>
      <c r="E1365" s="19" t="s">
        <v>31366</v>
      </c>
      <c r="F1365" s="19" t="s">
        <v>35979</v>
      </c>
      <c r="G1365" s="18" t="str">
        <f>"80513"</f>
        <v>80513</v>
      </c>
      <c r="H1365" s="19" t="s">
        <v>36109</v>
      </c>
      <c r="I1365" s="20">
        <v>17.03</v>
      </c>
      <c r="J1365" s="44" t="s">
        <v>8</v>
      </c>
      <c r="K1365" s="23" t="s">
        <v>8</v>
      </c>
      <c r="L1365" s="23" t="s">
        <v>8</v>
      </c>
      <c r="M1365" s="23" t="s">
        <v>8</v>
      </c>
    </row>
    <row r="1366" spans="1:13" s="21" customFormat="1" x14ac:dyDescent="0.25">
      <c r="A1366" s="22" t="s">
        <v>8</v>
      </c>
      <c r="B1366" s="18" t="str">
        <f>"065266"</f>
        <v>065266</v>
      </c>
      <c r="C1366" s="19" t="s">
        <v>1366</v>
      </c>
      <c r="D1366" s="19" t="s">
        <v>16799</v>
      </c>
      <c r="E1366" s="19" t="s">
        <v>31333</v>
      </c>
      <c r="F1366" s="19" t="s">
        <v>35979</v>
      </c>
      <c r="G1366" s="18" t="str">
        <f>"80012"</f>
        <v>80012</v>
      </c>
      <c r="H1366" s="19" t="s">
        <v>33802</v>
      </c>
      <c r="I1366" s="20">
        <v>19.594999999999999</v>
      </c>
      <c r="J1366" s="44" t="s">
        <v>8</v>
      </c>
      <c r="K1366" s="23" t="s">
        <v>8</v>
      </c>
      <c r="L1366" s="23" t="s">
        <v>8</v>
      </c>
      <c r="M1366" s="23" t="s">
        <v>8</v>
      </c>
    </row>
    <row r="1367" spans="1:13" s="21" customFormat="1" x14ac:dyDescent="0.25">
      <c r="A1367" s="22" t="s">
        <v>8</v>
      </c>
      <c r="B1367" s="18" t="str">
        <f>"065267"</f>
        <v>065267</v>
      </c>
      <c r="C1367" s="19" t="s">
        <v>1367</v>
      </c>
      <c r="D1367" s="19" t="s">
        <v>16800</v>
      </c>
      <c r="E1367" s="19" t="s">
        <v>31336</v>
      </c>
      <c r="F1367" s="19" t="s">
        <v>35979</v>
      </c>
      <c r="G1367" s="18" t="str">
        <f>"80301"</f>
        <v>80301</v>
      </c>
      <c r="H1367" s="19" t="s">
        <v>31336</v>
      </c>
      <c r="I1367" s="20">
        <v>17.7</v>
      </c>
      <c r="J1367" s="44" t="s">
        <v>8</v>
      </c>
      <c r="K1367" s="23" t="s">
        <v>8</v>
      </c>
      <c r="L1367" s="23" t="s">
        <v>8</v>
      </c>
      <c r="M1367" s="23" t="s">
        <v>8</v>
      </c>
    </row>
    <row r="1368" spans="1:13" s="21" customFormat="1" x14ac:dyDescent="0.25">
      <c r="A1368" s="22" t="s">
        <v>8</v>
      </c>
      <c r="B1368" s="18" t="str">
        <f>"065269"</f>
        <v>065269</v>
      </c>
      <c r="C1368" s="19" t="s">
        <v>1368</v>
      </c>
      <c r="D1368" s="19" t="s">
        <v>16801</v>
      </c>
      <c r="E1368" s="19" t="s">
        <v>31341</v>
      </c>
      <c r="F1368" s="19" t="s">
        <v>35979</v>
      </c>
      <c r="G1368" s="18" t="str">
        <f>"81005"</f>
        <v>81005</v>
      </c>
      <c r="H1368" s="19" t="s">
        <v>31341</v>
      </c>
      <c r="I1368" s="20">
        <v>17.372</v>
      </c>
      <c r="J1368" s="44" t="s">
        <v>8</v>
      </c>
      <c r="K1368" s="23" t="s">
        <v>8</v>
      </c>
      <c r="L1368" s="23" t="s">
        <v>8</v>
      </c>
      <c r="M1368" s="23" t="s">
        <v>8</v>
      </c>
    </row>
    <row r="1369" spans="1:13" s="21" customFormat="1" x14ac:dyDescent="0.25">
      <c r="A1369" s="22" t="s">
        <v>8</v>
      </c>
      <c r="B1369" s="18" t="str">
        <f>"065271"</f>
        <v>065271</v>
      </c>
      <c r="C1369" s="19" t="s">
        <v>1369</v>
      </c>
      <c r="D1369" s="19" t="s">
        <v>16802</v>
      </c>
      <c r="E1369" s="19" t="s">
        <v>31341</v>
      </c>
      <c r="F1369" s="19" t="s">
        <v>35979</v>
      </c>
      <c r="G1369" s="18" t="str">
        <f>"81003"</f>
        <v>81003</v>
      </c>
      <c r="H1369" s="19" t="s">
        <v>31341</v>
      </c>
      <c r="I1369" s="20">
        <v>16.364000000000001</v>
      </c>
      <c r="J1369" s="44" t="s">
        <v>8</v>
      </c>
      <c r="K1369" s="23" t="s">
        <v>8</v>
      </c>
      <c r="L1369" s="23" t="s">
        <v>8</v>
      </c>
      <c r="M1369" s="23" t="s">
        <v>8</v>
      </c>
    </row>
    <row r="1370" spans="1:13" s="21" customFormat="1" x14ac:dyDescent="0.25">
      <c r="A1370" s="22" t="s">
        <v>8</v>
      </c>
      <c r="B1370" s="18" t="str">
        <f>"065272"</f>
        <v>065272</v>
      </c>
      <c r="C1370" s="19" t="s">
        <v>1370</v>
      </c>
      <c r="D1370" s="19" t="s">
        <v>16803</v>
      </c>
      <c r="E1370" s="19" t="s">
        <v>31339</v>
      </c>
      <c r="F1370" s="19" t="s">
        <v>35979</v>
      </c>
      <c r="G1370" s="18" t="str">
        <f>"80214"</f>
        <v>80214</v>
      </c>
      <c r="H1370" s="19" t="s">
        <v>32391</v>
      </c>
      <c r="I1370" s="20">
        <v>18.164999999999999</v>
      </c>
      <c r="J1370" s="44" t="s">
        <v>8</v>
      </c>
      <c r="K1370" s="23" t="s">
        <v>8</v>
      </c>
      <c r="L1370" s="23" t="s">
        <v>8</v>
      </c>
      <c r="M1370" s="23" t="s">
        <v>8</v>
      </c>
    </row>
    <row r="1371" spans="1:13" s="21" customFormat="1" x14ac:dyDescent="0.25">
      <c r="A1371" s="22" t="s">
        <v>8</v>
      </c>
      <c r="B1371" s="18" t="str">
        <f>"065273"</f>
        <v>065273</v>
      </c>
      <c r="C1371" s="19" t="s">
        <v>1371</v>
      </c>
      <c r="D1371" s="19" t="s">
        <v>16804</v>
      </c>
      <c r="E1371" s="19" t="s">
        <v>31335</v>
      </c>
      <c r="F1371" s="19" t="s">
        <v>35979</v>
      </c>
      <c r="G1371" s="18" t="str">
        <f>"80033"</f>
        <v>80033</v>
      </c>
      <c r="H1371" s="19" t="s">
        <v>32391</v>
      </c>
      <c r="I1371" s="20">
        <v>17.251999999999999</v>
      </c>
      <c r="J1371" s="44" t="s">
        <v>8</v>
      </c>
      <c r="K1371" s="23" t="s">
        <v>8</v>
      </c>
      <c r="L1371" s="23" t="s">
        <v>8</v>
      </c>
      <c r="M1371" s="23" t="s">
        <v>8</v>
      </c>
    </row>
    <row r="1372" spans="1:13" s="21" customFormat="1" x14ac:dyDescent="0.25">
      <c r="A1372" s="22" t="s">
        <v>8</v>
      </c>
      <c r="B1372" s="18" t="str">
        <f>"065274"</f>
        <v>065274</v>
      </c>
      <c r="C1372" s="19" t="s">
        <v>1372</v>
      </c>
      <c r="D1372" s="19" t="s">
        <v>16805</v>
      </c>
      <c r="E1372" s="19" t="s">
        <v>31334</v>
      </c>
      <c r="F1372" s="19" t="s">
        <v>35979</v>
      </c>
      <c r="G1372" s="18" t="str">
        <f>"80219"</f>
        <v>80219</v>
      </c>
      <c r="H1372" s="19" t="s">
        <v>31334</v>
      </c>
      <c r="I1372" s="20">
        <v>19.841999999999999</v>
      </c>
      <c r="J1372" s="44" t="s">
        <v>8</v>
      </c>
      <c r="K1372" s="23" t="s">
        <v>8</v>
      </c>
      <c r="L1372" s="23" t="s">
        <v>8</v>
      </c>
      <c r="M1372" s="23" t="s">
        <v>8</v>
      </c>
    </row>
    <row r="1373" spans="1:13" s="21" customFormat="1" x14ac:dyDescent="0.25">
      <c r="A1373" s="22" t="s">
        <v>8</v>
      </c>
      <c r="B1373" s="18" t="str">
        <f>"065276"</f>
        <v>065276</v>
      </c>
      <c r="C1373" s="19" t="s">
        <v>1373</v>
      </c>
      <c r="D1373" s="19" t="s">
        <v>16806</v>
      </c>
      <c r="E1373" s="19" t="s">
        <v>30847</v>
      </c>
      <c r="F1373" s="19" t="s">
        <v>35979</v>
      </c>
      <c r="G1373" s="18" t="str">
        <f>"80439"</f>
        <v>80439</v>
      </c>
      <c r="H1373" s="19" t="s">
        <v>32391</v>
      </c>
      <c r="I1373" s="20">
        <v>15.391999999999999</v>
      </c>
      <c r="J1373" s="44" t="s">
        <v>8</v>
      </c>
      <c r="K1373" s="23" t="s">
        <v>8</v>
      </c>
      <c r="L1373" s="23" t="s">
        <v>8</v>
      </c>
      <c r="M1373" s="23" t="s">
        <v>8</v>
      </c>
    </row>
    <row r="1374" spans="1:13" s="21" customFormat="1" x14ac:dyDescent="0.25">
      <c r="A1374" s="22" t="s">
        <v>8</v>
      </c>
      <c r="B1374" s="18" t="str">
        <f>"065278"</f>
        <v>065278</v>
      </c>
      <c r="C1374" s="19" t="s">
        <v>1374</v>
      </c>
      <c r="D1374" s="19" t="s">
        <v>16807</v>
      </c>
      <c r="E1374" s="19" t="s">
        <v>31367</v>
      </c>
      <c r="F1374" s="19" t="s">
        <v>35979</v>
      </c>
      <c r="G1374" s="18" t="str">
        <f>"80550"</f>
        <v>80550</v>
      </c>
      <c r="H1374" s="19" t="s">
        <v>36108</v>
      </c>
      <c r="I1374" s="20">
        <v>19.123000000000001</v>
      </c>
      <c r="J1374" s="44" t="s">
        <v>8</v>
      </c>
      <c r="K1374" s="23" t="s">
        <v>8</v>
      </c>
      <c r="L1374" s="23" t="s">
        <v>8</v>
      </c>
      <c r="M1374" s="23" t="s">
        <v>8</v>
      </c>
    </row>
    <row r="1375" spans="1:13" s="21" customFormat="1" x14ac:dyDescent="0.25">
      <c r="A1375" s="22" t="s">
        <v>8</v>
      </c>
      <c r="B1375" s="18" t="str">
        <f>"065282"</f>
        <v>065282</v>
      </c>
      <c r="C1375" s="19" t="s">
        <v>1375</v>
      </c>
      <c r="D1375" s="19" t="s">
        <v>16808</v>
      </c>
      <c r="E1375" s="19" t="s">
        <v>31352</v>
      </c>
      <c r="F1375" s="19" t="s">
        <v>35979</v>
      </c>
      <c r="G1375" s="18" t="str">
        <f>"80501"</f>
        <v>80501</v>
      </c>
      <c r="H1375" s="19" t="s">
        <v>31336</v>
      </c>
      <c r="I1375" s="20">
        <v>15.102</v>
      </c>
      <c r="J1375" s="44" t="s">
        <v>8</v>
      </c>
      <c r="K1375" s="23" t="s">
        <v>8</v>
      </c>
      <c r="L1375" s="23" t="s">
        <v>8</v>
      </c>
      <c r="M1375" s="23" t="s">
        <v>8</v>
      </c>
    </row>
    <row r="1376" spans="1:13" s="21" customFormat="1" x14ac:dyDescent="0.25">
      <c r="A1376" s="22" t="s">
        <v>8</v>
      </c>
      <c r="B1376" s="18" t="str">
        <f>"065283"</f>
        <v>065283</v>
      </c>
      <c r="C1376" s="19" t="s">
        <v>1376</v>
      </c>
      <c r="D1376" s="19" t="s">
        <v>16809</v>
      </c>
      <c r="E1376" s="19" t="s">
        <v>31368</v>
      </c>
      <c r="F1376" s="19" t="s">
        <v>35979</v>
      </c>
      <c r="G1376" s="18" t="str">
        <f>"80022"</f>
        <v>80022</v>
      </c>
      <c r="H1376" s="19" t="s">
        <v>33467</v>
      </c>
      <c r="I1376" s="20">
        <v>21.010999999999999</v>
      </c>
      <c r="J1376" s="44" t="s">
        <v>8</v>
      </c>
      <c r="K1376" s="23" t="s">
        <v>8</v>
      </c>
      <c r="L1376" s="23" t="s">
        <v>8</v>
      </c>
      <c r="M1376" s="23" t="s">
        <v>8</v>
      </c>
    </row>
    <row r="1377" spans="1:13" s="21" customFormat="1" x14ac:dyDescent="0.25">
      <c r="A1377" s="22" t="s">
        <v>8</v>
      </c>
      <c r="B1377" s="18" t="str">
        <f>"065284"</f>
        <v>065284</v>
      </c>
      <c r="C1377" s="19" t="s">
        <v>1377</v>
      </c>
      <c r="D1377" s="19" t="s">
        <v>16810</v>
      </c>
      <c r="E1377" s="19" t="s">
        <v>31369</v>
      </c>
      <c r="F1377" s="19" t="s">
        <v>35979</v>
      </c>
      <c r="G1377" s="18" t="str">
        <f>"80807"</f>
        <v>80807</v>
      </c>
      <c r="H1377" s="19" t="s">
        <v>36112</v>
      </c>
      <c r="I1377" s="20">
        <v>18.286999999999999</v>
      </c>
      <c r="J1377" s="44" t="s">
        <v>8</v>
      </c>
      <c r="K1377" s="23" t="s">
        <v>8</v>
      </c>
      <c r="L1377" s="23" t="s">
        <v>8</v>
      </c>
      <c r="M1377" s="23" t="s">
        <v>8</v>
      </c>
    </row>
    <row r="1378" spans="1:13" s="21" customFormat="1" x14ac:dyDescent="0.25">
      <c r="A1378" s="22" t="s">
        <v>8</v>
      </c>
      <c r="B1378" s="18" t="str">
        <f>"065285"</f>
        <v>065285</v>
      </c>
      <c r="C1378" s="19" t="s">
        <v>1378</v>
      </c>
      <c r="D1378" s="19" t="s">
        <v>16811</v>
      </c>
      <c r="E1378" s="19" t="s">
        <v>31370</v>
      </c>
      <c r="F1378" s="19" t="s">
        <v>35979</v>
      </c>
      <c r="G1378" s="18" t="str">
        <f>"80108"</f>
        <v>80108</v>
      </c>
      <c r="H1378" s="19" t="s">
        <v>30966</v>
      </c>
      <c r="I1378" s="20">
        <v>19.053999999999998</v>
      </c>
      <c r="J1378" s="44" t="s">
        <v>8</v>
      </c>
      <c r="K1378" s="23" t="s">
        <v>8</v>
      </c>
      <c r="L1378" s="23" t="s">
        <v>8</v>
      </c>
      <c r="M1378" s="23" t="s">
        <v>8</v>
      </c>
    </row>
    <row r="1379" spans="1:13" s="21" customFormat="1" x14ac:dyDescent="0.25">
      <c r="A1379" s="22" t="s">
        <v>8</v>
      </c>
      <c r="B1379" s="18" t="str">
        <f>"065286"</f>
        <v>065286</v>
      </c>
      <c r="C1379" s="19" t="s">
        <v>1379</v>
      </c>
      <c r="D1379" s="19" t="s">
        <v>16812</v>
      </c>
      <c r="E1379" s="19" t="s">
        <v>31343</v>
      </c>
      <c r="F1379" s="19" t="s">
        <v>35979</v>
      </c>
      <c r="G1379" s="18" t="str">
        <f>"81501"</f>
        <v>81501</v>
      </c>
      <c r="H1379" s="19" t="s">
        <v>30941</v>
      </c>
      <c r="I1379" s="20">
        <v>17.021000000000001</v>
      </c>
      <c r="J1379" s="44" t="s">
        <v>8</v>
      </c>
      <c r="K1379" s="23" t="s">
        <v>8</v>
      </c>
      <c r="L1379" s="23" t="s">
        <v>8</v>
      </c>
      <c r="M1379" s="23" t="s">
        <v>8</v>
      </c>
    </row>
    <row r="1380" spans="1:13" s="21" customFormat="1" x14ac:dyDescent="0.25">
      <c r="A1380" s="22" t="s">
        <v>8</v>
      </c>
      <c r="B1380" s="18" t="str">
        <f>"065290"</f>
        <v>065290</v>
      </c>
      <c r="C1380" s="19" t="s">
        <v>1380</v>
      </c>
      <c r="D1380" s="19" t="s">
        <v>16813</v>
      </c>
      <c r="E1380" s="19" t="s">
        <v>31334</v>
      </c>
      <c r="F1380" s="19" t="s">
        <v>35979</v>
      </c>
      <c r="G1380" s="18" t="str">
        <f>"80224"</f>
        <v>80224</v>
      </c>
      <c r="H1380" s="19" t="s">
        <v>31334</v>
      </c>
      <c r="I1380" s="20">
        <v>20.242999999999999</v>
      </c>
      <c r="J1380" s="44" t="s">
        <v>8</v>
      </c>
      <c r="K1380" s="23" t="s">
        <v>8</v>
      </c>
      <c r="L1380" s="23" t="s">
        <v>8</v>
      </c>
      <c r="M1380" s="23" t="s">
        <v>8</v>
      </c>
    </row>
    <row r="1381" spans="1:13" s="21" customFormat="1" x14ac:dyDescent="0.25">
      <c r="A1381" s="22" t="s">
        <v>8</v>
      </c>
      <c r="B1381" s="18" t="str">
        <f>"065291"</f>
        <v>065291</v>
      </c>
      <c r="C1381" s="19" t="s">
        <v>1381</v>
      </c>
      <c r="D1381" s="19" t="s">
        <v>16814</v>
      </c>
      <c r="E1381" s="19" t="s">
        <v>31371</v>
      </c>
      <c r="F1381" s="19" t="s">
        <v>35979</v>
      </c>
      <c r="G1381" s="18" t="str">
        <f>"81144"</f>
        <v>81144</v>
      </c>
      <c r="H1381" s="19" t="s">
        <v>36113</v>
      </c>
      <c r="I1381" s="20">
        <v>18.655000000000001</v>
      </c>
      <c r="J1381" s="44" t="s">
        <v>8</v>
      </c>
      <c r="K1381" s="23" t="s">
        <v>8</v>
      </c>
      <c r="L1381" s="23" t="s">
        <v>8</v>
      </c>
      <c r="M1381" s="23" t="s">
        <v>8</v>
      </c>
    </row>
    <row r="1382" spans="1:13" s="21" customFormat="1" x14ac:dyDescent="0.25">
      <c r="A1382" s="22" t="s">
        <v>8</v>
      </c>
      <c r="B1382" s="18" t="str">
        <f>"065292"</f>
        <v>065292</v>
      </c>
      <c r="C1382" s="19" t="s">
        <v>1382</v>
      </c>
      <c r="D1382" s="19" t="s">
        <v>16815</v>
      </c>
      <c r="E1382" s="19" t="s">
        <v>31335</v>
      </c>
      <c r="F1382" s="19" t="s">
        <v>35979</v>
      </c>
      <c r="G1382" s="18" t="str">
        <f>"80033"</f>
        <v>80033</v>
      </c>
      <c r="H1382" s="19" t="s">
        <v>32391</v>
      </c>
      <c r="I1382" s="20">
        <v>17.736999999999998</v>
      </c>
      <c r="J1382" s="44" t="s">
        <v>8</v>
      </c>
      <c r="K1382" s="23" t="s">
        <v>8</v>
      </c>
      <c r="L1382" s="23" t="s">
        <v>8</v>
      </c>
      <c r="M1382" s="23" t="s">
        <v>8</v>
      </c>
    </row>
    <row r="1383" spans="1:13" s="21" customFormat="1" x14ac:dyDescent="0.25">
      <c r="A1383" s="22" t="s">
        <v>8</v>
      </c>
      <c r="B1383" s="18" t="str">
        <f>"065294"</f>
        <v>065294</v>
      </c>
      <c r="C1383" s="19" t="s">
        <v>1383</v>
      </c>
      <c r="D1383" s="19" t="s">
        <v>16816</v>
      </c>
      <c r="E1383" s="19" t="s">
        <v>31372</v>
      </c>
      <c r="F1383" s="19" t="s">
        <v>35979</v>
      </c>
      <c r="G1383" s="18" t="str">
        <f>"81052"</f>
        <v>81052</v>
      </c>
      <c r="H1383" s="19" t="s">
        <v>36114</v>
      </c>
      <c r="I1383" s="20">
        <v>17.553000000000001</v>
      </c>
      <c r="J1383" s="44" t="s">
        <v>8</v>
      </c>
      <c r="K1383" s="23" t="s">
        <v>8</v>
      </c>
      <c r="L1383" s="23" t="s">
        <v>8</v>
      </c>
      <c r="M1383" s="23" t="s">
        <v>8</v>
      </c>
    </row>
    <row r="1384" spans="1:13" s="21" customFormat="1" x14ac:dyDescent="0.25">
      <c r="A1384" s="22" t="s">
        <v>8</v>
      </c>
      <c r="B1384" s="18" t="str">
        <f>"065296"</f>
        <v>065296</v>
      </c>
      <c r="C1384" s="19" t="s">
        <v>1384</v>
      </c>
      <c r="D1384" s="19" t="s">
        <v>16817</v>
      </c>
      <c r="E1384" s="19" t="s">
        <v>31339</v>
      </c>
      <c r="F1384" s="19" t="s">
        <v>35979</v>
      </c>
      <c r="G1384" s="18" t="str">
        <f>"80214"</f>
        <v>80214</v>
      </c>
      <c r="H1384" s="19" t="s">
        <v>32391</v>
      </c>
      <c r="I1384" s="20">
        <v>17.07</v>
      </c>
      <c r="J1384" s="44" t="s">
        <v>8</v>
      </c>
      <c r="K1384" s="23" t="s">
        <v>8</v>
      </c>
      <c r="L1384" s="23" t="s">
        <v>8</v>
      </c>
      <c r="M1384" s="23" t="s">
        <v>8</v>
      </c>
    </row>
    <row r="1385" spans="1:13" s="21" customFormat="1" x14ac:dyDescent="0.25">
      <c r="A1385" s="22" t="s">
        <v>8</v>
      </c>
      <c r="B1385" s="18" t="str">
        <f>"065297"</f>
        <v>065297</v>
      </c>
      <c r="C1385" s="19" t="s">
        <v>1385</v>
      </c>
      <c r="D1385" s="19" t="s">
        <v>16818</v>
      </c>
      <c r="E1385" s="19" t="s">
        <v>31339</v>
      </c>
      <c r="F1385" s="19" t="s">
        <v>35979</v>
      </c>
      <c r="G1385" s="18" t="str">
        <f>"80214"</f>
        <v>80214</v>
      </c>
      <c r="H1385" s="19" t="s">
        <v>32391</v>
      </c>
      <c r="I1385" s="20">
        <v>17.588999999999999</v>
      </c>
      <c r="J1385" s="44" t="s">
        <v>8</v>
      </c>
      <c r="K1385" s="23" t="s">
        <v>8</v>
      </c>
      <c r="L1385" s="23" t="s">
        <v>8</v>
      </c>
      <c r="M1385" s="23" t="s">
        <v>8</v>
      </c>
    </row>
    <row r="1386" spans="1:13" s="21" customFormat="1" x14ac:dyDescent="0.25">
      <c r="A1386" s="22" t="s">
        <v>8</v>
      </c>
      <c r="B1386" s="18" t="str">
        <f>"065298"</f>
        <v>065298</v>
      </c>
      <c r="C1386" s="19" t="s">
        <v>1386</v>
      </c>
      <c r="D1386" s="19" t="s">
        <v>16819</v>
      </c>
      <c r="E1386" s="19" t="s">
        <v>31339</v>
      </c>
      <c r="F1386" s="19" t="s">
        <v>35979</v>
      </c>
      <c r="G1386" s="18" t="str">
        <f>"80214"</f>
        <v>80214</v>
      </c>
      <c r="H1386" s="19" t="s">
        <v>32391</v>
      </c>
      <c r="I1386" s="20">
        <v>19.856999999999999</v>
      </c>
      <c r="J1386" s="44" t="s">
        <v>8</v>
      </c>
      <c r="K1386" s="23" t="s">
        <v>8</v>
      </c>
      <c r="L1386" s="23" t="s">
        <v>8</v>
      </c>
      <c r="M1386" s="23" t="s">
        <v>8</v>
      </c>
    </row>
    <row r="1387" spans="1:13" s="21" customFormat="1" x14ac:dyDescent="0.25">
      <c r="A1387" s="22" t="s">
        <v>8</v>
      </c>
      <c r="B1387" s="18" t="str">
        <f>"065299"</f>
        <v>065299</v>
      </c>
      <c r="C1387" s="19" t="s">
        <v>1387</v>
      </c>
      <c r="D1387" s="19" t="s">
        <v>16820</v>
      </c>
      <c r="E1387" s="19" t="s">
        <v>31334</v>
      </c>
      <c r="F1387" s="19" t="s">
        <v>35979</v>
      </c>
      <c r="G1387" s="18" t="str">
        <f>"80219"</f>
        <v>80219</v>
      </c>
      <c r="H1387" s="19" t="s">
        <v>31334</v>
      </c>
      <c r="I1387" s="20">
        <v>19.568000000000001</v>
      </c>
      <c r="J1387" s="44" t="s">
        <v>8</v>
      </c>
      <c r="K1387" s="23" t="s">
        <v>8</v>
      </c>
      <c r="L1387" s="23" t="s">
        <v>8</v>
      </c>
      <c r="M1387" s="23" t="s">
        <v>8</v>
      </c>
    </row>
    <row r="1388" spans="1:13" s="21" customFormat="1" x14ac:dyDescent="0.25">
      <c r="A1388" s="22" t="s">
        <v>8</v>
      </c>
      <c r="B1388" s="18" t="str">
        <f>"065302"</f>
        <v>065302</v>
      </c>
      <c r="C1388" s="19" t="s">
        <v>1388</v>
      </c>
      <c r="D1388" s="19" t="s">
        <v>16821</v>
      </c>
      <c r="E1388" s="19" t="s">
        <v>31373</v>
      </c>
      <c r="F1388" s="19" t="s">
        <v>35979</v>
      </c>
      <c r="G1388" s="18" t="str">
        <f>"80734"</f>
        <v>80734</v>
      </c>
      <c r="H1388" s="19" t="s">
        <v>35674</v>
      </c>
      <c r="I1388" s="20">
        <v>18.600999999999999</v>
      </c>
      <c r="J1388" s="44" t="s">
        <v>8</v>
      </c>
      <c r="K1388" s="23" t="s">
        <v>8</v>
      </c>
      <c r="L1388" s="23" t="s">
        <v>8</v>
      </c>
      <c r="M1388" s="23" t="s">
        <v>8</v>
      </c>
    </row>
    <row r="1389" spans="1:13" s="21" customFormat="1" x14ac:dyDescent="0.25">
      <c r="A1389" s="22" t="s">
        <v>8</v>
      </c>
      <c r="B1389" s="18" t="str">
        <f>"065303"</f>
        <v>065303</v>
      </c>
      <c r="C1389" s="19" t="s">
        <v>1389</v>
      </c>
      <c r="D1389" s="19" t="s">
        <v>16822</v>
      </c>
      <c r="E1389" s="19" t="s">
        <v>31333</v>
      </c>
      <c r="F1389" s="19" t="s">
        <v>35979</v>
      </c>
      <c r="G1389" s="18" t="str">
        <f>"80015"</f>
        <v>80015</v>
      </c>
      <c r="H1389" s="19" t="s">
        <v>33802</v>
      </c>
      <c r="I1389" s="20">
        <v>20.393000000000001</v>
      </c>
      <c r="J1389" s="44" t="s">
        <v>8</v>
      </c>
      <c r="K1389" s="23" t="s">
        <v>8</v>
      </c>
      <c r="L1389" s="23" t="s">
        <v>8</v>
      </c>
      <c r="M1389" s="23" t="s">
        <v>8</v>
      </c>
    </row>
    <row r="1390" spans="1:13" s="21" customFormat="1" x14ac:dyDescent="0.25">
      <c r="A1390" s="22" t="s">
        <v>8</v>
      </c>
      <c r="B1390" s="18" t="str">
        <f>"065305"</f>
        <v>065305</v>
      </c>
      <c r="C1390" s="19" t="s">
        <v>1390</v>
      </c>
      <c r="D1390" s="19" t="s">
        <v>16823</v>
      </c>
      <c r="E1390" s="19" t="s">
        <v>31338</v>
      </c>
      <c r="F1390" s="19" t="s">
        <v>35979</v>
      </c>
      <c r="G1390" s="18" t="str">
        <f>"80921"</f>
        <v>80921</v>
      </c>
      <c r="H1390" s="19" t="s">
        <v>31965</v>
      </c>
      <c r="I1390" s="20">
        <v>18.381</v>
      </c>
      <c r="J1390" s="44" t="s">
        <v>8</v>
      </c>
      <c r="K1390" s="23" t="s">
        <v>8</v>
      </c>
      <c r="L1390" s="23" t="s">
        <v>8</v>
      </c>
      <c r="M1390" s="23" t="s">
        <v>8</v>
      </c>
    </row>
    <row r="1391" spans="1:13" s="21" customFormat="1" x14ac:dyDescent="0.25">
      <c r="A1391" s="22" t="s">
        <v>8</v>
      </c>
      <c r="B1391" s="18" t="str">
        <f>"065306"</f>
        <v>065306</v>
      </c>
      <c r="C1391" s="19" t="s">
        <v>1391</v>
      </c>
      <c r="D1391" s="19" t="s">
        <v>16824</v>
      </c>
      <c r="E1391" s="19" t="s">
        <v>31374</v>
      </c>
      <c r="F1391" s="19" t="s">
        <v>35979</v>
      </c>
      <c r="G1391" s="18" t="str">
        <f>"81328"</f>
        <v>81328</v>
      </c>
      <c r="H1391" s="19" t="s">
        <v>31750</v>
      </c>
      <c r="I1391" s="20">
        <v>19.138999999999999</v>
      </c>
      <c r="J1391" s="44" t="s">
        <v>8</v>
      </c>
      <c r="K1391" s="23" t="s">
        <v>8</v>
      </c>
      <c r="L1391" s="23" t="s">
        <v>8</v>
      </c>
      <c r="M1391" s="23" t="s">
        <v>8</v>
      </c>
    </row>
    <row r="1392" spans="1:13" s="21" customFormat="1" x14ac:dyDescent="0.25">
      <c r="A1392" s="22" t="s">
        <v>8</v>
      </c>
      <c r="B1392" s="18" t="str">
        <f>"065307"</f>
        <v>065307</v>
      </c>
      <c r="C1392" s="19" t="s">
        <v>1392</v>
      </c>
      <c r="D1392" s="19" t="s">
        <v>16825</v>
      </c>
      <c r="E1392" s="19" t="s">
        <v>31343</v>
      </c>
      <c r="F1392" s="19" t="s">
        <v>35979</v>
      </c>
      <c r="G1392" s="18" t="str">
        <f>"81506"</f>
        <v>81506</v>
      </c>
      <c r="H1392" s="19" t="s">
        <v>30941</v>
      </c>
      <c r="I1392" s="20">
        <v>15.818</v>
      </c>
      <c r="J1392" s="44" t="s">
        <v>8</v>
      </c>
      <c r="K1392" s="23" t="s">
        <v>8</v>
      </c>
      <c r="L1392" s="23" t="s">
        <v>8</v>
      </c>
      <c r="M1392" s="23" t="s">
        <v>8</v>
      </c>
    </row>
    <row r="1393" spans="1:13" s="21" customFormat="1" x14ac:dyDescent="0.25">
      <c r="A1393" s="22" t="s">
        <v>8</v>
      </c>
      <c r="B1393" s="18" t="str">
        <f>"065308"</f>
        <v>065308</v>
      </c>
      <c r="C1393" s="19" t="s">
        <v>1393</v>
      </c>
      <c r="D1393" s="19" t="s">
        <v>16826</v>
      </c>
      <c r="E1393" s="19" t="s">
        <v>31335</v>
      </c>
      <c r="F1393" s="19" t="s">
        <v>35979</v>
      </c>
      <c r="G1393" s="18" t="str">
        <f>"80214"</f>
        <v>80214</v>
      </c>
      <c r="H1393" s="19" t="s">
        <v>32391</v>
      </c>
      <c r="I1393" s="20">
        <v>18.896000000000001</v>
      </c>
      <c r="J1393" s="44" t="s">
        <v>8</v>
      </c>
      <c r="K1393" s="23" t="s">
        <v>8</v>
      </c>
      <c r="L1393" s="23" t="s">
        <v>8</v>
      </c>
      <c r="M1393" s="23" t="s">
        <v>8</v>
      </c>
    </row>
    <row r="1394" spans="1:13" s="21" customFormat="1" x14ac:dyDescent="0.25">
      <c r="A1394" s="22" t="s">
        <v>8</v>
      </c>
      <c r="B1394" s="18" t="str">
        <f>"065309"</f>
        <v>065309</v>
      </c>
      <c r="C1394" s="19" t="s">
        <v>87</v>
      </c>
      <c r="D1394" s="19" t="s">
        <v>16827</v>
      </c>
      <c r="E1394" s="19" t="s">
        <v>31375</v>
      </c>
      <c r="F1394" s="19" t="s">
        <v>35979</v>
      </c>
      <c r="G1394" s="18" t="str">
        <f>"80720"</f>
        <v>80720</v>
      </c>
      <c r="H1394" s="19" t="s">
        <v>31500</v>
      </c>
      <c r="I1394" s="20">
        <v>21.178999999999998</v>
      </c>
      <c r="J1394" s="44" t="s">
        <v>8</v>
      </c>
      <c r="K1394" s="23" t="s">
        <v>8</v>
      </c>
      <c r="L1394" s="23" t="s">
        <v>8</v>
      </c>
      <c r="M1394" s="23" t="s">
        <v>8</v>
      </c>
    </row>
    <row r="1395" spans="1:13" s="21" customFormat="1" x14ac:dyDescent="0.25">
      <c r="A1395" s="22" t="s">
        <v>8</v>
      </c>
      <c r="B1395" s="18" t="str">
        <f>"065311"</f>
        <v>065311</v>
      </c>
      <c r="C1395" s="19" t="s">
        <v>1394</v>
      </c>
      <c r="D1395" s="19" t="s">
        <v>16828</v>
      </c>
      <c r="E1395" s="19" t="s">
        <v>31334</v>
      </c>
      <c r="F1395" s="19" t="s">
        <v>35979</v>
      </c>
      <c r="G1395" s="18" t="str">
        <f>"80203"</f>
        <v>80203</v>
      </c>
      <c r="H1395" s="19" t="s">
        <v>31334</v>
      </c>
      <c r="I1395" s="20">
        <v>19.329999999999998</v>
      </c>
      <c r="J1395" s="44" t="s">
        <v>8</v>
      </c>
      <c r="K1395" s="23" t="s">
        <v>8</v>
      </c>
      <c r="L1395" s="23" t="s">
        <v>8</v>
      </c>
      <c r="M1395" s="23" t="s">
        <v>8</v>
      </c>
    </row>
    <row r="1396" spans="1:13" s="21" customFormat="1" x14ac:dyDescent="0.25">
      <c r="A1396" s="22" t="s">
        <v>8</v>
      </c>
      <c r="B1396" s="18" t="str">
        <f>"065312"</f>
        <v>065312</v>
      </c>
      <c r="C1396" s="19" t="s">
        <v>1395</v>
      </c>
      <c r="D1396" s="19" t="s">
        <v>16829</v>
      </c>
      <c r="E1396" s="19" t="s">
        <v>31376</v>
      </c>
      <c r="F1396" s="19" t="s">
        <v>35979</v>
      </c>
      <c r="G1396" s="18" t="str">
        <f>"81063"</f>
        <v>81063</v>
      </c>
      <c r="H1396" s="19" t="s">
        <v>32833</v>
      </c>
      <c r="I1396" s="20">
        <v>19.427</v>
      </c>
      <c r="J1396" s="44" t="s">
        <v>8</v>
      </c>
      <c r="K1396" s="23" t="s">
        <v>8</v>
      </c>
      <c r="L1396" s="23" t="s">
        <v>8</v>
      </c>
      <c r="M1396" s="23" t="s">
        <v>8</v>
      </c>
    </row>
    <row r="1397" spans="1:13" s="21" customFormat="1" x14ac:dyDescent="0.25">
      <c r="A1397" s="22" t="s">
        <v>8</v>
      </c>
      <c r="B1397" s="18" t="str">
        <f>"065316"</f>
        <v>065316</v>
      </c>
      <c r="C1397" s="19" t="s">
        <v>1396</v>
      </c>
      <c r="D1397" s="19" t="s">
        <v>16830</v>
      </c>
      <c r="E1397" s="19" t="s">
        <v>31377</v>
      </c>
      <c r="F1397" s="19" t="s">
        <v>35979</v>
      </c>
      <c r="G1397" s="18" t="str">
        <f>"80758"</f>
        <v>80758</v>
      </c>
      <c r="H1397" s="19" t="s">
        <v>30950</v>
      </c>
      <c r="I1397" s="20">
        <v>18.939</v>
      </c>
      <c r="J1397" s="44" t="s">
        <v>8</v>
      </c>
      <c r="K1397" s="23" t="s">
        <v>8</v>
      </c>
      <c r="L1397" s="23" t="s">
        <v>8</v>
      </c>
      <c r="M1397" s="23" t="s">
        <v>8</v>
      </c>
    </row>
    <row r="1398" spans="1:13" s="21" customFormat="1" x14ac:dyDescent="0.25">
      <c r="A1398" s="22" t="s">
        <v>8</v>
      </c>
      <c r="B1398" s="18" t="str">
        <f>"065318"</f>
        <v>065318</v>
      </c>
      <c r="C1398" s="19" t="s">
        <v>1397</v>
      </c>
      <c r="D1398" s="19" t="s">
        <v>16831</v>
      </c>
      <c r="E1398" s="19" t="s">
        <v>31368</v>
      </c>
      <c r="F1398" s="19" t="s">
        <v>35979</v>
      </c>
      <c r="G1398" s="18" t="str">
        <f>"80022"</f>
        <v>80022</v>
      </c>
      <c r="H1398" s="19" t="s">
        <v>33467</v>
      </c>
      <c r="I1398" s="20">
        <v>17.853000000000002</v>
      </c>
      <c r="J1398" s="44" t="s">
        <v>8</v>
      </c>
      <c r="K1398" s="23" t="s">
        <v>8</v>
      </c>
      <c r="L1398" s="23" t="s">
        <v>8</v>
      </c>
      <c r="M1398" s="23" t="s">
        <v>8</v>
      </c>
    </row>
    <row r="1399" spans="1:13" s="21" customFormat="1" x14ac:dyDescent="0.25">
      <c r="A1399" s="22" t="s">
        <v>8</v>
      </c>
      <c r="B1399" s="18" t="str">
        <f>"065320"</f>
        <v>065320</v>
      </c>
      <c r="C1399" s="19" t="s">
        <v>1398</v>
      </c>
      <c r="D1399" s="19" t="s">
        <v>16832</v>
      </c>
      <c r="E1399" s="19" t="s">
        <v>31354</v>
      </c>
      <c r="F1399" s="19" t="s">
        <v>35979</v>
      </c>
      <c r="G1399" s="18" t="str">
        <f>"80123"</f>
        <v>80123</v>
      </c>
      <c r="H1399" s="19" t="s">
        <v>32391</v>
      </c>
      <c r="I1399" s="20">
        <v>17.707999999999998</v>
      </c>
      <c r="J1399" s="44" t="s">
        <v>8</v>
      </c>
      <c r="K1399" s="23" t="s">
        <v>8</v>
      </c>
      <c r="L1399" s="23" t="s">
        <v>8</v>
      </c>
      <c r="M1399" s="23" t="s">
        <v>8</v>
      </c>
    </row>
    <row r="1400" spans="1:13" s="21" customFormat="1" x14ac:dyDescent="0.25">
      <c r="A1400" s="22" t="s">
        <v>8</v>
      </c>
      <c r="B1400" s="18" t="str">
        <f>"065321"</f>
        <v>065321</v>
      </c>
      <c r="C1400" s="19" t="s">
        <v>1399</v>
      </c>
      <c r="D1400" s="19" t="s">
        <v>16833</v>
      </c>
      <c r="E1400" s="19" t="s">
        <v>31378</v>
      </c>
      <c r="F1400" s="19" t="s">
        <v>35979</v>
      </c>
      <c r="G1400" s="18" t="str">
        <f>"80003"</f>
        <v>80003</v>
      </c>
      <c r="H1400" s="19" t="s">
        <v>32391</v>
      </c>
      <c r="I1400" s="20">
        <v>16.77</v>
      </c>
      <c r="J1400" s="44" t="s">
        <v>8</v>
      </c>
      <c r="K1400" s="23" t="s">
        <v>8</v>
      </c>
      <c r="L1400" s="23" t="s">
        <v>8</v>
      </c>
      <c r="M1400" s="23" t="s">
        <v>8</v>
      </c>
    </row>
    <row r="1401" spans="1:13" s="21" customFormat="1" x14ac:dyDescent="0.25">
      <c r="A1401" s="22" t="s">
        <v>8</v>
      </c>
      <c r="B1401" s="18" t="str">
        <f>"065322"</f>
        <v>065322</v>
      </c>
      <c r="C1401" s="19" t="s">
        <v>1400</v>
      </c>
      <c r="D1401" s="19" t="s">
        <v>16834</v>
      </c>
      <c r="E1401" s="19" t="s">
        <v>31337</v>
      </c>
      <c r="F1401" s="19" t="s">
        <v>35979</v>
      </c>
      <c r="G1401" s="18" t="str">
        <f>"80113"</f>
        <v>80113</v>
      </c>
      <c r="H1401" s="19" t="s">
        <v>33802</v>
      </c>
      <c r="I1401" s="20">
        <v>17.771999999999998</v>
      </c>
      <c r="J1401" s="44" t="s">
        <v>8</v>
      </c>
      <c r="K1401" s="23" t="s">
        <v>8</v>
      </c>
      <c r="L1401" s="23" t="s">
        <v>8</v>
      </c>
      <c r="M1401" s="23" t="s">
        <v>8</v>
      </c>
    </row>
    <row r="1402" spans="1:13" s="21" customFormat="1" x14ac:dyDescent="0.25">
      <c r="A1402" s="22" t="s">
        <v>8</v>
      </c>
      <c r="B1402" s="18" t="str">
        <f>"065323"</f>
        <v>065323</v>
      </c>
      <c r="C1402" s="19" t="s">
        <v>1401</v>
      </c>
      <c r="D1402" s="19" t="s">
        <v>16835</v>
      </c>
      <c r="E1402" s="19" t="s">
        <v>31334</v>
      </c>
      <c r="F1402" s="19" t="s">
        <v>35979</v>
      </c>
      <c r="G1402" s="18" t="str">
        <f>"80205"</f>
        <v>80205</v>
      </c>
      <c r="H1402" s="19" t="s">
        <v>31334</v>
      </c>
      <c r="I1402" s="20">
        <v>18.39</v>
      </c>
      <c r="J1402" s="44" t="s">
        <v>8</v>
      </c>
      <c r="K1402" s="23" t="s">
        <v>8</v>
      </c>
      <c r="L1402" s="23" t="s">
        <v>8</v>
      </c>
      <c r="M1402" s="23" t="s">
        <v>8</v>
      </c>
    </row>
    <row r="1403" spans="1:13" s="21" customFormat="1" x14ac:dyDescent="0.25">
      <c r="A1403" s="22" t="s">
        <v>8</v>
      </c>
      <c r="B1403" s="18" t="str">
        <f>"065324"</f>
        <v>065324</v>
      </c>
      <c r="C1403" s="19" t="s">
        <v>1402</v>
      </c>
      <c r="D1403" s="19" t="s">
        <v>16836</v>
      </c>
      <c r="E1403" s="19" t="s">
        <v>31336</v>
      </c>
      <c r="F1403" s="19" t="s">
        <v>35979</v>
      </c>
      <c r="G1403" s="18" t="str">
        <f>"80303"</f>
        <v>80303</v>
      </c>
      <c r="H1403" s="19" t="s">
        <v>31336</v>
      </c>
      <c r="I1403" s="20">
        <v>17.004000000000001</v>
      </c>
      <c r="J1403" s="44" t="s">
        <v>8</v>
      </c>
      <c r="K1403" s="23" t="s">
        <v>8</v>
      </c>
      <c r="L1403" s="23" t="s">
        <v>8</v>
      </c>
      <c r="M1403" s="23" t="s">
        <v>8</v>
      </c>
    </row>
    <row r="1404" spans="1:13" s="21" customFormat="1" x14ac:dyDescent="0.25">
      <c r="A1404" s="22" t="s">
        <v>8</v>
      </c>
      <c r="B1404" s="18" t="str">
        <f>"065325"</f>
        <v>065325</v>
      </c>
      <c r="C1404" s="19" t="s">
        <v>1403</v>
      </c>
      <c r="D1404" s="19" t="s">
        <v>16837</v>
      </c>
      <c r="E1404" s="19" t="s">
        <v>31338</v>
      </c>
      <c r="F1404" s="19" t="s">
        <v>35979</v>
      </c>
      <c r="G1404" s="18" t="str">
        <f>"80919"</f>
        <v>80919</v>
      </c>
      <c r="H1404" s="19" t="s">
        <v>31965</v>
      </c>
      <c r="I1404" s="20">
        <v>18.18</v>
      </c>
      <c r="J1404" s="44" t="s">
        <v>8</v>
      </c>
      <c r="K1404" s="23" t="s">
        <v>8</v>
      </c>
      <c r="L1404" s="23" t="s">
        <v>8</v>
      </c>
      <c r="M1404" s="23" t="s">
        <v>8</v>
      </c>
    </row>
    <row r="1405" spans="1:13" s="21" customFormat="1" x14ac:dyDescent="0.25">
      <c r="A1405" s="22" t="s">
        <v>8</v>
      </c>
      <c r="B1405" s="18" t="str">
        <f>"065327"</f>
        <v>065327</v>
      </c>
      <c r="C1405" s="19" t="s">
        <v>1404</v>
      </c>
      <c r="D1405" s="19" t="s">
        <v>16838</v>
      </c>
      <c r="E1405" s="19" t="s">
        <v>31334</v>
      </c>
      <c r="F1405" s="19" t="s">
        <v>35979</v>
      </c>
      <c r="G1405" s="18" t="str">
        <f>"80211"</f>
        <v>80211</v>
      </c>
      <c r="H1405" s="19" t="s">
        <v>31334</v>
      </c>
      <c r="I1405" s="20">
        <v>18.949000000000002</v>
      </c>
      <c r="J1405" s="44" t="s">
        <v>8</v>
      </c>
      <c r="K1405" s="23" t="s">
        <v>8</v>
      </c>
      <c r="L1405" s="23" t="s">
        <v>8</v>
      </c>
      <c r="M1405" s="23" t="s">
        <v>8</v>
      </c>
    </row>
    <row r="1406" spans="1:13" s="21" customFormat="1" x14ac:dyDescent="0.25">
      <c r="A1406" s="22" t="s">
        <v>8</v>
      </c>
      <c r="B1406" s="18" t="str">
        <f>"065328"</f>
        <v>065328</v>
      </c>
      <c r="C1406" s="19" t="s">
        <v>1405</v>
      </c>
      <c r="D1406" s="19" t="s">
        <v>16839</v>
      </c>
      <c r="E1406" s="19" t="s">
        <v>31352</v>
      </c>
      <c r="F1406" s="19" t="s">
        <v>35979</v>
      </c>
      <c r="G1406" s="18" t="str">
        <f>"80501"</f>
        <v>80501</v>
      </c>
      <c r="H1406" s="19" t="s">
        <v>31336</v>
      </c>
      <c r="I1406" s="20">
        <v>20.198</v>
      </c>
      <c r="J1406" s="44" t="s">
        <v>8</v>
      </c>
      <c r="K1406" s="23" t="s">
        <v>8</v>
      </c>
      <c r="L1406" s="23" t="s">
        <v>8</v>
      </c>
      <c r="M1406" s="23" t="s">
        <v>8</v>
      </c>
    </row>
    <row r="1407" spans="1:13" s="21" customFormat="1" x14ac:dyDescent="0.25">
      <c r="A1407" s="22" t="s">
        <v>8</v>
      </c>
      <c r="B1407" s="18" t="str">
        <f>"065330"</f>
        <v>065330</v>
      </c>
      <c r="C1407" s="19" t="s">
        <v>1406</v>
      </c>
      <c r="D1407" s="19" t="s">
        <v>16840</v>
      </c>
      <c r="E1407" s="19" t="s">
        <v>31378</v>
      </c>
      <c r="F1407" s="19" t="s">
        <v>35979</v>
      </c>
      <c r="G1407" s="18" t="str">
        <f>"80004"</f>
        <v>80004</v>
      </c>
      <c r="H1407" s="19" t="s">
        <v>32391</v>
      </c>
      <c r="I1407" s="20">
        <v>18.515000000000001</v>
      </c>
      <c r="J1407" s="44" t="s">
        <v>8</v>
      </c>
      <c r="K1407" s="23" t="s">
        <v>8</v>
      </c>
      <c r="L1407" s="23" t="s">
        <v>8</v>
      </c>
      <c r="M1407" s="23" t="s">
        <v>8</v>
      </c>
    </row>
    <row r="1408" spans="1:13" s="21" customFormat="1" x14ac:dyDescent="0.25">
      <c r="A1408" s="22" t="s">
        <v>8</v>
      </c>
      <c r="B1408" s="18" t="str">
        <f>"065331"</f>
        <v>065331</v>
      </c>
      <c r="C1408" s="19" t="s">
        <v>1407</v>
      </c>
      <c r="D1408" s="19" t="s">
        <v>16841</v>
      </c>
      <c r="E1408" s="19" t="s">
        <v>31343</v>
      </c>
      <c r="F1408" s="19" t="s">
        <v>35979</v>
      </c>
      <c r="G1408" s="18" t="str">
        <f>"81506"</f>
        <v>81506</v>
      </c>
      <c r="H1408" s="19" t="s">
        <v>30941</v>
      </c>
      <c r="I1408" s="20">
        <v>16.923999999999999</v>
      </c>
      <c r="J1408" s="44" t="s">
        <v>8</v>
      </c>
      <c r="K1408" s="23" t="s">
        <v>8</v>
      </c>
      <c r="L1408" s="23" t="s">
        <v>8</v>
      </c>
      <c r="M1408" s="23" t="s">
        <v>8</v>
      </c>
    </row>
    <row r="1409" spans="1:13" s="21" customFormat="1" x14ac:dyDescent="0.25">
      <c r="A1409" s="22" t="s">
        <v>8</v>
      </c>
      <c r="B1409" s="18" t="str">
        <f>"065332"</f>
        <v>065332</v>
      </c>
      <c r="C1409" s="19" t="s">
        <v>1408</v>
      </c>
      <c r="D1409" s="19" t="s">
        <v>16842</v>
      </c>
      <c r="E1409" s="19" t="s">
        <v>31333</v>
      </c>
      <c r="F1409" s="19" t="s">
        <v>35979</v>
      </c>
      <c r="G1409" s="18" t="str">
        <f>"80014"</f>
        <v>80014</v>
      </c>
      <c r="H1409" s="19" t="s">
        <v>33802</v>
      </c>
      <c r="I1409" s="20">
        <v>16.658999999999999</v>
      </c>
      <c r="J1409" s="44" t="s">
        <v>8</v>
      </c>
      <c r="K1409" s="23" t="s">
        <v>8</v>
      </c>
      <c r="L1409" s="23" t="s">
        <v>8</v>
      </c>
      <c r="M1409" s="23" t="s">
        <v>8</v>
      </c>
    </row>
    <row r="1410" spans="1:13" s="21" customFormat="1" x14ac:dyDescent="0.25">
      <c r="A1410" s="22" t="s">
        <v>8</v>
      </c>
      <c r="B1410" s="18" t="str">
        <f>"065333"</f>
        <v>065333</v>
      </c>
      <c r="C1410" s="19" t="s">
        <v>1409</v>
      </c>
      <c r="D1410" s="19" t="s">
        <v>16843</v>
      </c>
      <c r="E1410" s="19" t="s">
        <v>31379</v>
      </c>
      <c r="F1410" s="19" t="s">
        <v>35979</v>
      </c>
      <c r="G1410" s="18" t="str">
        <f>"80813"</f>
        <v>80813</v>
      </c>
      <c r="H1410" s="19" t="s">
        <v>36115</v>
      </c>
      <c r="I1410" s="20">
        <v>19.634</v>
      </c>
      <c r="J1410" s="44" t="s">
        <v>8</v>
      </c>
      <c r="K1410" s="23" t="s">
        <v>8</v>
      </c>
      <c r="L1410" s="23" t="s">
        <v>8</v>
      </c>
      <c r="M1410" s="23" t="s">
        <v>8</v>
      </c>
    </row>
    <row r="1411" spans="1:13" s="21" customFormat="1" x14ac:dyDescent="0.25">
      <c r="A1411" s="22" t="s">
        <v>8</v>
      </c>
      <c r="B1411" s="18" t="str">
        <f>"065337"</f>
        <v>065337</v>
      </c>
      <c r="C1411" s="19" t="s">
        <v>1410</v>
      </c>
      <c r="D1411" s="19" t="s">
        <v>16844</v>
      </c>
      <c r="E1411" s="19" t="s">
        <v>31333</v>
      </c>
      <c r="F1411" s="19" t="s">
        <v>35979</v>
      </c>
      <c r="G1411" s="18" t="str">
        <f>"80011"</f>
        <v>80011</v>
      </c>
      <c r="H1411" s="19" t="s">
        <v>33467</v>
      </c>
      <c r="I1411" s="20">
        <v>19.114999999999998</v>
      </c>
      <c r="J1411" s="44" t="s">
        <v>8</v>
      </c>
      <c r="K1411" s="23" t="s">
        <v>8</v>
      </c>
      <c r="L1411" s="23" t="s">
        <v>8</v>
      </c>
      <c r="M1411" s="23" t="s">
        <v>8</v>
      </c>
    </row>
    <row r="1412" spans="1:13" s="21" customFormat="1" x14ac:dyDescent="0.25">
      <c r="A1412" s="22" t="s">
        <v>8</v>
      </c>
      <c r="B1412" s="18" t="str">
        <f>"065341"</f>
        <v>065341</v>
      </c>
      <c r="C1412" s="19" t="s">
        <v>1411</v>
      </c>
      <c r="D1412" s="19" t="s">
        <v>16845</v>
      </c>
      <c r="E1412" s="19" t="s">
        <v>31331</v>
      </c>
      <c r="F1412" s="19" t="s">
        <v>35979</v>
      </c>
      <c r="G1412" s="18" t="str">
        <f>"80487"</f>
        <v>80487</v>
      </c>
      <c r="H1412" s="19" t="s">
        <v>36106</v>
      </c>
      <c r="I1412" s="20">
        <v>16.57</v>
      </c>
      <c r="J1412" s="44" t="s">
        <v>8</v>
      </c>
      <c r="K1412" s="23" t="s">
        <v>8</v>
      </c>
      <c r="L1412" s="23" t="s">
        <v>8</v>
      </c>
      <c r="M1412" s="23" t="s">
        <v>8</v>
      </c>
    </row>
    <row r="1413" spans="1:13" s="21" customFormat="1" x14ac:dyDescent="0.25">
      <c r="A1413" s="22" t="s">
        <v>8</v>
      </c>
      <c r="B1413" s="18" t="str">
        <f>"065344"</f>
        <v>065344</v>
      </c>
      <c r="C1413" s="19" t="s">
        <v>1412</v>
      </c>
      <c r="D1413" s="19" t="s">
        <v>16846</v>
      </c>
      <c r="E1413" s="19" t="s">
        <v>31334</v>
      </c>
      <c r="F1413" s="19" t="s">
        <v>35979</v>
      </c>
      <c r="G1413" s="18" t="str">
        <f>"80222"</f>
        <v>80222</v>
      </c>
      <c r="H1413" s="19" t="s">
        <v>31334</v>
      </c>
      <c r="I1413" s="20">
        <v>18.878</v>
      </c>
      <c r="J1413" s="44" t="s">
        <v>8</v>
      </c>
      <c r="K1413" s="23" t="s">
        <v>8</v>
      </c>
      <c r="L1413" s="23" t="s">
        <v>8</v>
      </c>
      <c r="M1413" s="23" t="s">
        <v>8</v>
      </c>
    </row>
    <row r="1414" spans="1:13" s="21" customFormat="1" x14ac:dyDescent="0.25">
      <c r="A1414" s="22" t="s">
        <v>8</v>
      </c>
      <c r="B1414" s="18" t="str">
        <f>"065345"</f>
        <v>065345</v>
      </c>
      <c r="C1414" s="19" t="s">
        <v>1413</v>
      </c>
      <c r="D1414" s="19" t="s">
        <v>16847</v>
      </c>
      <c r="E1414" s="19" t="s">
        <v>31380</v>
      </c>
      <c r="F1414" s="19" t="s">
        <v>35979</v>
      </c>
      <c r="G1414" s="18" t="str">
        <f>"80122"</f>
        <v>80122</v>
      </c>
      <c r="H1414" s="19" t="s">
        <v>33802</v>
      </c>
      <c r="I1414" s="20">
        <v>20.056000000000001</v>
      </c>
      <c r="J1414" s="44" t="s">
        <v>8</v>
      </c>
      <c r="K1414" s="23" t="s">
        <v>8</v>
      </c>
      <c r="L1414" s="23" t="s">
        <v>8</v>
      </c>
      <c r="M1414" s="23" t="s">
        <v>8</v>
      </c>
    </row>
    <row r="1415" spans="1:13" s="21" customFormat="1" x14ac:dyDescent="0.25">
      <c r="A1415" s="22" t="s">
        <v>8</v>
      </c>
      <c r="B1415" s="18" t="str">
        <f>"065347"</f>
        <v>065347</v>
      </c>
      <c r="C1415" s="19" t="s">
        <v>1414</v>
      </c>
      <c r="D1415" s="19" t="s">
        <v>16848</v>
      </c>
      <c r="E1415" s="19" t="s">
        <v>31329</v>
      </c>
      <c r="F1415" s="19" t="s">
        <v>35979</v>
      </c>
      <c r="G1415" s="18" t="str">
        <f>"81212"</f>
        <v>81212</v>
      </c>
      <c r="H1415" s="19" t="s">
        <v>31175</v>
      </c>
      <c r="I1415" s="20">
        <v>18.844999999999999</v>
      </c>
      <c r="J1415" s="44" t="s">
        <v>8</v>
      </c>
      <c r="K1415" s="23" t="s">
        <v>8</v>
      </c>
      <c r="L1415" s="23" t="s">
        <v>8</v>
      </c>
      <c r="M1415" s="23" t="s">
        <v>8</v>
      </c>
    </row>
    <row r="1416" spans="1:13" s="21" customFormat="1" x14ac:dyDescent="0.25">
      <c r="A1416" s="22" t="s">
        <v>8</v>
      </c>
      <c r="B1416" s="18" t="str">
        <f>"065351"</f>
        <v>065351</v>
      </c>
      <c r="C1416" s="19" t="s">
        <v>1415</v>
      </c>
      <c r="D1416" s="19" t="s">
        <v>16849</v>
      </c>
      <c r="E1416" s="19" t="s">
        <v>31381</v>
      </c>
      <c r="F1416" s="19" t="s">
        <v>35979</v>
      </c>
      <c r="G1416" s="18" t="str">
        <f>"81047"</f>
        <v>81047</v>
      </c>
      <c r="H1416" s="19" t="s">
        <v>36114</v>
      </c>
      <c r="I1416" s="20">
        <v>18.434000000000001</v>
      </c>
      <c r="J1416" s="44" t="s">
        <v>8</v>
      </c>
      <c r="K1416" s="23" t="s">
        <v>8</v>
      </c>
      <c r="L1416" s="23" t="s">
        <v>8</v>
      </c>
      <c r="M1416" s="23" t="s">
        <v>8</v>
      </c>
    </row>
    <row r="1417" spans="1:13" s="21" customFormat="1" x14ac:dyDescent="0.25">
      <c r="A1417" s="22" t="s">
        <v>8</v>
      </c>
      <c r="B1417" s="18" t="str">
        <f>"065354"</f>
        <v>065354</v>
      </c>
      <c r="C1417" s="19" t="s">
        <v>1416</v>
      </c>
      <c r="D1417" s="19" t="s">
        <v>16850</v>
      </c>
      <c r="E1417" s="19" t="s">
        <v>31382</v>
      </c>
      <c r="F1417" s="19" t="s">
        <v>35979</v>
      </c>
      <c r="G1417" s="18" t="str">
        <f>"81425"</f>
        <v>81425</v>
      </c>
      <c r="H1417" s="19" t="s">
        <v>30923</v>
      </c>
      <c r="I1417" s="20">
        <v>18.966000000000001</v>
      </c>
      <c r="J1417" s="44" t="s">
        <v>8</v>
      </c>
      <c r="K1417" s="23" t="s">
        <v>8</v>
      </c>
      <c r="L1417" s="23" t="s">
        <v>8</v>
      </c>
      <c r="M1417" s="23" t="s">
        <v>8</v>
      </c>
    </row>
    <row r="1418" spans="1:13" s="21" customFormat="1" x14ac:dyDescent="0.25">
      <c r="A1418" s="22" t="s">
        <v>8</v>
      </c>
      <c r="B1418" s="18" t="str">
        <f>"065355"</f>
        <v>065355</v>
      </c>
      <c r="C1418" s="19" t="s">
        <v>1417</v>
      </c>
      <c r="D1418" s="19" t="s">
        <v>16851</v>
      </c>
      <c r="E1418" s="19" t="s">
        <v>31341</v>
      </c>
      <c r="F1418" s="19" t="s">
        <v>35979</v>
      </c>
      <c r="G1418" s="18" t="str">
        <f>"81004"</f>
        <v>81004</v>
      </c>
      <c r="H1418" s="19" t="s">
        <v>31341</v>
      </c>
      <c r="I1418" s="20">
        <v>16.303999999999998</v>
      </c>
      <c r="J1418" s="44" t="s">
        <v>8</v>
      </c>
      <c r="K1418" s="23" t="s">
        <v>8</v>
      </c>
      <c r="L1418" s="23" t="s">
        <v>8</v>
      </c>
      <c r="M1418" s="23" t="s">
        <v>8</v>
      </c>
    </row>
    <row r="1419" spans="1:13" s="21" customFormat="1" x14ac:dyDescent="0.25">
      <c r="A1419" s="22" t="s">
        <v>8</v>
      </c>
      <c r="B1419" s="18" t="str">
        <f>"065356"</f>
        <v>065356</v>
      </c>
      <c r="C1419" s="19" t="s">
        <v>1418</v>
      </c>
      <c r="D1419" s="19" t="s">
        <v>16852</v>
      </c>
      <c r="E1419" s="19" t="s">
        <v>31338</v>
      </c>
      <c r="F1419" s="19" t="s">
        <v>35979</v>
      </c>
      <c r="G1419" s="18" t="str">
        <f>"80910"</f>
        <v>80910</v>
      </c>
      <c r="H1419" s="19" t="s">
        <v>31965</v>
      </c>
      <c r="I1419" s="20">
        <v>15.678000000000001</v>
      </c>
      <c r="J1419" s="44" t="s">
        <v>8</v>
      </c>
      <c r="K1419" s="23" t="s">
        <v>8</v>
      </c>
      <c r="L1419" s="23" t="s">
        <v>8</v>
      </c>
      <c r="M1419" s="23" t="s">
        <v>8</v>
      </c>
    </row>
    <row r="1420" spans="1:13" s="21" customFormat="1" x14ac:dyDescent="0.25">
      <c r="A1420" s="22" t="s">
        <v>8</v>
      </c>
      <c r="B1420" s="18" t="str">
        <f>"065358"</f>
        <v>065358</v>
      </c>
      <c r="C1420" s="19" t="s">
        <v>1419</v>
      </c>
      <c r="D1420" s="19" t="s">
        <v>16853</v>
      </c>
      <c r="E1420" s="19" t="s">
        <v>31313</v>
      </c>
      <c r="F1420" s="19" t="s">
        <v>35979</v>
      </c>
      <c r="G1420" s="18" t="str">
        <f>"80030"</f>
        <v>80030</v>
      </c>
      <c r="H1420" s="19" t="s">
        <v>33467</v>
      </c>
      <c r="I1420" s="20">
        <v>18.513000000000002</v>
      </c>
      <c r="J1420" s="44" t="s">
        <v>8</v>
      </c>
      <c r="K1420" s="23" t="s">
        <v>8</v>
      </c>
      <c r="L1420" s="23" t="s">
        <v>8</v>
      </c>
      <c r="M1420" s="23" t="s">
        <v>8</v>
      </c>
    </row>
    <row r="1421" spans="1:13" s="21" customFormat="1" x14ac:dyDescent="0.25">
      <c r="A1421" s="22" t="s">
        <v>8</v>
      </c>
      <c r="B1421" s="18" t="str">
        <f>"065359"</f>
        <v>065359</v>
      </c>
      <c r="C1421" s="19" t="s">
        <v>1420</v>
      </c>
      <c r="D1421" s="19" t="s">
        <v>16854</v>
      </c>
      <c r="E1421" s="19" t="s">
        <v>31383</v>
      </c>
      <c r="F1421" s="19" t="s">
        <v>35979</v>
      </c>
      <c r="G1421" s="18" t="str">
        <f>"81054"</f>
        <v>81054</v>
      </c>
      <c r="H1421" s="19" t="s">
        <v>36116</v>
      </c>
      <c r="I1421" s="20">
        <v>17.452999999999999</v>
      </c>
      <c r="J1421" s="44" t="s">
        <v>8</v>
      </c>
      <c r="K1421" s="23" t="s">
        <v>8</v>
      </c>
      <c r="L1421" s="23" t="s">
        <v>8</v>
      </c>
      <c r="M1421" s="23" t="s">
        <v>8</v>
      </c>
    </row>
    <row r="1422" spans="1:13" s="21" customFormat="1" x14ac:dyDescent="0.25">
      <c r="A1422" s="22" t="s">
        <v>8</v>
      </c>
      <c r="B1422" s="18" t="str">
        <f>"065360"</f>
        <v>065360</v>
      </c>
      <c r="C1422" s="19" t="s">
        <v>1421</v>
      </c>
      <c r="D1422" s="19" t="s">
        <v>16855</v>
      </c>
      <c r="E1422" s="19" t="s">
        <v>31206</v>
      </c>
      <c r="F1422" s="19" t="s">
        <v>35979</v>
      </c>
      <c r="G1422" s="18" t="str">
        <f>"81039"</f>
        <v>81039</v>
      </c>
      <c r="H1422" s="19" t="s">
        <v>36110</v>
      </c>
      <c r="I1422" s="20">
        <v>19.547999999999998</v>
      </c>
      <c r="J1422" s="44" t="s">
        <v>8</v>
      </c>
      <c r="K1422" s="23" t="s">
        <v>8</v>
      </c>
      <c r="L1422" s="23" t="s">
        <v>8</v>
      </c>
      <c r="M1422" s="23" t="s">
        <v>8</v>
      </c>
    </row>
    <row r="1423" spans="1:13" s="21" customFormat="1" x14ac:dyDescent="0.25">
      <c r="A1423" s="22" t="s">
        <v>8</v>
      </c>
      <c r="B1423" s="18" t="str">
        <f>"065361"</f>
        <v>065361</v>
      </c>
      <c r="C1423" s="19" t="s">
        <v>1422</v>
      </c>
      <c r="D1423" s="19" t="s">
        <v>16856</v>
      </c>
      <c r="E1423" s="19" t="s">
        <v>31370</v>
      </c>
      <c r="F1423" s="19" t="s">
        <v>35979</v>
      </c>
      <c r="G1423" s="18" t="str">
        <f>"80104"</f>
        <v>80104</v>
      </c>
      <c r="H1423" s="19" t="s">
        <v>30966</v>
      </c>
      <c r="I1423" s="20">
        <v>19.172999999999998</v>
      </c>
      <c r="J1423" s="44" t="s">
        <v>8</v>
      </c>
      <c r="K1423" s="23" t="s">
        <v>8</v>
      </c>
      <c r="L1423" s="23" t="s">
        <v>8</v>
      </c>
      <c r="M1423" s="23" t="s">
        <v>8</v>
      </c>
    </row>
    <row r="1424" spans="1:13" s="21" customFormat="1" x14ac:dyDescent="0.25">
      <c r="A1424" s="22" t="s">
        <v>8</v>
      </c>
      <c r="B1424" s="18" t="str">
        <f>"065362"</f>
        <v>065362</v>
      </c>
      <c r="C1424" s="19" t="s">
        <v>1423</v>
      </c>
      <c r="D1424" s="19" t="s">
        <v>16857</v>
      </c>
      <c r="E1424" s="19" t="s">
        <v>31334</v>
      </c>
      <c r="F1424" s="19" t="s">
        <v>35979</v>
      </c>
      <c r="G1424" s="18" t="str">
        <f>"80231"</f>
        <v>80231</v>
      </c>
      <c r="H1424" s="19" t="s">
        <v>31334</v>
      </c>
      <c r="I1424" s="20">
        <v>20.988</v>
      </c>
      <c r="J1424" s="44" t="s">
        <v>8</v>
      </c>
      <c r="K1424" s="23" t="s">
        <v>8</v>
      </c>
      <c r="L1424" s="23" t="s">
        <v>8</v>
      </c>
      <c r="M1424" s="23" t="s">
        <v>8</v>
      </c>
    </row>
    <row r="1425" spans="1:13" s="21" customFormat="1" x14ac:dyDescent="0.25">
      <c r="A1425" s="22" t="s">
        <v>8</v>
      </c>
      <c r="B1425" s="18" t="str">
        <f>"065366"</f>
        <v>065366</v>
      </c>
      <c r="C1425" s="19" t="s">
        <v>1424</v>
      </c>
      <c r="D1425" s="19" t="s">
        <v>16858</v>
      </c>
      <c r="E1425" s="19" t="s">
        <v>31384</v>
      </c>
      <c r="F1425" s="19" t="s">
        <v>35979</v>
      </c>
      <c r="G1425" s="18" t="str">
        <f>"81147"</f>
        <v>81147</v>
      </c>
      <c r="H1425" s="19" t="s">
        <v>36117</v>
      </c>
      <c r="I1425" s="20">
        <v>16.431000000000001</v>
      </c>
      <c r="J1425" s="44" t="s">
        <v>8</v>
      </c>
      <c r="K1425" s="23" t="s">
        <v>8</v>
      </c>
      <c r="L1425" s="23" t="s">
        <v>8</v>
      </c>
      <c r="M1425" s="23" t="s">
        <v>8</v>
      </c>
    </row>
    <row r="1426" spans="1:13" s="21" customFormat="1" x14ac:dyDescent="0.25">
      <c r="A1426" s="22" t="s">
        <v>8</v>
      </c>
      <c r="B1426" s="18" t="str">
        <f>"065367"</f>
        <v>065367</v>
      </c>
      <c r="C1426" s="19" t="s">
        <v>1425</v>
      </c>
      <c r="D1426" s="19" t="s">
        <v>16859</v>
      </c>
      <c r="E1426" s="19" t="s">
        <v>31313</v>
      </c>
      <c r="F1426" s="19" t="s">
        <v>35979</v>
      </c>
      <c r="G1426" s="18" t="str">
        <f>"80021"</f>
        <v>80021</v>
      </c>
      <c r="H1426" s="19" t="s">
        <v>32391</v>
      </c>
      <c r="I1426" s="20">
        <v>16.105</v>
      </c>
      <c r="J1426" s="44" t="s">
        <v>8</v>
      </c>
      <c r="K1426" s="23" t="s">
        <v>8</v>
      </c>
      <c r="L1426" s="23" t="s">
        <v>8</v>
      </c>
      <c r="M1426" s="23" t="s">
        <v>8</v>
      </c>
    </row>
    <row r="1427" spans="1:13" s="21" customFormat="1" x14ac:dyDescent="0.25">
      <c r="A1427" s="22" t="s">
        <v>8</v>
      </c>
      <c r="B1427" s="18" t="str">
        <f>"065368"</f>
        <v>065368</v>
      </c>
      <c r="C1427" s="19" t="s">
        <v>1426</v>
      </c>
      <c r="D1427" s="19" t="s">
        <v>16860</v>
      </c>
      <c r="E1427" s="19" t="s">
        <v>31340</v>
      </c>
      <c r="F1427" s="19" t="s">
        <v>35979</v>
      </c>
      <c r="G1427" s="18" t="str">
        <f>"80634"</f>
        <v>80634</v>
      </c>
      <c r="H1427" s="19" t="s">
        <v>36108</v>
      </c>
      <c r="I1427" s="20">
        <v>14.576000000000001</v>
      </c>
      <c r="J1427" s="44" t="s">
        <v>8</v>
      </c>
      <c r="K1427" s="23" t="s">
        <v>8</v>
      </c>
      <c r="L1427" s="23" t="s">
        <v>8</v>
      </c>
      <c r="M1427" s="23" t="s">
        <v>8</v>
      </c>
    </row>
    <row r="1428" spans="1:13" s="21" customFormat="1" x14ac:dyDescent="0.25">
      <c r="A1428" s="22" t="s">
        <v>8</v>
      </c>
      <c r="B1428" s="18" t="str">
        <f>"065370"</f>
        <v>065370</v>
      </c>
      <c r="C1428" s="19" t="s">
        <v>1427</v>
      </c>
      <c r="D1428" s="19" t="s">
        <v>16861</v>
      </c>
      <c r="E1428" s="19" t="s">
        <v>31354</v>
      </c>
      <c r="F1428" s="19" t="s">
        <v>35979</v>
      </c>
      <c r="G1428" s="18" t="str">
        <f>"80120"</f>
        <v>80120</v>
      </c>
      <c r="H1428" s="19" t="s">
        <v>33802</v>
      </c>
      <c r="I1428" s="20">
        <v>16.643000000000001</v>
      </c>
      <c r="J1428" s="44" t="s">
        <v>8</v>
      </c>
      <c r="K1428" s="23" t="s">
        <v>8</v>
      </c>
      <c r="L1428" s="23" t="s">
        <v>8</v>
      </c>
      <c r="M1428" s="23" t="s">
        <v>8</v>
      </c>
    </row>
    <row r="1429" spans="1:13" s="21" customFormat="1" x14ac:dyDescent="0.25">
      <c r="A1429" s="22" t="s">
        <v>8</v>
      </c>
      <c r="B1429" s="18" t="str">
        <f>"065373"</f>
        <v>065373</v>
      </c>
      <c r="C1429" s="19" t="s">
        <v>1428</v>
      </c>
      <c r="D1429" s="19" t="s">
        <v>16862</v>
      </c>
      <c r="E1429" s="19" t="s">
        <v>31338</v>
      </c>
      <c r="F1429" s="19" t="s">
        <v>35979</v>
      </c>
      <c r="G1429" s="18" t="str">
        <f>"80904"</f>
        <v>80904</v>
      </c>
      <c r="H1429" s="19" t="s">
        <v>31965</v>
      </c>
      <c r="I1429" s="20">
        <v>20.629000000000001</v>
      </c>
      <c r="J1429" s="44" t="s">
        <v>8</v>
      </c>
      <c r="K1429" s="23" t="s">
        <v>8</v>
      </c>
      <c r="L1429" s="23" t="s">
        <v>8</v>
      </c>
      <c r="M1429" s="23" t="s">
        <v>8</v>
      </c>
    </row>
    <row r="1430" spans="1:13" s="21" customFormat="1" x14ac:dyDescent="0.25">
      <c r="A1430" s="22" t="s">
        <v>8</v>
      </c>
      <c r="B1430" s="18" t="str">
        <f>"065374"</f>
        <v>065374</v>
      </c>
      <c r="C1430" s="19" t="s">
        <v>1429</v>
      </c>
      <c r="D1430" s="19" t="s">
        <v>16863</v>
      </c>
      <c r="E1430" s="19" t="s">
        <v>31339</v>
      </c>
      <c r="F1430" s="19" t="s">
        <v>35979</v>
      </c>
      <c r="G1430" s="18" t="str">
        <f>"80228"</f>
        <v>80228</v>
      </c>
      <c r="H1430" s="19" t="s">
        <v>32391</v>
      </c>
      <c r="I1430" s="20">
        <v>17.084</v>
      </c>
      <c r="J1430" s="44" t="s">
        <v>8</v>
      </c>
      <c r="K1430" s="23" t="s">
        <v>8</v>
      </c>
      <c r="L1430" s="23" t="s">
        <v>8</v>
      </c>
      <c r="M1430" s="23" t="s">
        <v>8</v>
      </c>
    </row>
    <row r="1431" spans="1:13" s="21" customFormat="1" x14ac:dyDescent="0.25">
      <c r="A1431" s="22" t="s">
        <v>8</v>
      </c>
      <c r="B1431" s="18" t="str">
        <f>"065376"</f>
        <v>065376</v>
      </c>
      <c r="C1431" s="19" t="s">
        <v>1430</v>
      </c>
      <c r="D1431" s="19" t="s">
        <v>16864</v>
      </c>
      <c r="E1431" s="19" t="s">
        <v>31385</v>
      </c>
      <c r="F1431" s="19" t="s">
        <v>35979</v>
      </c>
      <c r="G1431" s="18" t="str">
        <f>"80111"</f>
        <v>80111</v>
      </c>
      <c r="H1431" s="19" t="s">
        <v>33802</v>
      </c>
      <c r="I1431" s="20">
        <v>16.294</v>
      </c>
      <c r="J1431" s="44" t="s">
        <v>8</v>
      </c>
      <c r="K1431" s="23" t="s">
        <v>8</v>
      </c>
      <c r="L1431" s="23" t="s">
        <v>8</v>
      </c>
      <c r="M1431" s="23" t="s">
        <v>8</v>
      </c>
    </row>
    <row r="1432" spans="1:13" s="21" customFormat="1" x14ac:dyDescent="0.25">
      <c r="A1432" s="22" t="s">
        <v>8</v>
      </c>
      <c r="B1432" s="18" t="str">
        <f>"065377"</f>
        <v>065377</v>
      </c>
      <c r="C1432" s="19" t="s">
        <v>1431</v>
      </c>
      <c r="D1432" s="19" t="s">
        <v>16865</v>
      </c>
      <c r="E1432" s="19" t="s">
        <v>31345</v>
      </c>
      <c r="F1432" s="19" t="s">
        <v>35979</v>
      </c>
      <c r="G1432" s="18" t="str">
        <f>"80526"</f>
        <v>80526</v>
      </c>
      <c r="H1432" s="19" t="s">
        <v>36109</v>
      </c>
      <c r="I1432" s="20">
        <v>20.776</v>
      </c>
      <c r="J1432" s="44" t="s">
        <v>8</v>
      </c>
      <c r="K1432" s="23" t="s">
        <v>8</v>
      </c>
      <c r="L1432" s="23" t="s">
        <v>8</v>
      </c>
      <c r="M1432" s="23" t="s">
        <v>8</v>
      </c>
    </row>
    <row r="1433" spans="1:13" s="21" customFormat="1" x14ac:dyDescent="0.25">
      <c r="A1433" s="22" t="s">
        <v>8</v>
      </c>
      <c r="B1433" s="18" t="str">
        <f>"065378"</f>
        <v>065378</v>
      </c>
      <c r="C1433" s="19" t="s">
        <v>1432</v>
      </c>
      <c r="D1433" s="19" t="s">
        <v>16866</v>
      </c>
      <c r="E1433" s="19" t="s">
        <v>31360</v>
      </c>
      <c r="F1433" s="19" t="s">
        <v>35979</v>
      </c>
      <c r="G1433" s="18" t="str">
        <f>"80601"</f>
        <v>80601</v>
      </c>
      <c r="H1433" s="19" t="s">
        <v>33467</v>
      </c>
      <c r="I1433" s="20">
        <v>18.385000000000002</v>
      </c>
      <c r="J1433" s="44" t="s">
        <v>8</v>
      </c>
      <c r="K1433" s="23" t="s">
        <v>8</v>
      </c>
      <c r="L1433" s="23" t="s">
        <v>8</v>
      </c>
      <c r="M1433" s="23" t="s">
        <v>8</v>
      </c>
    </row>
    <row r="1434" spans="1:13" s="21" customFormat="1" x14ac:dyDescent="0.25">
      <c r="A1434" s="22" t="s">
        <v>8</v>
      </c>
      <c r="B1434" s="18" t="str">
        <f>"065379"</f>
        <v>065379</v>
      </c>
      <c r="C1434" s="19" t="s">
        <v>1433</v>
      </c>
      <c r="D1434" s="19" t="s">
        <v>16867</v>
      </c>
      <c r="E1434" s="19" t="s">
        <v>31386</v>
      </c>
      <c r="F1434" s="19" t="s">
        <v>35979</v>
      </c>
      <c r="G1434" s="18" t="str">
        <f>"80020"</f>
        <v>80020</v>
      </c>
      <c r="H1434" s="19" t="s">
        <v>31386</v>
      </c>
      <c r="I1434" s="20">
        <v>15.691000000000001</v>
      </c>
      <c r="J1434" s="44" t="s">
        <v>8</v>
      </c>
      <c r="K1434" s="23" t="s">
        <v>8</v>
      </c>
      <c r="L1434" s="23" t="s">
        <v>8</v>
      </c>
      <c r="M1434" s="23" t="s">
        <v>8</v>
      </c>
    </row>
    <row r="1435" spans="1:13" s="21" customFormat="1" x14ac:dyDescent="0.25">
      <c r="A1435" s="22" t="s">
        <v>8</v>
      </c>
      <c r="B1435" s="18" t="str">
        <f>"065380"</f>
        <v>065380</v>
      </c>
      <c r="C1435" s="19" t="s">
        <v>1434</v>
      </c>
      <c r="D1435" s="19" t="s">
        <v>16868</v>
      </c>
      <c r="E1435" s="19" t="s">
        <v>31333</v>
      </c>
      <c r="F1435" s="19" t="s">
        <v>35979</v>
      </c>
      <c r="G1435" s="18" t="str">
        <f>"80045"</f>
        <v>80045</v>
      </c>
      <c r="H1435" s="19" t="s">
        <v>33467</v>
      </c>
      <c r="I1435" s="20">
        <v>19.433</v>
      </c>
      <c r="J1435" s="44" t="s">
        <v>8</v>
      </c>
      <c r="K1435" s="23" t="s">
        <v>8</v>
      </c>
      <c r="L1435" s="23" t="s">
        <v>8</v>
      </c>
      <c r="M1435" s="23" t="s">
        <v>8</v>
      </c>
    </row>
    <row r="1436" spans="1:13" s="21" customFormat="1" x14ac:dyDescent="0.25">
      <c r="A1436" s="22" t="s">
        <v>8</v>
      </c>
      <c r="B1436" s="18" t="str">
        <f>"065381"</f>
        <v>065381</v>
      </c>
      <c r="C1436" s="19" t="s">
        <v>1435</v>
      </c>
      <c r="D1436" s="19" t="s">
        <v>16869</v>
      </c>
      <c r="E1436" s="19" t="s">
        <v>31387</v>
      </c>
      <c r="F1436" s="19" t="s">
        <v>35979</v>
      </c>
      <c r="G1436" s="18" t="str">
        <f>"81650"</f>
        <v>81650</v>
      </c>
      <c r="H1436" s="19" t="s">
        <v>36111</v>
      </c>
      <c r="I1436" s="20">
        <v>18.617999999999999</v>
      </c>
      <c r="J1436" s="44" t="s">
        <v>8</v>
      </c>
      <c r="K1436" s="23" t="s">
        <v>8</v>
      </c>
      <c r="L1436" s="23" t="s">
        <v>8</v>
      </c>
      <c r="M1436" s="23" t="s">
        <v>8</v>
      </c>
    </row>
    <row r="1437" spans="1:13" s="21" customFormat="1" x14ac:dyDescent="0.25">
      <c r="A1437" s="22" t="s">
        <v>8</v>
      </c>
      <c r="B1437" s="18" t="str">
        <f>"065382"</f>
        <v>065382</v>
      </c>
      <c r="C1437" s="19" t="s">
        <v>1436</v>
      </c>
      <c r="D1437" s="19" t="s">
        <v>16870</v>
      </c>
      <c r="E1437" s="19" t="s">
        <v>31338</v>
      </c>
      <c r="F1437" s="19" t="s">
        <v>35979</v>
      </c>
      <c r="G1437" s="18" t="str">
        <f>"80904"</f>
        <v>80904</v>
      </c>
      <c r="H1437" s="19" t="s">
        <v>31965</v>
      </c>
      <c r="I1437" s="20">
        <v>14.981</v>
      </c>
      <c r="J1437" s="44" t="s">
        <v>8</v>
      </c>
      <c r="K1437" s="23" t="s">
        <v>8</v>
      </c>
      <c r="L1437" s="23" t="s">
        <v>8</v>
      </c>
      <c r="M1437" s="23" t="s">
        <v>8</v>
      </c>
    </row>
    <row r="1438" spans="1:13" s="21" customFormat="1" x14ac:dyDescent="0.25">
      <c r="A1438" s="22" t="s">
        <v>8</v>
      </c>
      <c r="B1438" s="18" t="str">
        <f>"065383"</f>
        <v>065383</v>
      </c>
      <c r="C1438" s="19" t="s">
        <v>1437</v>
      </c>
      <c r="D1438" s="19" t="s">
        <v>16871</v>
      </c>
      <c r="E1438" s="19" t="s">
        <v>31342</v>
      </c>
      <c r="F1438" s="19" t="s">
        <v>35979</v>
      </c>
      <c r="G1438" s="18" t="str">
        <f>"80229"</f>
        <v>80229</v>
      </c>
      <c r="H1438" s="19" t="s">
        <v>33467</v>
      </c>
      <c r="I1438" s="20">
        <v>17.143999999999998</v>
      </c>
      <c r="J1438" s="44" t="s">
        <v>8</v>
      </c>
      <c r="K1438" s="23" t="s">
        <v>8</v>
      </c>
      <c r="L1438" s="23" t="s">
        <v>8</v>
      </c>
      <c r="M1438" s="23" t="s">
        <v>8</v>
      </c>
    </row>
    <row r="1439" spans="1:13" s="21" customFormat="1" x14ac:dyDescent="0.25">
      <c r="A1439" s="22" t="s">
        <v>8</v>
      </c>
      <c r="B1439" s="18" t="str">
        <f>"065384"</f>
        <v>065384</v>
      </c>
      <c r="C1439" s="19" t="s">
        <v>1438</v>
      </c>
      <c r="D1439" s="19" t="s">
        <v>16872</v>
      </c>
      <c r="E1439" s="19" t="s">
        <v>31388</v>
      </c>
      <c r="F1439" s="19" t="s">
        <v>35979</v>
      </c>
      <c r="G1439" s="18" t="str">
        <f>"81625"</f>
        <v>81625</v>
      </c>
      <c r="H1439" s="19" t="s">
        <v>36118</v>
      </c>
      <c r="I1439" s="20">
        <v>20.823</v>
      </c>
      <c r="J1439" s="44" t="s">
        <v>8</v>
      </c>
      <c r="K1439" s="23" t="s">
        <v>8</v>
      </c>
      <c r="L1439" s="23" t="s">
        <v>8</v>
      </c>
      <c r="M1439" s="23" t="s">
        <v>8</v>
      </c>
    </row>
    <row r="1440" spans="1:13" s="21" customFormat="1" x14ac:dyDescent="0.25">
      <c r="A1440" s="22" t="s">
        <v>8</v>
      </c>
      <c r="B1440" s="18" t="str">
        <f>"065386"</f>
        <v>065386</v>
      </c>
      <c r="C1440" s="19" t="s">
        <v>1439</v>
      </c>
      <c r="D1440" s="19" t="s">
        <v>16873</v>
      </c>
      <c r="E1440" s="19" t="s">
        <v>31387</v>
      </c>
      <c r="F1440" s="19" t="s">
        <v>35979</v>
      </c>
      <c r="G1440" s="18" t="str">
        <f>"81650"</f>
        <v>81650</v>
      </c>
      <c r="H1440" s="19" t="s">
        <v>36111</v>
      </c>
      <c r="I1440" s="20">
        <v>18.997</v>
      </c>
      <c r="J1440" s="44" t="s">
        <v>8</v>
      </c>
      <c r="K1440" s="23" t="s">
        <v>8</v>
      </c>
      <c r="L1440" s="23" t="s">
        <v>8</v>
      </c>
      <c r="M1440" s="23" t="s">
        <v>8</v>
      </c>
    </row>
    <row r="1441" spans="1:13" s="21" customFormat="1" x14ac:dyDescent="0.25">
      <c r="A1441" s="22" t="s">
        <v>8</v>
      </c>
      <c r="B1441" s="18" t="str">
        <f>"065387"</f>
        <v>065387</v>
      </c>
      <c r="C1441" s="19" t="s">
        <v>1440</v>
      </c>
      <c r="D1441" s="19" t="s">
        <v>16874</v>
      </c>
      <c r="E1441" s="19" t="s">
        <v>31334</v>
      </c>
      <c r="F1441" s="19" t="s">
        <v>35979</v>
      </c>
      <c r="G1441" s="18" t="str">
        <f>"80207"</f>
        <v>80207</v>
      </c>
      <c r="H1441" s="19" t="s">
        <v>31334</v>
      </c>
      <c r="I1441" s="20">
        <v>19.238</v>
      </c>
      <c r="J1441" s="44" t="s">
        <v>8</v>
      </c>
      <c r="K1441" s="23" t="s">
        <v>8</v>
      </c>
      <c r="L1441" s="23" t="s">
        <v>8</v>
      </c>
      <c r="M1441" s="23" t="s">
        <v>8</v>
      </c>
    </row>
    <row r="1442" spans="1:13" s="21" customFormat="1" x14ac:dyDescent="0.25">
      <c r="A1442" s="22" t="s">
        <v>8</v>
      </c>
      <c r="B1442" s="18" t="str">
        <f>"065388"</f>
        <v>065388</v>
      </c>
      <c r="C1442" s="19" t="s">
        <v>1441</v>
      </c>
      <c r="D1442" s="19" t="s">
        <v>16875</v>
      </c>
      <c r="E1442" s="19" t="s">
        <v>31333</v>
      </c>
      <c r="F1442" s="19" t="s">
        <v>35979</v>
      </c>
      <c r="G1442" s="18" t="str">
        <f>"80014"</f>
        <v>80014</v>
      </c>
      <c r="H1442" s="19" t="s">
        <v>33802</v>
      </c>
      <c r="I1442" s="20">
        <v>17.434999999999999</v>
      </c>
      <c r="J1442" s="44" t="s">
        <v>8</v>
      </c>
      <c r="K1442" s="23" t="s">
        <v>8</v>
      </c>
      <c r="L1442" s="23" t="s">
        <v>8</v>
      </c>
      <c r="M1442" s="23" t="s">
        <v>8</v>
      </c>
    </row>
    <row r="1443" spans="1:13" s="21" customFormat="1" x14ac:dyDescent="0.25">
      <c r="A1443" s="22" t="s">
        <v>8</v>
      </c>
      <c r="B1443" s="18" t="str">
        <f>"065390"</f>
        <v>065390</v>
      </c>
      <c r="C1443" s="19" t="s">
        <v>1442</v>
      </c>
      <c r="D1443" s="19" t="s">
        <v>16876</v>
      </c>
      <c r="E1443" s="19" t="s">
        <v>31338</v>
      </c>
      <c r="F1443" s="19" t="s">
        <v>35979</v>
      </c>
      <c r="G1443" s="18" t="str">
        <f>"80907"</f>
        <v>80907</v>
      </c>
      <c r="H1443" s="19" t="s">
        <v>31965</v>
      </c>
      <c r="I1443" s="20">
        <v>16.439</v>
      </c>
      <c r="J1443" s="44" t="s">
        <v>8</v>
      </c>
      <c r="K1443" s="23" t="s">
        <v>8</v>
      </c>
      <c r="L1443" s="23" t="s">
        <v>8</v>
      </c>
      <c r="M1443" s="23" t="s">
        <v>8</v>
      </c>
    </row>
    <row r="1444" spans="1:13" s="21" customFormat="1" x14ac:dyDescent="0.25">
      <c r="A1444" s="22" t="s">
        <v>8</v>
      </c>
      <c r="B1444" s="18" t="str">
        <f>"065391"</f>
        <v>065391</v>
      </c>
      <c r="C1444" s="19" t="s">
        <v>1443</v>
      </c>
      <c r="D1444" s="19" t="s">
        <v>16877</v>
      </c>
      <c r="E1444" s="19" t="s">
        <v>31371</v>
      </c>
      <c r="F1444" s="19" t="s">
        <v>35979</v>
      </c>
      <c r="G1444" s="18" t="str">
        <f>"81144"</f>
        <v>81144</v>
      </c>
      <c r="H1444" s="19" t="s">
        <v>36113</v>
      </c>
      <c r="I1444" s="20">
        <v>18.097999999999999</v>
      </c>
      <c r="J1444" s="44" t="s">
        <v>8</v>
      </c>
      <c r="K1444" s="23" t="s">
        <v>8</v>
      </c>
      <c r="L1444" s="23" t="s">
        <v>8</v>
      </c>
      <c r="M1444" s="23" t="s">
        <v>8</v>
      </c>
    </row>
    <row r="1445" spans="1:13" s="21" customFormat="1" x14ac:dyDescent="0.25">
      <c r="A1445" s="22" t="s">
        <v>8</v>
      </c>
      <c r="B1445" s="18" t="str">
        <f>"065392"</f>
        <v>065392</v>
      </c>
      <c r="C1445" s="19" t="s">
        <v>1444</v>
      </c>
      <c r="D1445" s="19" t="s">
        <v>16878</v>
      </c>
      <c r="E1445" s="19" t="s">
        <v>31334</v>
      </c>
      <c r="F1445" s="19" t="s">
        <v>35979</v>
      </c>
      <c r="G1445" s="18" t="str">
        <f>"80247"</f>
        <v>80247</v>
      </c>
      <c r="H1445" s="19" t="s">
        <v>33802</v>
      </c>
      <c r="I1445" s="20">
        <v>15.943</v>
      </c>
      <c r="J1445" s="44" t="s">
        <v>8</v>
      </c>
      <c r="K1445" s="23" t="s">
        <v>8</v>
      </c>
      <c r="L1445" s="23" t="s">
        <v>8</v>
      </c>
      <c r="M1445" s="23" t="s">
        <v>8</v>
      </c>
    </row>
    <row r="1446" spans="1:13" s="21" customFormat="1" x14ac:dyDescent="0.25">
      <c r="A1446" s="22" t="s">
        <v>8</v>
      </c>
      <c r="B1446" s="18" t="str">
        <f>"065393"</f>
        <v>065393</v>
      </c>
      <c r="C1446" s="19" t="s">
        <v>1445</v>
      </c>
      <c r="D1446" s="19" t="s">
        <v>16879</v>
      </c>
      <c r="E1446" s="19" t="s">
        <v>31333</v>
      </c>
      <c r="F1446" s="19" t="s">
        <v>35979</v>
      </c>
      <c r="G1446" s="18" t="str">
        <f>"80012"</f>
        <v>80012</v>
      </c>
      <c r="H1446" s="19" t="s">
        <v>33802</v>
      </c>
      <c r="I1446" s="20">
        <v>15.435</v>
      </c>
      <c r="J1446" s="44" t="s">
        <v>8</v>
      </c>
      <c r="K1446" s="23" t="s">
        <v>8</v>
      </c>
      <c r="L1446" s="23" t="s">
        <v>8</v>
      </c>
      <c r="M1446" s="23" t="s">
        <v>8</v>
      </c>
    </row>
    <row r="1447" spans="1:13" s="21" customFormat="1" x14ac:dyDescent="0.25">
      <c r="A1447" s="22" t="s">
        <v>8</v>
      </c>
      <c r="B1447" s="18" t="str">
        <f>"065394"</f>
        <v>065394</v>
      </c>
      <c r="C1447" s="19" t="s">
        <v>1446</v>
      </c>
      <c r="D1447" s="19" t="s">
        <v>16880</v>
      </c>
      <c r="E1447" s="19" t="s">
        <v>30829</v>
      </c>
      <c r="F1447" s="19" t="s">
        <v>35979</v>
      </c>
      <c r="G1447" s="18" t="str">
        <f>"81226"</f>
        <v>81226</v>
      </c>
      <c r="H1447" s="19" t="s">
        <v>31175</v>
      </c>
      <c r="I1447" s="20">
        <v>18.042999999999999</v>
      </c>
      <c r="J1447" s="44" t="s">
        <v>8</v>
      </c>
      <c r="K1447" s="23" t="s">
        <v>8</v>
      </c>
      <c r="L1447" s="23" t="s">
        <v>8</v>
      </c>
      <c r="M1447" s="23" t="s">
        <v>8</v>
      </c>
    </row>
    <row r="1448" spans="1:13" s="21" customFormat="1" x14ac:dyDescent="0.25">
      <c r="A1448" s="22" t="s">
        <v>8</v>
      </c>
      <c r="B1448" s="18" t="str">
        <f>"065395"</f>
        <v>065395</v>
      </c>
      <c r="C1448" s="19" t="s">
        <v>1447</v>
      </c>
      <c r="D1448" s="19" t="s">
        <v>16881</v>
      </c>
      <c r="E1448" s="19" t="s">
        <v>31380</v>
      </c>
      <c r="F1448" s="19" t="s">
        <v>35979</v>
      </c>
      <c r="G1448" s="18" t="str">
        <f>"80121"</f>
        <v>80121</v>
      </c>
      <c r="H1448" s="19" t="s">
        <v>33802</v>
      </c>
      <c r="I1448" s="20">
        <v>16.609000000000002</v>
      </c>
      <c r="J1448" s="44" t="s">
        <v>8</v>
      </c>
      <c r="K1448" s="23" t="s">
        <v>8</v>
      </c>
      <c r="L1448" s="23" t="s">
        <v>8</v>
      </c>
      <c r="M1448" s="23" t="s">
        <v>8</v>
      </c>
    </row>
    <row r="1449" spans="1:13" s="21" customFormat="1" x14ac:dyDescent="0.25">
      <c r="A1449" s="22" t="s">
        <v>8</v>
      </c>
      <c r="B1449" s="18" t="str">
        <f>"065396"</f>
        <v>065396</v>
      </c>
      <c r="C1449" s="19" t="s">
        <v>1448</v>
      </c>
      <c r="D1449" s="19" t="s">
        <v>16882</v>
      </c>
      <c r="E1449" s="19" t="s">
        <v>31389</v>
      </c>
      <c r="F1449" s="19" t="s">
        <v>35979</v>
      </c>
      <c r="G1449" s="18" t="str">
        <f>"81082"</f>
        <v>81082</v>
      </c>
      <c r="H1449" s="19" t="s">
        <v>31383</v>
      </c>
      <c r="I1449" s="20">
        <v>18.033999999999999</v>
      </c>
      <c r="J1449" s="44" t="s">
        <v>8</v>
      </c>
      <c r="K1449" s="23" t="s">
        <v>8</v>
      </c>
      <c r="L1449" s="23" t="s">
        <v>8</v>
      </c>
      <c r="M1449" s="23" t="s">
        <v>8</v>
      </c>
    </row>
    <row r="1450" spans="1:13" s="21" customFormat="1" x14ac:dyDescent="0.25">
      <c r="A1450" s="22" t="s">
        <v>8</v>
      </c>
      <c r="B1450" s="18" t="str">
        <f>"065397"</f>
        <v>065397</v>
      </c>
      <c r="C1450" s="19" t="s">
        <v>1449</v>
      </c>
      <c r="D1450" s="19" t="s">
        <v>16883</v>
      </c>
      <c r="E1450" s="19" t="s">
        <v>31340</v>
      </c>
      <c r="F1450" s="19" t="s">
        <v>35979</v>
      </c>
      <c r="G1450" s="18" t="str">
        <f>"80634"</f>
        <v>80634</v>
      </c>
      <c r="H1450" s="19" t="s">
        <v>36108</v>
      </c>
      <c r="I1450" s="20">
        <v>17.207000000000001</v>
      </c>
      <c r="J1450" s="44" t="s">
        <v>8</v>
      </c>
      <c r="K1450" s="23" t="s">
        <v>8</v>
      </c>
      <c r="L1450" s="23" t="s">
        <v>8</v>
      </c>
      <c r="M1450" s="23" t="s">
        <v>8</v>
      </c>
    </row>
    <row r="1451" spans="1:13" s="21" customFormat="1" x14ac:dyDescent="0.25">
      <c r="A1451" s="22" t="s">
        <v>8</v>
      </c>
      <c r="B1451" s="18" t="str">
        <f>"065398"</f>
        <v>065398</v>
      </c>
      <c r="C1451" s="19" t="s">
        <v>1450</v>
      </c>
      <c r="D1451" s="19" t="s">
        <v>16884</v>
      </c>
      <c r="E1451" s="19" t="s">
        <v>31390</v>
      </c>
      <c r="F1451" s="19" t="s">
        <v>35979</v>
      </c>
      <c r="G1451" s="18" t="str">
        <f>"80126"</f>
        <v>80126</v>
      </c>
      <c r="H1451" s="19" t="s">
        <v>30966</v>
      </c>
      <c r="I1451" s="20">
        <v>20.827999999999999</v>
      </c>
      <c r="J1451" s="44" t="s">
        <v>8</v>
      </c>
      <c r="K1451" s="23" t="s">
        <v>8</v>
      </c>
      <c r="L1451" s="23" t="s">
        <v>8</v>
      </c>
      <c r="M1451" s="23" t="s">
        <v>8</v>
      </c>
    </row>
    <row r="1452" spans="1:13" s="21" customFormat="1" x14ac:dyDescent="0.25">
      <c r="A1452" s="22" t="s">
        <v>8</v>
      </c>
      <c r="B1452" s="18" t="str">
        <f>"065399"</f>
        <v>065399</v>
      </c>
      <c r="C1452" s="19" t="s">
        <v>1451</v>
      </c>
      <c r="D1452" s="19" t="s">
        <v>16885</v>
      </c>
      <c r="E1452" s="19" t="s">
        <v>31391</v>
      </c>
      <c r="F1452" s="19" t="s">
        <v>35979</v>
      </c>
      <c r="G1452" s="18" t="str">
        <f>"81140"</f>
        <v>81140</v>
      </c>
      <c r="H1452" s="19" t="s">
        <v>36119</v>
      </c>
      <c r="I1452" s="20">
        <v>18.280999999999999</v>
      </c>
      <c r="J1452" s="44" t="s">
        <v>8</v>
      </c>
      <c r="K1452" s="23" t="s">
        <v>8</v>
      </c>
      <c r="L1452" s="23" t="s">
        <v>8</v>
      </c>
      <c r="M1452" s="23" t="s">
        <v>8</v>
      </c>
    </row>
    <row r="1453" spans="1:13" s="21" customFormat="1" x14ac:dyDescent="0.25">
      <c r="A1453" s="22" t="s">
        <v>8</v>
      </c>
      <c r="B1453" s="18" t="str">
        <f>"065400"</f>
        <v>065400</v>
      </c>
      <c r="C1453" s="19" t="s">
        <v>1452</v>
      </c>
      <c r="D1453" s="19" t="s">
        <v>16886</v>
      </c>
      <c r="E1453" s="19" t="s">
        <v>31339</v>
      </c>
      <c r="F1453" s="19" t="s">
        <v>35979</v>
      </c>
      <c r="G1453" s="18" t="str">
        <f>"80227"</f>
        <v>80227</v>
      </c>
      <c r="H1453" s="19" t="s">
        <v>32391</v>
      </c>
      <c r="I1453" s="20">
        <v>20.212</v>
      </c>
      <c r="J1453" s="44" t="s">
        <v>8</v>
      </c>
      <c r="K1453" s="23" t="s">
        <v>8</v>
      </c>
      <c r="L1453" s="23" t="s">
        <v>8</v>
      </c>
      <c r="M1453" s="23" t="s">
        <v>8</v>
      </c>
    </row>
    <row r="1454" spans="1:13" s="21" customFormat="1" x14ac:dyDescent="0.25">
      <c r="A1454" s="22" t="s">
        <v>8</v>
      </c>
      <c r="B1454" s="18" t="str">
        <f>"065401"</f>
        <v>065401</v>
      </c>
      <c r="C1454" s="19" t="s">
        <v>1453</v>
      </c>
      <c r="D1454" s="19" t="s">
        <v>16887</v>
      </c>
      <c r="E1454" s="19" t="s">
        <v>31392</v>
      </c>
      <c r="F1454" s="19" t="s">
        <v>35979</v>
      </c>
      <c r="G1454" s="18" t="str">
        <f>"80134"</f>
        <v>80134</v>
      </c>
      <c r="H1454" s="19" t="s">
        <v>30966</v>
      </c>
      <c r="I1454" s="20">
        <v>16.100000000000001</v>
      </c>
      <c r="J1454" s="44" t="s">
        <v>8</v>
      </c>
      <c r="K1454" s="23" t="s">
        <v>8</v>
      </c>
      <c r="L1454" s="23" t="s">
        <v>8</v>
      </c>
      <c r="M1454" s="23" t="s">
        <v>8</v>
      </c>
    </row>
    <row r="1455" spans="1:13" s="21" customFormat="1" x14ac:dyDescent="0.25">
      <c r="A1455" s="22" t="s">
        <v>8</v>
      </c>
      <c r="B1455" s="18" t="str">
        <f>"065403"</f>
        <v>065403</v>
      </c>
      <c r="C1455" s="19" t="s">
        <v>1454</v>
      </c>
      <c r="D1455" s="19" t="s">
        <v>16888</v>
      </c>
      <c r="E1455" s="19" t="s">
        <v>31392</v>
      </c>
      <c r="F1455" s="19" t="s">
        <v>35979</v>
      </c>
      <c r="G1455" s="18" t="str">
        <f>"80134"</f>
        <v>80134</v>
      </c>
      <c r="H1455" s="19" t="s">
        <v>30966</v>
      </c>
      <c r="I1455" s="20">
        <v>19.260000000000002</v>
      </c>
      <c r="J1455" s="44" t="s">
        <v>8</v>
      </c>
      <c r="K1455" s="23" t="s">
        <v>8</v>
      </c>
      <c r="L1455" s="23" t="s">
        <v>8</v>
      </c>
      <c r="M1455" s="23" t="s">
        <v>8</v>
      </c>
    </row>
    <row r="1456" spans="1:13" s="21" customFormat="1" x14ac:dyDescent="0.25">
      <c r="A1456" s="22" t="s">
        <v>8</v>
      </c>
      <c r="B1456" s="18" t="str">
        <f>"065404"</f>
        <v>065404</v>
      </c>
      <c r="C1456" s="19" t="s">
        <v>1455</v>
      </c>
      <c r="D1456" s="19" t="s">
        <v>16889</v>
      </c>
      <c r="E1456" s="19" t="s">
        <v>31334</v>
      </c>
      <c r="F1456" s="19" t="s">
        <v>35979</v>
      </c>
      <c r="G1456" s="18" t="str">
        <f>"80204"</f>
        <v>80204</v>
      </c>
      <c r="H1456" s="19" t="s">
        <v>31334</v>
      </c>
      <c r="I1456" s="20">
        <v>18.190000000000001</v>
      </c>
      <c r="J1456" s="44" t="s">
        <v>8</v>
      </c>
      <c r="K1456" s="23" t="s">
        <v>8</v>
      </c>
      <c r="L1456" s="23" t="s">
        <v>8</v>
      </c>
      <c r="M1456" s="23" t="s">
        <v>8</v>
      </c>
    </row>
    <row r="1457" spans="1:13" s="21" customFormat="1" x14ac:dyDescent="0.25">
      <c r="A1457" s="22" t="s">
        <v>8</v>
      </c>
      <c r="B1457" s="18" t="str">
        <f>"065405"</f>
        <v>065405</v>
      </c>
      <c r="C1457" s="19" t="s">
        <v>1456</v>
      </c>
      <c r="D1457" s="19" t="s">
        <v>16890</v>
      </c>
      <c r="E1457" s="19" t="s">
        <v>31392</v>
      </c>
      <c r="F1457" s="19" t="s">
        <v>35979</v>
      </c>
      <c r="G1457" s="18" t="str">
        <f>"80138"</f>
        <v>80138</v>
      </c>
      <c r="H1457" s="19" t="s">
        <v>30966</v>
      </c>
      <c r="I1457" s="20">
        <v>17.698</v>
      </c>
      <c r="J1457" s="44" t="s">
        <v>8</v>
      </c>
      <c r="K1457" s="23" t="s">
        <v>8</v>
      </c>
      <c r="L1457" s="23" t="s">
        <v>8</v>
      </c>
      <c r="M1457" s="23" t="s">
        <v>8</v>
      </c>
    </row>
    <row r="1458" spans="1:13" s="21" customFormat="1" x14ac:dyDescent="0.25">
      <c r="A1458" s="22" t="s">
        <v>8</v>
      </c>
      <c r="B1458" s="18" t="str">
        <f>"065406"</f>
        <v>065406</v>
      </c>
      <c r="C1458" s="19" t="s">
        <v>1457</v>
      </c>
      <c r="D1458" s="19" t="s">
        <v>16891</v>
      </c>
      <c r="E1458" s="19" t="s">
        <v>31378</v>
      </c>
      <c r="F1458" s="19" t="s">
        <v>35979</v>
      </c>
      <c r="G1458" s="18" t="str">
        <f>"80004"</f>
        <v>80004</v>
      </c>
      <c r="H1458" s="19" t="s">
        <v>32391</v>
      </c>
      <c r="I1458" s="20">
        <v>15.901999999999999</v>
      </c>
      <c r="J1458" s="44" t="s">
        <v>8</v>
      </c>
      <c r="K1458" s="23" t="s">
        <v>8</v>
      </c>
      <c r="L1458" s="23" t="s">
        <v>8</v>
      </c>
      <c r="M1458" s="23" t="s">
        <v>8</v>
      </c>
    </row>
    <row r="1459" spans="1:13" s="21" customFormat="1" x14ac:dyDescent="0.25">
      <c r="A1459" s="22" t="s">
        <v>8</v>
      </c>
      <c r="B1459" s="18" t="str">
        <f>"065407"</f>
        <v>065407</v>
      </c>
      <c r="C1459" s="19" t="s">
        <v>1458</v>
      </c>
      <c r="D1459" s="19" t="s">
        <v>16892</v>
      </c>
      <c r="E1459" s="19" t="s">
        <v>31338</v>
      </c>
      <c r="F1459" s="19" t="s">
        <v>35979</v>
      </c>
      <c r="G1459" s="18" t="str">
        <f>"80910"</f>
        <v>80910</v>
      </c>
      <c r="H1459" s="19" t="s">
        <v>31965</v>
      </c>
      <c r="I1459" s="20">
        <v>13.733000000000001</v>
      </c>
      <c r="J1459" s="44" t="s">
        <v>8</v>
      </c>
      <c r="K1459" s="23" t="s">
        <v>8</v>
      </c>
      <c r="L1459" s="23" t="s">
        <v>8</v>
      </c>
      <c r="M1459" s="23" t="s">
        <v>8</v>
      </c>
    </row>
    <row r="1460" spans="1:13" s="21" customFormat="1" x14ac:dyDescent="0.25">
      <c r="A1460" s="22" t="s">
        <v>8</v>
      </c>
      <c r="B1460" s="18" t="str">
        <f>"065408"</f>
        <v>065408</v>
      </c>
      <c r="C1460" s="19" t="s">
        <v>1459</v>
      </c>
      <c r="D1460" s="19" t="s">
        <v>16893</v>
      </c>
      <c r="E1460" s="19" t="s">
        <v>31339</v>
      </c>
      <c r="F1460" s="19" t="s">
        <v>35979</v>
      </c>
      <c r="G1460" s="18" t="str">
        <f>"80215"</f>
        <v>80215</v>
      </c>
      <c r="H1460" s="19" t="s">
        <v>32391</v>
      </c>
      <c r="I1460" s="20">
        <v>18.82</v>
      </c>
      <c r="J1460" s="44" t="s">
        <v>8</v>
      </c>
      <c r="K1460" s="23" t="s">
        <v>8</v>
      </c>
      <c r="L1460" s="23" t="s">
        <v>8</v>
      </c>
      <c r="M1460" s="23" t="s">
        <v>8</v>
      </c>
    </row>
    <row r="1461" spans="1:13" s="21" customFormat="1" x14ac:dyDescent="0.25">
      <c r="A1461" s="22" t="s">
        <v>8</v>
      </c>
      <c r="B1461" s="18" t="str">
        <f>"065409"</f>
        <v>065409</v>
      </c>
      <c r="C1461" s="19" t="s">
        <v>1460</v>
      </c>
      <c r="D1461" s="19" t="s">
        <v>16894</v>
      </c>
      <c r="E1461" s="19" t="s">
        <v>31390</v>
      </c>
      <c r="F1461" s="19" t="s">
        <v>35979</v>
      </c>
      <c r="G1461" s="18" t="str">
        <f>"80129"</f>
        <v>80129</v>
      </c>
      <c r="H1461" s="19" t="s">
        <v>30966</v>
      </c>
      <c r="I1461" s="20">
        <v>17.785</v>
      </c>
      <c r="J1461" s="44" t="s">
        <v>8</v>
      </c>
      <c r="K1461" s="23" t="s">
        <v>8</v>
      </c>
      <c r="L1461" s="23" t="s">
        <v>8</v>
      </c>
      <c r="M1461" s="23" t="s">
        <v>8</v>
      </c>
    </row>
    <row r="1462" spans="1:13" s="21" customFormat="1" x14ac:dyDescent="0.25">
      <c r="A1462" s="22" t="s">
        <v>8</v>
      </c>
      <c r="B1462" s="18" t="str">
        <f>"065410"</f>
        <v>065410</v>
      </c>
      <c r="C1462" s="19" t="s">
        <v>1461</v>
      </c>
      <c r="D1462" s="19" t="s">
        <v>16895</v>
      </c>
      <c r="E1462" s="19" t="s">
        <v>31367</v>
      </c>
      <c r="F1462" s="19" t="s">
        <v>35979</v>
      </c>
      <c r="G1462" s="18" t="str">
        <f>"80550"</f>
        <v>80550</v>
      </c>
      <c r="H1462" s="19" t="s">
        <v>36108</v>
      </c>
      <c r="I1462" s="20">
        <v>19.555</v>
      </c>
      <c r="J1462" s="44" t="s">
        <v>8</v>
      </c>
      <c r="K1462" s="23" t="s">
        <v>8</v>
      </c>
      <c r="L1462" s="23" t="s">
        <v>8</v>
      </c>
      <c r="M1462" s="23" t="s">
        <v>8</v>
      </c>
    </row>
    <row r="1463" spans="1:13" s="21" customFormat="1" x14ac:dyDescent="0.25">
      <c r="A1463" s="22" t="s">
        <v>8</v>
      </c>
      <c r="B1463" s="18" t="str">
        <f>"065411"</f>
        <v>065411</v>
      </c>
      <c r="C1463" s="19" t="s">
        <v>1462</v>
      </c>
      <c r="D1463" s="19" t="s">
        <v>16896</v>
      </c>
      <c r="E1463" s="19" t="s">
        <v>31361</v>
      </c>
      <c r="F1463" s="19" t="s">
        <v>35979</v>
      </c>
      <c r="G1463" s="18" t="str">
        <f>"81301"</f>
        <v>81301</v>
      </c>
      <c r="H1463" s="19" t="s">
        <v>33723</v>
      </c>
      <c r="I1463" s="20">
        <v>17.702000000000002</v>
      </c>
      <c r="J1463" s="44" t="s">
        <v>8</v>
      </c>
      <c r="K1463" s="23" t="s">
        <v>8</v>
      </c>
      <c r="L1463" s="23" t="s">
        <v>8</v>
      </c>
      <c r="M1463" s="23" t="s">
        <v>8</v>
      </c>
    </row>
    <row r="1464" spans="1:13" s="21" customFormat="1" x14ac:dyDescent="0.25">
      <c r="A1464" s="22" t="s">
        <v>8</v>
      </c>
      <c r="B1464" s="18" t="str">
        <f>"065412"</f>
        <v>065412</v>
      </c>
      <c r="C1464" s="19" t="s">
        <v>1463</v>
      </c>
      <c r="D1464" s="19" t="s">
        <v>16897</v>
      </c>
      <c r="E1464" s="19" t="s">
        <v>31344</v>
      </c>
      <c r="F1464" s="19" t="s">
        <v>35979</v>
      </c>
      <c r="G1464" s="18" t="str">
        <f>"80537"</f>
        <v>80537</v>
      </c>
      <c r="H1464" s="19" t="s">
        <v>36109</v>
      </c>
      <c r="I1464" s="20">
        <v>17.326000000000001</v>
      </c>
      <c r="J1464" s="44" t="s">
        <v>8</v>
      </c>
      <c r="K1464" s="23" t="s">
        <v>8</v>
      </c>
      <c r="L1464" s="23" t="s">
        <v>8</v>
      </c>
      <c r="M1464" s="23" t="s">
        <v>8</v>
      </c>
    </row>
    <row r="1465" spans="1:13" s="21" customFormat="1" x14ac:dyDescent="0.25">
      <c r="A1465" s="22" t="s">
        <v>8</v>
      </c>
      <c r="B1465" s="18" t="str">
        <f>"065413"</f>
        <v>065413</v>
      </c>
      <c r="C1465" s="19" t="s">
        <v>1464</v>
      </c>
      <c r="D1465" s="19" t="s">
        <v>16898</v>
      </c>
      <c r="E1465" s="19" t="s">
        <v>31338</v>
      </c>
      <c r="F1465" s="19" t="s">
        <v>35979</v>
      </c>
      <c r="G1465" s="18" t="str">
        <f>"80924"</f>
        <v>80924</v>
      </c>
      <c r="H1465" s="19" t="s">
        <v>31965</v>
      </c>
      <c r="I1465" s="20">
        <v>17.539000000000001</v>
      </c>
      <c r="J1465" s="44" t="s">
        <v>8</v>
      </c>
      <c r="K1465" s="23" t="s">
        <v>8</v>
      </c>
      <c r="L1465" s="23" t="s">
        <v>8</v>
      </c>
      <c r="M1465" s="23" t="s">
        <v>8</v>
      </c>
    </row>
    <row r="1466" spans="1:13" s="21" customFormat="1" x14ac:dyDescent="0.25">
      <c r="A1466" s="22" t="s">
        <v>8</v>
      </c>
      <c r="B1466" s="18" t="str">
        <f>"065414"</f>
        <v>065414</v>
      </c>
      <c r="C1466" s="19" t="s">
        <v>1465</v>
      </c>
      <c r="D1466" s="19" t="s">
        <v>16899</v>
      </c>
      <c r="E1466" s="19" t="s">
        <v>30892</v>
      </c>
      <c r="F1466" s="19" t="s">
        <v>35979</v>
      </c>
      <c r="G1466" s="18" t="str">
        <f>"80026"</f>
        <v>80026</v>
      </c>
      <c r="H1466" s="19" t="s">
        <v>31336</v>
      </c>
      <c r="I1466" s="20">
        <v>16.181999999999999</v>
      </c>
      <c r="J1466" s="44" t="s">
        <v>8</v>
      </c>
      <c r="K1466" s="23" t="s">
        <v>8</v>
      </c>
      <c r="L1466" s="23" t="s">
        <v>8</v>
      </c>
      <c r="M1466" s="23" t="s">
        <v>8</v>
      </c>
    </row>
    <row r="1467" spans="1:13" s="21" customFormat="1" x14ac:dyDescent="0.25">
      <c r="A1467" s="22" t="s">
        <v>8</v>
      </c>
      <c r="B1467" s="18" t="str">
        <f>"065415"</f>
        <v>065415</v>
      </c>
      <c r="C1467" s="19" t="s">
        <v>1466</v>
      </c>
      <c r="D1467" s="19" t="s">
        <v>16900</v>
      </c>
      <c r="E1467" s="19" t="s">
        <v>31338</v>
      </c>
      <c r="F1467" s="19" t="s">
        <v>35979</v>
      </c>
      <c r="G1467" s="18" t="str">
        <f>"80909"</f>
        <v>80909</v>
      </c>
      <c r="H1467" s="19" t="s">
        <v>31965</v>
      </c>
      <c r="I1467" s="20">
        <v>17.948</v>
      </c>
      <c r="J1467" s="44" t="s">
        <v>8</v>
      </c>
      <c r="K1467" s="23" t="s">
        <v>8</v>
      </c>
      <c r="L1467" s="23" t="s">
        <v>8</v>
      </c>
      <c r="M1467" s="23" t="s">
        <v>8</v>
      </c>
    </row>
    <row r="1468" spans="1:13" s="21" customFormat="1" x14ac:dyDescent="0.25">
      <c r="A1468" s="22" t="s">
        <v>8</v>
      </c>
      <c r="B1468" s="18" t="str">
        <f>"075001"</f>
        <v>075001</v>
      </c>
      <c r="C1468" s="19" t="s">
        <v>1467</v>
      </c>
      <c r="D1468" s="19" t="s">
        <v>16901</v>
      </c>
      <c r="E1468" s="19" t="s">
        <v>31393</v>
      </c>
      <c r="F1468" s="19" t="s">
        <v>35980</v>
      </c>
      <c r="G1468" s="18" t="str">
        <f>"06611"</f>
        <v>06611</v>
      </c>
      <c r="H1468" s="19" t="s">
        <v>31103</v>
      </c>
      <c r="I1468" s="20">
        <v>20.684000000000001</v>
      </c>
      <c r="J1468" s="44" t="s">
        <v>8</v>
      </c>
      <c r="K1468" s="23" t="s">
        <v>8</v>
      </c>
      <c r="L1468" s="23" t="s">
        <v>8</v>
      </c>
      <c r="M1468" s="23" t="s">
        <v>8</v>
      </c>
    </row>
    <row r="1469" spans="1:13" s="21" customFormat="1" x14ac:dyDescent="0.25">
      <c r="A1469" s="22" t="s">
        <v>8</v>
      </c>
      <c r="B1469" s="18" t="str">
        <f>"075011"</f>
        <v>075011</v>
      </c>
      <c r="C1469" s="19" t="s">
        <v>1468</v>
      </c>
      <c r="D1469" s="19" t="s">
        <v>16902</v>
      </c>
      <c r="E1469" s="19" t="s">
        <v>31367</v>
      </c>
      <c r="F1469" s="19" t="s">
        <v>35980</v>
      </c>
      <c r="G1469" s="18" t="str">
        <f>"06095"</f>
        <v>06095</v>
      </c>
      <c r="H1469" s="19" t="s">
        <v>30919</v>
      </c>
      <c r="I1469" s="20">
        <v>17.957999999999998</v>
      </c>
      <c r="J1469" s="44" t="s">
        <v>8</v>
      </c>
      <c r="K1469" s="23" t="s">
        <v>8</v>
      </c>
      <c r="L1469" s="23" t="s">
        <v>8</v>
      </c>
      <c r="M1469" s="23" t="s">
        <v>8</v>
      </c>
    </row>
    <row r="1470" spans="1:13" s="21" customFormat="1" x14ac:dyDescent="0.25">
      <c r="A1470" s="22" t="s">
        <v>8</v>
      </c>
      <c r="B1470" s="18" t="str">
        <f>"075013"</f>
        <v>075013</v>
      </c>
      <c r="C1470" s="19" t="s">
        <v>1469</v>
      </c>
      <c r="D1470" s="19" t="s">
        <v>16903</v>
      </c>
      <c r="E1470" s="19" t="s">
        <v>31394</v>
      </c>
      <c r="F1470" s="19" t="s">
        <v>35980</v>
      </c>
      <c r="G1470" s="18" t="str">
        <f>"06040"</f>
        <v>06040</v>
      </c>
      <c r="H1470" s="19" t="s">
        <v>30919</v>
      </c>
      <c r="I1470" s="20">
        <v>17.619</v>
      </c>
      <c r="J1470" s="44" t="s">
        <v>8</v>
      </c>
      <c r="K1470" s="23" t="s">
        <v>8</v>
      </c>
      <c r="L1470" s="23" t="s">
        <v>8</v>
      </c>
      <c r="M1470" s="23" t="s">
        <v>8</v>
      </c>
    </row>
    <row r="1471" spans="1:13" s="21" customFormat="1" x14ac:dyDescent="0.25">
      <c r="A1471" s="22" t="s">
        <v>8</v>
      </c>
      <c r="B1471" s="18" t="str">
        <f>"075017"</f>
        <v>075017</v>
      </c>
      <c r="C1471" s="19" t="s">
        <v>1470</v>
      </c>
      <c r="D1471" s="19" t="s">
        <v>16904</v>
      </c>
      <c r="E1471" s="19" t="s">
        <v>31395</v>
      </c>
      <c r="F1471" s="19" t="s">
        <v>35980</v>
      </c>
      <c r="G1471" s="18" t="str">
        <f>"06473"</f>
        <v>06473</v>
      </c>
      <c r="H1471" s="19" t="s">
        <v>31450</v>
      </c>
      <c r="I1471" s="20">
        <v>21.977</v>
      </c>
      <c r="J1471" s="44" t="s">
        <v>8</v>
      </c>
      <c r="K1471" s="23" t="s">
        <v>8</v>
      </c>
      <c r="L1471" s="23" t="s">
        <v>8</v>
      </c>
      <c r="M1471" s="23" t="s">
        <v>8</v>
      </c>
    </row>
    <row r="1472" spans="1:13" s="21" customFormat="1" x14ac:dyDescent="0.25">
      <c r="A1472" s="22" t="s">
        <v>8</v>
      </c>
      <c r="B1472" s="18" t="str">
        <f>"075028"</f>
        <v>075028</v>
      </c>
      <c r="C1472" s="19" t="s">
        <v>1471</v>
      </c>
      <c r="D1472" s="19" t="s">
        <v>16905</v>
      </c>
      <c r="E1472" s="19" t="s">
        <v>31396</v>
      </c>
      <c r="F1472" s="19" t="s">
        <v>35980</v>
      </c>
      <c r="G1472" s="18" t="str">
        <f>"06412"</f>
        <v>06412</v>
      </c>
      <c r="H1472" s="19" t="s">
        <v>36120</v>
      </c>
      <c r="I1472" s="20">
        <v>19.693000000000001</v>
      </c>
      <c r="J1472" s="44" t="s">
        <v>8</v>
      </c>
      <c r="K1472" s="23" t="s">
        <v>8</v>
      </c>
      <c r="L1472" s="23" t="s">
        <v>8</v>
      </c>
      <c r="M1472" s="23" t="s">
        <v>8</v>
      </c>
    </row>
    <row r="1473" spans="1:13" s="21" customFormat="1" x14ac:dyDescent="0.25">
      <c r="A1473" s="22" t="s">
        <v>8</v>
      </c>
      <c r="B1473" s="18" t="str">
        <f>"075031"</f>
        <v>075031</v>
      </c>
      <c r="C1473" s="19" t="s">
        <v>1472</v>
      </c>
      <c r="D1473" s="19" t="s">
        <v>16906</v>
      </c>
      <c r="E1473" s="19" t="s">
        <v>31397</v>
      </c>
      <c r="F1473" s="19" t="s">
        <v>35980</v>
      </c>
      <c r="G1473" s="18" t="str">
        <f>"06810"</f>
        <v>06810</v>
      </c>
      <c r="H1473" s="19" t="s">
        <v>31103</v>
      </c>
      <c r="I1473" s="20">
        <v>17.350000000000001</v>
      </c>
      <c r="J1473" s="44" t="s">
        <v>8</v>
      </c>
      <c r="K1473" s="23" t="s">
        <v>8</v>
      </c>
      <c r="L1473" s="23" t="s">
        <v>8</v>
      </c>
      <c r="M1473" s="23" t="s">
        <v>8</v>
      </c>
    </row>
    <row r="1474" spans="1:13" s="21" customFormat="1" x14ac:dyDescent="0.25">
      <c r="A1474" s="22" t="s">
        <v>8</v>
      </c>
      <c r="B1474" s="18" t="str">
        <f>"075034"</f>
        <v>075034</v>
      </c>
      <c r="C1474" s="19" t="s">
        <v>1473</v>
      </c>
      <c r="D1474" s="19" t="s">
        <v>16907</v>
      </c>
      <c r="E1474" s="19" t="s">
        <v>31103</v>
      </c>
      <c r="F1474" s="19" t="s">
        <v>35980</v>
      </c>
      <c r="G1474" s="18" t="str">
        <f>"06430"</f>
        <v>06430</v>
      </c>
      <c r="H1474" s="19" t="s">
        <v>31103</v>
      </c>
      <c r="I1474" s="20">
        <v>17.032</v>
      </c>
      <c r="J1474" s="44" t="s">
        <v>8</v>
      </c>
      <c r="K1474" s="23" t="s">
        <v>8</v>
      </c>
      <c r="L1474" s="23" t="s">
        <v>8</v>
      </c>
      <c r="M1474" s="23" t="s">
        <v>8</v>
      </c>
    </row>
    <row r="1475" spans="1:13" s="21" customFormat="1" x14ac:dyDescent="0.25">
      <c r="A1475" s="22" t="s">
        <v>8</v>
      </c>
      <c r="B1475" s="18" t="str">
        <f>"075044"</f>
        <v>075044</v>
      </c>
      <c r="C1475" s="19" t="s">
        <v>1474</v>
      </c>
      <c r="D1475" s="19" t="s">
        <v>16908</v>
      </c>
      <c r="E1475" s="19" t="s">
        <v>31398</v>
      </c>
      <c r="F1475" s="19" t="s">
        <v>35980</v>
      </c>
      <c r="G1475" s="18" t="str">
        <f>"06062"</f>
        <v>06062</v>
      </c>
      <c r="H1475" s="19" t="s">
        <v>30919</v>
      </c>
      <c r="I1475" s="20">
        <v>20.486000000000001</v>
      </c>
      <c r="J1475" s="44" t="s">
        <v>8</v>
      </c>
      <c r="K1475" s="23" t="s">
        <v>8</v>
      </c>
      <c r="L1475" s="23" t="s">
        <v>8</v>
      </c>
      <c r="M1475" s="23" t="s">
        <v>8</v>
      </c>
    </row>
    <row r="1476" spans="1:13" s="21" customFormat="1" x14ac:dyDescent="0.25">
      <c r="A1476" s="22" t="s">
        <v>8</v>
      </c>
      <c r="B1476" s="18" t="str">
        <f>"075047"</f>
        <v>075047</v>
      </c>
      <c r="C1476" s="19" t="s">
        <v>1475</v>
      </c>
      <c r="D1476" s="19" t="s">
        <v>16909</v>
      </c>
      <c r="E1476" s="19" t="s">
        <v>31399</v>
      </c>
      <c r="F1476" s="19" t="s">
        <v>35980</v>
      </c>
      <c r="G1476" s="18" t="str">
        <f>"06484"</f>
        <v>06484</v>
      </c>
      <c r="H1476" s="19" t="s">
        <v>31103</v>
      </c>
      <c r="I1476" s="20">
        <v>20.024000000000001</v>
      </c>
      <c r="J1476" s="44" t="s">
        <v>8</v>
      </c>
      <c r="K1476" s="23" t="s">
        <v>8</v>
      </c>
      <c r="L1476" s="23" t="s">
        <v>8</v>
      </c>
      <c r="M1476" s="23" t="s">
        <v>8</v>
      </c>
    </row>
    <row r="1477" spans="1:13" s="21" customFormat="1" x14ac:dyDescent="0.25">
      <c r="A1477" s="22" t="s">
        <v>8</v>
      </c>
      <c r="B1477" s="18" t="str">
        <f>"075056"</f>
        <v>075056</v>
      </c>
      <c r="C1477" s="19" t="s">
        <v>1476</v>
      </c>
      <c r="D1477" s="19" t="s">
        <v>16910</v>
      </c>
      <c r="E1477" s="19" t="s">
        <v>31400</v>
      </c>
      <c r="F1477" s="19" t="s">
        <v>35980</v>
      </c>
      <c r="G1477" s="18" t="str">
        <f>"06082"</f>
        <v>06082</v>
      </c>
      <c r="H1477" s="19" t="s">
        <v>30919</v>
      </c>
      <c r="I1477" s="20">
        <v>16.571000000000002</v>
      </c>
      <c r="J1477" s="44" t="s">
        <v>8</v>
      </c>
      <c r="K1477" s="23" t="s">
        <v>8</v>
      </c>
      <c r="L1477" s="23" t="s">
        <v>8</v>
      </c>
      <c r="M1477" s="23" t="s">
        <v>8</v>
      </c>
    </row>
    <row r="1478" spans="1:13" s="21" customFormat="1" x14ac:dyDescent="0.25">
      <c r="A1478" s="22" t="s">
        <v>8</v>
      </c>
      <c r="B1478" s="18" t="str">
        <f>"075057"</f>
        <v>075057</v>
      </c>
      <c r="C1478" s="19" t="s">
        <v>1477</v>
      </c>
      <c r="D1478" s="19" t="s">
        <v>16911</v>
      </c>
      <c r="E1478" s="19" t="s">
        <v>31401</v>
      </c>
      <c r="F1478" s="19" t="s">
        <v>35980</v>
      </c>
      <c r="G1478" s="18" t="str">
        <f>"06492"</f>
        <v>06492</v>
      </c>
      <c r="H1478" s="19" t="s">
        <v>31450</v>
      </c>
      <c r="I1478" s="20">
        <v>20.43</v>
      </c>
      <c r="J1478" s="44" t="s">
        <v>8</v>
      </c>
      <c r="K1478" s="23" t="s">
        <v>8</v>
      </c>
      <c r="L1478" s="23" t="s">
        <v>8</v>
      </c>
      <c r="M1478" s="23" t="s">
        <v>8</v>
      </c>
    </row>
    <row r="1479" spans="1:13" s="21" customFormat="1" x14ac:dyDescent="0.25">
      <c r="A1479" s="22" t="s">
        <v>8</v>
      </c>
      <c r="B1479" s="18" t="str">
        <f>"075059"</f>
        <v>075059</v>
      </c>
      <c r="C1479" s="19" t="s">
        <v>1478</v>
      </c>
      <c r="D1479" s="19" t="s">
        <v>16912</v>
      </c>
      <c r="E1479" s="19" t="s">
        <v>31402</v>
      </c>
      <c r="F1479" s="19" t="s">
        <v>35980</v>
      </c>
      <c r="G1479" s="18" t="str">
        <f>"06418"</f>
        <v>06418</v>
      </c>
      <c r="H1479" s="19" t="s">
        <v>31450</v>
      </c>
      <c r="I1479" s="20">
        <v>20.965</v>
      </c>
      <c r="J1479" s="44" t="s">
        <v>8</v>
      </c>
      <c r="K1479" s="23" t="s">
        <v>8</v>
      </c>
      <c r="L1479" s="23" t="s">
        <v>8</v>
      </c>
      <c r="M1479" s="23" t="s">
        <v>8</v>
      </c>
    </row>
    <row r="1480" spans="1:13" s="21" customFormat="1" x14ac:dyDescent="0.25">
      <c r="A1480" s="22" t="s">
        <v>8</v>
      </c>
      <c r="B1480" s="18" t="str">
        <f>"075060"</f>
        <v>075060</v>
      </c>
      <c r="C1480" s="19" t="s">
        <v>1479</v>
      </c>
      <c r="D1480" s="19" t="s">
        <v>16913</v>
      </c>
      <c r="E1480" s="19" t="s">
        <v>31403</v>
      </c>
      <c r="F1480" s="19" t="s">
        <v>35980</v>
      </c>
      <c r="G1480" s="18" t="str">
        <f>"06033"</f>
        <v>06033</v>
      </c>
      <c r="H1480" s="19" t="s">
        <v>30919</v>
      </c>
      <c r="I1480" s="20">
        <v>21.067</v>
      </c>
      <c r="J1480" s="44" t="s">
        <v>8</v>
      </c>
      <c r="K1480" s="23" t="s">
        <v>8</v>
      </c>
      <c r="L1480" s="23" t="s">
        <v>8</v>
      </c>
      <c r="M1480" s="23" t="s">
        <v>8</v>
      </c>
    </row>
    <row r="1481" spans="1:13" s="21" customFormat="1" x14ac:dyDescent="0.25">
      <c r="A1481" s="22" t="s">
        <v>8</v>
      </c>
      <c r="B1481" s="18" t="str">
        <f>"075061"</f>
        <v>075061</v>
      </c>
      <c r="C1481" s="19" t="s">
        <v>1480</v>
      </c>
      <c r="D1481" s="19" t="s">
        <v>16914</v>
      </c>
      <c r="E1481" s="19" t="s">
        <v>31404</v>
      </c>
      <c r="F1481" s="19" t="s">
        <v>35980</v>
      </c>
      <c r="G1481" s="18" t="str">
        <f>"06902"</f>
        <v>06902</v>
      </c>
      <c r="H1481" s="19" t="s">
        <v>31103</v>
      </c>
      <c r="I1481" s="20">
        <v>19.757999999999999</v>
      </c>
      <c r="J1481" s="44" t="s">
        <v>8</v>
      </c>
      <c r="K1481" s="23" t="s">
        <v>8</v>
      </c>
      <c r="L1481" s="23" t="s">
        <v>8</v>
      </c>
      <c r="M1481" s="23" t="s">
        <v>8</v>
      </c>
    </row>
    <row r="1482" spans="1:13" s="21" customFormat="1" x14ac:dyDescent="0.25">
      <c r="A1482" s="22" t="s">
        <v>8</v>
      </c>
      <c r="B1482" s="18" t="str">
        <f>"075063"</f>
        <v>075063</v>
      </c>
      <c r="C1482" s="19" t="s">
        <v>1481</v>
      </c>
      <c r="D1482" s="19" t="s">
        <v>16915</v>
      </c>
      <c r="E1482" s="19" t="s">
        <v>30919</v>
      </c>
      <c r="F1482" s="19" t="s">
        <v>35980</v>
      </c>
      <c r="G1482" s="18" t="str">
        <f>"06106"</f>
        <v>06106</v>
      </c>
      <c r="H1482" s="19" t="s">
        <v>30919</v>
      </c>
      <c r="I1482" s="20">
        <v>16.925000000000001</v>
      </c>
      <c r="J1482" s="44" t="s">
        <v>8</v>
      </c>
      <c r="K1482" s="23" t="s">
        <v>8</v>
      </c>
      <c r="L1482" s="23" t="s">
        <v>8</v>
      </c>
      <c r="M1482" s="23" t="s">
        <v>8</v>
      </c>
    </row>
    <row r="1483" spans="1:13" s="21" customFormat="1" x14ac:dyDescent="0.25">
      <c r="A1483" s="22" t="s">
        <v>8</v>
      </c>
      <c r="B1483" s="18" t="str">
        <f>"075064"</f>
        <v>075064</v>
      </c>
      <c r="C1483" s="19" t="s">
        <v>1482</v>
      </c>
      <c r="D1483" s="19" t="s">
        <v>16916</v>
      </c>
      <c r="E1483" s="19" t="s">
        <v>31405</v>
      </c>
      <c r="F1483" s="19" t="s">
        <v>35980</v>
      </c>
      <c r="G1483" s="18" t="str">
        <f>"06460"</f>
        <v>06460</v>
      </c>
      <c r="H1483" s="19" t="s">
        <v>31450</v>
      </c>
      <c r="I1483" s="20">
        <v>21.193999999999999</v>
      </c>
      <c r="J1483" s="44" t="s">
        <v>8</v>
      </c>
      <c r="K1483" s="23" t="s">
        <v>8</v>
      </c>
      <c r="L1483" s="23" t="s">
        <v>8</v>
      </c>
      <c r="M1483" s="23" t="s">
        <v>8</v>
      </c>
    </row>
    <row r="1484" spans="1:13" s="21" customFormat="1" x14ac:dyDescent="0.25">
      <c r="A1484" s="22" t="s">
        <v>8</v>
      </c>
      <c r="B1484" s="18" t="str">
        <f>"075069"</f>
        <v>075069</v>
      </c>
      <c r="C1484" s="19" t="s">
        <v>1483</v>
      </c>
      <c r="D1484" s="19" t="s">
        <v>16917</v>
      </c>
      <c r="E1484" s="19" t="s">
        <v>31406</v>
      </c>
      <c r="F1484" s="19" t="s">
        <v>35980</v>
      </c>
      <c r="G1484" s="18" t="str">
        <f>"06831"</f>
        <v>06831</v>
      </c>
      <c r="H1484" s="19" t="s">
        <v>31103</v>
      </c>
      <c r="I1484" s="20">
        <v>22.969000000000001</v>
      </c>
      <c r="J1484" s="44" t="s">
        <v>8</v>
      </c>
      <c r="K1484" s="23" t="s">
        <v>8</v>
      </c>
      <c r="L1484" s="23" t="s">
        <v>8</v>
      </c>
      <c r="M1484" s="23" t="s">
        <v>8</v>
      </c>
    </row>
    <row r="1485" spans="1:13" s="21" customFormat="1" x14ac:dyDescent="0.25">
      <c r="A1485" s="22" t="s">
        <v>8</v>
      </c>
      <c r="B1485" s="18" t="str">
        <f>"075070"</f>
        <v>075070</v>
      </c>
      <c r="C1485" s="19" t="s">
        <v>1484</v>
      </c>
      <c r="D1485" s="19" t="s">
        <v>16918</v>
      </c>
      <c r="E1485" s="19" t="s">
        <v>31407</v>
      </c>
      <c r="F1485" s="19" t="s">
        <v>35980</v>
      </c>
      <c r="G1485" s="18" t="str">
        <f>"06475"</f>
        <v>06475</v>
      </c>
      <c r="H1485" s="19" t="s">
        <v>36120</v>
      </c>
      <c r="I1485" s="20">
        <v>18.594999999999999</v>
      </c>
      <c r="J1485" s="44" t="s">
        <v>8</v>
      </c>
      <c r="K1485" s="23" t="s">
        <v>8</v>
      </c>
      <c r="L1485" s="23" t="s">
        <v>8</v>
      </c>
      <c r="M1485" s="23" t="s">
        <v>8</v>
      </c>
    </row>
    <row r="1486" spans="1:13" s="21" customFormat="1" x14ac:dyDescent="0.25">
      <c r="A1486" s="22" t="s">
        <v>8</v>
      </c>
      <c r="B1486" s="18" t="str">
        <f>"075074"</f>
        <v>075074</v>
      </c>
      <c r="C1486" s="19" t="s">
        <v>1485</v>
      </c>
      <c r="D1486" s="19" t="s">
        <v>16919</v>
      </c>
      <c r="E1486" s="19" t="s">
        <v>31397</v>
      </c>
      <c r="F1486" s="19" t="s">
        <v>35980</v>
      </c>
      <c r="G1486" s="18" t="str">
        <f>"06810"</f>
        <v>06810</v>
      </c>
      <c r="H1486" s="19" t="s">
        <v>31103</v>
      </c>
      <c r="I1486" s="20">
        <v>19.465</v>
      </c>
      <c r="J1486" s="44" t="s">
        <v>8</v>
      </c>
      <c r="K1486" s="23" t="s">
        <v>8</v>
      </c>
      <c r="L1486" s="23" t="s">
        <v>8</v>
      </c>
      <c r="M1486" s="23" t="s">
        <v>8</v>
      </c>
    </row>
    <row r="1487" spans="1:13" s="21" customFormat="1" x14ac:dyDescent="0.25">
      <c r="A1487" s="22" t="s">
        <v>8</v>
      </c>
      <c r="B1487" s="18" t="str">
        <f>"075078"</f>
        <v>075078</v>
      </c>
      <c r="C1487" s="19" t="s">
        <v>1486</v>
      </c>
      <c r="D1487" s="19" t="s">
        <v>16920</v>
      </c>
      <c r="E1487" s="19" t="s">
        <v>31408</v>
      </c>
      <c r="F1487" s="19" t="s">
        <v>35980</v>
      </c>
      <c r="G1487" s="18" t="str">
        <f>"06241"</f>
        <v>06241</v>
      </c>
      <c r="H1487" s="19" t="s">
        <v>31446</v>
      </c>
      <c r="I1487" s="20">
        <v>16.762</v>
      </c>
      <c r="J1487" s="44" t="s">
        <v>8</v>
      </c>
      <c r="K1487" s="23" t="s">
        <v>8</v>
      </c>
      <c r="L1487" s="23" t="s">
        <v>8</v>
      </c>
      <c r="M1487" s="23" t="s">
        <v>8</v>
      </c>
    </row>
    <row r="1488" spans="1:13" s="21" customFormat="1" x14ac:dyDescent="0.25">
      <c r="A1488" s="22" t="s">
        <v>8</v>
      </c>
      <c r="B1488" s="18" t="str">
        <f>"075079"</f>
        <v>075079</v>
      </c>
      <c r="C1488" s="19" t="s">
        <v>1487</v>
      </c>
      <c r="D1488" s="19" t="s">
        <v>16921</v>
      </c>
      <c r="E1488" s="19" t="s">
        <v>31409</v>
      </c>
      <c r="F1488" s="19" t="s">
        <v>35980</v>
      </c>
      <c r="G1488" s="18" t="str">
        <f>"06360"</f>
        <v>06360</v>
      </c>
      <c r="H1488" s="19" t="s">
        <v>31423</v>
      </c>
      <c r="I1488" s="20">
        <v>17.753</v>
      </c>
      <c r="J1488" s="44" t="s">
        <v>8</v>
      </c>
      <c r="K1488" s="23" t="s">
        <v>8</v>
      </c>
      <c r="L1488" s="23" t="s">
        <v>8</v>
      </c>
      <c r="M1488" s="23" t="s">
        <v>8</v>
      </c>
    </row>
    <row r="1489" spans="1:13" s="21" customFormat="1" x14ac:dyDescent="0.25">
      <c r="A1489" s="22" t="s">
        <v>8</v>
      </c>
      <c r="B1489" s="18" t="str">
        <f>"075082"</f>
        <v>075082</v>
      </c>
      <c r="C1489" s="19" t="s">
        <v>1488</v>
      </c>
      <c r="D1489" s="19" t="s">
        <v>16922</v>
      </c>
      <c r="E1489" s="19" t="s">
        <v>31410</v>
      </c>
      <c r="F1489" s="19" t="s">
        <v>35980</v>
      </c>
      <c r="G1489" s="18" t="str">
        <f>"06119"</f>
        <v>06119</v>
      </c>
      <c r="H1489" s="19" t="s">
        <v>30919</v>
      </c>
      <c r="I1489" s="20">
        <v>15.005000000000001</v>
      </c>
      <c r="J1489" s="44" t="s">
        <v>8</v>
      </c>
      <c r="K1489" s="23" t="s">
        <v>8</v>
      </c>
      <c r="L1489" s="23" t="s">
        <v>8</v>
      </c>
      <c r="M1489" s="23" t="s">
        <v>8</v>
      </c>
    </row>
    <row r="1490" spans="1:13" s="21" customFormat="1" x14ac:dyDescent="0.25">
      <c r="A1490" s="22" t="s">
        <v>8</v>
      </c>
      <c r="B1490" s="18" t="str">
        <f>"075084"</f>
        <v>075084</v>
      </c>
      <c r="C1490" s="19" t="s">
        <v>1489</v>
      </c>
      <c r="D1490" s="19" t="s">
        <v>16923</v>
      </c>
      <c r="E1490" s="19" t="s">
        <v>31411</v>
      </c>
      <c r="F1490" s="19" t="s">
        <v>35980</v>
      </c>
      <c r="G1490" s="18" t="str">
        <f>"06374"</f>
        <v>06374</v>
      </c>
      <c r="H1490" s="19" t="s">
        <v>31446</v>
      </c>
      <c r="I1490" s="20">
        <v>18.414999999999999</v>
      </c>
      <c r="J1490" s="44" t="s">
        <v>8</v>
      </c>
      <c r="K1490" s="23" t="s">
        <v>8</v>
      </c>
      <c r="L1490" s="23" t="s">
        <v>8</v>
      </c>
      <c r="M1490" s="23" t="s">
        <v>8</v>
      </c>
    </row>
    <row r="1491" spans="1:13" s="21" customFormat="1" x14ac:dyDescent="0.25">
      <c r="A1491" s="22" t="s">
        <v>8</v>
      </c>
      <c r="B1491" s="18" t="str">
        <f>"075085"</f>
        <v>075085</v>
      </c>
      <c r="C1491" s="19" t="s">
        <v>1490</v>
      </c>
      <c r="D1491" s="19" t="s">
        <v>16924</v>
      </c>
      <c r="E1491" s="19" t="s">
        <v>31410</v>
      </c>
      <c r="F1491" s="19" t="s">
        <v>35980</v>
      </c>
      <c r="G1491" s="18" t="str">
        <f>"06117"</f>
        <v>06117</v>
      </c>
      <c r="H1491" s="19" t="s">
        <v>30919</v>
      </c>
      <c r="I1491" s="20">
        <v>15.94</v>
      </c>
      <c r="J1491" s="44" t="s">
        <v>8</v>
      </c>
      <c r="K1491" s="23" t="s">
        <v>8</v>
      </c>
      <c r="L1491" s="23" t="s">
        <v>8</v>
      </c>
      <c r="M1491" s="23" t="s">
        <v>8</v>
      </c>
    </row>
    <row r="1492" spans="1:13" s="21" customFormat="1" x14ac:dyDescent="0.25">
      <c r="A1492" s="22" t="s">
        <v>8</v>
      </c>
      <c r="B1492" s="18" t="str">
        <f>"075089"</f>
        <v>075089</v>
      </c>
      <c r="C1492" s="19" t="s">
        <v>1491</v>
      </c>
      <c r="D1492" s="19" t="s">
        <v>16925</v>
      </c>
      <c r="E1492" s="19" t="s">
        <v>31412</v>
      </c>
      <c r="F1492" s="19" t="s">
        <v>35980</v>
      </c>
      <c r="G1492" s="18" t="str">
        <f>"06457"</f>
        <v>06457</v>
      </c>
      <c r="H1492" s="19" t="s">
        <v>36120</v>
      </c>
      <c r="I1492" s="20">
        <v>17.812999999999999</v>
      </c>
      <c r="J1492" s="44" t="s">
        <v>8</v>
      </c>
      <c r="K1492" s="23" t="s">
        <v>8</v>
      </c>
      <c r="L1492" s="23" t="s">
        <v>8</v>
      </c>
      <c r="M1492" s="23" t="s">
        <v>8</v>
      </c>
    </row>
    <row r="1493" spans="1:13" s="21" customFormat="1" x14ac:dyDescent="0.25">
      <c r="A1493" s="22" t="s">
        <v>8</v>
      </c>
      <c r="B1493" s="18" t="str">
        <f>"075096"</f>
        <v>075096</v>
      </c>
      <c r="C1493" s="19" t="s">
        <v>1492</v>
      </c>
      <c r="D1493" s="19" t="s">
        <v>16926</v>
      </c>
      <c r="E1493" s="19" t="s">
        <v>31413</v>
      </c>
      <c r="F1493" s="19" t="s">
        <v>35980</v>
      </c>
      <c r="G1493" s="18" t="str">
        <f>"06710"</f>
        <v>06710</v>
      </c>
      <c r="H1493" s="19" t="s">
        <v>31450</v>
      </c>
      <c r="I1493" s="20">
        <v>17.696999999999999</v>
      </c>
      <c r="J1493" s="44" t="s">
        <v>8</v>
      </c>
      <c r="K1493" s="23" t="s">
        <v>8</v>
      </c>
      <c r="L1493" s="23" t="s">
        <v>8</v>
      </c>
      <c r="M1493" s="23" t="s">
        <v>8</v>
      </c>
    </row>
    <row r="1494" spans="1:13" s="21" customFormat="1" x14ac:dyDescent="0.25">
      <c r="A1494" s="22" t="s">
        <v>8</v>
      </c>
      <c r="B1494" s="18" t="str">
        <f>"075102"</f>
        <v>075102</v>
      </c>
      <c r="C1494" s="19" t="s">
        <v>1493</v>
      </c>
      <c r="D1494" s="19" t="s">
        <v>16927</v>
      </c>
      <c r="E1494" s="19" t="s">
        <v>31413</v>
      </c>
      <c r="F1494" s="19" t="s">
        <v>35980</v>
      </c>
      <c r="G1494" s="18" t="str">
        <f>"06705"</f>
        <v>06705</v>
      </c>
      <c r="H1494" s="19" t="s">
        <v>31450</v>
      </c>
      <c r="I1494" s="20">
        <v>16.173999999999999</v>
      </c>
      <c r="J1494" s="44" t="s">
        <v>8</v>
      </c>
      <c r="K1494" s="23" t="s">
        <v>8</v>
      </c>
      <c r="L1494" s="23" t="s">
        <v>8</v>
      </c>
      <c r="M1494" s="23" t="s">
        <v>8</v>
      </c>
    </row>
    <row r="1495" spans="1:13" s="21" customFormat="1" x14ac:dyDescent="0.25">
      <c r="A1495" s="22" t="s">
        <v>8</v>
      </c>
      <c r="B1495" s="18" t="str">
        <f>"075104"</f>
        <v>075104</v>
      </c>
      <c r="C1495" s="19" t="s">
        <v>1494</v>
      </c>
      <c r="D1495" s="19" t="s">
        <v>16928</v>
      </c>
      <c r="E1495" s="19" t="s">
        <v>30920</v>
      </c>
      <c r="F1495" s="19" t="s">
        <v>35980</v>
      </c>
      <c r="G1495" s="18" t="str">
        <f>"06604"</f>
        <v>06604</v>
      </c>
      <c r="H1495" s="19" t="s">
        <v>31103</v>
      </c>
      <c r="I1495" s="20">
        <v>17.074000000000002</v>
      </c>
      <c r="J1495" s="44" t="s">
        <v>8</v>
      </c>
      <c r="K1495" s="23" t="s">
        <v>8</v>
      </c>
      <c r="L1495" s="23" t="s">
        <v>8</v>
      </c>
      <c r="M1495" s="23" t="s">
        <v>8</v>
      </c>
    </row>
    <row r="1496" spans="1:13" s="21" customFormat="1" x14ac:dyDescent="0.25">
      <c r="A1496" s="22" t="s">
        <v>8</v>
      </c>
      <c r="B1496" s="18" t="str">
        <f>"075105"</f>
        <v>075105</v>
      </c>
      <c r="C1496" s="19" t="s">
        <v>1495</v>
      </c>
      <c r="D1496" s="19" t="s">
        <v>16929</v>
      </c>
      <c r="E1496" s="19" t="s">
        <v>31414</v>
      </c>
      <c r="F1496" s="19" t="s">
        <v>35980</v>
      </c>
      <c r="G1496" s="18" t="str">
        <f>"06790"</f>
        <v>06790</v>
      </c>
      <c r="H1496" s="19" t="s">
        <v>31463</v>
      </c>
      <c r="I1496" s="20">
        <v>21.24</v>
      </c>
      <c r="J1496" s="44" t="s">
        <v>8</v>
      </c>
      <c r="K1496" s="23" t="s">
        <v>8</v>
      </c>
      <c r="L1496" s="23" t="s">
        <v>8</v>
      </c>
      <c r="M1496" s="23" t="s">
        <v>8</v>
      </c>
    </row>
    <row r="1497" spans="1:13" s="21" customFormat="1" x14ac:dyDescent="0.25">
      <c r="A1497" s="22" t="s">
        <v>8</v>
      </c>
      <c r="B1497" s="18" t="str">
        <f>"075106"</f>
        <v>075106</v>
      </c>
      <c r="C1497" s="19" t="s">
        <v>1496</v>
      </c>
      <c r="D1497" s="19" t="s">
        <v>16930</v>
      </c>
      <c r="E1497" s="19" t="s">
        <v>31412</v>
      </c>
      <c r="F1497" s="19" t="s">
        <v>35980</v>
      </c>
      <c r="G1497" s="18" t="str">
        <f>"06457"</f>
        <v>06457</v>
      </c>
      <c r="H1497" s="19" t="s">
        <v>36120</v>
      </c>
      <c r="I1497" s="20">
        <v>19.661999999999999</v>
      </c>
      <c r="J1497" s="44" t="s">
        <v>8</v>
      </c>
      <c r="K1497" s="23" t="s">
        <v>8</v>
      </c>
      <c r="L1497" s="23" t="s">
        <v>8</v>
      </c>
      <c r="M1497" s="23" t="s">
        <v>8</v>
      </c>
    </row>
    <row r="1498" spans="1:13" s="21" customFormat="1" x14ac:dyDescent="0.25">
      <c r="A1498" s="22" t="s">
        <v>8</v>
      </c>
      <c r="B1498" s="18" t="str">
        <f>"075109"</f>
        <v>075109</v>
      </c>
      <c r="C1498" s="19" t="s">
        <v>1497</v>
      </c>
      <c r="D1498" s="19" t="s">
        <v>16931</v>
      </c>
      <c r="E1498" s="19" t="s">
        <v>31410</v>
      </c>
      <c r="F1498" s="19" t="s">
        <v>35980</v>
      </c>
      <c r="G1498" s="18" t="str">
        <f>"06117"</f>
        <v>06117</v>
      </c>
      <c r="H1498" s="19" t="s">
        <v>30919</v>
      </c>
      <c r="I1498" s="20">
        <v>18.565000000000001</v>
      </c>
      <c r="J1498" s="44" t="s">
        <v>8</v>
      </c>
      <c r="K1498" s="23" t="s">
        <v>8</v>
      </c>
      <c r="L1498" s="23" t="s">
        <v>8</v>
      </c>
      <c r="M1498" s="23" t="s">
        <v>8</v>
      </c>
    </row>
    <row r="1499" spans="1:13" s="21" customFormat="1" x14ac:dyDescent="0.25">
      <c r="A1499" s="22" t="s">
        <v>8</v>
      </c>
      <c r="B1499" s="18" t="str">
        <f>"075111"</f>
        <v>075111</v>
      </c>
      <c r="C1499" s="19" t="s">
        <v>1498</v>
      </c>
      <c r="D1499" s="19" t="s">
        <v>16932</v>
      </c>
      <c r="E1499" s="19" t="s">
        <v>31414</v>
      </c>
      <c r="F1499" s="19" t="s">
        <v>35980</v>
      </c>
      <c r="G1499" s="18" t="str">
        <f>"06790"</f>
        <v>06790</v>
      </c>
      <c r="H1499" s="19" t="s">
        <v>31463</v>
      </c>
      <c r="I1499" s="20">
        <v>15.884</v>
      </c>
      <c r="J1499" s="44" t="s">
        <v>8</v>
      </c>
      <c r="K1499" s="23" t="s">
        <v>8</v>
      </c>
      <c r="L1499" s="23" t="s">
        <v>8</v>
      </c>
      <c r="M1499" s="23" t="s">
        <v>8</v>
      </c>
    </row>
    <row r="1500" spans="1:13" s="21" customFormat="1" x14ac:dyDescent="0.25">
      <c r="A1500" s="22" t="s">
        <v>8</v>
      </c>
      <c r="B1500" s="18" t="str">
        <f>"075113"</f>
        <v>075113</v>
      </c>
      <c r="C1500" s="19" t="s">
        <v>1499</v>
      </c>
      <c r="D1500" s="19" t="s">
        <v>16933</v>
      </c>
      <c r="E1500" s="19" t="s">
        <v>31415</v>
      </c>
      <c r="F1500" s="19" t="s">
        <v>35980</v>
      </c>
      <c r="G1500" s="18" t="str">
        <f>"06385"</f>
        <v>06385</v>
      </c>
      <c r="H1500" s="19" t="s">
        <v>31423</v>
      </c>
      <c r="I1500" s="20">
        <v>19.512</v>
      </c>
      <c r="J1500" s="44" t="s">
        <v>8</v>
      </c>
      <c r="K1500" s="23" t="s">
        <v>8</v>
      </c>
      <c r="L1500" s="23" t="s">
        <v>8</v>
      </c>
      <c r="M1500" s="23" t="s">
        <v>8</v>
      </c>
    </row>
    <row r="1501" spans="1:13" s="21" customFormat="1" x14ac:dyDescent="0.25">
      <c r="A1501" s="22" t="s">
        <v>8</v>
      </c>
      <c r="B1501" s="18" t="str">
        <f>"075117"</f>
        <v>075117</v>
      </c>
      <c r="C1501" s="19" t="s">
        <v>1500</v>
      </c>
      <c r="D1501" s="19" t="s">
        <v>16934</v>
      </c>
      <c r="E1501" s="19" t="s">
        <v>31406</v>
      </c>
      <c r="F1501" s="19" t="s">
        <v>35980</v>
      </c>
      <c r="G1501" s="18" t="str">
        <f>"06830"</f>
        <v>06830</v>
      </c>
      <c r="H1501" s="19" t="s">
        <v>31103</v>
      </c>
      <c r="I1501" s="20">
        <v>18.257000000000001</v>
      </c>
      <c r="J1501" s="44" t="s">
        <v>8</v>
      </c>
      <c r="K1501" s="23" t="s">
        <v>8</v>
      </c>
      <c r="L1501" s="23" t="s">
        <v>8</v>
      </c>
      <c r="M1501" s="23" t="s">
        <v>8</v>
      </c>
    </row>
    <row r="1502" spans="1:13" s="21" customFormat="1" x14ac:dyDescent="0.25">
      <c r="A1502" s="22" t="s">
        <v>8</v>
      </c>
      <c r="B1502" s="18" t="str">
        <f>"075135"</f>
        <v>075135</v>
      </c>
      <c r="C1502" s="19" t="s">
        <v>1501</v>
      </c>
      <c r="D1502" s="19" t="s">
        <v>16935</v>
      </c>
      <c r="E1502" s="19" t="s">
        <v>31401</v>
      </c>
      <c r="F1502" s="19" t="s">
        <v>35980</v>
      </c>
      <c r="G1502" s="18" t="str">
        <f>"06492"</f>
        <v>06492</v>
      </c>
      <c r="H1502" s="19" t="s">
        <v>31450</v>
      </c>
      <c r="I1502" s="20">
        <v>19.934999999999999</v>
      </c>
      <c r="J1502" s="44" t="s">
        <v>8</v>
      </c>
      <c r="K1502" s="23" t="s">
        <v>8</v>
      </c>
      <c r="L1502" s="23" t="s">
        <v>8</v>
      </c>
      <c r="M1502" s="23" t="s">
        <v>8</v>
      </c>
    </row>
    <row r="1503" spans="1:13" s="21" customFormat="1" x14ac:dyDescent="0.25">
      <c r="A1503" s="22" t="s">
        <v>8</v>
      </c>
      <c r="B1503" s="18" t="str">
        <f>"075138"</f>
        <v>075138</v>
      </c>
      <c r="C1503" s="19" t="s">
        <v>1502</v>
      </c>
      <c r="D1503" s="19" t="s">
        <v>16936</v>
      </c>
      <c r="E1503" s="19" t="s">
        <v>31416</v>
      </c>
      <c r="F1503" s="19" t="s">
        <v>35980</v>
      </c>
      <c r="G1503" s="18" t="str">
        <f>"06002"</f>
        <v>06002</v>
      </c>
      <c r="H1503" s="19" t="s">
        <v>30919</v>
      </c>
      <c r="I1503" s="20">
        <v>19.959</v>
      </c>
      <c r="J1503" s="44" t="s">
        <v>8</v>
      </c>
      <c r="K1503" s="23" t="s">
        <v>8</v>
      </c>
      <c r="L1503" s="23" t="s">
        <v>8</v>
      </c>
      <c r="M1503" s="23" t="s">
        <v>8</v>
      </c>
    </row>
    <row r="1504" spans="1:13" s="21" customFormat="1" x14ac:dyDescent="0.25">
      <c r="A1504" s="22" t="s">
        <v>8</v>
      </c>
      <c r="B1504" s="18" t="str">
        <f>"075144"</f>
        <v>075144</v>
      </c>
      <c r="C1504" s="19" t="s">
        <v>1503</v>
      </c>
      <c r="D1504" s="19" t="s">
        <v>16937</v>
      </c>
      <c r="E1504" s="19" t="s">
        <v>31417</v>
      </c>
      <c r="F1504" s="19" t="s">
        <v>35980</v>
      </c>
      <c r="G1504" s="18" t="str">
        <f>"06437"</f>
        <v>06437</v>
      </c>
      <c r="H1504" s="19" t="s">
        <v>31450</v>
      </c>
      <c r="I1504" s="20">
        <v>17.57</v>
      </c>
      <c r="J1504" s="44" t="s">
        <v>8</v>
      </c>
      <c r="K1504" s="23" t="s">
        <v>8</v>
      </c>
      <c r="L1504" s="23" t="s">
        <v>8</v>
      </c>
      <c r="M1504" s="23" t="s">
        <v>8</v>
      </c>
    </row>
    <row r="1505" spans="1:13" s="21" customFormat="1" x14ac:dyDescent="0.25">
      <c r="A1505" s="22" t="s">
        <v>8</v>
      </c>
      <c r="B1505" s="18" t="str">
        <f>"075146"</f>
        <v>075146</v>
      </c>
      <c r="C1505" s="19" t="s">
        <v>1504</v>
      </c>
      <c r="D1505" s="19" t="s">
        <v>16938</v>
      </c>
      <c r="E1505" s="19" t="s">
        <v>31418</v>
      </c>
      <c r="F1505" s="19" t="s">
        <v>35980</v>
      </c>
      <c r="G1505" s="18" t="str">
        <f>"06762"</f>
        <v>06762</v>
      </c>
      <c r="H1505" s="19" t="s">
        <v>31450</v>
      </c>
      <c r="I1505" s="20">
        <v>16.707999999999998</v>
      </c>
      <c r="J1505" s="44" t="s">
        <v>8</v>
      </c>
      <c r="K1505" s="23" t="s">
        <v>8</v>
      </c>
      <c r="L1505" s="23" t="s">
        <v>8</v>
      </c>
      <c r="M1505" s="23" t="s">
        <v>8</v>
      </c>
    </row>
    <row r="1506" spans="1:13" s="21" customFormat="1" x14ac:dyDescent="0.25">
      <c r="A1506" s="22" t="s">
        <v>8</v>
      </c>
      <c r="B1506" s="18" t="str">
        <f>"075153"</f>
        <v>075153</v>
      </c>
      <c r="C1506" s="19" t="s">
        <v>1505</v>
      </c>
      <c r="D1506" s="19" t="s">
        <v>16939</v>
      </c>
      <c r="E1506" s="19" t="s">
        <v>31404</v>
      </c>
      <c r="F1506" s="19" t="s">
        <v>35980</v>
      </c>
      <c r="G1506" s="18" t="str">
        <f>"06903"</f>
        <v>06903</v>
      </c>
      <c r="H1506" s="19" t="s">
        <v>31103</v>
      </c>
      <c r="I1506" s="20">
        <v>17.898</v>
      </c>
      <c r="J1506" s="44" t="s">
        <v>8</v>
      </c>
      <c r="K1506" s="23" t="s">
        <v>8</v>
      </c>
      <c r="L1506" s="23" t="s">
        <v>8</v>
      </c>
      <c r="M1506" s="23" t="s">
        <v>8</v>
      </c>
    </row>
    <row r="1507" spans="1:13" s="21" customFormat="1" x14ac:dyDescent="0.25">
      <c r="A1507" s="22" t="s">
        <v>8</v>
      </c>
      <c r="B1507" s="18" t="str">
        <f>"075158"</f>
        <v>075158</v>
      </c>
      <c r="C1507" s="19" t="s">
        <v>1506</v>
      </c>
      <c r="D1507" s="19" t="s">
        <v>16940</v>
      </c>
      <c r="E1507" s="19" t="s">
        <v>31415</v>
      </c>
      <c r="F1507" s="19" t="s">
        <v>35980</v>
      </c>
      <c r="G1507" s="18" t="str">
        <f>"06385"</f>
        <v>06385</v>
      </c>
      <c r="H1507" s="19" t="s">
        <v>31423</v>
      </c>
      <c r="I1507" s="20">
        <v>17.681999999999999</v>
      </c>
      <c r="J1507" s="44" t="s">
        <v>8</v>
      </c>
      <c r="K1507" s="23" t="s">
        <v>8</v>
      </c>
      <c r="L1507" s="23" t="s">
        <v>8</v>
      </c>
      <c r="M1507" s="23" t="s">
        <v>8</v>
      </c>
    </row>
    <row r="1508" spans="1:13" s="21" customFormat="1" x14ac:dyDescent="0.25">
      <c r="A1508" s="22" t="s">
        <v>8</v>
      </c>
      <c r="B1508" s="18" t="str">
        <f>"075159"</f>
        <v>075159</v>
      </c>
      <c r="C1508" s="19" t="s">
        <v>1507</v>
      </c>
      <c r="D1508" s="19" t="s">
        <v>16941</v>
      </c>
      <c r="E1508" s="19" t="s">
        <v>31181</v>
      </c>
      <c r="F1508" s="19" t="s">
        <v>35980</v>
      </c>
      <c r="G1508" s="18" t="str">
        <f>"06850"</f>
        <v>06850</v>
      </c>
      <c r="H1508" s="19" t="s">
        <v>31103</v>
      </c>
      <c r="I1508" s="20">
        <v>18.539000000000001</v>
      </c>
      <c r="J1508" s="44" t="s">
        <v>8</v>
      </c>
      <c r="K1508" s="23" t="s">
        <v>8</v>
      </c>
      <c r="L1508" s="23" t="s">
        <v>8</v>
      </c>
      <c r="M1508" s="23" t="s">
        <v>8</v>
      </c>
    </row>
    <row r="1509" spans="1:13" s="21" customFormat="1" x14ac:dyDescent="0.25">
      <c r="A1509" s="22" t="s">
        <v>8</v>
      </c>
      <c r="B1509" s="18" t="str">
        <f>"075163"</f>
        <v>075163</v>
      </c>
      <c r="C1509" s="19" t="s">
        <v>1508</v>
      </c>
      <c r="D1509" s="19" t="s">
        <v>16942</v>
      </c>
      <c r="E1509" s="19" t="s">
        <v>31399</v>
      </c>
      <c r="F1509" s="19" t="s">
        <v>35980</v>
      </c>
      <c r="G1509" s="18" t="str">
        <f>"06484"</f>
        <v>06484</v>
      </c>
      <c r="H1509" s="19" t="s">
        <v>31103</v>
      </c>
      <c r="I1509" s="20">
        <v>18.169</v>
      </c>
      <c r="J1509" s="44" t="s">
        <v>8</v>
      </c>
      <c r="K1509" s="23" t="s">
        <v>8</v>
      </c>
      <c r="L1509" s="23" t="s">
        <v>8</v>
      </c>
      <c r="M1509" s="23" t="s">
        <v>8</v>
      </c>
    </row>
    <row r="1510" spans="1:13" s="21" customFormat="1" x14ac:dyDescent="0.25">
      <c r="A1510" s="22" t="s">
        <v>8</v>
      </c>
      <c r="B1510" s="18" t="str">
        <f>"075181"</f>
        <v>075181</v>
      </c>
      <c r="C1510" s="19" t="s">
        <v>1509</v>
      </c>
      <c r="D1510" s="19" t="s">
        <v>16943</v>
      </c>
      <c r="E1510" s="19" t="s">
        <v>31419</v>
      </c>
      <c r="F1510" s="19" t="s">
        <v>35980</v>
      </c>
      <c r="G1510" s="18" t="str">
        <f>"06795"</f>
        <v>06795</v>
      </c>
      <c r="H1510" s="19" t="s">
        <v>31463</v>
      </c>
      <c r="I1510" s="20">
        <v>21.024000000000001</v>
      </c>
      <c r="J1510" s="44" t="s">
        <v>8</v>
      </c>
      <c r="K1510" s="23" t="s">
        <v>8</v>
      </c>
      <c r="L1510" s="23" t="s">
        <v>8</v>
      </c>
      <c r="M1510" s="23" t="s">
        <v>8</v>
      </c>
    </row>
    <row r="1511" spans="1:13" s="21" customFormat="1" x14ac:dyDescent="0.25">
      <c r="A1511" s="22" t="s">
        <v>8</v>
      </c>
      <c r="B1511" s="18" t="str">
        <f>"075182"</f>
        <v>075182</v>
      </c>
      <c r="C1511" s="19" t="s">
        <v>1510</v>
      </c>
      <c r="D1511" s="19" t="s">
        <v>16944</v>
      </c>
      <c r="E1511" s="19" t="s">
        <v>31420</v>
      </c>
      <c r="F1511" s="19" t="s">
        <v>35980</v>
      </c>
      <c r="G1511" s="18" t="str">
        <f>"06052"</f>
        <v>06052</v>
      </c>
      <c r="H1511" s="19" t="s">
        <v>30919</v>
      </c>
      <c r="I1511" s="20">
        <v>19.074000000000002</v>
      </c>
      <c r="J1511" s="44" t="s">
        <v>8</v>
      </c>
      <c r="K1511" s="23" t="s">
        <v>8</v>
      </c>
      <c r="L1511" s="23" t="s">
        <v>8</v>
      </c>
      <c r="M1511" s="23" t="s">
        <v>8</v>
      </c>
    </row>
    <row r="1512" spans="1:13" s="21" customFormat="1" x14ac:dyDescent="0.25">
      <c r="A1512" s="22" t="s">
        <v>8</v>
      </c>
      <c r="B1512" s="18" t="str">
        <f>"075183"</f>
        <v>075183</v>
      </c>
      <c r="C1512" s="19" t="s">
        <v>1511</v>
      </c>
      <c r="D1512" s="19" t="s">
        <v>16945</v>
      </c>
      <c r="E1512" s="19" t="s">
        <v>31421</v>
      </c>
      <c r="F1512" s="19" t="s">
        <v>35980</v>
      </c>
      <c r="G1512" s="18" t="str">
        <f>"06066"</f>
        <v>06066</v>
      </c>
      <c r="H1512" s="19" t="s">
        <v>31475</v>
      </c>
      <c r="I1512" s="20">
        <v>16.231000000000002</v>
      </c>
      <c r="J1512" s="44" t="s">
        <v>8</v>
      </c>
      <c r="K1512" s="23" t="s">
        <v>8</v>
      </c>
      <c r="L1512" s="23" t="s">
        <v>8</v>
      </c>
      <c r="M1512" s="23" t="s">
        <v>8</v>
      </c>
    </row>
    <row r="1513" spans="1:13" s="21" customFormat="1" x14ac:dyDescent="0.25">
      <c r="A1513" s="22" t="s">
        <v>8</v>
      </c>
      <c r="B1513" s="18" t="str">
        <f>"075185"</f>
        <v>075185</v>
      </c>
      <c r="C1513" s="19" t="s">
        <v>1512</v>
      </c>
      <c r="D1513" s="19" t="s">
        <v>16946</v>
      </c>
      <c r="E1513" s="19" t="s">
        <v>31420</v>
      </c>
      <c r="F1513" s="19" t="s">
        <v>35980</v>
      </c>
      <c r="G1513" s="18" t="str">
        <f>"06051"</f>
        <v>06051</v>
      </c>
      <c r="H1513" s="19" t="s">
        <v>30919</v>
      </c>
      <c r="I1513" s="20">
        <v>20.884</v>
      </c>
      <c r="J1513" s="44" t="s">
        <v>8</v>
      </c>
      <c r="K1513" s="23" t="s">
        <v>8</v>
      </c>
      <c r="L1513" s="23" t="s">
        <v>8</v>
      </c>
      <c r="M1513" s="23" t="s">
        <v>8</v>
      </c>
    </row>
    <row r="1514" spans="1:13" s="21" customFormat="1" x14ac:dyDescent="0.25">
      <c r="A1514" s="22" t="s">
        <v>8</v>
      </c>
      <c r="B1514" s="18" t="str">
        <f>"075192"</f>
        <v>075192</v>
      </c>
      <c r="C1514" s="19" t="s">
        <v>1513</v>
      </c>
      <c r="D1514" s="19" t="s">
        <v>16947</v>
      </c>
      <c r="E1514" s="19" t="s">
        <v>31422</v>
      </c>
      <c r="F1514" s="19" t="s">
        <v>35980</v>
      </c>
      <c r="G1514" s="18" t="str">
        <f>"06450"</f>
        <v>06450</v>
      </c>
      <c r="H1514" s="19" t="s">
        <v>31450</v>
      </c>
      <c r="I1514" s="20">
        <v>18.704999999999998</v>
      </c>
      <c r="J1514" s="44" t="s">
        <v>8</v>
      </c>
      <c r="K1514" s="23" t="s">
        <v>8</v>
      </c>
      <c r="L1514" s="23" t="s">
        <v>8</v>
      </c>
      <c r="M1514" s="23" t="s">
        <v>8</v>
      </c>
    </row>
    <row r="1515" spans="1:13" s="21" customFormat="1" x14ac:dyDescent="0.25">
      <c r="A1515" s="22" t="s">
        <v>8</v>
      </c>
      <c r="B1515" s="18" t="str">
        <f>"075195"</f>
        <v>075195</v>
      </c>
      <c r="C1515" s="19" t="s">
        <v>1514</v>
      </c>
      <c r="D1515" s="19" t="s">
        <v>16948</v>
      </c>
      <c r="E1515" s="19" t="s">
        <v>31400</v>
      </c>
      <c r="F1515" s="19" t="s">
        <v>35980</v>
      </c>
      <c r="G1515" s="18" t="str">
        <f>"06082"</f>
        <v>06082</v>
      </c>
      <c r="H1515" s="19" t="s">
        <v>30919</v>
      </c>
      <c r="I1515" s="20">
        <v>18.079999999999998</v>
      </c>
      <c r="J1515" s="44" t="s">
        <v>8</v>
      </c>
      <c r="K1515" s="23" t="s">
        <v>8</v>
      </c>
      <c r="L1515" s="23" t="s">
        <v>8</v>
      </c>
      <c r="M1515" s="23" t="s">
        <v>8</v>
      </c>
    </row>
    <row r="1516" spans="1:13" s="21" customFormat="1" x14ac:dyDescent="0.25">
      <c r="A1516" s="22" t="s">
        <v>8</v>
      </c>
      <c r="B1516" s="18" t="str">
        <f>"075196"</f>
        <v>075196</v>
      </c>
      <c r="C1516" s="19" t="s">
        <v>1515</v>
      </c>
      <c r="D1516" s="19" t="s">
        <v>16949</v>
      </c>
      <c r="E1516" s="19" t="s">
        <v>31423</v>
      </c>
      <c r="F1516" s="19" t="s">
        <v>35980</v>
      </c>
      <c r="G1516" s="18" t="str">
        <f>"06320"</f>
        <v>06320</v>
      </c>
      <c r="H1516" s="19" t="s">
        <v>31423</v>
      </c>
      <c r="I1516" s="20">
        <v>18.649000000000001</v>
      </c>
      <c r="J1516" s="44" t="s">
        <v>8</v>
      </c>
      <c r="K1516" s="23" t="s">
        <v>8</v>
      </c>
      <c r="L1516" s="23" t="s">
        <v>8</v>
      </c>
      <c r="M1516" s="23" t="s">
        <v>8</v>
      </c>
    </row>
    <row r="1517" spans="1:13" s="21" customFormat="1" x14ac:dyDescent="0.25">
      <c r="A1517" s="22" t="s">
        <v>8</v>
      </c>
      <c r="B1517" s="18" t="str">
        <f>"075198"</f>
        <v>075198</v>
      </c>
      <c r="C1517" s="19" t="s">
        <v>1516</v>
      </c>
      <c r="D1517" s="19" t="s">
        <v>16950</v>
      </c>
      <c r="E1517" s="19" t="s">
        <v>31424</v>
      </c>
      <c r="F1517" s="19" t="s">
        <v>35980</v>
      </c>
      <c r="G1517" s="18" t="str">
        <f>"06010"</f>
        <v>06010</v>
      </c>
      <c r="H1517" s="19" t="s">
        <v>30919</v>
      </c>
      <c r="I1517" s="20">
        <v>20.41</v>
      </c>
      <c r="J1517" s="44" t="s">
        <v>8</v>
      </c>
      <c r="K1517" s="23" t="s">
        <v>8</v>
      </c>
      <c r="L1517" s="23" t="s">
        <v>8</v>
      </c>
      <c r="M1517" s="23" t="s">
        <v>8</v>
      </c>
    </row>
    <row r="1518" spans="1:13" s="21" customFormat="1" x14ac:dyDescent="0.25">
      <c r="A1518" s="22" t="s">
        <v>8</v>
      </c>
      <c r="B1518" s="18" t="str">
        <f>"075200"</f>
        <v>075200</v>
      </c>
      <c r="C1518" s="19" t="s">
        <v>1517</v>
      </c>
      <c r="D1518" s="19" t="s">
        <v>16951</v>
      </c>
      <c r="E1518" s="19" t="s">
        <v>31425</v>
      </c>
      <c r="F1518" s="19" t="s">
        <v>35980</v>
      </c>
      <c r="G1518" s="18" t="str">
        <f>"06890"</f>
        <v>06890</v>
      </c>
      <c r="H1518" s="19" t="s">
        <v>31103</v>
      </c>
      <c r="I1518" s="20">
        <v>18.864000000000001</v>
      </c>
      <c r="J1518" s="44" t="s">
        <v>8</v>
      </c>
      <c r="K1518" s="23" t="s">
        <v>8</v>
      </c>
      <c r="L1518" s="23" t="s">
        <v>8</v>
      </c>
      <c r="M1518" s="23" t="s">
        <v>8</v>
      </c>
    </row>
    <row r="1519" spans="1:13" s="21" customFormat="1" x14ac:dyDescent="0.25">
      <c r="A1519" s="22" t="s">
        <v>8</v>
      </c>
      <c r="B1519" s="18" t="str">
        <f>"075201"</f>
        <v>075201</v>
      </c>
      <c r="C1519" s="19" t="s">
        <v>1518</v>
      </c>
      <c r="D1519" s="19" t="s">
        <v>16952</v>
      </c>
      <c r="E1519" s="19" t="s">
        <v>31426</v>
      </c>
      <c r="F1519" s="19" t="s">
        <v>35980</v>
      </c>
      <c r="G1519" s="18" t="str">
        <f>"06516"</f>
        <v>06516</v>
      </c>
      <c r="H1519" s="19" t="s">
        <v>31450</v>
      </c>
      <c r="I1519" s="20">
        <v>21.878</v>
      </c>
      <c r="J1519" s="44" t="s">
        <v>8</v>
      </c>
      <c r="K1519" s="23" t="s">
        <v>8</v>
      </c>
      <c r="L1519" s="23" t="s">
        <v>8</v>
      </c>
      <c r="M1519" s="23" t="s">
        <v>8</v>
      </c>
    </row>
    <row r="1520" spans="1:13" s="21" customFormat="1" x14ac:dyDescent="0.25">
      <c r="A1520" s="22" t="s">
        <v>8</v>
      </c>
      <c r="B1520" s="18" t="str">
        <f>"075202"</f>
        <v>075202</v>
      </c>
      <c r="C1520" s="19" t="s">
        <v>1519</v>
      </c>
      <c r="D1520" s="19" t="s">
        <v>16953</v>
      </c>
      <c r="E1520" s="19" t="s">
        <v>31427</v>
      </c>
      <c r="F1520" s="19" t="s">
        <v>35980</v>
      </c>
      <c r="G1520" s="18" t="str">
        <f>"06018"</f>
        <v>06018</v>
      </c>
      <c r="H1520" s="19" t="s">
        <v>31463</v>
      </c>
      <c r="I1520" s="20">
        <v>19.966000000000001</v>
      </c>
      <c r="J1520" s="44" t="s">
        <v>8</v>
      </c>
      <c r="K1520" s="23" t="s">
        <v>8</v>
      </c>
      <c r="L1520" s="23" t="s">
        <v>8</v>
      </c>
      <c r="M1520" s="23" t="s">
        <v>8</v>
      </c>
    </row>
    <row r="1521" spans="1:13" s="21" customFormat="1" x14ac:dyDescent="0.25">
      <c r="A1521" s="22" t="s">
        <v>8</v>
      </c>
      <c r="B1521" s="18" t="str">
        <f>"075204"</f>
        <v>075204</v>
      </c>
      <c r="C1521" s="19" t="s">
        <v>1520</v>
      </c>
      <c r="D1521" s="19" t="s">
        <v>16954</v>
      </c>
      <c r="E1521" s="19" t="s">
        <v>31414</v>
      </c>
      <c r="F1521" s="19" t="s">
        <v>35980</v>
      </c>
      <c r="G1521" s="18" t="str">
        <f>"06790"</f>
        <v>06790</v>
      </c>
      <c r="H1521" s="19" t="s">
        <v>31463</v>
      </c>
      <c r="I1521" s="20">
        <v>22.276</v>
      </c>
      <c r="J1521" s="44" t="s">
        <v>8</v>
      </c>
      <c r="K1521" s="23" t="s">
        <v>8</v>
      </c>
      <c r="L1521" s="23" t="s">
        <v>8</v>
      </c>
      <c r="M1521" s="23" t="s">
        <v>8</v>
      </c>
    </row>
    <row r="1522" spans="1:13" s="21" customFormat="1" x14ac:dyDescent="0.25">
      <c r="A1522" s="22" t="s">
        <v>8</v>
      </c>
      <c r="B1522" s="18" t="str">
        <f>"075205"</f>
        <v>075205</v>
      </c>
      <c r="C1522" s="19" t="s">
        <v>1521</v>
      </c>
      <c r="D1522" s="19" t="s">
        <v>16955</v>
      </c>
      <c r="E1522" s="19" t="s">
        <v>31422</v>
      </c>
      <c r="F1522" s="19" t="s">
        <v>35980</v>
      </c>
      <c r="G1522" s="18" t="str">
        <f>"06450"</f>
        <v>06450</v>
      </c>
      <c r="H1522" s="19" t="s">
        <v>31450</v>
      </c>
      <c r="I1522" s="20">
        <v>19.672000000000001</v>
      </c>
      <c r="J1522" s="44" t="s">
        <v>8</v>
      </c>
      <c r="K1522" s="23" t="s">
        <v>8</v>
      </c>
      <c r="L1522" s="23" t="s">
        <v>8</v>
      </c>
      <c r="M1522" s="23" t="s">
        <v>8</v>
      </c>
    </row>
    <row r="1523" spans="1:13" s="21" customFormat="1" x14ac:dyDescent="0.25">
      <c r="A1523" s="22" t="s">
        <v>8</v>
      </c>
      <c r="B1523" s="18" t="str">
        <f>"075206"</f>
        <v>075206</v>
      </c>
      <c r="C1523" s="19" t="s">
        <v>1522</v>
      </c>
      <c r="D1523" s="19" t="s">
        <v>16956</v>
      </c>
      <c r="E1523" s="19" t="s">
        <v>31428</v>
      </c>
      <c r="F1523" s="19" t="s">
        <v>35980</v>
      </c>
      <c r="G1523" s="18" t="str">
        <f>"06118"</f>
        <v>06118</v>
      </c>
      <c r="H1523" s="19" t="s">
        <v>30919</v>
      </c>
      <c r="I1523" s="20">
        <v>20.062999999999999</v>
      </c>
      <c r="J1523" s="44" t="s">
        <v>8</v>
      </c>
      <c r="K1523" s="23" t="s">
        <v>8</v>
      </c>
      <c r="L1523" s="23" t="s">
        <v>8</v>
      </c>
      <c r="M1523" s="23" t="s">
        <v>8</v>
      </c>
    </row>
    <row r="1524" spans="1:13" s="21" customFormat="1" x14ac:dyDescent="0.25">
      <c r="A1524" s="22" t="s">
        <v>8</v>
      </c>
      <c r="B1524" s="18" t="str">
        <f>"075207"</f>
        <v>075207</v>
      </c>
      <c r="C1524" s="19" t="s">
        <v>1523</v>
      </c>
      <c r="D1524" s="19" t="s">
        <v>16957</v>
      </c>
      <c r="E1524" s="19" t="s">
        <v>31429</v>
      </c>
      <c r="F1524" s="19" t="s">
        <v>35980</v>
      </c>
      <c r="G1524" s="18" t="str">
        <f>"06712"</f>
        <v>06712</v>
      </c>
      <c r="H1524" s="19" t="s">
        <v>31450</v>
      </c>
      <c r="I1524" s="20">
        <v>22.097000000000001</v>
      </c>
      <c r="J1524" s="44" t="s">
        <v>8</v>
      </c>
      <c r="K1524" s="23" t="s">
        <v>8</v>
      </c>
      <c r="L1524" s="23" t="s">
        <v>8</v>
      </c>
      <c r="M1524" s="23" t="s">
        <v>8</v>
      </c>
    </row>
    <row r="1525" spans="1:13" s="21" customFormat="1" x14ac:dyDescent="0.25">
      <c r="A1525" s="22" t="s">
        <v>8</v>
      </c>
      <c r="B1525" s="18" t="str">
        <f>"075208"</f>
        <v>075208</v>
      </c>
      <c r="C1525" s="19" t="s">
        <v>1524</v>
      </c>
      <c r="D1525" s="19" t="s">
        <v>16958</v>
      </c>
      <c r="E1525" s="19" t="s">
        <v>31430</v>
      </c>
      <c r="F1525" s="19" t="s">
        <v>35980</v>
      </c>
      <c r="G1525" s="18" t="str">
        <f>"06776"</f>
        <v>06776</v>
      </c>
      <c r="H1525" s="19" t="s">
        <v>31463</v>
      </c>
      <c r="I1525" s="20">
        <v>14.617000000000001</v>
      </c>
      <c r="J1525" s="44" t="s">
        <v>8</v>
      </c>
      <c r="K1525" s="23" t="s">
        <v>8</v>
      </c>
      <c r="L1525" s="23" t="s">
        <v>8</v>
      </c>
      <c r="M1525" s="23" t="s">
        <v>8</v>
      </c>
    </row>
    <row r="1526" spans="1:13" s="21" customFormat="1" x14ac:dyDescent="0.25">
      <c r="A1526" s="22" t="s">
        <v>8</v>
      </c>
      <c r="B1526" s="18" t="str">
        <f>"075210"</f>
        <v>075210</v>
      </c>
      <c r="C1526" s="19" t="s">
        <v>1525</v>
      </c>
      <c r="D1526" s="19" t="s">
        <v>16959</v>
      </c>
      <c r="E1526" s="19" t="s">
        <v>31413</v>
      </c>
      <c r="F1526" s="19" t="s">
        <v>35980</v>
      </c>
      <c r="G1526" s="18" t="str">
        <f>"06705"</f>
        <v>06705</v>
      </c>
      <c r="H1526" s="19" t="s">
        <v>31450</v>
      </c>
      <c r="I1526" s="20">
        <v>16.73</v>
      </c>
      <c r="J1526" s="44" t="s">
        <v>8</v>
      </c>
      <c r="K1526" s="23" t="s">
        <v>8</v>
      </c>
      <c r="L1526" s="23" t="s">
        <v>8</v>
      </c>
      <c r="M1526" s="23" t="s">
        <v>8</v>
      </c>
    </row>
    <row r="1527" spans="1:13" s="21" customFormat="1" x14ac:dyDescent="0.25">
      <c r="A1527" s="22" t="s">
        <v>8</v>
      </c>
      <c r="B1527" s="18" t="str">
        <f>"075211"</f>
        <v>075211</v>
      </c>
      <c r="C1527" s="19" t="s">
        <v>1526</v>
      </c>
      <c r="D1527" s="19" t="s">
        <v>16960</v>
      </c>
      <c r="E1527" s="19" t="s">
        <v>31431</v>
      </c>
      <c r="F1527" s="19" t="s">
        <v>35980</v>
      </c>
      <c r="G1527" s="18" t="str">
        <f>"06067"</f>
        <v>06067</v>
      </c>
      <c r="H1527" s="19" t="s">
        <v>30919</v>
      </c>
      <c r="I1527" s="20">
        <v>21.411999999999999</v>
      </c>
      <c r="J1527" s="44" t="s">
        <v>8</v>
      </c>
      <c r="K1527" s="23" t="s">
        <v>8</v>
      </c>
      <c r="L1527" s="23" t="s">
        <v>8</v>
      </c>
      <c r="M1527" s="23" t="s">
        <v>8</v>
      </c>
    </row>
    <row r="1528" spans="1:13" s="21" customFormat="1" x14ac:dyDescent="0.25">
      <c r="A1528" s="22" t="s">
        <v>8</v>
      </c>
      <c r="B1528" s="18" t="str">
        <f>"075213"</f>
        <v>075213</v>
      </c>
      <c r="C1528" s="19" t="s">
        <v>1527</v>
      </c>
      <c r="D1528" s="19" t="s">
        <v>16961</v>
      </c>
      <c r="E1528" s="19" t="s">
        <v>31405</v>
      </c>
      <c r="F1528" s="19" t="s">
        <v>35980</v>
      </c>
      <c r="G1528" s="18" t="str">
        <f>"06460"</f>
        <v>06460</v>
      </c>
      <c r="H1528" s="19" t="s">
        <v>31450</v>
      </c>
      <c r="I1528" s="20">
        <v>18.568000000000001</v>
      </c>
      <c r="J1528" s="44" t="s">
        <v>8</v>
      </c>
      <c r="K1528" s="23" t="s">
        <v>8</v>
      </c>
      <c r="L1528" s="23" t="s">
        <v>8</v>
      </c>
      <c r="M1528" s="23" t="s">
        <v>8</v>
      </c>
    </row>
    <row r="1529" spans="1:13" s="21" customFormat="1" x14ac:dyDescent="0.25">
      <c r="A1529" s="22" t="s">
        <v>8</v>
      </c>
      <c r="B1529" s="18" t="str">
        <f>"075214"</f>
        <v>075214</v>
      </c>
      <c r="C1529" s="19" t="s">
        <v>1528</v>
      </c>
      <c r="D1529" s="19" t="s">
        <v>16962</v>
      </c>
      <c r="E1529" s="19" t="s">
        <v>31432</v>
      </c>
      <c r="F1529" s="19" t="s">
        <v>35980</v>
      </c>
      <c r="G1529" s="18" t="str">
        <f>"06480"</f>
        <v>06480</v>
      </c>
      <c r="H1529" s="19" t="s">
        <v>36120</v>
      </c>
      <c r="I1529" s="20">
        <v>14.92</v>
      </c>
      <c r="J1529" s="44" t="s">
        <v>8</v>
      </c>
      <c r="K1529" s="23" t="s">
        <v>8</v>
      </c>
      <c r="L1529" s="23" t="s">
        <v>8</v>
      </c>
      <c r="M1529" s="23" t="s">
        <v>8</v>
      </c>
    </row>
    <row r="1530" spans="1:13" s="21" customFormat="1" x14ac:dyDescent="0.25">
      <c r="A1530" s="22" t="s">
        <v>8</v>
      </c>
      <c r="B1530" s="18" t="str">
        <f>"075216"</f>
        <v>075216</v>
      </c>
      <c r="C1530" s="19" t="s">
        <v>1529</v>
      </c>
      <c r="D1530" s="19" t="s">
        <v>16963</v>
      </c>
      <c r="E1530" s="19" t="s">
        <v>31433</v>
      </c>
      <c r="F1530" s="19" t="s">
        <v>35980</v>
      </c>
      <c r="G1530" s="18" t="str">
        <f>"06070"</f>
        <v>06070</v>
      </c>
      <c r="H1530" s="19" t="s">
        <v>30919</v>
      </c>
      <c r="I1530" s="20">
        <v>18.728999999999999</v>
      </c>
      <c r="J1530" s="44" t="s">
        <v>8</v>
      </c>
      <c r="K1530" s="23" t="s">
        <v>8</v>
      </c>
      <c r="L1530" s="23" t="s">
        <v>8</v>
      </c>
      <c r="M1530" s="23" t="s">
        <v>8</v>
      </c>
    </row>
    <row r="1531" spans="1:13" s="21" customFormat="1" x14ac:dyDescent="0.25">
      <c r="A1531" s="22" t="s">
        <v>8</v>
      </c>
      <c r="B1531" s="18" t="str">
        <f>"075219"</f>
        <v>075219</v>
      </c>
      <c r="C1531" s="19" t="s">
        <v>1530</v>
      </c>
      <c r="D1531" s="19" t="s">
        <v>16964</v>
      </c>
      <c r="E1531" s="19" t="s">
        <v>31413</v>
      </c>
      <c r="F1531" s="19" t="s">
        <v>35980</v>
      </c>
      <c r="G1531" s="18" t="str">
        <f>"06708"</f>
        <v>06708</v>
      </c>
      <c r="H1531" s="19" t="s">
        <v>31450</v>
      </c>
      <c r="I1531" s="20">
        <v>18.393000000000001</v>
      </c>
      <c r="J1531" s="44" t="s">
        <v>8</v>
      </c>
      <c r="K1531" s="23" t="s">
        <v>8</v>
      </c>
      <c r="L1531" s="23" t="s">
        <v>8</v>
      </c>
      <c r="M1531" s="23" t="s">
        <v>8</v>
      </c>
    </row>
    <row r="1532" spans="1:13" s="21" customFormat="1" x14ac:dyDescent="0.25">
      <c r="A1532" s="22" t="s">
        <v>8</v>
      </c>
      <c r="B1532" s="18" t="str">
        <f>"075221"</f>
        <v>075221</v>
      </c>
      <c r="C1532" s="19" t="s">
        <v>1531</v>
      </c>
      <c r="D1532" s="19" t="s">
        <v>16965</v>
      </c>
      <c r="E1532" s="19" t="s">
        <v>31434</v>
      </c>
      <c r="F1532" s="19" t="s">
        <v>35980</v>
      </c>
      <c r="G1532" s="18" t="str">
        <f>"06010"</f>
        <v>06010</v>
      </c>
      <c r="H1532" s="19" t="s">
        <v>30919</v>
      </c>
      <c r="I1532" s="20">
        <v>20.687999999999999</v>
      </c>
      <c r="J1532" s="44" t="s">
        <v>8</v>
      </c>
      <c r="K1532" s="23" t="s">
        <v>8</v>
      </c>
      <c r="L1532" s="23" t="s">
        <v>8</v>
      </c>
      <c r="M1532" s="23" t="s">
        <v>8</v>
      </c>
    </row>
    <row r="1533" spans="1:13" s="21" customFormat="1" x14ac:dyDescent="0.25">
      <c r="A1533" s="22" t="s">
        <v>8</v>
      </c>
      <c r="B1533" s="18" t="str">
        <f>"075222"</f>
        <v>075222</v>
      </c>
      <c r="C1533" s="19" t="s">
        <v>1532</v>
      </c>
      <c r="D1533" s="19" t="s">
        <v>16966</v>
      </c>
      <c r="E1533" s="19" t="s">
        <v>31435</v>
      </c>
      <c r="F1533" s="19" t="s">
        <v>35980</v>
      </c>
      <c r="G1533" s="18" t="str">
        <f>"06410"</f>
        <v>06410</v>
      </c>
      <c r="H1533" s="19" t="s">
        <v>31450</v>
      </c>
      <c r="I1533" s="20">
        <v>18.965</v>
      </c>
      <c r="J1533" s="44" t="s">
        <v>8</v>
      </c>
      <c r="K1533" s="23" t="s">
        <v>8</v>
      </c>
      <c r="L1533" s="23" t="s">
        <v>8</v>
      </c>
      <c r="M1533" s="23" t="s">
        <v>8</v>
      </c>
    </row>
    <row r="1534" spans="1:13" s="21" customFormat="1" x14ac:dyDescent="0.25">
      <c r="A1534" s="22" t="s">
        <v>8</v>
      </c>
      <c r="B1534" s="18" t="str">
        <f>"075228"</f>
        <v>075228</v>
      </c>
      <c r="C1534" s="19" t="s">
        <v>1533</v>
      </c>
      <c r="D1534" s="19" t="s">
        <v>16967</v>
      </c>
      <c r="E1534" s="19" t="s">
        <v>31436</v>
      </c>
      <c r="F1534" s="19" t="s">
        <v>35980</v>
      </c>
      <c r="G1534" s="18" t="str">
        <f>"06514"</f>
        <v>06514</v>
      </c>
      <c r="H1534" s="19" t="s">
        <v>31450</v>
      </c>
      <c r="I1534" s="20">
        <v>18.472000000000001</v>
      </c>
      <c r="J1534" s="44" t="s">
        <v>8</v>
      </c>
      <c r="K1534" s="23" t="s">
        <v>8</v>
      </c>
      <c r="L1534" s="23" t="s">
        <v>8</v>
      </c>
      <c r="M1534" s="23" t="s">
        <v>8</v>
      </c>
    </row>
    <row r="1535" spans="1:13" s="21" customFormat="1" x14ac:dyDescent="0.25">
      <c r="A1535" s="22" t="s">
        <v>8</v>
      </c>
      <c r="B1535" s="18" t="str">
        <f>"075230"</f>
        <v>075230</v>
      </c>
      <c r="C1535" s="19" t="s">
        <v>1534</v>
      </c>
      <c r="D1535" s="19" t="s">
        <v>16968</v>
      </c>
      <c r="E1535" s="19" t="s">
        <v>31437</v>
      </c>
      <c r="F1535" s="19" t="s">
        <v>35980</v>
      </c>
      <c r="G1535" s="18" t="str">
        <f>"06037"</f>
        <v>06037</v>
      </c>
      <c r="H1535" s="19" t="s">
        <v>30919</v>
      </c>
      <c r="I1535" s="20">
        <v>20.754999999999999</v>
      </c>
      <c r="J1535" s="44" t="s">
        <v>8</v>
      </c>
      <c r="K1535" s="23" t="s">
        <v>8</v>
      </c>
      <c r="L1535" s="23" t="s">
        <v>8</v>
      </c>
      <c r="M1535" s="23" t="s">
        <v>8</v>
      </c>
    </row>
    <row r="1536" spans="1:13" s="21" customFormat="1" x14ac:dyDescent="0.25">
      <c r="A1536" s="22" t="s">
        <v>8</v>
      </c>
      <c r="B1536" s="18" t="str">
        <f>"075231"</f>
        <v>075231</v>
      </c>
      <c r="C1536" s="19" t="s">
        <v>1535</v>
      </c>
      <c r="D1536" s="19" t="s">
        <v>16969</v>
      </c>
      <c r="E1536" s="19" t="s">
        <v>31438</v>
      </c>
      <c r="F1536" s="19" t="s">
        <v>35980</v>
      </c>
      <c r="G1536" s="18" t="str">
        <f>"06415"</f>
        <v>06415</v>
      </c>
      <c r="H1536" s="19" t="s">
        <v>31423</v>
      </c>
      <c r="I1536" s="20">
        <v>18.771999999999998</v>
      </c>
      <c r="J1536" s="44" t="s">
        <v>8</v>
      </c>
      <c r="K1536" s="23" t="s">
        <v>8</v>
      </c>
      <c r="L1536" s="23" t="s">
        <v>8</v>
      </c>
      <c r="M1536" s="23" t="s">
        <v>8</v>
      </c>
    </row>
    <row r="1537" spans="1:13" s="21" customFormat="1" x14ac:dyDescent="0.25">
      <c r="A1537" s="22" t="s">
        <v>8</v>
      </c>
      <c r="B1537" s="18" t="str">
        <f>"075232"</f>
        <v>075232</v>
      </c>
      <c r="C1537" s="19" t="s">
        <v>1536</v>
      </c>
      <c r="D1537" s="19" t="s">
        <v>16970</v>
      </c>
      <c r="E1537" s="19" t="s">
        <v>31439</v>
      </c>
      <c r="F1537" s="19" t="s">
        <v>35980</v>
      </c>
      <c r="G1537" s="18" t="str">
        <f>"06414"</f>
        <v>06414</v>
      </c>
      <c r="H1537" s="19" t="s">
        <v>36120</v>
      </c>
      <c r="I1537" s="20">
        <v>17.988</v>
      </c>
      <c r="J1537" s="44" t="s">
        <v>8</v>
      </c>
      <c r="K1537" s="23" t="s">
        <v>8</v>
      </c>
      <c r="L1537" s="23" t="s">
        <v>8</v>
      </c>
      <c r="M1537" s="23" t="s">
        <v>8</v>
      </c>
    </row>
    <row r="1538" spans="1:13" s="21" customFormat="1" x14ac:dyDescent="0.25">
      <c r="A1538" s="22" t="s">
        <v>8</v>
      </c>
      <c r="B1538" s="18" t="str">
        <f>"075234"</f>
        <v>075234</v>
      </c>
      <c r="C1538" s="19" t="s">
        <v>1537</v>
      </c>
      <c r="D1538" s="19" t="s">
        <v>16971</v>
      </c>
      <c r="E1538" s="19" t="s">
        <v>31401</v>
      </c>
      <c r="F1538" s="19" t="s">
        <v>35980</v>
      </c>
      <c r="G1538" s="18" t="str">
        <f>"06492"</f>
        <v>06492</v>
      </c>
      <c r="H1538" s="19" t="s">
        <v>31450</v>
      </c>
      <c r="I1538" s="20">
        <v>18.812999999999999</v>
      </c>
      <c r="J1538" s="44" t="s">
        <v>8</v>
      </c>
      <c r="K1538" s="23" t="s">
        <v>8</v>
      </c>
      <c r="L1538" s="23" t="s">
        <v>8</v>
      </c>
      <c r="M1538" s="23" t="s">
        <v>8</v>
      </c>
    </row>
    <row r="1539" spans="1:13" s="21" customFormat="1" x14ac:dyDescent="0.25">
      <c r="A1539" s="22" t="s">
        <v>8</v>
      </c>
      <c r="B1539" s="18" t="str">
        <f>"075235"</f>
        <v>075235</v>
      </c>
      <c r="C1539" s="19" t="s">
        <v>1538</v>
      </c>
      <c r="D1539" s="19" t="s">
        <v>16972</v>
      </c>
      <c r="E1539" s="19" t="s">
        <v>31417</v>
      </c>
      <c r="F1539" s="19" t="s">
        <v>35980</v>
      </c>
      <c r="G1539" s="18" t="str">
        <f>"06437"</f>
        <v>06437</v>
      </c>
      <c r="H1539" s="19" t="s">
        <v>31450</v>
      </c>
      <c r="I1539" s="20">
        <v>23.891999999999999</v>
      </c>
      <c r="J1539" s="44" t="s">
        <v>8</v>
      </c>
      <c r="K1539" s="23" t="s">
        <v>8</v>
      </c>
      <c r="L1539" s="23" t="s">
        <v>8</v>
      </c>
      <c r="M1539" s="23" t="s">
        <v>8</v>
      </c>
    </row>
    <row r="1540" spans="1:13" s="21" customFormat="1" x14ac:dyDescent="0.25">
      <c r="A1540" s="22" t="s">
        <v>8</v>
      </c>
      <c r="B1540" s="18" t="str">
        <f>"075236"</f>
        <v>075236</v>
      </c>
      <c r="C1540" s="19" t="s">
        <v>1539</v>
      </c>
      <c r="D1540" s="19" t="s">
        <v>16973</v>
      </c>
      <c r="E1540" s="19" t="s">
        <v>31440</v>
      </c>
      <c r="F1540" s="19" t="s">
        <v>35980</v>
      </c>
      <c r="G1540" s="18" t="str">
        <f>"06068"</f>
        <v>06068</v>
      </c>
      <c r="H1540" s="19" t="s">
        <v>31463</v>
      </c>
      <c r="I1540" s="20">
        <v>15.337</v>
      </c>
      <c r="J1540" s="44" t="s">
        <v>8</v>
      </c>
      <c r="K1540" s="23" t="s">
        <v>8</v>
      </c>
      <c r="L1540" s="23" t="s">
        <v>8</v>
      </c>
      <c r="M1540" s="23" t="s">
        <v>8</v>
      </c>
    </row>
    <row r="1541" spans="1:13" s="21" customFormat="1" x14ac:dyDescent="0.25">
      <c r="A1541" s="22" t="s">
        <v>8</v>
      </c>
      <c r="B1541" s="18" t="str">
        <f>"075237"</f>
        <v>075237</v>
      </c>
      <c r="C1541" s="19" t="s">
        <v>1540</v>
      </c>
      <c r="D1541" s="19" t="s">
        <v>16974</v>
      </c>
      <c r="E1541" s="19" t="s">
        <v>31367</v>
      </c>
      <c r="F1541" s="19" t="s">
        <v>35980</v>
      </c>
      <c r="G1541" s="18" t="str">
        <f>"06095"</f>
        <v>06095</v>
      </c>
      <c r="H1541" s="19" t="s">
        <v>30919</v>
      </c>
      <c r="I1541" s="20">
        <v>16.306999999999999</v>
      </c>
      <c r="J1541" s="44" t="s">
        <v>8</v>
      </c>
      <c r="K1541" s="23" t="s">
        <v>8</v>
      </c>
      <c r="L1541" s="23" t="s">
        <v>8</v>
      </c>
      <c r="M1541" s="23" t="s">
        <v>8</v>
      </c>
    </row>
    <row r="1542" spans="1:13" s="21" customFormat="1" x14ac:dyDescent="0.25">
      <c r="A1542" s="22" t="s">
        <v>8</v>
      </c>
      <c r="B1542" s="18" t="str">
        <f>"075238"</f>
        <v>075238</v>
      </c>
      <c r="C1542" s="19" t="s">
        <v>1541</v>
      </c>
      <c r="D1542" s="19" t="s">
        <v>16975</v>
      </c>
      <c r="E1542" s="19" t="s">
        <v>31431</v>
      </c>
      <c r="F1542" s="19" t="s">
        <v>35980</v>
      </c>
      <c r="G1542" s="18" t="str">
        <f>"06067"</f>
        <v>06067</v>
      </c>
      <c r="H1542" s="19" t="s">
        <v>30919</v>
      </c>
      <c r="I1542" s="20">
        <v>20.282</v>
      </c>
      <c r="J1542" s="44" t="s">
        <v>8</v>
      </c>
      <c r="K1542" s="23" t="s">
        <v>8</v>
      </c>
      <c r="L1542" s="23" t="s">
        <v>8</v>
      </c>
      <c r="M1542" s="23" t="s">
        <v>8</v>
      </c>
    </row>
    <row r="1543" spans="1:13" s="21" customFormat="1" x14ac:dyDescent="0.25">
      <c r="A1543" s="22" t="s">
        <v>8</v>
      </c>
      <c r="B1543" s="18" t="str">
        <f>"075239"</f>
        <v>075239</v>
      </c>
      <c r="C1543" s="19" t="s">
        <v>1542</v>
      </c>
      <c r="D1543" s="19" t="s">
        <v>16976</v>
      </c>
      <c r="E1543" s="19" t="s">
        <v>30919</v>
      </c>
      <c r="F1543" s="19" t="s">
        <v>35980</v>
      </c>
      <c r="G1543" s="18" t="str">
        <f>"06114"</f>
        <v>06114</v>
      </c>
      <c r="H1543" s="19" t="s">
        <v>30919</v>
      </c>
      <c r="I1543" s="20">
        <v>18.155000000000001</v>
      </c>
      <c r="J1543" s="44" t="s">
        <v>8</v>
      </c>
      <c r="K1543" s="23" t="s">
        <v>8</v>
      </c>
      <c r="L1543" s="23" t="s">
        <v>8</v>
      </c>
      <c r="M1543" s="23" t="s">
        <v>8</v>
      </c>
    </row>
    <row r="1544" spans="1:13" s="21" customFormat="1" x14ac:dyDescent="0.25">
      <c r="A1544" s="22" t="s">
        <v>8</v>
      </c>
      <c r="B1544" s="18" t="str">
        <f>"075240"</f>
        <v>075240</v>
      </c>
      <c r="C1544" s="19" t="s">
        <v>1543</v>
      </c>
      <c r="D1544" s="19" t="s">
        <v>16977</v>
      </c>
      <c r="E1544" s="19" t="s">
        <v>31441</v>
      </c>
      <c r="F1544" s="19" t="s">
        <v>35980</v>
      </c>
      <c r="G1544" s="18" t="str">
        <f>"06770"</f>
        <v>06770</v>
      </c>
      <c r="H1544" s="19" t="s">
        <v>31450</v>
      </c>
      <c r="I1544" s="20">
        <v>18.326000000000001</v>
      </c>
      <c r="J1544" s="44" t="s">
        <v>8</v>
      </c>
      <c r="K1544" s="23" t="s">
        <v>8</v>
      </c>
      <c r="L1544" s="23" t="s">
        <v>8</v>
      </c>
      <c r="M1544" s="23" t="s">
        <v>8</v>
      </c>
    </row>
    <row r="1545" spans="1:13" s="21" customFormat="1" x14ac:dyDescent="0.25">
      <c r="A1545" s="22" t="s">
        <v>8</v>
      </c>
      <c r="B1545" s="18" t="str">
        <f>"075241"</f>
        <v>075241</v>
      </c>
      <c r="C1545" s="19" t="s">
        <v>1544</v>
      </c>
      <c r="D1545" s="19" t="s">
        <v>16978</v>
      </c>
      <c r="E1545" s="19" t="s">
        <v>31442</v>
      </c>
      <c r="F1545" s="19" t="s">
        <v>35980</v>
      </c>
      <c r="G1545" s="18" t="str">
        <f>"06488"</f>
        <v>06488</v>
      </c>
      <c r="H1545" s="19" t="s">
        <v>31450</v>
      </c>
      <c r="I1545" s="20">
        <v>19.22</v>
      </c>
      <c r="J1545" s="44" t="s">
        <v>8</v>
      </c>
      <c r="K1545" s="23" t="s">
        <v>8</v>
      </c>
      <c r="L1545" s="23" t="s">
        <v>8</v>
      </c>
      <c r="M1545" s="23" t="s">
        <v>8</v>
      </c>
    </row>
    <row r="1546" spans="1:13" s="21" customFormat="1" x14ac:dyDescent="0.25">
      <c r="A1546" s="22" t="s">
        <v>8</v>
      </c>
      <c r="B1546" s="18" t="str">
        <f>"075243"</f>
        <v>075243</v>
      </c>
      <c r="C1546" s="19" t="s">
        <v>1545</v>
      </c>
      <c r="D1546" s="19" t="s">
        <v>16979</v>
      </c>
      <c r="E1546" s="19" t="s">
        <v>31443</v>
      </c>
      <c r="F1546" s="19" t="s">
        <v>35980</v>
      </c>
      <c r="G1546" s="18" t="str">
        <f>"06234"</f>
        <v>06234</v>
      </c>
      <c r="H1546" s="19" t="s">
        <v>31446</v>
      </c>
      <c r="I1546" s="20">
        <v>18.850999999999999</v>
      </c>
      <c r="J1546" s="44" t="s">
        <v>8</v>
      </c>
      <c r="K1546" s="23" t="s">
        <v>8</v>
      </c>
      <c r="L1546" s="23" t="s">
        <v>8</v>
      </c>
      <c r="M1546" s="23" t="s">
        <v>8</v>
      </c>
    </row>
    <row r="1547" spans="1:13" s="21" customFormat="1" x14ac:dyDescent="0.25">
      <c r="A1547" s="22" t="s">
        <v>8</v>
      </c>
      <c r="B1547" s="18" t="str">
        <f>"075244"</f>
        <v>075244</v>
      </c>
      <c r="C1547" s="19" t="s">
        <v>1546</v>
      </c>
      <c r="D1547" s="19" t="s">
        <v>16980</v>
      </c>
      <c r="E1547" s="19" t="s">
        <v>31444</v>
      </c>
      <c r="F1547" s="19" t="s">
        <v>35980</v>
      </c>
      <c r="G1547" s="18" t="str">
        <f>"06001"</f>
        <v>06001</v>
      </c>
      <c r="H1547" s="19" t="s">
        <v>30919</v>
      </c>
      <c r="I1547" s="20">
        <v>18.323</v>
      </c>
      <c r="J1547" s="44" t="s">
        <v>8</v>
      </c>
      <c r="K1547" s="23" t="s">
        <v>8</v>
      </c>
      <c r="L1547" s="23" t="s">
        <v>8</v>
      </c>
      <c r="M1547" s="23" t="s">
        <v>8</v>
      </c>
    </row>
    <row r="1548" spans="1:13" s="21" customFormat="1" x14ac:dyDescent="0.25">
      <c r="A1548" s="22" t="s">
        <v>8</v>
      </c>
      <c r="B1548" s="18" t="str">
        <f>"075246"</f>
        <v>075246</v>
      </c>
      <c r="C1548" s="19" t="s">
        <v>1547</v>
      </c>
      <c r="D1548" s="19" t="s">
        <v>16981</v>
      </c>
      <c r="E1548" s="19" t="s">
        <v>31436</v>
      </c>
      <c r="F1548" s="19" t="s">
        <v>35980</v>
      </c>
      <c r="G1548" s="18" t="str">
        <f>"06518"</f>
        <v>06518</v>
      </c>
      <c r="H1548" s="19" t="s">
        <v>31450</v>
      </c>
      <c r="I1548" s="20">
        <v>18.952999999999999</v>
      </c>
      <c r="J1548" s="44" t="s">
        <v>8</v>
      </c>
      <c r="K1548" s="23" t="s">
        <v>8</v>
      </c>
      <c r="L1548" s="23" t="s">
        <v>8</v>
      </c>
      <c r="M1548" s="23" t="s">
        <v>8</v>
      </c>
    </row>
    <row r="1549" spans="1:13" s="21" customFormat="1" x14ac:dyDescent="0.25">
      <c r="A1549" s="22" t="s">
        <v>8</v>
      </c>
      <c r="B1549" s="18" t="str">
        <f>"075250"</f>
        <v>075250</v>
      </c>
      <c r="C1549" s="19" t="s">
        <v>1548</v>
      </c>
      <c r="D1549" s="19" t="s">
        <v>16982</v>
      </c>
      <c r="E1549" s="19" t="s">
        <v>30919</v>
      </c>
      <c r="F1549" s="19" t="s">
        <v>35980</v>
      </c>
      <c r="G1549" s="18" t="str">
        <f>"06106"</f>
        <v>06106</v>
      </c>
      <c r="H1549" s="19" t="s">
        <v>30919</v>
      </c>
      <c r="I1549" s="20">
        <v>19.039000000000001</v>
      </c>
      <c r="J1549" s="44" t="s">
        <v>8</v>
      </c>
      <c r="K1549" s="23" t="s">
        <v>8</v>
      </c>
      <c r="L1549" s="23" t="s">
        <v>8</v>
      </c>
      <c r="M1549" s="23" t="s">
        <v>8</v>
      </c>
    </row>
    <row r="1550" spans="1:13" s="21" customFormat="1" x14ac:dyDescent="0.25">
      <c r="A1550" s="22" t="s">
        <v>8</v>
      </c>
      <c r="B1550" s="18" t="str">
        <f>"075251"</f>
        <v>075251</v>
      </c>
      <c r="C1550" s="19" t="s">
        <v>1549</v>
      </c>
      <c r="D1550" s="19" t="s">
        <v>16983</v>
      </c>
      <c r="E1550" s="19" t="s">
        <v>31445</v>
      </c>
      <c r="F1550" s="19" t="s">
        <v>35980</v>
      </c>
      <c r="G1550" s="18" t="str">
        <f>"06032"</f>
        <v>06032</v>
      </c>
      <c r="H1550" s="19" t="s">
        <v>30919</v>
      </c>
      <c r="I1550" s="20">
        <v>21.504999999999999</v>
      </c>
      <c r="J1550" s="44" t="s">
        <v>8</v>
      </c>
      <c r="K1550" s="23" t="s">
        <v>8</v>
      </c>
      <c r="L1550" s="23" t="s">
        <v>8</v>
      </c>
      <c r="M1550" s="23" t="s">
        <v>8</v>
      </c>
    </row>
    <row r="1551" spans="1:13" s="21" customFormat="1" x14ac:dyDescent="0.25">
      <c r="A1551" s="22" t="s">
        <v>8</v>
      </c>
      <c r="B1551" s="18" t="str">
        <f>"075252"</f>
        <v>075252</v>
      </c>
      <c r="C1551" s="19" t="s">
        <v>1550</v>
      </c>
      <c r="D1551" s="19" t="s">
        <v>16984</v>
      </c>
      <c r="E1551" s="19" t="s">
        <v>31394</v>
      </c>
      <c r="F1551" s="19" t="s">
        <v>35980</v>
      </c>
      <c r="G1551" s="18" t="str">
        <f>"06040"</f>
        <v>06040</v>
      </c>
      <c r="H1551" s="19" t="s">
        <v>30919</v>
      </c>
      <c r="I1551" s="20">
        <v>18.199000000000002</v>
      </c>
      <c r="J1551" s="44" t="s">
        <v>8</v>
      </c>
      <c r="K1551" s="23" t="s">
        <v>8</v>
      </c>
      <c r="L1551" s="23" t="s">
        <v>8</v>
      </c>
      <c r="M1551" s="23" t="s">
        <v>8</v>
      </c>
    </row>
    <row r="1552" spans="1:13" s="21" customFormat="1" x14ac:dyDescent="0.25">
      <c r="A1552" s="22" t="s">
        <v>8</v>
      </c>
      <c r="B1552" s="18" t="str">
        <f>"075253"</f>
        <v>075253</v>
      </c>
      <c r="C1552" s="19" t="s">
        <v>1551</v>
      </c>
      <c r="D1552" s="19" t="s">
        <v>16985</v>
      </c>
      <c r="E1552" s="19" t="s">
        <v>31438</v>
      </c>
      <c r="F1552" s="19" t="s">
        <v>35980</v>
      </c>
      <c r="G1552" s="18" t="str">
        <f>"06415"</f>
        <v>06415</v>
      </c>
      <c r="H1552" s="19" t="s">
        <v>31423</v>
      </c>
      <c r="I1552" s="20">
        <v>14.317</v>
      </c>
      <c r="J1552" s="44" t="s">
        <v>8</v>
      </c>
      <c r="K1552" s="23" t="s">
        <v>8</v>
      </c>
      <c r="L1552" s="23" t="s">
        <v>8</v>
      </c>
      <c r="M1552" s="23" t="s">
        <v>8</v>
      </c>
    </row>
    <row r="1553" spans="1:13" s="21" customFormat="1" x14ac:dyDescent="0.25">
      <c r="A1553" s="22" t="s">
        <v>8</v>
      </c>
      <c r="B1553" s="18" t="str">
        <f>"075257"</f>
        <v>075257</v>
      </c>
      <c r="C1553" s="19" t="s">
        <v>1552</v>
      </c>
      <c r="D1553" s="19" t="s">
        <v>16986</v>
      </c>
      <c r="E1553" s="19" t="s">
        <v>31428</v>
      </c>
      <c r="F1553" s="19" t="s">
        <v>35980</v>
      </c>
      <c r="G1553" s="18" t="str">
        <f>"06108"</f>
        <v>06108</v>
      </c>
      <c r="H1553" s="19" t="s">
        <v>30919</v>
      </c>
      <c r="I1553" s="20">
        <v>17.388000000000002</v>
      </c>
      <c r="J1553" s="44" t="s">
        <v>8</v>
      </c>
      <c r="K1553" s="23" t="s">
        <v>8</v>
      </c>
      <c r="L1553" s="23" t="s">
        <v>8</v>
      </c>
      <c r="M1553" s="23" t="s">
        <v>8</v>
      </c>
    </row>
    <row r="1554" spans="1:13" s="21" customFormat="1" x14ac:dyDescent="0.25">
      <c r="A1554" s="22" t="s">
        <v>8</v>
      </c>
      <c r="B1554" s="18" t="str">
        <f>"075258"</f>
        <v>075258</v>
      </c>
      <c r="C1554" s="19" t="s">
        <v>1553</v>
      </c>
      <c r="D1554" s="19" t="s">
        <v>16987</v>
      </c>
      <c r="E1554" s="19" t="s">
        <v>31446</v>
      </c>
      <c r="F1554" s="19" t="s">
        <v>35980</v>
      </c>
      <c r="G1554" s="18" t="str">
        <f>"06280"</f>
        <v>06280</v>
      </c>
      <c r="H1554" s="19" t="s">
        <v>31446</v>
      </c>
      <c r="I1554" s="20">
        <v>18.2</v>
      </c>
      <c r="J1554" s="44" t="s">
        <v>8</v>
      </c>
      <c r="K1554" s="23" t="s">
        <v>8</v>
      </c>
      <c r="L1554" s="23" t="s">
        <v>8</v>
      </c>
      <c r="M1554" s="23" t="s">
        <v>8</v>
      </c>
    </row>
    <row r="1555" spans="1:13" s="21" customFormat="1" x14ac:dyDescent="0.25">
      <c r="A1555" s="22" t="s">
        <v>8</v>
      </c>
      <c r="B1555" s="18" t="str">
        <f>"075261"</f>
        <v>075261</v>
      </c>
      <c r="C1555" s="19" t="s">
        <v>1554</v>
      </c>
      <c r="D1555" s="19" t="s">
        <v>16988</v>
      </c>
      <c r="E1555" s="19" t="s">
        <v>31401</v>
      </c>
      <c r="F1555" s="19" t="s">
        <v>35980</v>
      </c>
      <c r="G1555" s="18" t="str">
        <f>"06492"</f>
        <v>06492</v>
      </c>
      <c r="H1555" s="19" t="s">
        <v>31450</v>
      </c>
      <c r="I1555" s="20">
        <v>16.824000000000002</v>
      </c>
      <c r="J1555" s="44" t="s">
        <v>8</v>
      </c>
      <c r="K1555" s="23" t="s">
        <v>8</v>
      </c>
      <c r="L1555" s="23" t="s">
        <v>8</v>
      </c>
      <c r="M1555" s="23" t="s">
        <v>8</v>
      </c>
    </row>
    <row r="1556" spans="1:13" s="21" customFormat="1" x14ac:dyDescent="0.25">
      <c r="A1556" s="22" t="s">
        <v>8</v>
      </c>
      <c r="B1556" s="18" t="str">
        <f>"075263"</f>
        <v>075263</v>
      </c>
      <c r="C1556" s="19" t="s">
        <v>1555</v>
      </c>
      <c r="D1556" s="19" t="s">
        <v>16989</v>
      </c>
      <c r="E1556" s="19" t="s">
        <v>31447</v>
      </c>
      <c r="F1556" s="19" t="s">
        <v>35980</v>
      </c>
      <c r="G1556" s="18" t="str">
        <f>"06416"</f>
        <v>06416</v>
      </c>
      <c r="H1556" s="19" t="s">
        <v>36120</v>
      </c>
      <c r="I1556" s="20">
        <v>19.805</v>
      </c>
      <c r="J1556" s="44" t="s">
        <v>8</v>
      </c>
      <c r="K1556" s="23" t="s">
        <v>8</v>
      </c>
      <c r="L1556" s="23" t="s">
        <v>8</v>
      </c>
      <c r="M1556" s="23" t="s">
        <v>8</v>
      </c>
    </row>
    <row r="1557" spans="1:13" s="21" customFormat="1" x14ac:dyDescent="0.25">
      <c r="A1557" s="22" t="s">
        <v>8</v>
      </c>
      <c r="B1557" s="18" t="str">
        <f>"075264"</f>
        <v>075264</v>
      </c>
      <c r="C1557" s="19" t="s">
        <v>1556</v>
      </c>
      <c r="D1557" s="19" t="s">
        <v>16990</v>
      </c>
      <c r="E1557" s="19" t="s">
        <v>31416</v>
      </c>
      <c r="F1557" s="19" t="s">
        <v>35980</v>
      </c>
      <c r="G1557" s="18" t="str">
        <f>"06002"</f>
        <v>06002</v>
      </c>
      <c r="H1557" s="19" t="s">
        <v>30919</v>
      </c>
      <c r="I1557" s="20">
        <v>19.879000000000001</v>
      </c>
      <c r="J1557" s="44" t="s">
        <v>8</v>
      </c>
      <c r="K1557" s="23" t="s">
        <v>8</v>
      </c>
      <c r="L1557" s="23" t="s">
        <v>8</v>
      </c>
      <c r="M1557" s="23" t="s">
        <v>8</v>
      </c>
    </row>
    <row r="1558" spans="1:13" s="21" customFormat="1" x14ac:dyDescent="0.25">
      <c r="A1558" s="22" t="s">
        <v>8</v>
      </c>
      <c r="B1558" s="18" t="str">
        <f>"075265"</f>
        <v>075265</v>
      </c>
      <c r="C1558" s="19" t="s">
        <v>1557</v>
      </c>
      <c r="D1558" s="19" t="s">
        <v>16991</v>
      </c>
      <c r="E1558" s="19" t="s">
        <v>31435</v>
      </c>
      <c r="F1558" s="19" t="s">
        <v>35980</v>
      </c>
      <c r="G1558" s="18" t="str">
        <f>"06410"</f>
        <v>06410</v>
      </c>
      <c r="H1558" s="19" t="s">
        <v>31450</v>
      </c>
      <c r="I1558" s="20">
        <v>17.681999999999999</v>
      </c>
      <c r="J1558" s="44" t="s">
        <v>8</v>
      </c>
      <c r="K1558" s="23" t="s">
        <v>8</v>
      </c>
      <c r="L1558" s="23" t="s">
        <v>8</v>
      </c>
      <c r="M1558" s="23" t="s">
        <v>8</v>
      </c>
    </row>
    <row r="1559" spans="1:13" s="21" customFormat="1" x14ac:dyDescent="0.25">
      <c r="A1559" s="22" t="s">
        <v>8</v>
      </c>
      <c r="B1559" s="18" t="str">
        <f>"075267"</f>
        <v>075267</v>
      </c>
      <c r="C1559" s="19" t="s">
        <v>1558</v>
      </c>
      <c r="D1559" s="19" t="s">
        <v>16992</v>
      </c>
      <c r="E1559" s="19" t="s">
        <v>31423</v>
      </c>
      <c r="F1559" s="19" t="s">
        <v>35980</v>
      </c>
      <c r="G1559" s="18" t="str">
        <f>"06320"</f>
        <v>06320</v>
      </c>
      <c r="H1559" s="19" t="s">
        <v>31423</v>
      </c>
      <c r="I1559" s="20">
        <v>18.47</v>
      </c>
      <c r="J1559" s="44" t="s">
        <v>8</v>
      </c>
      <c r="K1559" s="23" t="s">
        <v>8</v>
      </c>
      <c r="L1559" s="23" t="s">
        <v>8</v>
      </c>
      <c r="M1559" s="23" t="s">
        <v>8</v>
      </c>
    </row>
    <row r="1560" spans="1:13" s="21" customFormat="1" x14ac:dyDescent="0.25">
      <c r="A1560" s="22" t="s">
        <v>8</v>
      </c>
      <c r="B1560" s="18" t="str">
        <f>"075268"</f>
        <v>075268</v>
      </c>
      <c r="C1560" s="19" t="s">
        <v>1559</v>
      </c>
      <c r="D1560" s="19" t="s">
        <v>16993</v>
      </c>
      <c r="E1560" s="19" t="s">
        <v>30919</v>
      </c>
      <c r="F1560" s="19" t="s">
        <v>35980</v>
      </c>
      <c r="G1560" s="18" t="str">
        <f>"06106"</f>
        <v>06106</v>
      </c>
      <c r="H1560" s="19" t="s">
        <v>30919</v>
      </c>
      <c r="I1560" s="20">
        <v>18.36</v>
      </c>
      <c r="J1560" s="44" t="s">
        <v>8</v>
      </c>
      <c r="K1560" s="23" t="s">
        <v>8</v>
      </c>
      <c r="L1560" s="23" t="s">
        <v>8</v>
      </c>
      <c r="M1560" s="23" t="s">
        <v>8</v>
      </c>
    </row>
    <row r="1561" spans="1:13" s="21" customFormat="1" x14ac:dyDescent="0.25">
      <c r="A1561" s="22" t="s">
        <v>8</v>
      </c>
      <c r="B1561" s="18" t="str">
        <f>"075270"</f>
        <v>075270</v>
      </c>
      <c r="C1561" s="19" t="s">
        <v>1560</v>
      </c>
      <c r="D1561" s="19" t="s">
        <v>16994</v>
      </c>
      <c r="E1561" s="19" t="s">
        <v>31448</v>
      </c>
      <c r="F1561" s="19" t="s">
        <v>35980</v>
      </c>
      <c r="G1561" s="18" t="str">
        <f>"06340"</f>
        <v>06340</v>
      </c>
      <c r="H1561" s="19" t="s">
        <v>31423</v>
      </c>
      <c r="I1561" s="20">
        <v>16.459</v>
      </c>
      <c r="J1561" s="44" t="s">
        <v>8</v>
      </c>
      <c r="K1561" s="23" t="s">
        <v>8</v>
      </c>
      <c r="L1561" s="23" t="s">
        <v>8</v>
      </c>
      <c r="M1561" s="23" t="s">
        <v>8</v>
      </c>
    </row>
    <row r="1562" spans="1:13" s="21" customFormat="1" x14ac:dyDescent="0.25">
      <c r="A1562" s="22" t="s">
        <v>8</v>
      </c>
      <c r="B1562" s="18" t="str">
        <f>"075271"</f>
        <v>075271</v>
      </c>
      <c r="C1562" s="19" t="s">
        <v>1561</v>
      </c>
      <c r="D1562" s="19" t="s">
        <v>16995</v>
      </c>
      <c r="E1562" s="19" t="s">
        <v>31449</v>
      </c>
      <c r="F1562" s="19" t="s">
        <v>35980</v>
      </c>
      <c r="G1562" s="18" t="str">
        <f>"06355"</f>
        <v>06355</v>
      </c>
      <c r="H1562" s="19" t="s">
        <v>31423</v>
      </c>
      <c r="I1562" s="20">
        <v>16.568999999999999</v>
      </c>
      <c r="J1562" s="44" t="s">
        <v>8</v>
      </c>
      <c r="K1562" s="23" t="s">
        <v>8</v>
      </c>
      <c r="L1562" s="23" t="s">
        <v>8</v>
      </c>
      <c r="M1562" s="23" t="s">
        <v>8</v>
      </c>
    </row>
    <row r="1563" spans="1:13" s="21" customFormat="1" x14ac:dyDescent="0.25">
      <c r="A1563" s="22" t="s">
        <v>8</v>
      </c>
      <c r="B1563" s="18" t="str">
        <f>"075272"</f>
        <v>075272</v>
      </c>
      <c r="C1563" s="19" t="s">
        <v>1562</v>
      </c>
      <c r="D1563" s="19" t="s">
        <v>16996</v>
      </c>
      <c r="E1563" s="19" t="s">
        <v>31400</v>
      </c>
      <c r="F1563" s="19" t="s">
        <v>35980</v>
      </c>
      <c r="G1563" s="18" t="str">
        <f>"06082"</f>
        <v>06082</v>
      </c>
      <c r="H1563" s="19" t="s">
        <v>30919</v>
      </c>
      <c r="I1563" s="20">
        <v>18.748999999999999</v>
      </c>
      <c r="J1563" s="44" t="s">
        <v>8</v>
      </c>
      <c r="K1563" s="23" t="s">
        <v>8</v>
      </c>
      <c r="L1563" s="23" t="s">
        <v>8</v>
      </c>
      <c r="M1563" s="23" t="s">
        <v>8</v>
      </c>
    </row>
    <row r="1564" spans="1:13" s="21" customFormat="1" x14ac:dyDescent="0.25">
      <c r="A1564" s="22" t="s">
        <v>8</v>
      </c>
      <c r="B1564" s="18" t="str">
        <f>"075274"</f>
        <v>075274</v>
      </c>
      <c r="C1564" s="19" t="s">
        <v>1563</v>
      </c>
      <c r="D1564" s="19" t="s">
        <v>16997</v>
      </c>
      <c r="E1564" s="19" t="s">
        <v>31397</v>
      </c>
      <c r="F1564" s="19" t="s">
        <v>35980</v>
      </c>
      <c r="G1564" s="18" t="str">
        <f>"06810"</f>
        <v>06810</v>
      </c>
      <c r="H1564" s="19" t="s">
        <v>31103</v>
      </c>
      <c r="I1564" s="20">
        <v>18.181999999999999</v>
      </c>
      <c r="J1564" s="44" t="s">
        <v>8</v>
      </c>
      <c r="K1564" s="23" t="s">
        <v>8</v>
      </c>
      <c r="L1564" s="23" t="s">
        <v>8</v>
      </c>
      <c r="M1564" s="23" t="s">
        <v>8</v>
      </c>
    </row>
    <row r="1565" spans="1:13" s="21" customFormat="1" x14ac:dyDescent="0.25">
      <c r="A1565" s="22" t="s">
        <v>8</v>
      </c>
      <c r="B1565" s="18" t="str">
        <f>"075275"</f>
        <v>075275</v>
      </c>
      <c r="C1565" s="19" t="s">
        <v>1564</v>
      </c>
      <c r="D1565" s="19" t="s">
        <v>16998</v>
      </c>
      <c r="E1565" s="19" t="s">
        <v>31450</v>
      </c>
      <c r="F1565" s="19" t="s">
        <v>35980</v>
      </c>
      <c r="G1565" s="18" t="str">
        <f>"06511"</f>
        <v>06511</v>
      </c>
      <c r="H1565" s="19" t="s">
        <v>31450</v>
      </c>
      <c r="I1565" s="20">
        <v>21.001999999999999</v>
      </c>
      <c r="J1565" s="44" t="s">
        <v>8</v>
      </c>
      <c r="K1565" s="23" t="s">
        <v>8</v>
      </c>
      <c r="L1565" s="23" t="s">
        <v>8</v>
      </c>
      <c r="M1565" s="23" t="s">
        <v>8</v>
      </c>
    </row>
    <row r="1566" spans="1:13" s="21" customFormat="1" x14ac:dyDescent="0.25">
      <c r="A1566" s="22" t="s">
        <v>8</v>
      </c>
      <c r="B1566" s="18" t="str">
        <f>"075278"</f>
        <v>075278</v>
      </c>
      <c r="C1566" s="19" t="s">
        <v>1565</v>
      </c>
      <c r="D1566" s="19" t="s">
        <v>16999</v>
      </c>
      <c r="E1566" s="19" t="s">
        <v>31410</v>
      </c>
      <c r="F1566" s="19" t="s">
        <v>35980</v>
      </c>
      <c r="G1566" s="18" t="str">
        <f>"06107"</f>
        <v>06107</v>
      </c>
      <c r="H1566" s="19" t="s">
        <v>30919</v>
      </c>
      <c r="I1566" s="20">
        <v>19.393999999999998</v>
      </c>
      <c r="J1566" s="44" t="s">
        <v>8</v>
      </c>
      <c r="K1566" s="23" t="s">
        <v>8</v>
      </c>
      <c r="L1566" s="23" t="s">
        <v>8</v>
      </c>
      <c r="M1566" s="23" t="s">
        <v>8</v>
      </c>
    </row>
    <row r="1567" spans="1:13" s="21" customFormat="1" x14ac:dyDescent="0.25">
      <c r="A1567" s="22" t="s">
        <v>8</v>
      </c>
      <c r="B1567" s="18" t="str">
        <f>"075279"</f>
        <v>075279</v>
      </c>
      <c r="C1567" s="19" t="s">
        <v>1566</v>
      </c>
      <c r="D1567" s="19" t="s">
        <v>17000</v>
      </c>
      <c r="E1567" s="19" t="s">
        <v>31367</v>
      </c>
      <c r="F1567" s="19" t="s">
        <v>35980</v>
      </c>
      <c r="G1567" s="18" t="str">
        <f>"06095"</f>
        <v>06095</v>
      </c>
      <c r="H1567" s="19" t="s">
        <v>30919</v>
      </c>
      <c r="I1567" s="20">
        <v>15.997999999999999</v>
      </c>
      <c r="J1567" s="44" t="s">
        <v>8</v>
      </c>
      <c r="K1567" s="23" t="s">
        <v>8</v>
      </c>
      <c r="L1567" s="23" t="s">
        <v>8</v>
      </c>
      <c r="M1567" s="23" t="s">
        <v>8</v>
      </c>
    </row>
    <row r="1568" spans="1:13" s="21" customFormat="1" x14ac:dyDescent="0.25">
      <c r="A1568" s="22" t="s">
        <v>8</v>
      </c>
      <c r="B1568" s="18" t="str">
        <f>"075280"</f>
        <v>075280</v>
      </c>
      <c r="C1568" s="19" t="s">
        <v>1567</v>
      </c>
      <c r="D1568" s="19" t="s">
        <v>17001</v>
      </c>
      <c r="E1568" s="19" t="s">
        <v>31451</v>
      </c>
      <c r="F1568" s="19" t="s">
        <v>35980</v>
      </c>
      <c r="G1568" s="18" t="str">
        <f>"06880"</f>
        <v>06880</v>
      </c>
      <c r="H1568" s="19" t="s">
        <v>31103</v>
      </c>
      <c r="I1568" s="20">
        <v>20.477</v>
      </c>
      <c r="J1568" s="44" t="s">
        <v>8</v>
      </c>
      <c r="K1568" s="23" t="s">
        <v>8</v>
      </c>
      <c r="L1568" s="23" t="s">
        <v>8</v>
      </c>
      <c r="M1568" s="23" t="s">
        <v>8</v>
      </c>
    </row>
    <row r="1569" spans="1:13" s="21" customFormat="1" x14ac:dyDescent="0.25">
      <c r="A1569" s="22" t="s">
        <v>8</v>
      </c>
      <c r="B1569" s="18" t="str">
        <f>"075282"</f>
        <v>075282</v>
      </c>
      <c r="C1569" s="19" t="s">
        <v>1568</v>
      </c>
      <c r="D1569" s="19" t="s">
        <v>17002</v>
      </c>
      <c r="E1569" s="19" t="s">
        <v>31452</v>
      </c>
      <c r="F1569" s="19" t="s">
        <v>35980</v>
      </c>
      <c r="G1569" s="18" t="str">
        <f>"06716"</f>
        <v>06716</v>
      </c>
      <c r="H1569" s="19" t="s">
        <v>31450</v>
      </c>
      <c r="I1569" s="20">
        <v>21.178000000000001</v>
      </c>
      <c r="J1569" s="44" t="s">
        <v>8</v>
      </c>
      <c r="K1569" s="23" t="s">
        <v>8</v>
      </c>
      <c r="L1569" s="23" t="s">
        <v>8</v>
      </c>
      <c r="M1569" s="23" t="s">
        <v>8</v>
      </c>
    </row>
    <row r="1570" spans="1:13" s="21" customFormat="1" x14ac:dyDescent="0.25">
      <c r="A1570" s="22" t="s">
        <v>8</v>
      </c>
      <c r="B1570" s="18" t="str">
        <f>"075286"</f>
        <v>075286</v>
      </c>
      <c r="C1570" s="19" t="s">
        <v>1569</v>
      </c>
      <c r="D1570" s="19" t="s">
        <v>17003</v>
      </c>
      <c r="E1570" s="19" t="s">
        <v>31453</v>
      </c>
      <c r="F1570" s="19" t="s">
        <v>35980</v>
      </c>
      <c r="G1570" s="18" t="str">
        <f>"06111"</f>
        <v>06111</v>
      </c>
      <c r="H1570" s="19" t="s">
        <v>30919</v>
      </c>
      <c r="I1570" s="20">
        <v>15.866</v>
      </c>
      <c r="J1570" s="44" t="s">
        <v>8</v>
      </c>
      <c r="K1570" s="23" t="s">
        <v>8</v>
      </c>
      <c r="L1570" s="23" t="s">
        <v>8</v>
      </c>
      <c r="M1570" s="23" t="s">
        <v>8</v>
      </c>
    </row>
    <row r="1571" spans="1:13" s="21" customFormat="1" x14ac:dyDescent="0.25">
      <c r="A1571" s="22" t="s">
        <v>8</v>
      </c>
      <c r="B1571" s="18" t="str">
        <f>"075288"</f>
        <v>075288</v>
      </c>
      <c r="C1571" s="19" t="s">
        <v>1570</v>
      </c>
      <c r="D1571" s="19" t="s">
        <v>17004</v>
      </c>
      <c r="E1571" s="19" t="s">
        <v>31448</v>
      </c>
      <c r="F1571" s="19" t="s">
        <v>35980</v>
      </c>
      <c r="G1571" s="18" t="str">
        <f>"06340"</f>
        <v>06340</v>
      </c>
      <c r="H1571" s="19" t="s">
        <v>31423</v>
      </c>
      <c r="I1571" s="20">
        <v>15.91</v>
      </c>
      <c r="J1571" s="44" t="s">
        <v>8</v>
      </c>
      <c r="K1571" s="23" t="s">
        <v>8</v>
      </c>
      <c r="L1571" s="23" t="s">
        <v>8</v>
      </c>
      <c r="M1571" s="23" t="s">
        <v>8</v>
      </c>
    </row>
    <row r="1572" spans="1:13" s="21" customFormat="1" x14ac:dyDescent="0.25">
      <c r="A1572" s="22" t="s">
        <v>8</v>
      </c>
      <c r="B1572" s="18" t="str">
        <f>"075290"</f>
        <v>075290</v>
      </c>
      <c r="C1572" s="19" t="s">
        <v>1571</v>
      </c>
      <c r="D1572" s="19" t="s">
        <v>17005</v>
      </c>
      <c r="E1572" s="19" t="s">
        <v>31436</v>
      </c>
      <c r="F1572" s="19" t="s">
        <v>35980</v>
      </c>
      <c r="G1572" s="18" t="str">
        <f>"06517"</f>
        <v>06517</v>
      </c>
      <c r="H1572" s="19" t="s">
        <v>31450</v>
      </c>
      <c r="I1572" s="20">
        <v>19.416</v>
      </c>
      <c r="J1572" s="44" t="s">
        <v>8</v>
      </c>
      <c r="K1572" s="23" t="s">
        <v>8</v>
      </c>
      <c r="L1572" s="23" t="s">
        <v>8</v>
      </c>
      <c r="M1572" s="23" t="s">
        <v>8</v>
      </c>
    </row>
    <row r="1573" spans="1:13" s="21" customFormat="1" x14ac:dyDescent="0.25">
      <c r="A1573" s="22" t="s">
        <v>8</v>
      </c>
      <c r="B1573" s="18" t="str">
        <f>"075291"</f>
        <v>075291</v>
      </c>
      <c r="C1573" s="19" t="s">
        <v>1572</v>
      </c>
      <c r="D1573" s="19" t="s">
        <v>17006</v>
      </c>
      <c r="E1573" s="19" t="s">
        <v>31416</v>
      </c>
      <c r="F1573" s="19" t="s">
        <v>35980</v>
      </c>
      <c r="G1573" s="18" t="str">
        <f>"06002"</f>
        <v>06002</v>
      </c>
      <c r="H1573" s="19" t="s">
        <v>30919</v>
      </c>
      <c r="I1573" s="20">
        <v>20.741</v>
      </c>
      <c r="J1573" s="44" t="s">
        <v>8</v>
      </c>
      <c r="K1573" s="23" t="s">
        <v>8</v>
      </c>
      <c r="L1573" s="23" t="s">
        <v>8</v>
      </c>
      <c r="M1573" s="23" t="s">
        <v>8</v>
      </c>
    </row>
    <row r="1574" spans="1:13" s="21" customFormat="1" x14ac:dyDescent="0.25">
      <c r="A1574" s="22" t="s">
        <v>8</v>
      </c>
      <c r="B1574" s="18" t="str">
        <f>"075292"</f>
        <v>075292</v>
      </c>
      <c r="C1574" s="19" t="s">
        <v>1573</v>
      </c>
      <c r="D1574" s="19" t="s">
        <v>17007</v>
      </c>
      <c r="E1574" s="19" t="s">
        <v>31420</v>
      </c>
      <c r="F1574" s="19" t="s">
        <v>35980</v>
      </c>
      <c r="G1574" s="18" t="str">
        <f>"06053"</f>
        <v>06053</v>
      </c>
      <c r="H1574" s="19" t="s">
        <v>30919</v>
      </c>
      <c r="I1574" s="20">
        <v>15.101000000000001</v>
      </c>
      <c r="J1574" s="44" t="s">
        <v>8</v>
      </c>
      <c r="K1574" s="23" t="s">
        <v>8</v>
      </c>
      <c r="L1574" s="23" t="s">
        <v>8</v>
      </c>
      <c r="M1574" s="23" t="s">
        <v>8</v>
      </c>
    </row>
    <row r="1575" spans="1:13" s="21" customFormat="1" x14ac:dyDescent="0.25">
      <c r="A1575" s="22" t="s">
        <v>8</v>
      </c>
      <c r="B1575" s="18" t="str">
        <f>"075293"</f>
        <v>075293</v>
      </c>
      <c r="C1575" s="19" t="s">
        <v>1574</v>
      </c>
      <c r="D1575" s="19" t="s">
        <v>17008</v>
      </c>
      <c r="E1575" s="19" t="s">
        <v>31453</v>
      </c>
      <c r="F1575" s="19" t="s">
        <v>35980</v>
      </c>
      <c r="G1575" s="18" t="str">
        <f>"06111"</f>
        <v>06111</v>
      </c>
      <c r="H1575" s="19" t="s">
        <v>30919</v>
      </c>
      <c r="I1575" s="20">
        <v>14.813000000000001</v>
      </c>
      <c r="J1575" s="44" t="s">
        <v>8</v>
      </c>
      <c r="K1575" s="23" t="s">
        <v>8</v>
      </c>
      <c r="L1575" s="23" t="s">
        <v>8</v>
      </c>
      <c r="M1575" s="23" t="s">
        <v>8</v>
      </c>
    </row>
    <row r="1576" spans="1:13" s="21" customFormat="1" x14ac:dyDescent="0.25">
      <c r="A1576" s="22" t="s">
        <v>8</v>
      </c>
      <c r="B1576" s="18" t="str">
        <f>"075294"</f>
        <v>075294</v>
      </c>
      <c r="C1576" s="19" t="s">
        <v>1575</v>
      </c>
      <c r="D1576" s="19" t="s">
        <v>17009</v>
      </c>
      <c r="E1576" s="19" t="s">
        <v>31454</v>
      </c>
      <c r="F1576" s="19" t="s">
        <v>35980</v>
      </c>
      <c r="G1576" s="18" t="str">
        <f>"06512"</f>
        <v>06512</v>
      </c>
      <c r="H1576" s="19" t="s">
        <v>31450</v>
      </c>
      <c r="I1576" s="20">
        <v>18.440000000000001</v>
      </c>
      <c r="J1576" s="44" t="s">
        <v>8</v>
      </c>
      <c r="K1576" s="23" t="s">
        <v>8</v>
      </c>
      <c r="L1576" s="23" t="s">
        <v>8</v>
      </c>
      <c r="M1576" s="23" t="s">
        <v>8</v>
      </c>
    </row>
    <row r="1577" spans="1:13" s="21" customFormat="1" x14ac:dyDescent="0.25">
      <c r="A1577" s="22" t="s">
        <v>8</v>
      </c>
      <c r="B1577" s="18" t="str">
        <f>"075295"</f>
        <v>075295</v>
      </c>
      <c r="C1577" s="19" t="s">
        <v>1576</v>
      </c>
      <c r="D1577" s="19" t="s">
        <v>17010</v>
      </c>
      <c r="E1577" s="19" t="s">
        <v>31422</v>
      </c>
      <c r="F1577" s="19" t="s">
        <v>35980</v>
      </c>
      <c r="G1577" s="18" t="str">
        <f>"06450"</f>
        <v>06450</v>
      </c>
      <c r="H1577" s="19" t="s">
        <v>31450</v>
      </c>
      <c r="I1577" s="20">
        <v>23.652999999999999</v>
      </c>
      <c r="J1577" s="44" t="s">
        <v>8</v>
      </c>
      <c r="K1577" s="23" t="s">
        <v>8</v>
      </c>
      <c r="L1577" s="23" t="s">
        <v>8</v>
      </c>
      <c r="M1577" s="23" t="s">
        <v>8</v>
      </c>
    </row>
    <row r="1578" spans="1:13" s="21" customFormat="1" x14ac:dyDescent="0.25">
      <c r="A1578" s="22" t="s">
        <v>8</v>
      </c>
      <c r="B1578" s="18" t="str">
        <f>"075296"</f>
        <v>075296</v>
      </c>
      <c r="C1578" s="19" t="s">
        <v>1577</v>
      </c>
      <c r="D1578" s="19" t="s">
        <v>17011</v>
      </c>
      <c r="E1578" s="19" t="s">
        <v>31455</v>
      </c>
      <c r="F1578" s="19" t="s">
        <v>35980</v>
      </c>
      <c r="G1578" s="18" t="str">
        <f>"06405"</f>
        <v>06405</v>
      </c>
      <c r="H1578" s="19" t="s">
        <v>31450</v>
      </c>
      <c r="I1578" s="20">
        <v>20.300999999999998</v>
      </c>
      <c r="J1578" s="44" t="s">
        <v>8</v>
      </c>
      <c r="K1578" s="23" t="s">
        <v>8</v>
      </c>
      <c r="L1578" s="23" t="s">
        <v>8</v>
      </c>
      <c r="M1578" s="23" t="s">
        <v>8</v>
      </c>
    </row>
    <row r="1579" spans="1:13" s="21" customFormat="1" x14ac:dyDescent="0.25">
      <c r="A1579" s="22" t="s">
        <v>8</v>
      </c>
      <c r="B1579" s="18" t="str">
        <f>"075299"</f>
        <v>075299</v>
      </c>
      <c r="C1579" s="19" t="s">
        <v>1578</v>
      </c>
      <c r="D1579" s="19" t="s">
        <v>17012</v>
      </c>
      <c r="E1579" s="19" t="s">
        <v>30919</v>
      </c>
      <c r="F1579" s="19" t="s">
        <v>35980</v>
      </c>
      <c r="G1579" s="18" t="str">
        <f>"06105"</f>
        <v>06105</v>
      </c>
      <c r="H1579" s="19" t="s">
        <v>30919</v>
      </c>
      <c r="I1579" s="20">
        <v>18.158999999999999</v>
      </c>
      <c r="J1579" s="44" t="s">
        <v>8</v>
      </c>
      <c r="K1579" s="23" t="s">
        <v>8</v>
      </c>
      <c r="L1579" s="23" t="s">
        <v>8</v>
      </c>
      <c r="M1579" s="23" t="s">
        <v>8</v>
      </c>
    </row>
    <row r="1580" spans="1:13" s="21" customFormat="1" x14ac:dyDescent="0.25">
      <c r="A1580" s="22" t="s">
        <v>8</v>
      </c>
      <c r="B1580" s="18" t="str">
        <f>"075300"</f>
        <v>075300</v>
      </c>
      <c r="C1580" s="19" t="s">
        <v>1579</v>
      </c>
      <c r="D1580" s="19" t="s">
        <v>17013</v>
      </c>
      <c r="E1580" s="19" t="s">
        <v>31399</v>
      </c>
      <c r="F1580" s="19" t="s">
        <v>35980</v>
      </c>
      <c r="G1580" s="18" t="str">
        <f>"06484"</f>
        <v>06484</v>
      </c>
      <c r="H1580" s="19" t="s">
        <v>31103</v>
      </c>
      <c r="I1580" s="20">
        <v>22.297999999999998</v>
      </c>
      <c r="J1580" s="44" t="s">
        <v>8</v>
      </c>
      <c r="K1580" s="23" t="s">
        <v>8</v>
      </c>
      <c r="L1580" s="23" t="s">
        <v>8</v>
      </c>
      <c r="M1580" s="23" t="s">
        <v>8</v>
      </c>
    </row>
    <row r="1581" spans="1:13" s="21" customFormat="1" x14ac:dyDescent="0.25">
      <c r="A1581" s="22" t="s">
        <v>8</v>
      </c>
      <c r="B1581" s="18" t="str">
        <f>"075301"</f>
        <v>075301</v>
      </c>
      <c r="C1581" s="19" t="s">
        <v>1580</v>
      </c>
      <c r="D1581" s="19" t="s">
        <v>17014</v>
      </c>
      <c r="E1581" s="19" t="s">
        <v>31416</v>
      </c>
      <c r="F1581" s="19" t="s">
        <v>35980</v>
      </c>
      <c r="G1581" s="18" t="str">
        <f>"06002"</f>
        <v>06002</v>
      </c>
      <c r="H1581" s="19" t="s">
        <v>30919</v>
      </c>
      <c r="I1581" s="20">
        <v>19.14</v>
      </c>
      <c r="J1581" s="44" t="s">
        <v>8</v>
      </c>
      <c r="K1581" s="23" t="s">
        <v>8</v>
      </c>
      <c r="L1581" s="23" t="s">
        <v>8</v>
      </c>
      <c r="M1581" s="23" t="s">
        <v>8</v>
      </c>
    </row>
    <row r="1582" spans="1:13" s="21" customFormat="1" x14ac:dyDescent="0.25">
      <c r="A1582" s="22" t="s">
        <v>8</v>
      </c>
      <c r="B1582" s="18" t="str">
        <f>"075306"</f>
        <v>075306</v>
      </c>
      <c r="C1582" s="19" t="s">
        <v>1581</v>
      </c>
      <c r="D1582" s="19" t="s">
        <v>17015</v>
      </c>
      <c r="E1582" s="19" t="s">
        <v>31447</v>
      </c>
      <c r="F1582" s="19" t="s">
        <v>35980</v>
      </c>
      <c r="G1582" s="18" t="str">
        <f>"06416"</f>
        <v>06416</v>
      </c>
      <c r="H1582" s="19" t="s">
        <v>36120</v>
      </c>
      <c r="I1582" s="20">
        <v>18.065000000000001</v>
      </c>
      <c r="J1582" s="44" t="s">
        <v>8</v>
      </c>
      <c r="K1582" s="23" t="s">
        <v>8</v>
      </c>
      <c r="L1582" s="23" t="s">
        <v>8</v>
      </c>
      <c r="M1582" s="23" t="s">
        <v>8</v>
      </c>
    </row>
    <row r="1583" spans="1:13" s="21" customFormat="1" x14ac:dyDescent="0.25">
      <c r="A1583" s="22" t="s">
        <v>8</v>
      </c>
      <c r="B1583" s="18" t="str">
        <f>"075307"</f>
        <v>075307</v>
      </c>
      <c r="C1583" s="19" t="s">
        <v>1582</v>
      </c>
      <c r="D1583" s="19" t="s">
        <v>17016</v>
      </c>
      <c r="E1583" s="19" t="s">
        <v>31456</v>
      </c>
      <c r="F1583" s="19" t="s">
        <v>35980</v>
      </c>
      <c r="G1583" s="18" t="str">
        <f>"06469"</f>
        <v>06469</v>
      </c>
      <c r="H1583" s="19" t="s">
        <v>36120</v>
      </c>
      <c r="I1583" s="20">
        <v>17.062999999999999</v>
      </c>
      <c r="J1583" s="44" t="s">
        <v>8</v>
      </c>
      <c r="K1583" s="23" t="s">
        <v>8</v>
      </c>
      <c r="L1583" s="23" t="s">
        <v>8</v>
      </c>
      <c r="M1583" s="23" t="s">
        <v>8</v>
      </c>
    </row>
    <row r="1584" spans="1:13" s="21" customFormat="1" x14ac:dyDescent="0.25">
      <c r="A1584" s="22" t="s">
        <v>8</v>
      </c>
      <c r="B1584" s="18" t="str">
        <f>"075309"</f>
        <v>075309</v>
      </c>
      <c r="C1584" s="19" t="s">
        <v>1583</v>
      </c>
      <c r="D1584" s="19" t="s">
        <v>17017</v>
      </c>
      <c r="E1584" s="19" t="s">
        <v>31406</v>
      </c>
      <c r="F1584" s="19" t="s">
        <v>35980</v>
      </c>
      <c r="G1584" s="18" t="str">
        <f>"06831"</f>
        <v>06831</v>
      </c>
      <c r="H1584" s="19" t="s">
        <v>31103</v>
      </c>
      <c r="I1584" s="20">
        <v>20.888999999999999</v>
      </c>
      <c r="J1584" s="44" t="s">
        <v>8</v>
      </c>
      <c r="K1584" s="23" t="s">
        <v>8</v>
      </c>
      <c r="L1584" s="23" t="s">
        <v>8</v>
      </c>
      <c r="M1584" s="23" t="s">
        <v>8</v>
      </c>
    </row>
    <row r="1585" spans="1:13" s="21" customFormat="1" x14ac:dyDescent="0.25">
      <c r="A1585" s="22" t="s">
        <v>8</v>
      </c>
      <c r="B1585" s="18" t="str">
        <f>"075310"</f>
        <v>075310</v>
      </c>
      <c r="C1585" s="19" t="s">
        <v>1584</v>
      </c>
      <c r="D1585" s="19" t="s">
        <v>17018</v>
      </c>
      <c r="E1585" s="19" t="s">
        <v>31411</v>
      </c>
      <c r="F1585" s="19" t="s">
        <v>35980</v>
      </c>
      <c r="G1585" s="18" t="str">
        <f>"06374"</f>
        <v>06374</v>
      </c>
      <c r="H1585" s="19" t="s">
        <v>31446</v>
      </c>
      <c r="I1585" s="20">
        <v>19.079999999999998</v>
      </c>
      <c r="J1585" s="44" t="s">
        <v>8</v>
      </c>
      <c r="K1585" s="23" t="s">
        <v>8</v>
      </c>
      <c r="L1585" s="23" t="s">
        <v>8</v>
      </c>
      <c r="M1585" s="23" t="s">
        <v>8</v>
      </c>
    </row>
    <row r="1586" spans="1:13" s="21" customFormat="1" x14ac:dyDescent="0.25">
      <c r="A1586" s="22" t="s">
        <v>8</v>
      </c>
      <c r="B1586" s="18" t="str">
        <f>"075312"</f>
        <v>075312</v>
      </c>
      <c r="C1586" s="19" t="s">
        <v>1585</v>
      </c>
      <c r="D1586" s="19" t="s">
        <v>17019</v>
      </c>
      <c r="E1586" s="19" t="s">
        <v>31412</v>
      </c>
      <c r="F1586" s="19" t="s">
        <v>35980</v>
      </c>
      <c r="G1586" s="18" t="str">
        <f>"06457"</f>
        <v>06457</v>
      </c>
      <c r="H1586" s="19" t="s">
        <v>36120</v>
      </c>
      <c r="I1586" s="20">
        <v>19.11</v>
      </c>
      <c r="J1586" s="44" t="s">
        <v>8</v>
      </c>
      <c r="K1586" s="23" t="s">
        <v>8</v>
      </c>
      <c r="L1586" s="23" t="s">
        <v>8</v>
      </c>
      <c r="M1586" s="23" t="s">
        <v>8</v>
      </c>
    </row>
    <row r="1587" spans="1:13" s="21" customFormat="1" x14ac:dyDescent="0.25">
      <c r="A1587" s="22" t="s">
        <v>8</v>
      </c>
      <c r="B1587" s="18" t="str">
        <f>"075313"</f>
        <v>075313</v>
      </c>
      <c r="C1587" s="19" t="s">
        <v>1586</v>
      </c>
      <c r="D1587" s="19" t="s">
        <v>17020</v>
      </c>
      <c r="E1587" s="19" t="s">
        <v>31407</v>
      </c>
      <c r="F1587" s="19" t="s">
        <v>35980</v>
      </c>
      <c r="G1587" s="18" t="str">
        <f>"06475"</f>
        <v>06475</v>
      </c>
      <c r="H1587" s="19" t="s">
        <v>36120</v>
      </c>
      <c r="I1587" s="20">
        <v>18.577000000000002</v>
      </c>
      <c r="J1587" s="44" t="s">
        <v>8</v>
      </c>
      <c r="K1587" s="23" t="s">
        <v>8</v>
      </c>
      <c r="L1587" s="23" t="s">
        <v>8</v>
      </c>
      <c r="M1587" s="23" t="s">
        <v>8</v>
      </c>
    </row>
    <row r="1588" spans="1:13" s="21" customFormat="1" x14ac:dyDescent="0.25">
      <c r="A1588" s="22" t="s">
        <v>8</v>
      </c>
      <c r="B1588" s="18" t="str">
        <f>"075314"</f>
        <v>075314</v>
      </c>
      <c r="C1588" s="19" t="s">
        <v>1587</v>
      </c>
      <c r="D1588" s="19" t="s">
        <v>17021</v>
      </c>
      <c r="E1588" s="19" t="s">
        <v>31394</v>
      </c>
      <c r="F1588" s="19" t="s">
        <v>35980</v>
      </c>
      <c r="G1588" s="18" t="str">
        <f>"06040"</f>
        <v>06040</v>
      </c>
      <c r="H1588" s="19" t="s">
        <v>30919</v>
      </c>
      <c r="I1588" s="20">
        <v>16.463000000000001</v>
      </c>
      <c r="J1588" s="44" t="s">
        <v>8</v>
      </c>
      <c r="K1588" s="23" t="s">
        <v>8</v>
      </c>
      <c r="L1588" s="23" t="s">
        <v>8</v>
      </c>
      <c r="M1588" s="23" t="s">
        <v>8</v>
      </c>
    </row>
    <row r="1589" spans="1:13" s="21" customFormat="1" x14ac:dyDescent="0.25">
      <c r="A1589" s="22" t="s">
        <v>8</v>
      </c>
      <c r="B1589" s="18" t="str">
        <f>"075316"</f>
        <v>075316</v>
      </c>
      <c r="C1589" s="19" t="s">
        <v>1588</v>
      </c>
      <c r="D1589" s="19" t="s">
        <v>17022</v>
      </c>
      <c r="E1589" s="19" t="s">
        <v>31403</v>
      </c>
      <c r="F1589" s="19" t="s">
        <v>35980</v>
      </c>
      <c r="G1589" s="18" t="str">
        <f>"06033"</f>
        <v>06033</v>
      </c>
      <c r="H1589" s="19" t="s">
        <v>30919</v>
      </c>
      <c r="I1589" s="20">
        <v>21.489000000000001</v>
      </c>
      <c r="J1589" s="44" t="s">
        <v>8</v>
      </c>
      <c r="K1589" s="23" t="s">
        <v>8</v>
      </c>
      <c r="L1589" s="23" t="s">
        <v>8</v>
      </c>
      <c r="M1589" s="23" t="s">
        <v>8</v>
      </c>
    </row>
    <row r="1590" spans="1:13" s="21" customFormat="1" x14ac:dyDescent="0.25">
      <c r="A1590" s="22" t="s">
        <v>8</v>
      </c>
      <c r="B1590" s="18" t="str">
        <f>"075317"</f>
        <v>075317</v>
      </c>
      <c r="C1590" s="19" t="s">
        <v>1589</v>
      </c>
      <c r="D1590" s="19" t="s">
        <v>17023</v>
      </c>
      <c r="E1590" s="19" t="s">
        <v>31457</v>
      </c>
      <c r="F1590" s="19" t="s">
        <v>35980</v>
      </c>
      <c r="G1590" s="18" t="str">
        <f>"06897"</f>
        <v>06897</v>
      </c>
      <c r="H1590" s="19" t="s">
        <v>31103</v>
      </c>
      <c r="I1590" s="20">
        <v>17.728999999999999</v>
      </c>
      <c r="J1590" s="44" t="s">
        <v>8</v>
      </c>
      <c r="K1590" s="23" t="s">
        <v>8</v>
      </c>
      <c r="L1590" s="23" t="s">
        <v>8</v>
      </c>
      <c r="M1590" s="23" t="s">
        <v>8</v>
      </c>
    </row>
    <row r="1591" spans="1:13" s="21" customFormat="1" x14ac:dyDescent="0.25">
      <c r="A1591" s="22" t="s">
        <v>8</v>
      </c>
      <c r="B1591" s="18" t="str">
        <f>"075318"</f>
        <v>075318</v>
      </c>
      <c r="C1591" s="19" t="s">
        <v>1590</v>
      </c>
      <c r="D1591" s="19" t="s">
        <v>17024</v>
      </c>
      <c r="E1591" s="19" t="s">
        <v>31442</v>
      </c>
      <c r="F1591" s="19" t="s">
        <v>35980</v>
      </c>
      <c r="G1591" s="18" t="str">
        <f>"06488"</f>
        <v>06488</v>
      </c>
      <c r="H1591" s="19" t="s">
        <v>31450</v>
      </c>
      <c r="I1591" s="20">
        <v>18.823</v>
      </c>
      <c r="J1591" s="44" t="s">
        <v>8</v>
      </c>
      <c r="K1591" s="23" t="s">
        <v>8</v>
      </c>
      <c r="L1591" s="23" t="s">
        <v>8</v>
      </c>
      <c r="M1591" s="23" t="s">
        <v>8</v>
      </c>
    </row>
    <row r="1592" spans="1:13" s="21" customFormat="1" x14ac:dyDescent="0.25">
      <c r="A1592" s="22" t="s">
        <v>8</v>
      </c>
      <c r="B1592" s="18" t="str">
        <f>"075319"</f>
        <v>075319</v>
      </c>
      <c r="C1592" s="19" t="s">
        <v>1591</v>
      </c>
      <c r="D1592" s="19" t="s">
        <v>17025</v>
      </c>
      <c r="E1592" s="19" t="s">
        <v>31414</v>
      </c>
      <c r="F1592" s="19" t="s">
        <v>35980</v>
      </c>
      <c r="G1592" s="18" t="str">
        <f>"06790"</f>
        <v>06790</v>
      </c>
      <c r="H1592" s="19" t="s">
        <v>31463</v>
      </c>
      <c r="I1592" s="20">
        <v>16.13</v>
      </c>
      <c r="J1592" s="44" t="s">
        <v>8</v>
      </c>
      <c r="K1592" s="23" t="s">
        <v>8</v>
      </c>
      <c r="L1592" s="23" t="s">
        <v>8</v>
      </c>
      <c r="M1592" s="23" t="s">
        <v>8</v>
      </c>
    </row>
    <row r="1593" spans="1:13" s="21" customFormat="1" x14ac:dyDescent="0.25">
      <c r="A1593" s="22" t="s">
        <v>8</v>
      </c>
      <c r="B1593" s="18" t="str">
        <f>"075320"</f>
        <v>075320</v>
      </c>
      <c r="C1593" s="19" t="s">
        <v>1592</v>
      </c>
      <c r="D1593" s="19" t="s">
        <v>17026</v>
      </c>
      <c r="E1593" s="19" t="s">
        <v>31404</v>
      </c>
      <c r="F1593" s="19" t="s">
        <v>35980</v>
      </c>
      <c r="G1593" s="18" t="str">
        <f>"06902"</f>
        <v>06902</v>
      </c>
      <c r="H1593" s="19" t="s">
        <v>31103</v>
      </c>
      <c r="I1593" s="20">
        <v>19.22</v>
      </c>
      <c r="J1593" s="44" t="s">
        <v>8</v>
      </c>
      <c r="K1593" s="23" t="s">
        <v>8</v>
      </c>
      <c r="L1593" s="23" t="s">
        <v>8</v>
      </c>
      <c r="M1593" s="23" t="s">
        <v>8</v>
      </c>
    </row>
    <row r="1594" spans="1:13" s="21" customFormat="1" x14ac:dyDescent="0.25">
      <c r="A1594" s="22" t="s">
        <v>8</v>
      </c>
      <c r="B1594" s="18" t="str">
        <f>"075321"</f>
        <v>075321</v>
      </c>
      <c r="C1594" s="19" t="s">
        <v>1593</v>
      </c>
      <c r="D1594" s="19" t="s">
        <v>17027</v>
      </c>
      <c r="E1594" s="19" t="s">
        <v>31446</v>
      </c>
      <c r="F1594" s="19" t="s">
        <v>35980</v>
      </c>
      <c r="G1594" s="18" t="str">
        <f>"06280"</f>
        <v>06280</v>
      </c>
      <c r="H1594" s="19" t="s">
        <v>31446</v>
      </c>
      <c r="I1594" s="20">
        <v>16.292999999999999</v>
      </c>
      <c r="J1594" s="44" t="s">
        <v>8</v>
      </c>
      <c r="K1594" s="23" t="s">
        <v>8</v>
      </c>
      <c r="L1594" s="23" t="s">
        <v>8</v>
      </c>
      <c r="M1594" s="23" t="s">
        <v>8</v>
      </c>
    </row>
    <row r="1595" spans="1:13" s="21" customFormat="1" x14ac:dyDescent="0.25">
      <c r="A1595" s="22" t="s">
        <v>8</v>
      </c>
      <c r="B1595" s="18" t="str">
        <f>"075322"</f>
        <v>075322</v>
      </c>
      <c r="C1595" s="19" t="s">
        <v>1594</v>
      </c>
      <c r="D1595" s="19" t="s">
        <v>17028</v>
      </c>
      <c r="E1595" s="19" t="s">
        <v>31458</v>
      </c>
      <c r="F1595" s="19" t="s">
        <v>35980</v>
      </c>
      <c r="G1595" s="18" t="str">
        <f>"06426"</f>
        <v>06426</v>
      </c>
      <c r="H1595" s="19" t="s">
        <v>36120</v>
      </c>
      <c r="I1595" s="20">
        <v>19.274000000000001</v>
      </c>
      <c r="J1595" s="44" t="s">
        <v>8</v>
      </c>
      <c r="K1595" s="23" t="s">
        <v>8</v>
      </c>
      <c r="L1595" s="23" t="s">
        <v>8</v>
      </c>
      <c r="M1595" s="23" t="s">
        <v>8</v>
      </c>
    </row>
    <row r="1596" spans="1:13" s="21" customFormat="1" x14ac:dyDescent="0.25">
      <c r="A1596" s="22" t="s">
        <v>8</v>
      </c>
      <c r="B1596" s="18" t="str">
        <f>"075323"</f>
        <v>075323</v>
      </c>
      <c r="C1596" s="19" t="s">
        <v>1595</v>
      </c>
      <c r="D1596" s="19" t="s">
        <v>17029</v>
      </c>
      <c r="E1596" s="19" t="s">
        <v>31103</v>
      </c>
      <c r="F1596" s="19" t="s">
        <v>35980</v>
      </c>
      <c r="G1596" s="18" t="str">
        <f>"06825"</f>
        <v>06825</v>
      </c>
      <c r="H1596" s="19" t="s">
        <v>31103</v>
      </c>
      <c r="I1596" s="20">
        <v>22.088000000000001</v>
      </c>
      <c r="J1596" s="44" t="s">
        <v>8</v>
      </c>
      <c r="K1596" s="23" t="s">
        <v>8</v>
      </c>
      <c r="L1596" s="23" t="s">
        <v>8</v>
      </c>
      <c r="M1596" s="23" t="s">
        <v>8</v>
      </c>
    </row>
    <row r="1597" spans="1:13" s="21" customFormat="1" x14ac:dyDescent="0.25">
      <c r="A1597" s="22" t="s">
        <v>8</v>
      </c>
      <c r="B1597" s="18" t="str">
        <f>"075324"</f>
        <v>075324</v>
      </c>
      <c r="C1597" s="19" t="s">
        <v>1596</v>
      </c>
      <c r="D1597" s="19" t="s">
        <v>17030</v>
      </c>
      <c r="E1597" s="19" t="s">
        <v>31415</v>
      </c>
      <c r="F1597" s="19" t="s">
        <v>35980</v>
      </c>
      <c r="G1597" s="18" t="str">
        <f>"06385"</f>
        <v>06385</v>
      </c>
      <c r="H1597" s="19" t="s">
        <v>31423</v>
      </c>
      <c r="I1597" s="20">
        <v>17.649999999999999</v>
      </c>
      <c r="J1597" s="44" t="s">
        <v>8</v>
      </c>
      <c r="K1597" s="23" t="s">
        <v>8</v>
      </c>
      <c r="L1597" s="23" t="s">
        <v>8</v>
      </c>
      <c r="M1597" s="23" t="s">
        <v>8</v>
      </c>
    </row>
    <row r="1598" spans="1:13" s="21" customFormat="1" x14ac:dyDescent="0.25">
      <c r="A1598" s="22" t="s">
        <v>8</v>
      </c>
      <c r="B1598" s="18" t="str">
        <f>"075325"</f>
        <v>075325</v>
      </c>
      <c r="C1598" s="19" t="s">
        <v>1597</v>
      </c>
      <c r="D1598" s="19" t="s">
        <v>17031</v>
      </c>
      <c r="E1598" s="19" t="s">
        <v>31450</v>
      </c>
      <c r="F1598" s="19" t="s">
        <v>35980</v>
      </c>
      <c r="G1598" s="18" t="str">
        <f>"06513"</f>
        <v>06513</v>
      </c>
      <c r="H1598" s="19" t="s">
        <v>31450</v>
      </c>
      <c r="I1598" s="20">
        <v>21.79</v>
      </c>
      <c r="J1598" s="44" t="s">
        <v>8</v>
      </c>
      <c r="K1598" s="23" t="s">
        <v>8</v>
      </c>
      <c r="L1598" s="23" t="s">
        <v>8</v>
      </c>
      <c r="M1598" s="23" t="s">
        <v>8</v>
      </c>
    </row>
    <row r="1599" spans="1:13" s="21" customFormat="1" x14ac:dyDescent="0.25">
      <c r="A1599" s="22" t="s">
        <v>8</v>
      </c>
      <c r="B1599" s="18" t="str">
        <f>"075326"</f>
        <v>075326</v>
      </c>
      <c r="C1599" s="19" t="s">
        <v>1598</v>
      </c>
      <c r="D1599" s="19" t="s">
        <v>17032</v>
      </c>
      <c r="E1599" s="19" t="s">
        <v>31459</v>
      </c>
      <c r="F1599" s="19" t="s">
        <v>35980</v>
      </c>
      <c r="G1599" s="18" t="str">
        <f>"06076"</f>
        <v>06076</v>
      </c>
      <c r="H1599" s="19" t="s">
        <v>31475</v>
      </c>
      <c r="I1599" s="20">
        <v>21.558</v>
      </c>
      <c r="J1599" s="44" t="s">
        <v>8</v>
      </c>
      <c r="K1599" s="23" t="s">
        <v>8</v>
      </c>
      <c r="L1599" s="23" t="s">
        <v>8</v>
      </c>
      <c r="M1599" s="23" t="s">
        <v>8</v>
      </c>
    </row>
    <row r="1600" spans="1:13" s="21" customFormat="1" x14ac:dyDescent="0.25">
      <c r="A1600" s="22" t="s">
        <v>8</v>
      </c>
      <c r="B1600" s="18" t="str">
        <f>"075327"</f>
        <v>075327</v>
      </c>
      <c r="C1600" s="19" t="s">
        <v>1599</v>
      </c>
      <c r="D1600" s="19" t="s">
        <v>17033</v>
      </c>
      <c r="E1600" s="19" t="s">
        <v>31449</v>
      </c>
      <c r="F1600" s="19" t="s">
        <v>35980</v>
      </c>
      <c r="G1600" s="18" t="str">
        <f>"06355"</f>
        <v>06355</v>
      </c>
      <c r="H1600" s="19" t="s">
        <v>31423</v>
      </c>
      <c r="I1600" s="20">
        <v>18.638999999999999</v>
      </c>
      <c r="J1600" s="44" t="s">
        <v>8</v>
      </c>
      <c r="K1600" s="23" t="s">
        <v>8</v>
      </c>
      <c r="L1600" s="23" t="s">
        <v>8</v>
      </c>
      <c r="M1600" s="23" t="s">
        <v>8</v>
      </c>
    </row>
    <row r="1601" spans="1:13" s="21" customFormat="1" x14ac:dyDescent="0.25">
      <c r="A1601" s="22" t="s">
        <v>8</v>
      </c>
      <c r="B1601" s="18" t="str">
        <f>"075328"</f>
        <v>075328</v>
      </c>
      <c r="C1601" s="19" t="s">
        <v>1600</v>
      </c>
      <c r="D1601" s="19" t="s">
        <v>17034</v>
      </c>
      <c r="E1601" s="19" t="s">
        <v>30899</v>
      </c>
      <c r="F1601" s="19" t="s">
        <v>35980</v>
      </c>
      <c r="G1601" s="18" t="str">
        <f>"06443"</f>
        <v>06443</v>
      </c>
      <c r="H1601" s="19" t="s">
        <v>31450</v>
      </c>
      <c r="I1601" s="20">
        <v>20.623000000000001</v>
      </c>
      <c r="J1601" s="44" t="s">
        <v>8</v>
      </c>
      <c r="K1601" s="23" t="s">
        <v>8</v>
      </c>
      <c r="L1601" s="23" t="s">
        <v>8</v>
      </c>
      <c r="M1601" s="23" t="s">
        <v>8</v>
      </c>
    </row>
    <row r="1602" spans="1:13" s="21" customFormat="1" x14ac:dyDescent="0.25">
      <c r="A1602" s="22" t="s">
        <v>8</v>
      </c>
      <c r="B1602" s="18" t="str">
        <f>"075329"</f>
        <v>075329</v>
      </c>
      <c r="C1602" s="19" t="s">
        <v>1601</v>
      </c>
      <c r="D1602" s="19" t="s">
        <v>17035</v>
      </c>
      <c r="E1602" s="19" t="s">
        <v>31434</v>
      </c>
      <c r="F1602" s="19" t="s">
        <v>35980</v>
      </c>
      <c r="G1602" s="18" t="str">
        <f>"06010"</f>
        <v>06010</v>
      </c>
      <c r="H1602" s="19" t="s">
        <v>30919</v>
      </c>
      <c r="I1602" s="20">
        <v>20.113</v>
      </c>
      <c r="J1602" s="44" t="s">
        <v>8</v>
      </c>
      <c r="K1602" s="23" t="s">
        <v>8</v>
      </c>
      <c r="L1602" s="23" t="s">
        <v>8</v>
      </c>
      <c r="M1602" s="23" t="s">
        <v>8</v>
      </c>
    </row>
    <row r="1603" spans="1:13" s="21" customFormat="1" x14ac:dyDescent="0.25">
      <c r="A1603" s="22" t="s">
        <v>8</v>
      </c>
      <c r="B1603" s="18" t="str">
        <f>"075330"</f>
        <v>075330</v>
      </c>
      <c r="C1603" s="19" t="s">
        <v>1602</v>
      </c>
      <c r="D1603" s="19" t="s">
        <v>17036</v>
      </c>
      <c r="E1603" s="19" t="s">
        <v>31103</v>
      </c>
      <c r="F1603" s="19" t="s">
        <v>35980</v>
      </c>
      <c r="G1603" s="18" t="str">
        <f>"06432"</f>
        <v>06432</v>
      </c>
      <c r="H1603" s="19" t="s">
        <v>31103</v>
      </c>
      <c r="I1603" s="20">
        <v>20.997</v>
      </c>
      <c r="J1603" s="44" t="s">
        <v>8</v>
      </c>
      <c r="K1603" s="23" t="s">
        <v>8</v>
      </c>
      <c r="L1603" s="23" t="s">
        <v>8</v>
      </c>
      <c r="M1603" s="23" t="s">
        <v>8</v>
      </c>
    </row>
    <row r="1604" spans="1:13" s="21" customFormat="1" x14ac:dyDescent="0.25">
      <c r="A1604" s="22" t="s">
        <v>8</v>
      </c>
      <c r="B1604" s="18" t="str">
        <f>"075331"</f>
        <v>075331</v>
      </c>
      <c r="C1604" s="19" t="s">
        <v>1603</v>
      </c>
      <c r="D1604" s="19" t="s">
        <v>17037</v>
      </c>
      <c r="E1604" s="19" t="s">
        <v>31460</v>
      </c>
      <c r="F1604" s="19" t="s">
        <v>35980</v>
      </c>
      <c r="G1604" s="18" t="str">
        <f>"06525"</f>
        <v>06525</v>
      </c>
      <c r="H1604" s="19" t="s">
        <v>31450</v>
      </c>
      <c r="I1604" s="20">
        <v>20.526</v>
      </c>
      <c r="J1604" s="44" t="s">
        <v>8</v>
      </c>
      <c r="K1604" s="23" t="s">
        <v>8</v>
      </c>
      <c r="L1604" s="23" t="s">
        <v>8</v>
      </c>
      <c r="M1604" s="23" t="s">
        <v>8</v>
      </c>
    </row>
    <row r="1605" spans="1:13" s="21" customFormat="1" x14ac:dyDescent="0.25">
      <c r="A1605" s="22" t="s">
        <v>8</v>
      </c>
      <c r="B1605" s="18" t="str">
        <f>"075332"</f>
        <v>075332</v>
      </c>
      <c r="C1605" s="19" t="s">
        <v>1604</v>
      </c>
      <c r="D1605" s="19" t="s">
        <v>17038</v>
      </c>
      <c r="E1605" s="19" t="s">
        <v>31414</v>
      </c>
      <c r="F1605" s="19" t="s">
        <v>35980</v>
      </c>
      <c r="G1605" s="18" t="str">
        <f>"06790"</f>
        <v>06790</v>
      </c>
      <c r="H1605" s="19" t="s">
        <v>31463</v>
      </c>
      <c r="I1605" s="20">
        <v>17.61</v>
      </c>
      <c r="J1605" s="44" t="s">
        <v>8</v>
      </c>
      <c r="K1605" s="23" t="s">
        <v>8</v>
      </c>
      <c r="L1605" s="23" t="s">
        <v>8</v>
      </c>
      <c r="M1605" s="23" t="s">
        <v>8</v>
      </c>
    </row>
    <row r="1606" spans="1:13" s="21" customFormat="1" x14ac:dyDescent="0.25">
      <c r="A1606" s="22" t="s">
        <v>8</v>
      </c>
      <c r="B1606" s="18" t="str">
        <f>"075333"</f>
        <v>075333</v>
      </c>
      <c r="C1606" s="19" t="s">
        <v>1605</v>
      </c>
      <c r="D1606" s="19" t="s">
        <v>17039</v>
      </c>
      <c r="E1606" s="19" t="s">
        <v>31394</v>
      </c>
      <c r="F1606" s="19" t="s">
        <v>35980</v>
      </c>
      <c r="G1606" s="18" t="str">
        <f>"06040"</f>
        <v>06040</v>
      </c>
      <c r="H1606" s="19" t="s">
        <v>30919</v>
      </c>
      <c r="I1606" s="20">
        <v>18.652999999999999</v>
      </c>
      <c r="J1606" s="44" t="s">
        <v>8</v>
      </c>
      <c r="K1606" s="23" t="s">
        <v>8</v>
      </c>
      <c r="L1606" s="23" t="s">
        <v>8</v>
      </c>
      <c r="M1606" s="23" t="s">
        <v>8</v>
      </c>
    </row>
    <row r="1607" spans="1:13" s="21" customFormat="1" x14ac:dyDescent="0.25">
      <c r="A1607" s="22" t="s">
        <v>8</v>
      </c>
      <c r="B1607" s="18" t="str">
        <f>"075334"</f>
        <v>075334</v>
      </c>
      <c r="C1607" s="19" t="s">
        <v>1606</v>
      </c>
      <c r="D1607" s="19" t="s">
        <v>17040</v>
      </c>
      <c r="E1607" s="19" t="s">
        <v>30903</v>
      </c>
      <c r="F1607" s="19" t="s">
        <v>35980</v>
      </c>
      <c r="G1607" s="18" t="str">
        <f>"06066"</f>
        <v>06066</v>
      </c>
      <c r="H1607" s="19" t="s">
        <v>31475</v>
      </c>
      <c r="I1607" s="20">
        <v>19.919</v>
      </c>
      <c r="J1607" s="44" t="s">
        <v>8</v>
      </c>
      <c r="K1607" s="23" t="s">
        <v>8</v>
      </c>
      <c r="L1607" s="23" t="s">
        <v>8</v>
      </c>
      <c r="M1607" s="23" t="s">
        <v>8</v>
      </c>
    </row>
    <row r="1608" spans="1:13" s="21" customFormat="1" x14ac:dyDescent="0.25">
      <c r="A1608" s="22" t="s">
        <v>8</v>
      </c>
      <c r="B1608" s="18" t="str">
        <f>"075335"</f>
        <v>075335</v>
      </c>
      <c r="C1608" s="19" t="s">
        <v>1607</v>
      </c>
      <c r="D1608" s="19" t="s">
        <v>17041</v>
      </c>
      <c r="E1608" s="19" t="s">
        <v>31423</v>
      </c>
      <c r="F1608" s="19" t="s">
        <v>35980</v>
      </c>
      <c r="G1608" s="18" t="str">
        <f>"06320"</f>
        <v>06320</v>
      </c>
      <c r="H1608" s="19" t="s">
        <v>31423</v>
      </c>
      <c r="I1608" s="20">
        <v>19.126999999999999</v>
      </c>
      <c r="J1608" s="44" t="s">
        <v>8</v>
      </c>
      <c r="K1608" s="23" t="s">
        <v>8</v>
      </c>
      <c r="L1608" s="23" t="s">
        <v>8</v>
      </c>
      <c r="M1608" s="23" t="s">
        <v>8</v>
      </c>
    </row>
    <row r="1609" spans="1:13" s="21" customFormat="1" x14ac:dyDescent="0.25">
      <c r="A1609" s="22" t="s">
        <v>8</v>
      </c>
      <c r="B1609" s="18" t="str">
        <f>"075336"</f>
        <v>075336</v>
      </c>
      <c r="C1609" s="19" t="s">
        <v>1608</v>
      </c>
      <c r="D1609" s="19" t="s">
        <v>17042</v>
      </c>
      <c r="E1609" s="19" t="s">
        <v>31461</v>
      </c>
      <c r="F1609" s="19" t="s">
        <v>35980</v>
      </c>
      <c r="G1609" s="18" t="str">
        <f>"06489"</f>
        <v>06489</v>
      </c>
      <c r="H1609" s="19" t="s">
        <v>30919</v>
      </c>
      <c r="I1609" s="20">
        <v>17.265000000000001</v>
      </c>
      <c r="J1609" s="44" t="s">
        <v>8</v>
      </c>
      <c r="K1609" s="23" t="s">
        <v>8</v>
      </c>
      <c r="L1609" s="23" t="s">
        <v>8</v>
      </c>
      <c r="M1609" s="23" t="s">
        <v>8</v>
      </c>
    </row>
    <row r="1610" spans="1:13" s="21" customFormat="1" x14ac:dyDescent="0.25">
      <c r="A1610" s="22" t="s">
        <v>8</v>
      </c>
      <c r="B1610" s="18" t="str">
        <f>"075337"</f>
        <v>075337</v>
      </c>
      <c r="C1610" s="19" t="s">
        <v>1609</v>
      </c>
      <c r="D1610" s="19" t="s">
        <v>17043</v>
      </c>
      <c r="E1610" s="19" t="s">
        <v>31422</v>
      </c>
      <c r="F1610" s="19" t="s">
        <v>35980</v>
      </c>
      <c r="G1610" s="18" t="str">
        <f>"06450"</f>
        <v>06450</v>
      </c>
      <c r="H1610" s="19" t="s">
        <v>31450</v>
      </c>
      <c r="I1610" s="20">
        <v>19.488</v>
      </c>
      <c r="J1610" s="44" t="s">
        <v>8</v>
      </c>
      <c r="K1610" s="23" t="s">
        <v>8</v>
      </c>
      <c r="L1610" s="23" t="s">
        <v>8</v>
      </c>
      <c r="M1610" s="23" t="s">
        <v>8</v>
      </c>
    </row>
    <row r="1611" spans="1:13" s="21" customFormat="1" x14ac:dyDescent="0.25">
      <c r="A1611" s="22" t="s">
        <v>8</v>
      </c>
      <c r="B1611" s="18" t="str">
        <f>"075338"</f>
        <v>075338</v>
      </c>
      <c r="C1611" s="19" t="s">
        <v>1610</v>
      </c>
      <c r="D1611" s="19" t="s">
        <v>17044</v>
      </c>
      <c r="E1611" s="19" t="s">
        <v>31433</v>
      </c>
      <c r="F1611" s="19" t="s">
        <v>35980</v>
      </c>
      <c r="G1611" s="18" t="str">
        <f>"06070"</f>
        <v>06070</v>
      </c>
      <c r="H1611" s="19" t="s">
        <v>30919</v>
      </c>
      <c r="I1611" s="20">
        <v>20.756</v>
      </c>
      <c r="J1611" s="44" t="s">
        <v>8</v>
      </c>
      <c r="K1611" s="23" t="s">
        <v>8</v>
      </c>
      <c r="L1611" s="23" t="s">
        <v>8</v>
      </c>
      <c r="M1611" s="23" t="s">
        <v>8</v>
      </c>
    </row>
    <row r="1612" spans="1:13" s="21" customFormat="1" x14ac:dyDescent="0.25">
      <c r="A1612" s="22" t="s">
        <v>8</v>
      </c>
      <c r="B1612" s="18" t="str">
        <f>"075339"</f>
        <v>075339</v>
      </c>
      <c r="C1612" s="19" t="s">
        <v>1611</v>
      </c>
      <c r="D1612" s="19" t="s">
        <v>17045</v>
      </c>
      <c r="E1612" s="19" t="s">
        <v>31462</v>
      </c>
      <c r="F1612" s="19" t="s">
        <v>35980</v>
      </c>
      <c r="G1612" s="18" t="str">
        <f>"06614"</f>
        <v>06614</v>
      </c>
      <c r="H1612" s="19" t="s">
        <v>31103</v>
      </c>
      <c r="I1612" s="20">
        <v>19.452000000000002</v>
      </c>
      <c r="J1612" s="44" t="s">
        <v>8</v>
      </c>
      <c r="K1612" s="23" t="s">
        <v>8</v>
      </c>
      <c r="L1612" s="23" t="s">
        <v>8</v>
      </c>
      <c r="M1612" s="23" t="s">
        <v>8</v>
      </c>
    </row>
    <row r="1613" spans="1:13" s="21" customFormat="1" x14ac:dyDescent="0.25">
      <c r="A1613" s="22" t="s">
        <v>8</v>
      </c>
      <c r="B1613" s="18" t="str">
        <f>"075340"</f>
        <v>075340</v>
      </c>
      <c r="C1613" s="19" t="s">
        <v>1612</v>
      </c>
      <c r="D1613" s="19" t="s">
        <v>17046</v>
      </c>
      <c r="E1613" s="19" t="s">
        <v>31419</v>
      </c>
      <c r="F1613" s="19" t="s">
        <v>35980</v>
      </c>
      <c r="G1613" s="18" t="str">
        <f>"06795"</f>
        <v>06795</v>
      </c>
      <c r="H1613" s="19" t="s">
        <v>31463</v>
      </c>
      <c r="I1613" s="20">
        <v>17.783000000000001</v>
      </c>
      <c r="J1613" s="44" t="s">
        <v>8</v>
      </c>
      <c r="K1613" s="23" t="s">
        <v>8</v>
      </c>
      <c r="L1613" s="23" t="s">
        <v>8</v>
      </c>
      <c r="M1613" s="23" t="s">
        <v>8</v>
      </c>
    </row>
    <row r="1614" spans="1:13" s="21" customFormat="1" x14ac:dyDescent="0.25">
      <c r="A1614" s="22" t="s">
        <v>8</v>
      </c>
      <c r="B1614" s="18" t="str">
        <f>"075341"</f>
        <v>075341</v>
      </c>
      <c r="C1614" s="19" t="s">
        <v>1613</v>
      </c>
      <c r="D1614" s="19" t="s">
        <v>17047</v>
      </c>
      <c r="E1614" s="19" t="s">
        <v>31449</v>
      </c>
      <c r="F1614" s="19" t="s">
        <v>35980</v>
      </c>
      <c r="G1614" s="18" t="str">
        <f>"06355"</f>
        <v>06355</v>
      </c>
      <c r="H1614" s="19" t="s">
        <v>31423</v>
      </c>
      <c r="I1614" s="20">
        <v>16.170000000000002</v>
      </c>
      <c r="J1614" s="44" t="s">
        <v>8</v>
      </c>
      <c r="K1614" s="23" t="s">
        <v>8</v>
      </c>
      <c r="L1614" s="23" t="s">
        <v>8</v>
      </c>
      <c r="M1614" s="23" t="s">
        <v>8</v>
      </c>
    </row>
    <row r="1615" spans="1:13" s="21" customFormat="1" x14ac:dyDescent="0.25">
      <c r="A1615" s="22" t="s">
        <v>8</v>
      </c>
      <c r="B1615" s="18" t="str">
        <f>"075343"</f>
        <v>075343</v>
      </c>
      <c r="C1615" s="19" t="s">
        <v>1614</v>
      </c>
      <c r="D1615" s="19" t="s">
        <v>17048</v>
      </c>
      <c r="E1615" s="19" t="s">
        <v>31420</v>
      </c>
      <c r="F1615" s="19" t="s">
        <v>35980</v>
      </c>
      <c r="G1615" s="18" t="str">
        <f>"06052"</f>
        <v>06052</v>
      </c>
      <c r="H1615" s="19" t="s">
        <v>30919</v>
      </c>
      <c r="I1615" s="20">
        <v>16.696000000000002</v>
      </c>
      <c r="J1615" s="44" t="s">
        <v>8</v>
      </c>
      <c r="K1615" s="23" t="s">
        <v>8</v>
      </c>
      <c r="L1615" s="23" t="s">
        <v>8</v>
      </c>
      <c r="M1615" s="23" t="s">
        <v>8</v>
      </c>
    </row>
    <row r="1616" spans="1:13" s="21" customFormat="1" x14ac:dyDescent="0.25">
      <c r="A1616" s="22" t="s">
        <v>8</v>
      </c>
      <c r="B1616" s="18" t="str">
        <f>"075345"</f>
        <v>075345</v>
      </c>
      <c r="C1616" s="19" t="s">
        <v>1615</v>
      </c>
      <c r="D1616" s="19" t="s">
        <v>17049</v>
      </c>
      <c r="E1616" s="19" t="s">
        <v>31422</v>
      </c>
      <c r="F1616" s="19" t="s">
        <v>35980</v>
      </c>
      <c r="G1616" s="18" t="str">
        <f>"06450"</f>
        <v>06450</v>
      </c>
      <c r="H1616" s="19" t="s">
        <v>31450</v>
      </c>
      <c r="I1616" s="20">
        <v>21.164999999999999</v>
      </c>
      <c r="J1616" s="44" t="s">
        <v>8</v>
      </c>
      <c r="K1616" s="23" t="s">
        <v>8</v>
      </c>
      <c r="L1616" s="23" t="s">
        <v>8</v>
      </c>
      <c r="M1616" s="23" t="s">
        <v>8</v>
      </c>
    </row>
    <row r="1617" spans="1:13" s="21" customFormat="1" x14ac:dyDescent="0.25">
      <c r="A1617" s="22" t="s">
        <v>8</v>
      </c>
      <c r="B1617" s="18" t="str">
        <f>"075346"</f>
        <v>075346</v>
      </c>
      <c r="C1617" s="19" t="s">
        <v>1616</v>
      </c>
      <c r="D1617" s="19" t="s">
        <v>17050</v>
      </c>
      <c r="E1617" s="19" t="s">
        <v>31463</v>
      </c>
      <c r="F1617" s="19" t="s">
        <v>35980</v>
      </c>
      <c r="G1617" s="18" t="str">
        <f>"06759"</f>
        <v>06759</v>
      </c>
      <c r="H1617" s="19" t="s">
        <v>31463</v>
      </c>
      <c r="I1617" s="20">
        <v>15.834</v>
      </c>
      <c r="J1617" s="44" t="s">
        <v>8</v>
      </c>
      <c r="K1617" s="23" t="s">
        <v>8</v>
      </c>
      <c r="L1617" s="23" t="s">
        <v>8</v>
      </c>
      <c r="M1617" s="23" t="s">
        <v>8</v>
      </c>
    </row>
    <row r="1618" spans="1:13" s="21" customFormat="1" x14ac:dyDescent="0.25">
      <c r="A1618" s="22" t="s">
        <v>8</v>
      </c>
      <c r="B1618" s="18" t="str">
        <f>"075347"</f>
        <v>075347</v>
      </c>
      <c r="C1618" s="19" t="s">
        <v>1617</v>
      </c>
      <c r="D1618" s="19" t="s">
        <v>17051</v>
      </c>
      <c r="E1618" s="19" t="s">
        <v>31464</v>
      </c>
      <c r="F1618" s="19" t="s">
        <v>35980</v>
      </c>
      <c r="G1618" s="18" t="str">
        <f>"06078"</f>
        <v>06078</v>
      </c>
      <c r="H1618" s="19" t="s">
        <v>30919</v>
      </c>
      <c r="I1618" s="20">
        <v>17.95</v>
      </c>
      <c r="J1618" s="44" t="s">
        <v>8</v>
      </c>
      <c r="K1618" s="23" t="s">
        <v>8</v>
      </c>
      <c r="L1618" s="23" t="s">
        <v>8</v>
      </c>
      <c r="M1618" s="23" t="s">
        <v>8</v>
      </c>
    </row>
    <row r="1619" spans="1:13" s="21" customFormat="1" x14ac:dyDescent="0.25">
      <c r="A1619" s="22" t="s">
        <v>8</v>
      </c>
      <c r="B1619" s="18" t="str">
        <f>"075348"</f>
        <v>075348</v>
      </c>
      <c r="C1619" s="19" t="s">
        <v>1618</v>
      </c>
      <c r="D1619" s="19" t="s">
        <v>17052</v>
      </c>
      <c r="E1619" s="19" t="s">
        <v>31450</v>
      </c>
      <c r="F1619" s="19" t="s">
        <v>35980</v>
      </c>
      <c r="G1619" s="18" t="str">
        <f>"06519"</f>
        <v>06519</v>
      </c>
      <c r="H1619" s="19" t="s">
        <v>31450</v>
      </c>
      <c r="I1619" s="20">
        <v>19.495000000000001</v>
      </c>
      <c r="J1619" s="44" t="s">
        <v>8</v>
      </c>
      <c r="K1619" s="23" t="s">
        <v>8</v>
      </c>
      <c r="L1619" s="23" t="s">
        <v>8</v>
      </c>
      <c r="M1619" s="23" t="s">
        <v>8</v>
      </c>
    </row>
    <row r="1620" spans="1:13" s="21" customFormat="1" x14ac:dyDescent="0.25">
      <c r="A1620" s="22" t="s">
        <v>8</v>
      </c>
      <c r="B1620" s="18" t="str">
        <f>"075349"</f>
        <v>075349</v>
      </c>
      <c r="C1620" s="19" t="s">
        <v>1619</v>
      </c>
      <c r="D1620" s="19" t="s">
        <v>17053</v>
      </c>
      <c r="E1620" s="19" t="s">
        <v>31465</v>
      </c>
      <c r="F1620" s="19" t="s">
        <v>35980</v>
      </c>
      <c r="G1620" s="18" t="str">
        <f>"06782"</f>
        <v>06782</v>
      </c>
      <c r="H1620" s="19" t="s">
        <v>31463</v>
      </c>
      <c r="I1620" s="20">
        <v>18.725000000000001</v>
      </c>
      <c r="J1620" s="44" t="s">
        <v>8</v>
      </c>
      <c r="K1620" s="23" t="s">
        <v>8</v>
      </c>
      <c r="L1620" s="23" t="s">
        <v>8</v>
      </c>
      <c r="M1620" s="23" t="s">
        <v>8</v>
      </c>
    </row>
    <row r="1621" spans="1:13" s="21" customFormat="1" x14ac:dyDescent="0.25">
      <c r="A1621" s="22" t="s">
        <v>8</v>
      </c>
      <c r="B1621" s="18" t="str">
        <f>"075350"</f>
        <v>075350</v>
      </c>
      <c r="C1621" s="19" t="s">
        <v>1620</v>
      </c>
      <c r="D1621" s="19" t="s">
        <v>17054</v>
      </c>
      <c r="E1621" s="19" t="s">
        <v>31434</v>
      </c>
      <c r="F1621" s="19" t="s">
        <v>35980</v>
      </c>
      <c r="G1621" s="18" t="str">
        <f>"06010"</f>
        <v>06010</v>
      </c>
      <c r="H1621" s="19" t="s">
        <v>30919</v>
      </c>
      <c r="I1621" s="20">
        <v>20.47</v>
      </c>
      <c r="J1621" s="44" t="s">
        <v>8</v>
      </c>
      <c r="K1621" s="23" t="s">
        <v>8</v>
      </c>
      <c r="L1621" s="23" t="s">
        <v>8</v>
      </c>
      <c r="M1621" s="23" t="s">
        <v>8</v>
      </c>
    </row>
    <row r="1622" spans="1:13" s="21" customFormat="1" x14ac:dyDescent="0.25">
      <c r="A1622" s="22" t="s">
        <v>8</v>
      </c>
      <c r="B1622" s="18" t="str">
        <f>"075351"</f>
        <v>075351</v>
      </c>
      <c r="C1622" s="19" t="s">
        <v>1621</v>
      </c>
      <c r="D1622" s="19" t="s">
        <v>17055</v>
      </c>
      <c r="E1622" s="19" t="s">
        <v>31413</v>
      </c>
      <c r="F1622" s="19" t="s">
        <v>35980</v>
      </c>
      <c r="G1622" s="18" t="str">
        <f>"06702"</f>
        <v>06702</v>
      </c>
      <c r="H1622" s="19" t="s">
        <v>31450</v>
      </c>
      <c r="I1622" s="20">
        <v>18.274000000000001</v>
      </c>
      <c r="J1622" s="44" t="s">
        <v>8</v>
      </c>
      <c r="K1622" s="23" t="s">
        <v>8</v>
      </c>
      <c r="L1622" s="23" t="s">
        <v>8</v>
      </c>
      <c r="M1622" s="23" t="s">
        <v>8</v>
      </c>
    </row>
    <row r="1623" spans="1:13" s="21" customFormat="1" x14ac:dyDescent="0.25">
      <c r="A1623" s="22" t="s">
        <v>8</v>
      </c>
      <c r="B1623" s="18" t="str">
        <f>"075352"</f>
        <v>075352</v>
      </c>
      <c r="C1623" s="19" t="s">
        <v>1622</v>
      </c>
      <c r="D1623" s="19" t="s">
        <v>17056</v>
      </c>
      <c r="E1623" s="19" t="s">
        <v>31422</v>
      </c>
      <c r="F1623" s="19" t="s">
        <v>35980</v>
      </c>
      <c r="G1623" s="18" t="str">
        <f>"06450"</f>
        <v>06450</v>
      </c>
      <c r="H1623" s="19" t="s">
        <v>31450</v>
      </c>
      <c r="I1623" s="20">
        <v>19.088000000000001</v>
      </c>
      <c r="J1623" s="44" t="s">
        <v>8</v>
      </c>
      <c r="K1623" s="23" t="s">
        <v>8</v>
      </c>
      <c r="L1623" s="23" t="s">
        <v>8</v>
      </c>
      <c r="M1623" s="23" t="s">
        <v>8</v>
      </c>
    </row>
    <row r="1624" spans="1:13" s="21" customFormat="1" x14ac:dyDescent="0.25">
      <c r="A1624" s="22" t="s">
        <v>8</v>
      </c>
      <c r="B1624" s="18" t="str">
        <f>"075353"</f>
        <v>075353</v>
      </c>
      <c r="C1624" s="19" t="s">
        <v>1623</v>
      </c>
      <c r="D1624" s="19" t="s">
        <v>17057</v>
      </c>
      <c r="E1624" s="19" t="s">
        <v>31103</v>
      </c>
      <c r="F1624" s="19" t="s">
        <v>35980</v>
      </c>
      <c r="G1624" s="18" t="str">
        <f>"06825"</f>
        <v>06825</v>
      </c>
      <c r="H1624" s="19" t="s">
        <v>31103</v>
      </c>
      <c r="I1624" s="20">
        <v>20.582000000000001</v>
      </c>
      <c r="J1624" s="44" t="s">
        <v>8</v>
      </c>
      <c r="K1624" s="23" t="s">
        <v>8</v>
      </c>
      <c r="L1624" s="23" t="s">
        <v>8</v>
      </c>
      <c r="M1624" s="23" t="s">
        <v>8</v>
      </c>
    </row>
    <row r="1625" spans="1:13" s="21" customFormat="1" x14ac:dyDescent="0.25">
      <c r="A1625" s="22" t="s">
        <v>8</v>
      </c>
      <c r="B1625" s="18" t="str">
        <f>"075354"</f>
        <v>075354</v>
      </c>
      <c r="C1625" s="19" t="s">
        <v>1624</v>
      </c>
      <c r="D1625" s="19" t="s">
        <v>17058</v>
      </c>
      <c r="E1625" s="19" t="s">
        <v>31397</v>
      </c>
      <c r="F1625" s="19" t="s">
        <v>35980</v>
      </c>
      <c r="G1625" s="18" t="str">
        <f>"06810"</f>
        <v>06810</v>
      </c>
      <c r="H1625" s="19" t="s">
        <v>31103</v>
      </c>
      <c r="I1625" s="20">
        <v>16.834</v>
      </c>
      <c r="J1625" s="44" t="s">
        <v>8</v>
      </c>
      <c r="K1625" s="23" t="s">
        <v>8</v>
      </c>
      <c r="L1625" s="23" t="s">
        <v>8</v>
      </c>
      <c r="M1625" s="23" t="s">
        <v>8</v>
      </c>
    </row>
    <row r="1626" spans="1:13" s="21" customFormat="1" x14ac:dyDescent="0.25">
      <c r="A1626" s="22" t="s">
        <v>8</v>
      </c>
      <c r="B1626" s="18" t="str">
        <f>"075355"</f>
        <v>075355</v>
      </c>
      <c r="C1626" s="19" t="s">
        <v>1625</v>
      </c>
      <c r="D1626" s="19" t="s">
        <v>17059</v>
      </c>
      <c r="E1626" s="19" t="s">
        <v>31466</v>
      </c>
      <c r="F1626" s="19" t="s">
        <v>35980</v>
      </c>
      <c r="G1626" s="18" t="str">
        <f>"06470"</f>
        <v>06470</v>
      </c>
      <c r="H1626" s="19" t="s">
        <v>31103</v>
      </c>
      <c r="I1626" s="20">
        <v>16.97</v>
      </c>
      <c r="J1626" s="44" t="s">
        <v>8</v>
      </c>
      <c r="K1626" s="23" t="s">
        <v>8</v>
      </c>
      <c r="L1626" s="23" t="s">
        <v>8</v>
      </c>
      <c r="M1626" s="23" t="s">
        <v>8</v>
      </c>
    </row>
    <row r="1627" spans="1:13" s="21" customFormat="1" x14ac:dyDescent="0.25">
      <c r="A1627" s="22" t="s">
        <v>8</v>
      </c>
      <c r="B1627" s="18" t="str">
        <f>"075356"</f>
        <v>075356</v>
      </c>
      <c r="C1627" s="19" t="s">
        <v>1626</v>
      </c>
      <c r="D1627" s="19" t="s">
        <v>17060</v>
      </c>
      <c r="E1627" s="19" t="s">
        <v>31181</v>
      </c>
      <c r="F1627" s="19" t="s">
        <v>35980</v>
      </c>
      <c r="G1627" s="18" t="str">
        <f>"06851"</f>
        <v>06851</v>
      </c>
      <c r="H1627" s="19" t="s">
        <v>31103</v>
      </c>
      <c r="I1627" s="20">
        <v>18.343</v>
      </c>
      <c r="J1627" s="44" t="s">
        <v>8</v>
      </c>
      <c r="K1627" s="23" t="s">
        <v>8</v>
      </c>
      <c r="L1627" s="23" t="s">
        <v>8</v>
      </c>
      <c r="M1627" s="23" t="s">
        <v>8</v>
      </c>
    </row>
    <row r="1628" spans="1:13" s="21" customFormat="1" x14ac:dyDescent="0.25">
      <c r="A1628" s="22" t="s">
        <v>8</v>
      </c>
      <c r="B1628" s="18" t="str">
        <f>"075358"</f>
        <v>075358</v>
      </c>
      <c r="C1628" s="19" t="s">
        <v>1627</v>
      </c>
      <c r="D1628" s="19" t="s">
        <v>17061</v>
      </c>
      <c r="E1628" s="19" t="s">
        <v>31467</v>
      </c>
      <c r="F1628" s="19" t="s">
        <v>35980</v>
      </c>
      <c r="G1628" s="18" t="str">
        <f>"06096"</f>
        <v>06096</v>
      </c>
      <c r="H1628" s="19" t="s">
        <v>30919</v>
      </c>
      <c r="I1628" s="20">
        <v>19.417000000000002</v>
      </c>
      <c r="J1628" s="44" t="s">
        <v>8</v>
      </c>
      <c r="K1628" s="23" t="s">
        <v>8</v>
      </c>
      <c r="L1628" s="23" t="s">
        <v>8</v>
      </c>
      <c r="M1628" s="23" t="s">
        <v>8</v>
      </c>
    </row>
    <row r="1629" spans="1:13" s="21" customFormat="1" x14ac:dyDescent="0.25">
      <c r="A1629" s="22" t="s">
        <v>8</v>
      </c>
      <c r="B1629" s="18" t="str">
        <f>"075359"</f>
        <v>075359</v>
      </c>
      <c r="C1629" s="19" t="s">
        <v>1628</v>
      </c>
      <c r="D1629" s="19" t="s">
        <v>17062</v>
      </c>
      <c r="E1629" s="19" t="s">
        <v>31468</v>
      </c>
      <c r="F1629" s="19" t="s">
        <v>35980</v>
      </c>
      <c r="G1629" s="18" t="str">
        <f>"06088"</f>
        <v>06088</v>
      </c>
      <c r="H1629" s="19" t="s">
        <v>30919</v>
      </c>
      <c r="I1629" s="20">
        <v>16.192</v>
      </c>
      <c r="J1629" s="44" t="s">
        <v>8</v>
      </c>
      <c r="K1629" s="23" t="s">
        <v>8</v>
      </c>
      <c r="L1629" s="23" t="s">
        <v>8</v>
      </c>
      <c r="M1629" s="23" t="s">
        <v>8</v>
      </c>
    </row>
    <row r="1630" spans="1:13" s="21" customFormat="1" x14ac:dyDescent="0.25">
      <c r="A1630" s="22" t="s">
        <v>8</v>
      </c>
      <c r="B1630" s="18" t="str">
        <f>"075361"</f>
        <v>075361</v>
      </c>
      <c r="C1630" s="19" t="s">
        <v>1629</v>
      </c>
      <c r="D1630" s="19" t="s">
        <v>17063</v>
      </c>
      <c r="E1630" s="19" t="s">
        <v>31469</v>
      </c>
      <c r="F1630" s="19" t="s">
        <v>35980</v>
      </c>
      <c r="G1630" s="18" t="str">
        <f>"06840"</f>
        <v>06840</v>
      </c>
      <c r="H1630" s="19" t="s">
        <v>31103</v>
      </c>
      <c r="I1630" s="20">
        <v>18.460999999999999</v>
      </c>
      <c r="J1630" s="44" t="s">
        <v>8</v>
      </c>
      <c r="K1630" s="23" t="s">
        <v>8</v>
      </c>
      <c r="L1630" s="23" t="s">
        <v>8</v>
      </c>
      <c r="M1630" s="23" t="s">
        <v>8</v>
      </c>
    </row>
    <row r="1631" spans="1:13" s="21" customFormat="1" x14ac:dyDescent="0.25">
      <c r="A1631" s="22" t="s">
        <v>8</v>
      </c>
      <c r="B1631" s="18" t="str">
        <f>"075362"</f>
        <v>075362</v>
      </c>
      <c r="C1631" s="19" t="s">
        <v>1630</v>
      </c>
      <c r="D1631" s="19" t="s">
        <v>17064</v>
      </c>
      <c r="E1631" s="19" t="s">
        <v>31470</v>
      </c>
      <c r="F1631" s="19" t="s">
        <v>35980</v>
      </c>
      <c r="G1631" s="18" t="str">
        <f>"06471"</f>
        <v>06471</v>
      </c>
      <c r="H1631" s="19" t="s">
        <v>31450</v>
      </c>
      <c r="I1631" s="20">
        <v>19.640999999999998</v>
      </c>
      <c r="J1631" s="44" t="s">
        <v>8</v>
      </c>
      <c r="K1631" s="23" t="s">
        <v>8</v>
      </c>
      <c r="L1631" s="23" t="s">
        <v>8</v>
      </c>
      <c r="M1631" s="23" t="s">
        <v>8</v>
      </c>
    </row>
    <row r="1632" spans="1:13" s="21" customFormat="1" x14ac:dyDescent="0.25">
      <c r="A1632" s="22" t="s">
        <v>8</v>
      </c>
      <c r="B1632" s="18" t="str">
        <f>"075365"</f>
        <v>075365</v>
      </c>
      <c r="C1632" s="19" t="s">
        <v>1631</v>
      </c>
      <c r="D1632" s="19" t="s">
        <v>17065</v>
      </c>
      <c r="E1632" s="19" t="s">
        <v>31422</v>
      </c>
      <c r="F1632" s="19" t="s">
        <v>35980</v>
      </c>
      <c r="G1632" s="18" t="str">
        <f>"06450"</f>
        <v>06450</v>
      </c>
      <c r="H1632" s="19" t="s">
        <v>31450</v>
      </c>
      <c r="I1632" s="20">
        <v>19.183</v>
      </c>
      <c r="J1632" s="44" t="s">
        <v>8</v>
      </c>
      <c r="K1632" s="23" t="s">
        <v>8</v>
      </c>
      <c r="L1632" s="23" t="s">
        <v>8</v>
      </c>
      <c r="M1632" s="23" t="s">
        <v>8</v>
      </c>
    </row>
    <row r="1633" spans="1:13" s="21" customFormat="1" x14ac:dyDescent="0.25">
      <c r="A1633" s="22" t="s">
        <v>8</v>
      </c>
      <c r="B1633" s="18" t="str">
        <f>"075366"</f>
        <v>075366</v>
      </c>
      <c r="C1633" s="19" t="s">
        <v>1632</v>
      </c>
      <c r="D1633" s="19" t="s">
        <v>17066</v>
      </c>
      <c r="E1633" s="19" t="s">
        <v>31436</v>
      </c>
      <c r="F1633" s="19" t="s">
        <v>35980</v>
      </c>
      <c r="G1633" s="18" t="str">
        <f>"06514"</f>
        <v>06514</v>
      </c>
      <c r="H1633" s="19" t="s">
        <v>31450</v>
      </c>
      <c r="I1633" s="20">
        <v>18.957000000000001</v>
      </c>
      <c r="J1633" s="44" t="s">
        <v>8</v>
      </c>
      <c r="K1633" s="23" t="s">
        <v>8</v>
      </c>
      <c r="L1633" s="23" t="s">
        <v>8</v>
      </c>
      <c r="M1633" s="23" t="s">
        <v>8</v>
      </c>
    </row>
    <row r="1634" spans="1:13" s="21" customFormat="1" x14ac:dyDescent="0.25">
      <c r="A1634" s="22" t="s">
        <v>8</v>
      </c>
      <c r="B1634" s="18" t="str">
        <f>"075367"</f>
        <v>075367</v>
      </c>
      <c r="C1634" s="19" t="s">
        <v>1633</v>
      </c>
      <c r="D1634" s="19" t="s">
        <v>17067</v>
      </c>
      <c r="E1634" s="19" t="s">
        <v>31471</v>
      </c>
      <c r="F1634" s="19" t="s">
        <v>35980</v>
      </c>
      <c r="G1634" s="18" t="str">
        <f>"06035"</f>
        <v>06035</v>
      </c>
      <c r="H1634" s="19" t="s">
        <v>30919</v>
      </c>
      <c r="I1634" s="20">
        <v>16.914999999999999</v>
      </c>
      <c r="J1634" s="44" t="s">
        <v>8</v>
      </c>
      <c r="K1634" s="23" t="s">
        <v>8</v>
      </c>
      <c r="L1634" s="23" t="s">
        <v>8</v>
      </c>
      <c r="M1634" s="23" t="s">
        <v>8</v>
      </c>
    </row>
    <row r="1635" spans="1:13" s="21" customFormat="1" x14ac:dyDescent="0.25">
      <c r="A1635" s="22" t="s">
        <v>8</v>
      </c>
      <c r="B1635" s="18" t="str">
        <f>"075368"</f>
        <v>075368</v>
      </c>
      <c r="C1635" s="19" t="s">
        <v>1634</v>
      </c>
      <c r="D1635" s="19" t="s">
        <v>17068</v>
      </c>
      <c r="E1635" s="19" t="s">
        <v>31399</v>
      </c>
      <c r="F1635" s="19" t="s">
        <v>35980</v>
      </c>
      <c r="G1635" s="18" t="str">
        <f>"06484"</f>
        <v>06484</v>
      </c>
      <c r="H1635" s="19" t="s">
        <v>31103</v>
      </c>
      <c r="I1635" s="20">
        <v>18.736000000000001</v>
      </c>
      <c r="J1635" s="44" t="s">
        <v>8</v>
      </c>
      <c r="K1635" s="23" t="s">
        <v>8</v>
      </c>
      <c r="L1635" s="23" t="s">
        <v>8</v>
      </c>
      <c r="M1635" s="23" t="s">
        <v>8</v>
      </c>
    </row>
    <row r="1636" spans="1:13" s="21" customFormat="1" x14ac:dyDescent="0.25">
      <c r="A1636" s="22" t="s">
        <v>8</v>
      </c>
      <c r="B1636" s="18" t="str">
        <f>"075369"</f>
        <v>075369</v>
      </c>
      <c r="C1636" s="19" t="s">
        <v>1635</v>
      </c>
      <c r="D1636" s="19" t="s">
        <v>17069</v>
      </c>
      <c r="E1636" s="19" t="s">
        <v>30920</v>
      </c>
      <c r="F1636" s="19" t="s">
        <v>35980</v>
      </c>
      <c r="G1636" s="18" t="str">
        <f>"06610"</f>
        <v>06610</v>
      </c>
      <c r="H1636" s="19" t="s">
        <v>31103</v>
      </c>
      <c r="I1636" s="20">
        <v>19.117000000000001</v>
      </c>
      <c r="J1636" s="44" t="s">
        <v>8</v>
      </c>
      <c r="K1636" s="23" t="s">
        <v>8</v>
      </c>
      <c r="L1636" s="23" t="s">
        <v>8</v>
      </c>
      <c r="M1636" s="23" t="s">
        <v>8</v>
      </c>
    </row>
    <row r="1637" spans="1:13" s="21" customFormat="1" x14ac:dyDescent="0.25">
      <c r="A1637" s="22" t="s">
        <v>8</v>
      </c>
      <c r="B1637" s="18" t="str">
        <f>"075370"</f>
        <v>075370</v>
      </c>
      <c r="C1637" s="19" t="s">
        <v>1636</v>
      </c>
      <c r="D1637" s="19" t="s">
        <v>17070</v>
      </c>
      <c r="E1637" s="19" t="s">
        <v>30920</v>
      </c>
      <c r="F1637" s="19" t="s">
        <v>35980</v>
      </c>
      <c r="G1637" s="18" t="str">
        <f>"06610"</f>
        <v>06610</v>
      </c>
      <c r="H1637" s="19" t="s">
        <v>31103</v>
      </c>
      <c r="I1637" s="20">
        <v>17.231000000000002</v>
      </c>
      <c r="J1637" s="44" t="s">
        <v>8</v>
      </c>
      <c r="K1637" s="23" t="s">
        <v>8</v>
      </c>
      <c r="L1637" s="23" t="s">
        <v>8</v>
      </c>
      <c r="M1637" s="23" t="s">
        <v>8</v>
      </c>
    </row>
    <row r="1638" spans="1:13" s="21" customFormat="1" x14ac:dyDescent="0.25">
      <c r="A1638" s="22" t="s">
        <v>8</v>
      </c>
      <c r="B1638" s="18" t="str">
        <f>"075371"</f>
        <v>075371</v>
      </c>
      <c r="C1638" s="19" t="s">
        <v>1637</v>
      </c>
      <c r="D1638" s="19" t="s">
        <v>17071</v>
      </c>
      <c r="E1638" s="19" t="s">
        <v>31442</v>
      </c>
      <c r="F1638" s="19" t="s">
        <v>35980</v>
      </c>
      <c r="G1638" s="18" t="str">
        <f>"06488"</f>
        <v>06488</v>
      </c>
      <c r="H1638" s="19" t="s">
        <v>31450</v>
      </c>
      <c r="I1638" s="20">
        <v>20.327000000000002</v>
      </c>
      <c r="J1638" s="44" t="s">
        <v>8</v>
      </c>
      <c r="K1638" s="23" t="s">
        <v>8</v>
      </c>
      <c r="L1638" s="23" t="s">
        <v>8</v>
      </c>
      <c r="M1638" s="23" t="s">
        <v>8</v>
      </c>
    </row>
    <row r="1639" spans="1:13" s="21" customFormat="1" x14ac:dyDescent="0.25">
      <c r="A1639" s="22" t="s">
        <v>8</v>
      </c>
      <c r="B1639" s="18" t="str">
        <f>"075373"</f>
        <v>075373</v>
      </c>
      <c r="C1639" s="19" t="s">
        <v>1638</v>
      </c>
      <c r="D1639" s="19" t="s">
        <v>17072</v>
      </c>
      <c r="E1639" s="19" t="s">
        <v>31413</v>
      </c>
      <c r="F1639" s="19" t="s">
        <v>35980</v>
      </c>
      <c r="G1639" s="18" t="str">
        <f>"06705"</f>
        <v>06705</v>
      </c>
      <c r="H1639" s="19" t="s">
        <v>31450</v>
      </c>
      <c r="I1639" s="20">
        <v>21.254000000000001</v>
      </c>
      <c r="J1639" s="44" t="s">
        <v>8</v>
      </c>
      <c r="K1639" s="23" t="s">
        <v>8</v>
      </c>
      <c r="L1639" s="23" t="s">
        <v>8</v>
      </c>
      <c r="M1639" s="23" t="s">
        <v>8</v>
      </c>
    </row>
    <row r="1640" spans="1:13" s="21" customFormat="1" x14ac:dyDescent="0.25">
      <c r="A1640" s="22" t="s">
        <v>8</v>
      </c>
      <c r="B1640" s="18" t="str">
        <f>"075374"</f>
        <v>075374</v>
      </c>
      <c r="C1640" s="19" t="s">
        <v>1639</v>
      </c>
      <c r="D1640" s="19" t="s">
        <v>17073</v>
      </c>
      <c r="E1640" s="19" t="s">
        <v>31420</v>
      </c>
      <c r="F1640" s="19" t="s">
        <v>35980</v>
      </c>
      <c r="G1640" s="18" t="str">
        <f>"06053"</f>
        <v>06053</v>
      </c>
      <c r="H1640" s="19" t="s">
        <v>30919</v>
      </c>
      <c r="I1640" s="20">
        <v>16.548999999999999</v>
      </c>
      <c r="J1640" s="44" t="s">
        <v>8</v>
      </c>
      <c r="K1640" s="23" t="s">
        <v>8</v>
      </c>
      <c r="L1640" s="23" t="s">
        <v>8</v>
      </c>
      <c r="M1640" s="23" t="s">
        <v>8</v>
      </c>
    </row>
    <row r="1641" spans="1:13" s="21" customFormat="1" x14ac:dyDescent="0.25">
      <c r="A1641" s="22" t="s">
        <v>8</v>
      </c>
      <c r="B1641" s="18" t="str">
        <f>"075375"</f>
        <v>075375</v>
      </c>
      <c r="C1641" s="19" t="s">
        <v>1640</v>
      </c>
      <c r="D1641" s="19" t="s">
        <v>17074</v>
      </c>
      <c r="E1641" s="19" t="s">
        <v>31472</v>
      </c>
      <c r="F1641" s="19" t="s">
        <v>35980</v>
      </c>
      <c r="G1641" s="18" t="str">
        <f>"06357"</f>
        <v>06357</v>
      </c>
      <c r="H1641" s="19" t="s">
        <v>31423</v>
      </c>
      <c r="I1641" s="20">
        <v>15.613</v>
      </c>
      <c r="J1641" s="44" t="s">
        <v>8</v>
      </c>
      <c r="K1641" s="23" t="s">
        <v>8</v>
      </c>
      <c r="L1641" s="23" t="s">
        <v>8</v>
      </c>
      <c r="M1641" s="23" t="s">
        <v>8</v>
      </c>
    </row>
    <row r="1642" spans="1:13" s="21" customFormat="1" x14ac:dyDescent="0.25">
      <c r="A1642" s="22" t="s">
        <v>8</v>
      </c>
      <c r="B1642" s="18" t="str">
        <f>"075377"</f>
        <v>075377</v>
      </c>
      <c r="C1642" s="19" t="s">
        <v>1641</v>
      </c>
      <c r="D1642" s="19" t="s">
        <v>17075</v>
      </c>
      <c r="E1642" s="19" t="s">
        <v>31405</v>
      </c>
      <c r="F1642" s="19" t="s">
        <v>35980</v>
      </c>
      <c r="G1642" s="18" t="str">
        <f>"06460"</f>
        <v>06460</v>
      </c>
      <c r="H1642" s="19" t="s">
        <v>31450</v>
      </c>
      <c r="I1642" s="20">
        <v>19.731000000000002</v>
      </c>
      <c r="J1642" s="44" t="s">
        <v>8</v>
      </c>
      <c r="K1642" s="23" t="s">
        <v>8</v>
      </c>
      <c r="L1642" s="23" t="s">
        <v>8</v>
      </c>
      <c r="M1642" s="23" t="s">
        <v>8</v>
      </c>
    </row>
    <row r="1643" spans="1:13" s="21" customFormat="1" x14ac:dyDescent="0.25">
      <c r="A1643" s="22" t="s">
        <v>8</v>
      </c>
      <c r="B1643" s="18" t="str">
        <f>"075378"</f>
        <v>075378</v>
      </c>
      <c r="C1643" s="19" t="s">
        <v>1642</v>
      </c>
      <c r="D1643" s="19" t="s">
        <v>17076</v>
      </c>
      <c r="E1643" s="19" t="s">
        <v>31473</v>
      </c>
      <c r="F1643" s="19" t="s">
        <v>35980</v>
      </c>
      <c r="G1643" s="18" t="str">
        <f>"06479"</f>
        <v>06479</v>
      </c>
      <c r="H1643" s="19" t="s">
        <v>30919</v>
      </c>
      <c r="I1643" s="20">
        <v>18.734000000000002</v>
      </c>
      <c r="J1643" s="44" t="s">
        <v>8</v>
      </c>
      <c r="K1643" s="23" t="s">
        <v>8</v>
      </c>
      <c r="L1643" s="23" t="s">
        <v>8</v>
      </c>
      <c r="M1643" s="23" t="s">
        <v>8</v>
      </c>
    </row>
    <row r="1644" spans="1:13" s="21" customFormat="1" x14ac:dyDescent="0.25">
      <c r="A1644" s="22" t="s">
        <v>8</v>
      </c>
      <c r="B1644" s="18" t="str">
        <f>"075379"</f>
        <v>075379</v>
      </c>
      <c r="C1644" s="19" t="s">
        <v>1643</v>
      </c>
      <c r="D1644" s="19" t="s">
        <v>17077</v>
      </c>
      <c r="E1644" s="19" t="s">
        <v>31474</v>
      </c>
      <c r="F1644" s="19" t="s">
        <v>35980</v>
      </c>
      <c r="G1644" s="18" t="str">
        <f>"06069"</f>
        <v>06069</v>
      </c>
      <c r="H1644" s="19" t="s">
        <v>31463</v>
      </c>
      <c r="I1644" s="20">
        <v>20.491</v>
      </c>
      <c r="J1644" s="44" t="s">
        <v>8</v>
      </c>
      <c r="K1644" s="23" t="s">
        <v>8</v>
      </c>
      <c r="L1644" s="23" t="s">
        <v>8</v>
      </c>
      <c r="M1644" s="23" t="s">
        <v>8</v>
      </c>
    </row>
    <row r="1645" spans="1:13" s="21" customFormat="1" x14ac:dyDescent="0.25">
      <c r="A1645" s="22" t="s">
        <v>8</v>
      </c>
      <c r="B1645" s="18" t="str">
        <f>"075380"</f>
        <v>075380</v>
      </c>
      <c r="C1645" s="19" t="s">
        <v>1644</v>
      </c>
      <c r="D1645" s="19" t="s">
        <v>17078</v>
      </c>
      <c r="E1645" s="19" t="s">
        <v>31447</v>
      </c>
      <c r="F1645" s="19" t="s">
        <v>35980</v>
      </c>
      <c r="G1645" s="18" t="str">
        <f>"06416"</f>
        <v>06416</v>
      </c>
      <c r="H1645" s="19" t="s">
        <v>36120</v>
      </c>
      <c r="I1645" s="20">
        <v>21.547999999999998</v>
      </c>
      <c r="J1645" s="44" t="s">
        <v>8</v>
      </c>
      <c r="K1645" s="23" t="s">
        <v>8</v>
      </c>
      <c r="L1645" s="23" t="s">
        <v>8</v>
      </c>
      <c r="M1645" s="23" t="s">
        <v>8</v>
      </c>
    </row>
    <row r="1646" spans="1:13" s="21" customFormat="1" x14ac:dyDescent="0.25">
      <c r="A1646" s="22" t="s">
        <v>8</v>
      </c>
      <c r="B1646" s="18" t="str">
        <f>"075381"</f>
        <v>075381</v>
      </c>
      <c r="C1646" s="19" t="s">
        <v>1645</v>
      </c>
      <c r="D1646" s="19" t="s">
        <v>17079</v>
      </c>
      <c r="E1646" s="19" t="s">
        <v>31412</v>
      </c>
      <c r="F1646" s="19" t="s">
        <v>35980</v>
      </c>
      <c r="G1646" s="18" t="str">
        <f>"06457"</f>
        <v>06457</v>
      </c>
      <c r="H1646" s="19" t="s">
        <v>36120</v>
      </c>
      <c r="I1646" s="20">
        <v>17.367000000000001</v>
      </c>
      <c r="J1646" s="44" t="s">
        <v>8</v>
      </c>
      <c r="K1646" s="23" t="s">
        <v>8</v>
      </c>
      <c r="L1646" s="23" t="s">
        <v>8</v>
      </c>
      <c r="M1646" s="23" t="s">
        <v>8</v>
      </c>
    </row>
    <row r="1647" spans="1:13" s="21" customFormat="1" x14ac:dyDescent="0.25">
      <c r="A1647" s="22" t="s">
        <v>8</v>
      </c>
      <c r="B1647" s="18" t="str">
        <f>"075382"</f>
        <v>075382</v>
      </c>
      <c r="C1647" s="19" t="s">
        <v>1646</v>
      </c>
      <c r="D1647" s="19" t="s">
        <v>17080</v>
      </c>
      <c r="E1647" s="19" t="s">
        <v>31475</v>
      </c>
      <c r="F1647" s="19" t="s">
        <v>35980</v>
      </c>
      <c r="G1647" s="18" t="str">
        <f>"06084"</f>
        <v>06084</v>
      </c>
      <c r="H1647" s="19" t="s">
        <v>31475</v>
      </c>
      <c r="I1647" s="20">
        <v>17.516999999999999</v>
      </c>
      <c r="J1647" s="44" t="s">
        <v>8</v>
      </c>
      <c r="K1647" s="23" t="s">
        <v>8</v>
      </c>
      <c r="L1647" s="23" t="s">
        <v>8</v>
      </c>
      <c r="M1647" s="23" t="s">
        <v>8</v>
      </c>
    </row>
    <row r="1648" spans="1:13" s="21" customFormat="1" x14ac:dyDescent="0.25">
      <c r="A1648" s="22" t="s">
        <v>8</v>
      </c>
      <c r="B1648" s="18" t="str">
        <f>"075383"</f>
        <v>075383</v>
      </c>
      <c r="C1648" s="19" t="s">
        <v>1647</v>
      </c>
      <c r="D1648" s="19" t="s">
        <v>17081</v>
      </c>
      <c r="E1648" s="19" t="s">
        <v>31416</v>
      </c>
      <c r="F1648" s="19" t="s">
        <v>35980</v>
      </c>
      <c r="G1648" s="18" t="str">
        <f>"06002"</f>
        <v>06002</v>
      </c>
      <c r="H1648" s="19" t="s">
        <v>30919</v>
      </c>
      <c r="I1648" s="20">
        <v>17.960999999999999</v>
      </c>
      <c r="J1648" s="44" t="s">
        <v>8</v>
      </c>
      <c r="K1648" s="23" t="s">
        <v>8</v>
      </c>
      <c r="L1648" s="23" t="s">
        <v>8</v>
      </c>
      <c r="M1648" s="23" t="s">
        <v>8</v>
      </c>
    </row>
    <row r="1649" spans="1:13" s="21" customFormat="1" x14ac:dyDescent="0.25">
      <c r="A1649" s="22" t="s">
        <v>8</v>
      </c>
      <c r="B1649" s="18" t="str">
        <f>"075384"</f>
        <v>075384</v>
      </c>
      <c r="C1649" s="19" t="s">
        <v>1648</v>
      </c>
      <c r="D1649" s="19" t="s">
        <v>17082</v>
      </c>
      <c r="E1649" s="19" t="s">
        <v>31476</v>
      </c>
      <c r="F1649" s="19" t="s">
        <v>35980</v>
      </c>
      <c r="G1649" s="18" t="str">
        <f>"06447"</f>
        <v>06447</v>
      </c>
      <c r="H1649" s="19" t="s">
        <v>30919</v>
      </c>
      <c r="I1649" s="20">
        <v>18.719000000000001</v>
      </c>
      <c r="J1649" s="44" t="s">
        <v>8</v>
      </c>
      <c r="K1649" s="23" t="s">
        <v>8</v>
      </c>
      <c r="L1649" s="23" t="s">
        <v>8</v>
      </c>
      <c r="M1649" s="23" t="s">
        <v>8</v>
      </c>
    </row>
    <row r="1650" spans="1:13" s="21" customFormat="1" x14ac:dyDescent="0.25">
      <c r="A1650" s="22" t="s">
        <v>8</v>
      </c>
      <c r="B1650" s="18" t="str">
        <f>"075386"</f>
        <v>075386</v>
      </c>
      <c r="C1650" s="19" t="s">
        <v>1649</v>
      </c>
      <c r="D1650" s="19" t="s">
        <v>17083</v>
      </c>
      <c r="E1650" s="19" t="s">
        <v>31477</v>
      </c>
      <c r="F1650" s="19" t="s">
        <v>35980</v>
      </c>
      <c r="G1650" s="18" t="str">
        <f>"06483"</f>
        <v>06483</v>
      </c>
      <c r="H1650" s="19" t="s">
        <v>31450</v>
      </c>
      <c r="I1650" s="20">
        <v>19.62</v>
      </c>
      <c r="J1650" s="44" t="s">
        <v>8</v>
      </c>
      <c r="K1650" s="23" t="s">
        <v>8</v>
      </c>
      <c r="L1650" s="23" t="s">
        <v>8</v>
      </c>
      <c r="M1650" s="23" t="s">
        <v>8</v>
      </c>
    </row>
    <row r="1651" spans="1:13" s="21" customFormat="1" x14ac:dyDescent="0.25">
      <c r="A1651" s="22" t="s">
        <v>8</v>
      </c>
      <c r="B1651" s="18" t="str">
        <f>"075387"</f>
        <v>075387</v>
      </c>
      <c r="C1651" s="19" t="s">
        <v>1650</v>
      </c>
      <c r="D1651" s="19" t="s">
        <v>17084</v>
      </c>
      <c r="E1651" s="19" t="s">
        <v>31181</v>
      </c>
      <c r="F1651" s="19" t="s">
        <v>35980</v>
      </c>
      <c r="G1651" s="18" t="str">
        <f>"06851"</f>
        <v>06851</v>
      </c>
      <c r="H1651" s="19" t="s">
        <v>31103</v>
      </c>
      <c r="I1651" s="20">
        <v>16.071000000000002</v>
      </c>
      <c r="J1651" s="44" t="s">
        <v>8</v>
      </c>
      <c r="K1651" s="23" t="s">
        <v>8</v>
      </c>
      <c r="L1651" s="23" t="s">
        <v>8</v>
      </c>
      <c r="M1651" s="23" t="s">
        <v>8</v>
      </c>
    </row>
    <row r="1652" spans="1:13" s="21" customFormat="1" x14ac:dyDescent="0.25">
      <c r="A1652" s="22" t="s">
        <v>8</v>
      </c>
      <c r="B1652" s="18" t="str">
        <f>"075388"</f>
        <v>075388</v>
      </c>
      <c r="C1652" s="19" t="s">
        <v>1651</v>
      </c>
      <c r="D1652" s="19" t="s">
        <v>17085</v>
      </c>
      <c r="E1652" s="19" t="s">
        <v>31444</v>
      </c>
      <c r="F1652" s="19" t="s">
        <v>35980</v>
      </c>
      <c r="G1652" s="18" t="str">
        <f>"06001"</f>
        <v>06001</v>
      </c>
      <c r="H1652" s="19" t="s">
        <v>30919</v>
      </c>
      <c r="I1652" s="20">
        <v>21.698</v>
      </c>
      <c r="J1652" s="44" t="s">
        <v>8</v>
      </c>
      <c r="K1652" s="23" t="s">
        <v>8</v>
      </c>
      <c r="L1652" s="23" t="s">
        <v>8</v>
      </c>
      <c r="M1652" s="23" t="s">
        <v>8</v>
      </c>
    </row>
    <row r="1653" spans="1:13" s="21" customFormat="1" x14ac:dyDescent="0.25">
      <c r="A1653" s="22" t="s">
        <v>8</v>
      </c>
      <c r="B1653" s="18" t="str">
        <f>"075389"</f>
        <v>075389</v>
      </c>
      <c r="C1653" s="19" t="s">
        <v>1652</v>
      </c>
      <c r="D1653" s="19" t="s">
        <v>17086</v>
      </c>
      <c r="E1653" s="19" t="s">
        <v>31454</v>
      </c>
      <c r="F1653" s="19" t="s">
        <v>35980</v>
      </c>
      <c r="G1653" s="18" t="str">
        <f>"06512"</f>
        <v>06512</v>
      </c>
      <c r="H1653" s="19" t="s">
        <v>31450</v>
      </c>
      <c r="I1653" s="20">
        <v>16.548999999999999</v>
      </c>
      <c r="J1653" s="44" t="s">
        <v>8</v>
      </c>
      <c r="K1653" s="23" t="s">
        <v>8</v>
      </c>
      <c r="L1653" s="23" t="s">
        <v>8</v>
      </c>
      <c r="M1653" s="23" t="s">
        <v>8</v>
      </c>
    </row>
    <row r="1654" spans="1:13" s="21" customFormat="1" x14ac:dyDescent="0.25">
      <c r="A1654" s="22" t="s">
        <v>8</v>
      </c>
      <c r="B1654" s="18" t="str">
        <f>"075390"</f>
        <v>075390</v>
      </c>
      <c r="C1654" s="19" t="s">
        <v>1653</v>
      </c>
      <c r="D1654" s="19" t="s">
        <v>17087</v>
      </c>
      <c r="E1654" s="19" t="s">
        <v>31441</v>
      </c>
      <c r="F1654" s="19" t="s">
        <v>35980</v>
      </c>
      <c r="G1654" s="18" t="str">
        <f>"06770"</f>
        <v>06770</v>
      </c>
      <c r="H1654" s="19" t="s">
        <v>31450</v>
      </c>
      <c r="I1654" s="20">
        <v>20.664999999999999</v>
      </c>
      <c r="J1654" s="44" t="s">
        <v>8</v>
      </c>
      <c r="K1654" s="23" t="s">
        <v>8</v>
      </c>
      <c r="L1654" s="23" t="s">
        <v>8</v>
      </c>
      <c r="M1654" s="23" t="s">
        <v>8</v>
      </c>
    </row>
    <row r="1655" spans="1:13" s="21" customFormat="1" x14ac:dyDescent="0.25">
      <c r="A1655" s="22" t="s">
        <v>8</v>
      </c>
      <c r="B1655" s="18" t="str">
        <f>"075391"</f>
        <v>075391</v>
      </c>
      <c r="C1655" s="19" t="s">
        <v>1654</v>
      </c>
      <c r="D1655" s="19" t="s">
        <v>17088</v>
      </c>
      <c r="E1655" s="19" t="s">
        <v>31478</v>
      </c>
      <c r="F1655" s="19" t="s">
        <v>35980</v>
      </c>
      <c r="G1655" s="18" t="str">
        <f>"06757"</f>
        <v>06757</v>
      </c>
      <c r="H1655" s="19" t="s">
        <v>31463</v>
      </c>
      <c r="I1655" s="20">
        <v>17.131</v>
      </c>
      <c r="J1655" s="44" t="s">
        <v>8</v>
      </c>
      <c r="K1655" s="23" t="s">
        <v>8</v>
      </c>
      <c r="L1655" s="23" t="s">
        <v>8</v>
      </c>
      <c r="M1655" s="23" t="s">
        <v>8</v>
      </c>
    </row>
    <row r="1656" spans="1:13" s="21" customFormat="1" x14ac:dyDescent="0.25">
      <c r="A1656" s="22" t="s">
        <v>8</v>
      </c>
      <c r="B1656" s="18" t="str">
        <f>"075393"</f>
        <v>075393</v>
      </c>
      <c r="C1656" s="19" t="s">
        <v>1655</v>
      </c>
      <c r="D1656" s="19" t="s">
        <v>17089</v>
      </c>
      <c r="E1656" s="19" t="s">
        <v>31453</v>
      </c>
      <c r="F1656" s="19" t="s">
        <v>35980</v>
      </c>
      <c r="G1656" s="18" t="str">
        <f>"06111"</f>
        <v>06111</v>
      </c>
      <c r="H1656" s="19" t="s">
        <v>30919</v>
      </c>
      <c r="I1656" s="20">
        <v>22.829000000000001</v>
      </c>
      <c r="J1656" s="44" t="s">
        <v>8</v>
      </c>
      <c r="K1656" s="23" t="s">
        <v>8</v>
      </c>
      <c r="L1656" s="23" t="s">
        <v>8</v>
      </c>
      <c r="M1656" s="23" t="s">
        <v>8</v>
      </c>
    </row>
    <row r="1657" spans="1:13" s="21" customFormat="1" x14ac:dyDescent="0.25">
      <c r="A1657" s="22" t="s">
        <v>8</v>
      </c>
      <c r="B1657" s="18" t="str">
        <f>"075394"</f>
        <v>075394</v>
      </c>
      <c r="C1657" s="19" t="s">
        <v>1656</v>
      </c>
      <c r="D1657" s="19" t="s">
        <v>17090</v>
      </c>
      <c r="E1657" s="19" t="s">
        <v>31404</v>
      </c>
      <c r="F1657" s="19" t="s">
        <v>35980</v>
      </c>
      <c r="G1657" s="18" t="str">
        <f>"06902"</f>
        <v>06902</v>
      </c>
      <c r="H1657" s="19" t="s">
        <v>31103</v>
      </c>
      <c r="I1657" s="20">
        <v>24.033000000000001</v>
      </c>
      <c r="J1657" s="44" t="s">
        <v>8</v>
      </c>
      <c r="K1657" s="23" t="s">
        <v>8</v>
      </c>
      <c r="L1657" s="23" t="s">
        <v>8</v>
      </c>
      <c r="M1657" s="23" t="s">
        <v>8</v>
      </c>
    </row>
    <row r="1658" spans="1:13" s="21" customFormat="1" x14ac:dyDescent="0.25">
      <c r="A1658" s="22" t="s">
        <v>8</v>
      </c>
      <c r="B1658" s="18" t="str">
        <f>"075395"</f>
        <v>075395</v>
      </c>
      <c r="C1658" s="19" t="s">
        <v>1657</v>
      </c>
      <c r="D1658" s="19" t="s">
        <v>17091</v>
      </c>
      <c r="E1658" s="19" t="s">
        <v>31479</v>
      </c>
      <c r="F1658" s="19" t="s">
        <v>35980</v>
      </c>
      <c r="G1658" s="18" t="str">
        <f>"06877"</f>
        <v>06877</v>
      </c>
      <c r="H1658" s="19" t="s">
        <v>31103</v>
      </c>
      <c r="I1658" s="20">
        <v>16.852</v>
      </c>
      <c r="J1658" s="44" t="s">
        <v>8</v>
      </c>
      <c r="K1658" s="23" t="s">
        <v>8</v>
      </c>
      <c r="L1658" s="23" t="s">
        <v>8</v>
      </c>
      <c r="M1658" s="23" t="s">
        <v>8</v>
      </c>
    </row>
    <row r="1659" spans="1:13" s="21" customFormat="1" x14ac:dyDescent="0.25">
      <c r="A1659" s="22" t="s">
        <v>8</v>
      </c>
      <c r="B1659" s="18" t="str">
        <f>"075396"</f>
        <v>075396</v>
      </c>
      <c r="C1659" s="19" t="s">
        <v>1658</v>
      </c>
      <c r="D1659" s="19" t="s">
        <v>17092</v>
      </c>
      <c r="E1659" s="19" t="s">
        <v>30896</v>
      </c>
      <c r="F1659" s="19" t="s">
        <v>35980</v>
      </c>
      <c r="G1659" s="18" t="str">
        <f>"06022"</f>
        <v>06022</v>
      </c>
      <c r="H1659" s="19" t="s">
        <v>30919</v>
      </c>
      <c r="I1659" s="20">
        <v>17.832000000000001</v>
      </c>
      <c r="J1659" s="44" t="s">
        <v>8</v>
      </c>
      <c r="K1659" s="23" t="s">
        <v>8</v>
      </c>
      <c r="L1659" s="23" t="s">
        <v>8</v>
      </c>
      <c r="M1659" s="23" t="s">
        <v>8</v>
      </c>
    </row>
    <row r="1660" spans="1:13" s="21" customFormat="1" x14ac:dyDescent="0.25">
      <c r="A1660" s="22" t="s">
        <v>8</v>
      </c>
      <c r="B1660" s="18" t="str">
        <f>"075397"</f>
        <v>075397</v>
      </c>
      <c r="C1660" s="19" t="s">
        <v>1659</v>
      </c>
      <c r="D1660" s="19" t="s">
        <v>17093</v>
      </c>
      <c r="E1660" s="19" t="s">
        <v>31450</v>
      </c>
      <c r="F1660" s="19" t="s">
        <v>35980</v>
      </c>
      <c r="G1660" s="18" t="str">
        <f>"06513"</f>
        <v>06513</v>
      </c>
      <c r="H1660" s="19" t="s">
        <v>31450</v>
      </c>
      <c r="I1660" s="20">
        <v>19.603999999999999</v>
      </c>
      <c r="J1660" s="44" t="s">
        <v>8</v>
      </c>
      <c r="K1660" s="23" t="s">
        <v>8</v>
      </c>
      <c r="L1660" s="23" t="s">
        <v>8</v>
      </c>
      <c r="M1660" s="23" t="s">
        <v>8</v>
      </c>
    </row>
    <row r="1661" spans="1:13" s="21" customFormat="1" x14ac:dyDescent="0.25">
      <c r="A1661" s="22" t="s">
        <v>8</v>
      </c>
      <c r="B1661" s="18" t="str">
        <f>"075399"</f>
        <v>075399</v>
      </c>
      <c r="C1661" s="19" t="s">
        <v>1660</v>
      </c>
      <c r="D1661" s="19" t="s">
        <v>17094</v>
      </c>
      <c r="E1661" s="19" t="s">
        <v>31413</v>
      </c>
      <c r="F1661" s="19" t="s">
        <v>35980</v>
      </c>
      <c r="G1661" s="18" t="str">
        <f>"06705"</f>
        <v>06705</v>
      </c>
      <c r="H1661" s="19" t="s">
        <v>31450</v>
      </c>
      <c r="I1661" s="20">
        <v>20.95</v>
      </c>
      <c r="J1661" s="44" t="s">
        <v>8</v>
      </c>
      <c r="K1661" s="23" t="s">
        <v>8</v>
      </c>
      <c r="L1661" s="23" t="s">
        <v>8</v>
      </c>
      <c r="M1661" s="23" t="s">
        <v>8</v>
      </c>
    </row>
    <row r="1662" spans="1:13" s="21" customFormat="1" x14ac:dyDescent="0.25">
      <c r="A1662" s="22" t="s">
        <v>8</v>
      </c>
      <c r="B1662" s="18" t="str">
        <f>"075400"</f>
        <v>075400</v>
      </c>
      <c r="C1662" s="19" t="s">
        <v>1661</v>
      </c>
      <c r="D1662" s="19" t="s">
        <v>17095</v>
      </c>
      <c r="E1662" s="19" t="s">
        <v>31480</v>
      </c>
      <c r="F1662" s="19" t="s">
        <v>35980</v>
      </c>
      <c r="G1662" s="18" t="str">
        <f>"06801"</f>
        <v>06801</v>
      </c>
      <c r="H1662" s="19" t="s">
        <v>31103</v>
      </c>
      <c r="I1662" s="20">
        <v>20.045000000000002</v>
      </c>
      <c r="J1662" s="44" t="s">
        <v>8</v>
      </c>
      <c r="K1662" s="23" t="s">
        <v>8</v>
      </c>
      <c r="L1662" s="23" t="s">
        <v>8</v>
      </c>
      <c r="M1662" s="23" t="s">
        <v>8</v>
      </c>
    </row>
    <row r="1663" spans="1:13" s="21" customFormat="1" x14ac:dyDescent="0.25">
      <c r="A1663" s="22" t="s">
        <v>8</v>
      </c>
      <c r="B1663" s="18" t="str">
        <f>"075402"</f>
        <v>075402</v>
      </c>
      <c r="C1663" s="19" t="s">
        <v>1662</v>
      </c>
      <c r="D1663" s="19" t="s">
        <v>17096</v>
      </c>
      <c r="E1663" s="19" t="s">
        <v>31481</v>
      </c>
      <c r="F1663" s="19" t="s">
        <v>35980</v>
      </c>
      <c r="G1663" s="18" t="str">
        <f>"06268"</f>
        <v>06268</v>
      </c>
      <c r="H1663" s="19" t="s">
        <v>31475</v>
      </c>
      <c r="I1663" s="20">
        <v>19.260999999999999</v>
      </c>
      <c r="J1663" s="44" t="s">
        <v>8</v>
      </c>
      <c r="K1663" s="23" t="s">
        <v>8</v>
      </c>
      <c r="L1663" s="23" t="s">
        <v>8</v>
      </c>
      <c r="M1663" s="23" t="s">
        <v>8</v>
      </c>
    </row>
    <row r="1664" spans="1:13" s="21" customFormat="1" x14ac:dyDescent="0.25">
      <c r="A1664" s="22" t="s">
        <v>8</v>
      </c>
      <c r="B1664" s="18" t="str">
        <f>"075403"</f>
        <v>075403</v>
      </c>
      <c r="C1664" s="19" t="s">
        <v>1663</v>
      </c>
      <c r="D1664" s="19" t="s">
        <v>17097</v>
      </c>
      <c r="E1664" s="19" t="s">
        <v>31426</v>
      </c>
      <c r="F1664" s="19" t="s">
        <v>35980</v>
      </c>
      <c r="G1664" s="18" t="str">
        <f>"06516"</f>
        <v>06516</v>
      </c>
      <c r="H1664" s="19" t="s">
        <v>31450</v>
      </c>
      <c r="I1664" s="20">
        <v>20.646999999999998</v>
      </c>
      <c r="J1664" s="44" t="s">
        <v>8</v>
      </c>
      <c r="K1664" s="23" t="s">
        <v>8</v>
      </c>
      <c r="L1664" s="23" t="s">
        <v>8</v>
      </c>
      <c r="M1664" s="23" t="s">
        <v>8</v>
      </c>
    </row>
    <row r="1665" spans="1:13" s="21" customFormat="1" x14ac:dyDescent="0.25">
      <c r="A1665" s="22" t="s">
        <v>8</v>
      </c>
      <c r="B1665" s="18" t="str">
        <f>"075404"</f>
        <v>075404</v>
      </c>
      <c r="C1665" s="19" t="s">
        <v>1664</v>
      </c>
      <c r="D1665" s="19" t="s">
        <v>17098</v>
      </c>
      <c r="E1665" s="19" t="s">
        <v>31393</v>
      </c>
      <c r="F1665" s="19" t="s">
        <v>35980</v>
      </c>
      <c r="G1665" s="18" t="str">
        <f>"06611"</f>
        <v>06611</v>
      </c>
      <c r="H1665" s="19" t="s">
        <v>31103</v>
      </c>
      <c r="I1665" s="20">
        <v>21.17</v>
      </c>
      <c r="J1665" s="44" t="s">
        <v>8</v>
      </c>
      <c r="K1665" s="23" t="s">
        <v>8</v>
      </c>
      <c r="L1665" s="23" t="s">
        <v>8</v>
      </c>
      <c r="M1665" s="23" t="s">
        <v>8</v>
      </c>
    </row>
    <row r="1666" spans="1:13" s="21" customFormat="1" x14ac:dyDescent="0.25">
      <c r="A1666" s="22" t="s">
        <v>8</v>
      </c>
      <c r="B1666" s="18" t="str">
        <f>"075405"</f>
        <v>075405</v>
      </c>
      <c r="C1666" s="19" t="s">
        <v>1665</v>
      </c>
      <c r="D1666" s="19" t="s">
        <v>17099</v>
      </c>
      <c r="E1666" s="19" t="s">
        <v>30899</v>
      </c>
      <c r="F1666" s="19" t="s">
        <v>35980</v>
      </c>
      <c r="G1666" s="18" t="str">
        <f>"06443"</f>
        <v>06443</v>
      </c>
      <c r="H1666" s="19" t="s">
        <v>31450</v>
      </c>
      <c r="I1666" s="20">
        <v>19.202000000000002</v>
      </c>
      <c r="J1666" s="44" t="s">
        <v>8</v>
      </c>
      <c r="K1666" s="23" t="s">
        <v>8</v>
      </c>
      <c r="L1666" s="23" t="s">
        <v>8</v>
      </c>
      <c r="M1666" s="23" t="s">
        <v>8</v>
      </c>
    </row>
    <row r="1667" spans="1:13" s="21" customFormat="1" x14ac:dyDescent="0.25">
      <c r="A1667" s="22" t="s">
        <v>8</v>
      </c>
      <c r="B1667" s="18" t="str">
        <f>"075407"</f>
        <v>075407</v>
      </c>
      <c r="C1667" s="19" t="s">
        <v>1666</v>
      </c>
      <c r="D1667" s="19" t="s">
        <v>17100</v>
      </c>
      <c r="E1667" s="19" t="s">
        <v>31410</v>
      </c>
      <c r="F1667" s="19" t="s">
        <v>35980</v>
      </c>
      <c r="G1667" s="18" t="str">
        <f>"06107"</f>
        <v>06107</v>
      </c>
      <c r="H1667" s="19" t="s">
        <v>30919</v>
      </c>
      <c r="I1667" s="20">
        <v>17.882000000000001</v>
      </c>
      <c r="J1667" s="44" t="s">
        <v>8</v>
      </c>
      <c r="K1667" s="23" t="s">
        <v>8</v>
      </c>
      <c r="L1667" s="23" t="s">
        <v>8</v>
      </c>
      <c r="M1667" s="23" t="s">
        <v>8</v>
      </c>
    </row>
    <row r="1668" spans="1:13" s="21" customFormat="1" x14ac:dyDescent="0.25">
      <c r="A1668" s="22" t="s">
        <v>8</v>
      </c>
      <c r="B1668" s="18" t="str">
        <f>"075408"</f>
        <v>075408</v>
      </c>
      <c r="C1668" s="19" t="s">
        <v>1667</v>
      </c>
      <c r="D1668" s="19" t="s">
        <v>17101</v>
      </c>
      <c r="E1668" s="19" t="s">
        <v>31450</v>
      </c>
      <c r="F1668" s="19" t="s">
        <v>35980</v>
      </c>
      <c r="G1668" s="18" t="str">
        <f>"06511"</f>
        <v>06511</v>
      </c>
      <c r="H1668" s="19" t="s">
        <v>31450</v>
      </c>
      <c r="I1668" s="20">
        <v>20.411999999999999</v>
      </c>
      <c r="J1668" s="44" t="s">
        <v>8</v>
      </c>
      <c r="K1668" s="23" t="s">
        <v>8</v>
      </c>
      <c r="L1668" s="23" t="s">
        <v>8</v>
      </c>
      <c r="M1668" s="23" t="s">
        <v>8</v>
      </c>
    </row>
    <row r="1669" spans="1:13" s="21" customFormat="1" x14ac:dyDescent="0.25">
      <c r="A1669" s="22" t="s">
        <v>8</v>
      </c>
      <c r="B1669" s="18" t="str">
        <f>"075410"</f>
        <v>075410</v>
      </c>
      <c r="C1669" s="19" t="s">
        <v>1668</v>
      </c>
      <c r="D1669" s="19" t="s">
        <v>17102</v>
      </c>
      <c r="E1669" s="19" t="s">
        <v>31396</v>
      </c>
      <c r="F1669" s="19" t="s">
        <v>35980</v>
      </c>
      <c r="G1669" s="18" t="str">
        <f>"06412"</f>
        <v>06412</v>
      </c>
      <c r="H1669" s="19" t="s">
        <v>36120</v>
      </c>
      <c r="I1669" s="20">
        <v>18.75</v>
      </c>
      <c r="J1669" s="44" t="s">
        <v>8</v>
      </c>
      <c r="K1669" s="23" t="s">
        <v>8</v>
      </c>
      <c r="L1669" s="23" t="s">
        <v>8</v>
      </c>
      <c r="M1669" s="23" t="s">
        <v>8</v>
      </c>
    </row>
    <row r="1670" spans="1:13" s="21" customFormat="1" x14ac:dyDescent="0.25">
      <c r="A1670" s="22" t="s">
        <v>8</v>
      </c>
      <c r="B1670" s="18" t="str">
        <f>"075411"</f>
        <v>075411</v>
      </c>
      <c r="C1670" s="19" t="s">
        <v>1669</v>
      </c>
      <c r="D1670" s="19" t="s">
        <v>17103</v>
      </c>
      <c r="E1670" s="19" t="s">
        <v>31482</v>
      </c>
      <c r="F1670" s="19" t="s">
        <v>35980</v>
      </c>
      <c r="G1670" s="18" t="str">
        <f>"06260"</f>
        <v>06260</v>
      </c>
      <c r="H1670" s="19" t="s">
        <v>31446</v>
      </c>
      <c r="I1670" s="20">
        <v>16.533000000000001</v>
      </c>
      <c r="J1670" s="44" t="s">
        <v>8</v>
      </c>
      <c r="K1670" s="23" t="s">
        <v>8</v>
      </c>
      <c r="L1670" s="23" t="s">
        <v>8</v>
      </c>
      <c r="M1670" s="23" t="s">
        <v>8</v>
      </c>
    </row>
    <row r="1671" spans="1:13" s="21" customFormat="1" x14ac:dyDescent="0.25">
      <c r="A1671" s="22" t="s">
        <v>8</v>
      </c>
      <c r="B1671" s="18" t="str">
        <f>"075412"</f>
        <v>075412</v>
      </c>
      <c r="C1671" s="19" t="s">
        <v>1670</v>
      </c>
      <c r="D1671" s="19" t="s">
        <v>17045</v>
      </c>
      <c r="E1671" s="19" t="s">
        <v>31462</v>
      </c>
      <c r="F1671" s="19" t="s">
        <v>35980</v>
      </c>
      <c r="G1671" s="18" t="str">
        <f>"06614"</f>
        <v>06614</v>
      </c>
      <c r="H1671" s="19" t="s">
        <v>31103</v>
      </c>
      <c r="I1671" s="20">
        <v>22.506</v>
      </c>
      <c r="J1671" s="44" t="s">
        <v>8</v>
      </c>
      <c r="K1671" s="23" t="s">
        <v>8</v>
      </c>
      <c r="L1671" s="23" t="s">
        <v>8</v>
      </c>
      <c r="M1671" s="23" t="s">
        <v>8</v>
      </c>
    </row>
    <row r="1672" spans="1:13" s="21" customFormat="1" x14ac:dyDescent="0.25">
      <c r="A1672" s="22" t="s">
        <v>8</v>
      </c>
      <c r="B1672" s="18" t="str">
        <f>"075413"</f>
        <v>075413</v>
      </c>
      <c r="C1672" s="19" t="s">
        <v>1671</v>
      </c>
      <c r="D1672" s="19" t="s">
        <v>17104</v>
      </c>
      <c r="E1672" s="19" t="s">
        <v>30920</v>
      </c>
      <c r="F1672" s="19" t="s">
        <v>35980</v>
      </c>
      <c r="G1672" s="18" t="str">
        <f>"06606"</f>
        <v>06606</v>
      </c>
      <c r="H1672" s="19" t="s">
        <v>31103</v>
      </c>
      <c r="I1672" s="20">
        <v>19.515999999999998</v>
      </c>
      <c r="J1672" s="44" t="s">
        <v>8</v>
      </c>
      <c r="K1672" s="23" t="s">
        <v>8</v>
      </c>
      <c r="L1672" s="23" t="s">
        <v>8</v>
      </c>
      <c r="M1672" s="23" t="s">
        <v>8</v>
      </c>
    </row>
    <row r="1673" spans="1:13" s="21" customFormat="1" x14ac:dyDescent="0.25">
      <c r="A1673" s="22" t="s">
        <v>8</v>
      </c>
      <c r="B1673" s="18" t="str">
        <f>"075414"</f>
        <v>075414</v>
      </c>
      <c r="C1673" s="19" t="s">
        <v>1672</v>
      </c>
      <c r="D1673" s="19" t="s">
        <v>17105</v>
      </c>
      <c r="E1673" s="19" t="s">
        <v>31397</v>
      </c>
      <c r="F1673" s="19" t="s">
        <v>35980</v>
      </c>
      <c r="G1673" s="18" t="str">
        <f>"06810"</f>
        <v>06810</v>
      </c>
      <c r="H1673" s="19" t="s">
        <v>31103</v>
      </c>
      <c r="I1673" s="20">
        <v>20.687999999999999</v>
      </c>
      <c r="J1673" s="44" t="s">
        <v>8</v>
      </c>
      <c r="K1673" s="23" t="s">
        <v>8</v>
      </c>
      <c r="L1673" s="23" t="s">
        <v>8</v>
      </c>
      <c r="M1673" s="23" t="s">
        <v>8</v>
      </c>
    </row>
    <row r="1674" spans="1:13" s="21" customFormat="1" x14ac:dyDescent="0.25">
      <c r="A1674" s="22" t="s">
        <v>8</v>
      </c>
      <c r="B1674" s="18" t="str">
        <f>"075415"</f>
        <v>075415</v>
      </c>
      <c r="C1674" s="19" t="s">
        <v>1673</v>
      </c>
      <c r="D1674" s="19" t="s">
        <v>17106</v>
      </c>
      <c r="E1674" s="19" t="s">
        <v>31434</v>
      </c>
      <c r="F1674" s="19" t="s">
        <v>35980</v>
      </c>
      <c r="G1674" s="18" t="str">
        <f>"06010"</f>
        <v>06010</v>
      </c>
      <c r="H1674" s="19" t="s">
        <v>30919</v>
      </c>
      <c r="I1674" s="20">
        <v>19.032</v>
      </c>
      <c r="J1674" s="44" t="s">
        <v>8</v>
      </c>
      <c r="K1674" s="23" t="s">
        <v>8</v>
      </c>
      <c r="L1674" s="23" t="s">
        <v>8</v>
      </c>
      <c r="M1674" s="23" t="s">
        <v>8</v>
      </c>
    </row>
    <row r="1675" spans="1:13" s="21" customFormat="1" x14ac:dyDescent="0.25">
      <c r="A1675" s="22" t="s">
        <v>8</v>
      </c>
      <c r="B1675" s="18" t="str">
        <f>"075416"</f>
        <v>075416</v>
      </c>
      <c r="C1675" s="19" t="s">
        <v>1674</v>
      </c>
      <c r="D1675" s="19" t="s">
        <v>17107</v>
      </c>
      <c r="E1675" s="19" t="s">
        <v>31430</v>
      </c>
      <c r="F1675" s="19" t="s">
        <v>35980</v>
      </c>
      <c r="G1675" s="18" t="str">
        <f>"06776"</f>
        <v>06776</v>
      </c>
      <c r="H1675" s="19" t="s">
        <v>31463</v>
      </c>
      <c r="I1675" s="20">
        <v>18.542999999999999</v>
      </c>
      <c r="J1675" s="44" t="s">
        <v>8</v>
      </c>
      <c r="K1675" s="23" t="s">
        <v>8</v>
      </c>
      <c r="L1675" s="23" t="s">
        <v>8</v>
      </c>
      <c r="M1675" s="23" t="s">
        <v>8</v>
      </c>
    </row>
    <row r="1676" spans="1:13" s="21" customFormat="1" x14ac:dyDescent="0.25">
      <c r="A1676" s="22" t="s">
        <v>8</v>
      </c>
      <c r="B1676" s="18" t="str">
        <f>"075417"</f>
        <v>075417</v>
      </c>
      <c r="C1676" s="19" t="s">
        <v>1675</v>
      </c>
      <c r="D1676" s="19" t="s">
        <v>17108</v>
      </c>
      <c r="E1676" s="19" t="s">
        <v>31409</v>
      </c>
      <c r="F1676" s="19" t="s">
        <v>35980</v>
      </c>
      <c r="G1676" s="18" t="str">
        <f>"06360"</f>
        <v>06360</v>
      </c>
      <c r="H1676" s="19" t="s">
        <v>31423</v>
      </c>
      <c r="I1676" s="20">
        <v>20.314</v>
      </c>
      <c r="J1676" s="44" t="s">
        <v>8</v>
      </c>
      <c r="K1676" s="23" t="s">
        <v>8</v>
      </c>
      <c r="L1676" s="23" t="s">
        <v>8</v>
      </c>
      <c r="M1676" s="23" t="s">
        <v>8</v>
      </c>
    </row>
    <row r="1677" spans="1:13" s="21" customFormat="1" x14ac:dyDescent="0.25">
      <c r="A1677" s="22" t="s">
        <v>8</v>
      </c>
      <c r="B1677" s="18" t="str">
        <f>"075418"</f>
        <v>075418</v>
      </c>
      <c r="C1677" s="19" t="s">
        <v>1676</v>
      </c>
      <c r="D1677" s="19" t="s">
        <v>17109</v>
      </c>
      <c r="E1677" s="19" t="s">
        <v>31413</v>
      </c>
      <c r="F1677" s="19" t="s">
        <v>35980</v>
      </c>
      <c r="G1677" s="18" t="str">
        <f>"06704"</f>
        <v>06704</v>
      </c>
      <c r="H1677" s="19" t="s">
        <v>31450</v>
      </c>
      <c r="I1677" s="20">
        <v>19.594999999999999</v>
      </c>
      <c r="J1677" s="44" t="s">
        <v>8</v>
      </c>
      <c r="K1677" s="23" t="s">
        <v>8</v>
      </c>
      <c r="L1677" s="23" t="s">
        <v>8</v>
      </c>
      <c r="M1677" s="23" t="s">
        <v>8</v>
      </c>
    </row>
    <row r="1678" spans="1:13" s="21" customFormat="1" x14ac:dyDescent="0.25">
      <c r="A1678" s="22" t="s">
        <v>8</v>
      </c>
      <c r="B1678" s="18" t="str">
        <f>"075419"</f>
        <v>075419</v>
      </c>
      <c r="C1678" s="19" t="s">
        <v>1677</v>
      </c>
      <c r="D1678" s="19" t="s">
        <v>17110</v>
      </c>
      <c r="E1678" s="19" t="s">
        <v>31445</v>
      </c>
      <c r="F1678" s="19" t="s">
        <v>35980</v>
      </c>
      <c r="G1678" s="18" t="str">
        <f>"06032"</f>
        <v>06032</v>
      </c>
      <c r="H1678" s="19" t="s">
        <v>30919</v>
      </c>
      <c r="I1678" s="20">
        <v>22.132000000000001</v>
      </c>
      <c r="J1678" s="44" t="s">
        <v>8</v>
      </c>
      <c r="K1678" s="23" t="s">
        <v>8</v>
      </c>
      <c r="L1678" s="23" t="s">
        <v>8</v>
      </c>
      <c r="M1678" s="23" t="s">
        <v>8</v>
      </c>
    </row>
    <row r="1679" spans="1:13" s="21" customFormat="1" x14ac:dyDescent="0.25">
      <c r="A1679" s="22" t="s">
        <v>8</v>
      </c>
      <c r="B1679" s="18" t="str">
        <f>"075420"</f>
        <v>075420</v>
      </c>
      <c r="C1679" s="19" t="s">
        <v>1678</v>
      </c>
      <c r="D1679" s="19" t="s">
        <v>17111</v>
      </c>
      <c r="E1679" s="19" t="s">
        <v>31473</v>
      </c>
      <c r="F1679" s="19" t="s">
        <v>35980</v>
      </c>
      <c r="G1679" s="18" t="str">
        <f>"06479"</f>
        <v>06479</v>
      </c>
      <c r="H1679" s="19" t="s">
        <v>30919</v>
      </c>
      <c r="I1679" s="20">
        <v>17.916</v>
      </c>
      <c r="J1679" s="44" t="s">
        <v>8</v>
      </c>
      <c r="K1679" s="23" t="s">
        <v>8</v>
      </c>
      <c r="L1679" s="23" t="s">
        <v>8</v>
      </c>
      <c r="M1679" s="23" t="s">
        <v>8</v>
      </c>
    </row>
    <row r="1680" spans="1:13" s="21" customFormat="1" x14ac:dyDescent="0.25">
      <c r="A1680" s="22" t="s">
        <v>8</v>
      </c>
      <c r="B1680" s="18" t="str">
        <f>"075421"</f>
        <v>075421</v>
      </c>
      <c r="C1680" s="19" t="s">
        <v>1679</v>
      </c>
      <c r="D1680" s="19" t="s">
        <v>17112</v>
      </c>
      <c r="E1680" s="19" t="s">
        <v>31404</v>
      </c>
      <c r="F1680" s="19" t="s">
        <v>35980</v>
      </c>
      <c r="G1680" s="18" t="str">
        <f>"06902"</f>
        <v>06902</v>
      </c>
      <c r="H1680" s="19" t="s">
        <v>31103</v>
      </c>
      <c r="I1680" s="20">
        <v>18.789000000000001</v>
      </c>
      <c r="J1680" s="44" t="s">
        <v>8</v>
      </c>
      <c r="K1680" s="23" t="s">
        <v>8</v>
      </c>
      <c r="L1680" s="23" t="s">
        <v>8</v>
      </c>
      <c r="M1680" s="23" t="s">
        <v>8</v>
      </c>
    </row>
    <row r="1681" spans="1:13" s="21" customFormat="1" x14ac:dyDescent="0.25">
      <c r="A1681" s="22" t="s">
        <v>8</v>
      </c>
      <c r="B1681" s="18" t="str">
        <f>"075422"</f>
        <v>075422</v>
      </c>
      <c r="C1681" s="19" t="s">
        <v>1680</v>
      </c>
      <c r="D1681" s="19" t="s">
        <v>17113</v>
      </c>
      <c r="E1681" s="19" t="s">
        <v>31483</v>
      </c>
      <c r="F1681" s="19" t="s">
        <v>35980</v>
      </c>
      <c r="G1681" s="18" t="str">
        <f>"06074"</f>
        <v>06074</v>
      </c>
      <c r="H1681" s="19" t="s">
        <v>30919</v>
      </c>
      <c r="I1681" s="20">
        <v>19.204000000000001</v>
      </c>
      <c r="J1681" s="44" t="s">
        <v>8</v>
      </c>
      <c r="K1681" s="23" t="s">
        <v>8</v>
      </c>
      <c r="L1681" s="23" t="s">
        <v>8</v>
      </c>
      <c r="M1681" s="23" t="s">
        <v>8</v>
      </c>
    </row>
    <row r="1682" spans="1:13" s="21" customFormat="1" x14ac:dyDescent="0.25">
      <c r="A1682" s="22" t="s">
        <v>8</v>
      </c>
      <c r="B1682" s="18" t="str">
        <f>"075423"</f>
        <v>075423</v>
      </c>
      <c r="C1682" s="19" t="s">
        <v>1681</v>
      </c>
      <c r="D1682" s="19" t="s">
        <v>17114</v>
      </c>
      <c r="E1682" s="19" t="s">
        <v>31484</v>
      </c>
      <c r="F1682" s="19" t="s">
        <v>35980</v>
      </c>
      <c r="G1682" s="18" t="str">
        <f>"06239"</f>
        <v>06239</v>
      </c>
      <c r="H1682" s="19" t="s">
        <v>31446</v>
      </c>
      <c r="I1682" s="20">
        <v>20.561</v>
      </c>
      <c r="J1682" s="44" t="s">
        <v>8</v>
      </c>
      <c r="K1682" s="23" t="s">
        <v>8</v>
      </c>
      <c r="L1682" s="23" t="s">
        <v>8</v>
      </c>
      <c r="M1682" s="23" t="s">
        <v>8</v>
      </c>
    </row>
    <row r="1683" spans="1:13" s="21" customFormat="1" x14ac:dyDescent="0.25">
      <c r="A1683" s="22" t="s">
        <v>8</v>
      </c>
      <c r="B1683" s="18" t="str">
        <f>"075425"</f>
        <v>075425</v>
      </c>
      <c r="C1683" s="19" t="s">
        <v>1682</v>
      </c>
      <c r="D1683" s="19" t="s">
        <v>17115</v>
      </c>
      <c r="E1683" s="19" t="s">
        <v>31485</v>
      </c>
      <c r="F1683" s="19" t="s">
        <v>35980</v>
      </c>
      <c r="G1683" s="18" t="str">
        <f>"06226"</f>
        <v>06226</v>
      </c>
      <c r="H1683" s="19" t="s">
        <v>31446</v>
      </c>
      <c r="I1683" s="20">
        <v>16.779</v>
      </c>
      <c r="J1683" s="44" t="s">
        <v>8</v>
      </c>
      <c r="K1683" s="23" t="s">
        <v>8</v>
      </c>
      <c r="L1683" s="23" t="s">
        <v>8</v>
      </c>
      <c r="M1683" s="23" t="s">
        <v>8</v>
      </c>
    </row>
    <row r="1684" spans="1:13" s="21" customFormat="1" x14ac:dyDescent="0.25">
      <c r="A1684" s="22" t="s">
        <v>8</v>
      </c>
      <c r="B1684" s="18" t="str">
        <f>"075426"</f>
        <v>075426</v>
      </c>
      <c r="C1684" s="19" t="s">
        <v>1683</v>
      </c>
      <c r="D1684" s="19" t="s">
        <v>17116</v>
      </c>
      <c r="E1684" s="19" t="s">
        <v>31457</v>
      </c>
      <c r="F1684" s="19" t="s">
        <v>35980</v>
      </c>
      <c r="G1684" s="18" t="str">
        <f>"06897"</f>
        <v>06897</v>
      </c>
      <c r="H1684" s="19" t="s">
        <v>31103</v>
      </c>
      <c r="I1684" s="20">
        <v>17.437000000000001</v>
      </c>
      <c r="J1684" s="44" t="s">
        <v>8</v>
      </c>
      <c r="K1684" s="23" t="s">
        <v>8</v>
      </c>
      <c r="L1684" s="23" t="s">
        <v>8</v>
      </c>
      <c r="M1684" s="23" t="s">
        <v>8</v>
      </c>
    </row>
    <row r="1685" spans="1:13" s="21" customFormat="1" x14ac:dyDescent="0.25">
      <c r="A1685" s="22" t="s">
        <v>8</v>
      </c>
      <c r="B1685" s="18" t="str">
        <f>"075429"</f>
        <v>075429</v>
      </c>
      <c r="C1685" s="19" t="s">
        <v>1684</v>
      </c>
      <c r="D1685" s="19" t="s">
        <v>17117</v>
      </c>
      <c r="E1685" s="19" t="s">
        <v>31486</v>
      </c>
      <c r="F1685" s="19" t="s">
        <v>35980</v>
      </c>
      <c r="G1685" s="18" t="str">
        <f>"06896"</f>
        <v>06896</v>
      </c>
      <c r="H1685" s="19" t="s">
        <v>31103</v>
      </c>
      <c r="I1685" s="20">
        <v>18.945</v>
      </c>
      <c r="J1685" s="44" t="s">
        <v>8</v>
      </c>
      <c r="K1685" s="23" t="s">
        <v>8</v>
      </c>
      <c r="L1685" s="23" t="s">
        <v>8</v>
      </c>
      <c r="M1685" s="23" t="s">
        <v>8</v>
      </c>
    </row>
    <row r="1686" spans="1:13" s="21" customFormat="1" x14ac:dyDescent="0.25">
      <c r="A1686" s="22" t="s">
        <v>8</v>
      </c>
      <c r="B1686" s="18" t="str">
        <f>"075430"</f>
        <v>075430</v>
      </c>
      <c r="C1686" s="19" t="s">
        <v>1685</v>
      </c>
      <c r="D1686" s="19" t="s">
        <v>17118</v>
      </c>
      <c r="E1686" s="19" t="s">
        <v>31402</v>
      </c>
      <c r="F1686" s="19" t="s">
        <v>35980</v>
      </c>
      <c r="G1686" s="18" t="str">
        <f>"06418"</f>
        <v>06418</v>
      </c>
      <c r="H1686" s="19" t="s">
        <v>31450</v>
      </c>
      <c r="I1686" s="20">
        <v>18.827999999999999</v>
      </c>
      <c r="J1686" s="44" t="s">
        <v>8</v>
      </c>
      <c r="K1686" s="23" t="s">
        <v>8</v>
      </c>
      <c r="L1686" s="23" t="s">
        <v>8</v>
      </c>
      <c r="M1686" s="23" t="s">
        <v>8</v>
      </c>
    </row>
    <row r="1687" spans="1:13" s="21" customFormat="1" x14ac:dyDescent="0.25">
      <c r="A1687" s="22" t="s">
        <v>8</v>
      </c>
      <c r="B1687" s="18" t="str">
        <f>"075431"</f>
        <v>075431</v>
      </c>
      <c r="C1687" s="19" t="s">
        <v>1686</v>
      </c>
      <c r="D1687" s="19" t="s">
        <v>17119</v>
      </c>
      <c r="E1687" s="19" t="s">
        <v>31487</v>
      </c>
      <c r="F1687" s="19" t="s">
        <v>35980</v>
      </c>
      <c r="G1687" s="18" t="str">
        <f>"06422"</f>
        <v>06422</v>
      </c>
      <c r="H1687" s="19" t="s">
        <v>36120</v>
      </c>
      <c r="I1687" s="20">
        <v>18.605</v>
      </c>
      <c r="J1687" s="44" t="s">
        <v>8</v>
      </c>
      <c r="K1687" s="23" t="s">
        <v>8</v>
      </c>
      <c r="L1687" s="23" t="s">
        <v>8</v>
      </c>
      <c r="M1687" s="23" t="s">
        <v>8</v>
      </c>
    </row>
    <row r="1688" spans="1:13" s="21" customFormat="1" x14ac:dyDescent="0.25">
      <c r="A1688" s="22" t="s">
        <v>8</v>
      </c>
      <c r="B1688" s="18" t="str">
        <f>"075432"</f>
        <v>075432</v>
      </c>
      <c r="C1688" s="19" t="s">
        <v>1687</v>
      </c>
      <c r="D1688" s="19" t="s">
        <v>17120</v>
      </c>
      <c r="E1688" s="19" t="s">
        <v>31413</v>
      </c>
      <c r="F1688" s="19" t="s">
        <v>35980</v>
      </c>
      <c r="G1688" s="18" t="str">
        <f>"06710"</f>
        <v>06710</v>
      </c>
      <c r="H1688" s="19" t="s">
        <v>31450</v>
      </c>
      <c r="I1688" s="20">
        <v>18.170999999999999</v>
      </c>
      <c r="J1688" s="44" t="s">
        <v>8</v>
      </c>
      <c r="K1688" s="23" t="s">
        <v>8</v>
      </c>
      <c r="L1688" s="23" t="s">
        <v>8</v>
      </c>
      <c r="M1688" s="23" t="s">
        <v>8</v>
      </c>
    </row>
    <row r="1689" spans="1:13" s="21" customFormat="1" x14ac:dyDescent="0.25">
      <c r="A1689" s="22" t="s">
        <v>8</v>
      </c>
      <c r="B1689" s="18" t="str">
        <f>"075434"</f>
        <v>075434</v>
      </c>
      <c r="C1689" s="19" t="s">
        <v>1688</v>
      </c>
      <c r="D1689" s="19" t="s">
        <v>17121</v>
      </c>
      <c r="E1689" s="19" t="s">
        <v>31169</v>
      </c>
      <c r="F1689" s="19" t="s">
        <v>35980</v>
      </c>
      <c r="G1689" s="18" t="str">
        <f>"06477"</f>
        <v>06477</v>
      </c>
      <c r="H1689" s="19" t="s">
        <v>31450</v>
      </c>
      <c r="I1689" s="20">
        <v>21.693999999999999</v>
      </c>
      <c r="J1689" s="44" t="s">
        <v>8</v>
      </c>
      <c r="K1689" s="23" t="s">
        <v>8</v>
      </c>
      <c r="L1689" s="23" t="s">
        <v>8</v>
      </c>
      <c r="M1689" s="23" t="s">
        <v>8</v>
      </c>
    </row>
    <row r="1690" spans="1:13" s="21" customFormat="1" x14ac:dyDescent="0.25">
      <c r="A1690" s="22" t="s">
        <v>8</v>
      </c>
      <c r="B1690" s="18" t="str">
        <f>"075436"</f>
        <v>075436</v>
      </c>
      <c r="C1690" s="19" t="s">
        <v>1689</v>
      </c>
      <c r="D1690" s="19" t="s">
        <v>17122</v>
      </c>
      <c r="E1690" s="19" t="s">
        <v>31468</v>
      </c>
      <c r="F1690" s="19" t="s">
        <v>35980</v>
      </c>
      <c r="G1690" s="18" t="str">
        <f>"06088"</f>
        <v>06088</v>
      </c>
      <c r="H1690" s="19" t="s">
        <v>30919</v>
      </c>
      <c r="I1690" s="20">
        <v>19.206</v>
      </c>
      <c r="J1690" s="44" t="s">
        <v>8</v>
      </c>
      <c r="K1690" s="23" t="s">
        <v>8</v>
      </c>
      <c r="L1690" s="23" t="s">
        <v>8</v>
      </c>
      <c r="M1690" s="23" t="s">
        <v>8</v>
      </c>
    </row>
    <row r="1691" spans="1:13" s="21" customFormat="1" x14ac:dyDescent="0.25">
      <c r="A1691" s="22" t="s">
        <v>8</v>
      </c>
      <c r="B1691" s="18" t="str">
        <f>"075437"</f>
        <v>075437</v>
      </c>
      <c r="C1691" s="19" t="s">
        <v>1690</v>
      </c>
      <c r="D1691" s="19" t="s">
        <v>17123</v>
      </c>
      <c r="E1691" s="19" t="s">
        <v>31449</v>
      </c>
      <c r="F1691" s="19" t="s">
        <v>35980</v>
      </c>
      <c r="G1691" s="18" t="str">
        <f>"06355"</f>
        <v>06355</v>
      </c>
      <c r="H1691" s="19" t="s">
        <v>31423</v>
      </c>
      <c r="I1691" s="20">
        <v>17.95</v>
      </c>
      <c r="J1691" s="44" t="s">
        <v>8</v>
      </c>
      <c r="K1691" s="23" t="s">
        <v>8</v>
      </c>
      <c r="L1691" s="23" t="s">
        <v>8</v>
      </c>
      <c r="M1691" s="23" t="s">
        <v>8</v>
      </c>
    </row>
    <row r="1692" spans="1:13" s="21" customFormat="1" x14ac:dyDescent="0.25">
      <c r="A1692" s="22" t="s">
        <v>8</v>
      </c>
      <c r="B1692" s="18" t="str">
        <f>"075438"</f>
        <v>075438</v>
      </c>
      <c r="C1692" s="19" t="s">
        <v>1691</v>
      </c>
      <c r="D1692" s="19" t="s">
        <v>17124</v>
      </c>
      <c r="E1692" s="19" t="s">
        <v>31488</v>
      </c>
      <c r="F1692" s="19" t="s">
        <v>35980</v>
      </c>
      <c r="G1692" s="18" t="str">
        <f>"06382"</f>
        <v>06382</v>
      </c>
      <c r="H1692" s="19" t="s">
        <v>31423</v>
      </c>
      <c r="I1692" s="20">
        <v>15.778</v>
      </c>
      <c r="J1692" s="44" t="s">
        <v>8</v>
      </c>
      <c r="K1692" s="23" t="s">
        <v>8</v>
      </c>
      <c r="L1692" s="23" t="s">
        <v>8</v>
      </c>
      <c r="M1692" s="23" t="s">
        <v>8</v>
      </c>
    </row>
    <row r="1693" spans="1:13" s="21" customFormat="1" x14ac:dyDescent="0.25">
      <c r="A1693" s="22" t="s">
        <v>8</v>
      </c>
      <c r="B1693" s="18" t="str">
        <f>"075439"</f>
        <v>075439</v>
      </c>
      <c r="C1693" s="19" t="s">
        <v>1692</v>
      </c>
      <c r="D1693" s="19" t="s">
        <v>17125</v>
      </c>
      <c r="E1693" s="19" t="s">
        <v>31422</v>
      </c>
      <c r="F1693" s="19" t="s">
        <v>35980</v>
      </c>
      <c r="G1693" s="18" t="str">
        <f>"06450"</f>
        <v>06450</v>
      </c>
      <c r="H1693" s="19" t="s">
        <v>31450</v>
      </c>
      <c r="I1693" s="20">
        <v>16.952000000000002</v>
      </c>
      <c r="J1693" s="44" t="s">
        <v>8</v>
      </c>
      <c r="K1693" s="23" t="s">
        <v>8</v>
      </c>
      <c r="L1693" s="23" t="s">
        <v>8</v>
      </c>
      <c r="M1693" s="23" t="s">
        <v>8</v>
      </c>
    </row>
    <row r="1694" spans="1:13" s="21" customFormat="1" x14ac:dyDescent="0.25">
      <c r="A1694" s="22" t="s">
        <v>8</v>
      </c>
      <c r="B1694" s="18" t="str">
        <f>"075440"</f>
        <v>075440</v>
      </c>
      <c r="C1694" s="19" t="s">
        <v>1693</v>
      </c>
      <c r="D1694" s="19" t="s">
        <v>17126</v>
      </c>
      <c r="E1694" s="19" t="s">
        <v>30920</v>
      </c>
      <c r="F1694" s="19" t="s">
        <v>35980</v>
      </c>
      <c r="G1694" s="18" t="str">
        <f>"06604"</f>
        <v>06604</v>
      </c>
      <c r="H1694" s="19" t="s">
        <v>31103</v>
      </c>
      <c r="I1694" s="20">
        <v>20.771000000000001</v>
      </c>
      <c r="J1694" s="44" t="s">
        <v>8</v>
      </c>
      <c r="K1694" s="23" t="s">
        <v>8</v>
      </c>
      <c r="L1694" s="23" t="s">
        <v>8</v>
      </c>
      <c r="M1694" s="23" t="s">
        <v>8</v>
      </c>
    </row>
    <row r="1695" spans="1:13" s="21" customFormat="1" x14ac:dyDescent="0.25">
      <c r="A1695" s="22" t="s">
        <v>8</v>
      </c>
      <c r="B1695" s="18" t="str">
        <f>"075441"</f>
        <v>075441</v>
      </c>
      <c r="C1695" s="19" t="s">
        <v>1694</v>
      </c>
      <c r="D1695" s="19" t="s">
        <v>17127</v>
      </c>
      <c r="E1695" s="19" t="s">
        <v>31442</v>
      </c>
      <c r="F1695" s="19" t="s">
        <v>35980</v>
      </c>
      <c r="G1695" s="18" t="str">
        <f>"06488"</f>
        <v>06488</v>
      </c>
      <c r="H1695" s="19" t="s">
        <v>31450</v>
      </c>
      <c r="I1695" s="20">
        <v>17.074000000000002</v>
      </c>
      <c r="J1695" s="44" t="s">
        <v>8</v>
      </c>
      <c r="K1695" s="23" t="s">
        <v>8</v>
      </c>
      <c r="L1695" s="23" t="s">
        <v>8</v>
      </c>
      <c r="M1695" s="23" t="s">
        <v>8</v>
      </c>
    </row>
    <row r="1696" spans="1:13" s="21" customFormat="1" x14ac:dyDescent="0.25">
      <c r="A1696" s="22" t="s">
        <v>8</v>
      </c>
      <c r="B1696" s="18" t="str">
        <f>"085001"</f>
        <v>085001</v>
      </c>
      <c r="C1696" s="19" t="s">
        <v>1695</v>
      </c>
      <c r="D1696" s="19" t="s">
        <v>17128</v>
      </c>
      <c r="E1696" s="19" t="s">
        <v>31489</v>
      </c>
      <c r="F1696" s="19" t="s">
        <v>35981</v>
      </c>
      <c r="G1696" s="18" t="str">
        <f>"19806"</f>
        <v>19806</v>
      </c>
      <c r="H1696" s="19" t="s">
        <v>31498</v>
      </c>
      <c r="I1696" s="20">
        <v>19.646999999999998</v>
      </c>
      <c r="J1696" s="44" t="s">
        <v>8</v>
      </c>
      <c r="K1696" s="23" t="s">
        <v>8</v>
      </c>
      <c r="L1696" s="23" t="s">
        <v>8</v>
      </c>
      <c r="M1696" s="23" t="s">
        <v>8</v>
      </c>
    </row>
    <row r="1697" spans="1:13" s="21" customFormat="1" x14ac:dyDescent="0.25">
      <c r="A1697" s="22" t="s">
        <v>8</v>
      </c>
      <c r="B1697" s="18" t="str">
        <f>"085002"</f>
        <v>085002</v>
      </c>
      <c r="C1697" s="19" t="s">
        <v>1696</v>
      </c>
      <c r="D1697" s="19" t="s">
        <v>17129</v>
      </c>
      <c r="E1697" s="19" t="s">
        <v>31489</v>
      </c>
      <c r="F1697" s="19" t="s">
        <v>35981</v>
      </c>
      <c r="G1697" s="18" t="str">
        <f>"19805"</f>
        <v>19805</v>
      </c>
      <c r="H1697" s="19" t="s">
        <v>31498</v>
      </c>
      <c r="I1697" s="20">
        <v>17.962</v>
      </c>
      <c r="J1697" s="44" t="s">
        <v>8</v>
      </c>
      <c r="K1697" s="23" t="s">
        <v>8</v>
      </c>
      <c r="L1697" s="23" t="s">
        <v>8</v>
      </c>
      <c r="M1697" s="23" t="s">
        <v>8</v>
      </c>
    </row>
    <row r="1698" spans="1:13" s="21" customFormat="1" x14ac:dyDescent="0.25">
      <c r="A1698" s="22" t="s">
        <v>8</v>
      </c>
      <c r="B1698" s="18" t="str">
        <f>"085003"</f>
        <v>085003</v>
      </c>
      <c r="C1698" s="19" t="s">
        <v>1697</v>
      </c>
      <c r="D1698" s="19" t="s">
        <v>17130</v>
      </c>
      <c r="E1698" s="19" t="s">
        <v>31489</v>
      </c>
      <c r="F1698" s="19" t="s">
        <v>35981</v>
      </c>
      <c r="G1698" s="18" t="str">
        <f>"19807"</f>
        <v>19807</v>
      </c>
      <c r="H1698" s="19" t="s">
        <v>31498</v>
      </c>
      <c r="I1698" s="20">
        <v>17.960999999999999</v>
      </c>
      <c r="J1698" s="44" t="s">
        <v>8</v>
      </c>
      <c r="K1698" s="23" t="s">
        <v>8</v>
      </c>
      <c r="L1698" s="23" t="s">
        <v>8</v>
      </c>
      <c r="M1698" s="23" t="s">
        <v>8</v>
      </c>
    </row>
    <row r="1699" spans="1:13" s="21" customFormat="1" x14ac:dyDescent="0.25">
      <c r="A1699" s="22" t="s">
        <v>8</v>
      </c>
      <c r="B1699" s="18" t="str">
        <f>"085004"</f>
        <v>085004</v>
      </c>
      <c r="C1699" s="19" t="s">
        <v>1698</v>
      </c>
      <c r="D1699" s="19" t="s">
        <v>17131</v>
      </c>
      <c r="E1699" s="19" t="s">
        <v>31489</v>
      </c>
      <c r="F1699" s="19" t="s">
        <v>35981</v>
      </c>
      <c r="G1699" s="18" t="str">
        <f>"19808"</f>
        <v>19808</v>
      </c>
      <c r="H1699" s="19" t="s">
        <v>31498</v>
      </c>
      <c r="I1699" s="20">
        <v>20.024999999999999</v>
      </c>
      <c r="J1699" s="44" t="s">
        <v>8</v>
      </c>
      <c r="K1699" s="23" t="s">
        <v>8</v>
      </c>
      <c r="L1699" s="23" t="s">
        <v>8</v>
      </c>
      <c r="M1699" s="23" t="s">
        <v>8</v>
      </c>
    </row>
    <row r="1700" spans="1:13" s="21" customFormat="1" x14ac:dyDescent="0.25">
      <c r="A1700" s="22" t="s">
        <v>8</v>
      </c>
      <c r="B1700" s="18" t="str">
        <f>"085006"</f>
        <v>085006</v>
      </c>
      <c r="C1700" s="19" t="s">
        <v>1699</v>
      </c>
      <c r="D1700" s="19" t="s">
        <v>17132</v>
      </c>
      <c r="E1700" s="19" t="s">
        <v>31490</v>
      </c>
      <c r="F1700" s="19" t="s">
        <v>35981</v>
      </c>
      <c r="G1700" s="18" t="str">
        <f>"19707"</f>
        <v>19707</v>
      </c>
      <c r="H1700" s="19" t="s">
        <v>31498</v>
      </c>
      <c r="I1700" s="20">
        <v>17.024000000000001</v>
      </c>
      <c r="J1700" s="44" t="s">
        <v>8</v>
      </c>
      <c r="K1700" s="23" t="s">
        <v>8</v>
      </c>
      <c r="L1700" s="23" t="s">
        <v>8</v>
      </c>
      <c r="M1700" s="23" t="s">
        <v>8</v>
      </c>
    </row>
    <row r="1701" spans="1:13" s="21" customFormat="1" x14ac:dyDescent="0.25">
      <c r="A1701" s="22" t="s">
        <v>8</v>
      </c>
      <c r="B1701" s="18" t="str">
        <f>"085009"</f>
        <v>085009</v>
      </c>
      <c r="C1701" s="19" t="s">
        <v>1700</v>
      </c>
      <c r="D1701" s="19" t="s">
        <v>17133</v>
      </c>
      <c r="E1701" s="19" t="s">
        <v>31491</v>
      </c>
      <c r="F1701" s="19" t="s">
        <v>35981</v>
      </c>
      <c r="G1701" s="18" t="str">
        <f>"19973"</f>
        <v>19973</v>
      </c>
      <c r="H1701" s="19" t="s">
        <v>36121</v>
      </c>
      <c r="I1701" s="20">
        <v>18.131</v>
      </c>
      <c r="J1701" s="44" t="s">
        <v>8</v>
      </c>
      <c r="K1701" s="23" t="s">
        <v>8</v>
      </c>
      <c r="L1701" s="23" t="s">
        <v>8</v>
      </c>
      <c r="M1701" s="23" t="s">
        <v>8</v>
      </c>
    </row>
    <row r="1702" spans="1:13" s="21" customFormat="1" x14ac:dyDescent="0.25">
      <c r="A1702" s="22" t="s">
        <v>8</v>
      </c>
      <c r="B1702" s="18" t="str">
        <f>"085010"</f>
        <v>085010</v>
      </c>
      <c r="C1702" s="19" t="s">
        <v>1701</v>
      </c>
      <c r="D1702" s="19" t="s">
        <v>17134</v>
      </c>
      <c r="E1702" s="19" t="s">
        <v>31405</v>
      </c>
      <c r="F1702" s="19" t="s">
        <v>35981</v>
      </c>
      <c r="G1702" s="18" t="str">
        <f>"19963"</f>
        <v>19963</v>
      </c>
      <c r="H1702" s="19" t="s">
        <v>36121</v>
      </c>
      <c r="I1702" s="20">
        <v>17.960999999999999</v>
      </c>
      <c r="J1702" s="44" t="s">
        <v>8</v>
      </c>
      <c r="K1702" s="23" t="s">
        <v>8</v>
      </c>
      <c r="L1702" s="23" t="s">
        <v>8</v>
      </c>
      <c r="M1702" s="23" t="s">
        <v>8</v>
      </c>
    </row>
    <row r="1703" spans="1:13" s="21" customFormat="1" x14ac:dyDescent="0.25">
      <c r="A1703" s="22" t="s">
        <v>8</v>
      </c>
      <c r="B1703" s="18" t="str">
        <f>"085012"</f>
        <v>085012</v>
      </c>
      <c r="C1703" s="19" t="s">
        <v>1702</v>
      </c>
      <c r="D1703" s="19" t="s">
        <v>17135</v>
      </c>
      <c r="E1703" s="19" t="s">
        <v>31489</v>
      </c>
      <c r="F1703" s="19" t="s">
        <v>35981</v>
      </c>
      <c r="G1703" s="18" t="str">
        <f>"19806"</f>
        <v>19806</v>
      </c>
      <c r="H1703" s="19" t="s">
        <v>31498</v>
      </c>
      <c r="I1703" s="20">
        <v>20.81</v>
      </c>
      <c r="J1703" s="44" t="s">
        <v>8</v>
      </c>
      <c r="K1703" s="23" t="s">
        <v>8</v>
      </c>
      <c r="L1703" s="23" t="s">
        <v>8</v>
      </c>
      <c r="M1703" s="23" t="s">
        <v>8</v>
      </c>
    </row>
    <row r="1704" spans="1:13" s="21" customFormat="1" x14ac:dyDescent="0.25">
      <c r="A1704" s="22" t="s">
        <v>8</v>
      </c>
      <c r="B1704" s="18" t="str">
        <f>"085013"</f>
        <v>085013</v>
      </c>
      <c r="C1704" s="19" t="s">
        <v>1703</v>
      </c>
      <c r="D1704" s="19" t="s">
        <v>17136</v>
      </c>
      <c r="E1704" s="19" t="s">
        <v>31489</v>
      </c>
      <c r="F1704" s="19" t="s">
        <v>35981</v>
      </c>
      <c r="G1704" s="18" t="str">
        <f>"19805"</f>
        <v>19805</v>
      </c>
      <c r="H1704" s="19" t="s">
        <v>31498</v>
      </c>
      <c r="I1704" s="20">
        <v>16.759</v>
      </c>
      <c r="J1704" s="44" t="s">
        <v>8</v>
      </c>
      <c r="K1704" s="23" t="s">
        <v>8</v>
      </c>
      <c r="L1704" s="23" t="s">
        <v>8</v>
      </c>
      <c r="M1704" s="23" t="s">
        <v>8</v>
      </c>
    </row>
    <row r="1705" spans="1:13" s="21" customFormat="1" x14ac:dyDescent="0.25">
      <c r="A1705" s="22" t="s">
        <v>8</v>
      </c>
      <c r="B1705" s="18" t="str">
        <f>"085015"</f>
        <v>085015</v>
      </c>
      <c r="C1705" s="19" t="s">
        <v>1704</v>
      </c>
      <c r="D1705" s="19" t="s">
        <v>17137</v>
      </c>
      <c r="E1705" s="19" t="s">
        <v>31491</v>
      </c>
      <c r="F1705" s="19" t="s">
        <v>35981</v>
      </c>
      <c r="G1705" s="18" t="str">
        <f>"19973"</f>
        <v>19973</v>
      </c>
      <c r="H1705" s="19" t="s">
        <v>36121</v>
      </c>
      <c r="I1705" s="20">
        <v>15.977</v>
      </c>
      <c r="J1705" s="44" t="s">
        <v>8</v>
      </c>
      <c r="K1705" s="23" t="s">
        <v>8</v>
      </c>
      <c r="L1705" s="23" t="s">
        <v>8</v>
      </c>
      <c r="M1705" s="23" t="s">
        <v>8</v>
      </c>
    </row>
    <row r="1706" spans="1:13" s="21" customFormat="1" x14ac:dyDescent="0.25">
      <c r="A1706" s="22" t="s">
        <v>8</v>
      </c>
      <c r="B1706" s="18" t="str">
        <f>"085017"</f>
        <v>085017</v>
      </c>
      <c r="C1706" s="19" t="s">
        <v>1705</v>
      </c>
      <c r="D1706" s="19" t="s">
        <v>17138</v>
      </c>
      <c r="E1706" s="19" t="s">
        <v>31490</v>
      </c>
      <c r="F1706" s="19" t="s">
        <v>35981</v>
      </c>
      <c r="G1706" s="18" t="str">
        <f>"19707"</f>
        <v>19707</v>
      </c>
      <c r="H1706" s="19" t="s">
        <v>31498</v>
      </c>
      <c r="I1706" s="20">
        <v>18.501000000000001</v>
      </c>
      <c r="J1706" s="44" t="s">
        <v>8</v>
      </c>
      <c r="K1706" s="23" t="s">
        <v>8</v>
      </c>
      <c r="L1706" s="23" t="s">
        <v>8</v>
      </c>
      <c r="M1706" s="23" t="s">
        <v>8</v>
      </c>
    </row>
    <row r="1707" spans="1:13" s="21" customFormat="1" x14ac:dyDescent="0.25">
      <c r="A1707" s="22" t="s">
        <v>8</v>
      </c>
      <c r="B1707" s="18" t="str">
        <f>"085019"</f>
        <v>085019</v>
      </c>
      <c r="C1707" s="19" t="s">
        <v>1706</v>
      </c>
      <c r="D1707" s="19" t="s">
        <v>17139</v>
      </c>
      <c r="E1707" s="19" t="s">
        <v>31492</v>
      </c>
      <c r="F1707" s="19" t="s">
        <v>35981</v>
      </c>
      <c r="G1707" s="18" t="str">
        <f>"19901"</f>
        <v>19901</v>
      </c>
      <c r="H1707" s="19" t="s">
        <v>31478</v>
      </c>
      <c r="I1707" s="20">
        <v>18.821000000000002</v>
      </c>
      <c r="J1707" s="44" t="s">
        <v>8</v>
      </c>
      <c r="K1707" s="23" t="s">
        <v>8</v>
      </c>
      <c r="L1707" s="23" t="s">
        <v>8</v>
      </c>
      <c r="M1707" s="23" t="s">
        <v>8</v>
      </c>
    </row>
    <row r="1708" spans="1:13" s="21" customFormat="1" x14ac:dyDescent="0.25">
      <c r="A1708" s="22" t="s">
        <v>8</v>
      </c>
      <c r="B1708" s="18" t="str">
        <f>"085020"</f>
        <v>085020</v>
      </c>
      <c r="C1708" s="19" t="s">
        <v>1707</v>
      </c>
      <c r="D1708" s="19" t="s">
        <v>17140</v>
      </c>
      <c r="E1708" s="19" t="s">
        <v>31493</v>
      </c>
      <c r="F1708" s="19" t="s">
        <v>35981</v>
      </c>
      <c r="G1708" s="18" t="str">
        <f>"19977"</f>
        <v>19977</v>
      </c>
      <c r="H1708" s="19" t="s">
        <v>31478</v>
      </c>
      <c r="I1708" s="20">
        <v>20.83</v>
      </c>
      <c r="J1708" s="44" t="s">
        <v>8</v>
      </c>
      <c r="K1708" s="23" t="s">
        <v>8</v>
      </c>
      <c r="L1708" s="23" t="s">
        <v>8</v>
      </c>
      <c r="M1708" s="23" t="s">
        <v>8</v>
      </c>
    </row>
    <row r="1709" spans="1:13" s="21" customFormat="1" x14ac:dyDescent="0.25">
      <c r="A1709" s="22" t="s">
        <v>8</v>
      </c>
      <c r="B1709" s="18" t="str">
        <f>"085021"</f>
        <v>085021</v>
      </c>
      <c r="C1709" s="19" t="s">
        <v>1708</v>
      </c>
      <c r="D1709" s="19" t="s">
        <v>17141</v>
      </c>
      <c r="E1709" s="19" t="s">
        <v>31494</v>
      </c>
      <c r="F1709" s="19" t="s">
        <v>35981</v>
      </c>
      <c r="G1709" s="18" t="str">
        <f>"19711"</f>
        <v>19711</v>
      </c>
      <c r="H1709" s="19" t="s">
        <v>31498</v>
      </c>
      <c r="I1709" s="20">
        <v>19.683</v>
      </c>
      <c r="J1709" s="44" t="s">
        <v>8</v>
      </c>
      <c r="K1709" s="23" t="s">
        <v>8</v>
      </c>
      <c r="L1709" s="23" t="s">
        <v>8</v>
      </c>
      <c r="M1709" s="23" t="s">
        <v>8</v>
      </c>
    </row>
    <row r="1710" spans="1:13" s="21" customFormat="1" x14ac:dyDescent="0.25">
      <c r="A1710" s="22" t="s">
        <v>8</v>
      </c>
      <c r="B1710" s="18" t="str">
        <f>"085025"</f>
        <v>085025</v>
      </c>
      <c r="C1710" s="19" t="s">
        <v>1709</v>
      </c>
      <c r="D1710" s="19" t="s">
        <v>17142</v>
      </c>
      <c r="E1710" s="19" t="s">
        <v>31494</v>
      </c>
      <c r="F1710" s="19" t="s">
        <v>35981</v>
      </c>
      <c r="G1710" s="18" t="str">
        <f>"19713"</f>
        <v>19713</v>
      </c>
      <c r="H1710" s="19" t="s">
        <v>31498</v>
      </c>
      <c r="I1710" s="20">
        <v>18.161999999999999</v>
      </c>
      <c r="J1710" s="44" t="s">
        <v>8</v>
      </c>
      <c r="K1710" s="23" t="s">
        <v>8</v>
      </c>
      <c r="L1710" s="23" t="s">
        <v>8</v>
      </c>
      <c r="M1710" s="23" t="s">
        <v>8</v>
      </c>
    </row>
    <row r="1711" spans="1:13" s="21" customFormat="1" x14ac:dyDescent="0.25">
      <c r="A1711" s="22" t="s">
        <v>8</v>
      </c>
      <c r="B1711" s="18" t="str">
        <f>"085026"</f>
        <v>085026</v>
      </c>
      <c r="C1711" s="19" t="s">
        <v>1710</v>
      </c>
      <c r="D1711" s="19" t="s">
        <v>17143</v>
      </c>
      <c r="E1711" s="19" t="s">
        <v>30817</v>
      </c>
      <c r="F1711" s="19" t="s">
        <v>35981</v>
      </c>
      <c r="G1711" s="18" t="str">
        <f>"19807"</f>
        <v>19807</v>
      </c>
      <c r="H1711" s="19" t="s">
        <v>31498</v>
      </c>
      <c r="I1711" s="20">
        <v>18.225999999999999</v>
      </c>
      <c r="J1711" s="44" t="s">
        <v>8</v>
      </c>
      <c r="K1711" s="23" t="s">
        <v>8</v>
      </c>
      <c r="L1711" s="23" t="s">
        <v>8</v>
      </c>
      <c r="M1711" s="23" t="s">
        <v>8</v>
      </c>
    </row>
    <row r="1712" spans="1:13" s="21" customFormat="1" x14ac:dyDescent="0.25">
      <c r="A1712" s="22" t="s">
        <v>8</v>
      </c>
      <c r="B1712" s="18" t="str">
        <f>"085027"</f>
        <v>085027</v>
      </c>
      <c r="C1712" s="19" t="s">
        <v>1711</v>
      </c>
      <c r="D1712" s="19" t="s">
        <v>17144</v>
      </c>
      <c r="E1712" s="19" t="s">
        <v>31492</v>
      </c>
      <c r="F1712" s="19" t="s">
        <v>35981</v>
      </c>
      <c r="G1712" s="18" t="str">
        <f>"19904"</f>
        <v>19904</v>
      </c>
      <c r="H1712" s="19" t="s">
        <v>31478</v>
      </c>
      <c r="I1712" s="20">
        <v>16.395</v>
      </c>
      <c r="J1712" s="44" t="s">
        <v>8</v>
      </c>
      <c r="K1712" s="23" t="s">
        <v>8</v>
      </c>
      <c r="L1712" s="23" t="s">
        <v>8</v>
      </c>
      <c r="M1712" s="23" t="s">
        <v>8</v>
      </c>
    </row>
    <row r="1713" spans="1:13" s="21" customFormat="1" x14ac:dyDescent="0.25">
      <c r="A1713" s="22" t="s">
        <v>8</v>
      </c>
      <c r="B1713" s="18" t="str">
        <f>"085028"</f>
        <v>085028</v>
      </c>
      <c r="C1713" s="19" t="s">
        <v>1712</v>
      </c>
      <c r="D1713" s="19" t="s">
        <v>17145</v>
      </c>
      <c r="E1713" s="19" t="s">
        <v>31489</v>
      </c>
      <c r="F1713" s="19" t="s">
        <v>35981</v>
      </c>
      <c r="G1713" s="18" t="str">
        <f>"19803"</f>
        <v>19803</v>
      </c>
      <c r="H1713" s="19" t="s">
        <v>31498</v>
      </c>
      <c r="I1713" s="20">
        <v>19.55</v>
      </c>
      <c r="J1713" s="44" t="s">
        <v>8</v>
      </c>
      <c r="K1713" s="23" t="s">
        <v>8</v>
      </c>
      <c r="L1713" s="23" t="s">
        <v>8</v>
      </c>
      <c r="M1713" s="23" t="s">
        <v>8</v>
      </c>
    </row>
    <row r="1714" spans="1:13" s="21" customFormat="1" x14ac:dyDescent="0.25">
      <c r="A1714" s="22" t="s">
        <v>8</v>
      </c>
      <c r="B1714" s="18" t="str">
        <f>"085029"</f>
        <v>085029</v>
      </c>
      <c r="C1714" s="19" t="s">
        <v>1713</v>
      </c>
      <c r="D1714" s="19" t="s">
        <v>17146</v>
      </c>
      <c r="E1714" s="19" t="s">
        <v>31495</v>
      </c>
      <c r="F1714" s="19" t="s">
        <v>35981</v>
      </c>
      <c r="G1714" s="18" t="str">
        <f>"19947"</f>
        <v>19947</v>
      </c>
      <c r="H1714" s="19" t="s">
        <v>36121</v>
      </c>
      <c r="I1714" s="20">
        <v>17.257999999999999</v>
      </c>
      <c r="J1714" s="44" t="s">
        <v>8</v>
      </c>
      <c r="K1714" s="23" t="s">
        <v>8</v>
      </c>
      <c r="L1714" s="23" t="s">
        <v>8</v>
      </c>
      <c r="M1714" s="23" t="s">
        <v>8</v>
      </c>
    </row>
    <row r="1715" spans="1:13" s="21" customFormat="1" x14ac:dyDescent="0.25">
      <c r="A1715" s="22" t="s">
        <v>8</v>
      </c>
      <c r="B1715" s="18" t="str">
        <f>"085031"</f>
        <v>085031</v>
      </c>
      <c r="C1715" s="19" t="s">
        <v>1714</v>
      </c>
      <c r="D1715" s="19" t="s">
        <v>17147</v>
      </c>
      <c r="E1715" s="19" t="s">
        <v>31489</v>
      </c>
      <c r="F1715" s="19" t="s">
        <v>35981</v>
      </c>
      <c r="G1715" s="18" t="str">
        <f>"19810"</f>
        <v>19810</v>
      </c>
      <c r="H1715" s="19" t="s">
        <v>31498</v>
      </c>
      <c r="I1715" s="20">
        <v>19.850999999999999</v>
      </c>
      <c r="J1715" s="44" t="s">
        <v>8</v>
      </c>
      <c r="K1715" s="23" t="s">
        <v>8</v>
      </c>
      <c r="L1715" s="23" t="s">
        <v>8</v>
      </c>
      <c r="M1715" s="23" t="s">
        <v>8</v>
      </c>
    </row>
    <row r="1716" spans="1:13" s="21" customFormat="1" x14ac:dyDescent="0.25">
      <c r="A1716" s="22" t="s">
        <v>8</v>
      </c>
      <c r="B1716" s="18" t="str">
        <f>"085032"</f>
        <v>085032</v>
      </c>
      <c r="C1716" s="19" t="s">
        <v>1715</v>
      </c>
      <c r="D1716" s="19" t="s">
        <v>17148</v>
      </c>
      <c r="E1716" s="19" t="s">
        <v>31492</v>
      </c>
      <c r="F1716" s="19" t="s">
        <v>35981</v>
      </c>
      <c r="G1716" s="18" t="str">
        <f>"19904"</f>
        <v>19904</v>
      </c>
      <c r="H1716" s="19" t="s">
        <v>31478</v>
      </c>
      <c r="I1716" s="20">
        <v>16.295999999999999</v>
      </c>
      <c r="J1716" s="44" t="s">
        <v>8</v>
      </c>
      <c r="K1716" s="23" t="s">
        <v>8</v>
      </c>
      <c r="L1716" s="23" t="s">
        <v>8</v>
      </c>
      <c r="M1716" s="23" t="s">
        <v>8</v>
      </c>
    </row>
    <row r="1717" spans="1:13" s="21" customFormat="1" x14ac:dyDescent="0.25">
      <c r="A1717" s="22" t="s">
        <v>8</v>
      </c>
      <c r="B1717" s="18" t="str">
        <f>"085033"</f>
        <v>085033</v>
      </c>
      <c r="C1717" s="19" t="s">
        <v>1716</v>
      </c>
      <c r="D1717" s="19" t="s">
        <v>17149</v>
      </c>
      <c r="E1717" s="19" t="s">
        <v>31489</v>
      </c>
      <c r="F1717" s="19" t="s">
        <v>35981</v>
      </c>
      <c r="G1717" s="18" t="str">
        <f>"19808"</f>
        <v>19808</v>
      </c>
      <c r="H1717" s="19" t="s">
        <v>31498</v>
      </c>
      <c r="I1717" s="20">
        <v>19.065000000000001</v>
      </c>
      <c r="J1717" s="44" t="s">
        <v>8</v>
      </c>
      <c r="K1717" s="23" t="s">
        <v>8</v>
      </c>
      <c r="L1717" s="23" t="s">
        <v>8</v>
      </c>
      <c r="M1717" s="23" t="s">
        <v>8</v>
      </c>
    </row>
    <row r="1718" spans="1:13" s="21" customFormat="1" x14ac:dyDescent="0.25">
      <c r="A1718" s="22" t="s">
        <v>8</v>
      </c>
      <c r="B1718" s="18" t="str">
        <f>"085034"</f>
        <v>085034</v>
      </c>
      <c r="C1718" s="19" t="s">
        <v>1717</v>
      </c>
      <c r="D1718" s="19" t="s">
        <v>17150</v>
      </c>
      <c r="E1718" s="19" t="s">
        <v>31496</v>
      </c>
      <c r="F1718" s="19" t="s">
        <v>35981</v>
      </c>
      <c r="G1718" s="18" t="str">
        <f>"19958"</f>
        <v>19958</v>
      </c>
      <c r="H1718" s="19" t="s">
        <v>36121</v>
      </c>
      <c r="I1718" s="20">
        <v>19.526</v>
      </c>
      <c r="J1718" s="44" t="s">
        <v>8</v>
      </c>
      <c r="K1718" s="23" t="s">
        <v>8</v>
      </c>
      <c r="L1718" s="23" t="s">
        <v>8</v>
      </c>
      <c r="M1718" s="23" t="s">
        <v>8</v>
      </c>
    </row>
    <row r="1719" spans="1:13" s="21" customFormat="1" x14ac:dyDescent="0.25">
      <c r="A1719" s="22" t="s">
        <v>8</v>
      </c>
      <c r="B1719" s="18" t="str">
        <f>"085035"</f>
        <v>085035</v>
      </c>
      <c r="C1719" s="19" t="s">
        <v>1718</v>
      </c>
      <c r="D1719" s="19" t="s">
        <v>17151</v>
      </c>
      <c r="E1719" s="19" t="s">
        <v>31493</v>
      </c>
      <c r="F1719" s="19" t="s">
        <v>35981</v>
      </c>
      <c r="G1719" s="18" t="str">
        <f>"19977"</f>
        <v>19977</v>
      </c>
      <c r="H1719" s="19" t="s">
        <v>31478</v>
      </c>
      <c r="I1719" s="20">
        <v>19.155000000000001</v>
      </c>
      <c r="J1719" s="44" t="s">
        <v>8</v>
      </c>
      <c r="K1719" s="23" t="s">
        <v>8</v>
      </c>
      <c r="L1719" s="23" t="s">
        <v>8</v>
      </c>
      <c r="M1719" s="23" t="s">
        <v>8</v>
      </c>
    </row>
    <row r="1720" spans="1:13" s="21" customFormat="1" x14ac:dyDescent="0.25">
      <c r="A1720" s="22" t="s">
        <v>8</v>
      </c>
      <c r="B1720" s="18" t="str">
        <f>"085036"</f>
        <v>085036</v>
      </c>
      <c r="C1720" s="19" t="s">
        <v>1719</v>
      </c>
      <c r="D1720" s="19" t="s">
        <v>17152</v>
      </c>
      <c r="E1720" s="19" t="s">
        <v>31489</v>
      </c>
      <c r="F1720" s="19" t="s">
        <v>35981</v>
      </c>
      <c r="G1720" s="18" t="str">
        <f>"19810"</f>
        <v>19810</v>
      </c>
      <c r="H1720" s="19" t="s">
        <v>31498</v>
      </c>
      <c r="I1720" s="20">
        <v>15.81</v>
      </c>
      <c r="J1720" s="44" t="s">
        <v>8</v>
      </c>
      <c r="K1720" s="23" t="s">
        <v>8</v>
      </c>
      <c r="L1720" s="23" t="s">
        <v>8</v>
      </c>
      <c r="M1720" s="23" t="s">
        <v>8</v>
      </c>
    </row>
    <row r="1721" spans="1:13" s="21" customFormat="1" x14ac:dyDescent="0.25">
      <c r="A1721" s="22" t="s">
        <v>8</v>
      </c>
      <c r="B1721" s="18" t="str">
        <f>"085037"</f>
        <v>085037</v>
      </c>
      <c r="C1721" s="19" t="s">
        <v>1720</v>
      </c>
      <c r="D1721" s="19" t="s">
        <v>17153</v>
      </c>
      <c r="E1721" s="19" t="s">
        <v>31497</v>
      </c>
      <c r="F1721" s="19" t="s">
        <v>35981</v>
      </c>
      <c r="G1721" s="18" t="str">
        <f>"19966"</f>
        <v>19966</v>
      </c>
      <c r="H1721" s="19" t="s">
        <v>36121</v>
      </c>
      <c r="I1721" s="20">
        <v>20.706</v>
      </c>
      <c r="J1721" s="44" t="s">
        <v>8</v>
      </c>
      <c r="K1721" s="23" t="s">
        <v>8</v>
      </c>
      <c r="L1721" s="23" t="s">
        <v>8</v>
      </c>
      <c r="M1721" s="23" t="s">
        <v>8</v>
      </c>
    </row>
    <row r="1722" spans="1:13" s="21" customFormat="1" x14ac:dyDescent="0.25">
      <c r="A1722" s="22" t="s">
        <v>8</v>
      </c>
      <c r="B1722" s="18" t="str">
        <f>"085039"</f>
        <v>085039</v>
      </c>
      <c r="C1722" s="19" t="s">
        <v>1721</v>
      </c>
      <c r="D1722" s="19" t="s">
        <v>17154</v>
      </c>
      <c r="E1722" s="19" t="s">
        <v>31498</v>
      </c>
      <c r="F1722" s="19" t="s">
        <v>35981</v>
      </c>
      <c r="G1722" s="18" t="str">
        <f>"19720"</f>
        <v>19720</v>
      </c>
      <c r="H1722" s="19" t="s">
        <v>31498</v>
      </c>
      <c r="I1722" s="20">
        <v>18.247</v>
      </c>
      <c r="J1722" s="44" t="s">
        <v>8</v>
      </c>
      <c r="K1722" s="23" t="s">
        <v>8</v>
      </c>
      <c r="L1722" s="23" t="s">
        <v>8</v>
      </c>
      <c r="M1722" s="23" t="s">
        <v>8</v>
      </c>
    </row>
    <row r="1723" spans="1:13" s="21" customFormat="1" x14ac:dyDescent="0.25">
      <c r="A1723" s="22" t="s">
        <v>8</v>
      </c>
      <c r="B1723" s="18" t="str">
        <f>"085040"</f>
        <v>085040</v>
      </c>
      <c r="C1723" s="19" t="s">
        <v>1722</v>
      </c>
      <c r="D1723" s="19" t="s">
        <v>17155</v>
      </c>
      <c r="E1723" s="19" t="s">
        <v>31491</v>
      </c>
      <c r="F1723" s="19" t="s">
        <v>35981</v>
      </c>
      <c r="G1723" s="18" t="str">
        <f>"19973"</f>
        <v>19973</v>
      </c>
      <c r="H1723" s="19" t="s">
        <v>36121</v>
      </c>
      <c r="I1723" s="20">
        <v>16.855</v>
      </c>
      <c r="J1723" s="44" t="s">
        <v>8</v>
      </c>
      <c r="K1723" s="23" t="s">
        <v>8</v>
      </c>
      <c r="L1723" s="23" t="s">
        <v>8</v>
      </c>
      <c r="M1723" s="23" t="s">
        <v>8</v>
      </c>
    </row>
    <row r="1724" spans="1:13" s="21" customFormat="1" x14ac:dyDescent="0.25">
      <c r="A1724" s="22" t="s">
        <v>8</v>
      </c>
      <c r="B1724" s="18" t="str">
        <f>"085041"</f>
        <v>085041</v>
      </c>
      <c r="C1724" s="19" t="s">
        <v>1723</v>
      </c>
      <c r="D1724" s="19" t="s">
        <v>17156</v>
      </c>
      <c r="E1724" s="19" t="s">
        <v>31499</v>
      </c>
      <c r="F1724" s="19" t="s">
        <v>35981</v>
      </c>
      <c r="G1724" s="18" t="str">
        <f>"19940"</f>
        <v>19940</v>
      </c>
      <c r="H1724" s="19" t="s">
        <v>36121</v>
      </c>
      <c r="I1724" s="20">
        <v>19.169</v>
      </c>
      <c r="J1724" s="44" t="s">
        <v>8</v>
      </c>
      <c r="K1724" s="23" t="s">
        <v>8</v>
      </c>
      <c r="L1724" s="23" t="s">
        <v>8</v>
      </c>
      <c r="M1724" s="23" t="s">
        <v>8</v>
      </c>
    </row>
    <row r="1725" spans="1:13" s="21" customFormat="1" x14ac:dyDescent="0.25">
      <c r="A1725" s="22" t="s">
        <v>8</v>
      </c>
      <c r="B1725" s="18" t="str">
        <f>"085042"</f>
        <v>085042</v>
      </c>
      <c r="C1725" s="19" t="s">
        <v>1724</v>
      </c>
      <c r="D1725" s="19" t="s">
        <v>17157</v>
      </c>
      <c r="E1725" s="19" t="s">
        <v>31490</v>
      </c>
      <c r="F1725" s="19" t="s">
        <v>35981</v>
      </c>
      <c r="G1725" s="18" t="str">
        <f>"19707"</f>
        <v>19707</v>
      </c>
      <c r="H1725" s="19" t="s">
        <v>31498</v>
      </c>
      <c r="I1725" s="20">
        <v>17.47</v>
      </c>
      <c r="J1725" s="44" t="s">
        <v>8</v>
      </c>
      <c r="K1725" s="23" t="s">
        <v>8</v>
      </c>
      <c r="L1725" s="23" t="s">
        <v>8</v>
      </c>
      <c r="M1725" s="23" t="s">
        <v>8</v>
      </c>
    </row>
    <row r="1726" spans="1:13" s="21" customFormat="1" x14ac:dyDescent="0.25">
      <c r="A1726" s="22" t="s">
        <v>8</v>
      </c>
      <c r="B1726" s="18" t="str">
        <f>"085043"</f>
        <v>085043</v>
      </c>
      <c r="C1726" s="19" t="s">
        <v>1725</v>
      </c>
      <c r="D1726" s="19" t="s">
        <v>17158</v>
      </c>
      <c r="E1726" s="19" t="s">
        <v>31489</v>
      </c>
      <c r="F1726" s="19" t="s">
        <v>35981</v>
      </c>
      <c r="G1726" s="18" t="str">
        <f>"19809"</f>
        <v>19809</v>
      </c>
      <c r="H1726" s="19" t="s">
        <v>31498</v>
      </c>
      <c r="I1726" s="20">
        <v>19.568999999999999</v>
      </c>
      <c r="J1726" s="44" t="s">
        <v>8</v>
      </c>
      <c r="K1726" s="23" t="s">
        <v>8</v>
      </c>
      <c r="L1726" s="23" t="s">
        <v>8</v>
      </c>
      <c r="M1726" s="23" t="s">
        <v>8</v>
      </c>
    </row>
    <row r="1727" spans="1:13" s="21" customFormat="1" x14ac:dyDescent="0.25">
      <c r="A1727" s="22" t="s">
        <v>8</v>
      </c>
      <c r="B1727" s="18" t="str">
        <f>"085047"</f>
        <v>085047</v>
      </c>
      <c r="C1727" s="19" t="s">
        <v>1726</v>
      </c>
      <c r="D1727" s="19" t="s">
        <v>17159</v>
      </c>
      <c r="E1727" s="19" t="s">
        <v>31489</v>
      </c>
      <c r="F1727" s="19" t="s">
        <v>35981</v>
      </c>
      <c r="G1727" s="18" t="str">
        <f>"19806"</f>
        <v>19806</v>
      </c>
      <c r="H1727" s="19" t="s">
        <v>31498</v>
      </c>
      <c r="I1727" s="20">
        <v>20.384</v>
      </c>
      <c r="J1727" s="44" t="s">
        <v>8</v>
      </c>
      <c r="K1727" s="23" t="s">
        <v>8</v>
      </c>
      <c r="L1727" s="23" t="s">
        <v>8</v>
      </c>
      <c r="M1727" s="23" t="s">
        <v>8</v>
      </c>
    </row>
    <row r="1728" spans="1:13" s="21" customFormat="1" x14ac:dyDescent="0.25">
      <c r="A1728" s="22" t="s">
        <v>8</v>
      </c>
      <c r="B1728" s="18" t="str">
        <f>"085048"</f>
        <v>085048</v>
      </c>
      <c r="C1728" s="19" t="s">
        <v>1727</v>
      </c>
      <c r="D1728" s="19" t="s">
        <v>17160</v>
      </c>
      <c r="E1728" s="19" t="s">
        <v>31492</v>
      </c>
      <c r="F1728" s="19" t="s">
        <v>35981</v>
      </c>
      <c r="G1728" s="18" t="str">
        <f>"19904"</f>
        <v>19904</v>
      </c>
      <c r="H1728" s="19" t="s">
        <v>31478</v>
      </c>
      <c r="I1728" s="20">
        <v>20.372</v>
      </c>
      <c r="J1728" s="44" t="s">
        <v>8</v>
      </c>
      <c r="K1728" s="23" t="s">
        <v>8</v>
      </c>
      <c r="L1728" s="23" t="s">
        <v>8</v>
      </c>
      <c r="M1728" s="23" t="s">
        <v>8</v>
      </c>
    </row>
    <row r="1729" spans="1:13" s="21" customFormat="1" x14ac:dyDescent="0.25">
      <c r="A1729" s="22" t="s">
        <v>8</v>
      </c>
      <c r="B1729" s="18" t="str">
        <f>"085050"</f>
        <v>085050</v>
      </c>
      <c r="C1729" s="19" t="s">
        <v>1728</v>
      </c>
      <c r="D1729" s="19" t="s">
        <v>17161</v>
      </c>
      <c r="E1729" s="19" t="s">
        <v>31412</v>
      </c>
      <c r="F1729" s="19" t="s">
        <v>35981</v>
      </c>
      <c r="G1729" s="18" t="str">
        <f>"19709"</f>
        <v>19709</v>
      </c>
      <c r="H1729" s="19" t="s">
        <v>31498</v>
      </c>
      <c r="I1729" s="20">
        <v>18.692</v>
      </c>
      <c r="J1729" s="44" t="s">
        <v>8</v>
      </c>
      <c r="K1729" s="23" t="s">
        <v>8</v>
      </c>
      <c r="L1729" s="23" t="s">
        <v>8</v>
      </c>
      <c r="M1729" s="23" t="s">
        <v>8</v>
      </c>
    </row>
    <row r="1730" spans="1:13" s="21" customFormat="1" x14ac:dyDescent="0.25">
      <c r="A1730" s="22" t="s">
        <v>8</v>
      </c>
      <c r="B1730" s="18" t="str">
        <f>"085051"</f>
        <v>085051</v>
      </c>
      <c r="C1730" s="19" t="s">
        <v>1729</v>
      </c>
      <c r="D1730" s="19" t="s">
        <v>17162</v>
      </c>
      <c r="E1730" s="19" t="s">
        <v>31405</v>
      </c>
      <c r="F1730" s="19" t="s">
        <v>35981</v>
      </c>
      <c r="G1730" s="18" t="str">
        <f>"19963"</f>
        <v>19963</v>
      </c>
      <c r="H1730" s="19" t="s">
        <v>36121</v>
      </c>
      <c r="I1730" s="20">
        <v>16.73</v>
      </c>
      <c r="J1730" s="44" t="s">
        <v>8</v>
      </c>
      <c r="K1730" s="23" t="s">
        <v>8</v>
      </c>
      <c r="L1730" s="23" t="s">
        <v>8</v>
      </c>
      <c r="M1730" s="23" t="s">
        <v>8</v>
      </c>
    </row>
    <row r="1731" spans="1:13" s="21" customFormat="1" x14ac:dyDescent="0.25">
      <c r="A1731" s="22" t="s">
        <v>8</v>
      </c>
      <c r="B1731" s="18" t="str">
        <f>"085052"</f>
        <v>085052</v>
      </c>
      <c r="C1731" s="19" t="s">
        <v>1730</v>
      </c>
      <c r="D1731" s="19" t="s">
        <v>17163</v>
      </c>
      <c r="E1731" s="19" t="s">
        <v>31497</v>
      </c>
      <c r="F1731" s="19" t="s">
        <v>35981</v>
      </c>
      <c r="G1731" s="18" t="str">
        <f>"19966"</f>
        <v>19966</v>
      </c>
      <c r="H1731" s="19" t="s">
        <v>36121</v>
      </c>
      <c r="I1731" s="20">
        <v>18.574999999999999</v>
      </c>
      <c r="J1731" s="44" t="s">
        <v>8</v>
      </c>
      <c r="K1731" s="23" t="s">
        <v>8</v>
      </c>
      <c r="L1731" s="23" t="s">
        <v>8</v>
      </c>
      <c r="M1731" s="23" t="s">
        <v>8</v>
      </c>
    </row>
    <row r="1732" spans="1:13" s="21" customFormat="1" x14ac:dyDescent="0.25">
      <c r="A1732" s="22" t="s">
        <v>8</v>
      </c>
      <c r="B1732" s="18" t="str">
        <f>"085053"</f>
        <v>085053</v>
      </c>
      <c r="C1732" s="19" t="s">
        <v>1731</v>
      </c>
      <c r="D1732" s="19" t="s">
        <v>17164</v>
      </c>
      <c r="E1732" s="19" t="s">
        <v>31496</v>
      </c>
      <c r="F1732" s="19" t="s">
        <v>35981</v>
      </c>
      <c r="G1732" s="18" t="str">
        <f>"19958"</f>
        <v>19958</v>
      </c>
      <c r="H1732" s="19" t="s">
        <v>36121</v>
      </c>
      <c r="I1732" s="20">
        <v>16.021999999999998</v>
      </c>
      <c r="J1732" s="44" t="s">
        <v>8</v>
      </c>
      <c r="K1732" s="23" t="s">
        <v>8</v>
      </c>
      <c r="L1732" s="23" t="s">
        <v>8</v>
      </c>
      <c r="M1732" s="23" t="s">
        <v>8</v>
      </c>
    </row>
    <row r="1733" spans="1:13" s="21" customFormat="1" x14ac:dyDescent="0.25">
      <c r="A1733" s="22" t="s">
        <v>8</v>
      </c>
      <c r="B1733" s="18" t="str">
        <f>"085054"</f>
        <v>085054</v>
      </c>
      <c r="C1733" s="19" t="s">
        <v>1732</v>
      </c>
      <c r="D1733" s="19" t="s">
        <v>17165</v>
      </c>
      <c r="E1733" s="19" t="s">
        <v>31489</v>
      </c>
      <c r="F1733" s="19" t="s">
        <v>35981</v>
      </c>
      <c r="G1733" s="18" t="str">
        <f>"19808"</f>
        <v>19808</v>
      </c>
      <c r="H1733" s="19" t="s">
        <v>31498</v>
      </c>
      <c r="I1733" s="20">
        <v>18.131</v>
      </c>
      <c r="J1733" s="44" t="s">
        <v>8</v>
      </c>
      <c r="K1733" s="23" t="s">
        <v>8</v>
      </c>
      <c r="L1733" s="23" t="s">
        <v>8</v>
      </c>
      <c r="M1733" s="23" t="s">
        <v>8</v>
      </c>
    </row>
    <row r="1734" spans="1:13" s="21" customFormat="1" x14ac:dyDescent="0.25">
      <c r="A1734" s="22" t="s">
        <v>8</v>
      </c>
      <c r="B1734" s="18" t="str">
        <f>"085055"</f>
        <v>085055</v>
      </c>
      <c r="C1734" s="19" t="s">
        <v>1733</v>
      </c>
      <c r="D1734" s="19" t="s">
        <v>17166</v>
      </c>
      <c r="E1734" s="19" t="s">
        <v>31489</v>
      </c>
      <c r="F1734" s="19" t="s">
        <v>35981</v>
      </c>
      <c r="G1734" s="18" t="str">
        <f>"19807"</f>
        <v>19807</v>
      </c>
      <c r="H1734" s="19" t="s">
        <v>31498</v>
      </c>
      <c r="I1734" s="20">
        <v>19.645</v>
      </c>
      <c r="J1734" s="44" t="s">
        <v>8</v>
      </c>
      <c r="K1734" s="23" t="s">
        <v>8</v>
      </c>
      <c r="L1734" s="23" t="s">
        <v>8</v>
      </c>
      <c r="M1734" s="23" t="s">
        <v>8</v>
      </c>
    </row>
    <row r="1735" spans="1:13" s="21" customFormat="1" x14ac:dyDescent="0.25">
      <c r="A1735" s="22" t="s">
        <v>8</v>
      </c>
      <c r="B1735" s="18" t="str">
        <f>"085056"</f>
        <v>085056</v>
      </c>
      <c r="C1735" s="19" t="s">
        <v>1734</v>
      </c>
      <c r="D1735" s="19" t="s">
        <v>17167</v>
      </c>
      <c r="E1735" s="19" t="s">
        <v>31489</v>
      </c>
      <c r="F1735" s="19" t="s">
        <v>35981</v>
      </c>
      <c r="G1735" s="18" t="str">
        <f>"19810"</f>
        <v>19810</v>
      </c>
      <c r="H1735" s="19" t="s">
        <v>31498</v>
      </c>
      <c r="I1735" s="20">
        <v>20.030999999999999</v>
      </c>
      <c r="J1735" s="44" t="s">
        <v>8</v>
      </c>
      <c r="K1735" s="23" t="s">
        <v>8</v>
      </c>
      <c r="L1735" s="23" t="s">
        <v>8</v>
      </c>
      <c r="M1735" s="23" t="s">
        <v>8</v>
      </c>
    </row>
    <row r="1736" spans="1:13" s="21" customFormat="1" x14ac:dyDescent="0.25">
      <c r="A1736" s="22" t="s">
        <v>8</v>
      </c>
      <c r="B1736" s="18" t="str">
        <f>"095005"</f>
        <v>095005</v>
      </c>
      <c r="C1736" s="19" t="s">
        <v>1735</v>
      </c>
      <c r="D1736" s="19" t="s">
        <v>17168</v>
      </c>
      <c r="E1736" s="19" t="s">
        <v>31500</v>
      </c>
      <c r="F1736" s="19" t="s">
        <v>35982</v>
      </c>
      <c r="G1736" s="18" t="str">
        <f>"20016"</f>
        <v>20016</v>
      </c>
      <c r="H1736" s="19" t="s">
        <v>36122</v>
      </c>
      <c r="I1736" s="20">
        <v>16.631</v>
      </c>
      <c r="J1736" s="44" t="s">
        <v>8</v>
      </c>
      <c r="K1736" s="23" t="s">
        <v>8</v>
      </c>
      <c r="L1736" s="23" t="s">
        <v>8</v>
      </c>
      <c r="M1736" s="23" t="s">
        <v>8</v>
      </c>
    </row>
    <row r="1737" spans="1:13" s="21" customFormat="1" x14ac:dyDescent="0.25">
      <c r="A1737" s="22" t="s">
        <v>8</v>
      </c>
      <c r="B1737" s="18" t="str">
        <f>"095014"</f>
        <v>095014</v>
      </c>
      <c r="C1737" s="19" t="s">
        <v>1736</v>
      </c>
      <c r="D1737" s="19" t="s">
        <v>17169</v>
      </c>
      <c r="E1737" s="19" t="s">
        <v>31500</v>
      </c>
      <c r="F1737" s="19" t="s">
        <v>35982</v>
      </c>
      <c r="G1737" s="18" t="str">
        <f>"20018"</f>
        <v>20018</v>
      </c>
      <c r="H1737" s="19" t="s">
        <v>36122</v>
      </c>
      <c r="I1737" s="20">
        <v>15.016</v>
      </c>
      <c r="J1737" s="44" t="s">
        <v>8</v>
      </c>
      <c r="K1737" s="23" t="s">
        <v>8</v>
      </c>
      <c r="L1737" s="23" t="s">
        <v>8</v>
      </c>
      <c r="M1737" s="23" t="s">
        <v>8</v>
      </c>
    </row>
    <row r="1738" spans="1:13" s="21" customFormat="1" x14ac:dyDescent="0.25">
      <c r="A1738" s="22" t="s">
        <v>8</v>
      </c>
      <c r="B1738" s="18" t="str">
        <f>"095015"</f>
        <v>095015</v>
      </c>
      <c r="C1738" s="19" t="s">
        <v>1737</v>
      </c>
      <c r="D1738" s="19" t="s">
        <v>17170</v>
      </c>
      <c r="E1738" s="19" t="s">
        <v>31500</v>
      </c>
      <c r="F1738" s="19" t="s">
        <v>35982</v>
      </c>
      <c r="G1738" s="18" t="str">
        <f>"20032"</f>
        <v>20032</v>
      </c>
      <c r="H1738" s="19" t="s">
        <v>36122</v>
      </c>
      <c r="I1738" s="20">
        <v>18.492999999999999</v>
      </c>
      <c r="J1738" s="44" t="s">
        <v>8</v>
      </c>
      <c r="K1738" s="23" t="s">
        <v>8</v>
      </c>
      <c r="L1738" s="23" t="s">
        <v>8</v>
      </c>
      <c r="M1738" s="23" t="s">
        <v>8</v>
      </c>
    </row>
    <row r="1739" spans="1:13" s="21" customFormat="1" x14ac:dyDescent="0.25">
      <c r="A1739" s="22" t="s">
        <v>8</v>
      </c>
      <c r="B1739" s="18" t="str">
        <f>"095019"</f>
        <v>095019</v>
      </c>
      <c r="C1739" s="19" t="s">
        <v>1738</v>
      </c>
      <c r="D1739" s="19" t="s">
        <v>17171</v>
      </c>
      <c r="E1739" s="19" t="s">
        <v>31500</v>
      </c>
      <c r="F1739" s="19" t="s">
        <v>35982</v>
      </c>
      <c r="G1739" s="18" t="str">
        <f>"20019"</f>
        <v>20019</v>
      </c>
      <c r="H1739" s="19" t="s">
        <v>36122</v>
      </c>
      <c r="I1739" s="20">
        <v>18.792000000000002</v>
      </c>
      <c r="J1739" s="44" t="s">
        <v>8</v>
      </c>
      <c r="K1739" s="23" t="s">
        <v>8</v>
      </c>
      <c r="L1739" s="23" t="s">
        <v>8</v>
      </c>
      <c r="M1739" s="23" t="s">
        <v>8</v>
      </c>
    </row>
    <row r="1740" spans="1:13" s="21" customFormat="1" x14ac:dyDescent="0.25">
      <c r="A1740" s="22" t="s">
        <v>8</v>
      </c>
      <c r="B1740" s="18" t="str">
        <f>"095020"</f>
        <v>095020</v>
      </c>
      <c r="C1740" s="19" t="s">
        <v>1739</v>
      </c>
      <c r="D1740" s="19" t="s">
        <v>17172</v>
      </c>
      <c r="E1740" s="19" t="s">
        <v>31500</v>
      </c>
      <c r="F1740" s="19" t="s">
        <v>35982</v>
      </c>
      <c r="G1740" s="18" t="str">
        <f>"20010"</f>
        <v>20010</v>
      </c>
      <c r="H1740" s="19" t="s">
        <v>36122</v>
      </c>
      <c r="I1740" s="20">
        <v>18.094000000000001</v>
      </c>
      <c r="J1740" s="44" t="s">
        <v>8</v>
      </c>
      <c r="K1740" s="23" t="s">
        <v>8</v>
      </c>
      <c r="L1740" s="23" t="s">
        <v>8</v>
      </c>
      <c r="M1740" s="23" t="s">
        <v>8</v>
      </c>
    </row>
    <row r="1741" spans="1:13" s="21" customFormat="1" x14ac:dyDescent="0.25">
      <c r="A1741" s="22" t="s">
        <v>8</v>
      </c>
      <c r="B1741" s="18" t="str">
        <f>"095021"</f>
        <v>095021</v>
      </c>
      <c r="C1741" s="19" t="s">
        <v>1740</v>
      </c>
      <c r="D1741" s="19" t="s">
        <v>17173</v>
      </c>
      <c r="E1741" s="19" t="s">
        <v>31500</v>
      </c>
      <c r="F1741" s="19" t="s">
        <v>35982</v>
      </c>
      <c r="G1741" s="18" t="str">
        <f>"20005"</f>
        <v>20005</v>
      </c>
      <c r="H1741" s="19" t="s">
        <v>36122</v>
      </c>
      <c r="I1741" s="20">
        <v>16.774000000000001</v>
      </c>
      <c r="J1741" s="44" t="s">
        <v>8</v>
      </c>
      <c r="K1741" s="23" t="s">
        <v>8</v>
      </c>
      <c r="L1741" s="23" t="s">
        <v>8</v>
      </c>
      <c r="M1741" s="23" t="s">
        <v>8</v>
      </c>
    </row>
    <row r="1742" spans="1:13" s="21" customFormat="1" x14ac:dyDescent="0.25">
      <c r="A1742" s="22" t="s">
        <v>8</v>
      </c>
      <c r="B1742" s="18" t="str">
        <f>"095022"</f>
        <v>095022</v>
      </c>
      <c r="C1742" s="19" t="s">
        <v>1741</v>
      </c>
      <c r="D1742" s="19" t="s">
        <v>17174</v>
      </c>
      <c r="E1742" s="19" t="s">
        <v>31500</v>
      </c>
      <c r="F1742" s="19" t="s">
        <v>35982</v>
      </c>
      <c r="G1742" s="18" t="str">
        <f>"20020"</f>
        <v>20020</v>
      </c>
      <c r="H1742" s="19" t="s">
        <v>36122</v>
      </c>
      <c r="I1742" s="20">
        <v>18.481999999999999</v>
      </c>
      <c r="J1742" s="44" t="s">
        <v>8</v>
      </c>
      <c r="K1742" s="23" t="s">
        <v>8</v>
      </c>
      <c r="L1742" s="23" t="s">
        <v>8</v>
      </c>
      <c r="M1742" s="23" t="s">
        <v>8</v>
      </c>
    </row>
    <row r="1743" spans="1:13" s="21" customFormat="1" x14ac:dyDescent="0.25">
      <c r="A1743" s="22" t="s">
        <v>8</v>
      </c>
      <c r="B1743" s="18" t="str">
        <f>"095024"</f>
        <v>095024</v>
      </c>
      <c r="C1743" s="19" t="s">
        <v>1742</v>
      </c>
      <c r="D1743" s="19" t="s">
        <v>17175</v>
      </c>
      <c r="E1743" s="19" t="s">
        <v>31500</v>
      </c>
      <c r="F1743" s="19" t="s">
        <v>35982</v>
      </c>
      <c r="G1743" s="18" t="str">
        <f>"20032"</f>
        <v>20032</v>
      </c>
      <c r="H1743" s="19" t="s">
        <v>36122</v>
      </c>
      <c r="I1743" s="20">
        <v>18.071999999999999</v>
      </c>
      <c r="J1743" s="44" t="s">
        <v>8</v>
      </c>
      <c r="K1743" s="23" t="s">
        <v>8</v>
      </c>
      <c r="L1743" s="23" t="s">
        <v>8</v>
      </c>
      <c r="M1743" s="23" t="s">
        <v>8</v>
      </c>
    </row>
    <row r="1744" spans="1:13" s="21" customFormat="1" x14ac:dyDescent="0.25">
      <c r="A1744" s="22" t="s">
        <v>8</v>
      </c>
      <c r="B1744" s="18" t="str">
        <f>"095025"</f>
        <v>095025</v>
      </c>
      <c r="C1744" s="19" t="s">
        <v>1743</v>
      </c>
      <c r="D1744" s="19" t="s">
        <v>17176</v>
      </c>
      <c r="E1744" s="19" t="s">
        <v>31500</v>
      </c>
      <c r="F1744" s="19" t="s">
        <v>35982</v>
      </c>
      <c r="G1744" s="18" t="str">
        <f>"20015"</f>
        <v>20015</v>
      </c>
      <c r="H1744" s="19" t="s">
        <v>36122</v>
      </c>
      <c r="I1744" s="20">
        <v>18.047999999999998</v>
      </c>
      <c r="J1744" s="44" t="s">
        <v>8</v>
      </c>
      <c r="K1744" s="23" t="s">
        <v>8</v>
      </c>
      <c r="L1744" s="23" t="s">
        <v>8</v>
      </c>
      <c r="M1744" s="23" t="s">
        <v>8</v>
      </c>
    </row>
    <row r="1745" spans="1:13" s="21" customFormat="1" x14ac:dyDescent="0.25">
      <c r="A1745" s="22" t="s">
        <v>8</v>
      </c>
      <c r="B1745" s="18" t="str">
        <f>"095026"</f>
        <v>095026</v>
      </c>
      <c r="C1745" s="19" t="s">
        <v>1744</v>
      </c>
      <c r="D1745" s="19" t="s">
        <v>17177</v>
      </c>
      <c r="E1745" s="19" t="s">
        <v>31500</v>
      </c>
      <c r="F1745" s="19" t="s">
        <v>35982</v>
      </c>
      <c r="G1745" s="18" t="str">
        <f>"20015"</f>
        <v>20015</v>
      </c>
      <c r="H1745" s="19" t="s">
        <v>36122</v>
      </c>
      <c r="I1745" s="20">
        <v>18.411999999999999</v>
      </c>
      <c r="J1745" s="44" t="s">
        <v>8</v>
      </c>
      <c r="K1745" s="23" t="s">
        <v>8</v>
      </c>
      <c r="L1745" s="23" t="s">
        <v>8</v>
      </c>
      <c r="M1745" s="23" t="s">
        <v>8</v>
      </c>
    </row>
    <row r="1746" spans="1:13" s="21" customFormat="1" x14ac:dyDescent="0.25">
      <c r="A1746" s="22" t="s">
        <v>8</v>
      </c>
      <c r="B1746" s="18" t="str">
        <f>"095027"</f>
        <v>095027</v>
      </c>
      <c r="C1746" s="19" t="s">
        <v>1745</v>
      </c>
      <c r="D1746" s="19" t="s">
        <v>17178</v>
      </c>
      <c r="E1746" s="19" t="s">
        <v>31500</v>
      </c>
      <c r="F1746" s="19" t="s">
        <v>35982</v>
      </c>
      <c r="G1746" s="18" t="str">
        <f>"20002"</f>
        <v>20002</v>
      </c>
      <c r="H1746" s="19" t="s">
        <v>36122</v>
      </c>
      <c r="I1746" s="20">
        <v>19.658999999999999</v>
      </c>
      <c r="J1746" s="44" t="s">
        <v>8</v>
      </c>
      <c r="K1746" s="23" t="s">
        <v>8</v>
      </c>
      <c r="L1746" s="23" t="s">
        <v>8</v>
      </c>
      <c r="M1746" s="23" t="s">
        <v>8</v>
      </c>
    </row>
    <row r="1747" spans="1:13" s="21" customFormat="1" x14ac:dyDescent="0.25">
      <c r="A1747" s="22" t="s">
        <v>8</v>
      </c>
      <c r="B1747" s="18" t="str">
        <f>"095028"</f>
        <v>095028</v>
      </c>
      <c r="C1747" s="19" t="s">
        <v>1746</v>
      </c>
      <c r="D1747" s="19" t="s">
        <v>17179</v>
      </c>
      <c r="E1747" s="19" t="s">
        <v>31500</v>
      </c>
      <c r="F1747" s="19" t="s">
        <v>35982</v>
      </c>
      <c r="G1747" s="18" t="str">
        <f>"20015"</f>
        <v>20015</v>
      </c>
      <c r="H1747" s="19" t="s">
        <v>36122</v>
      </c>
      <c r="I1747" s="20">
        <v>19.725000000000001</v>
      </c>
      <c r="J1747" s="44" t="s">
        <v>8</v>
      </c>
      <c r="K1747" s="23" t="s">
        <v>8</v>
      </c>
      <c r="L1747" s="23" t="s">
        <v>8</v>
      </c>
      <c r="M1747" s="23" t="s">
        <v>8</v>
      </c>
    </row>
    <row r="1748" spans="1:13" s="21" customFormat="1" x14ac:dyDescent="0.25">
      <c r="A1748" s="22" t="s">
        <v>8</v>
      </c>
      <c r="B1748" s="18" t="str">
        <f>"095030"</f>
        <v>095030</v>
      </c>
      <c r="C1748" s="19" t="s">
        <v>1747</v>
      </c>
      <c r="D1748" s="19" t="s">
        <v>17180</v>
      </c>
      <c r="E1748" s="19" t="s">
        <v>31500</v>
      </c>
      <c r="F1748" s="19" t="s">
        <v>35982</v>
      </c>
      <c r="G1748" s="18" t="str">
        <f>"20016"</f>
        <v>20016</v>
      </c>
      <c r="H1748" s="19" t="s">
        <v>36122</v>
      </c>
      <c r="I1748" s="20">
        <v>17.585000000000001</v>
      </c>
      <c r="J1748" s="44" t="s">
        <v>8</v>
      </c>
      <c r="K1748" s="23" t="s">
        <v>8</v>
      </c>
      <c r="L1748" s="23" t="s">
        <v>8</v>
      </c>
      <c r="M1748" s="23" t="s">
        <v>8</v>
      </c>
    </row>
    <row r="1749" spans="1:13" s="21" customFormat="1" x14ac:dyDescent="0.25">
      <c r="A1749" s="22" t="s">
        <v>8</v>
      </c>
      <c r="B1749" s="18" t="str">
        <f>"095031"</f>
        <v>095031</v>
      </c>
      <c r="C1749" s="19" t="s">
        <v>1748</v>
      </c>
      <c r="D1749" s="19" t="s">
        <v>17181</v>
      </c>
      <c r="E1749" s="19" t="s">
        <v>31500</v>
      </c>
      <c r="F1749" s="19" t="s">
        <v>35982</v>
      </c>
      <c r="G1749" s="18" t="str">
        <f>"20037"</f>
        <v>20037</v>
      </c>
      <c r="H1749" s="19" t="s">
        <v>36122</v>
      </c>
      <c r="I1749" s="20">
        <v>19.151</v>
      </c>
      <c r="J1749" s="44" t="s">
        <v>8</v>
      </c>
      <c r="K1749" s="23" t="s">
        <v>8</v>
      </c>
      <c r="L1749" s="23" t="s">
        <v>8</v>
      </c>
      <c r="M1749" s="23" t="s">
        <v>8</v>
      </c>
    </row>
    <row r="1750" spans="1:13" s="21" customFormat="1" x14ac:dyDescent="0.25">
      <c r="A1750" s="22" t="s">
        <v>8</v>
      </c>
      <c r="B1750" s="18" t="str">
        <f>"095034"</f>
        <v>095034</v>
      </c>
      <c r="C1750" s="19" t="s">
        <v>1749</v>
      </c>
      <c r="D1750" s="19" t="s">
        <v>17182</v>
      </c>
      <c r="E1750" s="19" t="s">
        <v>31500</v>
      </c>
      <c r="F1750" s="19" t="s">
        <v>35982</v>
      </c>
      <c r="G1750" s="18" t="str">
        <f>"20017"</f>
        <v>20017</v>
      </c>
      <c r="H1750" s="19" t="s">
        <v>36122</v>
      </c>
      <c r="I1750" s="20">
        <v>21.26</v>
      </c>
      <c r="J1750" s="44" t="s">
        <v>8</v>
      </c>
      <c r="K1750" s="23" t="s">
        <v>8</v>
      </c>
      <c r="L1750" s="23" t="s">
        <v>8</v>
      </c>
      <c r="M1750" s="23" t="s">
        <v>8</v>
      </c>
    </row>
    <row r="1751" spans="1:13" s="21" customFormat="1" x14ac:dyDescent="0.25">
      <c r="A1751" s="22" t="s">
        <v>8</v>
      </c>
      <c r="B1751" s="18" t="str">
        <f>"095036"</f>
        <v>095036</v>
      </c>
      <c r="C1751" s="19" t="s">
        <v>1750</v>
      </c>
      <c r="D1751" s="19" t="s">
        <v>17183</v>
      </c>
      <c r="E1751" s="19" t="s">
        <v>31500</v>
      </c>
      <c r="F1751" s="19" t="s">
        <v>35982</v>
      </c>
      <c r="G1751" s="18" t="str">
        <f>"20001"</f>
        <v>20001</v>
      </c>
      <c r="H1751" s="19" t="s">
        <v>36122</v>
      </c>
      <c r="I1751" s="20">
        <v>18.419</v>
      </c>
      <c r="J1751" s="44" t="s">
        <v>8</v>
      </c>
      <c r="K1751" s="23" t="s">
        <v>8</v>
      </c>
      <c r="L1751" s="23" t="s">
        <v>8</v>
      </c>
      <c r="M1751" s="23" t="s">
        <v>8</v>
      </c>
    </row>
    <row r="1752" spans="1:13" s="21" customFormat="1" x14ac:dyDescent="0.25">
      <c r="A1752" s="22" t="s">
        <v>8</v>
      </c>
      <c r="B1752" s="18" t="str">
        <f>"095038"</f>
        <v>095038</v>
      </c>
      <c r="C1752" s="19" t="s">
        <v>1751</v>
      </c>
      <c r="D1752" s="19" t="s">
        <v>17184</v>
      </c>
      <c r="E1752" s="19" t="s">
        <v>31500</v>
      </c>
      <c r="F1752" s="19" t="s">
        <v>35982</v>
      </c>
      <c r="G1752" s="18" t="str">
        <f>"20008"</f>
        <v>20008</v>
      </c>
      <c r="H1752" s="19" t="s">
        <v>36122</v>
      </c>
      <c r="I1752" s="20">
        <v>17.497</v>
      </c>
      <c r="J1752" s="44" t="s">
        <v>8</v>
      </c>
      <c r="K1752" s="23" t="s">
        <v>8</v>
      </c>
      <c r="L1752" s="23" t="s">
        <v>8</v>
      </c>
      <c r="M1752" s="23" t="s">
        <v>8</v>
      </c>
    </row>
    <row r="1753" spans="1:13" s="21" customFormat="1" x14ac:dyDescent="0.25">
      <c r="A1753" s="22" t="s">
        <v>8</v>
      </c>
      <c r="B1753" s="18" t="str">
        <f>"095039"</f>
        <v>095039</v>
      </c>
      <c r="C1753" s="19" t="s">
        <v>1752</v>
      </c>
      <c r="D1753" s="19" t="s">
        <v>17185</v>
      </c>
      <c r="E1753" s="19" t="s">
        <v>31500</v>
      </c>
      <c r="F1753" s="19" t="s">
        <v>35982</v>
      </c>
      <c r="G1753" s="18" t="str">
        <f>"20032"</f>
        <v>20032</v>
      </c>
      <c r="H1753" s="19" t="s">
        <v>36122</v>
      </c>
      <c r="I1753" s="20">
        <v>17.898</v>
      </c>
      <c r="J1753" s="44" t="s">
        <v>8</v>
      </c>
      <c r="K1753" s="23" t="s">
        <v>8</v>
      </c>
      <c r="L1753" s="23" t="s">
        <v>8</v>
      </c>
      <c r="M1753" s="23" t="s">
        <v>8</v>
      </c>
    </row>
    <row r="1754" spans="1:13" s="21" customFormat="1" x14ac:dyDescent="0.25">
      <c r="A1754" s="22" t="s">
        <v>8</v>
      </c>
      <c r="B1754" s="18" t="s">
        <v>15157</v>
      </c>
      <c r="C1754" s="19" t="s">
        <v>1753</v>
      </c>
      <c r="D1754" s="19" t="s">
        <v>17186</v>
      </c>
      <c r="E1754" s="19" t="s">
        <v>31501</v>
      </c>
      <c r="F1754" s="19" t="s">
        <v>35983</v>
      </c>
      <c r="G1754" s="18" t="str">
        <f>"32565"</f>
        <v>32565</v>
      </c>
      <c r="H1754" s="19" t="s">
        <v>31260</v>
      </c>
      <c r="I1754" s="20">
        <v>21.081</v>
      </c>
      <c r="J1754" s="44" t="s">
        <v>8</v>
      </c>
      <c r="K1754" s="23" t="s">
        <v>8</v>
      </c>
      <c r="L1754" s="23" t="s">
        <v>8</v>
      </c>
      <c r="M1754" s="23" t="s">
        <v>8</v>
      </c>
    </row>
    <row r="1755" spans="1:13" s="21" customFormat="1" x14ac:dyDescent="0.25">
      <c r="A1755" s="22" t="s">
        <v>8</v>
      </c>
      <c r="B1755" s="18" t="s">
        <v>15158</v>
      </c>
      <c r="C1755" s="19" t="s">
        <v>1754</v>
      </c>
      <c r="D1755" s="19" t="s">
        <v>17187</v>
      </c>
      <c r="E1755" s="19" t="s">
        <v>31502</v>
      </c>
      <c r="F1755" s="19" t="s">
        <v>35983</v>
      </c>
      <c r="G1755" s="18" t="str">
        <f>"32435"</f>
        <v>32435</v>
      </c>
      <c r="H1755" s="19" t="s">
        <v>36123</v>
      </c>
      <c r="I1755" s="20">
        <v>19.474</v>
      </c>
      <c r="J1755" s="44" t="s">
        <v>8</v>
      </c>
      <c r="K1755" s="23" t="s">
        <v>8</v>
      </c>
      <c r="L1755" s="23" t="s">
        <v>8</v>
      </c>
      <c r="M1755" s="23" t="s">
        <v>8</v>
      </c>
    </row>
    <row r="1756" spans="1:13" s="21" customFormat="1" x14ac:dyDescent="0.25">
      <c r="A1756" s="22" t="s">
        <v>8</v>
      </c>
      <c r="B1756" s="18" t="s">
        <v>15159</v>
      </c>
      <c r="C1756" s="19" t="s">
        <v>1755</v>
      </c>
      <c r="D1756" s="19" t="s">
        <v>17188</v>
      </c>
      <c r="E1756" s="19" t="s">
        <v>31503</v>
      </c>
      <c r="F1756" s="19" t="s">
        <v>35983</v>
      </c>
      <c r="G1756" s="18" t="str">
        <f>"32348"</f>
        <v>32348</v>
      </c>
      <c r="H1756" s="19" t="s">
        <v>31080</v>
      </c>
      <c r="I1756" s="20">
        <v>17.617999999999999</v>
      </c>
      <c r="J1756" s="44" t="s">
        <v>8</v>
      </c>
      <c r="K1756" s="23" t="s">
        <v>8</v>
      </c>
      <c r="L1756" s="23" t="s">
        <v>8</v>
      </c>
      <c r="M1756" s="23" t="s">
        <v>8</v>
      </c>
    </row>
    <row r="1757" spans="1:13" s="21" customFormat="1" x14ac:dyDescent="0.25">
      <c r="A1757" s="22" t="s">
        <v>8</v>
      </c>
      <c r="B1757" s="18" t="s">
        <v>15160</v>
      </c>
      <c r="C1757" s="19" t="s">
        <v>1756</v>
      </c>
      <c r="D1757" s="19" t="s">
        <v>17189</v>
      </c>
      <c r="E1757" s="19" t="s">
        <v>31093</v>
      </c>
      <c r="F1757" s="19" t="s">
        <v>35983</v>
      </c>
      <c r="G1757" s="18" t="str">
        <f>"32446"</f>
        <v>32446</v>
      </c>
      <c r="H1757" s="19" t="s">
        <v>30816</v>
      </c>
      <c r="I1757" s="20">
        <v>19.687999999999999</v>
      </c>
      <c r="J1757" s="44" t="s">
        <v>8</v>
      </c>
      <c r="K1757" s="23" t="s">
        <v>8</v>
      </c>
      <c r="L1757" s="23" t="s">
        <v>8</v>
      </c>
      <c r="M1757" s="23" t="s">
        <v>8</v>
      </c>
    </row>
    <row r="1758" spans="1:13" s="21" customFormat="1" x14ac:dyDescent="0.25">
      <c r="A1758" s="22" t="s">
        <v>8</v>
      </c>
      <c r="B1758" s="18" t="s">
        <v>15161</v>
      </c>
      <c r="C1758" s="19" t="s">
        <v>1757</v>
      </c>
      <c r="D1758" s="19" t="s">
        <v>17190</v>
      </c>
      <c r="E1758" s="19" t="s">
        <v>31504</v>
      </c>
      <c r="F1758" s="19" t="s">
        <v>35983</v>
      </c>
      <c r="G1758" s="18" t="str">
        <f>"32456"</f>
        <v>32456</v>
      </c>
      <c r="H1758" s="19" t="s">
        <v>36124</v>
      </c>
      <c r="I1758" s="20">
        <v>17.54</v>
      </c>
      <c r="J1758" s="44" t="s">
        <v>8</v>
      </c>
      <c r="K1758" s="23" t="s">
        <v>8</v>
      </c>
      <c r="L1758" s="23" t="s">
        <v>8</v>
      </c>
      <c r="M1758" s="23" t="s">
        <v>8</v>
      </c>
    </row>
    <row r="1759" spans="1:13" s="21" customFormat="1" x14ac:dyDescent="0.25">
      <c r="A1759" s="22" t="s">
        <v>8</v>
      </c>
      <c r="B1759" s="18" t="str">
        <f>"105001"</f>
        <v>105001</v>
      </c>
      <c r="C1759" s="19" t="s">
        <v>1758</v>
      </c>
      <c r="D1759" s="19" t="s">
        <v>17191</v>
      </c>
      <c r="E1759" s="19" t="s">
        <v>31505</v>
      </c>
      <c r="F1759" s="19" t="s">
        <v>35983</v>
      </c>
      <c r="G1759" s="18" t="str">
        <f>"32726"</f>
        <v>32726</v>
      </c>
      <c r="H1759" s="19" t="s">
        <v>36096</v>
      </c>
      <c r="I1759" s="20">
        <v>20.837</v>
      </c>
      <c r="J1759" s="44" t="s">
        <v>8</v>
      </c>
      <c r="K1759" s="23" t="s">
        <v>8</v>
      </c>
      <c r="L1759" s="23" t="s">
        <v>8</v>
      </c>
      <c r="M1759" s="23" t="s">
        <v>8</v>
      </c>
    </row>
    <row r="1760" spans="1:13" s="21" customFormat="1" x14ac:dyDescent="0.25">
      <c r="A1760" s="22" t="s">
        <v>8</v>
      </c>
      <c r="B1760" s="18" t="str">
        <f>"105002"</f>
        <v>105002</v>
      </c>
      <c r="C1760" s="19" t="s">
        <v>1759</v>
      </c>
      <c r="D1760" s="19" t="s">
        <v>17192</v>
      </c>
      <c r="E1760" s="19" t="s">
        <v>31506</v>
      </c>
      <c r="F1760" s="19" t="s">
        <v>35983</v>
      </c>
      <c r="G1760" s="18" t="str">
        <f>"32114"</f>
        <v>32114</v>
      </c>
      <c r="H1760" s="19" t="s">
        <v>36125</v>
      </c>
      <c r="I1760" s="20">
        <v>18.138999999999999</v>
      </c>
      <c r="J1760" s="44" t="s">
        <v>8</v>
      </c>
      <c r="K1760" s="23" t="s">
        <v>8</v>
      </c>
      <c r="L1760" s="23" t="s">
        <v>8</v>
      </c>
      <c r="M1760" s="23" t="s">
        <v>8</v>
      </c>
    </row>
    <row r="1761" spans="1:13" s="21" customFormat="1" x14ac:dyDescent="0.25">
      <c r="A1761" s="22" t="s">
        <v>8</v>
      </c>
      <c r="B1761" s="18" t="str">
        <f>"105005"</f>
        <v>105005</v>
      </c>
      <c r="C1761" s="19" t="s">
        <v>1760</v>
      </c>
      <c r="D1761" s="19" t="s">
        <v>17193</v>
      </c>
      <c r="E1761" s="19" t="s">
        <v>31507</v>
      </c>
      <c r="F1761" s="19" t="s">
        <v>35983</v>
      </c>
      <c r="G1761" s="18" t="str">
        <f>"33144"</f>
        <v>33144</v>
      </c>
      <c r="H1761" s="19" t="s">
        <v>36126</v>
      </c>
      <c r="I1761" s="20">
        <v>19.164000000000001</v>
      </c>
      <c r="J1761" s="44" t="s">
        <v>8</v>
      </c>
      <c r="K1761" s="23" t="s">
        <v>8</v>
      </c>
      <c r="L1761" s="23" t="s">
        <v>8</v>
      </c>
      <c r="M1761" s="23" t="s">
        <v>8</v>
      </c>
    </row>
    <row r="1762" spans="1:13" s="21" customFormat="1" x14ac:dyDescent="0.25">
      <c r="A1762" s="22" t="s">
        <v>8</v>
      </c>
      <c r="B1762" s="18" t="str">
        <f>"105008"</f>
        <v>105008</v>
      </c>
      <c r="C1762" s="19" t="s">
        <v>1761</v>
      </c>
      <c r="D1762" s="19" t="s">
        <v>17194</v>
      </c>
      <c r="E1762" s="19" t="s">
        <v>31508</v>
      </c>
      <c r="F1762" s="19" t="s">
        <v>35983</v>
      </c>
      <c r="G1762" s="18" t="str">
        <f>"33161"</f>
        <v>33161</v>
      </c>
      <c r="H1762" s="19" t="s">
        <v>36126</v>
      </c>
      <c r="I1762" s="20">
        <v>20.809000000000001</v>
      </c>
      <c r="J1762" s="44" t="s">
        <v>8</v>
      </c>
      <c r="K1762" s="23" t="s">
        <v>8</v>
      </c>
      <c r="L1762" s="23" t="s">
        <v>8</v>
      </c>
      <c r="M1762" s="23" t="s">
        <v>8</v>
      </c>
    </row>
    <row r="1763" spans="1:13" s="21" customFormat="1" x14ac:dyDescent="0.25">
      <c r="A1763" s="22" t="s">
        <v>8</v>
      </c>
      <c r="B1763" s="18" t="str">
        <f>"105009"</f>
        <v>105009</v>
      </c>
      <c r="C1763" s="19" t="s">
        <v>1762</v>
      </c>
      <c r="D1763" s="19" t="s">
        <v>17195</v>
      </c>
      <c r="E1763" s="19" t="s">
        <v>31509</v>
      </c>
      <c r="F1763" s="19" t="s">
        <v>35983</v>
      </c>
      <c r="G1763" s="18" t="str">
        <f>"33020"</f>
        <v>33020</v>
      </c>
      <c r="H1763" s="19" t="s">
        <v>36127</v>
      </c>
      <c r="I1763" s="20">
        <v>18.542999999999999</v>
      </c>
      <c r="J1763" s="44" t="s">
        <v>8</v>
      </c>
      <c r="K1763" s="23" t="s">
        <v>8</v>
      </c>
      <c r="L1763" s="23" t="s">
        <v>8</v>
      </c>
      <c r="M1763" s="23" t="s">
        <v>8</v>
      </c>
    </row>
    <row r="1764" spans="1:13" s="21" customFormat="1" x14ac:dyDescent="0.25">
      <c r="A1764" s="22" t="s">
        <v>8</v>
      </c>
      <c r="B1764" s="18" t="str">
        <f>"105012"</f>
        <v>105012</v>
      </c>
      <c r="C1764" s="19" t="s">
        <v>1763</v>
      </c>
      <c r="D1764" s="19" t="s">
        <v>17196</v>
      </c>
      <c r="E1764" s="19" t="s">
        <v>31510</v>
      </c>
      <c r="F1764" s="19" t="s">
        <v>35983</v>
      </c>
      <c r="G1764" s="18" t="str">
        <f>"33707"</f>
        <v>33707</v>
      </c>
      <c r="H1764" s="19" t="s">
        <v>36128</v>
      </c>
      <c r="I1764" s="20">
        <v>22.048999999999999</v>
      </c>
      <c r="J1764" s="44" t="s">
        <v>8</v>
      </c>
      <c r="K1764" s="23" t="s">
        <v>8</v>
      </c>
      <c r="L1764" s="23" t="s">
        <v>8</v>
      </c>
      <c r="M1764" s="23" t="s">
        <v>8</v>
      </c>
    </row>
    <row r="1765" spans="1:13" s="21" customFormat="1" x14ac:dyDescent="0.25">
      <c r="A1765" s="22" t="s">
        <v>8</v>
      </c>
      <c r="B1765" s="18" t="str">
        <f>"105016"</f>
        <v>105016</v>
      </c>
      <c r="C1765" s="19" t="s">
        <v>1764</v>
      </c>
      <c r="D1765" s="19" t="s">
        <v>17197</v>
      </c>
      <c r="E1765" s="19" t="s">
        <v>30912</v>
      </c>
      <c r="F1765" s="19" t="s">
        <v>35983</v>
      </c>
      <c r="G1765" s="18" t="str">
        <f>"32258"</f>
        <v>32258</v>
      </c>
      <c r="H1765" s="19" t="s">
        <v>36129</v>
      </c>
      <c r="I1765" s="20">
        <v>17.346</v>
      </c>
      <c r="J1765" s="44" t="s">
        <v>8</v>
      </c>
      <c r="K1765" s="23" t="s">
        <v>8</v>
      </c>
      <c r="L1765" s="23" t="s">
        <v>8</v>
      </c>
      <c r="M1765" s="23" t="s">
        <v>8</v>
      </c>
    </row>
    <row r="1766" spans="1:13" s="21" customFormat="1" x14ac:dyDescent="0.25">
      <c r="A1766" s="22" t="s">
        <v>8</v>
      </c>
      <c r="B1766" s="18" t="str">
        <f>"105021"</f>
        <v>105021</v>
      </c>
      <c r="C1766" s="19" t="s">
        <v>1765</v>
      </c>
      <c r="D1766" s="19" t="s">
        <v>17198</v>
      </c>
      <c r="E1766" s="19" t="s">
        <v>31509</v>
      </c>
      <c r="F1766" s="19" t="s">
        <v>35983</v>
      </c>
      <c r="G1766" s="18" t="str">
        <f>"33021"</f>
        <v>33021</v>
      </c>
      <c r="H1766" s="19" t="s">
        <v>36127</v>
      </c>
      <c r="I1766" s="20">
        <v>18.786999999999999</v>
      </c>
      <c r="J1766" s="44" t="s">
        <v>8</v>
      </c>
      <c r="K1766" s="23" t="s">
        <v>8</v>
      </c>
      <c r="L1766" s="23" t="s">
        <v>8</v>
      </c>
      <c r="M1766" s="23" t="s">
        <v>8</v>
      </c>
    </row>
    <row r="1767" spans="1:13" s="21" customFormat="1" x14ac:dyDescent="0.25">
      <c r="A1767" s="22" t="s">
        <v>8</v>
      </c>
      <c r="B1767" s="18" t="str">
        <f>"105029"</f>
        <v>105029</v>
      </c>
      <c r="C1767" s="19" t="s">
        <v>1766</v>
      </c>
      <c r="D1767" s="19" t="s">
        <v>17199</v>
      </c>
      <c r="E1767" s="19" t="s">
        <v>31511</v>
      </c>
      <c r="F1767" s="19" t="s">
        <v>35983</v>
      </c>
      <c r="G1767" s="18" t="str">
        <f>"33563"</f>
        <v>33563</v>
      </c>
      <c r="H1767" s="19" t="s">
        <v>33986</v>
      </c>
      <c r="I1767" s="20">
        <v>16.423999999999999</v>
      </c>
      <c r="J1767" s="44" t="s">
        <v>8</v>
      </c>
      <c r="K1767" s="23" t="s">
        <v>8</v>
      </c>
      <c r="L1767" s="23" t="s">
        <v>8</v>
      </c>
      <c r="M1767" s="23" t="s">
        <v>8</v>
      </c>
    </row>
    <row r="1768" spans="1:13" s="21" customFormat="1" x14ac:dyDescent="0.25">
      <c r="A1768" s="22" t="s">
        <v>8</v>
      </c>
      <c r="B1768" s="18" t="str">
        <f>"105030"</f>
        <v>105030</v>
      </c>
      <c r="C1768" s="19" t="s">
        <v>1767</v>
      </c>
      <c r="D1768" s="19" t="s">
        <v>17200</v>
      </c>
      <c r="E1768" s="19" t="s">
        <v>31507</v>
      </c>
      <c r="F1768" s="19" t="s">
        <v>35983</v>
      </c>
      <c r="G1768" s="18" t="str">
        <f>"33137"</f>
        <v>33137</v>
      </c>
      <c r="H1768" s="19" t="s">
        <v>36126</v>
      </c>
      <c r="I1768" s="20">
        <v>24.253</v>
      </c>
      <c r="J1768" s="44" t="s">
        <v>8</v>
      </c>
      <c r="K1768" s="23" t="s">
        <v>8</v>
      </c>
      <c r="L1768" s="23" t="s">
        <v>8</v>
      </c>
      <c r="M1768" s="23" t="s">
        <v>8</v>
      </c>
    </row>
    <row r="1769" spans="1:13" s="21" customFormat="1" x14ac:dyDescent="0.25">
      <c r="A1769" s="22" t="s">
        <v>8</v>
      </c>
      <c r="B1769" s="18" t="str">
        <f>"105037"</f>
        <v>105037</v>
      </c>
      <c r="C1769" s="19" t="s">
        <v>1768</v>
      </c>
      <c r="D1769" s="19" t="s">
        <v>17201</v>
      </c>
      <c r="E1769" s="19" t="s">
        <v>31512</v>
      </c>
      <c r="F1769" s="19" t="s">
        <v>35983</v>
      </c>
      <c r="G1769" s="18" t="str">
        <f>"33870"</f>
        <v>33870</v>
      </c>
      <c r="H1769" s="19" t="s">
        <v>34344</v>
      </c>
      <c r="I1769" s="20">
        <v>20.213000000000001</v>
      </c>
      <c r="J1769" s="44" t="s">
        <v>8</v>
      </c>
      <c r="K1769" s="23" t="s">
        <v>8</v>
      </c>
      <c r="L1769" s="23" t="s">
        <v>8</v>
      </c>
      <c r="M1769" s="23" t="s">
        <v>8</v>
      </c>
    </row>
    <row r="1770" spans="1:13" s="21" customFormat="1" x14ac:dyDescent="0.25">
      <c r="A1770" s="22" t="s">
        <v>8</v>
      </c>
      <c r="B1770" s="18" t="str">
        <f>"105038"</f>
        <v>105038</v>
      </c>
      <c r="C1770" s="19" t="s">
        <v>1769</v>
      </c>
      <c r="D1770" s="19" t="s">
        <v>17202</v>
      </c>
      <c r="E1770" s="19" t="s">
        <v>31513</v>
      </c>
      <c r="F1770" s="19" t="s">
        <v>35983</v>
      </c>
      <c r="G1770" s="18" t="str">
        <f>"32169"</f>
        <v>32169</v>
      </c>
      <c r="H1770" s="19" t="s">
        <v>36125</v>
      </c>
      <c r="I1770" s="20">
        <v>21.942</v>
      </c>
      <c r="J1770" s="44" t="s">
        <v>8</v>
      </c>
      <c r="K1770" s="23" t="s">
        <v>8</v>
      </c>
      <c r="L1770" s="23" t="s">
        <v>8</v>
      </c>
      <c r="M1770" s="23" t="s">
        <v>8</v>
      </c>
    </row>
    <row r="1771" spans="1:13" s="21" customFormat="1" x14ac:dyDescent="0.25">
      <c r="A1771" s="22" t="s">
        <v>8</v>
      </c>
      <c r="B1771" s="18" t="str">
        <f>"105039"</f>
        <v>105039</v>
      </c>
      <c r="C1771" s="19" t="s">
        <v>1770</v>
      </c>
      <c r="D1771" s="19" t="s">
        <v>17203</v>
      </c>
      <c r="E1771" s="19" t="s">
        <v>31514</v>
      </c>
      <c r="F1771" s="19" t="s">
        <v>35983</v>
      </c>
      <c r="G1771" s="18" t="str">
        <f>"33407"</f>
        <v>33407</v>
      </c>
      <c r="H1771" s="19" t="s">
        <v>36130</v>
      </c>
      <c r="I1771" s="20">
        <v>25.036999999999999</v>
      </c>
      <c r="J1771" s="44" t="s">
        <v>8</v>
      </c>
      <c r="K1771" s="23" t="s">
        <v>8</v>
      </c>
      <c r="L1771" s="23" t="s">
        <v>8</v>
      </c>
      <c r="M1771" s="23" t="s">
        <v>8</v>
      </c>
    </row>
    <row r="1772" spans="1:13" s="21" customFormat="1" x14ac:dyDescent="0.25">
      <c r="A1772" s="22" t="s">
        <v>8</v>
      </c>
      <c r="B1772" s="18" t="str">
        <f>"105045"</f>
        <v>105045</v>
      </c>
      <c r="C1772" s="19" t="s">
        <v>1771</v>
      </c>
      <c r="D1772" s="19" t="s">
        <v>17204</v>
      </c>
      <c r="E1772" s="19" t="s">
        <v>31515</v>
      </c>
      <c r="F1772" s="19" t="s">
        <v>35983</v>
      </c>
      <c r="G1772" s="18" t="str">
        <f>"34208"</f>
        <v>34208</v>
      </c>
      <c r="H1772" s="19" t="s">
        <v>36131</v>
      </c>
      <c r="I1772" s="20">
        <v>16.466999999999999</v>
      </c>
      <c r="J1772" s="44" t="s">
        <v>8</v>
      </c>
      <c r="K1772" s="23" t="s">
        <v>8</v>
      </c>
      <c r="L1772" s="23" t="s">
        <v>8</v>
      </c>
      <c r="M1772" s="23" t="s">
        <v>8</v>
      </c>
    </row>
    <row r="1773" spans="1:13" s="21" customFormat="1" x14ac:dyDescent="0.25">
      <c r="A1773" s="22" t="s">
        <v>8</v>
      </c>
      <c r="B1773" s="18" t="str">
        <f>"105047"</f>
        <v>105047</v>
      </c>
      <c r="C1773" s="19" t="s">
        <v>1772</v>
      </c>
      <c r="D1773" s="19" t="s">
        <v>17205</v>
      </c>
      <c r="E1773" s="19" t="s">
        <v>31516</v>
      </c>
      <c r="F1773" s="19" t="s">
        <v>35983</v>
      </c>
      <c r="G1773" s="18" t="str">
        <f>"33458"</f>
        <v>33458</v>
      </c>
      <c r="H1773" s="19" t="s">
        <v>36130</v>
      </c>
      <c r="I1773" s="20">
        <v>17.698</v>
      </c>
      <c r="J1773" s="44" t="s">
        <v>8</v>
      </c>
      <c r="K1773" s="23" t="s">
        <v>8</v>
      </c>
      <c r="L1773" s="23" t="s">
        <v>8</v>
      </c>
      <c r="M1773" s="23" t="s">
        <v>8</v>
      </c>
    </row>
    <row r="1774" spans="1:13" s="21" customFormat="1" x14ac:dyDescent="0.25">
      <c r="A1774" s="22" t="s">
        <v>8</v>
      </c>
      <c r="B1774" s="18" t="str">
        <f>"105050"</f>
        <v>105050</v>
      </c>
      <c r="C1774" s="19" t="s">
        <v>1773</v>
      </c>
      <c r="D1774" s="19" t="s">
        <v>17206</v>
      </c>
      <c r="E1774" s="19" t="s">
        <v>31517</v>
      </c>
      <c r="F1774" s="19" t="s">
        <v>35983</v>
      </c>
      <c r="G1774" s="18" t="str">
        <f>"33703"</f>
        <v>33703</v>
      </c>
      <c r="H1774" s="19" t="s">
        <v>36128</v>
      </c>
      <c r="I1774" s="20">
        <v>20.77</v>
      </c>
      <c r="J1774" s="44" t="s">
        <v>8</v>
      </c>
      <c r="K1774" s="23" t="s">
        <v>8</v>
      </c>
      <c r="L1774" s="23" t="s">
        <v>8</v>
      </c>
      <c r="M1774" s="23" t="s">
        <v>8</v>
      </c>
    </row>
    <row r="1775" spans="1:13" s="21" customFormat="1" x14ac:dyDescent="0.25">
      <c r="A1775" s="22" t="s">
        <v>8</v>
      </c>
      <c r="B1775" s="18" t="str">
        <f>"105052"</f>
        <v>105052</v>
      </c>
      <c r="C1775" s="19" t="s">
        <v>1774</v>
      </c>
      <c r="D1775" s="19" t="s">
        <v>17207</v>
      </c>
      <c r="E1775" s="19" t="s">
        <v>31506</v>
      </c>
      <c r="F1775" s="19" t="s">
        <v>35983</v>
      </c>
      <c r="G1775" s="18" t="str">
        <f>"32114"</f>
        <v>32114</v>
      </c>
      <c r="H1775" s="19" t="s">
        <v>36125</v>
      </c>
      <c r="I1775" s="20">
        <v>20.16</v>
      </c>
      <c r="J1775" s="44" t="s">
        <v>8</v>
      </c>
      <c r="K1775" s="23" t="s">
        <v>8</v>
      </c>
      <c r="L1775" s="23" t="s">
        <v>8</v>
      </c>
      <c r="M1775" s="23" t="s">
        <v>8</v>
      </c>
    </row>
    <row r="1776" spans="1:13" s="21" customFormat="1" x14ac:dyDescent="0.25">
      <c r="A1776" s="22" t="s">
        <v>8</v>
      </c>
      <c r="B1776" s="18" t="str">
        <f>"105057"</f>
        <v>105057</v>
      </c>
      <c r="C1776" s="19" t="s">
        <v>1775</v>
      </c>
      <c r="D1776" s="19" t="s">
        <v>17208</v>
      </c>
      <c r="E1776" s="19" t="s">
        <v>31507</v>
      </c>
      <c r="F1776" s="19" t="s">
        <v>35983</v>
      </c>
      <c r="G1776" s="18" t="str">
        <f>"33161"</f>
        <v>33161</v>
      </c>
      <c r="H1776" s="19" t="s">
        <v>36126</v>
      </c>
      <c r="I1776" s="20">
        <v>18.655999999999999</v>
      </c>
      <c r="J1776" s="44" t="s">
        <v>8</v>
      </c>
      <c r="K1776" s="23" t="s">
        <v>8</v>
      </c>
      <c r="L1776" s="23" t="s">
        <v>8</v>
      </c>
      <c r="M1776" s="23" t="s">
        <v>8</v>
      </c>
    </row>
    <row r="1777" spans="1:13" s="21" customFormat="1" x14ac:dyDescent="0.25">
      <c r="A1777" s="22" t="s">
        <v>8</v>
      </c>
      <c r="B1777" s="18" t="str">
        <f>"105067"</f>
        <v>105067</v>
      </c>
      <c r="C1777" s="19" t="s">
        <v>1776</v>
      </c>
      <c r="D1777" s="19" t="s">
        <v>17209</v>
      </c>
      <c r="E1777" s="19" t="s">
        <v>31518</v>
      </c>
      <c r="F1777" s="19" t="s">
        <v>35983</v>
      </c>
      <c r="G1777" s="18" t="str">
        <f>"33435"</f>
        <v>33435</v>
      </c>
      <c r="H1777" s="19" t="s">
        <v>36130</v>
      </c>
      <c r="I1777" s="20">
        <v>24.375</v>
      </c>
      <c r="J1777" s="44" t="s">
        <v>8</v>
      </c>
      <c r="K1777" s="23" t="s">
        <v>8</v>
      </c>
      <c r="L1777" s="23" t="s">
        <v>8</v>
      </c>
      <c r="M1777" s="23" t="s">
        <v>8</v>
      </c>
    </row>
    <row r="1778" spans="1:13" s="21" customFormat="1" x14ac:dyDescent="0.25">
      <c r="A1778" s="22" t="s">
        <v>8</v>
      </c>
      <c r="B1778" s="18" t="str">
        <f>"105071"</f>
        <v>105071</v>
      </c>
      <c r="C1778" s="19" t="s">
        <v>1777</v>
      </c>
      <c r="D1778" s="19" t="s">
        <v>17210</v>
      </c>
      <c r="E1778" s="19" t="s">
        <v>31517</v>
      </c>
      <c r="F1778" s="19" t="s">
        <v>35983</v>
      </c>
      <c r="G1778" s="18" t="str">
        <f>"33705"</f>
        <v>33705</v>
      </c>
      <c r="H1778" s="19" t="s">
        <v>36128</v>
      </c>
      <c r="I1778" s="20">
        <v>18.52</v>
      </c>
      <c r="J1778" s="44" t="s">
        <v>8</v>
      </c>
      <c r="K1778" s="23" t="s">
        <v>8</v>
      </c>
      <c r="L1778" s="23" t="s">
        <v>8</v>
      </c>
      <c r="M1778" s="23" t="s">
        <v>8</v>
      </c>
    </row>
    <row r="1779" spans="1:13" s="21" customFormat="1" x14ac:dyDescent="0.25">
      <c r="A1779" s="22" t="s">
        <v>8</v>
      </c>
      <c r="B1779" s="18" t="str">
        <f>"105072"</f>
        <v>105072</v>
      </c>
      <c r="C1779" s="19" t="s">
        <v>1778</v>
      </c>
      <c r="D1779" s="19" t="s">
        <v>17211</v>
      </c>
      <c r="E1779" s="19" t="s">
        <v>31517</v>
      </c>
      <c r="F1779" s="19" t="s">
        <v>35983</v>
      </c>
      <c r="G1779" s="18" t="str">
        <f>"33709"</f>
        <v>33709</v>
      </c>
      <c r="H1779" s="19" t="s">
        <v>36128</v>
      </c>
      <c r="I1779" s="20">
        <v>22.529</v>
      </c>
      <c r="J1779" s="44" t="s">
        <v>8</v>
      </c>
      <c r="K1779" s="23" t="s">
        <v>8</v>
      </c>
      <c r="L1779" s="23" t="s">
        <v>8</v>
      </c>
      <c r="M1779" s="23" t="s">
        <v>8</v>
      </c>
    </row>
    <row r="1780" spans="1:13" s="21" customFormat="1" x14ac:dyDescent="0.25">
      <c r="A1780" s="22" t="s">
        <v>8</v>
      </c>
      <c r="B1780" s="18" t="str">
        <f>"105083"</f>
        <v>105083</v>
      </c>
      <c r="C1780" s="19" t="s">
        <v>1779</v>
      </c>
      <c r="D1780" s="19" t="s">
        <v>17212</v>
      </c>
      <c r="E1780" s="19" t="s">
        <v>31519</v>
      </c>
      <c r="F1780" s="19" t="s">
        <v>35983</v>
      </c>
      <c r="G1780" s="18" t="str">
        <f>"33316"</f>
        <v>33316</v>
      </c>
      <c r="H1780" s="19" t="s">
        <v>36127</v>
      </c>
      <c r="I1780" s="20">
        <v>22.454000000000001</v>
      </c>
      <c r="J1780" s="44" t="s">
        <v>8</v>
      </c>
      <c r="K1780" s="23" t="s">
        <v>8</v>
      </c>
      <c r="L1780" s="23" t="s">
        <v>8</v>
      </c>
      <c r="M1780" s="23" t="s">
        <v>8</v>
      </c>
    </row>
    <row r="1781" spans="1:13" s="21" customFormat="1" x14ac:dyDescent="0.25">
      <c r="A1781" s="22" t="s">
        <v>8</v>
      </c>
      <c r="B1781" s="18" t="str">
        <f>"105089"</f>
        <v>105089</v>
      </c>
      <c r="C1781" s="19" t="s">
        <v>1780</v>
      </c>
      <c r="D1781" s="19" t="s">
        <v>17213</v>
      </c>
      <c r="E1781" s="19" t="s">
        <v>31519</v>
      </c>
      <c r="F1781" s="19" t="s">
        <v>35983</v>
      </c>
      <c r="G1781" s="18" t="str">
        <f>"33305"</f>
        <v>33305</v>
      </c>
      <c r="H1781" s="19" t="s">
        <v>36127</v>
      </c>
      <c r="I1781" s="20">
        <v>20.544</v>
      </c>
      <c r="J1781" s="44" t="s">
        <v>8</v>
      </c>
      <c r="K1781" s="23" t="s">
        <v>8</v>
      </c>
      <c r="L1781" s="23" t="s">
        <v>8</v>
      </c>
      <c r="M1781" s="23" t="s">
        <v>8</v>
      </c>
    </row>
    <row r="1782" spans="1:13" s="21" customFormat="1" x14ac:dyDescent="0.25">
      <c r="A1782" s="22" t="s">
        <v>8</v>
      </c>
      <c r="B1782" s="18" t="str">
        <f>"105101"</f>
        <v>105101</v>
      </c>
      <c r="C1782" s="19" t="s">
        <v>1781</v>
      </c>
      <c r="D1782" s="19" t="s">
        <v>17214</v>
      </c>
      <c r="E1782" s="19" t="s">
        <v>31520</v>
      </c>
      <c r="F1782" s="19" t="s">
        <v>35983</v>
      </c>
      <c r="G1782" s="18" t="str">
        <f>"33431"</f>
        <v>33431</v>
      </c>
      <c r="H1782" s="19" t="s">
        <v>36130</v>
      </c>
      <c r="I1782" s="20">
        <v>20.065000000000001</v>
      </c>
      <c r="J1782" s="44" t="s">
        <v>8</v>
      </c>
      <c r="K1782" s="23" t="s">
        <v>8</v>
      </c>
      <c r="L1782" s="23" t="s">
        <v>8</v>
      </c>
      <c r="M1782" s="23" t="s">
        <v>8</v>
      </c>
    </row>
    <row r="1783" spans="1:13" s="21" customFormat="1" x14ac:dyDescent="0.25">
      <c r="A1783" s="22" t="s">
        <v>8</v>
      </c>
      <c r="B1783" s="18" t="str">
        <f>"105117"</f>
        <v>105117</v>
      </c>
      <c r="C1783" s="19" t="s">
        <v>1782</v>
      </c>
      <c r="D1783" s="19" t="s">
        <v>17215</v>
      </c>
      <c r="E1783" s="19" t="s">
        <v>31517</v>
      </c>
      <c r="F1783" s="19" t="s">
        <v>35983</v>
      </c>
      <c r="G1783" s="18" t="str">
        <f>"33705"</f>
        <v>33705</v>
      </c>
      <c r="H1783" s="19" t="s">
        <v>36128</v>
      </c>
      <c r="I1783" s="20">
        <v>20.279</v>
      </c>
      <c r="J1783" s="44" t="s">
        <v>8</v>
      </c>
      <c r="K1783" s="23" t="s">
        <v>8</v>
      </c>
      <c r="L1783" s="23" t="s">
        <v>8</v>
      </c>
      <c r="M1783" s="23" t="s">
        <v>8</v>
      </c>
    </row>
    <row r="1784" spans="1:13" s="21" customFormat="1" x14ac:dyDescent="0.25">
      <c r="A1784" s="22" t="s">
        <v>8</v>
      </c>
      <c r="B1784" s="18" t="str">
        <f>"105119"</f>
        <v>105119</v>
      </c>
      <c r="C1784" s="19" t="s">
        <v>1783</v>
      </c>
      <c r="D1784" s="19" t="s">
        <v>17216</v>
      </c>
      <c r="E1784" s="19" t="s">
        <v>31521</v>
      </c>
      <c r="F1784" s="19" t="s">
        <v>35983</v>
      </c>
      <c r="G1784" s="18" t="str">
        <f>"33311"</f>
        <v>33311</v>
      </c>
      <c r="H1784" s="19" t="s">
        <v>36127</v>
      </c>
      <c r="I1784" s="20">
        <v>21.376999999999999</v>
      </c>
      <c r="J1784" s="44" t="s">
        <v>8</v>
      </c>
      <c r="K1784" s="23" t="s">
        <v>8</v>
      </c>
      <c r="L1784" s="23" t="s">
        <v>8</v>
      </c>
      <c r="M1784" s="23" t="s">
        <v>8</v>
      </c>
    </row>
    <row r="1785" spans="1:13" s="21" customFormat="1" x14ac:dyDescent="0.25">
      <c r="A1785" s="22" t="s">
        <v>8</v>
      </c>
      <c r="B1785" s="18" t="str">
        <f>"105120"</f>
        <v>105120</v>
      </c>
      <c r="C1785" s="19" t="s">
        <v>1784</v>
      </c>
      <c r="D1785" s="19" t="s">
        <v>17217</v>
      </c>
      <c r="E1785" s="19" t="s">
        <v>31522</v>
      </c>
      <c r="F1785" s="19" t="s">
        <v>35983</v>
      </c>
      <c r="G1785" s="18" t="str">
        <f>"33160"</f>
        <v>33160</v>
      </c>
      <c r="H1785" s="19" t="s">
        <v>36126</v>
      </c>
      <c r="I1785" s="20">
        <v>20.106000000000002</v>
      </c>
      <c r="J1785" s="44" t="s">
        <v>8</v>
      </c>
      <c r="K1785" s="23" t="s">
        <v>8</v>
      </c>
      <c r="L1785" s="23" t="s">
        <v>8</v>
      </c>
      <c r="M1785" s="23" t="s">
        <v>8</v>
      </c>
    </row>
    <row r="1786" spans="1:13" s="21" customFormat="1" x14ac:dyDescent="0.25">
      <c r="A1786" s="22" t="s">
        <v>8</v>
      </c>
      <c r="B1786" s="18" t="str">
        <f>"105125"</f>
        <v>105125</v>
      </c>
      <c r="C1786" s="19" t="s">
        <v>1785</v>
      </c>
      <c r="D1786" s="19" t="s">
        <v>17218</v>
      </c>
      <c r="E1786" s="19" t="s">
        <v>31523</v>
      </c>
      <c r="F1786" s="19" t="s">
        <v>35983</v>
      </c>
      <c r="G1786" s="18" t="str">
        <f>"33460"</f>
        <v>33460</v>
      </c>
      <c r="H1786" s="19" t="s">
        <v>36130</v>
      </c>
      <c r="I1786" s="20">
        <v>23.471</v>
      </c>
      <c r="J1786" s="44" t="s">
        <v>8</v>
      </c>
      <c r="K1786" s="23" t="s">
        <v>8</v>
      </c>
      <c r="L1786" s="23" t="s">
        <v>8</v>
      </c>
      <c r="M1786" s="23" t="s">
        <v>8</v>
      </c>
    </row>
    <row r="1787" spans="1:13" s="21" customFormat="1" x14ac:dyDescent="0.25">
      <c r="A1787" s="22" t="s">
        <v>8</v>
      </c>
      <c r="B1787" s="18" t="str">
        <f>"105128"</f>
        <v>105128</v>
      </c>
      <c r="C1787" s="19" t="s">
        <v>1786</v>
      </c>
      <c r="D1787" s="19" t="s">
        <v>17219</v>
      </c>
      <c r="E1787" s="19" t="s">
        <v>31524</v>
      </c>
      <c r="F1787" s="19" t="s">
        <v>35983</v>
      </c>
      <c r="G1787" s="18" t="str">
        <f>"33756"</f>
        <v>33756</v>
      </c>
      <c r="H1787" s="19" t="s">
        <v>36128</v>
      </c>
      <c r="I1787" s="20">
        <v>16.728000000000002</v>
      </c>
      <c r="J1787" s="44" t="s">
        <v>8</v>
      </c>
      <c r="K1787" s="23" t="s">
        <v>8</v>
      </c>
      <c r="L1787" s="23" t="s">
        <v>8</v>
      </c>
      <c r="M1787" s="23" t="s">
        <v>8</v>
      </c>
    </row>
    <row r="1788" spans="1:13" s="21" customFormat="1" x14ac:dyDescent="0.25">
      <c r="A1788" s="22" t="s">
        <v>8</v>
      </c>
      <c r="B1788" s="18" t="str">
        <f>"105132"</f>
        <v>105132</v>
      </c>
      <c r="C1788" s="19" t="s">
        <v>1787</v>
      </c>
      <c r="D1788" s="19" t="s">
        <v>17220</v>
      </c>
      <c r="E1788" s="19" t="s">
        <v>31525</v>
      </c>
      <c r="F1788" s="19" t="s">
        <v>35983</v>
      </c>
      <c r="G1788" s="18" t="str">
        <f>"34698"</f>
        <v>34698</v>
      </c>
      <c r="H1788" s="19" t="s">
        <v>36128</v>
      </c>
      <c r="I1788" s="20">
        <v>19.39</v>
      </c>
      <c r="J1788" s="44" t="s">
        <v>8</v>
      </c>
      <c r="K1788" s="23" t="s">
        <v>8</v>
      </c>
      <c r="L1788" s="23" t="s">
        <v>8</v>
      </c>
      <c r="M1788" s="23" t="s">
        <v>8</v>
      </c>
    </row>
    <row r="1789" spans="1:13" s="21" customFormat="1" x14ac:dyDescent="0.25">
      <c r="A1789" s="22" t="s">
        <v>8</v>
      </c>
      <c r="B1789" s="18" t="str">
        <f>"105135"</f>
        <v>105135</v>
      </c>
      <c r="C1789" s="19" t="s">
        <v>1788</v>
      </c>
      <c r="D1789" s="19" t="s">
        <v>17221</v>
      </c>
      <c r="E1789" s="19" t="s">
        <v>30912</v>
      </c>
      <c r="F1789" s="19" t="s">
        <v>35983</v>
      </c>
      <c r="G1789" s="18" t="str">
        <f>"32216"</f>
        <v>32216</v>
      </c>
      <c r="H1789" s="19" t="s">
        <v>36129</v>
      </c>
      <c r="I1789" s="20">
        <v>17.989999999999998</v>
      </c>
      <c r="J1789" s="44" t="s">
        <v>8</v>
      </c>
      <c r="K1789" s="23" t="s">
        <v>8</v>
      </c>
      <c r="L1789" s="23" t="s">
        <v>8</v>
      </c>
      <c r="M1789" s="23" t="s">
        <v>8</v>
      </c>
    </row>
    <row r="1790" spans="1:13" s="21" customFormat="1" x14ac:dyDescent="0.25">
      <c r="A1790" s="22" t="s">
        <v>8</v>
      </c>
      <c r="B1790" s="18" t="str">
        <f>"105138"</f>
        <v>105138</v>
      </c>
      <c r="C1790" s="19" t="s">
        <v>1789</v>
      </c>
      <c r="D1790" s="19" t="s">
        <v>17222</v>
      </c>
      <c r="E1790" s="19" t="s">
        <v>30912</v>
      </c>
      <c r="F1790" s="19" t="s">
        <v>35983</v>
      </c>
      <c r="G1790" s="18" t="str">
        <f>"32209"</f>
        <v>32209</v>
      </c>
      <c r="H1790" s="19" t="s">
        <v>36129</v>
      </c>
      <c r="I1790" s="20">
        <v>17.277999999999999</v>
      </c>
      <c r="J1790" s="44" t="s">
        <v>8</v>
      </c>
      <c r="K1790" s="23" t="s">
        <v>8</v>
      </c>
      <c r="L1790" s="23" t="s">
        <v>8</v>
      </c>
      <c r="M1790" s="23" t="s">
        <v>8</v>
      </c>
    </row>
    <row r="1791" spans="1:13" s="21" customFormat="1" x14ac:dyDescent="0.25">
      <c r="A1791" s="22" t="s">
        <v>8</v>
      </c>
      <c r="B1791" s="18" t="str">
        <f>"105140"</f>
        <v>105140</v>
      </c>
      <c r="C1791" s="19" t="s">
        <v>1790</v>
      </c>
      <c r="D1791" s="19" t="s">
        <v>17223</v>
      </c>
      <c r="E1791" s="19" t="s">
        <v>31526</v>
      </c>
      <c r="F1791" s="19" t="s">
        <v>35983</v>
      </c>
      <c r="G1791" s="18" t="str">
        <f>"33612"</f>
        <v>33612</v>
      </c>
      <c r="H1791" s="19" t="s">
        <v>33986</v>
      </c>
      <c r="I1791" s="20">
        <v>20.771000000000001</v>
      </c>
      <c r="J1791" s="44" t="s">
        <v>8</v>
      </c>
      <c r="K1791" s="23" t="s">
        <v>8</v>
      </c>
      <c r="L1791" s="23" t="s">
        <v>8</v>
      </c>
      <c r="M1791" s="23" t="s">
        <v>8</v>
      </c>
    </row>
    <row r="1792" spans="1:13" s="21" customFormat="1" x14ac:dyDescent="0.25">
      <c r="A1792" s="22" t="s">
        <v>8</v>
      </c>
      <c r="B1792" s="18" t="str">
        <f>"105145"</f>
        <v>105145</v>
      </c>
      <c r="C1792" s="19" t="s">
        <v>1791</v>
      </c>
      <c r="D1792" s="19" t="s">
        <v>17224</v>
      </c>
      <c r="E1792" s="19" t="s">
        <v>31527</v>
      </c>
      <c r="F1792" s="19" t="s">
        <v>35983</v>
      </c>
      <c r="G1792" s="18" t="str">
        <f>"32720"</f>
        <v>32720</v>
      </c>
      <c r="H1792" s="19" t="s">
        <v>36125</v>
      </c>
      <c r="I1792" s="20">
        <v>19.056999999999999</v>
      </c>
      <c r="J1792" s="44" t="s">
        <v>8</v>
      </c>
      <c r="K1792" s="23" t="s">
        <v>8</v>
      </c>
      <c r="L1792" s="23" t="s">
        <v>8</v>
      </c>
      <c r="M1792" s="23" t="s">
        <v>8</v>
      </c>
    </row>
    <row r="1793" spans="1:13" s="21" customFormat="1" x14ac:dyDescent="0.25">
      <c r="A1793" s="22" t="s">
        <v>8</v>
      </c>
      <c r="B1793" s="18" t="str">
        <f>"105146"</f>
        <v>105146</v>
      </c>
      <c r="C1793" s="19" t="s">
        <v>1792</v>
      </c>
      <c r="D1793" s="19" t="s">
        <v>17225</v>
      </c>
      <c r="E1793" s="19" t="s">
        <v>31518</v>
      </c>
      <c r="F1793" s="19" t="s">
        <v>35983</v>
      </c>
      <c r="G1793" s="18" t="str">
        <f>"33437"</f>
        <v>33437</v>
      </c>
      <c r="H1793" s="19" t="s">
        <v>36130</v>
      </c>
      <c r="I1793" s="20">
        <v>20.437999999999999</v>
      </c>
      <c r="J1793" s="44" t="s">
        <v>8</v>
      </c>
      <c r="K1793" s="23" t="s">
        <v>8</v>
      </c>
      <c r="L1793" s="23" t="s">
        <v>8</v>
      </c>
      <c r="M1793" s="23" t="s">
        <v>8</v>
      </c>
    </row>
    <row r="1794" spans="1:13" s="21" customFormat="1" x14ac:dyDescent="0.25">
      <c r="A1794" s="22" t="s">
        <v>8</v>
      </c>
      <c r="B1794" s="18" t="str">
        <f>"105147"</f>
        <v>105147</v>
      </c>
      <c r="C1794" s="19" t="s">
        <v>1793</v>
      </c>
      <c r="D1794" s="19" t="s">
        <v>17226</v>
      </c>
      <c r="E1794" s="19" t="s">
        <v>31528</v>
      </c>
      <c r="F1794" s="19" t="s">
        <v>35983</v>
      </c>
      <c r="G1794" s="18" t="str">
        <f>"34236"</f>
        <v>34236</v>
      </c>
      <c r="H1794" s="19" t="s">
        <v>31528</v>
      </c>
      <c r="I1794" s="20">
        <v>17.087</v>
      </c>
      <c r="J1794" s="44" t="s">
        <v>8</v>
      </c>
      <c r="K1794" s="23" t="s">
        <v>8</v>
      </c>
      <c r="L1794" s="23" t="s">
        <v>8</v>
      </c>
      <c r="M1794" s="23" t="s">
        <v>8</v>
      </c>
    </row>
    <row r="1795" spans="1:13" s="21" customFormat="1" x14ac:dyDescent="0.25">
      <c r="A1795" s="22" t="s">
        <v>8</v>
      </c>
      <c r="B1795" s="18" t="str">
        <f>"105148"</f>
        <v>105148</v>
      </c>
      <c r="C1795" s="19" t="s">
        <v>1794</v>
      </c>
      <c r="D1795" s="19" t="s">
        <v>17227</v>
      </c>
      <c r="E1795" s="19" t="s">
        <v>31529</v>
      </c>
      <c r="F1795" s="19" t="s">
        <v>35983</v>
      </c>
      <c r="G1795" s="18" t="str">
        <f>"32404"</f>
        <v>32404</v>
      </c>
      <c r="H1795" s="19" t="s">
        <v>36132</v>
      </c>
      <c r="I1795" s="20">
        <v>17.350000000000001</v>
      </c>
      <c r="J1795" s="44" t="s">
        <v>8</v>
      </c>
      <c r="K1795" s="23" t="s">
        <v>8</v>
      </c>
      <c r="L1795" s="23" t="s">
        <v>8</v>
      </c>
      <c r="M1795" s="23" t="s">
        <v>8</v>
      </c>
    </row>
    <row r="1796" spans="1:13" s="21" customFormat="1" x14ac:dyDescent="0.25">
      <c r="A1796" s="22" t="s">
        <v>8</v>
      </c>
      <c r="B1796" s="18" t="str">
        <f>"105149"</f>
        <v>105149</v>
      </c>
      <c r="C1796" s="19" t="s">
        <v>1795</v>
      </c>
      <c r="D1796" s="19" t="s">
        <v>17228</v>
      </c>
      <c r="E1796" s="19" t="s">
        <v>31517</v>
      </c>
      <c r="F1796" s="19" t="s">
        <v>35983</v>
      </c>
      <c r="G1796" s="18" t="str">
        <f>"33705"</f>
        <v>33705</v>
      </c>
      <c r="H1796" s="19" t="s">
        <v>36128</v>
      </c>
      <c r="I1796" s="20">
        <v>20.356000000000002</v>
      </c>
      <c r="J1796" s="44" t="s">
        <v>8</v>
      </c>
      <c r="K1796" s="23" t="s">
        <v>8</v>
      </c>
      <c r="L1796" s="23" t="s">
        <v>8</v>
      </c>
      <c r="M1796" s="23" t="s">
        <v>8</v>
      </c>
    </row>
    <row r="1797" spans="1:13" s="21" customFormat="1" x14ac:dyDescent="0.25">
      <c r="A1797" s="22" t="s">
        <v>8</v>
      </c>
      <c r="B1797" s="18" t="str">
        <f>"105152"</f>
        <v>105152</v>
      </c>
      <c r="C1797" s="19" t="s">
        <v>1796</v>
      </c>
      <c r="D1797" s="19" t="s">
        <v>17229</v>
      </c>
      <c r="E1797" s="19" t="s">
        <v>31530</v>
      </c>
      <c r="F1797" s="19" t="s">
        <v>35983</v>
      </c>
      <c r="G1797" s="18" t="str">
        <f>"32401"</f>
        <v>32401</v>
      </c>
      <c r="H1797" s="19" t="s">
        <v>36132</v>
      </c>
      <c r="I1797" s="20">
        <v>19.184000000000001</v>
      </c>
      <c r="J1797" s="44" t="s">
        <v>8</v>
      </c>
      <c r="K1797" s="23" t="s">
        <v>8</v>
      </c>
      <c r="L1797" s="23" t="s">
        <v>8</v>
      </c>
      <c r="M1797" s="23" t="s">
        <v>8</v>
      </c>
    </row>
    <row r="1798" spans="1:13" s="21" customFormat="1" x14ac:dyDescent="0.25">
      <c r="A1798" s="22" t="s">
        <v>8</v>
      </c>
      <c r="B1798" s="18" t="str">
        <f>"105153"</f>
        <v>105153</v>
      </c>
      <c r="C1798" s="19" t="s">
        <v>1797</v>
      </c>
      <c r="D1798" s="19" t="s">
        <v>17230</v>
      </c>
      <c r="E1798" s="19" t="s">
        <v>31508</v>
      </c>
      <c r="F1798" s="19" t="s">
        <v>35983</v>
      </c>
      <c r="G1798" s="18" t="str">
        <f>"33161"</f>
        <v>33161</v>
      </c>
      <c r="H1798" s="19" t="s">
        <v>36126</v>
      </c>
      <c r="I1798" s="20">
        <v>20.151</v>
      </c>
      <c r="J1798" s="44" t="s">
        <v>8</v>
      </c>
      <c r="K1798" s="23" t="s">
        <v>8</v>
      </c>
      <c r="L1798" s="23" t="s">
        <v>8</v>
      </c>
      <c r="M1798" s="23" t="s">
        <v>8</v>
      </c>
    </row>
    <row r="1799" spans="1:13" s="21" customFormat="1" x14ac:dyDescent="0.25">
      <c r="A1799" s="22" t="s">
        <v>8</v>
      </c>
      <c r="B1799" s="18" t="str">
        <f>"105155"</f>
        <v>105155</v>
      </c>
      <c r="C1799" s="19" t="s">
        <v>1798</v>
      </c>
      <c r="D1799" s="19" t="s">
        <v>17231</v>
      </c>
      <c r="E1799" s="19" t="s">
        <v>31528</v>
      </c>
      <c r="F1799" s="19" t="s">
        <v>35983</v>
      </c>
      <c r="G1799" s="18" t="str">
        <f>"34239"</f>
        <v>34239</v>
      </c>
      <c r="H1799" s="19" t="s">
        <v>31528</v>
      </c>
      <c r="I1799" s="20">
        <v>18.251999999999999</v>
      </c>
      <c r="J1799" s="44" t="s">
        <v>8</v>
      </c>
      <c r="K1799" s="23" t="s">
        <v>8</v>
      </c>
      <c r="L1799" s="23" t="s">
        <v>8</v>
      </c>
      <c r="M1799" s="23" t="s">
        <v>8</v>
      </c>
    </row>
    <row r="1800" spans="1:13" s="21" customFormat="1" x14ac:dyDescent="0.25">
      <c r="A1800" s="22" t="s">
        <v>8</v>
      </c>
      <c r="B1800" s="18" t="str">
        <f>"105158"</f>
        <v>105158</v>
      </c>
      <c r="C1800" s="19" t="s">
        <v>1799</v>
      </c>
      <c r="D1800" s="19" t="s">
        <v>17232</v>
      </c>
      <c r="E1800" s="19" t="s">
        <v>31531</v>
      </c>
      <c r="F1800" s="19" t="s">
        <v>35983</v>
      </c>
      <c r="G1800" s="18" t="str">
        <f>"32308"</f>
        <v>32308</v>
      </c>
      <c r="H1800" s="19" t="s">
        <v>32404</v>
      </c>
      <c r="I1800" s="20">
        <v>18.216000000000001</v>
      </c>
      <c r="J1800" s="44" t="s">
        <v>8</v>
      </c>
      <c r="K1800" s="23" t="s">
        <v>8</v>
      </c>
      <c r="L1800" s="23" t="s">
        <v>8</v>
      </c>
      <c r="M1800" s="23" t="s">
        <v>8</v>
      </c>
    </row>
    <row r="1801" spans="1:13" s="21" customFormat="1" x14ac:dyDescent="0.25">
      <c r="A1801" s="22" t="s">
        <v>8</v>
      </c>
      <c r="B1801" s="18" t="str">
        <f>"105159"</f>
        <v>105159</v>
      </c>
      <c r="C1801" s="19" t="s">
        <v>1800</v>
      </c>
      <c r="D1801" s="19" t="s">
        <v>17233</v>
      </c>
      <c r="E1801" s="19" t="s">
        <v>31515</v>
      </c>
      <c r="F1801" s="19" t="s">
        <v>35983</v>
      </c>
      <c r="G1801" s="18" t="str">
        <f>"34205"</f>
        <v>34205</v>
      </c>
      <c r="H1801" s="19" t="s">
        <v>36131</v>
      </c>
      <c r="I1801" s="20">
        <v>18.353999999999999</v>
      </c>
      <c r="J1801" s="44" t="s">
        <v>8</v>
      </c>
      <c r="K1801" s="23" t="s">
        <v>8</v>
      </c>
      <c r="L1801" s="23" t="s">
        <v>8</v>
      </c>
      <c r="M1801" s="23" t="s">
        <v>8</v>
      </c>
    </row>
    <row r="1802" spans="1:13" s="21" customFormat="1" x14ac:dyDescent="0.25">
      <c r="A1802" s="22" t="s">
        <v>8</v>
      </c>
      <c r="B1802" s="18" t="str">
        <f>"105166"</f>
        <v>105166</v>
      </c>
      <c r="C1802" s="19" t="s">
        <v>1801</v>
      </c>
      <c r="D1802" s="19" t="s">
        <v>17234</v>
      </c>
      <c r="E1802" s="19" t="s">
        <v>31532</v>
      </c>
      <c r="F1802" s="19" t="s">
        <v>35983</v>
      </c>
      <c r="G1802" s="18" t="str">
        <f>"34653"</f>
        <v>34653</v>
      </c>
      <c r="H1802" s="19" t="s">
        <v>35446</v>
      </c>
      <c r="I1802" s="20">
        <v>22.303999999999998</v>
      </c>
      <c r="J1802" s="44" t="s">
        <v>8</v>
      </c>
      <c r="K1802" s="23" t="s">
        <v>8</v>
      </c>
      <c r="L1802" s="23" t="s">
        <v>8</v>
      </c>
      <c r="M1802" s="23" t="s">
        <v>8</v>
      </c>
    </row>
    <row r="1803" spans="1:13" s="21" customFormat="1" x14ac:dyDescent="0.25">
      <c r="A1803" s="22" t="s">
        <v>8</v>
      </c>
      <c r="B1803" s="18" t="str">
        <f>"105172"</f>
        <v>105172</v>
      </c>
      <c r="C1803" s="19" t="s">
        <v>1802</v>
      </c>
      <c r="D1803" s="19" t="s">
        <v>17235</v>
      </c>
      <c r="E1803" s="19" t="s">
        <v>31508</v>
      </c>
      <c r="F1803" s="19" t="s">
        <v>35983</v>
      </c>
      <c r="G1803" s="18" t="str">
        <f>"33161"</f>
        <v>33161</v>
      </c>
      <c r="H1803" s="19" t="s">
        <v>36126</v>
      </c>
      <c r="I1803" s="20">
        <v>27.53</v>
      </c>
      <c r="J1803" s="44" t="s">
        <v>8</v>
      </c>
      <c r="K1803" s="23" t="s">
        <v>8</v>
      </c>
      <c r="L1803" s="23" t="s">
        <v>8</v>
      </c>
      <c r="M1803" s="23" t="s">
        <v>8</v>
      </c>
    </row>
    <row r="1804" spans="1:13" s="21" customFormat="1" x14ac:dyDescent="0.25">
      <c r="A1804" s="22" t="s">
        <v>8</v>
      </c>
      <c r="B1804" s="18" t="str">
        <f>"105175"</f>
        <v>105175</v>
      </c>
      <c r="C1804" s="19" t="s">
        <v>1803</v>
      </c>
      <c r="D1804" s="19" t="s">
        <v>17236</v>
      </c>
      <c r="E1804" s="19" t="s">
        <v>31533</v>
      </c>
      <c r="F1804" s="19" t="s">
        <v>35983</v>
      </c>
      <c r="G1804" s="18" t="str">
        <f>"33317"</f>
        <v>33317</v>
      </c>
      <c r="H1804" s="19" t="s">
        <v>36127</v>
      </c>
      <c r="I1804" s="20">
        <v>20.081</v>
      </c>
      <c r="J1804" s="44" t="s">
        <v>8</v>
      </c>
      <c r="K1804" s="23" t="s">
        <v>8</v>
      </c>
      <c r="L1804" s="23" t="s">
        <v>8</v>
      </c>
      <c r="M1804" s="23" t="s">
        <v>8</v>
      </c>
    </row>
    <row r="1805" spans="1:13" s="21" customFormat="1" x14ac:dyDescent="0.25">
      <c r="A1805" s="22" t="s">
        <v>8</v>
      </c>
      <c r="B1805" s="18" t="str">
        <f>"105176"</f>
        <v>105176</v>
      </c>
      <c r="C1805" s="19" t="s">
        <v>1804</v>
      </c>
      <c r="D1805" s="19" t="s">
        <v>17237</v>
      </c>
      <c r="E1805" s="19" t="s">
        <v>31534</v>
      </c>
      <c r="F1805" s="19" t="s">
        <v>35983</v>
      </c>
      <c r="G1805" s="18" t="str">
        <f>"33880"</f>
        <v>33880</v>
      </c>
      <c r="H1805" s="19" t="s">
        <v>36062</v>
      </c>
      <c r="I1805" s="20">
        <v>19.175000000000001</v>
      </c>
      <c r="J1805" s="44" t="s">
        <v>8</v>
      </c>
      <c r="K1805" s="23" t="s">
        <v>8</v>
      </c>
      <c r="L1805" s="23" t="s">
        <v>8</v>
      </c>
      <c r="M1805" s="23" t="s">
        <v>8</v>
      </c>
    </row>
    <row r="1806" spans="1:13" s="21" customFormat="1" x14ac:dyDescent="0.25">
      <c r="A1806" s="22" t="s">
        <v>8</v>
      </c>
      <c r="B1806" s="18" t="str">
        <f>"105178"</f>
        <v>105178</v>
      </c>
      <c r="C1806" s="19" t="s">
        <v>1805</v>
      </c>
      <c r="D1806" s="19" t="s">
        <v>17238</v>
      </c>
      <c r="E1806" s="19" t="s">
        <v>31535</v>
      </c>
      <c r="F1806" s="19" t="s">
        <v>35983</v>
      </c>
      <c r="G1806" s="18" t="str">
        <f>"33940"</f>
        <v>33940</v>
      </c>
      <c r="H1806" s="19" t="s">
        <v>36133</v>
      </c>
      <c r="I1806" s="20">
        <v>20</v>
      </c>
      <c r="J1806" s="44" t="s">
        <v>8</v>
      </c>
      <c r="K1806" s="23" t="s">
        <v>8</v>
      </c>
      <c r="L1806" s="23" t="s">
        <v>8</v>
      </c>
      <c r="M1806" s="23" t="s">
        <v>8</v>
      </c>
    </row>
    <row r="1807" spans="1:13" s="21" customFormat="1" x14ac:dyDescent="0.25">
      <c r="A1807" s="22" t="s">
        <v>8</v>
      </c>
      <c r="B1807" s="18" t="str">
        <f>"105190"</f>
        <v>105190</v>
      </c>
      <c r="C1807" s="19" t="s">
        <v>1806</v>
      </c>
      <c r="D1807" s="19" t="s">
        <v>17239</v>
      </c>
      <c r="E1807" s="19" t="s">
        <v>31536</v>
      </c>
      <c r="F1807" s="19" t="s">
        <v>35983</v>
      </c>
      <c r="G1807" s="18" t="str">
        <f>"32539"</f>
        <v>32539</v>
      </c>
      <c r="H1807" s="19" t="s">
        <v>36134</v>
      </c>
      <c r="I1807" s="20">
        <v>16.838999999999999</v>
      </c>
      <c r="J1807" s="44" t="s">
        <v>8</v>
      </c>
      <c r="K1807" s="23" t="s">
        <v>8</v>
      </c>
      <c r="L1807" s="23" t="s">
        <v>8</v>
      </c>
      <c r="M1807" s="23" t="s">
        <v>8</v>
      </c>
    </row>
    <row r="1808" spans="1:13" s="21" customFormat="1" x14ac:dyDescent="0.25">
      <c r="A1808" s="22" t="s">
        <v>8</v>
      </c>
      <c r="B1808" s="18" t="str">
        <f>"105193"</f>
        <v>105193</v>
      </c>
      <c r="C1808" s="19" t="s">
        <v>1807</v>
      </c>
      <c r="D1808" s="19" t="s">
        <v>17240</v>
      </c>
      <c r="E1808" s="19" t="s">
        <v>31537</v>
      </c>
      <c r="F1808" s="19" t="s">
        <v>35983</v>
      </c>
      <c r="G1808" s="18" t="str">
        <f>"32608"</f>
        <v>32608</v>
      </c>
      <c r="H1808" s="19" t="s">
        <v>36135</v>
      </c>
      <c r="I1808" s="20">
        <v>22.981999999999999</v>
      </c>
      <c r="J1808" s="44" t="s">
        <v>8</v>
      </c>
      <c r="K1808" s="23" t="s">
        <v>8</v>
      </c>
      <c r="L1808" s="23" t="s">
        <v>8</v>
      </c>
      <c r="M1808" s="23" t="s">
        <v>8</v>
      </c>
    </row>
    <row r="1809" spans="1:13" s="21" customFormat="1" x14ac:dyDescent="0.25">
      <c r="A1809" s="22" t="s">
        <v>8</v>
      </c>
      <c r="B1809" s="18" t="str">
        <f>"105196"</f>
        <v>105196</v>
      </c>
      <c r="C1809" s="19" t="s">
        <v>1808</v>
      </c>
      <c r="D1809" s="19" t="s">
        <v>17241</v>
      </c>
      <c r="E1809" s="19" t="s">
        <v>31538</v>
      </c>
      <c r="F1809" s="19" t="s">
        <v>35983</v>
      </c>
      <c r="G1809" s="18" t="str">
        <f>"34471"</f>
        <v>34471</v>
      </c>
      <c r="H1809" s="19" t="s">
        <v>30850</v>
      </c>
      <c r="I1809" s="20">
        <v>17.806000000000001</v>
      </c>
      <c r="J1809" s="44" t="s">
        <v>8</v>
      </c>
      <c r="K1809" s="23" t="s">
        <v>8</v>
      </c>
      <c r="L1809" s="23" t="s">
        <v>8</v>
      </c>
      <c r="M1809" s="23" t="s">
        <v>8</v>
      </c>
    </row>
    <row r="1810" spans="1:13" s="21" customFormat="1" x14ac:dyDescent="0.25">
      <c r="A1810" s="22" t="s">
        <v>8</v>
      </c>
      <c r="B1810" s="18" t="str">
        <f>"105202"</f>
        <v>105202</v>
      </c>
      <c r="C1810" s="19" t="s">
        <v>1809</v>
      </c>
      <c r="D1810" s="19" t="s">
        <v>17242</v>
      </c>
      <c r="E1810" s="19" t="s">
        <v>31517</v>
      </c>
      <c r="F1810" s="19" t="s">
        <v>35983</v>
      </c>
      <c r="G1810" s="18" t="str">
        <f>"33713"</f>
        <v>33713</v>
      </c>
      <c r="H1810" s="19" t="s">
        <v>36128</v>
      </c>
      <c r="I1810" s="20">
        <v>22.626000000000001</v>
      </c>
      <c r="J1810" s="44" t="s">
        <v>8</v>
      </c>
      <c r="K1810" s="23" t="s">
        <v>8</v>
      </c>
      <c r="L1810" s="23" t="s">
        <v>8</v>
      </c>
      <c r="M1810" s="23" t="s">
        <v>8</v>
      </c>
    </row>
    <row r="1811" spans="1:13" s="21" customFormat="1" x14ac:dyDescent="0.25">
      <c r="A1811" s="22" t="s">
        <v>8</v>
      </c>
      <c r="B1811" s="18" t="str">
        <f>"105205"</f>
        <v>105205</v>
      </c>
      <c r="C1811" s="19" t="s">
        <v>1810</v>
      </c>
      <c r="D1811" s="19" t="s">
        <v>17243</v>
      </c>
      <c r="E1811" s="19" t="s">
        <v>31519</v>
      </c>
      <c r="F1811" s="19" t="s">
        <v>35983</v>
      </c>
      <c r="G1811" s="18" t="str">
        <f>"33308"</f>
        <v>33308</v>
      </c>
      <c r="H1811" s="19" t="s">
        <v>36127</v>
      </c>
      <c r="I1811" s="20">
        <v>25.224</v>
      </c>
      <c r="J1811" s="44" t="s">
        <v>8</v>
      </c>
      <c r="K1811" s="23" t="s">
        <v>8</v>
      </c>
      <c r="L1811" s="23" t="s">
        <v>8</v>
      </c>
      <c r="M1811" s="23" t="s">
        <v>8</v>
      </c>
    </row>
    <row r="1812" spans="1:13" s="21" customFormat="1" x14ac:dyDescent="0.25">
      <c r="A1812" s="22" t="s">
        <v>8</v>
      </c>
      <c r="B1812" s="18" t="str">
        <f>"105207"</f>
        <v>105207</v>
      </c>
      <c r="C1812" s="19" t="s">
        <v>1811</v>
      </c>
      <c r="D1812" s="19" t="s">
        <v>17244</v>
      </c>
      <c r="E1812" s="19" t="s">
        <v>31057</v>
      </c>
      <c r="F1812" s="19" t="s">
        <v>35983</v>
      </c>
      <c r="G1812" s="18" t="str">
        <f>"32901"</f>
        <v>32901</v>
      </c>
      <c r="H1812" s="19" t="s">
        <v>34287</v>
      </c>
      <c r="I1812" s="20">
        <v>19.558</v>
      </c>
      <c r="J1812" s="44" t="s">
        <v>8</v>
      </c>
      <c r="K1812" s="23" t="s">
        <v>8</v>
      </c>
      <c r="L1812" s="23" t="s">
        <v>8</v>
      </c>
      <c r="M1812" s="23" t="s">
        <v>8</v>
      </c>
    </row>
    <row r="1813" spans="1:13" s="21" customFormat="1" x14ac:dyDescent="0.25">
      <c r="A1813" s="22" t="s">
        <v>8</v>
      </c>
      <c r="B1813" s="18" t="str">
        <f>"105210"</f>
        <v>105210</v>
      </c>
      <c r="C1813" s="19" t="s">
        <v>1812</v>
      </c>
      <c r="D1813" s="19" t="s">
        <v>17245</v>
      </c>
      <c r="E1813" s="19" t="s">
        <v>31539</v>
      </c>
      <c r="F1813" s="19" t="s">
        <v>35983</v>
      </c>
      <c r="G1813" s="18" t="str">
        <f>"32063"</f>
        <v>32063</v>
      </c>
      <c r="H1813" s="19" t="s">
        <v>32860</v>
      </c>
      <c r="I1813" s="20">
        <v>21.367000000000001</v>
      </c>
      <c r="J1813" s="44" t="s">
        <v>8</v>
      </c>
      <c r="K1813" s="23" t="s">
        <v>8</v>
      </c>
      <c r="L1813" s="23" t="s">
        <v>8</v>
      </c>
      <c r="M1813" s="23" t="s">
        <v>8</v>
      </c>
    </row>
    <row r="1814" spans="1:13" s="21" customFormat="1" x14ac:dyDescent="0.25">
      <c r="A1814" s="22" t="s">
        <v>8</v>
      </c>
      <c r="B1814" s="18" t="str">
        <f>"105217"</f>
        <v>105217</v>
      </c>
      <c r="C1814" s="19" t="s">
        <v>1813</v>
      </c>
      <c r="D1814" s="19" t="s">
        <v>17246</v>
      </c>
      <c r="E1814" s="19" t="s">
        <v>31522</v>
      </c>
      <c r="F1814" s="19" t="s">
        <v>35983</v>
      </c>
      <c r="G1814" s="18" t="str">
        <f>"33160"</f>
        <v>33160</v>
      </c>
      <c r="H1814" s="19" t="s">
        <v>36126</v>
      </c>
      <c r="I1814" s="20">
        <v>19.143000000000001</v>
      </c>
      <c r="J1814" s="44" t="s">
        <v>8</v>
      </c>
      <c r="K1814" s="23" t="s">
        <v>8</v>
      </c>
      <c r="L1814" s="23" t="s">
        <v>8</v>
      </c>
      <c r="M1814" s="23" t="s">
        <v>8</v>
      </c>
    </row>
    <row r="1815" spans="1:13" s="21" customFormat="1" x14ac:dyDescent="0.25">
      <c r="A1815" s="22" t="s">
        <v>8</v>
      </c>
      <c r="B1815" s="18" t="str">
        <f>"105219"</f>
        <v>105219</v>
      </c>
      <c r="C1815" s="19" t="s">
        <v>1814</v>
      </c>
      <c r="D1815" s="19" t="s">
        <v>17247</v>
      </c>
      <c r="E1815" s="19" t="s">
        <v>31520</v>
      </c>
      <c r="F1815" s="19" t="s">
        <v>35983</v>
      </c>
      <c r="G1815" s="18" t="str">
        <f>"33486"</f>
        <v>33486</v>
      </c>
      <c r="H1815" s="19" t="s">
        <v>36130</v>
      </c>
      <c r="I1815" s="20">
        <v>23.317</v>
      </c>
      <c r="J1815" s="44" t="s">
        <v>8</v>
      </c>
      <c r="K1815" s="23" t="s">
        <v>8</v>
      </c>
      <c r="L1815" s="23" t="s">
        <v>8</v>
      </c>
      <c r="M1815" s="23" t="s">
        <v>8</v>
      </c>
    </row>
    <row r="1816" spans="1:13" s="21" customFormat="1" x14ac:dyDescent="0.25">
      <c r="A1816" s="22" t="s">
        <v>8</v>
      </c>
      <c r="B1816" s="18" t="str">
        <f>"105227"</f>
        <v>105227</v>
      </c>
      <c r="C1816" s="19" t="s">
        <v>1815</v>
      </c>
      <c r="D1816" s="19" t="s">
        <v>17248</v>
      </c>
      <c r="E1816" s="19" t="s">
        <v>31507</v>
      </c>
      <c r="F1816" s="19" t="s">
        <v>35983</v>
      </c>
      <c r="G1816" s="18" t="str">
        <f>"33176"</f>
        <v>33176</v>
      </c>
      <c r="H1816" s="19" t="s">
        <v>36126</v>
      </c>
      <c r="I1816" s="20">
        <v>20.061</v>
      </c>
      <c r="J1816" s="44" t="s">
        <v>8</v>
      </c>
      <c r="K1816" s="23" t="s">
        <v>8</v>
      </c>
      <c r="L1816" s="23" t="s">
        <v>8</v>
      </c>
      <c r="M1816" s="23" t="s">
        <v>8</v>
      </c>
    </row>
    <row r="1817" spans="1:13" s="21" customFormat="1" x14ac:dyDescent="0.25">
      <c r="A1817" s="22" t="s">
        <v>8</v>
      </c>
      <c r="B1817" s="18" t="str">
        <f>"105228"</f>
        <v>105228</v>
      </c>
      <c r="C1817" s="19" t="s">
        <v>1816</v>
      </c>
      <c r="D1817" s="19" t="s">
        <v>17249</v>
      </c>
      <c r="E1817" s="19" t="s">
        <v>31517</v>
      </c>
      <c r="F1817" s="19" t="s">
        <v>35983</v>
      </c>
      <c r="G1817" s="18" t="str">
        <f>"33714"</f>
        <v>33714</v>
      </c>
      <c r="H1817" s="19" t="s">
        <v>36128</v>
      </c>
      <c r="I1817" s="20">
        <v>21.004000000000001</v>
      </c>
      <c r="J1817" s="44" t="s">
        <v>8</v>
      </c>
      <c r="K1817" s="23" t="s">
        <v>8</v>
      </c>
      <c r="L1817" s="23" t="s">
        <v>8</v>
      </c>
      <c r="M1817" s="23" t="s">
        <v>8</v>
      </c>
    </row>
    <row r="1818" spans="1:13" s="21" customFormat="1" x14ac:dyDescent="0.25">
      <c r="A1818" s="22" t="s">
        <v>8</v>
      </c>
      <c r="B1818" s="18" t="str">
        <f>"105229"</f>
        <v>105229</v>
      </c>
      <c r="C1818" s="19" t="s">
        <v>1817</v>
      </c>
      <c r="D1818" s="19" t="s">
        <v>17250</v>
      </c>
      <c r="E1818" s="19" t="s">
        <v>31540</v>
      </c>
      <c r="F1818" s="19" t="s">
        <v>35983</v>
      </c>
      <c r="G1818" s="18" t="str">
        <f>"33139"</f>
        <v>33139</v>
      </c>
      <c r="H1818" s="19" t="s">
        <v>36126</v>
      </c>
      <c r="I1818" s="20">
        <v>19.878</v>
      </c>
      <c r="J1818" s="44" t="s">
        <v>8</v>
      </c>
      <c r="K1818" s="23" t="s">
        <v>8</v>
      </c>
      <c r="L1818" s="23" t="s">
        <v>8</v>
      </c>
      <c r="M1818" s="23" t="s">
        <v>8</v>
      </c>
    </row>
    <row r="1819" spans="1:13" s="21" customFormat="1" x14ac:dyDescent="0.25">
      <c r="A1819" s="22" t="s">
        <v>8</v>
      </c>
      <c r="B1819" s="18" t="str">
        <f>"105232"</f>
        <v>105232</v>
      </c>
      <c r="C1819" s="19" t="s">
        <v>1818</v>
      </c>
      <c r="D1819" s="19" t="s">
        <v>17251</v>
      </c>
      <c r="E1819" s="19" t="s">
        <v>31508</v>
      </c>
      <c r="F1819" s="19" t="s">
        <v>35983</v>
      </c>
      <c r="G1819" s="18" t="str">
        <f>"33161"</f>
        <v>33161</v>
      </c>
      <c r="H1819" s="19" t="s">
        <v>36126</v>
      </c>
      <c r="I1819" s="20">
        <v>20.565000000000001</v>
      </c>
      <c r="J1819" s="44" t="s">
        <v>8</v>
      </c>
      <c r="K1819" s="23" t="s">
        <v>8</v>
      </c>
      <c r="L1819" s="23" t="s">
        <v>8</v>
      </c>
      <c r="M1819" s="23" t="s">
        <v>8</v>
      </c>
    </row>
    <row r="1820" spans="1:13" s="21" customFormat="1" x14ac:dyDescent="0.25">
      <c r="A1820" s="22" t="s">
        <v>8</v>
      </c>
      <c r="B1820" s="18" t="str">
        <f>"105234"</f>
        <v>105234</v>
      </c>
      <c r="C1820" s="19" t="s">
        <v>1819</v>
      </c>
      <c r="D1820" s="19" t="s">
        <v>17252</v>
      </c>
      <c r="E1820" s="19" t="s">
        <v>31526</v>
      </c>
      <c r="F1820" s="19" t="s">
        <v>35983</v>
      </c>
      <c r="G1820" s="18" t="str">
        <f>"33614"</f>
        <v>33614</v>
      </c>
      <c r="H1820" s="19" t="s">
        <v>33986</v>
      </c>
      <c r="I1820" s="20">
        <v>21.908999999999999</v>
      </c>
      <c r="J1820" s="44" t="s">
        <v>8</v>
      </c>
      <c r="K1820" s="23" t="s">
        <v>8</v>
      </c>
      <c r="L1820" s="23" t="s">
        <v>8</v>
      </c>
      <c r="M1820" s="23" t="s">
        <v>8</v>
      </c>
    </row>
    <row r="1821" spans="1:13" s="21" customFormat="1" x14ac:dyDescent="0.25">
      <c r="A1821" s="22" t="s">
        <v>8</v>
      </c>
      <c r="B1821" s="18" t="str">
        <f>"105237"</f>
        <v>105237</v>
      </c>
      <c r="C1821" s="19" t="s">
        <v>1820</v>
      </c>
      <c r="D1821" s="19" t="s">
        <v>17253</v>
      </c>
      <c r="E1821" s="19" t="s">
        <v>31533</v>
      </c>
      <c r="F1821" s="19" t="s">
        <v>35983</v>
      </c>
      <c r="G1821" s="18" t="str">
        <f>"33324"</f>
        <v>33324</v>
      </c>
      <c r="H1821" s="19" t="s">
        <v>36127</v>
      </c>
      <c r="I1821" s="20">
        <v>22.867999999999999</v>
      </c>
      <c r="J1821" s="44" t="s">
        <v>8</v>
      </c>
      <c r="K1821" s="23" t="s">
        <v>8</v>
      </c>
      <c r="L1821" s="23" t="s">
        <v>8</v>
      </c>
      <c r="M1821" s="23" t="s">
        <v>8</v>
      </c>
    </row>
    <row r="1822" spans="1:13" s="21" customFormat="1" x14ac:dyDescent="0.25">
      <c r="A1822" s="22" t="s">
        <v>8</v>
      </c>
      <c r="B1822" s="18" t="str">
        <f>"105238"</f>
        <v>105238</v>
      </c>
      <c r="C1822" s="19" t="s">
        <v>1821</v>
      </c>
      <c r="D1822" s="19" t="s">
        <v>17254</v>
      </c>
      <c r="E1822" s="19" t="s">
        <v>31541</v>
      </c>
      <c r="F1822" s="19" t="s">
        <v>35983</v>
      </c>
      <c r="G1822" s="18" t="str">
        <f>"33901"</f>
        <v>33901</v>
      </c>
      <c r="H1822" s="19" t="s">
        <v>33138</v>
      </c>
      <c r="I1822" s="20">
        <v>18.196000000000002</v>
      </c>
      <c r="J1822" s="44" t="s">
        <v>8</v>
      </c>
      <c r="K1822" s="23" t="s">
        <v>8</v>
      </c>
      <c r="L1822" s="23" t="s">
        <v>8</v>
      </c>
      <c r="M1822" s="23" t="s">
        <v>8</v>
      </c>
    </row>
    <row r="1823" spans="1:13" s="21" customFormat="1" x14ac:dyDescent="0.25">
      <c r="A1823" s="22" t="s">
        <v>8</v>
      </c>
      <c r="B1823" s="18" t="str">
        <f>"105248"</f>
        <v>105248</v>
      </c>
      <c r="C1823" s="19" t="s">
        <v>1822</v>
      </c>
      <c r="D1823" s="19" t="s">
        <v>17255</v>
      </c>
      <c r="E1823" s="19" t="s">
        <v>31542</v>
      </c>
      <c r="F1823" s="19" t="s">
        <v>35983</v>
      </c>
      <c r="G1823" s="18" t="str">
        <f>"34641"</f>
        <v>34641</v>
      </c>
      <c r="H1823" s="19" t="s">
        <v>36128</v>
      </c>
      <c r="I1823" s="20">
        <v>21.012</v>
      </c>
      <c r="J1823" s="44" t="s">
        <v>8</v>
      </c>
      <c r="K1823" s="23" t="s">
        <v>8</v>
      </c>
      <c r="L1823" s="23" t="s">
        <v>8</v>
      </c>
      <c r="M1823" s="23" t="s">
        <v>8</v>
      </c>
    </row>
    <row r="1824" spans="1:13" s="21" customFormat="1" x14ac:dyDescent="0.25">
      <c r="A1824" s="22" t="s">
        <v>8</v>
      </c>
      <c r="B1824" s="18" t="str">
        <f>"105250"</f>
        <v>105250</v>
      </c>
      <c r="C1824" s="19" t="s">
        <v>1823</v>
      </c>
      <c r="D1824" s="19" t="s">
        <v>17256</v>
      </c>
      <c r="E1824" s="19" t="s">
        <v>31543</v>
      </c>
      <c r="F1824" s="19" t="s">
        <v>35983</v>
      </c>
      <c r="G1824" s="18" t="str">
        <f>"32955"</f>
        <v>32955</v>
      </c>
      <c r="H1824" s="19" t="s">
        <v>34287</v>
      </c>
      <c r="I1824" s="20">
        <v>19.13</v>
      </c>
      <c r="J1824" s="44" t="s">
        <v>8</v>
      </c>
      <c r="K1824" s="23" t="s">
        <v>8</v>
      </c>
      <c r="L1824" s="23" t="s">
        <v>8</v>
      </c>
      <c r="M1824" s="23" t="s">
        <v>8</v>
      </c>
    </row>
    <row r="1825" spans="1:13" s="21" customFormat="1" x14ac:dyDescent="0.25">
      <c r="A1825" s="22" t="s">
        <v>8</v>
      </c>
      <c r="B1825" s="18" t="str">
        <f>"105251"</f>
        <v>105251</v>
      </c>
      <c r="C1825" s="19" t="s">
        <v>1824</v>
      </c>
      <c r="D1825" s="19" t="s">
        <v>17257</v>
      </c>
      <c r="E1825" s="19" t="s">
        <v>31543</v>
      </c>
      <c r="F1825" s="19" t="s">
        <v>35983</v>
      </c>
      <c r="G1825" s="18" t="str">
        <f>"32955"</f>
        <v>32955</v>
      </c>
      <c r="H1825" s="19" t="s">
        <v>34287</v>
      </c>
      <c r="I1825" s="20">
        <v>23.06</v>
      </c>
      <c r="J1825" s="44" t="s">
        <v>8</v>
      </c>
      <c r="K1825" s="23" t="s">
        <v>8</v>
      </c>
      <c r="L1825" s="23" t="s">
        <v>8</v>
      </c>
      <c r="M1825" s="23" t="s">
        <v>8</v>
      </c>
    </row>
    <row r="1826" spans="1:13" s="21" customFormat="1" x14ac:dyDescent="0.25">
      <c r="A1826" s="22" t="s">
        <v>8</v>
      </c>
      <c r="B1826" s="18" t="str">
        <f>"105252"</f>
        <v>105252</v>
      </c>
      <c r="C1826" s="19" t="s">
        <v>1825</v>
      </c>
      <c r="D1826" s="19" t="s">
        <v>17258</v>
      </c>
      <c r="E1826" s="19" t="s">
        <v>31544</v>
      </c>
      <c r="F1826" s="19" t="s">
        <v>35983</v>
      </c>
      <c r="G1826" s="18" t="str">
        <f>"33157"</f>
        <v>33157</v>
      </c>
      <c r="H1826" s="19" t="s">
        <v>36126</v>
      </c>
      <c r="I1826" s="20">
        <v>21.271999999999998</v>
      </c>
      <c r="J1826" s="44" t="s">
        <v>8</v>
      </c>
      <c r="K1826" s="23" t="s">
        <v>8</v>
      </c>
      <c r="L1826" s="23" t="s">
        <v>8</v>
      </c>
      <c r="M1826" s="23" t="s">
        <v>8</v>
      </c>
    </row>
    <row r="1827" spans="1:13" s="21" customFormat="1" x14ac:dyDescent="0.25">
      <c r="A1827" s="22" t="s">
        <v>8</v>
      </c>
      <c r="B1827" s="18" t="str">
        <f>"105255"</f>
        <v>105255</v>
      </c>
      <c r="C1827" s="19" t="s">
        <v>1826</v>
      </c>
      <c r="D1827" s="19" t="s">
        <v>17259</v>
      </c>
      <c r="E1827" s="19" t="s">
        <v>31545</v>
      </c>
      <c r="F1827" s="19" t="s">
        <v>35983</v>
      </c>
      <c r="G1827" s="18" t="str">
        <f>"33060"</f>
        <v>33060</v>
      </c>
      <c r="H1827" s="19" t="s">
        <v>36127</v>
      </c>
      <c r="I1827" s="20">
        <v>19.233000000000001</v>
      </c>
      <c r="J1827" s="44" t="s">
        <v>8</v>
      </c>
      <c r="K1827" s="23" t="s">
        <v>8</v>
      </c>
      <c r="L1827" s="23" t="s">
        <v>8</v>
      </c>
      <c r="M1827" s="23" t="s">
        <v>8</v>
      </c>
    </row>
    <row r="1828" spans="1:13" s="21" customFormat="1" x14ac:dyDescent="0.25">
      <c r="A1828" s="22" t="s">
        <v>8</v>
      </c>
      <c r="B1828" s="18" t="str">
        <f>"105257"</f>
        <v>105257</v>
      </c>
      <c r="C1828" s="19" t="s">
        <v>1827</v>
      </c>
      <c r="D1828" s="19" t="s">
        <v>17260</v>
      </c>
      <c r="E1828" s="19" t="s">
        <v>31546</v>
      </c>
      <c r="F1828" s="19" t="s">
        <v>35983</v>
      </c>
      <c r="G1828" s="18" t="str">
        <f>"34950"</f>
        <v>34950</v>
      </c>
      <c r="H1828" s="19" t="s">
        <v>36136</v>
      </c>
      <c r="I1828" s="20">
        <v>20.72</v>
      </c>
      <c r="J1828" s="44" t="s">
        <v>8</v>
      </c>
      <c r="K1828" s="23" t="s">
        <v>8</v>
      </c>
      <c r="L1828" s="23" t="s">
        <v>8</v>
      </c>
      <c r="M1828" s="23" t="s">
        <v>8</v>
      </c>
    </row>
    <row r="1829" spans="1:13" s="21" customFormat="1" x14ac:dyDescent="0.25">
      <c r="A1829" s="22" t="s">
        <v>8</v>
      </c>
      <c r="B1829" s="18" t="str">
        <f>"105258"</f>
        <v>105258</v>
      </c>
      <c r="C1829" s="19" t="s">
        <v>1828</v>
      </c>
      <c r="D1829" s="19" t="s">
        <v>17261</v>
      </c>
      <c r="E1829" s="19" t="s">
        <v>31545</v>
      </c>
      <c r="F1829" s="19" t="s">
        <v>35983</v>
      </c>
      <c r="G1829" s="18" t="str">
        <f>"33062"</f>
        <v>33062</v>
      </c>
      <c r="H1829" s="19" t="s">
        <v>36127</v>
      </c>
      <c r="I1829" s="20">
        <v>18.817</v>
      </c>
      <c r="J1829" s="44" t="s">
        <v>8</v>
      </c>
      <c r="K1829" s="23" t="s">
        <v>8</v>
      </c>
      <c r="L1829" s="23" t="s">
        <v>8</v>
      </c>
      <c r="M1829" s="23" t="s">
        <v>8</v>
      </c>
    </row>
    <row r="1830" spans="1:13" s="21" customFormat="1" x14ac:dyDescent="0.25">
      <c r="A1830" s="22" t="s">
        <v>8</v>
      </c>
      <c r="B1830" s="18" t="str">
        <f>"105259"</f>
        <v>105259</v>
      </c>
      <c r="C1830" s="19" t="s">
        <v>1829</v>
      </c>
      <c r="D1830" s="19" t="s">
        <v>17262</v>
      </c>
      <c r="E1830" s="19" t="s">
        <v>31523</v>
      </c>
      <c r="F1830" s="19" t="s">
        <v>35983</v>
      </c>
      <c r="G1830" s="18" t="str">
        <f>"33460"</f>
        <v>33460</v>
      </c>
      <c r="H1830" s="19" t="s">
        <v>36130</v>
      </c>
      <c r="I1830" s="20">
        <v>25.675000000000001</v>
      </c>
      <c r="J1830" s="44" t="s">
        <v>8</v>
      </c>
      <c r="K1830" s="23" t="s">
        <v>8</v>
      </c>
      <c r="L1830" s="23" t="s">
        <v>8</v>
      </c>
      <c r="M1830" s="23" t="s">
        <v>8</v>
      </c>
    </row>
    <row r="1831" spans="1:13" s="21" customFormat="1" x14ac:dyDescent="0.25">
      <c r="A1831" s="22" t="s">
        <v>8</v>
      </c>
      <c r="B1831" s="18" t="str">
        <f>"105261"</f>
        <v>105261</v>
      </c>
      <c r="C1831" s="19" t="s">
        <v>1830</v>
      </c>
      <c r="D1831" s="19" t="s">
        <v>17263</v>
      </c>
      <c r="E1831" s="19" t="s">
        <v>31527</v>
      </c>
      <c r="F1831" s="19" t="s">
        <v>35983</v>
      </c>
      <c r="G1831" s="18" t="str">
        <f>"32720"</f>
        <v>32720</v>
      </c>
      <c r="H1831" s="19" t="s">
        <v>36125</v>
      </c>
      <c r="I1831" s="20">
        <v>18.102</v>
      </c>
      <c r="J1831" s="44" t="s">
        <v>8</v>
      </c>
      <c r="K1831" s="23" t="s">
        <v>8</v>
      </c>
      <c r="L1831" s="23" t="s">
        <v>8</v>
      </c>
      <c r="M1831" s="23" t="s">
        <v>8</v>
      </c>
    </row>
    <row r="1832" spans="1:13" s="21" customFormat="1" x14ac:dyDescent="0.25">
      <c r="A1832" s="22" t="s">
        <v>8</v>
      </c>
      <c r="B1832" s="18" t="str">
        <f>"105262"</f>
        <v>105262</v>
      </c>
      <c r="C1832" s="19" t="s">
        <v>1831</v>
      </c>
      <c r="D1832" s="19" t="s">
        <v>17264</v>
      </c>
      <c r="E1832" s="19" t="s">
        <v>31527</v>
      </c>
      <c r="F1832" s="19" t="s">
        <v>35983</v>
      </c>
      <c r="G1832" s="18" t="str">
        <f>"32724"</f>
        <v>32724</v>
      </c>
      <c r="H1832" s="19" t="s">
        <v>36125</v>
      </c>
      <c r="I1832" s="20">
        <v>19.774999999999999</v>
      </c>
      <c r="J1832" s="44" t="s">
        <v>8</v>
      </c>
      <c r="K1832" s="23" t="s">
        <v>8</v>
      </c>
      <c r="L1832" s="23" t="s">
        <v>8</v>
      </c>
      <c r="M1832" s="23" t="s">
        <v>8</v>
      </c>
    </row>
    <row r="1833" spans="1:13" s="21" customFormat="1" x14ac:dyDescent="0.25">
      <c r="A1833" s="22" t="s">
        <v>8</v>
      </c>
      <c r="B1833" s="18" t="str">
        <f>"105265"</f>
        <v>105265</v>
      </c>
      <c r="C1833" s="19" t="s">
        <v>1832</v>
      </c>
      <c r="D1833" s="19" t="s">
        <v>17265</v>
      </c>
      <c r="E1833" s="19" t="s">
        <v>31547</v>
      </c>
      <c r="F1833" s="19" t="s">
        <v>35983</v>
      </c>
      <c r="G1833" s="18" t="str">
        <f>"32548"</f>
        <v>32548</v>
      </c>
      <c r="H1833" s="19" t="s">
        <v>36134</v>
      </c>
      <c r="I1833" s="20">
        <v>21.762</v>
      </c>
      <c r="J1833" s="44" t="s">
        <v>8</v>
      </c>
      <c r="K1833" s="23" t="s">
        <v>8</v>
      </c>
      <c r="L1833" s="23" t="s">
        <v>8</v>
      </c>
      <c r="M1833" s="23" t="s">
        <v>8</v>
      </c>
    </row>
    <row r="1834" spans="1:13" s="21" customFormat="1" x14ac:dyDescent="0.25">
      <c r="A1834" s="22" t="s">
        <v>8</v>
      </c>
      <c r="B1834" s="18" t="str">
        <f>"105267"</f>
        <v>105267</v>
      </c>
      <c r="C1834" s="19" t="s">
        <v>1833</v>
      </c>
      <c r="D1834" s="19" t="s">
        <v>17266</v>
      </c>
      <c r="E1834" s="19" t="s">
        <v>31548</v>
      </c>
      <c r="F1834" s="19" t="s">
        <v>35983</v>
      </c>
      <c r="G1834" s="18" t="str">
        <f>"32504"</f>
        <v>32504</v>
      </c>
      <c r="H1834" s="19" t="s">
        <v>36035</v>
      </c>
      <c r="I1834" s="20">
        <v>18.686</v>
      </c>
      <c r="J1834" s="44" t="s">
        <v>8</v>
      </c>
      <c r="K1834" s="23" t="s">
        <v>8</v>
      </c>
      <c r="L1834" s="23" t="s">
        <v>8</v>
      </c>
      <c r="M1834" s="23" t="s">
        <v>8</v>
      </c>
    </row>
    <row r="1835" spans="1:13" s="21" customFormat="1" x14ac:dyDescent="0.25">
      <c r="A1835" s="22" t="s">
        <v>8</v>
      </c>
      <c r="B1835" s="18" t="str">
        <f>"105268"</f>
        <v>105268</v>
      </c>
      <c r="C1835" s="19" t="s">
        <v>1834</v>
      </c>
      <c r="D1835" s="19" t="s">
        <v>17267</v>
      </c>
      <c r="E1835" s="19" t="s">
        <v>31514</v>
      </c>
      <c r="F1835" s="19" t="s">
        <v>35983</v>
      </c>
      <c r="G1835" s="18" t="str">
        <f>"33407"</f>
        <v>33407</v>
      </c>
      <c r="H1835" s="19" t="s">
        <v>36130</v>
      </c>
      <c r="I1835" s="20">
        <v>17.946999999999999</v>
      </c>
      <c r="J1835" s="44" t="s">
        <v>8</v>
      </c>
      <c r="K1835" s="23" t="s">
        <v>8</v>
      </c>
      <c r="L1835" s="23" t="s">
        <v>8</v>
      </c>
      <c r="M1835" s="23" t="s">
        <v>8</v>
      </c>
    </row>
    <row r="1836" spans="1:13" s="21" customFormat="1" x14ac:dyDescent="0.25">
      <c r="A1836" s="22" t="s">
        <v>8</v>
      </c>
      <c r="B1836" s="18" t="str">
        <f>"105269"</f>
        <v>105269</v>
      </c>
      <c r="C1836" s="19" t="s">
        <v>1835</v>
      </c>
      <c r="D1836" s="19" t="s">
        <v>17268</v>
      </c>
      <c r="E1836" s="19" t="s">
        <v>31549</v>
      </c>
      <c r="F1836" s="19" t="s">
        <v>35983</v>
      </c>
      <c r="G1836" s="18" t="str">
        <f>"33853"</f>
        <v>33853</v>
      </c>
      <c r="H1836" s="19" t="s">
        <v>36062</v>
      </c>
      <c r="I1836" s="20">
        <v>20.927</v>
      </c>
      <c r="J1836" s="44" t="s">
        <v>8</v>
      </c>
      <c r="K1836" s="23" t="s">
        <v>8</v>
      </c>
      <c r="L1836" s="23" t="s">
        <v>8</v>
      </c>
      <c r="M1836" s="23" t="s">
        <v>8</v>
      </c>
    </row>
    <row r="1837" spans="1:13" s="21" customFormat="1" x14ac:dyDescent="0.25">
      <c r="A1837" s="22" t="s">
        <v>8</v>
      </c>
      <c r="B1837" s="18" t="str">
        <f>"105271"</f>
        <v>105271</v>
      </c>
      <c r="C1837" s="19" t="s">
        <v>1836</v>
      </c>
      <c r="D1837" s="19" t="s">
        <v>17269</v>
      </c>
      <c r="E1837" s="19" t="s">
        <v>31550</v>
      </c>
      <c r="F1837" s="19" t="s">
        <v>35983</v>
      </c>
      <c r="G1837" s="18" t="str">
        <f>"33707"</f>
        <v>33707</v>
      </c>
      <c r="H1837" s="19" t="s">
        <v>36128</v>
      </c>
      <c r="I1837" s="20">
        <v>20.082999999999998</v>
      </c>
      <c r="J1837" s="44" t="s">
        <v>8</v>
      </c>
      <c r="K1837" s="23" t="s">
        <v>8</v>
      </c>
      <c r="L1837" s="23" t="s">
        <v>8</v>
      </c>
      <c r="M1837" s="23" t="s">
        <v>8</v>
      </c>
    </row>
    <row r="1838" spans="1:13" s="21" customFormat="1" x14ac:dyDescent="0.25">
      <c r="A1838" s="22" t="s">
        <v>8</v>
      </c>
      <c r="B1838" s="18" t="str">
        <f>"105274"</f>
        <v>105274</v>
      </c>
      <c r="C1838" s="19" t="s">
        <v>1837</v>
      </c>
      <c r="D1838" s="19" t="s">
        <v>17270</v>
      </c>
      <c r="E1838" s="19" t="s">
        <v>31551</v>
      </c>
      <c r="F1838" s="19" t="s">
        <v>35983</v>
      </c>
      <c r="G1838" s="18" t="str">
        <f>"33756"</f>
        <v>33756</v>
      </c>
      <c r="H1838" s="19" t="s">
        <v>36128</v>
      </c>
      <c r="I1838" s="20">
        <v>20.184999999999999</v>
      </c>
      <c r="J1838" s="44" t="s">
        <v>8</v>
      </c>
      <c r="K1838" s="23" t="s">
        <v>8</v>
      </c>
      <c r="L1838" s="23" t="s">
        <v>8</v>
      </c>
      <c r="M1838" s="23" t="s">
        <v>8</v>
      </c>
    </row>
    <row r="1839" spans="1:13" s="21" customFormat="1" x14ac:dyDescent="0.25">
      <c r="A1839" s="22" t="s">
        <v>8</v>
      </c>
      <c r="B1839" s="18" t="str">
        <f>"105275"</f>
        <v>105275</v>
      </c>
      <c r="C1839" s="19" t="s">
        <v>1838</v>
      </c>
      <c r="D1839" s="19" t="s">
        <v>17271</v>
      </c>
      <c r="E1839" s="19" t="s">
        <v>31532</v>
      </c>
      <c r="F1839" s="19" t="s">
        <v>35983</v>
      </c>
      <c r="G1839" s="18" t="str">
        <f>"34653"</f>
        <v>34653</v>
      </c>
      <c r="H1839" s="19" t="s">
        <v>35446</v>
      </c>
      <c r="I1839" s="20">
        <v>20.533999999999999</v>
      </c>
      <c r="J1839" s="44" t="s">
        <v>8</v>
      </c>
      <c r="K1839" s="23" t="s">
        <v>8</v>
      </c>
      <c r="L1839" s="23" t="s">
        <v>8</v>
      </c>
      <c r="M1839" s="23" t="s">
        <v>8</v>
      </c>
    </row>
    <row r="1840" spans="1:13" s="21" customFormat="1" x14ac:dyDescent="0.25">
      <c r="A1840" s="22" t="s">
        <v>8</v>
      </c>
      <c r="B1840" s="18" t="str">
        <f>"105277"</f>
        <v>105277</v>
      </c>
      <c r="C1840" s="19" t="s">
        <v>1839</v>
      </c>
      <c r="D1840" s="19" t="s">
        <v>17272</v>
      </c>
      <c r="E1840" s="19" t="s">
        <v>31552</v>
      </c>
      <c r="F1840" s="19" t="s">
        <v>35983</v>
      </c>
      <c r="G1840" s="18" t="str">
        <f>"34994"</f>
        <v>34994</v>
      </c>
      <c r="H1840" s="19" t="s">
        <v>35168</v>
      </c>
      <c r="I1840" s="20">
        <v>16.347999999999999</v>
      </c>
      <c r="J1840" s="44" t="s">
        <v>8</v>
      </c>
      <c r="K1840" s="23" t="s">
        <v>8</v>
      </c>
      <c r="L1840" s="23" t="s">
        <v>8</v>
      </c>
      <c r="M1840" s="23" t="s">
        <v>8</v>
      </c>
    </row>
    <row r="1841" spans="1:13" s="21" customFormat="1" x14ac:dyDescent="0.25">
      <c r="A1841" s="22" t="s">
        <v>8</v>
      </c>
      <c r="B1841" s="18" t="str">
        <f>"105280"</f>
        <v>105280</v>
      </c>
      <c r="C1841" s="19" t="s">
        <v>1840</v>
      </c>
      <c r="D1841" s="19" t="s">
        <v>17273</v>
      </c>
      <c r="E1841" s="19" t="s">
        <v>31553</v>
      </c>
      <c r="F1841" s="19" t="s">
        <v>35983</v>
      </c>
      <c r="G1841" s="18" t="str">
        <f>"34689"</f>
        <v>34689</v>
      </c>
      <c r="H1841" s="19" t="s">
        <v>36128</v>
      </c>
      <c r="I1841" s="20">
        <v>16.861000000000001</v>
      </c>
      <c r="J1841" s="44" t="s">
        <v>8</v>
      </c>
      <c r="K1841" s="23" t="s">
        <v>8</v>
      </c>
      <c r="L1841" s="23" t="s">
        <v>8</v>
      </c>
      <c r="M1841" s="23" t="s">
        <v>8</v>
      </c>
    </row>
    <row r="1842" spans="1:13" s="21" customFormat="1" x14ac:dyDescent="0.25">
      <c r="A1842" s="22" t="s">
        <v>8</v>
      </c>
      <c r="B1842" s="18" t="str">
        <f>"105282"</f>
        <v>105282</v>
      </c>
      <c r="C1842" s="19" t="s">
        <v>1841</v>
      </c>
      <c r="D1842" s="19" t="s">
        <v>17274</v>
      </c>
      <c r="E1842" s="19" t="s">
        <v>31554</v>
      </c>
      <c r="F1842" s="19" t="s">
        <v>35983</v>
      </c>
      <c r="G1842" s="18" t="str">
        <f>"32326"</f>
        <v>32326</v>
      </c>
      <c r="H1842" s="19" t="s">
        <v>36137</v>
      </c>
      <c r="I1842" s="20">
        <v>17.37</v>
      </c>
      <c r="J1842" s="44" t="s">
        <v>8</v>
      </c>
      <c r="K1842" s="23" t="s">
        <v>8</v>
      </c>
      <c r="L1842" s="23" t="s">
        <v>8</v>
      </c>
      <c r="M1842" s="23" t="s">
        <v>8</v>
      </c>
    </row>
    <row r="1843" spans="1:13" s="21" customFormat="1" x14ac:dyDescent="0.25">
      <c r="A1843" s="22" t="s">
        <v>8</v>
      </c>
      <c r="B1843" s="18" t="str">
        <f>"105283"</f>
        <v>105283</v>
      </c>
      <c r="C1843" s="19" t="s">
        <v>1842</v>
      </c>
      <c r="D1843" s="19" t="s">
        <v>17275</v>
      </c>
      <c r="E1843" s="19" t="s">
        <v>31555</v>
      </c>
      <c r="F1843" s="19" t="s">
        <v>35983</v>
      </c>
      <c r="G1843" s="18" t="str">
        <f>"33805"</f>
        <v>33805</v>
      </c>
      <c r="H1843" s="19" t="s">
        <v>36062</v>
      </c>
      <c r="I1843" s="20">
        <v>18.805</v>
      </c>
      <c r="J1843" s="44" t="s">
        <v>8</v>
      </c>
      <c r="K1843" s="23" t="s">
        <v>8</v>
      </c>
      <c r="L1843" s="23" t="s">
        <v>8</v>
      </c>
      <c r="M1843" s="23" t="s">
        <v>8</v>
      </c>
    </row>
    <row r="1844" spans="1:13" s="21" customFormat="1" x14ac:dyDescent="0.25">
      <c r="A1844" s="22" t="s">
        <v>8</v>
      </c>
      <c r="B1844" s="18" t="str">
        <f>"105285"</f>
        <v>105285</v>
      </c>
      <c r="C1844" s="19" t="s">
        <v>1843</v>
      </c>
      <c r="D1844" s="19" t="s">
        <v>17276</v>
      </c>
      <c r="E1844" s="19" t="s">
        <v>31530</v>
      </c>
      <c r="F1844" s="19" t="s">
        <v>35983</v>
      </c>
      <c r="G1844" s="18" t="str">
        <f>"32405"</f>
        <v>32405</v>
      </c>
      <c r="H1844" s="19" t="s">
        <v>36132</v>
      </c>
      <c r="I1844" s="20">
        <v>16.786999999999999</v>
      </c>
      <c r="J1844" s="44" t="s">
        <v>8</v>
      </c>
      <c r="K1844" s="23" t="s">
        <v>8</v>
      </c>
      <c r="L1844" s="23" t="s">
        <v>8</v>
      </c>
      <c r="M1844" s="23" t="s">
        <v>8</v>
      </c>
    </row>
    <row r="1845" spans="1:13" s="21" customFormat="1" x14ac:dyDescent="0.25">
      <c r="A1845" s="22" t="s">
        <v>8</v>
      </c>
      <c r="B1845" s="18" t="str">
        <f>"105286"</f>
        <v>105286</v>
      </c>
      <c r="C1845" s="19" t="s">
        <v>1844</v>
      </c>
      <c r="D1845" s="19" t="s">
        <v>17277</v>
      </c>
      <c r="E1845" s="19" t="s">
        <v>31556</v>
      </c>
      <c r="F1845" s="19" t="s">
        <v>35983</v>
      </c>
      <c r="G1845" s="18" t="str">
        <f>"33830"</f>
        <v>33830</v>
      </c>
      <c r="H1845" s="19" t="s">
        <v>36062</v>
      </c>
      <c r="I1845" s="20">
        <v>18.053000000000001</v>
      </c>
      <c r="J1845" s="44" t="s">
        <v>8</v>
      </c>
      <c r="K1845" s="23" t="s">
        <v>8</v>
      </c>
      <c r="L1845" s="23" t="s">
        <v>8</v>
      </c>
      <c r="M1845" s="23" t="s">
        <v>8</v>
      </c>
    </row>
    <row r="1846" spans="1:13" s="21" customFormat="1" x14ac:dyDescent="0.25">
      <c r="A1846" s="22" t="s">
        <v>8</v>
      </c>
      <c r="B1846" s="18" t="str">
        <f>"105287"</f>
        <v>105287</v>
      </c>
      <c r="C1846" s="19" t="s">
        <v>1845</v>
      </c>
      <c r="D1846" s="19" t="s">
        <v>17278</v>
      </c>
      <c r="E1846" s="19" t="s">
        <v>30912</v>
      </c>
      <c r="F1846" s="19" t="s">
        <v>35983</v>
      </c>
      <c r="G1846" s="18" t="str">
        <f>"32210"</f>
        <v>32210</v>
      </c>
      <c r="H1846" s="19" t="s">
        <v>36129</v>
      </c>
      <c r="I1846" s="20">
        <v>20.303999999999998</v>
      </c>
      <c r="J1846" s="44" t="s">
        <v>8</v>
      </c>
      <c r="K1846" s="23" t="s">
        <v>8</v>
      </c>
      <c r="L1846" s="23" t="s">
        <v>8</v>
      </c>
      <c r="M1846" s="23" t="s">
        <v>8</v>
      </c>
    </row>
    <row r="1847" spans="1:13" s="21" customFormat="1" x14ac:dyDescent="0.25">
      <c r="A1847" s="22" t="s">
        <v>8</v>
      </c>
      <c r="B1847" s="18" t="str">
        <f>"105289"</f>
        <v>105289</v>
      </c>
      <c r="C1847" s="19" t="s">
        <v>1846</v>
      </c>
      <c r="D1847" s="19" t="s">
        <v>17279</v>
      </c>
      <c r="E1847" s="19" t="s">
        <v>31557</v>
      </c>
      <c r="F1847" s="19" t="s">
        <v>35983</v>
      </c>
      <c r="G1847" s="18" t="str">
        <f>"33950"</f>
        <v>33950</v>
      </c>
      <c r="H1847" s="19" t="s">
        <v>33156</v>
      </c>
      <c r="I1847" s="20">
        <v>17.617000000000001</v>
      </c>
      <c r="J1847" s="44" t="s">
        <v>8</v>
      </c>
      <c r="K1847" s="23" t="s">
        <v>8</v>
      </c>
      <c r="L1847" s="23" t="s">
        <v>8</v>
      </c>
      <c r="M1847" s="23" t="s">
        <v>8</v>
      </c>
    </row>
    <row r="1848" spans="1:13" s="21" customFormat="1" x14ac:dyDescent="0.25">
      <c r="A1848" s="22" t="s">
        <v>8</v>
      </c>
      <c r="B1848" s="18" t="str">
        <f>"105291"</f>
        <v>105291</v>
      </c>
      <c r="C1848" s="19" t="s">
        <v>1847</v>
      </c>
      <c r="D1848" s="19" t="s">
        <v>17280</v>
      </c>
      <c r="E1848" s="19" t="s">
        <v>31057</v>
      </c>
      <c r="F1848" s="19" t="s">
        <v>35983</v>
      </c>
      <c r="G1848" s="18" t="str">
        <f>"32901"</f>
        <v>32901</v>
      </c>
      <c r="H1848" s="19" t="s">
        <v>34287</v>
      </c>
      <c r="I1848" s="20">
        <v>20.276</v>
      </c>
      <c r="J1848" s="44" t="s">
        <v>8</v>
      </c>
      <c r="K1848" s="23" t="s">
        <v>8</v>
      </c>
      <c r="L1848" s="23" t="s">
        <v>8</v>
      </c>
      <c r="M1848" s="23" t="s">
        <v>8</v>
      </c>
    </row>
    <row r="1849" spans="1:13" s="21" customFormat="1" x14ac:dyDescent="0.25">
      <c r="A1849" s="22" t="s">
        <v>8</v>
      </c>
      <c r="B1849" s="18" t="str">
        <f>"105292"</f>
        <v>105292</v>
      </c>
      <c r="C1849" s="19" t="s">
        <v>1848</v>
      </c>
      <c r="D1849" s="19" t="s">
        <v>17281</v>
      </c>
      <c r="E1849" s="19" t="s">
        <v>31517</v>
      </c>
      <c r="F1849" s="19" t="s">
        <v>35983</v>
      </c>
      <c r="G1849" s="18" t="str">
        <f>"33710"</f>
        <v>33710</v>
      </c>
      <c r="H1849" s="19" t="s">
        <v>36128</v>
      </c>
      <c r="I1849" s="20">
        <v>19.399000000000001</v>
      </c>
      <c r="J1849" s="44" t="s">
        <v>8</v>
      </c>
      <c r="K1849" s="23" t="s">
        <v>8</v>
      </c>
      <c r="L1849" s="23" t="s">
        <v>8</v>
      </c>
      <c r="M1849" s="23" t="s">
        <v>8</v>
      </c>
    </row>
    <row r="1850" spans="1:13" s="21" customFormat="1" x14ac:dyDescent="0.25">
      <c r="A1850" s="22" t="s">
        <v>8</v>
      </c>
      <c r="B1850" s="18" t="str">
        <f>"105293"</f>
        <v>105293</v>
      </c>
      <c r="C1850" s="19" t="s">
        <v>1849</v>
      </c>
      <c r="D1850" s="19" t="s">
        <v>17282</v>
      </c>
      <c r="E1850" s="19" t="s">
        <v>31517</v>
      </c>
      <c r="F1850" s="19" t="s">
        <v>35983</v>
      </c>
      <c r="G1850" s="18" t="str">
        <f>"33707"</f>
        <v>33707</v>
      </c>
      <c r="H1850" s="19" t="s">
        <v>36128</v>
      </c>
      <c r="I1850" s="20">
        <v>18.943000000000001</v>
      </c>
      <c r="J1850" s="44" t="s">
        <v>8</v>
      </c>
      <c r="K1850" s="23" t="s">
        <v>8</v>
      </c>
      <c r="L1850" s="23" t="s">
        <v>8</v>
      </c>
      <c r="M1850" s="23" t="s">
        <v>8</v>
      </c>
    </row>
    <row r="1851" spans="1:13" s="21" customFormat="1" x14ac:dyDescent="0.25">
      <c r="A1851" s="22" t="s">
        <v>8</v>
      </c>
      <c r="B1851" s="18" t="str">
        <f>"105295"</f>
        <v>105295</v>
      </c>
      <c r="C1851" s="19" t="s">
        <v>1850</v>
      </c>
      <c r="D1851" s="19" t="s">
        <v>17283</v>
      </c>
      <c r="E1851" s="19" t="s">
        <v>31547</v>
      </c>
      <c r="F1851" s="19" t="s">
        <v>35983</v>
      </c>
      <c r="G1851" s="18" t="str">
        <f>"32547"</f>
        <v>32547</v>
      </c>
      <c r="H1851" s="19" t="s">
        <v>36134</v>
      </c>
      <c r="I1851" s="20">
        <v>19.684000000000001</v>
      </c>
      <c r="J1851" s="44" t="s">
        <v>8</v>
      </c>
      <c r="K1851" s="23" t="s">
        <v>8</v>
      </c>
      <c r="L1851" s="23" t="s">
        <v>8</v>
      </c>
      <c r="M1851" s="23" t="s">
        <v>8</v>
      </c>
    </row>
    <row r="1852" spans="1:13" s="21" customFormat="1" x14ac:dyDescent="0.25">
      <c r="A1852" s="22" t="s">
        <v>8</v>
      </c>
      <c r="B1852" s="18" t="str">
        <f>"105296"</f>
        <v>105296</v>
      </c>
      <c r="C1852" s="19" t="s">
        <v>1851</v>
      </c>
      <c r="D1852" s="19" t="s">
        <v>17284</v>
      </c>
      <c r="E1852" s="19" t="s">
        <v>31558</v>
      </c>
      <c r="F1852" s="19" t="s">
        <v>35983</v>
      </c>
      <c r="G1852" s="18" t="str">
        <f>"33004"</f>
        <v>33004</v>
      </c>
      <c r="H1852" s="19" t="s">
        <v>36127</v>
      </c>
      <c r="I1852" s="20">
        <v>22</v>
      </c>
      <c r="J1852" s="44" t="s">
        <v>8</v>
      </c>
      <c r="K1852" s="23" t="s">
        <v>8</v>
      </c>
      <c r="L1852" s="23" t="s">
        <v>8</v>
      </c>
      <c r="M1852" s="23" t="s">
        <v>8</v>
      </c>
    </row>
    <row r="1853" spans="1:13" s="21" customFormat="1" x14ac:dyDescent="0.25">
      <c r="A1853" s="22" t="s">
        <v>8</v>
      </c>
      <c r="B1853" s="18" t="str">
        <f>"105297"</f>
        <v>105297</v>
      </c>
      <c r="C1853" s="19" t="s">
        <v>1852</v>
      </c>
      <c r="D1853" s="19" t="s">
        <v>17285</v>
      </c>
      <c r="E1853" s="19" t="s">
        <v>31559</v>
      </c>
      <c r="F1853" s="19" t="s">
        <v>35983</v>
      </c>
      <c r="G1853" s="18" t="str">
        <f>"34601"</f>
        <v>34601</v>
      </c>
      <c r="H1853" s="19" t="s">
        <v>31676</v>
      </c>
      <c r="I1853" s="20">
        <v>22.608000000000001</v>
      </c>
      <c r="J1853" s="44" t="s">
        <v>8</v>
      </c>
      <c r="K1853" s="23" t="s">
        <v>8</v>
      </c>
      <c r="L1853" s="23" t="s">
        <v>8</v>
      </c>
      <c r="M1853" s="23" t="s">
        <v>8</v>
      </c>
    </row>
    <row r="1854" spans="1:13" s="21" customFormat="1" x14ac:dyDescent="0.25">
      <c r="A1854" s="22" t="s">
        <v>8</v>
      </c>
      <c r="B1854" s="18" t="str">
        <f>"105298"</f>
        <v>105298</v>
      </c>
      <c r="C1854" s="19" t="s">
        <v>1853</v>
      </c>
      <c r="D1854" s="19" t="s">
        <v>17286</v>
      </c>
      <c r="E1854" s="19" t="s">
        <v>31519</v>
      </c>
      <c r="F1854" s="19" t="s">
        <v>35983</v>
      </c>
      <c r="G1854" s="18" t="str">
        <f>"33308"</f>
        <v>33308</v>
      </c>
      <c r="H1854" s="19" t="s">
        <v>36127</v>
      </c>
      <c r="I1854" s="20">
        <v>21.417000000000002</v>
      </c>
      <c r="J1854" s="44" t="s">
        <v>8</v>
      </c>
      <c r="K1854" s="23" t="s">
        <v>8</v>
      </c>
      <c r="L1854" s="23" t="s">
        <v>8</v>
      </c>
      <c r="M1854" s="23" t="s">
        <v>8</v>
      </c>
    </row>
    <row r="1855" spans="1:13" s="21" customFormat="1" x14ac:dyDescent="0.25">
      <c r="A1855" s="22" t="s">
        <v>8</v>
      </c>
      <c r="B1855" s="18" t="str">
        <f>"105299"</f>
        <v>105299</v>
      </c>
      <c r="C1855" s="19" t="s">
        <v>1854</v>
      </c>
      <c r="D1855" s="19" t="s">
        <v>17287</v>
      </c>
      <c r="E1855" s="19" t="s">
        <v>31526</v>
      </c>
      <c r="F1855" s="19" t="s">
        <v>35983</v>
      </c>
      <c r="G1855" s="18" t="str">
        <f>"33610"</f>
        <v>33610</v>
      </c>
      <c r="H1855" s="19" t="s">
        <v>33986</v>
      </c>
      <c r="I1855" s="20">
        <v>17.018999999999998</v>
      </c>
      <c r="J1855" s="44" t="s">
        <v>8</v>
      </c>
      <c r="K1855" s="23" t="s">
        <v>8</v>
      </c>
      <c r="L1855" s="23" t="s">
        <v>8</v>
      </c>
      <c r="M1855" s="23" t="s">
        <v>8</v>
      </c>
    </row>
    <row r="1856" spans="1:13" s="21" customFormat="1" x14ac:dyDescent="0.25">
      <c r="A1856" s="22" t="s">
        <v>8</v>
      </c>
      <c r="B1856" s="18" t="str">
        <f>"105300"</f>
        <v>105300</v>
      </c>
      <c r="C1856" s="19" t="s">
        <v>1855</v>
      </c>
      <c r="D1856" s="19" t="s">
        <v>17288</v>
      </c>
      <c r="E1856" s="19" t="s">
        <v>31560</v>
      </c>
      <c r="F1856" s="19" t="s">
        <v>35983</v>
      </c>
      <c r="G1856" s="18" t="str">
        <f>"33455"</f>
        <v>33455</v>
      </c>
      <c r="H1856" s="19" t="s">
        <v>35168</v>
      </c>
      <c r="I1856" s="20">
        <v>17.768000000000001</v>
      </c>
      <c r="J1856" s="44" t="s">
        <v>8</v>
      </c>
      <c r="K1856" s="23" t="s">
        <v>8</v>
      </c>
      <c r="L1856" s="23" t="s">
        <v>8</v>
      </c>
      <c r="M1856" s="23" t="s">
        <v>8</v>
      </c>
    </row>
    <row r="1857" spans="1:13" s="21" customFormat="1" x14ac:dyDescent="0.25">
      <c r="A1857" s="22" t="s">
        <v>8</v>
      </c>
      <c r="B1857" s="18" t="str">
        <f>"105301"</f>
        <v>105301</v>
      </c>
      <c r="C1857" s="19" t="s">
        <v>1856</v>
      </c>
      <c r="D1857" s="19" t="s">
        <v>17289</v>
      </c>
      <c r="E1857" s="19" t="s">
        <v>31555</v>
      </c>
      <c r="F1857" s="19" t="s">
        <v>35983</v>
      </c>
      <c r="G1857" s="18" t="str">
        <f>"33810"</f>
        <v>33810</v>
      </c>
      <c r="H1857" s="19" t="s">
        <v>36062</v>
      </c>
      <c r="I1857" s="20">
        <v>22.007000000000001</v>
      </c>
      <c r="J1857" s="44" t="s">
        <v>8</v>
      </c>
      <c r="K1857" s="23" t="s">
        <v>8</v>
      </c>
      <c r="L1857" s="23" t="s">
        <v>8</v>
      </c>
      <c r="M1857" s="23" t="s">
        <v>8</v>
      </c>
    </row>
    <row r="1858" spans="1:13" s="21" customFormat="1" x14ac:dyDescent="0.25">
      <c r="A1858" s="22" t="s">
        <v>8</v>
      </c>
      <c r="B1858" s="18" t="str">
        <f>"105302"</f>
        <v>105302</v>
      </c>
      <c r="C1858" s="19" t="s">
        <v>1857</v>
      </c>
      <c r="D1858" s="19" t="s">
        <v>17290</v>
      </c>
      <c r="E1858" s="19" t="s">
        <v>31561</v>
      </c>
      <c r="F1858" s="19" t="s">
        <v>35983</v>
      </c>
      <c r="G1858" s="18" t="str">
        <f>"33823"</f>
        <v>33823</v>
      </c>
      <c r="H1858" s="19" t="s">
        <v>36062</v>
      </c>
      <c r="I1858" s="20">
        <v>18.376999999999999</v>
      </c>
      <c r="J1858" s="44" t="s">
        <v>8</v>
      </c>
      <c r="K1858" s="23" t="s">
        <v>8</v>
      </c>
      <c r="L1858" s="23" t="s">
        <v>8</v>
      </c>
      <c r="M1858" s="23" t="s">
        <v>8</v>
      </c>
    </row>
    <row r="1859" spans="1:13" s="21" customFormat="1" x14ac:dyDescent="0.25">
      <c r="A1859" s="22" t="s">
        <v>8</v>
      </c>
      <c r="B1859" s="18" t="str">
        <f>"105304"</f>
        <v>105304</v>
      </c>
      <c r="C1859" s="19" t="s">
        <v>1858</v>
      </c>
      <c r="D1859" s="19" t="s">
        <v>17291</v>
      </c>
      <c r="E1859" s="19" t="s">
        <v>31562</v>
      </c>
      <c r="F1859" s="19" t="s">
        <v>35983</v>
      </c>
      <c r="G1859" s="18" t="str">
        <f>"34748"</f>
        <v>34748</v>
      </c>
      <c r="H1859" s="19" t="s">
        <v>36096</v>
      </c>
      <c r="I1859" s="20">
        <v>22.681000000000001</v>
      </c>
      <c r="J1859" s="44" t="s">
        <v>8</v>
      </c>
      <c r="K1859" s="23" t="s">
        <v>8</v>
      </c>
      <c r="L1859" s="23" t="s">
        <v>8</v>
      </c>
      <c r="M1859" s="23" t="s">
        <v>8</v>
      </c>
    </row>
    <row r="1860" spans="1:13" s="21" customFormat="1" x14ac:dyDescent="0.25">
      <c r="A1860" s="22" t="s">
        <v>8</v>
      </c>
      <c r="B1860" s="18" t="str">
        <f>"105305"</f>
        <v>105305</v>
      </c>
      <c r="C1860" s="19" t="s">
        <v>1859</v>
      </c>
      <c r="D1860" s="19" t="s">
        <v>17292</v>
      </c>
      <c r="E1860" s="19" t="s">
        <v>31526</v>
      </c>
      <c r="F1860" s="19" t="s">
        <v>35983</v>
      </c>
      <c r="G1860" s="18" t="str">
        <f>"33613"</f>
        <v>33613</v>
      </c>
      <c r="H1860" s="19" t="s">
        <v>33986</v>
      </c>
      <c r="I1860" s="20">
        <v>20.95</v>
      </c>
      <c r="J1860" s="44" t="s">
        <v>8</v>
      </c>
      <c r="K1860" s="23" t="s">
        <v>8</v>
      </c>
      <c r="L1860" s="23" t="s">
        <v>8</v>
      </c>
      <c r="M1860" s="23" t="s">
        <v>8</v>
      </c>
    </row>
    <row r="1861" spans="1:13" s="21" customFormat="1" x14ac:dyDescent="0.25">
      <c r="A1861" s="22" t="s">
        <v>8</v>
      </c>
      <c r="B1861" s="18" t="str">
        <f>"105307"</f>
        <v>105307</v>
      </c>
      <c r="C1861" s="19" t="s">
        <v>1860</v>
      </c>
      <c r="D1861" s="19" t="s">
        <v>17293</v>
      </c>
      <c r="E1861" s="19" t="s">
        <v>31563</v>
      </c>
      <c r="F1861" s="19" t="s">
        <v>35983</v>
      </c>
      <c r="G1861" s="18" t="str">
        <f>"32792"</f>
        <v>32792</v>
      </c>
      <c r="H1861" s="19" t="s">
        <v>31169</v>
      </c>
      <c r="I1861" s="20">
        <v>23.794</v>
      </c>
      <c r="J1861" s="44" t="s">
        <v>8</v>
      </c>
      <c r="K1861" s="23" t="s">
        <v>8</v>
      </c>
      <c r="L1861" s="23" t="s">
        <v>8</v>
      </c>
      <c r="M1861" s="23" t="s">
        <v>8</v>
      </c>
    </row>
    <row r="1862" spans="1:13" s="21" customFormat="1" x14ac:dyDescent="0.25">
      <c r="A1862" s="22" t="s">
        <v>8</v>
      </c>
      <c r="B1862" s="18" t="str">
        <f>"105308"</f>
        <v>105308</v>
      </c>
      <c r="C1862" s="19" t="s">
        <v>1861</v>
      </c>
      <c r="D1862" s="19" t="s">
        <v>17294</v>
      </c>
      <c r="E1862" s="19" t="s">
        <v>31564</v>
      </c>
      <c r="F1862" s="19" t="s">
        <v>35983</v>
      </c>
      <c r="G1862" s="18" t="str">
        <f>"34452"</f>
        <v>34452</v>
      </c>
      <c r="H1862" s="19" t="s">
        <v>36138</v>
      </c>
      <c r="I1862" s="20">
        <v>21.141999999999999</v>
      </c>
      <c r="J1862" s="44" t="s">
        <v>8</v>
      </c>
      <c r="K1862" s="23" t="s">
        <v>8</v>
      </c>
      <c r="L1862" s="23" t="s">
        <v>8</v>
      </c>
      <c r="M1862" s="23" t="s">
        <v>8</v>
      </c>
    </row>
    <row r="1863" spans="1:13" s="21" customFormat="1" x14ac:dyDescent="0.25">
      <c r="A1863" s="22" t="s">
        <v>8</v>
      </c>
      <c r="B1863" s="18" t="str">
        <f>"105310"</f>
        <v>105310</v>
      </c>
      <c r="C1863" s="19" t="s">
        <v>1862</v>
      </c>
      <c r="D1863" s="19" t="s">
        <v>17295</v>
      </c>
      <c r="E1863" s="19" t="s">
        <v>31565</v>
      </c>
      <c r="F1863" s="19" t="s">
        <v>35983</v>
      </c>
      <c r="G1863" s="18" t="str">
        <f>"32174"</f>
        <v>32174</v>
      </c>
      <c r="H1863" s="19" t="s">
        <v>36125</v>
      </c>
      <c r="I1863" s="20">
        <v>19.87</v>
      </c>
      <c r="J1863" s="44" t="s">
        <v>8</v>
      </c>
      <c r="K1863" s="23" t="s">
        <v>8</v>
      </c>
      <c r="L1863" s="23" t="s">
        <v>8</v>
      </c>
      <c r="M1863" s="23" t="s">
        <v>8</v>
      </c>
    </row>
    <row r="1864" spans="1:13" s="21" customFormat="1" x14ac:dyDescent="0.25">
      <c r="A1864" s="22" t="s">
        <v>8</v>
      </c>
      <c r="B1864" s="18" t="str">
        <f>"105311"</f>
        <v>105311</v>
      </c>
      <c r="C1864" s="19" t="s">
        <v>1863</v>
      </c>
      <c r="D1864" s="19" t="s">
        <v>17296</v>
      </c>
      <c r="E1864" s="19" t="s">
        <v>31506</v>
      </c>
      <c r="F1864" s="19" t="s">
        <v>35983</v>
      </c>
      <c r="G1864" s="18" t="str">
        <f>"32117"</f>
        <v>32117</v>
      </c>
      <c r="H1864" s="19" t="s">
        <v>36125</v>
      </c>
      <c r="I1864" s="20">
        <v>18.798999999999999</v>
      </c>
      <c r="J1864" s="44" t="s">
        <v>8</v>
      </c>
      <c r="K1864" s="23" t="s">
        <v>8</v>
      </c>
      <c r="L1864" s="23" t="s">
        <v>8</v>
      </c>
      <c r="M1864" s="23" t="s">
        <v>8</v>
      </c>
    </row>
    <row r="1865" spans="1:13" s="21" customFormat="1" x14ac:dyDescent="0.25">
      <c r="A1865" s="22" t="s">
        <v>8</v>
      </c>
      <c r="B1865" s="18" t="str">
        <f>"105315"</f>
        <v>105315</v>
      </c>
      <c r="C1865" s="19" t="s">
        <v>1864</v>
      </c>
      <c r="D1865" s="19" t="s">
        <v>17297</v>
      </c>
      <c r="E1865" s="19" t="s">
        <v>31566</v>
      </c>
      <c r="F1865" s="19" t="s">
        <v>35983</v>
      </c>
      <c r="G1865" s="18" t="str">
        <f>"32084"</f>
        <v>32084</v>
      </c>
      <c r="H1865" s="19" t="s">
        <v>33300</v>
      </c>
      <c r="I1865" s="20">
        <v>21.413</v>
      </c>
      <c r="J1865" s="44" t="s">
        <v>8</v>
      </c>
      <c r="K1865" s="23" t="s">
        <v>8</v>
      </c>
      <c r="L1865" s="23" t="s">
        <v>8</v>
      </c>
      <c r="M1865" s="23" t="s">
        <v>8</v>
      </c>
    </row>
    <row r="1866" spans="1:13" s="21" customFormat="1" x14ac:dyDescent="0.25">
      <c r="A1866" s="22" t="s">
        <v>8</v>
      </c>
      <c r="B1866" s="18" t="str">
        <f>"105317"</f>
        <v>105317</v>
      </c>
      <c r="C1866" s="19" t="s">
        <v>1865</v>
      </c>
      <c r="D1866" s="19" t="s">
        <v>17298</v>
      </c>
      <c r="E1866" s="19" t="s">
        <v>31567</v>
      </c>
      <c r="F1866" s="19" t="s">
        <v>35983</v>
      </c>
      <c r="G1866" s="18" t="str">
        <f>"34429"</f>
        <v>34429</v>
      </c>
      <c r="H1866" s="19" t="s">
        <v>36138</v>
      </c>
      <c r="I1866" s="20">
        <v>20.542999999999999</v>
      </c>
      <c r="J1866" s="44" t="s">
        <v>8</v>
      </c>
      <c r="K1866" s="23" t="s">
        <v>8</v>
      </c>
      <c r="L1866" s="23" t="s">
        <v>8</v>
      </c>
      <c r="M1866" s="23" t="s">
        <v>8</v>
      </c>
    </row>
    <row r="1867" spans="1:13" s="21" customFormat="1" x14ac:dyDescent="0.25">
      <c r="A1867" s="22" t="s">
        <v>8</v>
      </c>
      <c r="B1867" s="18" t="str">
        <f>"105319"</f>
        <v>105319</v>
      </c>
      <c r="C1867" s="19" t="s">
        <v>1866</v>
      </c>
      <c r="D1867" s="19" t="s">
        <v>17299</v>
      </c>
      <c r="E1867" s="19" t="s">
        <v>31568</v>
      </c>
      <c r="F1867" s="19" t="s">
        <v>35983</v>
      </c>
      <c r="G1867" s="18" t="str">
        <f>"33573"</f>
        <v>33573</v>
      </c>
      <c r="H1867" s="19" t="s">
        <v>33986</v>
      </c>
      <c r="I1867" s="20">
        <v>24.593</v>
      </c>
      <c r="J1867" s="44" t="s">
        <v>8</v>
      </c>
      <c r="K1867" s="23" t="s">
        <v>8</v>
      </c>
      <c r="L1867" s="23" t="s">
        <v>8</v>
      </c>
      <c r="M1867" s="23" t="s">
        <v>8</v>
      </c>
    </row>
    <row r="1868" spans="1:13" s="21" customFormat="1" x14ac:dyDescent="0.25">
      <c r="A1868" s="22" t="s">
        <v>8</v>
      </c>
      <c r="B1868" s="18" t="str">
        <f>"105320"</f>
        <v>105320</v>
      </c>
      <c r="C1868" s="19" t="s">
        <v>1867</v>
      </c>
      <c r="D1868" s="19" t="s">
        <v>17300</v>
      </c>
      <c r="E1868" s="19" t="s">
        <v>31569</v>
      </c>
      <c r="F1868" s="19" t="s">
        <v>35983</v>
      </c>
      <c r="G1868" s="18" t="str">
        <f>"33525"</f>
        <v>33525</v>
      </c>
      <c r="H1868" s="19" t="s">
        <v>35446</v>
      </c>
      <c r="I1868" s="20">
        <v>18.617999999999999</v>
      </c>
      <c r="J1868" s="44" t="s">
        <v>8</v>
      </c>
      <c r="K1868" s="23" t="s">
        <v>8</v>
      </c>
      <c r="L1868" s="23" t="s">
        <v>8</v>
      </c>
      <c r="M1868" s="23" t="s">
        <v>8</v>
      </c>
    </row>
    <row r="1869" spans="1:13" s="21" customFormat="1" x14ac:dyDescent="0.25">
      <c r="A1869" s="22" t="s">
        <v>8</v>
      </c>
      <c r="B1869" s="18" t="str">
        <f>"105321"</f>
        <v>105321</v>
      </c>
      <c r="C1869" s="19" t="s">
        <v>1868</v>
      </c>
      <c r="D1869" s="19" t="s">
        <v>17301</v>
      </c>
      <c r="E1869" s="19" t="s">
        <v>31538</v>
      </c>
      <c r="F1869" s="19" t="s">
        <v>35983</v>
      </c>
      <c r="G1869" s="18" t="str">
        <f>"34471"</f>
        <v>34471</v>
      </c>
      <c r="H1869" s="19" t="s">
        <v>30850</v>
      </c>
      <c r="I1869" s="20">
        <v>23.27</v>
      </c>
      <c r="J1869" s="44" t="s">
        <v>8</v>
      </c>
      <c r="K1869" s="23" t="s">
        <v>8</v>
      </c>
      <c r="L1869" s="23" t="s">
        <v>8</v>
      </c>
      <c r="M1869" s="23" t="s">
        <v>8</v>
      </c>
    </row>
    <row r="1870" spans="1:13" s="21" customFormat="1" x14ac:dyDescent="0.25">
      <c r="A1870" s="22" t="s">
        <v>8</v>
      </c>
      <c r="B1870" s="18" t="str">
        <f>"105323"</f>
        <v>105323</v>
      </c>
      <c r="C1870" s="19" t="s">
        <v>1869</v>
      </c>
      <c r="D1870" s="19" t="s">
        <v>17302</v>
      </c>
      <c r="E1870" s="19" t="s">
        <v>31551</v>
      </c>
      <c r="F1870" s="19" t="s">
        <v>35983</v>
      </c>
      <c r="G1870" s="18" t="str">
        <f>"33756"</f>
        <v>33756</v>
      </c>
      <c r="H1870" s="19" t="s">
        <v>36128</v>
      </c>
      <c r="I1870" s="20">
        <v>18.899000000000001</v>
      </c>
      <c r="J1870" s="44" t="s">
        <v>8</v>
      </c>
      <c r="K1870" s="23" t="s">
        <v>8</v>
      </c>
      <c r="L1870" s="23" t="s">
        <v>8</v>
      </c>
      <c r="M1870" s="23" t="s">
        <v>8</v>
      </c>
    </row>
    <row r="1871" spans="1:13" s="21" customFormat="1" x14ac:dyDescent="0.25">
      <c r="A1871" s="22" t="s">
        <v>8</v>
      </c>
      <c r="B1871" s="18" t="str">
        <f>"105324"</f>
        <v>105324</v>
      </c>
      <c r="C1871" s="19" t="s">
        <v>1870</v>
      </c>
      <c r="D1871" s="19" t="s">
        <v>17303</v>
      </c>
      <c r="E1871" s="19" t="s">
        <v>31505</v>
      </c>
      <c r="F1871" s="19" t="s">
        <v>35983</v>
      </c>
      <c r="G1871" s="18" t="str">
        <f>"32726"</f>
        <v>32726</v>
      </c>
      <c r="H1871" s="19" t="s">
        <v>36096</v>
      </c>
      <c r="I1871" s="20">
        <v>16.77</v>
      </c>
      <c r="J1871" s="44" t="s">
        <v>8</v>
      </c>
      <c r="K1871" s="23" t="s">
        <v>8</v>
      </c>
      <c r="L1871" s="23" t="s">
        <v>8</v>
      </c>
      <c r="M1871" s="23" t="s">
        <v>8</v>
      </c>
    </row>
    <row r="1872" spans="1:13" s="21" customFormat="1" x14ac:dyDescent="0.25">
      <c r="A1872" s="22" t="s">
        <v>8</v>
      </c>
      <c r="B1872" s="18" t="str">
        <f>"105325"</f>
        <v>105325</v>
      </c>
      <c r="C1872" s="19" t="s">
        <v>1871</v>
      </c>
      <c r="D1872" s="19" t="s">
        <v>17304</v>
      </c>
      <c r="E1872" s="19" t="s">
        <v>31570</v>
      </c>
      <c r="F1872" s="19" t="s">
        <v>35983</v>
      </c>
      <c r="G1872" s="18" t="str">
        <f>"32953"</f>
        <v>32953</v>
      </c>
      <c r="H1872" s="19" t="s">
        <v>34287</v>
      </c>
      <c r="I1872" s="20">
        <v>16.652000000000001</v>
      </c>
      <c r="J1872" s="44" t="s">
        <v>8</v>
      </c>
      <c r="K1872" s="23" t="s">
        <v>8</v>
      </c>
      <c r="L1872" s="23" t="s">
        <v>8</v>
      </c>
      <c r="M1872" s="23" t="s">
        <v>8</v>
      </c>
    </row>
    <row r="1873" spans="1:13" s="21" customFormat="1" x14ac:dyDescent="0.25">
      <c r="A1873" s="22" t="s">
        <v>8</v>
      </c>
      <c r="B1873" s="18" t="str">
        <f>"105326"</f>
        <v>105326</v>
      </c>
      <c r="C1873" s="19" t="s">
        <v>1872</v>
      </c>
      <c r="D1873" s="19" t="s">
        <v>17305</v>
      </c>
      <c r="E1873" s="19" t="s">
        <v>31526</v>
      </c>
      <c r="F1873" s="19" t="s">
        <v>35983</v>
      </c>
      <c r="G1873" s="18" t="str">
        <f>"33629"</f>
        <v>33629</v>
      </c>
      <c r="H1873" s="19" t="s">
        <v>33986</v>
      </c>
      <c r="I1873" s="20">
        <v>21.678999999999998</v>
      </c>
      <c r="J1873" s="44" t="s">
        <v>8</v>
      </c>
      <c r="K1873" s="23" t="s">
        <v>8</v>
      </c>
      <c r="L1873" s="23" t="s">
        <v>8</v>
      </c>
      <c r="M1873" s="23" t="s">
        <v>8</v>
      </c>
    </row>
    <row r="1874" spans="1:13" s="21" customFormat="1" x14ac:dyDescent="0.25">
      <c r="A1874" s="22" t="s">
        <v>8</v>
      </c>
      <c r="B1874" s="18" t="str">
        <f>"105327"</f>
        <v>105327</v>
      </c>
      <c r="C1874" s="19" t="s">
        <v>1873</v>
      </c>
      <c r="D1874" s="19" t="s">
        <v>17306</v>
      </c>
      <c r="E1874" s="19" t="s">
        <v>31515</v>
      </c>
      <c r="F1874" s="19" t="s">
        <v>35983</v>
      </c>
      <c r="G1874" s="18" t="str">
        <f>"34209"</f>
        <v>34209</v>
      </c>
      <c r="H1874" s="19" t="s">
        <v>36131</v>
      </c>
      <c r="I1874" s="20">
        <v>21.63</v>
      </c>
      <c r="J1874" s="44" t="s">
        <v>8</v>
      </c>
      <c r="K1874" s="23" t="s">
        <v>8</v>
      </c>
      <c r="L1874" s="23" t="s">
        <v>8</v>
      </c>
      <c r="M1874" s="23" t="s">
        <v>8</v>
      </c>
    </row>
    <row r="1875" spans="1:13" s="21" customFormat="1" x14ac:dyDescent="0.25">
      <c r="A1875" s="22" t="s">
        <v>8</v>
      </c>
      <c r="B1875" s="18" t="str">
        <f>"105328"</f>
        <v>105328</v>
      </c>
      <c r="C1875" s="19" t="s">
        <v>1874</v>
      </c>
      <c r="D1875" s="19" t="s">
        <v>17307</v>
      </c>
      <c r="E1875" s="19" t="s">
        <v>31571</v>
      </c>
      <c r="F1875" s="19" t="s">
        <v>35983</v>
      </c>
      <c r="G1875" s="18" t="str">
        <f>"32570"</f>
        <v>32570</v>
      </c>
      <c r="H1875" s="19" t="s">
        <v>31260</v>
      </c>
      <c r="I1875" s="20">
        <v>18.143000000000001</v>
      </c>
      <c r="J1875" s="44" t="s">
        <v>8</v>
      </c>
      <c r="K1875" s="23" t="s">
        <v>8</v>
      </c>
      <c r="L1875" s="23" t="s">
        <v>8</v>
      </c>
      <c r="M1875" s="23" t="s">
        <v>8</v>
      </c>
    </row>
    <row r="1876" spans="1:13" s="21" customFormat="1" x14ac:dyDescent="0.25">
      <c r="A1876" s="22" t="s">
        <v>8</v>
      </c>
      <c r="B1876" s="18" t="str">
        <f>"105329"</f>
        <v>105329</v>
      </c>
      <c r="C1876" s="19" t="s">
        <v>1875</v>
      </c>
      <c r="D1876" s="19" t="s">
        <v>17308</v>
      </c>
      <c r="E1876" s="19" t="s">
        <v>31540</v>
      </c>
      <c r="F1876" s="19" t="s">
        <v>35983</v>
      </c>
      <c r="G1876" s="18" t="str">
        <f>"33139"</f>
        <v>33139</v>
      </c>
      <c r="H1876" s="19" t="s">
        <v>36126</v>
      </c>
      <c r="I1876" s="20">
        <v>19.867000000000001</v>
      </c>
      <c r="J1876" s="44" t="s">
        <v>8</v>
      </c>
      <c r="K1876" s="23" t="s">
        <v>8</v>
      </c>
      <c r="L1876" s="23" t="s">
        <v>8</v>
      </c>
      <c r="M1876" s="23" t="s">
        <v>8</v>
      </c>
    </row>
    <row r="1877" spans="1:13" s="21" customFormat="1" x14ac:dyDescent="0.25">
      <c r="A1877" s="22" t="s">
        <v>8</v>
      </c>
      <c r="B1877" s="18" t="str">
        <f>"105331"</f>
        <v>105331</v>
      </c>
      <c r="C1877" s="19" t="s">
        <v>1876</v>
      </c>
      <c r="D1877" s="19" t="s">
        <v>17309</v>
      </c>
      <c r="E1877" s="19" t="s">
        <v>31522</v>
      </c>
      <c r="F1877" s="19" t="s">
        <v>35983</v>
      </c>
      <c r="G1877" s="18" t="str">
        <f>"33162"</f>
        <v>33162</v>
      </c>
      <c r="H1877" s="19" t="s">
        <v>36126</v>
      </c>
      <c r="I1877" s="20">
        <v>18.207999999999998</v>
      </c>
      <c r="J1877" s="44" t="s">
        <v>8</v>
      </c>
      <c r="K1877" s="23" t="s">
        <v>8</v>
      </c>
      <c r="L1877" s="23" t="s">
        <v>8</v>
      </c>
      <c r="M1877" s="23" t="s">
        <v>8</v>
      </c>
    </row>
    <row r="1878" spans="1:13" s="21" customFormat="1" x14ac:dyDescent="0.25">
      <c r="A1878" s="22" t="s">
        <v>8</v>
      </c>
      <c r="B1878" s="18" t="str">
        <f>"105332"</f>
        <v>105332</v>
      </c>
      <c r="C1878" s="19" t="s">
        <v>1877</v>
      </c>
      <c r="D1878" s="19" t="s">
        <v>17310</v>
      </c>
      <c r="E1878" s="19" t="s">
        <v>31563</v>
      </c>
      <c r="F1878" s="19" t="s">
        <v>35983</v>
      </c>
      <c r="G1878" s="18" t="str">
        <f>"32792"</f>
        <v>32792</v>
      </c>
      <c r="H1878" s="19" t="s">
        <v>31169</v>
      </c>
      <c r="I1878" s="20">
        <v>18.481999999999999</v>
      </c>
      <c r="J1878" s="44" t="s">
        <v>8</v>
      </c>
      <c r="K1878" s="23" t="s">
        <v>8</v>
      </c>
      <c r="L1878" s="23" t="s">
        <v>8</v>
      </c>
      <c r="M1878" s="23" t="s">
        <v>8</v>
      </c>
    </row>
    <row r="1879" spans="1:13" s="21" customFormat="1" x14ac:dyDescent="0.25">
      <c r="A1879" s="22" t="s">
        <v>8</v>
      </c>
      <c r="B1879" s="18" t="str">
        <f>"105333"</f>
        <v>105333</v>
      </c>
      <c r="C1879" s="19" t="s">
        <v>1878</v>
      </c>
      <c r="D1879" s="19" t="s">
        <v>17311</v>
      </c>
      <c r="E1879" s="19" t="s">
        <v>31572</v>
      </c>
      <c r="F1879" s="19" t="s">
        <v>35983</v>
      </c>
      <c r="G1879" s="18" t="str">
        <f>"32757"</f>
        <v>32757</v>
      </c>
      <c r="H1879" s="19" t="s">
        <v>36096</v>
      </c>
      <c r="I1879" s="20">
        <v>17.297999999999998</v>
      </c>
      <c r="J1879" s="44" t="s">
        <v>8</v>
      </c>
      <c r="K1879" s="23" t="s">
        <v>8</v>
      </c>
      <c r="L1879" s="23" t="s">
        <v>8</v>
      </c>
      <c r="M1879" s="23" t="s">
        <v>8</v>
      </c>
    </row>
    <row r="1880" spans="1:13" s="21" customFormat="1" x14ac:dyDescent="0.25">
      <c r="A1880" s="22" t="s">
        <v>8</v>
      </c>
      <c r="B1880" s="18" t="str">
        <f>"105335"</f>
        <v>105335</v>
      </c>
      <c r="C1880" s="19" t="s">
        <v>1879</v>
      </c>
      <c r="D1880" s="19" t="s">
        <v>17312</v>
      </c>
      <c r="E1880" s="19" t="s">
        <v>31573</v>
      </c>
      <c r="F1880" s="19" t="s">
        <v>35983</v>
      </c>
      <c r="G1880" s="18" t="str">
        <f>"33445"</f>
        <v>33445</v>
      </c>
      <c r="H1880" s="19" t="s">
        <v>36130</v>
      </c>
      <c r="I1880" s="20">
        <v>21.786999999999999</v>
      </c>
      <c r="J1880" s="44" t="s">
        <v>8</v>
      </c>
      <c r="K1880" s="23" t="s">
        <v>8</v>
      </c>
      <c r="L1880" s="23" t="s">
        <v>8</v>
      </c>
      <c r="M1880" s="23" t="s">
        <v>8</v>
      </c>
    </row>
    <row r="1881" spans="1:13" s="21" customFormat="1" x14ac:dyDescent="0.25">
      <c r="A1881" s="22" t="s">
        <v>8</v>
      </c>
      <c r="B1881" s="18" t="str">
        <f>"105336"</f>
        <v>105336</v>
      </c>
      <c r="C1881" s="19" t="s">
        <v>1880</v>
      </c>
      <c r="D1881" s="19" t="s">
        <v>17313</v>
      </c>
      <c r="E1881" s="19" t="s">
        <v>31574</v>
      </c>
      <c r="F1881" s="19" t="s">
        <v>35983</v>
      </c>
      <c r="G1881" s="18" t="str">
        <f>"33319"</f>
        <v>33319</v>
      </c>
      <c r="H1881" s="19" t="s">
        <v>36127</v>
      </c>
      <c r="I1881" s="20">
        <v>21.530999999999999</v>
      </c>
      <c r="J1881" s="44" t="s">
        <v>8</v>
      </c>
      <c r="K1881" s="23" t="s">
        <v>8</v>
      </c>
      <c r="L1881" s="23" t="s">
        <v>8</v>
      </c>
      <c r="M1881" s="23" t="s">
        <v>8</v>
      </c>
    </row>
    <row r="1882" spans="1:13" s="21" customFormat="1" x14ac:dyDescent="0.25">
      <c r="A1882" s="22" t="s">
        <v>8</v>
      </c>
      <c r="B1882" s="18" t="str">
        <f>"105342"</f>
        <v>105342</v>
      </c>
      <c r="C1882" s="19" t="s">
        <v>1881</v>
      </c>
      <c r="D1882" s="19" t="s">
        <v>17314</v>
      </c>
      <c r="E1882" s="19" t="s">
        <v>31575</v>
      </c>
      <c r="F1882" s="19" t="s">
        <v>35983</v>
      </c>
      <c r="G1882" s="18" t="str">
        <f>"33904"</f>
        <v>33904</v>
      </c>
      <c r="H1882" s="19" t="s">
        <v>33138</v>
      </c>
      <c r="I1882" s="20">
        <v>20.285</v>
      </c>
      <c r="J1882" s="44" t="s">
        <v>8</v>
      </c>
      <c r="K1882" s="23" t="s">
        <v>8</v>
      </c>
      <c r="L1882" s="23" t="s">
        <v>8</v>
      </c>
      <c r="M1882" s="23" t="s">
        <v>8</v>
      </c>
    </row>
    <row r="1883" spans="1:13" s="21" customFormat="1" x14ac:dyDescent="0.25">
      <c r="A1883" s="22" t="s">
        <v>8</v>
      </c>
      <c r="B1883" s="18" t="str">
        <f>"105343"</f>
        <v>105343</v>
      </c>
      <c r="C1883" s="19" t="s">
        <v>1882</v>
      </c>
      <c r="D1883" s="19" t="s">
        <v>17315</v>
      </c>
      <c r="E1883" s="19" t="s">
        <v>31532</v>
      </c>
      <c r="F1883" s="19" t="s">
        <v>35983</v>
      </c>
      <c r="G1883" s="18" t="str">
        <f>"34653"</f>
        <v>34653</v>
      </c>
      <c r="H1883" s="19" t="s">
        <v>35446</v>
      </c>
      <c r="I1883" s="20">
        <v>18.591000000000001</v>
      </c>
      <c r="J1883" s="44" t="s">
        <v>8</v>
      </c>
      <c r="K1883" s="23" t="s">
        <v>8</v>
      </c>
      <c r="L1883" s="23" t="s">
        <v>8</v>
      </c>
      <c r="M1883" s="23" t="s">
        <v>8</v>
      </c>
    </row>
    <row r="1884" spans="1:13" s="21" customFormat="1" x14ac:dyDescent="0.25">
      <c r="A1884" s="22" t="s">
        <v>8</v>
      </c>
      <c r="B1884" s="18" t="str">
        <f>"105346"</f>
        <v>105346</v>
      </c>
      <c r="C1884" s="19" t="s">
        <v>1883</v>
      </c>
      <c r="D1884" s="19" t="s">
        <v>17316</v>
      </c>
      <c r="E1884" s="19" t="s">
        <v>31055</v>
      </c>
      <c r="F1884" s="19" t="s">
        <v>35983</v>
      </c>
      <c r="G1884" s="18" t="str">
        <f>"32055"</f>
        <v>32055</v>
      </c>
      <c r="H1884" s="19" t="s">
        <v>32076</v>
      </c>
      <c r="I1884" s="20">
        <v>19.076000000000001</v>
      </c>
      <c r="J1884" s="44" t="s">
        <v>8</v>
      </c>
      <c r="K1884" s="23" t="s">
        <v>8</v>
      </c>
      <c r="L1884" s="23" t="s">
        <v>8</v>
      </c>
      <c r="M1884" s="23" t="s">
        <v>8</v>
      </c>
    </row>
    <row r="1885" spans="1:13" s="21" customFormat="1" x14ac:dyDescent="0.25">
      <c r="A1885" s="22" t="s">
        <v>8</v>
      </c>
      <c r="B1885" s="18" t="str">
        <f>"105349"</f>
        <v>105349</v>
      </c>
      <c r="C1885" s="19" t="s">
        <v>1884</v>
      </c>
      <c r="D1885" s="19" t="s">
        <v>17317</v>
      </c>
      <c r="E1885" s="19" t="s">
        <v>31527</v>
      </c>
      <c r="F1885" s="19" t="s">
        <v>35983</v>
      </c>
      <c r="G1885" s="18" t="str">
        <f>"32720"</f>
        <v>32720</v>
      </c>
      <c r="H1885" s="19" t="s">
        <v>36125</v>
      </c>
      <c r="I1885" s="20">
        <v>21.381</v>
      </c>
      <c r="J1885" s="44" t="s">
        <v>8</v>
      </c>
      <c r="K1885" s="23" t="s">
        <v>8</v>
      </c>
      <c r="L1885" s="23" t="s">
        <v>8</v>
      </c>
      <c r="M1885" s="23" t="s">
        <v>8</v>
      </c>
    </row>
    <row r="1886" spans="1:13" s="21" customFormat="1" x14ac:dyDescent="0.25">
      <c r="A1886" s="22" t="s">
        <v>8</v>
      </c>
      <c r="B1886" s="18" t="str">
        <f>"105350"</f>
        <v>105350</v>
      </c>
      <c r="C1886" s="19" t="s">
        <v>1885</v>
      </c>
      <c r="D1886" s="19" t="s">
        <v>17318</v>
      </c>
      <c r="E1886" s="19" t="s">
        <v>31525</v>
      </c>
      <c r="F1886" s="19" t="s">
        <v>35983</v>
      </c>
      <c r="G1886" s="18" t="str">
        <f>"34698"</f>
        <v>34698</v>
      </c>
      <c r="H1886" s="19" t="s">
        <v>36128</v>
      </c>
      <c r="I1886" s="20">
        <v>19.856000000000002</v>
      </c>
      <c r="J1886" s="44" t="s">
        <v>8</v>
      </c>
      <c r="K1886" s="23" t="s">
        <v>8</v>
      </c>
      <c r="L1886" s="23" t="s">
        <v>8</v>
      </c>
      <c r="M1886" s="23" t="s">
        <v>8</v>
      </c>
    </row>
    <row r="1887" spans="1:13" s="21" customFormat="1" x14ac:dyDescent="0.25">
      <c r="A1887" s="22" t="s">
        <v>8</v>
      </c>
      <c r="B1887" s="18" t="str">
        <f>"105351"</f>
        <v>105351</v>
      </c>
      <c r="C1887" s="19" t="s">
        <v>1886</v>
      </c>
      <c r="D1887" s="19" t="s">
        <v>17319</v>
      </c>
      <c r="E1887" s="19" t="s">
        <v>31526</v>
      </c>
      <c r="F1887" s="19" t="s">
        <v>35983</v>
      </c>
      <c r="G1887" s="18" t="str">
        <f>"33613"</f>
        <v>33613</v>
      </c>
      <c r="H1887" s="19" t="s">
        <v>33986</v>
      </c>
      <c r="I1887" s="20">
        <v>19.254999999999999</v>
      </c>
      <c r="J1887" s="44" t="s">
        <v>8</v>
      </c>
      <c r="K1887" s="23" t="s">
        <v>8</v>
      </c>
      <c r="L1887" s="23" t="s">
        <v>8</v>
      </c>
      <c r="M1887" s="23" t="s">
        <v>8</v>
      </c>
    </row>
    <row r="1888" spans="1:13" s="21" customFormat="1" x14ac:dyDescent="0.25">
      <c r="A1888" s="22" t="s">
        <v>8</v>
      </c>
      <c r="B1888" s="18" t="str">
        <f>"105352"</f>
        <v>105352</v>
      </c>
      <c r="C1888" s="19" t="s">
        <v>1887</v>
      </c>
      <c r="D1888" s="19" t="s">
        <v>17320</v>
      </c>
      <c r="E1888" s="19" t="s">
        <v>31512</v>
      </c>
      <c r="F1888" s="19" t="s">
        <v>35983</v>
      </c>
      <c r="G1888" s="18" t="str">
        <f>"33870"</f>
        <v>33870</v>
      </c>
      <c r="H1888" s="19" t="s">
        <v>34344</v>
      </c>
      <c r="I1888" s="20">
        <v>18.792999999999999</v>
      </c>
      <c r="J1888" s="44" t="s">
        <v>8</v>
      </c>
      <c r="K1888" s="23" t="s">
        <v>8</v>
      </c>
      <c r="L1888" s="23" t="s">
        <v>8</v>
      </c>
      <c r="M1888" s="23" t="s">
        <v>8</v>
      </c>
    </row>
    <row r="1889" spans="1:13" s="21" customFormat="1" x14ac:dyDescent="0.25">
      <c r="A1889" s="22" t="s">
        <v>8</v>
      </c>
      <c r="B1889" s="18" t="str">
        <f>"105353"</f>
        <v>105353</v>
      </c>
      <c r="C1889" s="19" t="s">
        <v>1888</v>
      </c>
      <c r="D1889" s="19" t="s">
        <v>17321</v>
      </c>
      <c r="E1889" s="19" t="s">
        <v>31576</v>
      </c>
      <c r="F1889" s="19" t="s">
        <v>35983</v>
      </c>
      <c r="G1889" s="18" t="str">
        <f>"32703"</f>
        <v>32703</v>
      </c>
      <c r="H1889" s="19" t="s">
        <v>31169</v>
      </c>
      <c r="I1889" s="20">
        <v>20.364999999999998</v>
      </c>
      <c r="J1889" s="44" t="s">
        <v>8</v>
      </c>
      <c r="K1889" s="23" t="s">
        <v>8</v>
      </c>
      <c r="L1889" s="23" t="s">
        <v>8</v>
      </c>
      <c r="M1889" s="23" t="s">
        <v>8</v>
      </c>
    </row>
    <row r="1890" spans="1:13" s="21" customFormat="1" x14ac:dyDescent="0.25">
      <c r="A1890" s="22" t="s">
        <v>8</v>
      </c>
      <c r="B1890" s="18" t="str">
        <f>"105354"</f>
        <v>105354</v>
      </c>
      <c r="C1890" s="19" t="s">
        <v>1889</v>
      </c>
      <c r="D1890" s="19" t="s">
        <v>17322</v>
      </c>
      <c r="E1890" s="19" t="s">
        <v>31555</v>
      </c>
      <c r="F1890" s="19" t="s">
        <v>35983</v>
      </c>
      <c r="G1890" s="18" t="str">
        <f>"33805"</f>
        <v>33805</v>
      </c>
      <c r="H1890" s="19" t="s">
        <v>36062</v>
      </c>
      <c r="I1890" s="20">
        <v>19.908000000000001</v>
      </c>
      <c r="J1890" s="44" t="s">
        <v>8</v>
      </c>
      <c r="K1890" s="23" t="s">
        <v>8</v>
      </c>
      <c r="L1890" s="23" t="s">
        <v>8</v>
      </c>
      <c r="M1890" s="23" t="s">
        <v>8</v>
      </c>
    </row>
    <row r="1891" spans="1:13" s="21" customFormat="1" x14ac:dyDescent="0.25">
      <c r="A1891" s="22" t="s">
        <v>8</v>
      </c>
      <c r="B1891" s="18" t="str">
        <f>"105355"</f>
        <v>105355</v>
      </c>
      <c r="C1891" s="19" t="s">
        <v>1890</v>
      </c>
      <c r="D1891" s="19" t="s">
        <v>17323</v>
      </c>
      <c r="E1891" s="19" t="s">
        <v>31520</v>
      </c>
      <c r="F1891" s="19" t="s">
        <v>35983</v>
      </c>
      <c r="G1891" s="18" t="str">
        <f>"33433"</f>
        <v>33433</v>
      </c>
      <c r="H1891" s="19" t="s">
        <v>36130</v>
      </c>
      <c r="I1891" s="20">
        <v>21.960999999999999</v>
      </c>
      <c r="J1891" s="44" t="s">
        <v>8</v>
      </c>
      <c r="K1891" s="23" t="s">
        <v>8</v>
      </c>
      <c r="L1891" s="23" t="s">
        <v>8</v>
      </c>
      <c r="M1891" s="23" t="s">
        <v>8</v>
      </c>
    </row>
    <row r="1892" spans="1:13" s="21" customFormat="1" x14ac:dyDescent="0.25">
      <c r="A1892" s="22" t="s">
        <v>8</v>
      </c>
      <c r="B1892" s="18" t="str">
        <f>"105356"</f>
        <v>105356</v>
      </c>
      <c r="C1892" s="19" t="s">
        <v>1891</v>
      </c>
      <c r="D1892" s="19" t="s">
        <v>17324</v>
      </c>
      <c r="E1892" s="19" t="s">
        <v>31577</v>
      </c>
      <c r="F1892" s="19" t="s">
        <v>35983</v>
      </c>
      <c r="G1892" s="18" t="str">
        <f>"33166"</f>
        <v>33166</v>
      </c>
      <c r="H1892" s="19" t="s">
        <v>36126</v>
      </c>
      <c r="I1892" s="20">
        <v>20.571999999999999</v>
      </c>
      <c r="J1892" s="44" t="s">
        <v>8</v>
      </c>
      <c r="K1892" s="23" t="s">
        <v>8</v>
      </c>
      <c r="L1892" s="23" t="s">
        <v>8</v>
      </c>
      <c r="M1892" s="23" t="s">
        <v>8</v>
      </c>
    </row>
    <row r="1893" spans="1:13" s="21" customFormat="1" x14ac:dyDescent="0.25">
      <c r="A1893" s="22" t="s">
        <v>8</v>
      </c>
      <c r="B1893" s="18" t="str">
        <f>"105358"</f>
        <v>105358</v>
      </c>
      <c r="C1893" s="19" t="s">
        <v>1892</v>
      </c>
      <c r="D1893" s="19" t="s">
        <v>17325</v>
      </c>
      <c r="E1893" s="19" t="s">
        <v>30912</v>
      </c>
      <c r="F1893" s="19" t="s">
        <v>35983</v>
      </c>
      <c r="G1893" s="18" t="str">
        <f>"32204"</f>
        <v>32204</v>
      </c>
      <c r="H1893" s="19" t="s">
        <v>36129</v>
      </c>
      <c r="I1893" s="20">
        <v>15.238</v>
      </c>
      <c r="J1893" s="44" t="s">
        <v>8</v>
      </c>
      <c r="K1893" s="23" t="s">
        <v>8</v>
      </c>
      <c r="L1893" s="23" t="s">
        <v>8</v>
      </c>
      <c r="M1893" s="23" t="s">
        <v>8</v>
      </c>
    </row>
    <row r="1894" spans="1:13" s="21" customFormat="1" x14ac:dyDescent="0.25">
      <c r="A1894" s="22" t="s">
        <v>8</v>
      </c>
      <c r="B1894" s="18" t="str">
        <f>"105360"</f>
        <v>105360</v>
      </c>
      <c r="C1894" s="19" t="s">
        <v>1893</v>
      </c>
      <c r="D1894" s="19" t="s">
        <v>17326</v>
      </c>
      <c r="E1894" s="19" t="s">
        <v>31578</v>
      </c>
      <c r="F1894" s="19" t="s">
        <v>35983</v>
      </c>
      <c r="G1894" s="18" t="str">
        <f>"33321"</f>
        <v>33321</v>
      </c>
      <c r="H1894" s="19" t="s">
        <v>36127</v>
      </c>
      <c r="I1894" s="20">
        <v>19.504999999999999</v>
      </c>
      <c r="J1894" s="44" t="s">
        <v>8</v>
      </c>
      <c r="K1894" s="23" t="s">
        <v>8</v>
      </c>
      <c r="L1894" s="23" t="s">
        <v>8</v>
      </c>
      <c r="M1894" s="23" t="s">
        <v>8</v>
      </c>
    </row>
    <row r="1895" spans="1:13" s="21" customFormat="1" x14ac:dyDescent="0.25">
      <c r="A1895" s="22" t="s">
        <v>8</v>
      </c>
      <c r="B1895" s="18" t="str">
        <f>"105362"</f>
        <v>105362</v>
      </c>
      <c r="C1895" s="19" t="s">
        <v>1894</v>
      </c>
      <c r="D1895" s="19" t="s">
        <v>17327</v>
      </c>
      <c r="E1895" s="19" t="s">
        <v>31579</v>
      </c>
      <c r="F1895" s="19" t="s">
        <v>35983</v>
      </c>
      <c r="G1895" s="18" t="str">
        <f>"33873"</f>
        <v>33873</v>
      </c>
      <c r="H1895" s="19" t="s">
        <v>36139</v>
      </c>
      <c r="I1895" s="20">
        <v>17.277999999999999</v>
      </c>
      <c r="J1895" s="44" t="s">
        <v>8</v>
      </c>
      <c r="K1895" s="23" t="s">
        <v>8</v>
      </c>
      <c r="L1895" s="23" t="s">
        <v>8</v>
      </c>
      <c r="M1895" s="23" t="s">
        <v>8</v>
      </c>
    </row>
    <row r="1896" spans="1:13" s="21" customFormat="1" x14ac:dyDescent="0.25">
      <c r="A1896" s="22" t="s">
        <v>8</v>
      </c>
      <c r="B1896" s="18" t="str">
        <f>"105363"</f>
        <v>105363</v>
      </c>
      <c r="C1896" s="19" t="s">
        <v>1895</v>
      </c>
      <c r="D1896" s="19" t="s">
        <v>17328</v>
      </c>
      <c r="E1896" s="19" t="s">
        <v>31580</v>
      </c>
      <c r="F1896" s="19" t="s">
        <v>35983</v>
      </c>
      <c r="G1896" s="18" t="str">
        <f>"33952"</f>
        <v>33952</v>
      </c>
      <c r="H1896" s="19" t="s">
        <v>33156</v>
      </c>
      <c r="I1896" s="20">
        <v>18.84</v>
      </c>
      <c r="J1896" s="44" t="s">
        <v>8</v>
      </c>
      <c r="K1896" s="23" t="s">
        <v>8</v>
      </c>
      <c r="L1896" s="23" t="s">
        <v>8</v>
      </c>
      <c r="M1896" s="23" t="s">
        <v>8</v>
      </c>
    </row>
    <row r="1897" spans="1:13" s="21" customFormat="1" x14ac:dyDescent="0.25">
      <c r="A1897" s="22" t="s">
        <v>8</v>
      </c>
      <c r="B1897" s="18" t="str">
        <f>"105364"</f>
        <v>105364</v>
      </c>
      <c r="C1897" s="19" t="s">
        <v>1896</v>
      </c>
      <c r="D1897" s="19" t="s">
        <v>17329</v>
      </c>
      <c r="E1897" s="19" t="s">
        <v>31531</v>
      </c>
      <c r="F1897" s="19" t="s">
        <v>35983</v>
      </c>
      <c r="G1897" s="18" t="str">
        <f>"32308"</f>
        <v>32308</v>
      </c>
      <c r="H1897" s="19" t="s">
        <v>32404</v>
      </c>
      <c r="I1897" s="20">
        <v>20.864000000000001</v>
      </c>
      <c r="J1897" s="44" t="s">
        <v>8</v>
      </c>
      <c r="K1897" s="23" t="s">
        <v>8</v>
      </c>
      <c r="L1897" s="23" t="s">
        <v>8</v>
      </c>
      <c r="M1897" s="23" t="s">
        <v>8</v>
      </c>
    </row>
    <row r="1898" spans="1:13" s="21" customFormat="1" x14ac:dyDescent="0.25">
      <c r="A1898" s="22" t="s">
        <v>8</v>
      </c>
      <c r="B1898" s="18" t="str">
        <f>"105365"</f>
        <v>105365</v>
      </c>
      <c r="C1898" s="19" t="s">
        <v>1897</v>
      </c>
      <c r="D1898" s="19" t="s">
        <v>17330</v>
      </c>
      <c r="E1898" s="19" t="s">
        <v>31581</v>
      </c>
      <c r="F1898" s="19" t="s">
        <v>35983</v>
      </c>
      <c r="G1898" s="18" t="str">
        <f>"32701"</f>
        <v>32701</v>
      </c>
      <c r="H1898" s="19" t="s">
        <v>31595</v>
      </c>
      <c r="I1898" s="20">
        <v>20.053000000000001</v>
      </c>
      <c r="J1898" s="44" t="s">
        <v>8</v>
      </c>
      <c r="K1898" s="23" t="s">
        <v>8</v>
      </c>
      <c r="L1898" s="23" t="s">
        <v>8</v>
      </c>
      <c r="M1898" s="23" t="s">
        <v>8</v>
      </c>
    </row>
    <row r="1899" spans="1:13" s="21" customFormat="1" x14ac:dyDescent="0.25">
      <c r="A1899" s="22" t="s">
        <v>8</v>
      </c>
      <c r="B1899" s="18" t="str">
        <f>"105366"</f>
        <v>105366</v>
      </c>
      <c r="C1899" s="19" t="s">
        <v>1898</v>
      </c>
      <c r="D1899" s="19" t="s">
        <v>17331</v>
      </c>
      <c r="E1899" s="19" t="s">
        <v>30912</v>
      </c>
      <c r="F1899" s="19" t="s">
        <v>35983</v>
      </c>
      <c r="G1899" s="18" t="str">
        <f>"32216"</f>
        <v>32216</v>
      </c>
      <c r="H1899" s="19" t="s">
        <v>36129</v>
      </c>
      <c r="I1899" s="20">
        <v>19.728000000000002</v>
      </c>
      <c r="J1899" s="44" t="s">
        <v>8</v>
      </c>
      <c r="K1899" s="23" t="s">
        <v>8</v>
      </c>
      <c r="L1899" s="23" t="s">
        <v>8</v>
      </c>
      <c r="M1899" s="23" t="s">
        <v>8</v>
      </c>
    </row>
    <row r="1900" spans="1:13" s="21" customFormat="1" x14ac:dyDescent="0.25">
      <c r="A1900" s="22" t="s">
        <v>8</v>
      </c>
      <c r="B1900" s="18" t="str">
        <f>"105371"</f>
        <v>105371</v>
      </c>
      <c r="C1900" s="19" t="s">
        <v>1899</v>
      </c>
      <c r="D1900" s="19" t="s">
        <v>17332</v>
      </c>
      <c r="E1900" s="19" t="s">
        <v>31574</v>
      </c>
      <c r="F1900" s="19" t="s">
        <v>35983</v>
      </c>
      <c r="G1900" s="18" t="str">
        <f>"33311"</f>
        <v>33311</v>
      </c>
      <c r="H1900" s="19" t="s">
        <v>36127</v>
      </c>
      <c r="I1900" s="20">
        <v>22.663</v>
      </c>
      <c r="J1900" s="44" t="s">
        <v>8</v>
      </c>
      <c r="K1900" s="23" t="s">
        <v>8</v>
      </c>
      <c r="L1900" s="23" t="s">
        <v>8</v>
      </c>
      <c r="M1900" s="23" t="s">
        <v>8</v>
      </c>
    </row>
    <row r="1901" spans="1:13" s="21" customFormat="1" x14ac:dyDescent="0.25">
      <c r="A1901" s="22" t="s">
        <v>8</v>
      </c>
      <c r="B1901" s="18" t="str">
        <f>"105372"</f>
        <v>105372</v>
      </c>
      <c r="C1901" s="19" t="s">
        <v>1900</v>
      </c>
      <c r="D1901" s="19" t="s">
        <v>17333</v>
      </c>
      <c r="E1901" s="19" t="s">
        <v>31523</v>
      </c>
      <c r="F1901" s="19" t="s">
        <v>35983</v>
      </c>
      <c r="G1901" s="18" t="str">
        <f>"33460"</f>
        <v>33460</v>
      </c>
      <c r="H1901" s="19" t="s">
        <v>36130</v>
      </c>
      <c r="I1901" s="20">
        <v>18.539000000000001</v>
      </c>
      <c r="J1901" s="44" t="s">
        <v>8</v>
      </c>
      <c r="K1901" s="23" t="s">
        <v>8</v>
      </c>
      <c r="L1901" s="23" t="s">
        <v>8</v>
      </c>
      <c r="M1901" s="23" t="s">
        <v>8</v>
      </c>
    </row>
    <row r="1902" spans="1:13" s="21" customFormat="1" x14ac:dyDescent="0.25">
      <c r="A1902" s="22" t="s">
        <v>8</v>
      </c>
      <c r="B1902" s="18" t="str">
        <f>"105373"</f>
        <v>105373</v>
      </c>
      <c r="C1902" s="19" t="s">
        <v>1901</v>
      </c>
      <c r="D1902" s="19" t="s">
        <v>17334</v>
      </c>
      <c r="E1902" s="19" t="s">
        <v>31551</v>
      </c>
      <c r="F1902" s="19" t="s">
        <v>35983</v>
      </c>
      <c r="G1902" s="18" t="str">
        <f>"33765"</f>
        <v>33765</v>
      </c>
      <c r="H1902" s="19" t="s">
        <v>36128</v>
      </c>
      <c r="I1902" s="20">
        <v>16.954999999999998</v>
      </c>
      <c r="J1902" s="44" t="s">
        <v>8</v>
      </c>
      <c r="K1902" s="23" t="s">
        <v>8</v>
      </c>
      <c r="L1902" s="23" t="s">
        <v>8</v>
      </c>
      <c r="M1902" s="23" t="s">
        <v>8</v>
      </c>
    </row>
    <row r="1903" spans="1:13" s="21" customFormat="1" x14ac:dyDescent="0.25">
      <c r="A1903" s="22" t="s">
        <v>8</v>
      </c>
      <c r="B1903" s="18" t="str">
        <f>"105374"</f>
        <v>105374</v>
      </c>
      <c r="C1903" s="19" t="s">
        <v>1902</v>
      </c>
      <c r="D1903" s="19" t="s">
        <v>17335</v>
      </c>
      <c r="E1903" s="19" t="s">
        <v>31582</v>
      </c>
      <c r="F1903" s="19" t="s">
        <v>35983</v>
      </c>
      <c r="G1903" s="18" t="str">
        <f>"32763"</f>
        <v>32763</v>
      </c>
      <c r="H1903" s="19" t="s">
        <v>36125</v>
      </c>
      <c r="I1903" s="20">
        <v>20.622</v>
      </c>
      <c r="J1903" s="44" t="s">
        <v>8</v>
      </c>
      <c r="K1903" s="23" t="s">
        <v>8</v>
      </c>
      <c r="L1903" s="23" t="s">
        <v>8</v>
      </c>
      <c r="M1903" s="23" t="s">
        <v>8</v>
      </c>
    </row>
    <row r="1904" spans="1:13" s="21" customFormat="1" x14ac:dyDescent="0.25">
      <c r="A1904" s="22" t="s">
        <v>8</v>
      </c>
      <c r="B1904" s="18" t="str">
        <f>"105375"</f>
        <v>105375</v>
      </c>
      <c r="C1904" s="19" t="s">
        <v>1903</v>
      </c>
      <c r="D1904" s="19" t="s">
        <v>17336</v>
      </c>
      <c r="E1904" s="19" t="s">
        <v>31562</v>
      </c>
      <c r="F1904" s="19" t="s">
        <v>35983</v>
      </c>
      <c r="G1904" s="18" t="str">
        <f>"34748"</f>
        <v>34748</v>
      </c>
      <c r="H1904" s="19" t="s">
        <v>36096</v>
      </c>
      <c r="I1904" s="20">
        <v>21.632999999999999</v>
      </c>
      <c r="J1904" s="44" t="s">
        <v>8</v>
      </c>
      <c r="K1904" s="23" t="s">
        <v>8</v>
      </c>
      <c r="L1904" s="23" t="s">
        <v>8</v>
      </c>
      <c r="M1904" s="23" t="s">
        <v>8</v>
      </c>
    </row>
    <row r="1905" spans="1:13" s="21" customFormat="1" x14ac:dyDescent="0.25">
      <c r="A1905" s="22" t="s">
        <v>8</v>
      </c>
      <c r="B1905" s="18" t="str">
        <f>"105376"</f>
        <v>105376</v>
      </c>
      <c r="C1905" s="19" t="s">
        <v>1904</v>
      </c>
      <c r="D1905" s="19" t="s">
        <v>17337</v>
      </c>
      <c r="E1905" s="19" t="s">
        <v>31583</v>
      </c>
      <c r="F1905" s="19" t="s">
        <v>35983</v>
      </c>
      <c r="G1905" s="18" t="str">
        <f>"32904"</f>
        <v>32904</v>
      </c>
      <c r="H1905" s="19" t="s">
        <v>34287</v>
      </c>
      <c r="I1905" s="20">
        <v>18.559999999999999</v>
      </c>
      <c r="J1905" s="44" t="s">
        <v>8</v>
      </c>
      <c r="K1905" s="23" t="s">
        <v>8</v>
      </c>
      <c r="L1905" s="23" t="s">
        <v>8</v>
      </c>
      <c r="M1905" s="23" t="s">
        <v>8</v>
      </c>
    </row>
    <row r="1906" spans="1:13" s="21" customFormat="1" x14ac:dyDescent="0.25">
      <c r="A1906" s="22" t="s">
        <v>8</v>
      </c>
      <c r="B1906" s="18" t="str">
        <f>"105377"</f>
        <v>105377</v>
      </c>
      <c r="C1906" s="19" t="s">
        <v>1905</v>
      </c>
      <c r="D1906" s="19" t="s">
        <v>17338</v>
      </c>
      <c r="E1906" s="19" t="s">
        <v>31584</v>
      </c>
      <c r="F1906" s="19" t="s">
        <v>35983</v>
      </c>
      <c r="G1906" s="18" t="str">
        <f>"32750"</f>
        <v>32750</v>
      </c>
      <c r="H1906" s="19" t="s">
        <v>31595</v>
      </c>
      <c r="I1906" s="20">
        <v>21.51</v>
      </c>
      <c r="J1906" s="44" t="s">
        <v>8</v>
      </c>
      <c r="K1906" s="23" t="s">
        <v>8</v>
      </c>
      <c r="L1906" s="23" t="s">
        <v>8</v>
      </c>
      <c r="M1906" s="23" t="s">
        <v>8</v>
      </c>
    </row>
    <row r="1907" spans="1:13" s="21" customFormat="1" x14ac:dyDescent="0.25">
      <c r="A1907" s="22" t="s">
        <v>8</v>
      </c>
      <c r="B1907" s="18" t="str">
        <f>"105378"</f>
        <v>105378</v>
      </c>
      <c r="C1907" s="19" t="s">
        <v>1906</v>
      </c>
      <c r="D1907" s="19" t="s">
        <v>17339</v>
      </c>
      <c r="E1907" s="19" t="s">
        <v>31585</v>
      </c>
      <c r="F1907" s="19" t="s">
        <v>35983</v>
      </c>
      <c r="G1907" s="18" t="str">
        <f>"34684"</f>
        <v>34684</v>
      </c>
      <c r="H1907" s="19" t="s">
        <v>36128</v>
      </c>
      <c r="I1907" s="20">
        <v>19.72</v>
      </c>
      <c r="J1907" s="44" t="s">
        <v>8</v>
      </c>
      <c r="K1907" s="23" t="s">
        <v>8</v>
      </c>
      <c r="L1907" s="23" t="s">
        <v>8</v>
      </c>
      <c r="M1907" s="23" t="s">
        <v>8</v>
      </c>
    </row>
    <row r="1908" spans="1:13" s="21" customFormat="1" x14ac:dyDescent="0.25">
      <c r="A1908" s="22" t="s">
        <v>8</v>
      </c>
      <c r="B1908" s="18" t="str">
        <f>"105379"</f>
        <v>105379</v>
      </c>
      <c r="C1908" s="19" t="s">
        <v>1907</v>
      </c>
      <c r="D1908" s="19" t="s">
        <v>17340</v>
      </c>
      <c r="E1908" s="19" t="s">
        <v>31586</v>
      </c>
      <c r="F1908" s="19" t="s">
        <v>35983</v>
      </c>
      <c r="G1908" s="18" t="str">
        <f>"34741"</f>
        <v>34741</v>
      </c>
      <c r="H1908" s="19" t="s">
        <v>31089</v>
      </c>
      <c r="I1908" s="20">
        <v>20.614000000000001</v>
      </c>
      <c r="J1908" s="44" t="s">
        <v>8</v>
      </c>
      <c r="K1908" s="23" t="s">
        <v>8</v>
      </c>
      <c r="L1908" s="23" t="s">
        <v>8</v>
      </c>
      <c r="M1908" s="23" t="s">
        <v>8</v>
      </c>
    </row>
    <row r="1909" spans="1:13" s="21" customFormat="1" x14ac:dyDescent="0.25">
      <c r="A1909" s="22" t="s">
        <v>8</v>
      </c>
      <c r="B1909" s="18" t="str">
        <f>"105381"</f>
        <v>105381</v>
      </c>
      <c r="C1909" s="19" t="s">
        <v>1908</v>
      </c>
      <c r="D1909" s="19" t="s">
        <v>17341</v>
      </c>
      <c r="E1909" s="19" t="s">
        <v>31587</v>
      </c>
      <c r="F1909" s="19" t="s">
        <v>35983</v>
      </c>
      <c r="G1909" s="18" t="str">
        <f>"32073"</f>
        <v>32073</v>
      </c>
      <c r="H1909" s="19" t="s">
        <v>36030</v>
      </c>
      <c r="I1909" s="20">
        <v>22.748999999999999</v>
      </c>
      <c r="J1909" s="44" t="s">
        <v>8</v>
      </c>
      <c r="K1909" s="23" t="s">
        <v>8</v>
      </c>
      <c r="L1909" s="23" t="s">
        <v>8</v>
      </c>
      <c r="M1909" s="23" t="s">
        <v>8</v>
      </c>
    </row>
    <row r="1910" spans="1:13" s="21" customFormat="1" x14ac:dyDescent="0.25">
      <c r="A1910" s="22" t="s">
        <v>8</v>
      </c>
      <c r="B1910" s="18" t="str">
        <f>"105382"</f>
        <v>105382</v>
      </c>
      <c r="C1910" s="19" t="s">
        <v>1909</v>
      </c>
      <c r="D1910" s="19" t="s">
        <v>17342</v>
      </c>
      <c r="E1910" s="19" t="s">
        <v>31546</v>
      </c>
      <c r="F1910" s="19" t="s">
        <v>35983</v>
      </c>
      <c r="G1910" s="18" t="str">
        <f>"34947"</f>
        <v>34947</v>
      </c>
      <c r="H1910" s="19" t="s">
        <v>36136</v>
      </c>
      <c r="I1910" s="20">
        <v>21.234999999999999</v>
      </c>
      <c r="J1910" s="44" t="s">
        <v>8</v>
      </c>
      <c r="K1910" s="23" t="s">
        <v>8</v>
      </c>
      <c r="L1910" s="23" t="s">
        <v>8</v>
      </c>
      <c r="M1910" s="23" t="s">
        <v>8</v>
      </c>
    </row>
    <row r="1911" spans="1:13" s="21" customFormat="1" x14ac:dyDescent="0.25">
      <c r="A1911" s="22" t="s">
        <v>8</v>
      </c>
      <c r="B1911" s="18" t="str">
        <f>"105384"</f>
        <v>105384</v>
      </c>
      <c r="C1911" s="19" t="s">
        <v>1910</v>
      </c>
      <c r="D1911" s="19" t="s">
        <v>17343</v>
      </c>
      <c r="E1911" s="19" t="s">
        <v>31541</v>
      </c>
      <c r="F1911" s="19" t="s">
        <v>35983</v>
      </c>
      <c r="G1911" s="18" t="str">
        <f>"33901"</f>
        <v>33901</v>
      </c>
      <c r="H1911" s="19" t="s">
        <v>33138</v>
      </c>
      <c r="I1911" s="20">
        <v>24.391999999999999</v>
      </c>
      <c r="J1911" s="44" t="s">
        <v>8</v>
      </c>
      <c r="K1911" s="23" t="s">
        <v>8</v>
      </c>
      <c r="L1911" s="23" t="s">
        <v>8</v>
      </c>
      <c r="M1911" s="23" t="s">
        <v>8</v>
      </c>
    </row>
    <row r="1912" spans="1:13" s="21" customFormat="1" x14ac:dyDescent="0.25">
      <c r="A1912" s="22" t="s">
        <v>8</v>
      </c>
      <c r="B1912" s="18" t="str">
        <f>"105385"</f>
        <v>105385</v>
      </c>
      <c r="C1912" s="19" t="s">
        <v>1911</v>
      </c>
      <c r="D1912" s="19" t="s">
        <v>17344</v>
      </c>
      <c r="E1912" s="19" t="s">
        <v>31569</v>
      </c>
      <c r="F1912" s="19" t="s">
        <v>35983</v>
      </c>
      <c r="G1912" s="18" t="str">
        <f>"33525"</f>
        <v>33525</v>
      </c>
      <c r="H1912" s="19" t="s">
        <v>35446</v>
      </c>
      <c r="I1912" s="20">
        <v>18.800999999999998</v>
      </c>
      <c r="J1912" s="44" t="s">
        <v>8</v>
      </c>
      <c r="K1912" s="23" t="s">
        <v>8</v>
      </c>
      <c r="L1912" s="23" t="s">
        <v>8</v>
      </c>
      <c r="M1912" s="23" t="s">
        <v>8</v>
      </c>
    </row>
    <row r="1913" spans="1:13" s="21" customFormat="1" x14ac:dyDescent="0.25">
      <c r="A1913" s="22" t="s">
        <v>8</v>
      </c>
      <c r="B1913" s="18" t="str">
        <f>"105387"</f>
        <v>105387</v>
      </c>
      <c r="C1913" s="19" t="s">
        <v>1912</v>
      </c>
      <c r="D1913" s="19" t="s">
        <v>17345</v>
      </c>
      <c r="E1913" s="19" t="s">
        <v>31541</v>
      </c>
      <c r="F1913" s="19" t="s">
        <v>35983</v>
      </c>
      <c r="G1913" s="18" t="str">
        <f>"33919"</f>
        <v>33919</v>
      </c>
      <c r="H1913" s="19" t="s">
        <v>33138</v>
      </c>
      <c r="I1913" s="20">
        <v>17.645</v>
      </c>
      <c r="J1913" s="44" t="s">
        <v>8</v>
      </c>
      <c r="K1913" s="23" t="s">
        <v>8</v>
      </c>
      <c r="L1913" s="23" t="s">
        <v>8</v>
      </c>
      <c r="M1913" s="23" t="s">
        <v>8</v>
      </c>
    </row>
    <row r="1914" spans="1:13" s="21" customFormat="1" x14ac:dyDescent="0.25">
      <c r="A1914" s="22" t="s">
        <v>8</v>
      </c>
      <c r="B1914" s="18" t="str">
        <f>"105389"</f>
        <v>105389</v>
      </c>
      <c r="C1914" s="19" t="s">
        <v>1913</v>
      </c>
      <c r="D1914" s="19" t="s">
        <v>17346</v>
      </c>
      <c r="E1914" s="19" t="s">
        <v>31528</v>
      </c>
      <c r="F1914" s="19" t="s">
        <v>35983</v>
      </c>
      <c r="G1914" s="18" t="str">
        <f>"34237"</f>
        <v>34237</v>
      </c>
      <c r="H1914" s="19" t="s">
        <v>31528</v>
      </c>
      <c r="I1914" s="20">
        <v>17.850000000000001</v>
      </c>
      <c r="J1914" s="44" t="s">
        <v>8</v>
      </c>
      <c r="K1914" s="23" t="s">
        <v>8</v>
      </c>
      <c r="L1914" s="23" t="s">
        <v>8</v>
      </c>
      <c r="M1914" s="23" t="s">
        <v>8</v>
      </c>
    </row>
    <row r="1915" spans="1:13" s="21" customFormat="1" x14ac:dyDescent="0.25">
      <c r="A1915" s="22" t="s">
        <v>8</v>
      </c>
      <c r="B1915" s="18" t="str">
        <f>"105390"</f>
        <v>105390</v>
      </c>
      <c r="C1915" s="19" t="s">
        <v>1914</v>
      </c>
      <c r="D1915" s="19" t="s">
        <v>17347</v>
      </c>
      <c r="E1915" s="19" t="s">
        <v>31517</v>
      </c>
      <c r="F1915" s="19" t="s">
        <v>35983</v>
      </c>
      <c r="G1915" s="18" t="str">
        <f>"33709"</f>
        <v>33709</v>
      </c>
      <c r="H1915" s="19" t="s">
        <v>36128</v>
      </c>
      <c r="I1915" s="20">
        <v>24.218</v>
      </c>
      <c r="J1915" s="44" t="s">
        <v>8</v>
      </c>
      <c r="K1915" s="23" t="s">
        <v>8</v>
      </c>
      <c r="L1915" s="23" t="s">
        <v>8</v>
      </c>
      <c r="M1915" s="23" t="s">
        <v>8</v>
      </c>
    </row>
    <row r="1916" spans="1:13" s="21" customFormat="1" x14ac:dyDescent="0.25">
      <c r="A1916" s="22" t="s">
        <v>8</v>
      </c>
      <c r="B1916" s="18" t="str">
        <f>"105391"</f>
        <v>105391</v>
      </c>
      <c r="C1916" s="19" t="s">
        <v>1915</v>
      </c>
      <c r="D1916" s="19" t="s">
        <v>17348</v>
      </c>
      <c r="E1916" s="19" t="s">
        <v>31530</v>
      </c>
      <c r="F1916" s="19" t="s">
        <v>35983</v>
      </c>
      <c r="G1916" s="18" t="str">
        <f>"32401"</f>
        <v>32401</v>
      </c>
      <c r="H1916" s="19" t="s">
        <v>36132</v>
      </c>
      <c r="I1916" s="20">
        <v>17.864000000000001</v>
      </c>
      <c r="J1916" s="44" t="s">
        <v>8</v>
      </c>
      <c r="K1916" s="23" t="s">
        <v>8</v>
      </c>
      <c r="L1916" s="23" t="s">
        <v>8</v>
      </c>
      <c r="M1916" s="23" t="s">
        <v>8</v>
      </c>
    </row>
    <row r="1917" spans="1:13" s="21" customFormat="1" x14ac:dyDescent="0.25">
      <c r="A1917" s="22" t="s">
        <v>8</v>
      </c>
      <c r="B1917" s="18" t="str">
        <f>"105392"</f>
        <v>105392</v>
      </c>
      <c r="C1917" s="19" t="s">
        <v>1916</v>
      </c>
      <c r="D1917" s="19" t="s">
        <v>17349</v>
      </c>
      <c r="E1917" s="19" t="s">
        <v>31507</v>
      </c>
      <c r="F1917" s="19" t="s">
        <v>35983</v>
      </c>
      <c r="G1917" s="18" t="str">
        <f>"33142"</f>
        <v>33142</v>
      </c>
      <c r="H1917" s="19" t="s">
        <v>36126</v>
      </c>
      <c r="I1917" s="20">
        <v>17.489999999999998</v>
      </c>
      <c r="J1917" s="44" t="s">
        <v>8</v>
      </c>
      <c r="K1917" s="23" t="s">
        <v>8</v>
      </c>
      <c r="L1917" s="23" t="s">
        <v>8</v>
      </c>
      <c r="M1917" s="23" t="s">
        <v>8</v>
      </c>
    </row>
    <row r="1918" spans="1:13" s="21" customFormat="1" x14ac:dyDescent="0.25">
      <c r="A1918" s="22" t="s">
        <v>8</v>
      </c>
      <c r="B1918" s="18" t="str">
        <f>"105393"</f>
        <v>105393</v>
      </c>
      <c r="C1918" s="19" t="s">
        <v>1917</v>
      </c>
      <c r="D1918" s="19" t="s">
        <v>17350</v>
      </c>
      <c r="E1918" s="19" t="s">
        <v>31588</v>
      </c>
      <c r="F1918" s="19" t="s">
        <v>35983</v>
      </c>
      <c r="G1918" s="18" t="str">
        <f>"34667"</f>
        <v>34667</v>
      </c>
      <c r="H1918" s="19" t="s">
        <v>35446</v>
      </c>
      <c r="I1918" s="20">
        <v>20.827000000000002</v>
      </c>
      <c r="J1918" s="44" t="s">
        <v>8</v>
      </c>
      <c r="K1918" s="23" t="s">
        <v>8</v>
      </c>
      <c r="L1918" s="23" t="s">
        <v>8</v>
      </c>
      <c r="M1918" s="23" t="s">
        <v>8</v>
      </c>
    </row>
    <row r="1919" spans="1:13" s="21" customFormat="1" x14ac:dyDescent="0.25">
      <c r="A1919" s="22" t="s">
        <v>8</v>
      </c>
      <c r="B1919" s="18" t="str">
        <f>"105394"</f>
        <v>105394</v>
      </c>
      <c r="C1919" s="19" t="s">
        <v>1918</v>
      </c>
      <c r="D1919" s="19" t="s">
        <v>17351</v>
      </c>
      <c r="E1919" s="19" t="s">
        <v>31585</v>
      </c>
      <c r="F1919" s="19" t="s">
        <v>35983</v>
      </c>
      <c r="G1919" s="18" t="str">
        <f>"34684"</f>
        <v>34684</v>
      </c>
      <c r="H1919" s="19" t="s">
        <v>36128</v>
      </c>
      <c r="I1919" s="20">
        <v>19.271000000000001</v>
      </c>
      <c r="J1919" s="44" t="s">
        <v>8</v>
      </c>
      <c r="K1919" s="23" t="s">
        <v>8</v>
      </c>
      <c r="L1919" s="23" t="s">
        <v>8</v>
      </c>
      <c r="M1919" s="23" t="s">
        <v>8</v>
      </c>
    </row>
    <row r="1920" spans="1:13" s="21" customFormat="1" x14ac:dyDescent="0.25">
      <c r="A1920" s="22" t="s">
        <v>8</v>
      </c>
      <c r="B1920" s="18" t="str">
        <f>"105395"</f>
        <v>105395</v>
      </c>
      <c r="C1920" s="19" t="s">
        <v>1919</v>
      </c>
      <c r="D1920" s="19" t="s">
        <v>17352</v>
      </c>
      <c r="E1920" s="19" t="s">
        <v>31547</v>
      </c>
      <c r="F1920" s="19" t="s">
        <v>35983</v>
      </c>
      <c r="G1920" s="18" t="str">
        <f>"32547"</f>
        <v>32547</v>
      </c>
      <c r="H1920" s="19" t="s">
        <v>36134</v>
      </c>
      <c r="I1920" s="20">
        <v>18.821000000000002</v>
      </c>
      <c r="J1920" s="44" t="s">
        <v>8</v>
      </c>
      <c r="K1920" s="23" t="s">
        <v>8</v>
      </c>
      <c r="L1920" s="23" t="s">
        <v>8</v>
      </c>
      <c r="M1920" s="23" t="s">
        <v>8</v>
      </c>
    </row>
    <row r="1921" spans="1:13" s="21" customFormat="1" x14ac:dyDescent="0.25">
      <c r="A1921" s="22" t="s">
        <v>8</v>
      </c>
      <c r="B1921" s="18" t="str">
        <f>"105396"</f>
        <v>105396</v>
      </c>
      <c r="C1921" s="19" t="s">
        <v>1920</v>
      </c>
      <c r="D1921" s="19" t="s">
        <v>17353</v>
      </c>
      <c r="E1921" s="19" t="s">
        <v>31535</v>
      </c>
      <c r="F1921" s="19" t="s">
        <v>35983</v>
      </c>
      <c r="G1921" s="18" t="str">
        <f>"34105"</f>
        <v>34105</v>
      </c>
      <c r="H1921" s="19" t="s">
        <v>36133</v>
      </c>
      <c r="I1921" s="20">
        <v>17.687000000000001</v>
      </c>
      <c r="J1921" s="44" t="s">
        <v>8</v>
      </c>
      <c r="K1921" s="23" t="s">
        <v>8</v>
      </c>
      <c r="L1921" s="23" t="s">
        <v>8</v>
      </c>
      <c r="M1921" s="23" t="s">
        <v>8</v>
      </c>
    </row>
    <row r="1922" spans="1:13" s="21" customFormat="1" x14ac:dyDescent="0.25">
      <c r="A1922" s="22" t="s">
        <v>8</v>
      </c>
      <c r="B1922" s="18" t="str">
        <f>"105397"</f>
        <v>105397</v>
      </c>
      <c r="C1922" s="19" t="s">
        <v>1630</v>
      </c>
      <c r="D1922" s="19" t="s">
        <v>17354</v>
      </c>
      <c r="E1922" s="19" t="s">
        <v>31589</v>
      </c>
      <c r="F1922" s="19" t="s">
        <v>35983</v>
      </c>
      <c r="G1922" s="18" t="str">
        <f>"34608"</f>
        <v>34608</v>
      </c>
      <c r="H1922" s="19" t="s">
        <v>31676</v>
      </c>
      <c r="I1922" s="20">
        <v>21.768999999999998</v>
      </c>
      <c r="J1922" s="44" t="s">
        <v>8</v>
      </c>
      <c r="K1922" s="23" t="s">
        <v>8</v>
      </c>
      <c r="L1922" s="23" t="s">
        <v>8</v>
      </c>
      <c r="M1922" s="23" t="s">
        <v>8</v>
      </c>
    </row>
    <row r="1923" spans="1:13" s="21" customFormat="1" x14ac:dyDescent="0.25">
      <c r="A1923" s="22" t="s">
        <v>8</v>
      </c>
      <c r="B1923" s="18" t="str">
        <f>"105398"</f>
        <v>105398</v>
      </c>
      <c r="C1923" s="19" t="s">
        <v>1921</v>
      </c>
      <c r="D1923" s="19" t="s">
        <v>17355</v>
      </c>
      <c r="E1923" s="19" t="s">
        <v>31542</v>
      </c>
      <c r="F1923" s="19" t="s">
        <v>35983</v>
      </c>
      <c r="G1923" s="18" t="str">
        <f>"33771"</f>
        <v>33771</v>
      </c>
      <c r="H1923" s="19" t="s">
        <v>36128</v>
      </c>
      <c r="I1923" s="20">
        <v>18.274000000000001</v>
      </c>
      <c r="J1923" s="44" t="s">
        <v>8</v>
      </c>
      <c r="K1923" s="23" t="s">
        <v>8</v>
      </c>
      <c r="L1923" s="23" t="s">
        <v>8</v>
      </c>
      <c r="M1923" s="23" t="s">
        <v>8</v>
      </c>
    </row>
    <row r="1924" spans="1:13" s="21" customFormat="1" x14ac:dyDescent="0.25">
      <c r="A1924" s="22" t="s">
        <v>8</v>
      </c>
      <c r="B1924" s="18" t="str">
        <f>"105399"</f>
        <v>105399</v>
      </c>
      <c r="C1924" s="19" t="s">
        <v>1922</v>
      </c>
      <c r="D1924" s="19" t="s">
        <v>17356</v>
      </c>
      <c r="E1924" s="19" t="s">
        <v>31590</v>
      </c>
      <c r="F1924" s="19" t="s">
        <v>35983</v>
      </c>
      <c r="G1924" s="18" t="str">
        <f>"32960"</f>
        <v>32960</v>
      </c>
      <c r="H1924" s="19" t="s">
        <v>36140</v>
      </c>
      <c r="I1924" s="20">
        <v>19.832000000000001</v>
      </c>
      <c r="J1924" s="44" t="s">
        <v>8</v>
      </c>
      <c r="K1924" s="23" t="s">
        <v>8</v>
      </c>
      <c r="L1924" s="23" t="s">
        <v>8</v>
      </c>
      <c r="M1924" s="23" t="s">
        <v>8</v>
      </c>
    </row>
    <row r="1925" spans="1:13" s="21" customFormat="1" x14ac:dyDescent="0.25">
      <c r="A1925" s="22" t="s">
        <v>8</v>
      </c>
      <c r="B1925" s="18" t="str">
        <f>"105401"</f>
        <v>105401</v>
      </c>
      <c r="C1925" s="19" t="s">
        <v>1923</v>
      </c>
      <c r="D1925" s="19" t="s">
        <v>17357</v>
      </c>
      <c r="E1925" s="19" t="s">
        <v>31591</v>
      </c>
      <c r="F1925" s="19" t="s">
        <v>35983</v>
      </c>
      <c r="G1925" s="18" t="str">
        <f>"32693"</f>
        <v>32693</v>
      </c>
      <c r="H1925" s="19" t="s">
        <v>36141</v>
      </c>
      <c r="I1925" s="20">
        <v>23.86</v>
      </c>
      <c r="J1925" s="44" t="s">
        <v>8</v>
      </c>
      <c r="K1925" s="23" t="s">
        <v>8</v>
      </c>
      <c r="L1925" s="23" t="s">
        <v>8</v>
      </c>
      <c r="M1925" s="23" t="s">
        <v>8</v>
      </c>
    </row>
    <row r="1926" spans="1:13" s="21" customFormat="1" x14ac:dyDescent="0.25">
      <c r="A1926" s="22" t="s">
        <v>8</v>
      </c>
      <c r="B1926" s="18" t="str">
        <f>"105402"</f>
        <v>105402</v>
      </c>
      <c r="C1926" s="19" t="s">
        <v>1924</v>
      </c>
      <c r="D1926" s="19" t="s">
        <v>17358</v>
      </c>
      <c r="E1926" s="19" t="s">
        <v>31565</v>
      </c>
      <c r="F1926" s="19" t="s">
        <v>35983</v>
      </c>
      <c r="G1926" s="18" t="str">
        <f>"32174"</f>
        <v>32174</v>
      </c>
      <c r="H1926" s="19" t="s">
        <v>36125</v>
      </c>
      <c r="I1926" s="20">
        <v>18.334</v>
      </c>
      <c r="J1926" s="44" t="s">
        <v>8</v>
      </c>
      <c r="K1926" s="23" t="s">
        <v>8</v>
      </c>
      <c r="L1926" s="23" t="s">
        <v>8</v>
      </c>
      <c r="M1926" s="23" t="s">
        <v>8</v>
      </c>
    </row>
    <row r="1927" spans="1:13" s="21" customFormat="1" x14ac:dyDescent="0.25">
      <c r="A1927" s="22" t="s">
        <v>8</v>
      </c>
      <c r="B1927" s="18" t="str">
        <f>"105404"</f>
        <v>105404</v>
      </c>
      <c r="C1927" s="19" t="s">
        <v>1925</v>
      </c>
      <c r="D1927" s="19" t="s">
        <v>17359</v>
      </c>
      <c r="E1927" s="19" t="s">
        <v>31592</v>
      </c>
      <c r="F1927" s="19" t="s">
        <v>35983</v>
      </c>
      <c r="G1927" s="18" t="str">
        <f>"33408"</f>
        <v>33408</v>
      </c>
      <c r="H1927" s="19" t="s">
        <v>36130</v>
      </c>
      <c r="I1927" s="20">
        <v>18.327000000000002</v>
      </c>
      <c r="J1927" s="44" t="s">
        <v>8</v>
      </c>
      <c r="K1927" s="23" t="s">
        <v>8</v>
      </c>
      <c r="L1927" s="23" t="s">
        <v>8</v>
      </c>
      <c r="M1927" s="23" t="s">
        <v>8</v>
      </c>
    </row>
    <row r="1928" spans="1:13" s="21" customFormat="1" x14ac:dyDescent="0.25">
      <c r="A1928" s="22" t="s">
        <v>8</v>
      </c>
      <c r="B1928" s="18" t="str">
        <f>"105407"</f>
        <v>105407</v>
      </c>
      <c r="C1928" s="19" t="s">
        <v>1926</v>
      </c>
      <c r="D1928" s="19" t="s">
        <v>17360</v>
      </c>
      <c r="E1928" s="19" t="s">
        <v>31528</v>
      </c>
      <c r="F1928" s="19" t="s">
        <v>35983</v>
      </c>
      <c r="G1928" s="18" t="str">
        <f>"34234"</f>
        <v>34234</v>
      </c>
      <c r="H1928" s="19" t="s">
        <v>31528</v>
      </c>
      <c r="I1928" s="20">
        <v>20.832999999999998</v>
      </c>
      <c r="J1928" s="44" t="s">
        <v>8</v>
      </c>
      <c r="K1928" s="23" t="s">
        <v>8</v>
      </c>
      <c r="L1928" s="23" t="s">
        <v>8</v>
      </c>
      <c r="M1928" s="23" t="s">
        <v>8</v>
      </c>
    </row>
    <row r="1929" spans="1:13" s="21" customFormat="1" x14ac:dyDescent="0.25">
      <c r="A1929" s="22" t="s">
        <v>8</v>
      </c>
      <c r="B1929" s="18" t="str">
        <f>"105408"</f>
        <v>105408</v>
      </c>
      <c r="C1929" s="19" t="s">
        <v>1927</v>
      </c>
      <c r="D1929" s="19" t="s">
        <v>17361</v>
      </c>
      <c r="E1929" s="19" t="s">
        <v>31593</v>
      </c>
      <c r="F1929" s="19" t="s">
        <v>35983</v>
      </c>
      <c r="G1929" s="18" t="str">
        <f>"33141"</f>
        <v>33141</v>
      </c>
      <c r="H1929" s="19" t="s">
        <v>36126</v>
      </c>
      <c r="I1929" s="20">
        <v>17.709</v>
      </c>
      <c r="J1929" s="44" t="s">
        <v>8</v>
      </c>
      <c r="K1929" s="23" t="s">
        <v>8</v>
      </c>
      <c r="L1929" s="23" t="s">
        <v>8</v>
      </c>
      <c r="M1929" s="23" t="s">
        <v>8</v>
      </c>
    </row>
    <row r="1930" spans="1:13" s="21" customFormat="1" x14ac:dyDescent="0.25">
      <c r="A1930" s="22" t="s">
        <v>8</v>
      </c>
      <c r="B1930" s="18" t="str">
        <f>"105409"</f>
        <v>105409</v>
      </c>
      <c r="C1930" s="19" t="s">
        <v>1928</v>
      </c>
      <c r="D1930" s="19" t="s">
        <v>17362</v>
      </c>
      <c r="E1930" s="19" t="s">
        <v>31517</v>
      </c>
      <c r="F1930" s="19" t="s">
        <v>35983</v>
      </c>
      <c r="G1930" s="18" t="str">
        <f>"33713"</f>
        <v>33713</v>
      </c>
      <c r="H1930" s="19" t="s">
        <v>36128</v>
      </c>
      <c r="I1930" s="20">
        <v>21.13</v>
      </c>
      <c r="J1930" s="44" t="s">
        <v>8</v>
      </c>
      <c r="K1930" s="23" t="s">
        <v>8</v>
      </c>
      <c r="L1930" s="23" t="s">
        <v>8</v>
      </c>
      <c r="M1930" s="23" t="s">
        <v>8</v>
      </c>
    </row>
    <row r="1931" spans="1:13" s="21" customFormat="1" x14ac:dyDescent="0.25">
      <c r="A1931" s="22" t="s">
        <v>8</v>
      </c>
      <c r="B1931" s="18" t="str">
        <f>"105410"</f>
        <v>105410</v>
      </c>
      <c r="C1931" s="19" t="s">
        <v>1929</v>
      </c>
      <c r="D1931" s="19" t="s">
        <v>17363</v>
      </c>
      <c r="E1931" s="19" t="s">
        <v>31594</v>
      </c>
      <c r="F1931" s="19" t="s">
        <v>35983</v>
      </c>
      <c r="G1931" s="18" t="str">
        <f>"34952"</f>
        <v>34952</v>
      </c>
      <c r="H1931" s="19" t="s">
        <v>36136</v>
      </c>
      <c r="I1931" s="20">
        <v>20.43</v>
      </c>
      <c r="J1931" s="44" t="s">
        <v>8</v>
      </c>
      <c r="K1931" s="23" t="s">
        <v>8</v>
      </c>
      <c r="L1931" s="23" t="s">
        <v>8</v>
      </c>
      <c r="M1931" s="23" t="s">
        <v>8</v>
      </c>
    </row>
    <row r="1932" spans="1:13" s="21" customFormat="1" x14ac:dyDescent="0.25">
      <c r="A1932" s="22" t="s">
        <v>8</v>
      </c>
      <c r="B1932" s="18" t="str">
        <f>"105411"</f>
        <v>105411</v>
      </c>
      <c r="C1932" s="19" t="s">
        <v>1930</v>
      </c>
      <c r="D1932" s="19" t="s">
        <v>17364</v>
      </c>
      <c r="E1932" s="19" t="s">
        <v>31573</v>
      </c>
      <c r="F1932" s="19" t="s">
        <v>35983</v>
      </c>
      <c r="G1932" s="18" t="str">
        <f>"33445"</f>
        <v>33445</v>
      </c>
      <c r="H1932" s="19" t="s">
        <v>36130</v>
      </c>
      <c r="I1932" s="20">
        <v>18.803999999999998</v>
      </c>
      <c r="J1932" s="44" t="s">
        <v>8</v>
      </c>
      <c r="K1932" s="23" t="s">
        <v>8</v>
      </c>
      <c r="L1932" s="23" t="s">
        <v>8</v>
      </c>
      <c r="M1932" s="23" t="s">
        <v>8</v>
      </c>
    </row>
    <row r="1933" spans="1:13" s="21" customFormat="1" x14ac:dyDescent="0.25">
      <c r="A1933" s="22" t="s">
        <v>8</v>
      </c>
      <c r="B1933" s="18" t="str">
        <f>"105412"</f>
        <v>105412</v>
      </c>
      <c r="C1933" s="19" t="s">
        <v>1931</v>
      </c>
      <c r="D1933" s="19" t="s">
        <v>17365</v>
      </c>
      <c r="E1933" s="19" t="s">
        <v>31595</v>
      </c>
      <c r="F1933" s="19" t="s">
        <v>35983</v>
      </c>
      <c r="G1933" s="18" t="str">
        <f>"33772"</f>
        <v>33772</v>
      </c>
      <c r="H1933" s="19" t="s">
        <v>36128</v>
      </c>
      <c r="I1933" s="20">
        <v>21.568000000000001</v>
      </c>
      <c r="J1933" s="44" t="s">
        <v>8</v>
      </c>
      <c r="K1933" s="23" t="s">
        <v>8</v>
      </c>
      <c r="L1933" s="23" t="s">
        <v>8</v>
      </c>
      <c r="M1933" s="23" t="s">
        <v>8</v>
      </c>
    </row>
    <row r="1934" spans="1:13" s="21" customFormat="1" x14ac:dyDescent="0.25">
      <c r="A1934" s="22" t="s">
        <v>8</v>
      </c>
      <c r="B1934" s="18" t="str">
        <f>"105413"</f>
        <v>105413</v>
      </c>
      <c r="C1934" s="19" t="s">
        <v>1932</v>
      </c>
      <c r="D1934" s="19" t="s">
        <v>17366</v>
      </c>
      <c r="E1934" s="19" t="s">
        <v>31559</v>
      </c>
      <c r="F1934" s="19" t="s">
        <v>35983</v>
      </c>
      <c r="G1934" s="18" t="str">
        <f>"34601"</f>
        <v>34601</v>
      </c>
      <c r="H1934" s="19" t="s">
        <v>31676</v>
      </c>
      <c r="I1934" s="20">
        <v>19.152000000000001</v>
      </c>
      <c r="J1934" s="44" t="s">
        <v>8</v>
      </c>
      <c r="K1934" s="23" t="s">
        <v>8</v>
      </c>
      <c r="L1934" s="23" t="s">
        <v>8</v>
      </c>
      <c r="M1934" s="23" t="s">
        <v>8</v>
      </c>
    </row>
    <row r="1935" spans="1:13" s="21" customFormat="1" x14ac:dyDescent="0.25">
      <c r="A1935" s="22" t="s">
        <v>8</v>
      </c>
      <c r="B1935" s="18" t="str">
        <f>"105416"</f>
        <v>105416</v>
      </c>
      <c r="C1935" s="19" t="s">
        <v>1933</v>
      </c>
      <c r="D1935" s="19" t="s">
        <v>17367</v>
      </c>
      <c r="E1935" s="19" t="s">
        <v>31528</v>
      </c>
      <c r="F1935" s="19" t="s">
        <v>35983</v>
      </c>
      <c r="G1935" s="18" t="str">
        <f>"34232"</f>
        <v>34232</v>
      </c>
      <c r="H1935" s="19" t="s">
        <v>31528</v>
      </c>
      <c r="I1935" s="20">
        <v>19.547000000000001</v>
      </c>
      <c r="J1935" s="44" t="s">
        <v>8</v>
      </c>
      <c r="K1935" s="23" t="s">
        <v>8</v>
      </c>
      <c r="L1935" s="23" t="s">
        <v>8</v>
      </c>
      <c r="M1935" s="23" t="s">
        <v>8</v>
      </c>
    </row>
    <row r="1936" spans="1:13" s="21" customFormat="1" x14ac:dyDescent="0.25">
      <c r="A1936" s="22" t="s">
        <v>8</v>
      </c>
      <c r="B1936" s="18" t="str">
        <f>"105417"</f>
        <v>105417</v>
      </c>
      <c r="C1936" s="19" t="s">
        <v>1934</v>
      </c>
      <c r="D1936" s="19" t="s">
        <v>17368</v>
      </c>
      <c r="E1936" s="19" t="s">
        <v>31526</v>
      </c>
      <c r="F1936" s="19" t="s">
        <v>35983</v>
      </c>
      <c r="G1936" s="18" t="str">
        <f>"33614"</f>
        <v>33614</v>
      </c>
      <c r="H1936" s="19" t="s">
        <v>33986</v>
      </c>
      <c r="I1936" s="20">
        <v>17.535</v>
      </c>
      <c r="J1936" s="44" t="s">
        <v>8</v>
      </c>
      <c r="K1936" s="23" t="s">
        <v>8</v>
      </c>
      <c r="L1936" s="23" t="s">
        <v>8</v>
      </c>
      <c r="M1936" s="23" t="s">
        <v>8</v>
      </c>
    </row>
    <row r="1937" spans="1:13" s="21" customFormat="1" x14ac:dyDescent="0.25">
      <c r="A1937" s="22" t="s">
        <v>8</v>
      </c>
      <c r="B1937" s="18" t="str">
        <f>"105419"</f>
        <v>105419</v>
      </c>
      <c r="C1937" s="19" t="s">
        <v>1935</v>
      </c>
      <c r="D1937" s="19" t="s">
        <v>17369</v>
      </c>
      <c r="E1937" s="19" t="s">
        <v>31596</v>
      </c>
      <c r="F1937" s="19" t="s">
        <v>35983</v>
      </c>
      <c r="G1937" s="18" t="str">
        <f>"34677"</f>
        <v>34677</v>
      </c>
      <c r="H1937" s="19" t="s">
        <v>36128</v>
      </c>
      <c r="I1937" s="20">
        <v>19.099</v>
      </c>
      <c r="J1937" s="44" t="s">
        <v>8</v>
      </c>
      <c r="K1937" s="23" t="s">
        <v>8</v>
      </c>
      <c r="L1937" s="23" t="s">
        <v>8</v>
      </c>
      <c r="M1937" s="23" t="s">
        <v>8</v>
      </c>
    </row>
    <row r="1938" spans="1:13" s="21" customFormat="1" x14ac:dyDescent="0.25">
      <c r="A1938" s="22" t="s">
        <v>8</v>
      </c>
      <c r="B1938" s="18" t="str">
        <f>"105420"</f>
        <v>105420</v>
      </c>
      <c r="C1938" s="19" t="s">
        <v>1936</v>
      </c>
      <c r="D1938" s="19" t="s">
        <v>17370</v>
      </c>
      <c r="E1938" s="19" t="s">
        <v>31514</v>
      </c>
      <c r="F1938" s="19" t="s">
        <v>35983</v>
      </c>
      <c r="G1938" s="18" t="str">
        <f>"33401"</f>
        <v>33401</v>
      </c>
      <c r="H1938" s="19" t="s">
        <v>36130</v>
      </c>
      <c r="I1938" s="20">
        <v>17.443999999999999</v>
      </c>
      <c r="J1938" s="44" t="s">
        <v>8</v>
      </c>
      <c r="K1938" s="23" t="s">
        <v>8</v>
      </c>
      <c r="L1938" s="23" t="s">
        <v>8</v>
      </c>
      <c r="M1938" s="23" t="s">
        <v>8</v>
      </c>
    </row>
    <row r="1939" spans="1:13" s="21" customFormat="1" x14ac:dyDescent="0.25">
      <c r="A1939" s="22" t="s">
        <v>8</v>
      </c>
      <c r="B1939" s="18" t="str">
        <f>"105421"</f>
        <v>105421</v>
      </c>
      <c r="C1939" s="19" t="s">
        <v>1937</v>
      </c>
      <c r="D1939" s="19" t="s">
        <v>17371</v>
      </c>
      <c r="E1939" s="19" t="s">
        <v>31535</v>
      </c>
      <c r="F1939" s="19" t="s">
        <v>35983</v>
      </c>
      <c r="G1939" s="18" t="str">
        <f>"34112"</f>
        <v>34112</v>
      </c>
      <c r="H1939" s="19" t="s">
        <v>36133</v>
      </c>
      <c r="I1939" s="20">
        <v>18.004000000000001</v>
      </c>
      <c r="J1939" s="44" t="s">
        <v>8</v>
      </c>
      <c r="K1939" s="23" t="s">
        <v>8</v>
      </c>
      <c r="L1939" s="23" t="s">
        <v>8</v>
      </c>
      <c r="M1939" s="23" t="s">
        <v>8</v>
      </c>
    </row>
    <row r="1940" spans="1:13" s="21" customFormat="1" x14ac:dyDescent="0.25">
      <c r="A1940" s="22" t="s">
        <v>8</v>
      </c>
      <c r="B1940" s="18" t="str">
        <f>"105422"</f>
        <v>105422</v>
      </c>
      <c r="C1940" s="19" t="s">
        <v>1938</v>
      </c>
      <c r="D1940" s="19" t="s">
        <v>17372</v>
      </c>
      <c r="E1940" s="19" t="s">
        <v>31597</v>
      </c>
      <c r="F1940" s="19" t="s">
        <v>35983</v>
      </c>
      <c r="G1940" s="18" t="str">
        <f>"33782"</f>
        <v>33782</v>
      </c>
      <c r="H1940" s="19" t="s">
        <v>36128</v>
      </c>
      <c r="I1940" s="20">
        <v>20.178000000000001</v>
      </c>
      <c r="J1940" s="44" t="s">
        <v>8</v>
      </c>
      <c r="K1940" s="23" t="s">
        <v>8</v>
      </c>
      <c r="L1940" s="23" t="s">
        <v>8</v>
      </c>
      <c r="M1940" s="23" t="s">
        <v>8</v>
      </c>
    </row>
    <row r="1941" spans="1:13" s="21" customFormat="1" x14ac:dyDescent="0.25">
      <c r="A1941" s="22" t="s">
        <v>8</v>
      </c>
      <c r="B1941" s="18" t="str">
        <f>"105423"</f>
        <v>105423</v>
      </c>
      <c r="C1941" s="19" t="s">
        <v>1939</v>
      </c>
      <c r="D1941" s="19" t="s">
        <v>17373</v>
      </c>
      <c r="E1941" s="19" t="s">
        <v>30912</v>
      </c>
      <c r="F1941" s="19" t="s">
        <v>35983</v>
      </c>
      <c r="G1941" s="18" t="str">
        <f>"32257"</f>
        <v>32257</v>
      </c>
      <c r="H1941" s="19" t="s">
        <v>36129</v>
      </c>
      <c r="I1941" s="20">
        <v>23.49</v>
      </c>
      <c r="J1941" s="44" t="s">
        <v>8</v>
      </c>
      <c r="K1941" s="23" t="s">
        <v>8</v>
      </c>
      <c r="L1941" s="23" t="s">
        <v>8</v>
      </c>
      <c r="M1941" s="23" t="s">
        <v>8</v>
      </c>
    </row>
    <row r="1942" spans="1:13" s="21" customFormat="1" x14ac:dyDescent="0.25">
      <c r="A1942" s="22" t="s">
        <v>8</v>
      </c>
      <c r="B1942" s="18" t="str">
        <f>"105426"</f>
        <v>105426</v>
      </c>
      <c r="C1942" s="19" t="s">
        <v>1940</v>
      </c>
      <c r="D1942" s="19" t="s">
        <v>17374</v>
      </c>
      <c r="E1942" s="19" t="s">
        <v>31526</v>
      </c>
      <c r="F1942" s="19" t="s">
        <v>35983</v>
      </c>
      <c r="G1942" s="18" t="str">
        <f>"33615"</f>
        <v>33615</v>
      </c>
      <c r="H1942" s="19" t="s">
        <v>33986</v>
      </c>
      <c r="I1942" s="20">
        <v>22.821999999999999</v>
      </c>
      <c r="J1942" s="44" t="s">
        <v>8</v>
      </c>
      <c r="K1942" s="23" t="s">
        <v>8</v>
      </c>
      <c r="L1942" s="23" t="s">
        <v>8</v>
      </c>
      <c r="M1942" s="23" t="s">
        <v>8</v>
      </c>
    </row>
    <row r="1943" spans="1:13" s="21" customFormat="1" x14ac:dyDescent="0.25">
      <c r="A1943" s="22" t="s">
        <v>8</v>
      </c>
      <c r="B1943" s="18" t="str">
        <f>"105427"</f>
        <v>105427</v>
      </c>
      <c r="C1943" s="19" t="s">
        <v>1941</v>
      </c>
      <c r="D1943" s="19" t="s">
        <v>17375</v>
      </c>
      <c r="E1943" s="19" t="s">
        <v>31541</v>
      </c>
      <c r="F1943" s="19" t="s">
        <v>35983</v>
      </c>
      <c r="G1943" s="18" t="str">
        <f>"33907"</f>
        <v>33907</v>
      </c>
      <c r="H1943" s="19" t="s">
        <v>33138</v>
      </c>
      <c r="I1943" s="20">
        <v>16.956</v>
      </c>
      <c r="J1943" s="44" t="s">
        <v>8</v>
      </c>
      <c r="K1943" s="23" t="s">
        <v>8</v>
      </c>
      <c r="L1943" s="23" t="s">
        <v>8</v>
      </c>
      <c r="M1943" s="23" t="s">
        <v>8</v>
      </c>
    </row>
    <row r="1944" spans="1:13" s="21" customFormat="1" x14ac:dyDescent="0.25">
      <c r="A1944" s="22" t="s">
        <v>8</v>
      </c>
      <c r="B1944" s="18" t="str">
        <f>"105428"</f>
        <v>105428</v>
      </c>
      <c r="C1944" s="19" t="s">
        <v>1942</v>
      </c>
      <c r="D1944" s="19" t="s">
        <v>17376</v>
      </c>
      <c r="E1944" s="19" t="s">
        <v>31534</v>
      </c>
      <c r="F1944" s="19" t="s">
        <v>35983</v>
      </c>
      <c r="G1944" s="18" t="str">
        <f>"33884"</f>
        <v>33884</v>
      </c>
      <c r="H1944" s="19" t="s">
        <v>36062</v>
      </c>
      <c r="I1944" s="20">
        <v>18.146999999999998</v>
      </c>
      <c r="J1944" s="44" t="s">
        <v>8</v>
      </c>
      <c r="K1944" s="23" t="s">
        <v>8</v>
      </c>
      <c r="L1944" s="23" t="s">
        <v>8</v>
      </c>
      <c r="M1944" s="23" t="s">
        <v>8</v>
      </c>
    </row>
    <row r="1945" spans="1:13" s="21" customFormat="1" x14ac:dyDescent="0.25">
      <c r="A1945" s="22" t="s">
        <v>8</v>
      </c>
      <c r="B1945" s="18" t="str">
        <f>"105429"</f>
        <v>105429</v>
      </c>
      <c r="C1945" s="19" t="s">
        <v>1943</v>
      </c>
      <c r="D1945" s="19" t="s">
        <v>17377</v>
      </c>
      <c r="E1945" s="19" t="s">
        <v>30912</v>
      </c>
      <c r="F1945" s="19" t="s">
        <v>35983</v>
      </c>
      <c r="G1945" s="18" t="str">
        <f>"32211"</f>
        <v>32211</v>
      </c>
      <c r="H1945" s="19" t="s">
        <v>36129</v>
      </c>
      <c r="I1945" s="20">
        <v>23.091000000000001</v>
      </c>
      <c r="J1945" s="44" t="s">
        <v>8</v>
      </c>
      <c r="K1945" s="23" t="s">
        <v>8</v>
      </c>
      <c r="L1945" s="23" t="s">
        <v>8</v>
      </c>
      <c r="M1945" s="23" t="s">
        <v>8</v>
      </c>
    </row>
    <row r="1946" spans="1:13" s="21" customFormat="1" x14ac:dyDescent="0.25">
      <c r="A1946" s="22" t="s">
        <v>8</v>
      </c>
      <c r="B1946" s="18" t="str">
        <f>"105430"</f>
        <v>105430</v>
      </c>
      <c r="C1946" s="19" t="s">
        <v>1944</v>
      </c>
      <c r="D1946" s="19" t="s">
        <v>17378</v>
      </c>
      <c r="E1946" s="19" t="s">
        <v>31598</v>
      </c>
      <c r="F1946" s="19" t="s">
        <v>35983</v>
      </c>
      <c r="G1946" s="18" t="str">
        <f>"32751"</f>
        <v>32751</v>
      </c>
      <c r="H1946" s="19" t="s">
        <v>31169</v>
      </c>
      <c r="I1946" s="20">
        <v>19.725000000000001</v>
      </c>
      <c r="J1946" s="44" t="s">
        <v>8</v>
      </c>
      <c r="K1946" s="23" t="s">
        <v>8</v>
      </c>
      <c r="L1946" s="23" t="s">
        <v>8</v>
      </c>
      <c r="M1946" s="23" t="s">
        <v>8</v>
      </c>
    </row>
    <row r="1947" spans="1:13" s="21" customFormat="1" x14ac:dyDescent="0.25">
      <c r="A1947" s="22" t="s">
        <v>8</v>
      </c>
      <c r="B1947" s="18" t="str">
        <f>"105431"</f>
        <v>105431</v>
      </c>
      <c r="C1947" s="19" t="s">
        <v>1945</v>
      </c>
      <c r="D1947" s="19" t="s">
        <v>17379</v>
      </c>
      <c r="E1947" s="19" t="s">
        <v>31599</v>
      </c>
      <c r="F1947" s="19" t="s">
        <v>35983</v>
      </c>
      <c r="G1947" s="18" t="str">
        <f>"32808"</f>
        <v>32808</v>
      </c>
      <c r="H1947" s="19" t="s">
        <v>31169</v>
      </c>
      <c r="I1947" s="20">
        <v>22.658999999999999</v>
      </c>
      <c r="J1947" s="44" t="s">
        <v>8</v>
      </c>
      <c r="K1947" s="23" t="s">
        <v>8</v>
      </c>
      <c r="L1947" s="23" t="s">
        <v>8</v>
      </c>
      <c r="M1947" s="23" t="s">
        <v>8</v>
      </c>
    </row>
    <row r="1948" spans="1:13" s="21" customFormat="1" x14ac:dyDescent="0.25">
      <c r="A1948" s="22" t="s">
        <v>8</v>
      </c>
      <c r="B1948" s="18" t="str">
        <f>"105432"</f>
        <v>105432</v>
      </c>
      <c r="C1948" s="19" t="s">
        <v>1946</v>
      </c>
      <c r="D1948" s="19" t="s">
        <v>17380</v>
      </c>
      <c r="E1948" s="19" t="s">
        <v>31507</v>
      </c>
      <c r="F1948" s="19" t="s">
        <v>35983</v>
      </c>
      <c r="G1948" s="18" t="str">
        <f>"33128"</f>
        <v>33128</v>
      </c>
      <c r="H1948" s="19" t="s">
        <v>36126</v>
      </c>
      <c r="I1948" s="20">
        <v>19.280999999999999</v>
      </c>
      <c r="J1948" s="44" t="s">
        <v>8</v>
      </c>
      <c r="K1948" s="23" t="s">
        <v>8</v>
      </c>
      <c r="L1948" s="23" t="s">
        <v>8</v>
      </c>
      <c r="M1948" s="23" t="s">
        <v>8</v>
      </c>
    </row>
    <row r="1949" spans="1:13" s="21" customFormat="1" x14ac:dyDescent="0.25">
      <c r="A1949" s="22" t="s">
        <v>8</v>
      </c>
      <c r="B1949" s="18" t="str">
        <f>"105433"</f>
        <v>105433</v>
      </c>
      <c r="C1949" s="19" t="s">
        <v>1947</v>
      </c>
      <c r="D1949" s="19" t="s">
        <v>17381</v>
      </c>
      <c r="E1949" s="19" t="s">
        <v>31531</v>
      </c>
      <c r="F1949" s="19" t="s">
        <v>35983</v>
      </c>
      <c r="G1949" s="18" t="str">
        <f>"32308"</f>
        <v>32308</v>
      </c>
      <c r="H1949" s="19" t="s">
        <v>32404</v>
      </c>
      <c r="I1949" s="20">
        <v>19.989000000000001</v>
      </c>
      <c r="J1949" s="44" t="s">
        <v>8</v>
      </c>
      <c r="K1949" s="23" t="s">
        <v>8</v>
      </c>
      <c r="L1949" s="23" t="s">
        <v>8</v>
      </c>
      <c r="M1949" s="23" t="s">
        <v>8</v>
      </c>
    </row>
    <row r="1950" spans="1:13" s="21" customFormat="1" x14ac:dyDescent="0.25">
      <c r="A1950" s="22" t="s">
        <v>8</v>
      </c>
      <c r="B1950" s="18" t="str">
        <f>"105434"</f>
        <v>105434</v>
      </c>
      <c r="C1950" s="19" t="s">
        <v>1948</v>
      </c>
      <c r="D1950" s="19" t="s">
        <v>17382</v>
      </c>
      <c r="E1950" s="19" t="s">
        <v>31537</v>
      </c>
      <c r="F1950" s="19" t="s">
        <v>35983</v>
      </c>
      <c r="G1950" s="18" t="str">
        <f>"32607"</f>
        <v>32607</v>
      </c>
      <c r="H1950" s="19" t="s">
        <v>36135</v>
      </c>
      <c r="I1950" s="20">
        <v>17.747</v>
      </c>
      <c r="J1950" s="44" t="s">
        <v>8</v>
      </c>
      <c r="K1950" s="23" t="s">
        <v>8</v>
      </c>
      <c r="L1950" s="23" t="s">
        <v>8</v>
      </c>
      <c r="M1950" s="23" t="s">
        <v>8</v>
      </c>
    </row>
    <row r="1951" spans="1:13" s="21" customFormat="1" x14ac:dyDescent="0.25">
      <c r="A1951" s="22" t="s">
        <v>8</v>
      </c>
      <c r="B1951" s="18" t="str">
        <f>"105435"</f>
        <v>105435</v>
      </c>
      <c r="C1951" s="19" t="s">
        <v>1949</v>
      </c>
      <c r="D1951" s="19" t="s">
        <v>17383</v>
      </c>
      <c r="E1951" s="19" t="s">
        <v>31504</v>
      </c>
      <c r="F1951" s="19" t="s">
        <v>35983</v>
      </c>
      <c r="G1951" s="18" t="str">
        <f>"32456"</f>
        <v>32456</v>
      </c>
      <c r="H1951" s="19" t="s">
        <v>36124</v>
      </c>
      <c r="I1951" s="20">
        <v>17.855</v>
      </c>
      <c r="J1951" s="44" t="s">
        <v>8</v>
      </c>
      <c r="K1951" s="23" t="s">
        <v>8</v>
      </c>
      <c r="L1951" s="23" t="s">
        <v>8</v>
      </c>
      <c r="M1951" s="23" t="s">
        <v>8</v>
      </c>
    </row>
    <row r="1952" spans="1:13" s="21" customFormat="1" x14ac:dyDescent="0.25">
      <c r="A1952" s="22" t="s">
        <v>8</v>
      </c>
      <c r="B1952" s="18" t="str">
        <f>"105436"</f>
        <v>105436</v>
      </c>
      <c r="C1952" s="19" t="s">
        <v>1950</v>
      </c>
      <c r="D1952" s="19" t="s">
        <v>17384</v>
      </c>
      <c r="E1952" s="19" t="s">
        <v>31525</v>
      </c>
      <c r="F1952" s="19" t="s">
        <v>35983</v>
      </c>
      <c r="G1952" s="18" t="str">
        <f>"34698"</f>
        <v>34698</v>
      </c>
      <c r="H1952" s="19" t="s">
        <v>36128</v>
      </c>
      <c r="I1952" s="20">
        <v>16.919</v>
      </c>
      <c r="J1952" s="44" t="s">
        <v>8</v>
      </c>
      <c r="K1952" s="23" t="s">
        <v>8</v>
      </c>
      <c r="L1952" s="23" t="s">
        <v>8</v>
      </c>
      <c r="M1952" s="23" t="s">
        <v>8</v>
      </c>
    </row>
    <row r="1953" spans="1:13" s="21" customFormat="1" x14ac:dyDescent="0.25">
      <c r="A1953" s="22" t="s">
        <v>8</v>
      </c>
      <c r="B1953" s="18" t="str">
        <f>"105437"</f>
        <v>105437</v>
      </c>
      <c r="C1953" s="19" t="s">
        <v>201</v>
      </c>
      <c r="D1953" s="19" t="s">
        <v>17385</v>
      </c>
      <c r="E1953" s="19" t="s">
        <v>31567</v>
      </c>
      <c r="F1953" s="19" t="s">
        <v>35983</v>
      </c>
      <c r="G1953" s="18" t="str">
        <f>"34429"</f>
        <v>34429</v>
      </c>
      <c r="H1953" s="19" t="s">
        <v>36138</v>
      </c>
      <c r="I1953" s="20">
        <v>18.39</v>
      </c>
      <c r="J1953" s="44" t="s">
        <v>8</v>
      </c>
      <c r="K1953" s="23" t="s">
        <v>8</v>
      </c>
      <c r="L1953" s="23" t="s">
        <v>8</v>
      </c>
      <c r="M1953" s="23" t="s">
        <v>8</v>
      </c>
    </row>
    <row r="1954" spans="1:13" s="21" customFormat="1" x14ac:dyDescent="0.25">
      <c r="A1954" s="22" t="s">
        <v>8</v>
      </c>
      <c r="B1954" s="18" t="str">
        <f>"105438"</f>
        <v>105438</v>
      </c>
      <c r="C1954" s="19" t="s">
        <v>1951</v>
      </c>
      <c r="D1954" s="19" t="s">
        <v>17386</v>
      </c>
      <c r="E1954" s="19" t="s">
        <v>31532</v>
      </c>
      <c r="F1954" s="19" t="s">
        <v>35983</v>
      </c>
      <c r="G1954" s="18" t="str">
        <f>"34653"</f>
        <v>34653</v>
      </c>
      <c r="H1954" s="19" t="s">
        <v>35446</v>
      </c>
      <c r="I1954" s="20">
        <v>21.521000000000001</v>
      </c>
      <c r="J1954" s="44" t="s">
        <v>8</v>
      </c>
      <c r="K1954" s="23" t="s">
        <v>8</v>
      </c>
      <c r="L1954" s="23" t="s">
        <v>8</v>
      </c>
      <c r="M1954" s="23" t="s">
        <v>8</v>
      </c>
    </row>
    <row r="1955" spans="1:13" s="21" customFormat="1" x14ac:dyDescent="0.25">
      <c r="A1955" s="22" t="s">
        <v>8</v>
      </c>
      <c r="B1955" s="18" t="str">
        <f>"105439"</f>
        <v>105439</v>
      </c>
      <c r="C1955" s="19" t="s">
        <v>1952</v>
      </c>
      <c r="D1955" s="19" t="s">
        <v>17387</v>
      </c>
      <c r="E1955" s="19" t="s">
        <v>31535</v>
      </c>
      <c r="F1955" s="19" t="s">
        <v>35983</v>
      </c>
      <c r="G1955" s="18" t="str">
        <f>"34103"</f>
        <v>34103</v>
      </c>
      <c r="H1955" s="19" t="s">
        <v>36133</v>
      </c>
      <c r="I1955" s="20">
        <v>17.457000000000001</v>
      </c>
      <c r="J1955" s="44" t="s">
        <v>8</v>
      </c>
      <c r="K1955" s="23" t="s">
        <v>8</v>
      </c>
      <c r="L1955" s="23" t="s">
        <v>8</v>
      </c>
      <c r="M1955" s="23" t="s">
        <v>8</v>
      </c>
    </row>
    <row r="1956" spans="1:13" s="21" customFormat="1" x14ac:dyDescent="0.25">
      <c r="A1956" s="22" t="s">
        <v>8</v>
      </c>
      <c r="B1956" s="18" t="str">
        <f>"105440"</f>
        <v>105440</v>
      </c>
      <c r="C1956" s="19" t="s">
        <v>1953</v>
      </c>
      <c r="D1956" s="19" t="s">
        <v>17388</v>
      </c>
      <c r="E1956" s="19" t="s">
        <v>31600</v>
      </c>
      <c r="F1956" s="19" t="s">
        <v>35983</v>
      </c>
      <c r="G1956" s="18" t="str">
        <f>"34787"</f>
        <v>34787</v>
      </c>
      <c r="H1956" s="19" t="s">
        <v>31169</v>
      </c>
      <c r="I1956" s="20">
        <v>21.167999999999999</v>
      </c>
      <c r="J1956" s="44" t="s">
        <v>8</v>
      </c>
      <c r="K1956" s="23" t="s">
        <v>8</v>
      </c>
      <c r="L1956" s="23" t="s">
        <v>8</v>
      </c>
      <c r="M1956" s="23" t="s">
        <v>8</v>
      </c>
    </row>
    <row r="1957" spans="1:13" s="21" customFormat="1" x14ac:dyDescent="0.25">
      <c r="A1957" s="22" t="s">
        <v>8</v>
      </c>
      <c r="B1957" s="18" t="str">
        <f>"105441"</f>
        <v>105441</v>
      </c>
      <c r="C1957" s="19" t="s">
        <v>1954</v>
      </c>
      <c r="D1957" s="19" t="s">
        <v>17389</v>
      </c>
      <c r="E1957" s="19" t="s">
        <v>31601</v>
      </c>
      <c r="F1957" s="19" t="s">
        <v>35983</v>
      </c>
      <c r="G1957" s="18" t="str">
        <f>"33351"</f>
        <v>33351</v>
      </c>
      <c r="H1957" s="19" t="s">
        <v>36127</v>
      </c>
      <c r="I1957" s="20">
        <v>21.094000000000001</v>
      </c>
      <c r="J1957" s="44" t="s">
        <v>8</v>
      </c>
      <c r="K1957" s="23" t="s">
        <v>8</v>
      </c>
      <c r="L1957" s="23" t="s">
        <v>8</v>
      </c>
      <c r="M1957" s="23" t="s">
        <v>8</v>
      </c>
    </row>
    <row r="1958" spans="1:13" s="21" customFormat="1" x14ac:dyDescent="0.25">
      <c r="A1958" s="22" t="s">
        <v>8</v>
      </c>
      <c r="B1958" s="18" t="str">
        <f>"105442"</f>
        <v>105442</v>
      </c>
      <c r="C1958" s="19" t="s">
        <v>1955</v>
      </c>
      <c r="D1958" s="19" t="s">
        <v>17390</v>
      </c>
      <c r="E1958" s="19" t="s">
        <v>31602</v>
      </c>
      <c r="F1958" s="19" t="s">
        <v>35983</v>
      </c>
      <c r="G1958" s="18" t="str">
        <f>"33844"</f>
        <v>33844</v>
      </c>
      <c r="H1958" s="19" t="s">
        <v>36062</v>
      </c>
      <c r="I1958" s="20">
        <v>18.423999999999999</v>
      </c>
      <c r="J1958" s="44" t="s">
        <v>8</v>
      </c>
      <c r="K1958" s="23" t="s">
        <v>8</v>
      </c>
      <c r="L1958" s="23" t="s">
        <v>8</v>
      </c>
      <c r="M1958" s="23" t="s">
        <v>8</v>
      </c>
    </row>
    <row r="1959" spans="1:13" s="21" customFormat="1" x14ac:dyDescent="0.25">
      <c r="A1959" s="22" t="s">
        <v>8</v>
      </c>
      <c r="B1959" s="18" t="str">
        <f>"105443"</f>
        <v>105443</v>
      </c>
      <c r="C1959" s="19" t="s">
        <v>1956</v>
      </c>
      <c r="D1959" s="19" t="s">
        <v>17391</v>
      </c>
      <c r="E1959" s="19" t="s">
        <v>31603</v>
      </c>
      <c r="F1959" s="19" t="s">
        <v>35983</v>
      </c>
      <c r="G1959" s="18" t="str">
        <f>"34292"</f>
        <v>34292</v>
      </c>
      <c r="H1959" s="19" t="s">
        <v>31528</v>
      </c>
      <c r="I1959" s="20">
        <v>21.869</v>
      </c>
      <c r="J1959" s="44" t="s">
        <v>8</v>
      </c>
      <c r="K1959" s="23" t="s">
        <v>8</v>
      </c>
      <c r="L1959" s="23" t="s">
        <v>8</v>
      </c>
      <c r="M1959" s="23" t="s">
        <v>8</v>
      </c>
    </row>
    <row r="1960" spans="1:13" s="21" customFormat="1" x14ac:dyDescent="0.25">
      <c r="A1960" s="22" t="s">
        <v>8</v>
      </c>
      <c r="B1960" s="18" t="str">
        <f>"105444"</f>
        <v>105444</v>
      </c>
      <c r="C1960" s="19" t="s">
        <v>1957</v>
      </c>
      <c r="D1960" s="19" t="s">
        <v>17392</v>
      </c>
      <c r="E1960" s="19" t="s">
        <v>31548</v>
      </c>
      <c r="F1960" s="19" t="s">
        <v>35983</v>
      </c>
      <c r="G1960" s="18" t="str">
        <f>"32514"</f>
        <v>32514</v>
      </c>
      <c r="H1960" s="19" t="s">
        <v>36035</v>
      </c>
      <c r="I1960" s="20">
        <v>19.271999999999998</v>
      </c>
      <c r="J1960" s="44" t="s">
        <v>8</v>
      </c>
      <c r="K1960" s="23" t="s">
        <v>8</v>
      </c>
      <c r="L1960" s="23" t="s">
        <v>8</v>
      </c>
      <c r="M1960" s="23" t="s">
        <v>8</v>
      </c>
    </row>
    <row r="1961" spans="1:13" s="21" customFormat="1" x14ac:dyDescent="0.25">
      <c r="A1961" s="22" t="s">
        <v>8</v>
      </c>
      <c r="B1961" s="18" t="str">
        <f>"105445"</f>
        <v>105445</v>
      </c>
      <c r="C1961" s="19" t="s">
        <v>1958</v>
      </c>
      <c r="D1961" s="19" t="s">
        <v>17393</v>
      </c>
      <c r="E1961" s="19" t="s">
        <v>31548</v>
      </c>
      <c r="F1961" s="19" t="s">
        <v>35983</v>
      </c>
      <c r="G1961" s="18" t="str">
        <f>"32514"</f>
        <v>32514</v>
      </c>
      <c r="H1961" s="19" t="s">
        <v>36035</v>
      </c>
      <c r="I1961" s="20">
        <v>18.939</v>
      </c>
      <c r="J1961" s="44" t="s">
        <v>8</v>
      </c>
      <c r="K1961" s="23" t="s">
        <v>8</v>
      </c>
      <c r="L1961" s="23" t="s">
        <v>8</v>
      </c>
      <c r="M1961" s="23" t="s">
        <v>8</v>
      </c>
    </row>
    <row r="1962" spans="1:13" s="21" customFormat="1" x14ac:dyDescent="0.25">
      <c r="A1962" s="22" t="s">
        <v>8</v>
      </c>
      <c r="B1962" s="18" t="str">
        <f>"105447"</f>
        <v>105447</v>
      </c>
      <c r="C1962" s="19" t="s">
        <v>1959</v>
      </c>
      <c r="D1962" s="19" t="s">
        <v>17394</v>
      </c>
      <c r="E1962" s="19" t="s">
        <v>31604</v>
      </c>
      <c r="F1962" s="19" t="s">
        <v>35983</v>
      </c>
      <c r="G1962" s="18" t="str">
        <f>"32725"</f>
        <v>32725</v>
      </c>
      <c r="H1962" s="19" t="s">
        <v>36125</v>
      </c>
      <c r="I1962" s="20">
        <v>21.823</v>
      </c>
      <c r="J1962" s="44" t="s">
        <v>8</v>
      </c>
      <c r="K1962" s="23" t="s">
        <v>8</v>
      </c>
      <c r="L1962" s="23" t="s">
        <v>8</v>
      </c>
      <c r="M1962" s="23" t="s">
        <v>8</v>
      </c>
    </row>
    <row r="1963" spans="1:13" s="21" customFormat="1" x14ac:dyDescent="0.25">
      <c r="A1963" s="22" t="s">
        <v>8</v>
      </c>
      <c r="B1963" s="18" t="str">
        <f>"105448"</f>
        <v>105448</v>
      </c>
      <c r="C1963" s="19" t="s">
        <v>1960</v>
      </c>
      <c r="D1963" s="19" t="s">
        <v>17395</v>
      </c>
      <c r="E1963" s="19" t="s">
        <v>31605</v>
      </c>
      <c r="F1963" s="19" t="s">
        <v>35983</v>
      </c>
      <c r="G1963" s="18" t="str">
        <f>"32796"</f>
        <v>32796</v>
      </c>
      <c r="H1963" s="19" t="s">
        <v>34287</v>
      </c>
      <c r="I1963" s="20">
        <v>19.562999999999999</v>
      </c>
      <c r="J1963" s="44" t="s">
        <v>8</v>
      </c>
      <c r="K1963" s="23" t="s">
        <v>8</v>
      </c>
      <c r="L1963" s="23" t="s">
        <v>8</v>
      </c>
      <c r="M1963" s="23" t="s">
        <v>8</v>
      </c>
    </row>
    <row r="1964" spans="1:13" s="21" customFormat="1" x14ac:dyDescent="0.25">
      <c r="A1964" s="22" t="s">
        <v>8</v>
      </c>
      <c r="B1964" s="18" t="str">
        <f>"105449"</f>
        <v>105449</v>
      </c>
      <c r="C1964" s="19" t="s">
        <v>1961</v>
      </c>
      <c r="D1964" s="19" t="s">
        <v>17396</v>
      </c>
      <c r="E1964" s="19" t="s">
        <v>31507</v>
      </c>
      <c r="F1964" s="19" t="s">
        <v>35983</v>
      </c>
      <c r="G1964" s="18" t="str">
        <f>"33150"</f>
        <v>33150</v>
      </c>
      <c r="H1964" s="19" t="s">
        <v>36126</v>
      </c>
      <c r="I1964" s="20">
        <v>18.292999999999999</v>
      </c>
      <c r="J1964" s="44" t="s">
        <v>8</v>
      </c>
      <c r="K1964" s="23" t="s">
        <v>8</v>
      </c>
      <c r="L1964" s="23" t="s">
        <v>8</v>
      </c>
      <c r="M1964" s="23" t="s">
        <v>8</v>
      </c>
    </row>
    <row r="1965" spans="1:13" s="21" customFormat="1" x14ac:dyDescent="0.25">
      <c r="A1965" s="22" t="s">
        <v>8</v>
      </c>
      <c r="B1965" s="18" t="str">
        <f>"105451"</f>
        <v>105451</v>
      </c>
      <c r="C1965" s="19" t="s">
        <v>1962</v>
      </c>
      <c r="D1965" s="19" t="s">
        <v>17397</v>
      </c>
      <c r="E1965" s="19" t="s">
        <v>31553</v>
      </c>
      <c r="F1965" s="19" t="s">
        <v>35983</v>
      </c>
      <c r="G1965" s="18" t="str">
        <f>"34689"</f>
        <v>34689</v>
      </c>
      <c r="H1965" s="19" t="s">
        <v>36128</v>
      </c>
      <c r="I1965" s="20">
        <v>16.119</v>
      </c>
      <c r="J1965" s="44" t="s">
        <v>8</v>
      </c>
      <c r="K1965" s="23" t="s">
        <v>8</v>
      </c>
      <c r="L1965" s="23" t="s">
        <v>8</v>
      </c>
      <c r="M1965" s="23" t="s">
        <v>8</v>
      </c>
    </row>
    <row r="1966" spans="1:13" s="21" customFormat="1" x14ac:dyDescent="0.25">
      <c r="A1966" s="22" t="s">
        <v>8</v>
      </c>
      <c r="B1966" s="18" t="str">
        <f>"105452"</f>
        <v>105452</v>
      </c>
      <c r="C1966" s="19" t="s">
        <v>1963</v>
      </c>
      <c r="D1966" s="19" t="s">
        <v>17398</v>
      </c>
      <c r="E1966" s="19" t="s">
        <v>31337</v>
      </c>
      <c r="F1966" s="19" t="s">
        <v>35983</v>
      </c>
      <c r="G1966" s="18" t="str">
        <f>"34224"</f>
        <v>34224</v>
      </c>
      <c r="H1966" s="19" t="s">
        <v>33156</v>
      </c>
      <c r="I1966" s="20">
        <v>18.698</v>
      </c>
      <c r="J1966" s="44" t="s">
        <v>8</v>
      </c>
      <c r="K1966" s="23" t="s">
        <v>8</v>
      </c>
      <c r="L1966" s="23" t="s">
        <v>8</v>
      </c>
      <c r="M1966" s="23" t="s">
        <v>8</v>
      </c>
    </row>
    <row r="1967" spans="1:13" s="21" customFormat="1" x14ac:dyDescent="0.25">
      <c r="A1967" s="22" t="s">
        <v>8</v>
      </c>
      <c r="B1967" s="18" t="str">
        <f>"105453"</f>
        <v>105453</v>
      </c>
      <c r="C1967" s="19" t="s">
        <v>1964</v>
      </c>
      <c r="D1967" s="19" t="s">
        <v>17399</v>
      </c>
      <c r="E1967" s="19" t="s">
        <v>31551</v>
      </c>
      <c r="F1967" s="19" t="s">
        <v>35983</v>
      </c>
      <c r="G1967" s="18" t="str">
        <f>"33758"</f>
        <v>33758</v>
      </c>
      <c r="H1967" s="19" t="s">
        <v>36128</v>
      </c>
      <c r="I1967" s="20">
        <v>19.209</v>
      </c>
      <c r="J1967" s="44" t="s">
        <v>8</v>
      </c>
      <c r="K1967" s="23" t="s">
        <v>8</v>
      </c>
      <c r="L1967" s="23" t="s">
        <v>8</v>
      </c>
      <c r="M1967" s="23" t="s">
        <v>8</v>
      </c>
    </row>
    <row r="1968" spans="1:13" s="21" customFormat="1" x14ac:dyDescent="0.25">
      <c r="A1968" s="22" t="s">
        <v>8</v>
      </c>
      <c r="B1968" s="18" t="str">
        <f>"105454"</f>
        <v>105454</v>
      </c>
      <c r="C1968" s="19" t="s">
        <v>1965</v>
      </c>
      <c r="D1968" s="19" t="s">
        <v>17400</v>
      </c>
      <c r="E1968" s="19" t="s">
        <v>31528</v>
      </c>
      <c r="F1968" s="19" t="s">
        <v>35983</v>
      </c>
      <c r="G1968" s="18" t="str">
        <f>"34231"</f>
        <v>34231</v>
      </c>
      <c r="H1968" s="19" t="s">
        <v>31528</v>
      </c>
      <c r="I1968" s="20">
        <v>16.954000000000001</v>
      </c>
      <c r="J1968" s="44" t="s">
        <v>8</v>
      </c>
      <c r="K1968" s="23" t="s">
        <v>8</v>
      </c>
      <c r="L1968" s="23" t="s">
        <v>8</v>
      </c>
      <c r="M1968" s="23" t="s">
        <v>8</v>
      </c>
    </row>
    <row r="1969" spans="1:13" s="21" customFormat="1" x14ac:dyDescent="0.25">
      <c r="A1969" s="22" t="s">
        <v>8</v>
      </c>
      <c r="B1969" s="18" t="str">
        <f>"105455"</f>
        <v>105455</v>
      </c>
      <c r="C1969" s="19" t="s">
        <v>1966</v>
      </c>
      <c r="D1969" s="19" t="s">
        <v>17401</v>
      </c>
      <c r="E1969" s="19" t="s">
        <v>31606</v>
      </c>
      <c r="F1969" s="19" t="s">
        <v>35983</v>
      </c>
      <c r="G1969" s="18" t="str">
        <f>"33852"</f>
        <v>33852</v>
      </c>
      <c r="H1969" s="19" t="s">
        <v>34344</v>
      </c>
      <c r="I1969" s="20">
        <v>20.402000000000001</v>
      </c>
      <c r="J1969" s="44" t="s">
        <v>8</v>
      </c>
      <c r="K1969" s="23" t="s">
        <v>8</v>
      </c>
      <c r="L1969" s="23" t="s">
        <v>8</v>
      </c>
      <c r="M1969" s="23" t="s">
        <v>8</v>
      </c>
    </row>
    <row r="1970" spans="1:13" s="21" customFormat="1" x14ac:dyDescent="0.25">
      <c r="A1970" s="22" t="s">
        <v>8</v>
      </c>
      <c r="B1970" s="18" t="str">
        <f>"105458"</f>
        <v>105458</v>
      </c>
      <c r="C1970" s="19" t="s">
        <v>1967</v>
      </c>
      <c r="D1970" s="19" t="s">
        <v>17402</v>
      </c>
      <c r="E1970" s="19" t="s">
        <v>31565</v>
      </c>
      <c r="F1970" s="19" t="s">
        <v>35983</v>
      </c>
      <c r="G1970" s="18" t="str">
        <f>"32174"</f>
        <v>32174</v>
      </c>
      <c r="H1970" s="19" t="s">
        <v>36125</v>
      </c>
      <c r="I1970" s="20">
        <v>16.577999999999999</v>
      </c>
      <c r="J1970" s="44" t="s">
        <v>8</v>
      </c>
      <c r="K1970" s="23" t="s">
        <v>8</v>
      </c>
      <c r="L1970" s="23" t="s">
        <v>8</v>
      </c>
      <c r="M1970" s="23" t="s">
        <v>8</v>
      </c>
    </row>
    <row r="1971" spans="1:13" s="21" customFormat="1" x14ac:dyDescent="0.25">
      <c r="A1971" s="22" t="s">
        <v>8</v>
      </c>
      <c r="B1971" s="18" t="str">
        <f>"105459"</f>
        <v>105459</v>
      </c>
      <c r="C1971" s="19" t="s">
        <v>1968</v>
      </c>
      <c r="D1971" s="19" t="s">
        <v>17403</v>
      </c>
      <c r="E1971" s="19" t="s">
        <v>31532</v>
      </c>
      <c r="F1971" s="19" t="s">
        <v>35983</v>
      </c>
      <c r="G1971" s="18" t="str">
        <f>"34653"</f>
        <v>34653</v>
      </c>
      <c r="H1971" s="19" t="s">
        <v>35446</v>
      </c>
      <c r="I1971" s="20">
        <v>24.443000000000001</v>
      </c>
      <c r="J1971" s="44" t="s">
        <v>8</v>
      </c>
      <c r="K1971" s="23" t="s">
        <v>8</v>
      </c>
      <c r="L1971" s="23" t="s">
        <v>8</v>
      </c>
      <c r="M1971" s="23" t="s">
        <v>8</v>
      </c>
    </row>
    <row r="1972" spans="1:13" s="21" customFormat="1" x14ac:dyDescent="0.25">
      <c r="A1972" s="22" t="s">
        <v>8</v>
      </c>
      <c r="B1972" s="18" t="str">
        <f>"105460"</f>
        <v>105460</v>
      </c>
      <c r="C1972" s="19" t="s">
        <v>1969</v>
      </c>
      <c r="D1972" s="19" t="s">
        <v>17404</v>
      </c>
      <c r="E1972" s="19" t="s">
        <v>31537</v>
      </c>
      <c r="F1972" s="19" t="s">
        <v>35983</v>
      </c>
      <c r="G1972" s="18" t="str">
        <f>"32605"</f>
        <v>32605</v>
      </c>
      <c r="H1972" s="19" t="s">
        <v>36135</v>
      </c>
      <c r="I1972" s="20">
        <v>25.032</v>
      </c>
      <c r="J1972" s="44" t="s">
        <v>8</v>
      </c>
      <c r="K1972" s="23" t="s">
        <v>8</v>
      </c>
      <c r="L1972" s="23" t="s">
        <v>8</v>
      </c>
      <c r="M1972" s="23" t="s">
        <v>8</v>
      </c>
    </row>
    <row r="1973" spans="1:13" s="21" customFormat="1" x14ac:dyDescent="0.25">
      <c r="A1973" s="22" t="s">
        <v>8</v>
      </c>
      <c r="B1973" s="18" t="str">
        <f>"105461"</f>
        <v>105461</v>
      </c>
      <c r="C1973" s="19" t="s">
        <v>1970</v>
      </c>
      <c r="D1973" s="19" t="s">
        <v>17405</v>
      </c>
      <c r="E1973" s="19" t="s">
        <v>31607</v>
      </c>
      <c r="F1973" s="19" t="s">
        <v>35983</v>
      </c>
      <c r="G1973" s="18" t="str">
        <f>"34461"</f>
        <v>34461</v>
      </c>
      <c r="H1973" s="19" t="s">
        <v>36138</v>
      </c>
      <c r="I1973" s="20">
        <v>16.779</v>
      </c>
      <c r="J1973" s="44" t="s">
        <v>8</v>
      </c>
      <c r="K1973" s="23" t="s">
        <v>8</v>
      </c>
      <c r="L1973" s="23" t="s">
        <v>8</v>
      </c>
      <c r="M1973" s="23" t="s">
        <v>8</v>
      </c>
    </row>
    <row r="1974" spans="1:13" s="21" customFormat="1" x14ac:dyDescent="0.25">
      <c r="A1974" s="22" t="s">
        <v>8</v>
      </c>
      <c r="B1974" s="18" t="str">
        <f>"105462"</f>
        <v>105462</v>
      </c>
      <c r="C1974" s="19" t="s">
        <v>1971</v>
      </c>
      <c r="D1974" s="19" t="s">
        <v>17406</v>
      </c>
      <c r="E1974" s="19" t="s">
        <v>31608</v>
      </c>
      <c r="F1974" s="19" t="s">
        <v>35983</v>
      </c>
      <c r="G1974" s="18" t="str">
        <f>"33440"</f>
        <v>33440</v>
      </c>
      <c r="H1974" s="19" t="s">
        <v>36142</v>
      </c>
      <c r="I1974" s="20">
        <v>19.832000000000001</v>
      </c>
      <c r="J1974" s="44" t="s">
        <v>8</v>
      </c>
      <c r="K1974" s="23" t="s">
        <v>8</v>
      </c>
      <c r="L1974" s="23" t="s">
        <v>8</v>
      </c>
      <c r="M1974" s="23" t="s">
        <v>8</v>
      </c>
    </row>
    <row r="1975" spans="1:13" s="21" customFormat="1" x14ac:dyDescent="0.25">
      <c r="A1975" s="22" t="s">
        <v>8</v>
      </c>
      <c r="B1975" s="18" t="str">
        <f>"105463"</f>
        <v>105463</v>
      </c>
      <c r="C1975" s="19" t="s">
        <v>1972</v>
      </c>
      <c r="D1975" s="19" t="s">
        <v>17407</v>
      </c>
      <c r="E1975" s="19" t="s">
        <v>31570</v>
      </c>
      <c r="F1975" s="19" t="s">
        <v>35983</v>
      </c>
      <c r="G1975" s="18" t="str">
        <f>"32952"</f>
        <v>32952</v>
      </c>
      <c r="H1975" s="19" t="s">
        <v>34287</v>
      </c>
      <c r="I1975" s="20">
        <v>19.216000000000001</v>
      </c>
      <c r="J1975" s="44" t="s">
        <v>8</v>
      </c>
      <c r="K1975" s="23" t="s">
        <v>8</v>
      </c>
      <c r="L1975" s="23" t="s">
        <v>8</v>
      </c>
      <c r="M1975" s="23" t="s">
        <v>8</v>
      </c>
    </row>
    <row r="1976" spans="1:13" s="21" customFormat="1" x14ac:dyDescent="0.25">
      <c r="A1976" s="22" t="s">
        <v>8</v>
      </c>
      <c r="B1976" s="18" t="str">
        <f>"105464"</f>
        <v>105464</v>
      </c>
      <c r="C1976" s="19" t="s">
        <v>1973</v>
      </c>
      <c r="D1976" s="19" t="s">
        <v>17408</v>
      </c>
      <c r="E1976" s="19" t="s">
        <v>31609</v>
      </c>
      <c r="F1976" s="19" t="s">
        <v>35983</v>
      </c>
      <c r="G1976" s="18" t="str">
        <f>"32905"</f>
        <v>32905</v>
      </c>
      <c r="H1976" s="19" t="s">
        <v>34287</v>
      </c>
      <c r="I1976" s="20">
        <v>18.648</v>
      </c>
      <c r="J1976" s="44" t="s">
        <v>8</v>
      </c>
      <c r="K1976" s="23" t="s">
        <v>8</v>
      </c>
      <c r="L1976" s="23" t="s">
        <v>8</v>
      </c>
      <c r="M1976" s="23" t="s">
        <v>8</v>
      </c>
    </row>
    <row r="1977" spans="1:13" s="21" customFormat="1" x14ac:dyDescent="0.25">
      <c r="A1977" s="22" t="s">
        <v>8</v>
      </c>
      <c r="B1977" s="18" t="str">
        <f>"105465"</f>
        <v>105465</v>
      </c>
      <c r="C1977" s="19" t="s">
        <v>1974</v>
      </c>
      <c r="D1977" s="19" t="s">
        <v>17409</v>
      </c>
      <c r="E1977" s="19" t="s">
        <v>31538</v>
      </c>
      <c r="F1977" s="19" t="s">
        <v>35983</v>
      </c>
      <c r="G1977" s="18" t="str">
        <f>"34471"</f>
        <v>34471</v>
      </c>
      <c r="H1977" s="19" t="s">
        <v>30850</v>
      </c>
      <c r="I1977" s="20">
        <v>22.532</v>
      </c>
      <c r="J1977" s="44" t="s">
        <v>8</v>
      </c>
      <c r="K1977" s="23" t="s">
        <v>8</v>
      </c>
      <c r="L1977" s="23" t="s">
        <v>8</v>
      </c>
      <c r="M1977" s="23" t="s">
        <v>8</v>
      </c>
    </row>
    <row r="1978" spans="1:13" s="21" customFormat="1" x14ac:dyDescent="0.25">
      <c r="A1978" s="22" t="s">
        <v>8</v>
      </c>
      <c r="B1978" s="18" t="str">
        <f>"105466"</f>
        <v>105466</v>
      </c>
      <c r="C1978" s="19" t="s">
        <v>1975</v>
      </c>
      <c r="D1978" s="19" t="s">
        <v>17410</v>
      </c>
      <c r="E1978" s="19" t="s">
        <v>31523</v>
      </c>
      <c r="F1978" s="19" t="s">
        <v>35983</v>
      </c>
      <c r="G1978" s="18" t="str">
        <f>"33461"</f>
        <v>33461</v>
      </c>
      <c r="H1978" s="19" t="s">
        <v>36130</v>
      </c>
      <c r="I1978" s="20">
        <v>26.548999999999999</v>
      </c>
      <c r="J1978" s="44" t="s">
        <v>8</v>
      </c>
      <c r="K1978" s="23" t="s">
        <v>8</v>
      </c>
      <c r="L1978" s="23" t="s">
        <v>8</v>
      </c>
      <c r="M1978" s="23" t="s">
        <v>8</v>
      </c>
    </row>
    <row r="1979" spans="1:13" s="21" customFormat="1" x14ac:dyDescent="0.25">
      <c r="A1979" s="22" t="s">
        <v>8</v>
      </c>
      <c r="B1979" s="18" t="str">
        <f>"105467"</f>
        <v>105467</v>
      </c>
      <c r="C1979" s="19" t="s">
        <v>1976</v>
      </c>
      <c r="D1979" s="19" t="s">
        <v>17411</v>
      </c>
      <c r="E1979" s="19" t="s">
        <v>31610</v>
      </c>
      <c r="F1979" s="19" t="s">
        <v>35983</v>
      </c>
      <c r="G1979" s="18" t="str">
        <f>"32696"</f>
        <v>32696</v>
      </c>
      <c r="H1979" s="19" t="s">
        <v>36143</v>
      </c>
      <c r="I1979" s="20">
        <v>21.654</v>
      </c>
      <c r="J1979" s="44" t="s">
        <v>8</v>
      </c>
      <c r="K1979" s="23" t="s">
        <v>8</v>
      </c>
      <c r="L1979" s="23" t="s">
        <v>8</v>
      </c>
      <c r="M1979" s="23" t="s">
        <v>8</v>
      </c>
    </row>
    <row r="1980" spans="1:13" s="21" customFormat="1" x14ac:dyDescent="0.25">
      <c r="A1980" s="22" t="s">
        <v>8</v>
      </c>
      <c r="B1980" s="18" t="str">
        <f>"105468"</f>
        <v>105468</v>
      </c>
      <c r="C1980" s="19" t="s">
        <v>1977</v>
      </c>
      <c r="D1980" s="19" t="s">
        <v>17412</v>
      </c>
      <c r="E1980" s="19" t="s">
        <v>31566</v>
      </c>
      <c r="F1980" s="19" t="s">
        <v>35983</v>
      </c>
      <c r="G1980" s="18" t="str">
        <f>"32086"</f>
        <v>32086</v>
      </c>
      <c r="H1980" s="19" t="s">
        <v>33300</v>
      </c>
      <c r="I1980" s="20">
        <v>19.832999999999998</v>
      </c>
      <c r="J1980" s="44" t="s">
        <v>8</v>
      </c>
      <c r="K1980" s="23" t="s">
        <v>8</v>
      </c>
      <c r="L1980" s="23" t="s">
        <v>8</v>
      </c>
      <c r="M1980" s="23" t="s">
        <v>8</v>
      </c>
    </row>
    <row r="1981" spans="1:13" s="21" customFormat="1" x14ac:dyDescent="0.25">
      <c r="A1981" s="22" t="s">
        <v>8</v>
      </c>
      <c r="B1981" s="18" t="str">
        <f>"105469"</f>
        <v>105469</v>
      </c>
      <c r="C1981" s="19" t="s">
        <v>1978</v>
      </c>
      <c r="D1981" s="19" t="s">
        <v>17413</v>
      </c>
      <c r="E1981" s="19" t="s">
        <v>31507</v>
      </c>
      <c r="F1981" s="19" t="s">
        <v>35983</v>
      </c>
      <c r="G1981" s="18" t="str">
        <f>"33179"</f>
        <v>33179</v>
      </c>
      <c r="H1981" s="19" t="s">
        <v>36126</v>
      </c>
      <c r="I1981" s="20">
        <v>26.481999999999999</v>
      </c>
      <c r="J1981" s="44" t="s">
        <v>8</v>
      </c>
      <c r="K1981" s="23" t="s">
        <v>8</v>
      </c>
      <c r="L1981" s="23" t="s">
        <v>8</v>
      </c>
      <c r="M1981" s="23" t="s">
        <v>8</v>
      </c>
    </row>
    <row r="1982" spans="1:13" s="21" customFormat="1" x14ac:dyDescent="0.25">
      <c r="A1982" s="22" t="s">
        <v>8</v>
      </c>
      <c r="B1982" s="18" t="str">
        <f>"105470"</f>
        <v>105470</v>
      </c>
      <c r="C1982" s="19" t="s">
        <v>1979</v>
      </c>
      <c r="D1982" s="19" t="s">
        <v>17414</v>
      </c>
      <c r="E1982" s="19" t="s">
        <v>31611</v>
      </c>
      <c r="F1982" s="19" t="s">
        <v>35983</v>
      </c>
      <c r="G1982" s="18" t="str">
        <f>"32034"</f>
        <v>32034</v>
      </c>
      <c r="H1982" s="19" t="s">
        <v>36144</v>
      </c>
      <c r="I1982" s="20">
        <v>18.061</v>
      </c>
      <c r="J1982" s="44" t="s">
        <v>8</v>
      </c>
      <c r="K1982" s="23" t="s">
        <v>8</v>
      </c>
      <c r="L1982" s="23" t="s">
        <v>8</v>
      </c>
      <c r="M1982" s="23" t="s">
        <v>8</v>
      </c>
    </row>
    <row r="1983" spans="1:13" s="21" customFormat="1" x14ac:dyDescent="0.25">
      <c r="A1983" s="22" t="s">
        <v>8</v>
      </c>
      <c r="B1983" s="18" t="str">
        <f>"105471"</f>
        <v>105471</v>
      </c>
      <c r="C1983" s="19" t="s">
        <v>1980</v>
      </c>
      <c r="D1983" s="19" t="s">
        <v>17415</v>
      </c>
      <c r="E1983" s="19" t="s">
        <v>31599</v>
      </c>
      <c r="F1983" s="19" t="s">
        <v>35983</v>
      </c>
      <c r="G1983" s="18" t="str">
        <f>"32837"</f>
        <v>32837</v>
      </c>
      <c r="H1983" s="19" t="s">
        <v>31169</v>
      </c>
      <c r="I1983" s="20">
        <v>19.05</v>
      </c>
      <c r="J1983" s="44" t="s">
        <v>8</v>
      </c>
      <c r="K1983" s="23" t="s">
        <v>8</v>
      </c>
      <c r="L1983" s="23" t="s">
        <v>8</v>
      </c>
      <c r="M1983" s="23" t="s">
        <v>8</v>
      </c>
    </row>
    <row r="1984" spans="1:13" s="21" customFormat="1" x14ac:dyDescent="0.25">
      <c r="A1984" s="22" t="s">
        <v>8</v>
      </c>
      <c r="B1984" s="18" t="str">
        <f>"105472"</f>
        <v>105472</v>
      </c>
      <c r="C1984" s="19" t="s">
        <v>1981</v>
      </c>
      <c r="D1984" s="19" t="s">
        <v>17416</v>
      </c>
      <c r="E1984" s="19" t="s">
        <v>31603</v>
      </c>
      <c r="F1984" s="19" t="s">
        <v>35983</v>
      </c>
      <c r="G1984" s="18" t="str">
        <f>"34285"</f>
        <v>34285</v>
      </c>
      <c r="H1984" s="19" t="s">
        <v>31528</v>
      </c>
      <c r="I1984" s="20">
        <v>18.132999999999999</v>
      </c>
      <c r="J1984" s="44" t="s">
        <v>8</v>
      </c>
      <c r="K1984" s="23" t="s">
        <v>8</v>
      </c>
      <c r="L1984" s="23" t="s">
        <v>8</v>
      </c>
      <c r="M1984" s="23" t="s">
        <v>8</v>
      </c>
    </row>
    <row r="1985" spans="1:13" s="21" customFormat="1" x14ac:dyDescent="0.25">
      <c r="A1985" s="22" t="s">
        <v>8</v>
      </c>
      <c r="B1985" s="18" t="str">
        <f>"105473"</f>
        <v>105473</v>
      </c>
      <c r="C1985" s="19" t="s">
        <v>1982</v>
      </c>
      <c r="D1985" s="19" t="s">
        <v>17417</v>
      </c>
      <c r="E1985" s="19" t="s">
        <v>31612</v>
      </c>
      <c r="F1985" s="19" t="s">
        <v>35983</v>
      </c>
      <c r="G1985" s="18" t="str">
        <f>"32424"</f>
        <v>32424</v>
      </c>
      <c r="H1985" s="19" t="s">
        <v>31743</v>
      </c>
      <c r="I1985" s="20">
        <v>19.972999999999999</v>
      </c>
      <c r="J1985" s="44" t="s">
        <v>8</v>
      </c>
      <c r="K1985" s="23" t="s">
        <v>8</v>
      </c>
      <c r="L1985" s="23" t="s">
        <v>8</v>
      </c>
      <c r="M1985" s="23" t="s">
        <v>8</v>
      </c>
    </row>
    <row r="1986" spans="1:13" s="21" customFormat="1" x14ac:dyDescent="0.25">
      <c r="A1986" s="22" t="s">
        <v>8</v>
      </c>
      <c r="B1986" s="18" t="str">
        <f>"105474"</f>
        <v>105474</v>
      </c>
      <c r="C1986" s="19" t="s">
        <v>1983</v>
      </c>
      <c r="D1986" s="19" t="s">
        <v>17418</v>
      </c>
      <c r="E1986" s="19" t="s">
        <v>31590</v>
      </c>
      <c r="F1986" s="19" t="s">
        <v>35983</v>
      </c>
      <c r="G1986" s="18" t="str">
        <f>"32960"</f>
        <v>32960</v>
      </c>
      <c r="H1986" s="19" t="s">
        <v>36140</v>
      </c>
      <c r="I1986" s="20">
        <v>16.302</v>
      </c>
      <c r="J1986" s="44" t="s">
        <v>8</v>
      </c>
      <c r="K1986" s="23" t="s">
        <v>8</v>
      </c>
      <c r="L1986" s="23" t="s">
        <v>8</v>
      </c>
      <c r="M1986" s="23" t="s">
        <v>8</v>
      </c>
    </row>
    <row r="1987" spans="1:13" s="21" customFormat="1" x14ac:dyDescent="0.25">
      <c r="A1987" s="22" t="s">
        <v>8</v>
      </c>
      <c r="B1987" s="18" t="str">
        <f>"105475"</f>
        <v>105475</v>
      </c>
      <c r="C1987" s="19" t="s">
        <v>1984</v>
      </c>
      <c r="D1987" s="19" t="s">
        <v>17419</v>
      </c>
      <c r="E1987" s="19" t="s">
        <v>31573</v>
      </c>
      <c r="F1987" s="19" t="s">
        <v>35983</v>
      </c>
      <c r="G1987" s="18" t="str">
        <f>"33484"</f>
        <v>33484</v>
      </c>
      <c r="H1987" s="19" t="s">
        <v>36130</v>
      </c>
      <c r="I1987" s="20">
        <v>25.879000000000001</v>
      </c>
      <c r="J1987" s="44" t="s">
        <v>8</v>
      </c>
      <c r="K1987" s="23" t="s">
        <v>8</v>
      </c>
      <c r="L1987" s="23" t="s">
        <v>8</v>
      </c>
      <c r="M1987" s="23" t="s">
        <v>8</v>
      </c>
    </row>
    <row r="1988" spans="1:13" s="21" customFormat="1" x14ac:dyDescent="0.25">
      <c r="A1988" s="22" t="s">
        <v>8</v>
      </c>
      <c r="B1988" s="18" t="str">
        <f>"105476"</f>
        <v>105476</v>
      </c>
      <c r="C1988" s="19" t="s">
        <v>1985</v>
      </c>
      <c r="D1988" s="19" t="s">
        <v>17420</v>
      </c>
      <c r="E1988" s="19" t="s">
        <v>31520</v>
      </c>
      <c r="F1988" s="19" t="s">
        <v>35983</v>
      </c>
      <c r="G1988" s="18" t="str">
        <f>"33433"</f>
        <v>33433</v>
      </c>
      <c r="H1988" s="19" t="s">
        <v>36130</v>
      </c>
      <c r="I1988" s="20">
        <v>19.998999999999999</v>
      </c>
      <c r="J1988" s="44" t="s">
        <v>8</v>
      </c>
      <c r="K1988" s="23" t="s">
        <v>8</v>
      </c>
      <c r="L1988" s="23" t="s">
        <v>8</v>
      </c>
      <c r="M1988" s="23" t="s">
        <v>8</v>
      </c>
    </row>
    <row r="1989" spans="1:13" s="21" customFormat="1" x14ac:dyDescent="0.25">
      <c r="A1989" s="22" t="s">
        <v>8</v>
      </c>
      <c r="B1989" s="18" t="str">
        <f>"105477"</f>
        <v>105477</v>
      </c>
      <c r="C1989" s="19" t="s">
        <v>1986</v>
      </c>
      <c r="D1989" s="19" t="s">
        <v>17421</v>
      </c>
      <c r="E1989" s="19" t="s">
        <v>31517</v>
      </c>
      <c r="F1989" s="19" t="s">
        <v>35983</v>
      </c>
      <c r="G1989" s="18" t="str">
        <f>"33712"</f>
        <v>33712</v>
      </c>
      <c r="H1989" s="19" t="s">
        <v>36128</v>
      </c>
      <c r="I1989" s="20">
        <v>19.244</v>
      </c>
      <c r="J1989" s="44" t="s">
        <v>8</v>
      </c>
      <c r="K1989" s="23" t="s">
        <v>8</v>
      </c>
      <c r="L1989" s="23" t="s">
        <v>8</v>
      </c>
      <c r="M1989" s="23" t="s">
        <v>8</v>
      </c>
    </row>
    <row r="1990" spans="1:13" s="21" customFormat="1" x14ac:dyDescent="0.25">
      <c r="A1990" s="22" t="s">
        <v>8</v>
      </c>
      <c r="B1990" s="18" t="str">
        <f>"105478"</f>
        <v>105478</v>
      </c>
      <c r="C1990" s="19" t="s">
        <v>1987</v>
      </c>
      <c r="D1990" s="19" t="s">
        <v>17422</v>
      </c>
      <c r="E1990" s="19" t="s">
        <v>31551</v>
      </c>
      <c r="F1990" s="19" t="s">
        <v>35983</v>
      </c>
      <c r="G1990" s="18" t="str">
        <f>"33759"</f>
        <v>33759</v>
      </c>
      <c r="H1990" s="19" t="s">
        <v>36128</v>
      </c>
      <c r="I1990" s="20">
        <v>19.846</v>
      </c>
      <c r="J1990" s="44" t="s">
        <v>8</v>
      </c>
      <c r="K1990" s="23" t="s">
        <v>8</v>
      </c>
      <c r="L1990" s="23" t="s">
        <v>8</v>
      </c>
      <c r="M1990" s="23" t="s">
        <v>8</v>
      </c>
    </row>
    <row r="1991" spans="1:13" s="21" customFormat="1" x14ac:dyDescent="0.25">
      <c r="A1991" s="22" t="s">
        <v>8</v>
      </c>
      <c r="B1991" s="18" t="str">
        <f>"105479"</f>
        <v>105479</v>
      </c>
      <c r="C1991" s="19" t="s">
        <v>1988</v>
      </c>
      <c r="D1991" s="19" t="s">
        <v>17423</v>
      </c>
      <c r="E1991" s="19" t="s">
        <v>31600</v>
      </c>
      <c r="F1991" s="19" t="s">
        <v>35983</v>
      </c>
      <c r="G1991" s="18" t="str">
        <f>"34787"</f>
        <v>34787</v>
      </c>
      <c r="H1991" s="19" t="s">
        <v>31169</v>
      </c>
      <c r="I1991" s="20">
        <v>19.863</v>
      </c>
      <c r="J1991" s="44" t="s">
        <v>8</v>
      </c>
      <c r="K1991" s="23" t="s">
        <v>8</v>
      </c>
      <c r="L1991" s="23" t="s">
        <v>8</v>
      </c>
      <c r="M1991" s="23" t="s">
        <v>8</v>
      </c>
    </row>
    <row r="1992" spans="1:13" s="21" customFormat="1" x14ac:dyDescent="0.25">
      <c r="A1992" s="22" t="s">
        <v>8</v>
      </c>
      <c r="B1992" s="18" t="str">
        <f>"105480"</f>
        <v>105480</v>
      </c>
      <c r="C1992" s="19" t="s">
        <v>1989</v>
      </c>
      <c r="D1992" s="19" t="s">
        <v>17424</v>
      </c>
      <c r="E1992" s="19" t="s">
        <v>31599</v>
      </c>
      <c r="F1992" s="19" t="s">
        <v>35983</v>
      </c>
      <c r="G1992" s="18" t="str">
        <f>"32808"</f>
        <v>32808</v>
      </c>
      <c r="H1992" s="19" t="s">
        <v>31169</v>
      </c>
      <c r="I1992" s="20">
        <v>21.064</v>
      </c>
      <c r="J1992" s="44" t="s">
        <v>8</v>
      </c>
      <c r="K1992" s="23" t="s">
        <v>8</v>
      </c>
      <c r="L1992" s="23" t="s">
        <v>8</v>
      </c>
      <c r="M1992" s="23" t="s">
        <v>8</v>
      </c>
    </row>
    <row r="1993" spans="1:13" s="21" customFormat="1" x14ac:dyDescent="0.25">
      <c r="A1993" s="22" t="s">
        <v>8</v>
      </c>
      <c r="B1993" s="18" t="str">
        <f>"105481"</f>
        <v>105481</v>
      </c>
      <c r="C1993" s="19" t="s">
        <v>1990</v>
      </c>
      <c r="D1993" s="19" t="s">
        <v>17425</v>
      </c>
      <c r="E1993" s="19" t="s">
        <v>31520</v>
      </c>
      <c r="F1993" s="19" t="s">
        <v>35983</v>
      </c>
      <c r="G1993" s="18" t="str">
        <f>"33431"</f>
        <v>33431</v>
      </c>
      <c r="H1993" s="19" t="s">
        <v>36130</v>
      </c>
      <c r="I1993" s="20">
        <v>19.53</v>
      </c>
      <c r="J1993" s="44" t="s">
        <v>8</v>
      </c>
      <c r="K1993" s="23" t="s">
        <v>8</v>
      </c>
      <c r="L1993" s="23" t="s">
        <v>8</v>
      </c>
      <c r="M1993" s="23" t="s">
        <v>8</v>
      </c>
    </row>
    <row r="1994" spans="1:13" s="21" customFormat="1" x14ac:dyDescent="0.25">
      <c r="A1994" s="22" t="s">
        <v>8</v>
      </c>
      <c r="B1994" s="18" t="str">
        <f>"105482"</f>
        <v>105482</v>
      </c>
      <c r="C1994" s="19" t="s">
        <v>1991</v>
      </c>
      <c r="D1994" s="19" t="s">
        <v>17426</v>
      </c>
      <c r="E1994" s="19" t="s">
        <v>31555</v>
      </c>
      <c r="F1994" s="19" t="s">
        <v>35983</v>
      </c>
      <c r="G1994" s="18" t="str">
        <f>"33809"</f>
        <v>33809</v>
      </c>
      <c r="H1994" s="19" t="s">
        <v>36062</v>
      </c>
      <c r="I1994" s="20">
        <v>21.495999999999999</v>
      </c>
      <c r="J1994" s="44" t="s">
        <v>8</v>
      </c>
      <c r="K1994" s="23" t="s">
        <v>8</v>
      </c>
      <c r="L1994" s="23" t="s">
        <v>8</v>
      </c>
      <c r="M1994" s="23" t="s">
        <v>8</v>
      </c>
    </row>
    <row r="1995" spans="1:13" s="21" customFormat="1" x14ac:dyDescent="0.25">
      <c r="A1995" s="22" t="s">
        <v>8</v>
      </c>
      <c r="B1995" s="18" t="str">
        <f>"105484"</f>
        <v>105484</v>
      </c>
      <c r="C1995" s="19" t="s">
        <v>1992</v>
      </c>
      <c r="D1995" s="19" t="s">
        <v>17427</v>
      </c>
      <c r="E1995" s="19" t="s">
        <v>31613</v>
      </c>
      <c r="F1995" s="19" t="s">
        <v>35983</v>
      </c>
      <c r="G1995" s="18" t="str">
        <f>"34972"</f>
        <v>34972</v>
      </c>
      <c r="H1995" s="19" t="s">
        <v>31613</v>
      </c>
      <c r="I1995" s="20">
        <v>21.919</v>
      </c>
      <c r="J1995" s="44" t="s">
        <v>8</v>
      </c>
      <c r="K1995" s="23" t="s">
        <v>8</v>
      </c>
      <c r="L1995" s="23" t="s">
        <v>8</v>
      </c>
      <c r="M1995" s="23" t="s">
        <v>8</v>
      </c>
    </row>
    <row r="1996" spans="1:13" s="21" customFormat="1" x14ac:dyDescent="0.25">
      <c r="A1996" s="22" t="s">
        <v>8</v>
      </c>
      <c r="B1996" s="18" t="str">
        <f>"105485"</f>
        <v>105485</v>
      </c>
      <c r="C1996" s="19" t="s">
        <v>1993</v>
      </c>
      <c r="D1996" s="19" t="s">
        <v>17428</v>
      </c>
      <c r="E1996" s="19" t="s">
        <v>31614</v>
      </c>
      <c r="F1996" s="19" t="s">
        <v>35983</v>
      </c>
      <c r="G1996" s="18" t="str">
        <f>"33462"</f>
        <v>33462</v>
      </c>
      <c r="H1996" s="19" t="s">
        <v>36130</v>
      </c>
      <c r="I1996" s="20">
        <v>24.684999999999999</v>
      </c>
      <c r="J1996" s="44" t="s">
        <v>8</v>
      </c>
      <c r="K1996" s="23" t="s">
        <v>8</v>
      </c>
      <c r="L1996" s="23" t="s">
        <v>8</v>
      </c>
      <c r="M1996" s="23" t="s">
        <v>8</v>
      </c>
    </row>
    <row r="1997" spans="1:13" s="21" customFormat="1" x14ac:dyDescent="0.25">
      <c r="A1997" s="22" t="s">
        <v>8</v>
      </c>
      <c r="B1997" s="18" t="str">
        <f>"105486"</f>
        <v>105486</v>
      </c>
      <c r="C1997" s="19" t="s">
        <v>1994</v>
      </c>
      <c r="D1997" s="19" t="s">
        <v>17429</v>
      </c>
      <c r="E1997" s="19" t="s">
        <v>31597</v>
      </c>
      <c r="F1997" s="19" t="s">
        <v>35983</v>
      </c>
      <c r="G1997" s="18" t="str">
        <f>"33782"</f>
        <v>33782</v>
      </c>
      <c r="H1997" s="19" t="s">
        <v>36128</v>
      </c>
      <c r="I1997" s="20">
        <v>19.731000000000002</v>
      </c>
      <c r="J1997" s="44" t="s">
        <v>8</v>
      </c>
      <c r="K1997" s="23" t="s">
        <v>8</v>
      </c>
      <c r="L1997" s="23" t="s">
        <v>8</v>
      </c>
      <c r="M1997" s="23" t="s">
        <v>8</v>
      </c>
    </row>
    <row r="1998" spans="1:13" s="21" customFormat="1" x14ac:dyDescent="0.25">
      <c r="A1998" s="22" t="s">
        <v>8</v>
      </c>
      <c r="B1998" s="18" t="str">
        <f>"105487"</f>
        <v>105487</v>
      </c>
      <c r="C1998" s="19" t="s">
        <v>1995</v>
      </c>
      <c r="D1998" s="19" t="s">
        <v>17430</v>
      </c>
      <c r="E1998" s="19" t="s">
        <v>31615</v>
      </c>
      <c r="F1998" s="19" t="s">
        <v>35983</v>
      </c>
      <c r="G1998" s="18" t="str">
        <f>"32561"</f>
        <v>32561</v>
      </c>
      <c r="H1998" s="19" t="s">
        <v>31260</v>
      </c>
      <c r="I1998" s="20">
        <v>20.617999999999999</v>
      </c>
      <c r="J1998" s="44" t="s">
        <v>8</v>
      </c>
      <c r="K1998" s="23" t="s">
        <v>8</v>
      </c>
      <c r="L1998" s="23" t="s">
        <v>8</v>
      </c>
      <c r="M1998" s="23" t="s">
        <v>8</v>
      </c>
    </row>
    <row r="1999" spans="1:13" s="21" customFormat="1" x14ac:dyDescent="0.25">
      <c r="A1999" s="22" t="s">
        <v>8</v>
      </c>
      <c r="B1999" s="18" t="str">
        <f>"105488"</f>
        <v>105488</v>
      </c>
      <c r="C1999" s="19" t="s">
        <v>1996</v>
      </c>
      <c r="D1999" s="19" t="s">
        <v>17431</v>
      </c>
      <c r="E1999" s="19" t="s">
        <v>31616</v>
      </c>
      <c r="F1999" s="19" t="s">
        <v>35983</v>
      </c>
      <c r="G1999" s="18" t="str">
        <f>"32091"</f>
        <v>32091</v>
      </c>
      <c r="H1999" s="19" t="s">
        <v>34878</v>
      </c>
      <c r="I1999" s="20">
        <v>23.048999999999999</v>
      </c>
      <c r="J1999" s="44" t="s">
        <v>8</v>
      </c>
      <c r="K1999" s="23" t="s">
        <v>8</v>
      </c>
      <c r="L1999" s="23" t="s">
        <v>8</v>
      </c>
      <c r="M1999" s="23" t="s">
        <v>8</v>
      </c>
    </row>
    <row r="2000" spans="1:13" s="21" customFormat="1" x14ac:dyDescent="0.25">
      <c r="A2000" s="22" t="s">
        <v>8</v>
      </c>
      <c r="B2000" s="18" t="str">
        <f>"105489"</f>
        <v>105489</v>
      </c>
      <c r="C2000" s="19" t="s">
        <v>1997</v>
      </c>
      <c r="D2000" s="19" t="s">
        <v>17432</v>
      </c>
      <c r="E2000" s="19" t="s">
        <v>31520</v>
      </c>
      <c r="F2000" s="19" t="s">
        <v>35983</v>
      </c>
      <c r="G2000" s="18" t="str">
        <f>"33433"</f>
        <v>33433</v>
      </c>
      <c r="H2000" s="19" t="s">
        <v>36130</v>
      </c>
      <c r="I2000" s="20">
        <v>20.927</v>
      </c>
      <c r="J2000" s="44" t="s">
        <v>8</v>
      </c>
      <c r="K2000" s="23" t="s">
        <v>8</v>
      </c>
      <c r="L2000" s="23" t="s">
        <v>8</v>
      </c>
      <c r="M2000" s="23" t="s">
        <v>8</v>
      </c>
    </row>
    <row r="2001" spans="1:13" s="21" customFormat="1" x14ac:dyDescent="0.25">
      <c r="A2001" s="22" t="s">
        <v>8</v>
      </c>
      <c r="B2001" s="18" t="str">
        <f>"105491"</f>
        <v>105491</v>
      </c>
      <c r="C2001" s="19" t="s">
        <v>1998</v>
      </c>
      <c r="D2001" s="19" t="s">
        <v>17433</v>
      </c>
      <c r="E2001" s="19" t="s">
        <v>31526</v>
      </c>
      <c r="F2001" s="19" t="s">
        <v>35983</v>
      </c>
      <c r="G2001" s="18" t="str">
        <f>"33611"</f>
        <v>33611</v>
      </c>
      <c r="H2001" s="19" t="s">
        <v>33986</v>
      </c>
      <c r="I2001" s="20">
        <v>20.843</v>
      </c>
      <c r="J2001" s="44" t="s">
        <v>8</v>
      </c>
      <c r="K2001" s="23" t="s">
        <v>8</v>
      </c>
      <c r="L2001" s="23" t="s">
        <v>8</v>
      </c>
      <c r="M2001" s="23" t="s">
        <v>8</v>
      </c>
    </row>
    <row r="2002" spans="1:13" s="21" customFormat="1" x14ac:dyDescent="0.25">
      <c r="A2002" s="22" t="s">
        <v>8</v>
      </c>
      <c r="B2002" s="18" t="str">
        <f>"105492"</f>
        <v>105492</v>
      </c>
      <c r="C2002" s="19" t="s">
        <v>1999</v>
      </c>
      <c r="D2002" s="19" t="s">
        <v>17434</v>
      </c>
      <c r="E2002" s="19" t="s">
        <v>31514</v>
      </c>
      <c r="F2002" s="19" t="s">
        <v>35983</v>
      </c>
      <c r="G2002" s="18" t="str">
        <f>"33406"</f>
        <v>33406</v>
      </c>
      <c r="H2002" s="19" t="s">
        <v>36130</v>
      </c>
      <c r="I2002" s="20">
        <v>21.488</v>
      </c>
      <c r="J2002" s="44" t="s">
        <v>8</v>
      </c>
      <c r="K2002" s="23" t="s">
        <v>8</v>
      </c>
      <c r="L2002" s="23" t="s">
        <v>8</v>
      </c>
      <c r="M2002" s="23" t="s">
        <v>8</v>
      </c>
    </row>
    <row r="2003" spans="1:13" s="21" customFormat="1" x14ac:dyDescent="0.25">
      <c r="A2003" s="22" t="s">
        <v>8</v>
      </c>
      <c r="B2003" s="18" t="str">
        <f>"105494"</f>
        <v>105494</v>
      </c>
      <c r="C2003" s="19" t="s">
        <v>2000</v>
      </c>
      <c r="D2003" s="19" t="s">
        <v>17435</v>
      </c>
      <c r="E2003" s="19" t="s">
        <v>31617</v>
      </c>
      <c r="F2003" s="19" t="s">
        <v>35983</v>
      </c>
      <c r="G2003" s="18" t="str">
        <f>"33411"</f>
        <v>33411</v>
      </c>
      <c r="H2003" s="19" t="s">
        <v>36130</v>
      </c>
      <c r="I2003" s="20">
        <v>21.094999999999999</v>
      </c>
      <c r="J2003" s="44" t="s">
        <v>8</v>
      </c>
      <c r="K2003" s="23" t="s">
        <v>8</v>
      </c>
      <c r="L2003" s="23" t="s">
        <v>8</v>
      </c>
      <c r="M2003" s="23" t="s">
        <v>8</v>
      </c>
    </row>
    <row r="2004" spans="1:13" s="21" customFormat="1" x14ac:dyDescent="0.25">
      <c r="A2004" s="22" t="s">
        <v>8</v>
      </c>
      <c r="B2004" s="18" t="str">
        <f>"105495"</f>
        <v>105495</v>
      </c>
      <c r="C2004" s="19" t="s">
        <v>2001</v>
      </c>
      <c r="D2004" s="19" t="s">
        <v>17436</v>
      </c>
      <c r="E2004" s="19" t="s">
        <v>31509</v>
      </c>
      <c r="F2004" s="19" t="s">
        <v>35983</v>
      </c>
      <c r="G2004" s="18" t="str">
        <f>"33021"</f>
        <v>33021</v>
      </c>
      <c r="H2004" s="19" t="s">
        <v>36127</v>
      </c>
      <c r="I2004" s="20">
        <v>20.65</v>
      </c>
      <c r="J2004" s="44" t="s">
        <v>8</v>
      </c>
      <c r="K2004" s="23" t="s">
        <v>8</v>
      </c>
      <c r="L2004" s="23" t="s">
        <v>8</v>
      </c>
      <c r="M2004" s="23" t="s">
        <v>8</v>
      </c>
    </row>
    <row r="2005" spans="1:13" s="21" customFormat="1" x14ac:dyDescent="0.25">
      <c r="A2005" s="22" t="s">
        <v>8</v>
      </c>
      <c r="B2005" s="18" t="str">
        <f>"105496"</f>
        <v>105496</v>
      </c>
      <c r="C2005" s="19" t="s">
        <v>2002</v>
      </c>
      <c r="D2005" s="19" t="s">
        <v>17437</v>
      </c>
      <c r="E2005" s="19" t="s">
        <v>31518</v>
      </c>
      <c r="F2005" s="19" t="s">
        <v>35983</v>
      </c>
      <c r="G2005" s="18" t="str">
        <f>"33426"</f>
        <v>33426</v>
      </c>
      <c r="H2005" s="19" t="s">
        <v>36130</v>
      </c>
      <c r="I2005" s="20">
        <v>21.056999999999999</v>
      </c>
      <c r="J2005" s="44" t="s">
        <v>8</v>
      </c>
      <c r="K2005" s="23" t="s">
        <v>8</v>
      </c>
      <c r="L2005" s="23" t="s">
        <v>8</v>
      </c>
      <c r="M2005" s="23" t="s">
        <v>8</v>
      </c>
    </row>
    <row r="2006" spans="1:13" s="21" customFormat="1" x14ac:dyDescent="0.25">
      <c r="A2006" s="22" t="s">
        <v>8</v>
      </c>
      <c r="B2006" s="18" t="str">
        <f>"105497"</f>
        <v>105497</v>
      </c>
      <c r="C2006" s="19" t="s">
        <v>2003</v>
      </c>
      <c r="D2006" s="19" t="s">
        <v>17438</v>
      </c>
      <c r="E2006" s="19" t="s">
        <v>31603</v>
      </c>
      <c r="F2006" s="19" t="s">
        <v>35983</v>
      </c>
      <c r="G2006" s="18" t="str">
        <f>"34292"</f>
        <v>34292</v>
      </c>
      <c r="H2006" s="19" t="s">
        <v>31528</v>
      </c>
      <c r="I2006" s="20">
        <v>20.908000000000001</v>
      </c>
      <c r="J2006" s="44" t="s">
        <v>8</v>
      </c>
      <c r="K2006" s="23" t="s">
        <v>8</v>
      </c>
      <c r="L2006" s="23" t="s">
        <v>8</v>
      </c>
      <c r="M2006" s="23" t="s">
        <v>8</v>
      </c>
    </row>
    <row r="2007" spans="1:13" s="21" customFormat="1" x14ac:dyDescent="0.25">
      <c r="A2007" s="22" t="s">
        <v>8</v>
      </c>
      <c r="B2007" s="18" t="str">
        <f>"105498"</f>
        <v>105498</v>
      </c>
      <c r="C2007" s="19" t="s">
        <v>2004</v>
      </c>
      <c r="D2007" s="19" t="s">
        <v>17439</v>
      </c>
      <c r="E2007" s="19" t="s">
        <v>31618</v>
      </c>
      <c r="F2007" s="19" t="s">
        <v>35983</v>
      </c>
      <c r="G2007" s="18" t="str">
        <f>"33012"</f>
        <v>33012</v>
      </c>
      <c r="H2007" s="19" t="s">
        <v>36126</v>
      </c>
      <c r="I2007" s="20">
        <v>25.213999999999999</v>
      </c>
      <c r="J2007" s="44" t="s">
        <v>8</v>
      </c>
      <c r="K2007" s="23" t="s">
        <v>8</v>
      </c>
      <c r="L2007" s="23" t="s">
        <v>8</v>
      </c>
      <c r="M2007" s="23" t="s">
        <v>8</v>
      </c>
    </row>
    <row r="2008" spans="1:13" s="21" customFormat="1" x14ac:dyDescent="0.25">
      <c r="A2008" s="22" t="s">
        <v>8</v>
      </c>
      <c r="B2008" s="18" t="str">
        <f>"105499"</f>
        <v>105499</v>
      </c>
      <c r="C2008" s="19" t="s">
        <v>2005</v>
      </c>
      <c r="D2008" s="19" t="s">
        <v>17440</v>
      </c>
      <c r="E2008" s="19" t="s">
        <v>31535</v>
      </c>
      <c r="F2008" s="19" t="s">
        <v>35983</v>
      </c>
      <c r="G2008" s="18" t="str">
        <f>"34113"</f>
        <v>34113</v>
      </c>
      <c r="H2008" s="19" t="s">
        <v>36133</v>
      </c>
      <c r="I2008" s="20">
        <v>19.891999999999999</v>
      </c>
      <c r="J2008" s="44" t="s">
        <v>8</v>
      </c>
      <c r="K2008" s="23" t="s">
        <v>8</v>
      </c>
      <c r="L2008" s="23" t="s">
        <v>8</v>
      </c>
      <c r="M2008" s="23" t="s">
        <v>8</v>
      </c>
    </row>
    <row r="2009" spans="1:13" s="21" customFormat="1" x14ac:dyDescent="0.25">
      <c r="A2009" s="22" t="s">
        <v>8</v>
      </c>
      <c r="B2009" s="18" t="str">
        <f>"105500"</f>
        <v>105500</v>
      </c>
      <c r="C2009" s="19" t="s">
        <v>2006</v>
      </c>
      <c r="D2009" s="19" t="s">
        <v>17441</v>
      </c>
      <c r="E2009" s="19" t="s">
        <v>31507</v>
      </c>
      <c r="F2009" s="19" t="s">
        <v>35983</v>
      </c>
      <c r="G2009" s="18" t="str">
        <f>"33157"</f>
        <v>33157</v>
      </c>
      <c r="H2009" s="19" t="s">
        <v>36126</v>
      </c>
      <c r="I2009" s="20">
        <v>20.94</v>
      </c>
      <c r="J2009" s="44" t="s">
        <v>8</v>
      </c>
      <c r="K2009" s="23" t="s">
        <v>8</v>
      </c>
      <c r="L2009" s="23" t="s">
        <v>8</v>
      </c>
      <c r="M2009" s="23" t="s">
        <v>8</v>
      </c>
    </row>
    <row r="2010" spans="1:13" s="21" customFormat="1" x14ac:dyDescent="0.25">
      <c r="A2010" s="22" t="s">
        <v>8</v>
      </c>
      <c r="B2010" s="18" t="str">
        <f>"105502"</f>
        <v>105502</v>
      </c>
      <c r="C2010" s="19" t="s">
        <v>2007</v>
      </c>
      <c r="D2010" s="19" t="s">
        <v>17442</v>
      </c>
      <c r="E2010" s="19" t="s">
        <v>31508</v>
      </c>
      <c r="F2010" s="19" t="s">
        <v>35983</v>
      </c>
      <c r="G2010" s="18" t="str">
        <f>"33161"</f>
        <v>33161</v>
      </c>
      <c r="H2010" s="19" t="s">
        <v>36126</v>
      </c>
      <c r="I2010" s="20">
        <v>26.934000000000001</v>
      </c>
      <c r="J2010" s="44" t="s">
        <v>8</v>
      </c>
      <c r="K2010" s="23" t="s">
        <v>8</v>
      </c>
      <c r="L2010" s="23" t="s">
        <v>8</v>
      </c>
      <c r="M2010" s="23" t="s">
        <v>8</v>
      </c>
    </row>
    <row r="2011" spans="1:13" s="21" customFormat="1" x14ac:dyDescent="0.25">
      <c r="A2011" s="22" t="s">
        <v>8</v>
      </c>
      <c r="B2011" s="18" t="str">
        <f>"105503"</f>
        <v>105503</v>
      </c>
      <c r="C2011" s="19" t="s">
        <v>2008</v>
      </c>
      <c r="D2011" s="19" t="s">
        <v>17443</v>
      </c>
      <c r="E2011" s="19" t="s">
        <v>31619</v>
      </c>
      <c r="F2011" s="19" t="s">
        <v>35983</v>
      </c>
      <c r="G2011" s="18" t="str">
        <f>"33065"</f>
        <v>33065</v>
      </c>
      <c r="H2011" s="19" t="s">
        <v>36127</v>
      </c>
      <c r="I2011" s="20">
        <v>20.356000000000002</v>
      </c>
      <c r="J2011" s="44" t="s">
        <v>8</v>
      </c>
      <c r="K2011" s="23" t="s">
        <v>8</v>
      </c>
      <c r="L2011" s="23" t="s">
        <v>8</v>
      </c>
      <c r="M2011" s="23" t="s">
        <v>8</v>
      </c>
    </row>
    <row r="2012" spans="1:13" s="21" customFormat="1" x14ac:dyDescent="0.25">
      <c r="A2012" s="22" t="s">
        <v>8</v>
      </c>
      <c r="B2012" s="18" t="str">
        <f>"105504"</f>
        <v>105504</v>
      </c>
      <c r="C2012" s="19" t="s">
        <v>2009</v>
      </c>
      <c r="D2012" s="19" t="s">
        <v>17444</v>
      </c>
      <c r="E2012" s="19" t="s">
        <v>31517</v>
      </c>
      <c r="F2012" s="19" t="s">
        <v>35983</v>
      </c>
      <c r="G2012" s="18" t="str">
        <f>"33710"</f>
        <v>33710</v>
      </c>
      <c r="H2012" s="19" t="s">
        <v>36128</v>
      </c>
      <c r="I2012" s="20">
        <v>19.056000000000001</v>
      </c>
      <c r="J2012" s="44" t="s">
        <v>8</v>
      </c>
      <c r="K2012" s="23" t="s">
        <v>8</v>
      </c>
      <c r="L2012" s="23" t="s">
        <v>8</v>
      </c>
      <c r="M2012" s="23" t="s">
        <v>8</v>
      </c>
    </row>
    <row r="2013" spans="1:13" s="21" customFormat="1" x14ac:dyDescent="0.25">
      <c r="A2013" s="22" t="s">
        <v>8</v>
      </c>
      <c r="B2013" s="18" t="str">
        <f>"105505"</f>
        <v>105505</v>
      </c>
      <c r="C2013" s="19" t="s">
        <v>2010</v>
      </c>
      <c r="D2013" s="19" t="s">
        <v>17445</v>
      </c>
      <c r="E2013" s="19" t="s">
        <v>31620</v>
      </c>
      <c r="F2013" s="19" t="s">
        <v>35983</v>
      </c>
      <c r="G2013" s="18" t="str">
        <f>"33063"</f>
        <v>33063</v>
      </c>
      <c r="H2013" s="19" t="s">
        <v>36127</v>
      </c>
      <c r="I2013" s="20">
        <v>22.78</v>
      </c>
      <c r="J2013" s="44" t="s">
        <v>8</v>
      </c>
      <c r="K2013" s="23" t="s">
        <v>8</v>
      </c>
      <c r="L2013" s="23" t="s">
        <v>8</v>
      </c>
      <c r="M2013" s="23" t="s">
        <v>8</v>
      </c>
    </row>
    <row r="2014" spans="1:13" s="21" customFormat="1" x14ac:dyDescent="0.25">
      <c r="A2014" s="22" t="s">
        <v>8</v>
      </c>
      <c r="B2014" s="18" t="str">
        <f>"105506"</f>
        <v>105506</v>
      </c>
      <c r="C2014" s="19" t="s">
        <v>2011</v>
      </c>
      <c r="D2014" s="19" t="s">
        <v>17446</v>
      </c>
      <c r="E2014" s="19" t="s">
        <v>31520</v>
      </c>
      <c r="F2014" s="19" t="s">
        <v>35983</v>
      </c>
      <c r="G2014" s="18" t="str">
        <f>"33433"</f>
        <v>33433</v>
      </c>
      <c r="H2014" s="19" t="s">
        <v>36130</v>
      </c>
      <c r="I2014" s="20">
        <v>22.08</v>
      </c>
      <c r="J2014" s="44" t="s">
        <v>8</v>
      </c>
      <c r="K2014" s="23" t="s">
        <v>8</v>
      </c>
      <c r="L2014" s="23" t="s">
        <v>8</v>
      </c>
      <c r="M2014" s="23" t="s">
        <v>8</v>
      </c>
    </row>
    <row r="2015" spans="1:13" s="21" customFormat="1" x14ac:dyDescent="0.25">
      <c r="A2015" s="22" t="s">
        <v>8</v>
      </c>
      <c r="B2015" s="18" t="str">
        <f>"105507"</f>
        <v>105507</v>
      </c>
      <c r="C2015" s="19" t="s">
        <v>2012</v>
      </c>
      <c r="D2015" s="19" t="s">
        <v>17447</v>
      </c>
      <c r="E2015" s="19" t="s">
        <v>31541</v>
      </c>
      <c r="F2015" s="19" t="s">
        <v>35983</v>
      </c>
      <c r="G2015" s="18" t="str">
        <f>"33903"</f>
        <v>33903</v>
      </c>
      <c r="H2015" s="19" t="s">
        <v>33138</v>
      </c>
      <c r="I2015" s="20">
        <v>20.327999999999999</v>
      </c>
      <c r="J2015" s="44" t="s">
        <v>8</v>
      </c>
      <c r="K2015" s="23" t="s">
        <v>8</v>
      </c>
      <c r="L2015" s="23" t="s">
        <v>8</v>
      </c>
      <c r="M2015" s="23" t="s">
        <v>8</v>
      </c>
    </row>
    <row r="2016" spans="1:13" s="21" customFormat="1" x14ac:dyDescent="0.25">
      <c r="A2016" s="22" t="s">
        <v>8</v>
      </c>
      <c r="B2016" s="18" t="str">
        <f>"105508"</f>
        <v>105508</v>
      </c>
      <c r="C2016" s="19" t="s">
        <v>2013</v>
      </c>
      <c r="D2016" s="19" t="s">
        <v>17448</v>
      </c>
      <c r="E2016" s="19" t="s">
        <v>31544</v>
      </c>
      <c r="F2016" s="19" t="s">
        <v>35983</v>
      </c>
      <c r="G2016" s="18" t="str">
        <f>"33157"</f>
        <v>33157</v>
      </c>
      <c r="H2016" s="19" t="s">
        <v>36126</v>
      </c>
      <c r="I2016" s="20">
        <v>21.824999999999999</v>
      </c>
      <c r="J2016" s="44" t="s">
        <v>8</v>
      </c>
      <c r="K2016" s="23" t="s">
        <v>8</v>
      </c>
      <c r="L2016" s="23" t="s">
        <v>8</v>
      </c>
      <c r="M2016" s="23" t="s">
        <v>8</v>
      </c>
    </row>
    <row r="2017" spans="1:13" s="21" customFormat="1" x14ac:dyDescent="0.25">
      <c r="A2017" s="22" t="s">
        <v>8</v>
      </c>
      <c r="B2017" s="18" t="str">
        <f>"105509"</f>
        <v>105509</v>
      </c>
      <c r="C2017" s="19" t="s">
        <v>2014</v>
      </c>
      <c r="D2017" s="19" t="s">
        <v>17449</v>
      </c>
      <c r="E2017" s="19" t="s">
        <v>31552</v>
      </c>
      <c r="F2017" s="19" t="s">
        <v>35983</v>
      </c>
      <c r="G2017" s="18" t="str">
        <f>"34997"</f>
        <v>34997</v>
      </c>
      <c r="H2017" s="19" t="s">
        <v>35168</v>
      </c>
      <c r="I2017" s="20">
        <v>18.809999999999999</v>
      </c>
      <c r="J2017" s="44" t="s">
        <v>8</v>
      </c>
      <c r="K2017" s="23" t="s">
        <v>8</v>
      </c>
      <c r="L2017" s="23" t="s">
        <v>8</v>
      </c>
      <c r="M2017" s="23" t="s">
        <v>8</v>
      </c>
    </row>
    <row r="2018" spans="1:13" s="21" customFormat="1" x14ac:dyDescent="0.25">
      <c r="A2018" s="22" t="s">
        <v>8</v>
      </c>
      <c r="B2018" s="18" t="str">
        <f>"105510"</f>
        <v>105510</v>
      </c>
      <c r="C2018" s="19" t="s">
        <v>2015</v>
      </c>
      <c r="D2018" s="19" t="s">
        <v>17450</v>
      </c>
      <c r="E2018" s="19" t="s">
        <v>31507</v>
      </c>
      <c r="F2018" s="19" t="s">
        <v>35983</v>
      </c>
      <c r="G2018" s="18" t="str">
        <f>"33142"</f>
        <v>33142</v>
      </c>
      <c r="H2018" s="19" t="s">
        <v>36126</v>
      </c>
      <c r="I2018" s="20">
        <v>18.378</v>
      </c>
      <c r="J2018" s="44" t="s">
        <v>8</v>
      </c>
      <c r="K2018" s="23" t="s">
        <v>8</v>
      </c>
      <c r="L2018" s="23" t="s">
        <v>8</v>
      </c>
      <c r="M2018" s="23" t="s">
        <v>8</v>
      </c>
    </row>
    <row r="2019" spans="1:13" s="21" customFormat="1" x14ac:dyDescent="0.25">
      <c r="A2019" s="22" t="s">
        <v>8</v>
      </c>
      <c r="B2019" s="18" t="str">
        <f>"105511"</f>
        <v>105511</v>
      </c>
      <c r="C2019" s="19" t="s">
        <v>2016</v>
      </c>
      <c r="D2019" s="19" t="s">
        <v>17451</v>
      </c>
      <c r="E2019" s="19" t="s">
        <v>31507</v>
      </c>
      <c r="F2019" s="19" t="s">
        <v>35983</v>
      </c>
      <c r="G2019" s="18" t="str">
        <f>"33147"</f>
        <v>33147</v>
      </c>
      <c r="H2019" s="19" t="s">
        <v>36126</v>
      </c>
      <c r="I2019" s="20">
        <v>24.253</v>
      </c>
      <c r="J2019" s="44" t="s">
        <v>8</v>
      </c>
      <c r="K2019" s="23" t="s">
        <v>8</v>
      </c>
      <c r="L2019" s="23" t="s">
        <v>8</v>
      </c>
      <c r="M2019" s="23" t="s">
        <v>8</v>
      </c>
    </row>
    <row r="2020" spans="1:13" s="21" customFormat="1" x14ac:dyDescent="0.25">
      <c r="A2020" s="22" t="s">
        <v>8</v>
      </c>
      <c r="B2020" s="18" t="str">
        <f>"105512"</f>
        <v>105512</v>
      </c>
      <c r="C2020" s="19" t="s">
        <v>2017</v>
      </c>
      <c r="D2020" s="19" t="s">
        <v>17452</v>
      </c>
      <c r="E2020" s="19" t="s">
        <v>31621</v>
      </c>
      <c r="F2020" s="19" t="s">
        <v>35983</v>
      </c>
      <c r="G2020" s="18" t="str">
        <f>"34711"</f>
        <v>34711</v>
      </c>
      <c r="H2020" s="19" t="s">
        <v>36096</v>
      </c>
      <c r="I2020" s="20">
        <v>21.079000000000001</v>
      </c>
      <c r="J2020" s="44" t="s">
        <v>8</v>
      </c>
      <c r="K2020" s="23" t="s">
        <v>8</v>
      </c>
      <c r="L2020" s="23" t="s">
        <v>8</v>
      </c>
      <c r="M2020" s="23" t="s">
        <v>8</v>
      </c>
    </row>
    <row r="2021" spans="1:13" s="21" customFormat="1" x14ac:dyDescent="0.25">
      <c r="A2021" s="22" t="s">
        <v>8</v>
      </c>
      <c r="B2021" s="18" t="str">
        <f>"105513"</f>
        <v>105513</v>
      </c>
      <c r="C2021" s="19" t="s">
        <v>2018</v>
      </c>
      <c r="D2021" s="19" t="s">
        <v>17453</v>
      </c>
      <c r="E2021" s="19" t="s">
        <v>31508</v>
      </c>
      <c r="F2021" s="19" t="s">
        <v>35983</v>
      </c>
      <c r="G2021" s="18" t="str">
        <f>"33161"</f>
        <v>33161</v>
      </c>
      <c r="H2021" s="19" t="s">
        <v>36126</v>
      </c>
      <c r="I2021" s="20">
        <v>20.946000000000002</v>
      </c>
      <c r="J2021" s="44" t="s">
        <v>8</v>
      </c>
      <c r="K2021" s="23" t="s">
        <v>8</v>
      </c>
      <c r="L2021" s="23" t="s">
        <v>8</v>
      </c>
      <c r="M2021" s="23" t="s">
        <v>8</v>
      </c>
    </row>
    <row r="2022" spans="1:13" s="21" customFormat="1" x14ac:dyDescent="0.25">
      <c r="A2022" s="22" t="s">
        <v>8</v>
      </c>
      <c r="B2022" s="18" t="str">
        <f>"105514"</f>
        <v>105514</v>
      </c>
      <c r="C2022" s="19" t="s">
        <v>2019</v>
      </c>
      <c r="D2022" s="19" t="s">
        <v>17454</v>
      </c>
      <c r="E2022" s="19" t="s">
        <v>31622</v>
      </c>
      <c r="F2022" s="19" t="s">
        <v>35983</v>
      </c>
      <c r="G2022" s="18" t="str">
        <f>"32713"</f>
        <v>32713</v>
      </c>
      <c r="H2022" s="19" t="s">
        <v>36125</v>
      </c>
      <c r="I2022" s="20">
        <v>17.303000000000001</v>
      </c>
      <c r="J2022" s="44" t="s">
        <v>8</v>
      </c>
      <c r="K2022" s="23" t="s">
        <v>8</v>
      </c>
      <c r="L2022" s="23" t="s">
        <v>8</v>
      </c>
      <c r="M2022" s="23" t="s">
        <v>8</v>
      </c>
    </row>
    <row r="2023" spans="1:13" s="21" customFormat="1" x14ac:dyDescent="0.25">
      <c r="A2023" s="22" t="s">
        <v>8</v>
      </c>
      <c r="B2023" s="18" t="str">
        <f>"105515"</f>
        <v>105515</v>
      </c>
      <c r="C2023" s="19" t="s">
        <v>2020</v>
      </c>
      <c r="D2023" s="19" t="s">
        <v>17455</v>
      </c>
      <c r="E2023" s="19" t="s">
        <v>31511</v>
      </c>
      <c r="F2023" s="19" t="s">
        <v>35983</v>
      </c>
      <c r="G2023" s="18" t="str">
        <f>"33566"</f>
        <v>33566</v>
      </c>
      <c r="H2023" s="19" t="s">
        <v>33986</v>
      </c>
      <c r="I2023" s="20">
        <v>19.922999999999998</v>
      </c>
      <c r="J2023" s="44" t="s">
        <v>8</v>
      </c>
      <c r="K2023" s="23" t="s">
        <v>8</v>
      </c>
      <c r="L2023" s="23" t="s">
        <v>8</v>
      </c>
      <c r="M2023" s="23" t="s">
        <v>8</v>
      </c>
    </row>
    <row r="2024" spans="1:13" s="21" customFormat="1" x14ac:dyDescent="0.25">
      <c r="A2024" s="22" t="s">
        <v>8</v>
      </c>
      <c r="B2024" s="18" t="str">
        <f>"105516"</f>
        <v>105516</v>
      </c>
      <c r="C2024" s="19" t="s">
        <v>2021</v>
      </c>
      <c r="D2024" s="19" t="s">
        <v>17456</v>
      </c>
      <c r="E2024" s="19" t="s">
        <v>31514</v>
      </c>
      <c r="F2024" s="19" t="s">
        <v>35983</v>
      </c>
      <c r="G2024" s="18" t="str">
        <f>"33409"</f>
        <v>33409</v>
      </c>
      <c r="H2024" s="19" t="s">
        <v>36130</v>
      </c>
      <c r="I2024" s="20">
        <v>16.471</v>
      </c>
      <c r="J2024" s="44" t="s">
        <v>8</v>
      </c>
      <c r="K2024" s="23" t="s">
        <v>8</v>
      </c>
      <c r="L2024" s="23" t="s">
        <v>8</v>
      </c>
      <c r="M2024" s="23" t="s">
        <v>8</v>
      </c>
    </row>
    <row r="2025" spans="1:13" s="21" customFormat="1" x14ac:dyDescent="0.25">
      <c r="A2025" s="22" t="s">
        <v>8</v>
      </c>
      <c r="B2025" s="18" t="str">
        <f>"105518"</f>
        <v>105518</v>
      </c>
      <c r="C2025" s="19" t="s">
        <v>2022</v>
      </c>
      <c r="D2025" s="19" t="s">
        <v>17457</v>
      </c>
      <c r="E2025" s="19" t="s">
        <v>31600</v>
      </c>
      <c r="F2025" s="19" t="s">
        <v>35983</v>
      </c>
      <c r="G2025" s="18" t="str">
        <f>"34787"</f>
        <v>34787</v>
      </c>
      <c r="H2025" s="19" t="s">
        <v>31169</v>
      </c>
      <c r="I2025" s="20">
        <v>18.093</v>
      </c>
      <c r="J2025" s="44" t="s">
        <v>8</v>
      </c>
      <c r="K2025" s="23" t="s">
        <v>8</v>
      </c>
      <c r="L2025" s="23" t="s">
        <v>8</v>
      </c>
      <c r="M2025" s="23" t="s">
        <v>8</v>
      </c>
    </row>
    <row r="2026" spans="1:13" s="21" customFormat="1" x14ac:dyDescent="0.25">
      <c r="A2026" s="22" t="s">
        <v>8</v>
      </c>
      <c r="B2026" s="18" t="str">
        <f>"105519"</f>
        <v>105519</v>
      </c>
      <c r="C2026" s="19" t="s">
        <v>1990</v>
      </c>
      <c r="D2026" s="19" t="s">
        <v>17458</v>
      </c>
      <c r="E2026" s="19" t="s">
        <v>31533</v>
      </c>
      <c r="F2026" s="19" t="s">
        <v>35983</v>
      </c>
      <c r="G2026" s="18" t="str">
        <f>"33313"</f>
        <v>33313</v>
      </c>
      <c r="H2026" s="19" t="s">
        <v>36127</v>
      </c>
      <c r="I2026" s="20">
        <v>20.356000000000002</v>
      </c>
      <c r="J2026" s="44" t="s">
        <v>8</v>
      </c>
      <c r="K2026" s="23" t="s">
        <v>8</v>
      </c>
      <c r="L2026" s="23" t="s">
        <v>8</v>
      </c>
      <c r="M2026" s="23" t="s">
        <v>8</v>
      </c>
    </row>
    <row r="2027" spans="1:13" s="21" customFormat="1" x14ac:dyDescent="0.25">
      <c r="A2027" s="22" t="s">
        <v>8</v>
      </c>
      <c r="B2027" s="18" t="str">
        <f>"105520"</f>
        <v>105520</v>
      </c>
      <c r="C2027" s="19" t="s">
        <v>2023</v>
      </c>
      <c r="D2027" s="19" t="s">
        <v>17459</v>
      </c>
      <c r="E2027" s="19" t="s">
        <v>31623</v>
      </c>
      <c r="F2027" s="19" t="s">
        <v>35983</v>
      </c>
      <c r="G2027" s="18" t="str">
        <f>"33510"</f>
        <v>33510</v>
      </c>
      <c r="H2027" s="19" t="s">
        <v>33986</v>
      </c>
      <c r="I2027" s="20">
        <v>24.850999999999999</v>
      </c>
      <c r="J2027" s="44" t="s">
        <v>8</v>
      </c>
      <c r="K2027" s="23" t="s">
        <v>8</v>
      </c>
      <c r="L2027" s="23" t="s">
        <v>8</v>
      </c>
      <c r="M2027" s="23" t="s">
        <v>8</v>
      </c>
    </row>
    <row r="2028" spans="1:13" s="21" customFormat="1" x14ac:dyDescent="0.25">
      <c r="A2028" s="22" t="s">
        <v>8</v>
      </c>
      <c r="B2028" s="18" t="str">
        <f>"105521"</f>
        <v>105521</v>
      </c>
      <c r="C2028" s="19" t="s">
        <v>2024</v>
      </c>
      <c r="D2028" s="19" t="s">
        <v>17460</v>
      </c>
      <c r="E2028" s="19" t="s">
        <v>31520</v>
      </c>
      <c r="F2028" s="19" t="s">
        <v>35983</v>
      </c>
      <c r="G2028" s="18" t="str">
        <f>"33486"</f>
        <v>33486</v>
      </c>
      <c r="H2028" s="19" t="s">
        <v>36130</v>
      </c>
      <c r="I2028" s="20">
        <v>19.972000000000001</v>
      </c>
      <c r="J2028" s="44" t="s">
        <v>8</v>
      </c>
      <c r="K2028" s="23" t="s">
        <v>8</v>
      </c>
      <c r="L2028" s="23" t="s">
        <v>8</v>
      </c>
      <c r="M2028" s="23" t="s">
        <v>8</v>
      </c>
    </row>
    <row r="2029" spans="1:13" s="21" customFormat="1" x14ac:dyDescent="0.25">
      <c r="A2029" s="22" t="s">
        <v>8</v>
      </c>
      <c r="B2029" s="18" t="str">
        <f>"105522"</f>
        <v>105522</v>
      </c>
      <c r="C2029" s="19" t="s">
        <v>2025</v>
      </c>
      <c r="D2029" s="19" t="s">
        <v>17461</v>
      </c>
      <c r="E2029" s="19" t="s">
        <v>31624</v>
      </c>
      <c r="F2029" s="19" t="s">
        <v>35983</v>
      </c>
      <c r="G2029" s="18" t="str">
        <f>"33936"</f>
        <v>33936</v>
      </c>
      <c r="H2029" s="19" t="s">
        <v>33138</v>
      </c>
      <c r="I2029" s="20">
        <v>17.478999999999999</v>
      </c>
      <c r="J2029" s="44" t="s">
        <v>8</v>
      </c>
      <c r="K2029" s="23" t="s">
        <v>8</v>
      </c>
      <c r="L2029" s="23" t="s">
        <v>8</v>
      </c>
      <c r="M2029" s="23" t="s">
        <v>8</v>
      </c>
    </row>
    <row r="2030" spans="1:13" s="21" customFormat="1" x14ac:dyDescent="0.25">
      <c r="A2030" s="22" t="s">
        <v>8</v>
      </c>
      <c r="B2030" s="18" t="str">
        <f>"105523"</f>
        <v>105523</v>
      </c>
      <c r="C2030" s="19" t="s">
        <v>2026</v>
      </c>
      <c r="D2030" s="19" t="s">
        <v>17462</v>
      </c>
      <c r="E2030" s="19" t="s">
        <v>31625</v>
      </c>
      <c r="F2030" s="19" t="s">
        <v>35983</v>
      </c>
      <c r="G2030" s="18" t="str">
        <f>"34287"</f>
        <v>34287</v>
      </c>
      <c r="H2030" s="19" t="s">
        <v>31528</v>
      </c>
      <c r="I2030" s="20">
        <v>15.053000000000001</v>
      </c>
      <c r="J2030" s="44" t="s">
        <v>8</v>
      </c>
      <c r="K2030" s="23" t="s">
        <v>8</v>
      </c>
      <c r="L2030" s="23" t="s">
        <v>8</v>
      </c>
      <c r="M2030" s="23" t="s">
        <v>8</v>
      </c>
    </row>
    <row r="2031" spans="1:13" s="21" customFormat="1" x14ac:dyDescent="0.25">
      <c r="A2031" s="22" t="s">
        <v>8</v>
      </c>
      <c r="B2031" s="18" t="str">
        <f>"105524"</f>
        <v>105524</v>
      </c>
      <c r="C2031" s="19" t="s">
        <v>2027</v>
      </c>
      <c r="D2031" s="19" t="s">
        <v>17463</v>
      </c>
      <c r="E2031" s="19" t="s">
        <v>31580</v>
      </c>
      <c r="F2031" s="19" t="s">
        <v>35983</v>
      </c>
      <c r="G2031" s="18" t="str">
        <f>"33948"</f>
        <v>33948</v>
      </c>
      <c r="H2031" s="19" t="s">
        <v>33156</v>
      </c>
      <c r="I2031" s="20">
        <v>22.806000000000001</v>
      </c>
      <c r="J2031" s="44" t="s">
        <v>8</v>
      </c>
      <c r="K2031" s="23" t="s">
        <v>8</v>
      </c>
      <c r="L2031" s="23" t="s">
        <v>8</v>
      </c>
      <c r="M2031" s="23" t="s">
        <v>8</v>
      </c>
    </row>
    <row r="2032" spans="1:13" s="21" customFormat="1" x14ac:dyDescent="0.25">
      <c r="A2032" s="22" t="s">
        <v>8</v>
      </c>
      <c r="B2032" s="18" t="str">
        <f>"105525"</f>
        <v>105525</v>
      </c>
      <c r="C2032" s="19" t="s">
        <v>2028</v>
      </c>
      <c r="D2032" s="19" t="s">
        <v>17464</v>
      </c>
      <c r="E2032" s="19" t="s">
        <v>31515</v>
      </c>
      <c r="F2032" s="19" t="s">
        <v>35983</v>
      </c>
      <c r="G2032" s="18" t="str">
        <f>"34203"</f>
        <v>34203</v>
      </c>
      <c r="H2032" s="19" t="s">
        <v>36131</v>
      </c>
      <c r="I2032" s="20">
        <v>19.5</v>
      </c>
      <c r="J2032" s="44" t="s">
        <v>8</v>
      </c>
      <c r="K2032" s="23" t="s">
        <v>8</v>
      </c>
      <c r="L2032" s="23" t="s">
        <v>8</v>
      </c>
      <c r="M2032" s="23" t="s">
        <v>8</v>
      </c>
    </row>
    <row r="2033" spans="1:13" s="21" customFormat="1" x14ac:dyDescent="0.25">
      <c r="A2033" s="22" t="s">
        <v>8</v>
      </c>
      <c r="B2033" s="18" t="str">
        <f>"105526"</f>
        <v>105526</v>
      </c>
      <c r="C2033" s="19" t="s">
        <v>2029</v>
      </c>
      <c r="D2033" s="19" t="s">
        <v>17465</v>
      </c>
      <c r="E2033" s="19" t="s">
        <v>31626</v>
      </c>
      <c r="F2033" s="19" t="s">
        <v>35983</v>
      </c>
      <c r="G2033" s="18" t="str">
        <f>"32117"</f>
        <v>32117</v>
      </c>
      <c r="H2033" s="19" t="s">
        <v>36125</v>
      </c>
      <c r="I2033" s="20">
        <v>17.651</v>
      </c>
      <c r="J2033" s="44" t="s">
        <v>8</v>
      </c>
      <c r="K2033" s="23" t="s">
        <v>8</v>
      </c>
      <c r="L2033" s="23" t="s">
        <v>8</v>
      </c>
      <c r="M2033" s="23" t="s">
        <v>8</v>
      </c>
    </row>
    <row r="2034" spans="1:13" s="21" customFormat="1" x14ac:dyDescent="0.25">
      <c r="A2034" s="22" t="s">
        <v>8</v>
      </c>
      <c r="B2034" s="18" t="str">
        <f>"105528"</f>
        <v>105528</v>
      </c>
      <c r="C2034" s="19" t="s">
        <v>2030</v>
      </c>
      <c r="D2034" s="19" t="s">
        <v>17466</v>
      </c>
      <c r="E2034" s="19" t="s">
        <v>31627</v>
      </c>
      <c r="F2034" s="19" t="s">
        <v>35983</v>
      </c>
      <c r="G2034" s="18" t="str">
        <f>"34769"</f>
        <v>34769</v>
      </c>
      <c r="H2034" s="19" t="s">
        <v>31089</v>
      </c>
      <c r="I2034" s="20">
        <v>18.876000000000001</v>
      </c>
      <c r="J2034" s="44" t="s">
        <v>8</v>
      </c>
      <c r="K2034" s="23" t="s">
        <v>8</v>
      </c>
      <c r="L2034" s="23" t="s">
        <v>8</v>
      </c>
      <c r="M2034" s="23" t="s">
        <v>8</v>
      </c>
    </row>
    <row r="2035" spans="1:13" s="21" customFormat="1" x14ac:dyDescent="0.25">
      <c r="A2035" s="22" t="s">
        <v>8</v>
      </c>
      <c r="B2035" s="18" t="str">
        <f>"105529"</f>
        <v>105529</v>
      </c>
      <c r="C2035" s="19" t="s">
        <v>2031</v>
      </c>
      <c r="D2035" s="19" t="s">
        <v>17467</v>
      </c>
      <c r="E2035" s="19" t="s">
        <v>31515</v>
      </c>
      <c r="F2035" s="19" t="s">
        <v>35983</v>
      </c>
      <c r="G2035" s="18" t="str">
        <f>"34209"</f>
        <v>34209</v>
      </c>
      <c r="H2035" s="19" t="s">
        <v>36131</v>
      </c>
      <c r="I2035" s="20">
        <v>20.888999999999999</v>
      </c>
      <c r="J2035" s="44" t="s">
        <v>8</v>
      </c>
      <c r="K2035" s="23" t="s">
        <v>8</v>
      </c>
      <c r="L2035" s="23" t="s">
        <v>8</v>
      </c>
      <c r="M2035" s="23" t="s">
        <v>8</v>
      </c>
    </row>
    <row r="2036" spans="1:13" s="21" customFormat="1" x14ac:dyDescent="0.25">
      <c r="A2036" s="22" t="s">
        <v>8</v>
      </c>
      <c r="B2036" s="18" t="str">
        <f>"105530"</f>
        <v>105530</v>
      </c>
      <c r="C2036" s="19" t="s">
        <v>2032</v>
      </c>
      <c r="D2036" s="19" t="s">
        <v>17468</v>
      </c>
      <c r="E2036" s="19" t="s">
        <v>31605</v>
      </c>
      <c r="F2036" s="19" t="s">
        <v>35983</v>
      </c>
      <c r="G2036" s="18" t="str">
        <f>"32796"</f>
        <v>32796</v>
      </c>
      <c r="H2036" s="19" t="s">
        <v>34287</v>
      </c>
      <c r="I2036" s="20">
        <v>16.763000000000002</v>
      </c>
      <c r="J2036" s="44" t="s">
        <v>8</v>
      </c>
      <c r="K2036" s="23" t="s">
        <v>8</v>
      </c>
      <c r="L2036" s="23" t="s">
        <v>8</v>
      </c>
      <c r="M2036" s="23" t="s">
        <v>8</v>
      </c>
    </row>
    <row r="2037" spans="1:13" s="21" customFormat="1" x14ac:dyDescent="0.25">
      <c r="A2037" s="22" t="s">
        <v>8</v>
      </c>
      <c r="B2037" s="18" t="str">
        <f>"105531"</f>
        <v>105531</v>
      </c>
      <c r="C2037" s="19" t="s">
        <v>2033</v>
      </c>
      <c r="D2037" s="19" t="s">
        <v>17469</v>
      </c>
      <c r="E2037" s="19" t="s">
        <v>30912</v>
      </c>
      <c r="F2037" s="19" t="s">
        <v>35983</v>
      </c>
      <c r="G2037" s="18" t="str">
        <f>"32257"</f>
        <v>32257</v>
      </c>
      <c r="H2037" s="19" t="s">
        <v>36129</v>
      </c>
      <c r="I2037" s="20">
        <v>19.113</v>
      </c>
      <c r="J2037" s="44" t="s">
        <v>8</v>
      </c>
      <c r="K2037" s="23" t="s">
        <v>8</v>
      </c>
      <c r="L2037" s="23" t="s">
        <v>8</v>
      </c>
      <c r="M2037" s="23" t="s">
        <v>8</v>
      </c>
    </row>
    <row r="2038" spans="1:13" s="21" customFormat="1" x14ac:dyDescent="0.25">
      <c r="A2038" s="22" t="s">
        <v>8</v>
      </c>
      <c r="B2038" s="18" t="str">
        <f>"105532"</f>
        <v>105532</v>
      </c>
      <c r="C2038" s="19" t="s">
        <v>2034</v>
      </c>
      <c r="D2038" s="19" t="s">
        <v>17470</v>
      </c>
      <c r="E2038" s="19" t="s">
        <v>31548</v>
      </c>
      <c r="F2038" s="19" t="s">
        <v>35983</v>
      </c>
      <c r="G2038" s="18" t="str">
        <f>"32514"</f>
        <v>32514</v>
      </c>
      <c r="H2038" s="19" t="s">
        <v>36035</v>
      </c>
      <c r="I2038" s="20">
        <v>19.61</v>
      </c>
      <c r="J2038" s="44" t="s">
        <v>8</v>
      </c>
      <c r="K2038" s="23" t="s">
        <v>8</v>
      </c>
      <c r="L2038" s="23" t="s">
        <v>8</v>
      </c>
      <c r="M2038" s="23" t="s">
        <v>8</v>
      </c>
    </row>
    <row r="2039" spans="1:13" s="21" customFormat="1" x14ac:dyDescent="0.25">
      <c r="A2039" s="22" t="s">
        <v>8</v>
      </c>
      <c r="B2039" s="18" t="str">
        <f>"105533"</f>
        <v>105533</v>
      </c>
      <c r="C2039" s="19" t="s">
        <v>2035</v>
      </c>
      <c r="D2039" s="19" t="s">
        <v>17471</v>
      </c>
      <c r="E2039" s="19" t="s">
        <v>30912</v>
      </c>
      <c r="F2039" s="19" t="s">
        <v>35983</v>
      </c>
      <c r="G2039" s="18" t="str">
        <f>"32256"</f>
        <v>32256</v>
      </c>
      <c r="H2039" s="19" t="s">
        <v>36129</v>
      </c>
      <c r="I2039" s="20">
        <v>16.989999999999998</v>
      </c>
      <c r="J2039" s="44" t="s">
        <v>8</v>
      </c>
      <c r="K2039" s="23" t="s">
        <v>8</v>
      </c>
      <c r="L2039" s="23" t="s">
        <v>8</v>
      </c>
      <c r="M2039" s="23" t="s">
        <v>8</v>
      </c>
    </row>
    <row r="2040" spans="1:13" s="21" customFormat="1" x14ac:dyDescent="0.25">
      <c r="A2040" s="22" t="s">
        <v>8</v>
      </c>
      <c r="B2040" s="18" t="str">
        <f>"105537"</f>
        <v>105537</v>
      </c>
      <c r="C2040" s="19" t="s">
        <v>2036</v>
      </c>
      <c r="D2040" s="19" t="s">
        <v>17472</v>
      </c>
      <c r="E2040" s="19" t="s">
        <v>31510</v>
      </c>
      <c r="F2040" s="19" t="s">
        <v>35983</v>
      </c>
      <c r="G2040" s="18" t="str">
        <f>"33707"</f>
        <v>33707</v>
      </c>
      <c r="H2040" s="19" t="s">
        <v>36128</v>
      </c>
      <c r="I2040" s="20">
        <v>23.547000000000001</v>
      </c>
      <c r="J2040" s="44" t="s">
        <v>8</v>
      </c>
      <c r="K2040" s="23" t="s">
        <v>8</v>
      </c>
      <c r="L2040" s="23" t="s">
        <v>8</v>
      </c>
      <c r="M2040" s="23" t="s">
        <v>8</v>
      </c>
    </row>
    <row r="2041" spans="1:13" s="21" customFormat="1" x14ac:dyDescent="0.25">
      <c r="A2041" s="22" t="s">
        <v>8</v>
      </c>
      <c r="B2041" s="18" t="str">
        <f>"105538"</f>
        <v>105538</v>
      </c>
      <c r="C2041" s="19" t="s">
        <v>2037</v>
      </c>
      <c r="D2041" s="19" t="s">
        <v>17473</v>
      </c>
      <c r="E2041" s="19" t="s">
        <v>31580</v>
      </c>
      <c r="F2041" s="19" t="s">
        <v>35983</v>
      </c>
      <c r="G2041" s="18" t="str">
        <f>"33980"</f>
        <v>33980</v>
      </c>
      <c r="H2041" s="19" t="s">
        <v>33156</v>
      </c>
      <c r="I2041" s="20">
        <v>20.256</v>
      </c>
      <c r="J2041" s="44" t="s">
        <v>8</v>
      </c>
      <c r="K2041" s="23" t="s">
        <v>8</v>
      </c>
      <c r="L2041" s="23" t="s">
        <v>8</v>
      </c>
      <c r="M2041" s="23" t="s">
        <v>8</v>
      </c>
    </row>
    <row r="2042" spans="1:13" s="21" customFormat="1" x14ac:dyDescent="0.25">
      <c r="A2042" s="22" t="s">
        <v>8</v>
      </c>
      <c r="B2042" s="18" t="str">
        <f>"105539"</f>
        <v>105539</v>
      </c>
      <c r="C2042" s="19" t="s">
        <v>2038</v>
      </c>
      <c r="D2042" s="19" t="s">
        <v>17474</v>
      </c>
      <c r="E2042" s="19" t="s">
        <v>31628</v>
      </c>
      <c r="F2042" s="19" t="s">
        <v>35983</v>
      </c>
      <c r="G2042" s="18" t="str">
        <f>"32771"</f>
        <v>32771</v>
      </c>
      <c r="H2042" s="19" t="s">
        <v>31595</v>
      </c>
      <c r="I2042" s="20">
        <v>22.093</v>
      </c>
      <c r="J2042" s="44" t="s">
        <v>8</v>
      </c>
      <c r="K2042" s="23" t="s">
        <v>8</v>
      </c>
      <c r="L2042" s="23" t="s">
        <v>8</v>
      </c>
      <c r="M2042" s="23" t="s">
        <v>8</v>
      </c>
    </row>
    <row r="2043" spans="1:13" s="21" customFormat="1" x14ac:dyDescent="0.25">
      <c r="A2043" s="22" t="s">
        <v>8</v>
      </c>
      <c r="B2043" s="18" t="str">
        <f>"105541"</f>
        <v>105541</v>
      </c>
      <c r="C2043" s="19" t="s">
        <v>2039</v>
      </c>
      <c r="D2043" s="19" t="s">
        <v>17475</v>
      </c>
      <c r="E2043" s="19" t="s">
        <v>31629</v>
      </c>
      <c r="F2043" s="19" t="s">
        <v>35983</v>
      </c>
      <c r="G2043" s="18" t="str">
        <f>"33030"</f>
        <v>33030</v>
      </c>
      <c r="H2043" s="19" t="s">
        <v>36126</v>
      </c>
      <c r="I2043" s="20">
        <v>19.151</v>
      </c>
      <c r="J2043" s="44" t="s">
        <v>8</v>
      </c>
      <c r="K2043" s="23" t="s">
        <v>8</v>
      </c>
      <c r="L2043" s="23" t="s">
        <v>8</v>
      </c>
      <c r="M2043" s="23" t="s">
        <v>8</v>
      </c>
    </row>
    <row r="2044" spans="1:13" s="21" customFormat="1" x14ac:dyDescent="0.25">
      <c r="A2044" s="22" t="s">
        <v>8</v>
      </c>
      <c r="B2044" s="18" t="str">
        <f>"105543"</f>
        <v>105543</v>
      </c>
      <c r="C2044" s="19" t="s">
        <v>2040</v>
      </c>
      <c r="D2044" s="19" t="s">
        <v>17476</v>
      </c>
      <c r="E2044" s="19" t="s">
        <v>31530</v>
      </c>
      <c r="F2044" s="19" t="s">
        <v>35983</v>
      </c>
      <c r="G2044" s="18" t="str">
        <f>"32405"</f>
        <v>32405</v>
      </c>
      <c r="H2044" s="19" t="s">
        <v>36132</v>
      </c>
      <c r="I2044" s="20">
        <v>23.510999999999999</v>
      </c>
      <c r="J2044" s="44" t="s">
        <v>8</v>
      </c>
      <c r="K2044" s="23" t="s">
        <v>8</v>
      </c>
      <c r="L2044" s="23" t="s">
        <v>8</v>
      </c>
      <c r="M2044" s="23" t="s">
        <v>8</v>
      </c>
    </row>
    <row r="2045" spans="1:13" s="21" customFormat="1" x14ac:dyDescent="0.25">
      <c r="A2045" s="22" t="s">
        <v>8</v>
      </c>
      <c r="B2045" s="18" t="str">
        <f>"105544"</f>
        <v>105544</v>
      </c>
      <c r="C2045" s="19" t="s">
        <v>2041</v>
      </c>
      <c r="D2045" s="19" t="s">
        <v>17477</v>
      </c>
      <c r="E2045" s="19" t="s">
        <v>31588</v>
      </c>
      <c r="F2045" s="19" t="s">
        <v>35983</v>
      </c>
      <c r="G2045" s="18" t="str">
        <f>"34667"</f>
        <v>34667</v>
      </c>
      <c r="H2045" s="19" t="s">
        <v>35446</v>
      </c>
      <c r="I2045" s="20">
        <v>22.808</v>
      </c>
      <c r="J2045" s="44" t="s">
        <v>8</v>
      </c>
      <c r="K2045" s="23" t="s">
        <v>8</v>
      </c>
      <c r="L2045" s="23" t="s">
        <v>8</v>
      </c>
      <c r="M2045" s="23" t="s">
        <v>8</v>
      </c>
    </row>
    <row r="2046" spans="1:13" s="21" customFormat="1" x14ac:dyDescent="0.25">
      <c r="A2046" s="22" t="s">
        <v>8</v>
      </c>
      <c r="B2046" s="18" t="str">
        <f>"105546"</f>
        <v>105546</v>
      </c>
      <c r="C2046" s="19" t="s">
        <v>2042</v>
      </c>
      <c r="D2046" s="19" t="s">
        <v>17478</v>
      </c>
      <c r="E2046" s="19" t="s">
        <v>31599</v>
      </c>
      <c r="F2046" s="19" t="s">
        <v>35983</v>
      </c>
      <c r="G2046" s="18" t="str">
        <f>"32806"</f>
        <v>32806</v>
      </c>
      <c r="H2046" s="19" t="s">
        <v>31169</v>
      </c>
      <c r="I2046" s="20">
        <v>18.605</v>
      </c>
      <c r="J2046" s="44" t="s">
        <v>8</v>
      </c>
      <c r="K2046" s="23" t="s">
        <v>8</v>
      </c>
      <c r="L2046" s="23" t="s">
        <v>8</v>
      </c>
      <c r="M2046" s="23" t="s">
        <v>8</v>
      </c>
    </row>
    <row r="2047" spans="1:13" s="21" customFormat="1" x14ac:dyDescent="0.25">
      <c r="A2047" s="22" t="s">
        <v>8</v>
      </c>
      <c r="B2047" s="18" t="str">
        <f>"105547"</f>
        <v>105547</v>
      </c>
      <c r="C2047" s="19" t="s">
        <v>2043</v>
      </c>
      <c r="D2047" s="19" t="s">
        <v>17479</v>
      </c>
      <c r="E2047" s="19" t="s">
        <v>31630</v>
      </c>
      <c r="F2047" s="19" t="s">
        <v>35983</v>
      </c>
      <c r="G2047" s="18" t="str">
        <f>"32110"</f>
        <v>32110</v>
      </c>
      <c r="H2047" s="19" t="s">
        <v>36145</v>
      </c>
      <c r="I2047" s="20">
        <v>21.87</v>
      </c>
      <c r="J2047" s="44" t="s">
        <v>8</v>
      </c>
      <c r="K2047" s="23" t="s">
        <v>8</v>
      </c>
      <c r="L2047" s="23" t="s">
        <v>8</v>
      </c>
      <c r="M2047" s="23" t="s">
        <v>8</v>
      </c>
    </row>
    <row r="2048" spans="1:13" s="21" customFormat="1" x14ac:dyDescent="0.25">
      <c r="A2048" s="22" t="s">
        <v>8</v>
      </c>
      <c r="B2048" s="18" t="str">
        <f>"105548"</f>
        <v>105548</v>
      </c>
      <c r="C2048" s="19" t="s">
        <v>2044</v>
      </c>
      <c r="D2048" s="19" t="s">
        <v>17480</v>
      </c>
      <c r="E2048" s="19" t="s">
        <v>31566</v>
      </c>
      <c r="F2048" s="19" t="s">
        <v>35983</v>
      </c>
      <c r="G2048" s="18" t="str">
        <f>"32086"</f>
        <v>32086</v>
      </c>
      <c r="H2048" s="19" t="s">
        <v>33300</v>
      </c>
      <c r="I2048" s="20">
        <v>21.408999999999999</v>
      </c>
      <c r="J2048" s="44" t="s">
        <v>8</v>
      </c>
      <c r="K2048" s="23" t="s">
        <v>8</v>
      </c>
      <c r="L2048" s="23" t="s">
        <v>8</v>
      </c>
      <c r="M2048" s="23" t="s">
        <v>8</v>
      </c>
    </row>
    <row r="2049" spans="1:13" s="21" customFormat="1" x14ac:dyDescent="0.25">
      <c r="A2049" s="22" t="s">
        <v>8</v>
      </c>
      <c r="B2049" s="18" t="str">
        <f>"105549"</f>
        <v>105549</v>
      </c>
      <c r="C2049" s="19" t="s">
        <v>2045</v>
      </c>
      <c r="D2049" s="19" t="s">
        <v>17481</v>
      </c>
      <c r="E2049" s="19" t="s">
        <v>31631</v>
      </c>
      <c r="F2049" s="19" t="s">
        <v>35983</v>
      </c>
      <c r="G2049" s="18" t="str">
        <f>"34695"</f>
        <v>34695</v>
      </c>
      <c r="H2049" s="19" t="s">
        <v>36128</v>
      </c>
      <c r="I2049" s="20">
        <v>17.466999999999999</v>
      </c>
      <c r="J2049" s="44" t="s">
        <v>8</v>
      </c>
      <c r="K2049" s="23" t="s">
        <v>8</v>
      </c>
      <c r="L2049" s="23" t="s">
        <v>8</v>
      </c>
      <c r="M2049" s="23" t="s">
        <v>8</v>
      </c>
    </row>
    <row r="2050" spans="1:13" s="21" customFormat="1" x14ac:dyDescent="0.25">
      <c r="A2050" s="22" t="s">
        <v>8</v>
      </c>
      <c r="B2050" s="18" t="str">
        <f>"105550"</f>
        <v>105550</v>
      </c>
      <c r="C2050" s="19" t="s">
        <v>2046</v>
      </c>
      <c r="D2050" s="19" t="s">
        <v>17482</v>
      </c>
      <c r="E2050" s="19" t="s">
        <v>31629</v>
      </c>
      <c r="F2050" s="19" t="s">
        <v>35983</v>
      </c>
      <c r="G2050" s="18" t="str">
        <f>"33035"</f>
        <v>33035</v>
      </c>
      <c r="H2050" s="19" t="s">
        <v>36126</v>
      </c>
      <c r="I2050" s="20">
        <v>19.498999999999999</v>
      </c>
      <c r="J2050" s="44" t="s">
        <v>8</v>
      </c>
      <c r="K2050" s="23" t="s">
        <v>8</v>
      </c>
      <c r="L2050" s="23" t="s">
        <v>8</v>
      </c>
      <c r="M2050" s="23" t="s">
        <v>8</v>
      </c>
    </row>
    <row r="2051" spans="1:13" s="21" customFormat="1" x14ac:dyDescent="0.25">
      <c r="A2051" s="22" t="s">
        <v>8</v>
      </c>
      <c r="B2051" s="18" t="str">
        <f>"105551"</f>
        <v>105551</v>
      </c>
      <c r="C2051" s="19" t="s">
        <v>2047</v>
      </c>
      <c r="D2051" s="19" t="s">
        <v>17483</v>
      </c>
      <c r="E2051" s="19" t="s">
        <v>31515</v>
      </c>
      <c r="F2051" s="19" t="s">
        <v>35983</v>
      </c>
      <c r="G2051" s="18" t="str">
        <f>"34208"</f>
        <v>34208</v>
      </c>
      <c r="H2051" s="19" t="s">
        <v>36131</v>
      </c>
      <c r="I2051" s="20">
        <v>16.667000000000002</v>
      </c>
      <c r="J2051" s="44" t="s">
        <v>8</v>
      </c>
      <c r="K2051" s="23" t="s">
        <v>8</v>
      </c>
      <c r="L2051" s="23" t="s">
        <v>8</v>
      </c>
      <c r="M2051" s="23" t="s">
        <v>8</v>
      </c>
    </row>
    <row r="2052" spans="1:13" s="21" customFormat="1" x14ac:dyDescent="0.25">
      <c r="A2052" s="22" t="s">
        <v>8</v>
      </c>
      <c r="B2052" s="18" t="str">
        <f>"105552"</f>
        <v>105552</v>
      </c>
      <c r="C2052" s="19" t="s">
        <v>2048</v>
      </c>
      <c r="D2052" s="19" t="s">
        <v>17484</v>
      </c>
      <c r="E2052" s="19" t="s">
        <v>31571</v>
      </c>
      <c r="F2052" s="19" t="s">
        <v>35983</v>
      </c>
      <c r="G2052" s="18" t="str">
        <f>"32570"</f>
        <v>32570</v>
      </c>
      <c r="H2052" s="19" t="s">
        <v>31260</v>
      </c>
      <c r="I2052" s="20">
        <v>18.123000000000001</v>
      </c>
      <c r="J2052" s="44" t="s">
        <v>8</v>
      </c>
      <c r="K2052" s="23" t="s">
        <v>8</v>
      </c>
      <c r="L2052" s="23" t="s">
        <v>8</v>
      </c>
      <c r="M2052" s="23" t="s">
        <v>8</v>
      </c>
    </row>
    <row r="2053" spans="1:13" s="21" customFormat="1" x14ac:dyDescent="0.25">
      <c r="A2053" s="22" t="s">
        <v>8</v>
      </c>
      <c r="B2053" s="18" t="str">
        <f>"105553"</f>
        <v>105553</v>
      </c>
      <c r="C2053" s="19" t="s">
        <v>2049</v>
      </c>
      <c r="D2053" s="19" t="s">
        <v>17485</v>
      </c>
      <c r="E2053" s="19" t="s">
        <v>31526</v>
      </c>
      <c r="F2053" s="19" t="s">
        <v>35983</v>
      </c>
      <c r="G2053" s="18" t="str">
        <f>"33625"</f>
        <v>33625</v>
      </c>
      <c r="H2053" s="19" t="s">
        <v>33986</v>
      </c>
      <c r="I2053" s="20">
        <v>25.07</v>
      </c>
      <c r="J2053" s="44" t="s">
        <v>8</v>
      </c>
      <c r="K2053" s="23" t="s">
        <v>8</v>
      </c>
      <c r="L2053" s="23" t="s">
        <v>8</v>
      </c>
      <c r="M2053" s="23" t="s">
        <v>8</v>
      </c>
    </row>
    <row r="2054" spans="1:13" s="21" customFormat="1" x14ac:dyDescent="0.25">
      <c r="A2054" s="22" t="s">
        <v>8</v>
      </c>
      <c r="B2054" s="18" t="str">
        <f>"105554"</f>
        <v>105554</v>
      </c>
      <c r="C2054" s="19" t="s">
        <v>2050</v>
      </c>
      <c r="D2054" s="19" t="s">
        <v>17486</v>
      </c>
      <c r="E2054" s="19" t="s">
        <v>31632</v>
      </c>
      <c r="F2054" s="19" t="s">
        <v>35983</v>
      </c>
      <c r="G2054" s="18" t="str">
        <f>"33016"</f>
        <v>33016</v>
      </c>
      <c r="H2054" s="19" t="s">
        <v>36126</v>
      </c>
      <c r="I2054" s="20">
        <v>18.446999999999999</v>
      </c>
      <c r="J2054" s="44" t="s">
        <v>8</v>
      </c>
      <c r="K2054" s="23" t="s">
        <v>8</v>
      </c>
      <c r="L2054" s="23" t="s">
        <v>8</v>
      </c>
      <c r="M2054" s="23" t="s">
        <v>8</v>
      </c>
    </row>
    <row r="2055" spans="1:13" s="21" customFormat="1" x14ac:dyDescent="0.25">
      <c r="A2055" s="22" t="s">
        <v>8</v>
      </c>
      <c r="B2055" s="18" t="str">
        <f>"105555"</f>
        <v>105555</v>
      </c>
      <c r="C2055" s="19" t="s">
        <v>2051</v>
      </c>
      <c r="D2055" s="19" t="s">
        <v>17487</v>
      </c>
      <c r="E2055" s="19" t="s">
        <v>31516</v>
      </c>
      <c r="F2055" s="19" t="s">
        <v>35983</v>
      </c>
      <c r="G2055" s="18" t="str">
        <f>"33458"</f>
        <v>33458</v>
      </c>
      <c r="H2055" s="19" t="s">
        <v>36130</v>
      </c>
      <c r="I2055" s="20">
        <v>19.14</v>
      </c>
      <c r="J2055" s="44" t="s">
        <v>8</v>
      </c>
      <c r="K2055" s="23" t="s">
        <v>8</v>
      </c>
      <c r="L2055" s="23" t="s">
        <v>8</v>
      </c>
      <c r="M2055" s="23" t="s">
        <v>8</v>
      </c>
    </row>
    <row r="2056" spans="1:13" s="21" customFormat="1" x14ac:dyDescent="0.25">
      <c r="A2056" s="22" t="s">
        <v>8</v>
      </c>
      <c r="B2056" s="18" t="str">
        <f>"105556"</f>
        <v>105556</v>
      </c>
      <c r="C2056" s="19" t="s">
        <v>2052</v>
      </c>
      <c r="D2056" s="19" t="s">
        <v>17488</v>
      </c>
      <c r="E2056" s="19" t="s">
        <v>31584</v>
      </c>
      <c r="F2056" s="19" t="s">
        <v>35983</v>
      </c>
      <c r="G2056" s="18" t="str">
        <f>"32779"</f>
        <v>32779</v>
      </c>
      <c r="H2056" s="19" t="s">
        <v>31595</v>
      </c>
      <c r="I2056" s="20">
        <v>21.167999999999999</v>
      </c>
      <c r="J2056" s="44" t="s">
        <v>8</v>
      </c>
      <c r="K2056" s="23" t="s">
        <v>8</v>
      </c>
      <c r="L2056" s="23" t="s">
        <v>8</v>
      </c>
      <c r="M2056" s="23" t="s">
        <v>8</v>
      </c>
    </row>
    <row r="2057" spans="1:13" s="21" customFormat="1" x14ac:dyDescent="0.25">
      <c r="A2057" s="22" t="s">
        <v>8</v>
      </c>
      <c r="B2057" s="18" t="str">
        <f>"105558"</f>
        <v>105558</v>
      </c>
      <c r="C2057" s="19" t="s">
        <v>2053</v>
      </c>
      <c r="D2057" s="19" t="s">
        <v>17489</v>
      </c>
      <c r="E2057" s="19" t="s">
        <v>31514</v>
      </c>
      <c r="F2057" s="19" t="s">
        <v>35983</v>
      </c>
      <c r="G2057" s="18" t="str">
        <f>"33415"</f>
        <v>33415</v>
      </c>
      <c r="H2057" s="19" t="s">
        <v>36130</v>
      </c>
      <c r="I2057" s="20">
        <v>17.728999999999999</v>
      </c>
      <c r="J2057" s="44" t="s">
        <v>8</v>
      </c>
      <c r="K2057" s="23" t="s">
        <v>8</v>
      </c>
      <c r="L2057" s="23" t="s">
        <v>8</v>
      </c>
      <c r="M2057" s="23" t="s">
        <v>8</v>
      </c>
    </row>
    <row r="2058" spans="1:13" s="21" customFormat="1" x14ac:dyDescent="0.25">
      <c r="A2058" s="22" t="s">
        <v>8</v>
      </c>
      <c r="B2058" s="18" t="str">
        <f>"105559"</f>
        <v>105559</v>
      </c>
      <c r="C2058" s="19" t="s">
        <v>2054</v>
      </c>
      <c r="D2058" s="19" t="s">
        <v>17490</v>
      </c>
      <c r="E2058" s="19" t="s">
        <v>31586</v>
      </c>
      <c r="F2058" s="19" t="s">
        <v>35983</v>
      </c>
      <c r="G2058" s="18" t="str">
        <f>"34746"</f>
        <v>34746</v>
      </c>
      <c r="H2058" s="19" t="s">
        <v>31089</v>
      </c>
      <c r="I2058" s="20">
        <v>23.036000000000001</v>
      </c>
      <c r="J2058" s="44" t="s">
        <v>8</v>
      </c>
      <c r="K2058" s="23" t="s">
        <v>8</v>
      </c>
      <c r="L2058" s="23" t="s">
        <v>8</v>
      </c>
      <c r="M2058" s="23" t="s">
        <v>8</v>
      </c>
    </row>
    <row r="2059" spans="1:13" s="21" customFormat="1" x14ac:dyDescent="0.25">
      <c r="A2059" s="22" t="s">
        <v>8</v>
      </c>
      <c r="B2059" s="18" t="str">
        <f>"105560"</f>
        <v>105560</v>
      </c>
      <c r="C2059" s="19" t="s">
        <v>2055</v>
      </c>
      <c r="D2059" s="19" t="s">
        <v>17491</v>
      </c>
      <c r="E2059" s="19" t="s">
        <v>31507</v>
      </c>
      <c r="F2059" s="19" t="s">
        <v>35983</v>
      </c>
      <c r="G2059" s="18" t="str">
        <f>"33177"</f>
        <v>33177</v>
      </c>
      <c r="H2059" s="19" t="s">
        <v>36126</v>
      </c>
      <c r="I2059" s="20">
        <v>24.3</v>
      </c>
      <c r="J2059" s="44" t="s">
        <v>8</v>
      </c>
      <c r="K2059" s="23" t="s">
        <v>8</v>
      </c>
      <c r="L2059" s="23" t="s">
        <v>8</v>
      </c>
      <c r="M2059" s="23" t="s">
        <v>8</v>
      </c>
    </row>
    <row r="2060" spans="1:13" s="21" customFormat="1" x14ac:dyDescent="0.25">
      <c r="A2060" s="22" t="s">
        <v>8</v>
      </c>
      <c r="B2060" s="18" t="str">
        <f>"105561"</f>
        <v>105561</v>
      </c>
      <c r="C2060" s="19" t="s">
        <v>2056</v>
      </c>
      <c r="D2060" s="19" t="s">
        <v>17492</v>
      </c>
      <c r="E2060" s="19" t="s">
        <v>31548</v>
      </c>
      <c r="F2060" s="19" t="s">
        <v>35983</v>
      </c>
      <c r="G2060" s="18" t="str">
        <f>"32514"</f>
        <v>32514</v>
      </c>
      <c r="H2060" s="19" t="s">
        <v>36035</v>
      </c>
      <c r="I2060" s="20">
        <v>21.334</v>
      </c>
      <c r="J2060" s="44" t="s">
        <v>8</v>
      </c>
      <c r="K2060" s="23" t="s">
        <v>8</v>
      </c>
      <c r="L2060" s="23" t="s">
        <v>8</v>
      </c>
      <c r="M2060" s="23" t="s">
        <v>8</v>
      </c>
    </row>
    <row r="2061" spans="1:13" s="21" customFormat="1" x14ac:dyDescent="0.25">
      <c r="A2061" s="22" t="s">
        <v>8</v>
      </c>
      <c r="B2061" s="18" t="str">
        <f>"105562"</f>
        <v>105562</v>
      </c>
      <c r="C2061" s="19" t="s">
        <v>2057</v>
      </c>
      <c r="D2061" s="19" t="s">
        <v>17493</v>
      </c>
      <c r="E2061" s="19" t="s">
        <v>31538</v>
      </c>
      <c r="F2061" s="19" t="s">
        <v>35983</v>
      </c>
      <c r="G2061" s="18" t="str">
        <f>"34474"</f>
        <v>34474</v>
      </c>
      <c r="H2061" s="19" t="s">
        <v>30850</v>
      </c>
      <c r="I2061" s="20">
        <v>24.507000000000001</v>
      </c>
      <c r="J2061" s="44" t="s">
        <v>8</v>
      </c>
      <c r="K2061" s="23" t="s">
        <v>8</v>
      </c>
      <c r="L2061" s="23" t="s">
        <v>8</v>
      </c>
      <c r="M2061" s="23" t="s">
        <v>8</v>
      </c>
    </row>
    <row r="2062" spans="1:13" s="21" customFormat="1" x14ac:dyDescent="0.25">
      <c r="A2062" s="22" t="s">
        <v>8</v>
      </c>
      <c r="B2062" s="18" t="str">
        <f>"105563"</f>
        <v>105563</v>
      </c>
      <c r="C2062" s="19" t="s">
        <v>2058</v>
      </c>
      <c r="D2062" s="19" t="s">
        <v>17494</v>
      </c>
      <c r="E2062" s="19" t="s">
        <v>31531</v>
      </c>
      <c r="F2062" s="19" t="s">
        <v>35983</v>
      </c>
      <c r="G2062" s="18" t="str">
        <f>"32308"</f>
        <v>32308</v>
      </c>
      <c r="H2062" s="19" t="s">
        <v>32404</v>
      </c>
      <c r="I2062" s="20">
        <v>24.38</v>
      </c>
      <c r="J2062" s="44" t="s">
        <v>8</v>
      </c>
      <c r="K2062" s="23" t="s">
        <v>8</v>
      </c>
      <c r="L2062" s="23" t="s">
        <v>8</v>
      </c>
      <c r="M2062" s="23" t="s">
        <v>8</v>
      </c>
    </row>
    <row r="2063" spans="1:13" s="21" customFormat="1" x14ac:dyDescent="0.25">
      <c r="A2063" s="22" t="s">
        <v>8</v>
      </c>
      <c r="B2063" s="18" t="str">
        <f>"105564"</f>
        <v>105564</v>
      </c>
      <c r="C2063" s="19" t="s">
        <v>2059</v>
      </c>
      <c r="D2063" s="19" t="s">
        <v>17495</v>
      </c>
      <c r="E2063" s="19" t="s">
        <v>31599</v>
      </c>
      <c r="F2063" s="19" t="s">
        <v>35983</v>
      </c>
      <c r="G2063" s="18" t="str">
        <f>"32822"</f>
        <v>32822</v>
      </c>
      <c r="H2063" s="19" t="s">
        <v>31169</v>
      </c>
      <c r="I2063" s="20">
        <v>20.754000000000001</v>
      </c>
      <c r="J2063" s="44" t="s">
        <v>8</v>
      </c>
      <c r="K2063" s="23" t="s">
        <v>8</v>
      </c>
      <c r="L2063" s="23" t="s">
        <v>8</v>
      </c>
      <c r="M2063" s="23" t="s">
        <v>8</v>
      </c>
    </row>
    <row r="2064" spans="1:13" s="21" customFormat="1" x14ac:dyDescent="0.25">
      <c r="A2064" s="22" t="s">
        <v>8</v>
      </c>
      <c r="B2064" s="18" t="str">
        <f>"105565"</f>
        <v>105565</v>
      </c>
      <c r="C2064" s="19" t="s">
        <v>2060</v>
      </c>
      <c r="D2064" s="19" t="s">
        <v>17496</v>
      </c>
      <c r="E2064" s="19" t="s">
        <v>31506</v>
      </c>
      <c r="F2064" s="19" t="s">
        <v>35983</v>
      </c>
      <c r="G2064" s="18" t="str">
        <f>"32117"</f>
        <v>32117</v>
      </c>
      <c r="H2064" s="19" t="s">
        <v>36125</v>
      </c>
      <c r="I2064" s="20">
        <v>16.376999999999999</v>
      </c>
      <c r="J2064" s="44" t="s">
        <v>8</v>
      </c>
      <c r="K2064" s="23" t="s">
        <v>8</v>
      </c>
      <c r="L2064" s="23" t="s">
        <v>8</v>
      </c>
      <c r="M2064" s="23" t="s">
        <v>8</v>
      </c>
    </row>
    <row r="2065" spans="1:13" s="21" customFormat="1" x14ac:dyDescent="0.25">
      <c r="A2065" s="22" t="s">
        <v>8</v>
      </c>
      <c r="B2065" s="18" t="str">
        <f>"105566"</f>
        <v>105566</v>
      </c>
      <c r="C2065" s="19" t="s">
        <v>2061</v>
      </c>
      <c r="D2065" s="19" t="s">
        <v>17497</v>
      </c>
      <c r="E2065" s="19" t="s">
        <v>31534</v>
      </c>
      <c r="F2065" s="19" t="s">
        <v>35983</v>
      </c>
      <c r="G2065" s="18" t="str">
        <f>"33884"</f>
        <v>33884</v>
      </c>
      <c r="H2065" s="19" t="s">
        <v>36062</v>
      </c>
      <c r="I2065" s="20">
        <v>21.486000000000001</v>
      </c>
      <c r="J2065" s="44" t="s">
        <v>8</v>
      </c>
      <c r="K2065" s="23" t="s">
        <v>8</v>
      </c>
      <c r="L2065" s="23" t="s">
        <v>8</v>
      </c>
      <c r="M2065" s="23" t="s">
        <v>8</v>
      </c>
    </row>
    <row r="2066" spans="1:13" s="21" customFormat="1" x14ac:dyDescent="0.25">
      <c r="A2066" s="22" t="s">
        <v>8</v>
      </c>
      <c r="B2066" s="18" t="str">
        <f>"105567"</f>
        <v>105567</v>
      </c>
      <c r="C2066" s="19" t="s">
        <v>2062</v>
      </c>
      <c r="D2066" s="19" t="s">
        <v>17498</v>
      </c>
      <c r="E2066" s="19" t="s">
        <v>31528</v>
      </c>
      <c r="F2066" s="19" t="s">
        <v>35983</v>
      </c>
      <c r="G2066" s="18" t="str">
        <f>"34231"</f>
        <v>34231</v>
      </c>
      <c r="H2066" s="19" t="s">
        <v>31528</v>
      </c>
      <c r="I2066" s="20">
        <v>20.937999999999999</v>
      </c>
      <c r="J2066" s="44" t="s">
        <v>8</v>
      </c>
      <c r="K2066" s="23" t="s">
        <v>8</v>
      </c>
      <c r="L2066" s="23" t="s">
        <v>8</v>
      </c>
      <c r="M2066" s="23" t="s">
        <v>8</v>
      </c>
    </row>
    <row r="2067" spans="1:13" s="21" customFormat="1" x14ac:dyDescent="0.25">
      <c r="A2067" s="22" t="s">
        <v>8</v>
      </c>
      <c r="B2067" s="18" t="str">
        <f>"105568"</f>
        <v>105568</v>
      </c>
      <c r="C2067" s="19" t="s">
        <v>2063</v>
      </c>
      <c r="D2067" s="19" t="s">
        <v>17499</v>
      </c>
      <c r="E2067" s="19" t="s">
        <v>31588</v>
      </c>
      <c r="F2067" s="19" t="s">
        <v>35983</v>
      </c>
      <c r="G2067" s="18" t="str">
        <f>"34667"</f>
        <v>34667</v>
      </c>
      <c r="H2067" s="19" t="s">
        <v>35446</v>
      </c>
      <c r="I2067" s="20">
        <v>20.399999999999999</v>
      </c>
      <c r="J2067" s="44" t="s">
        <v>8</v>
      </c>
      <c r="K2067" s="23" t="s">
        <v>8</v>
      </c>
      <c r="L2067" s="23" t="s">
        <v>8</v>
      </c>
      <c r="M2067" s="23" t="s">
        <v>8</v>
      </c>
    </row>
    <row r="2068" spans="1:13" s="21" customFormat="1" x14ac:dyDescent="0.25">
      <c r="A2068" s="22" t="s">
        <v>8</v>
      </c>
      <c r="B2068" s="18" t="str">
        <f>"105570"</f>
        <v>105570</v>
      </c>
      <c r="C2068" s="19" t="s">
        <v>2064</v>
      </c>
      <c r="D2068" s="19" t="s">
        <v>17500</v>
      </c>
      <c r="E2068" s="19" t="s">
        <v>31506</v>
      </c>
      <c r="F2068" s="19" t="s">
        <v>35983</v>
      </c>
      <c r="G2068" s="18" t="str">
        <f>"32114"</f>
        <v>32114</v>
      </c>
      <c r="H2068" s="19" t="s">
        <v>36125</v>
      </c>
      <c r="I2068" s="20">
        <v>19.693000000000001</v>
      </c>
      <c r="J2068" s="44" t="s">
        <v>8</v>
      </c>
      <c r="K2068" s="23" t="s">
        <v>8</v>
      </c>
      <c r="L2068" s="23" t="s">
        <v>8</v>
      </c>
      <c r="M2068" s="23" t="s">
        <v>8</v>
      </c>
    </row>
    <row r="2069" spans="1:13" s="21" customFormat="1" x14ac:dyDescent="0.25">
      <c r="A2069" s="22" t="s">
        <v>8</v>
      </c>
      <c r="B2069" s="18" t="str">
        <f>"105571"</f>
        <v>105571</v>
      </c>
      <c r="C2069" s="19" t="s">
        <v>2065</v>
      </c>
      <c r="D2069" s="19" t="s">
        <v>17501</v>
      </c>
      <c r="E2069" s="19" t="s">
        <v>31537</v>
      </c>
      <c r="F2069" s="19" t="s">
        <v>35983</v>
      </c>
      <c r="G2069" s="18" t="str">
        <f>"32607"</f>
        <v>32607</v>
      </c>
      <c r="H2069" s="19" t="s">
        <v>36135</v>
      </c>
      <c r="I2069" s="20">
        <v>23.506</v>
      </c>
      <c r="J2069" s="44" t="s">
        <v>8</v>
      </c>
      <c r="K2069" s="23" t="s">
        <v>8</v>
      </c>
      <c r="L2069" s="23" t="s">
        <v>8</v>
      </c>
      <c r="M2069" s="23" t="s">
        <v>8</v>
      </c>
    </row>
    <row r="2070" spans="1:13" s="21" customFormat="1" x14ac:dyDescent="0.25">
      <c r="A2070" s="22" t="s">
        <v>8</v>
      </c>
      <c r="B2070" s="18" t="str">
        <f>"105572"</f>
        <v>105572</v>
      </c>
      <c r="C2070" s="19" t="s">
        <v>2066</v>
      </c>
      <c r="D2070" s="19" t="s">
        <v>17502</v>
      </c>
      <c r="E2070" s="19" t="s">
        <v>31545</v>
      </c>
      <c r="F2070" s="19" t="s">
        <v>35983</v>
      </c>
      <c r="G2070" s="18" t="str">
        <f>"33064"</f>
        <v>33064</v>
      </c>
      <c r="H2070" s="19" t="s">
        <v>36127</v>
      </c>
      <c r="I2070" s="20">
        <v>22.626000000000001</v>
      </c>
      <c r="J2070" s="44" t="s">
        <v>8</v>
      </c>
      <c r="K2070" s="23" t="s">
        <v>8</v>
      </c>
      <c r="L2070" s="23" t="s">
        <v>8</v>
      </c>
      <c r="M2070" s="23" t="s">
        <v>8</v>
      </c>
    </row>
    <row r="2071" spans="1:13" s="21" customFormat="1" x14ac:dyDescent="0.25">
      <c r="A2071" s="22" t="s">
        <v>8</v>
      </c>
      <c r="B2071" s="18" t="str">
        <f>"105574"</f>
        <v>105574</v>
      </c>
      <c r="C2071" s="19" t="s">
        <v>2067</v>
      </c>
      <c r="D2071" s="19" t="s">
        <v>17503</v>
      </c>
      <c r="E2071" s="19" t="s">
        <v>31542</v>
      </c>
      <c r="F2071" s="19" t="s">
        <v>35983</v>
      </c>
      <c r="G2071" s="18" t="str">
        <f>"33777"</f>
        <v>33777</v>
      </c>
      <c r="H2071" s="19" t="s">
        <v>36128</v>
      </c>
      <c r="I2071" s="20">
        <v>18.478999999999999</v>
      </c>
      <c r="J2071" s="44" t="s">
        <v>8</v>
      </c>
      <c r="K2071" s="23" t="s">
        <v>8</v>
      </c>
      <c r="L2071" s="23" t="s">
        <v>8</v>
      </c>
      <c r="M2071" s="23" t="s">
        <v>8</v>
      </c>
    </row>
    <row r="2072" spans="1:13" s="21" customFormat="1" x14ac:dyDescent="0.25">
      <c r="A2072" s="22" t="s">
        <v>8</v>
      </c>
      <c r="B2072" s="18" t="str">
        <f>"105575"</f>
        <v>105575</v>
      </c>
      <c r="C2072" s="19" t="s">
        <v>2068</v>
      </c>
      <c r="D2072" s="19" t="s">
        <v>17504</v>
      </c>
      <c r="E2072" s="19" t="s">
        <v>31618</v>
      </c>
      <c r="F2072" s="19" t="s">
        <v>35983</v>
      </c>
      <c r="G2072" s="18" t="str">
        <f>"33016"</f>
        <v>33016</v>
      </c>
      <c r="H2072" s="19" t="s">
        <v>36126</v>
      </c>
      <c r="I2072" s="20">
        <v>20.523</v>
      </c>
      <c r="J2072" s="44" t="s">
        <v>8</v>
      </c>
      <c r="K2072" s="23" t="s">
        <v>8</v>
      </c>
      <c r="L2072" s="23" t="s">
        <v>8</v>
      </c>
      <c r="M2072" s="23" t="s">
        <v>8</v>
      </c>
    </row>
    <row r="2073" spans="1:13" s="21" customFormat="1" x14ac:dyDescent="0.25">
      <c r="A2073" s="22" t="s">
        <v>8</v>
      </c>
      <c r="B2073" s="18" t="str">
        <f>"105577"</f>
        <v>105577</v>
      </c>
      <c r="C2073" s="19" t="s">
        <v>2069</v>
      </c>
      <c r="D2073" s="19" t="s">
        <v>17505</v>
      </c>
      <c r="E2073" s="19" t="s">
        <v>31599</v>
      </c>
      <c r="F2073" s="19" t="s">
        <v>35983</v>
      </c>
      <c r="G2073" s="18" t="str">
        <f>"32825"</f>
        <v>32825</v>
      </c>
      <c r="H2073" s="19" t="s">
        <v>31169</v>
      </c>
      <c r="I2073" s="20">
        <v>19.306999999999999</v>
      </c>
      <c r="J2073" s="44" t="s">
        <v>8</v>
      </c>
      <c r="K2073" s="23" t="s">
        <v>8</v>
      </c>
      <c r="L2073" s="23" t="s">
        <v>8</v>
      </c>
      <c r="M2073" s="23" t="s">
        <v>8</v>
      </c>
    </row>
    <row r="2074" spans="1:13" s="21" customFormat="1" x14ac:dyDescent="0.25">
      <c r="A2074" s="22" t="s">
        <v>8</v>
      </c>
      <c r="B2074" s="18" t="str">
        <f>"105578"</f>
        <v>105578</v>
      </c>
      <c r="C2074" s="19" t="s">
        <v>2070</v>
      </c>
      <c r="D2074" s="19" t="s">
        <v>17506</v>
      </c>
      <c r="E2074" s="19" t="s">
        <v>31519</v>
      </c>
      <c r="F2074" s="19" t="s">
        <v>35983</v>
      </c>
      <c r="G2074" s="18" t="str">
        <f>"33316"</f>
        <v>33316</v>
      </c>
      <c r="H2074" s="19" t="s">
        <v>36127</v>
      </c>
      <c r="I2074" s="20">
        <v>17.631</v>
      </c>
      <c r="J2074" s="44" t="s">
        <v>8</v>
      </c>
      <c r="K2074" s="23" t="s">
        <v>8</v>
      </c>
      <c r="L2074" s="23" t="s">
        <v>8</v>
      </c>
      <c r="M2074" s="23" t="s">
        <v>8</v>
      </c>
    </row>
    <row r="2075" spans="1:13" s="21" customFormat="1" x14ac:dyDescent="0.25">
      <c r="A2075" s="22" t="s">
        <v>8</v>
      </c>
      <c r="B2075" s="18" t="str">
        <f>"105579"</f>
        <v>105579</v>
      </c>
      <c r="C2075" s="19" t="s">
        <v>2071</v>
      </c>
      <c r="D2075" s="19" t="s">
        <v>17507</v>
      </c>
      <c r="E2075" s="19" t="s">
        <v>31594</v>
      </c>
      <c r="F2075" s="19" t="s">
        <v>35983</v>
      </c>
      <c r="G2075" s="18" t="str">
        <f>"34952"</f>
        <v>34952</v>
      </c>
      <c r="H2075" s="19" t="s">
        <v>36136</v>
      </c>
      <c r="I2075" s="20">
        <v>23.541</v>
      </c>
      <c r="J2075" s="44" t="s">
        <v>8</v>
      </c>
      <c r="K2075" s="23" t="s">
        <v>8</v>
      </c>
      <c r="L2075" s="23" t="s">
        <v>8</v>
      </c>
      <c r="M2075" s="23" t="s">
        <v>8</v>
      </c>
    </row>
    <row r="2076" spans="1:13" s="21" customFormat="1" x14ac:dyDescent="0.25">
      <c r="A2076" s="22" t="s">
        <v>8</v>
      </c>
      <c r="B2076" s="18" t="str">
        <f>"105580"</f>
        <v>105580</v>
      </c>
      <c r="C2076" s="19" t="s">
        <v>2072</v>
      </c>
      <c r="D2076" s="19" t="s">
        <v>17508</v>
      </c>
      <c r="E2076" s="19" t="s">
        <v>31506</v>
      </c>
      <c r="F2076" s="19" t="s">
        <v>35983</v>
      </c>
      <c r="G2076" s="18" t="str">
        <f>"32114"</f>
        <v>32114</v>
      </c>
      <c r="H2076" s="19" t="s">
        <v>36125</v>
      </c>
      <c r="I2076" s="20">
        <v>19.821000000000002</v>
      </c>
      <c r="J2076" s="44" t="s">
        <v>8</v>
      </c>
      <c r="K2076" s="23" t="s">
        <v>8</v>
      </c>
      <c r="L2076" s="23" t="s">
        <v>8</v>
      </c>
      <c r="M2076" s="23" t="s">
        <v>8</v>
      </c>
    </row>
    <row r="2077" spans="1:13" s="21" customFormat="1" x14ac:dyDescent="0.25">
      <c r="A2077" s="22" t="s">
        <v>8</v>
      </c>
      <c r="B2077" s="18" t="str">
        <f>"105581"</f>
        <v>105581</v>
      </c>
      <c r="C2077" s="19" t="s">
        <v>2073</v>
      </c>
      <c r="D2077" s="19" t="s">
        <v>17509</v>
      </c>
      <c r="E2077" s="19" t="s">
        <v>31551</v>
      </c>
      <c r="F2077" s="19" t="s">
        <v>35983</v>
      </c>
      <c r="G2077" s="18" t="str">
        <f>"33761"</f>
        <v>33761</v>
      </c>
      <c r="H2077" s="19" t="s">
        <v>36128</v>
      </c>
      <c r="I2077" s="20">
        <v>18.71</v>
      </c>
      <c r="J2077" s="44" t="s">
        <v>8</v>
      </c>
      <c r="K2077" s="23" t="s">
        <v>8</v>
      </c>
      <c r="L2077" s="23" t="s">
        <v>8</v>
      </c>
      <c r="M2077" s="23" t="s">
        <v>8</v>
      </c>
    </row>
    <row r="2078" spans="1:13" s="21" customFormat="1" x14ac:dyDescent="0.25">
      <c r="A2078" s="22" t="s">
        <v>8</v>
      </c>
      <c r="B2078" s="18" t="str">
        <f>"105584"</f>
        <v>105584</v>
      </c>
      <c r="C2078" s="19" t="s">
        <v>2074</v>
      </c>
      <c r="D2078" s="19" t="s">
        <v>17510</v>
      </c>
      <c r="E2078" s="19" t="s">
        <v>31528</v>
      </c>
      <c r="F2078" s="19" t="s">
        <v>35983</v>
      </c>
      <c r="G2078" s="18" t="str">
        <f>"34238"</f>
        <v>34238</v>
      </c>
      <c r="H2078" s="19" t="s">
        <v>31528</v>
      </c>
      <c r="I2078" s="20">
        <v>18.024999999999999</v>
      </c>
      <c r="J2078" s="44" t="s">
        <v>8</v>
      </c>
      <c r="K2078" s="23" t="s">
        <v>8</v>
      </c>
      <c r="L2078" s="23" t="s">
        <v>8</v>
      </c>
      <c r="M2078" s="23" t="s">
        <v>8</v>
      </c>
    </row>
    <row r="2079" spans="1:13" s="21" customFormat="1" x14ac:dyDescent="0.25">
      <c r="A2079" s="22" t="s">
        <v>8</v>
      </c>
      <c r="B2079" s="18" t="str">
        <f>"105586"</f>
        <v>105586</v>
      </c>
      <c r="C2079" s="19" t="s">
        <v>2075</v>
      </c>
      <c r="D2079" s="19" t="s">
        <v>17511</v>
      </c>
      <c r="E2079" s="19" t="s">
        <v>31587</v>
      </c>
      <c r="F2079" s="19" t="s">
        <v>35983</v>
      </c>
      <c r="G2079" s="18" t="str">
        <f>"32073"</f>
        <v>32073</v>
      </c>
      <c r="H2079" s="19" t="s">
        <v>36030</v>
      </c>
      <c r="I2079" s="20">
        <v>20.556000000000001</v>
      </c>
      <c r="J2079" s="44" t="s">
        <v>8</v>
      </c>
      <c r="K2079" s="23" t="s">
        <v>8</v>
      </c>
      <c r="L2079" s="23" t="s">
        <v>8</v>
      </c>
      <c r="M2079" s="23" t="s">
        <v>8</v>
      </c>
    </row>
    <row r="2080" spans="1:13" s="21" customFormat="1" x14ac:dyDescent="0.25">
      <c r="A2080" s="22" t="s">
        <v>8</v>
      </c>
      <c r="B2080" s="18" t="str">
        <f>"105587"</f>
        <v>105587</v>
      </c>
      <c r="C2080" s="19" t="s">
        <v>2076</v>
      </c>
      <c r="D2080" s="19" t="s">
        <v>17512</v>
      </c>
      <c r="E2080" s="19" t="s">
        <v>31585</v>
      </c>
      <c r="F2080" s="19" t="s">
        <v>35983</v>
      </c>
      <c r="G2080" s="18" t="str">
        <f>"34684"</f>
        <v>34684</v>
      </c>
      <c r="H2080" s="19" t="s">
        <v>36128</v>
      </c>
      <c r="I2080" s="20">
        <v>21.619</v>
      </c>
      <c r="J2080" s="44" t="s">
        <v>8</v>
      </c>
      <c r="K2080" s="23" t="s">
        <v>8</v>
      </c>
      <c r="L2080" s="23" t="s">
        <v>8</v>
      </c>
      <c r="M2080" s="23" t="s">
        <v>8</v>
      </c>
    </row>
    <row r="2081" spans="1:13" s="21" customFormat="1" x14ac:dyDescent="0.25">
      <c r="A2081" s="22" t="s">
        <v>8</v>
      </c>
      <c r="B2081" s="18" t="str">
        <f>"105588"</f>
        <v>105588</v>
      </c>
      <c r="C2081" s="19" t="s">
        <v>2077</v>
      </c>
      <c r="D2081" s="19" t="s">
        <v>17513</v>
      </c>
      <c r="E2081" s="19" t="s">
        <v>31575</v>
      </c>
      <c r="F2081" s="19" t="s">
        <v>35983</v>
      </c>
      <c r="G2081" s="18" t="str">
        <f>"33991"</f>
        <v>33991</v>
      </c>
      <c r="H2081" s="19" t="s">
        <v>33138</v>
      </c>
      <c r="I2081" s="20">
        <v>19.079999999999998</v>
      </c>
      <c r="J2081" s="44" t="s">
        <v>8</v>
      </c>
      <c r="K2081" s="23" t="s">
        <v>8</v>
      </c>
      <c r="L2081" s="23" t="s">
        <v>8</v>
      </c>
      <c r="M2081" s="23" t="s">
        <v>8</v>
      </c>
    </row>
    <row r="2082" spans="1:13" s="21" customFormat="1" x14ac:dyDescent="0.25">
      <c r="A2082" s="22" t="s">
        <v>8</v>
      </c>
      <c r="B2082" s="18" t="str">
        <f>"105589"</f>
        <v>105589</v>
      </c>
      <c r="C2082" s="19" t="s">
        <v>2078</v>
      </c>
      <c r="D2082" s="19" t="s">
        <v>17514</v>
      </c>
      <c r="E2082" s="19" t="s">
        <v>31565</v>
      </c>
      <c r="F2082" s="19" t="s">
        <v>35983</v>
      </c>
      <c r="G2082" s="18" t="str">
        <f>"32174"</f>
        <v>32174</v>
      </c>
      <c r="H2082" s="19" t="s">
        <v>36125</v>
      </c>
      <c r="I2082" s="20">
        <v>19.103000000000002</v>
      </c>
      <c r="J2082" s="44" t="s">
        <v>8</v>
      </c>
      <c r="K2082" s="23" t="s">
        <v>8</v>
      </c>
      <c r="L2082" s="23" t="s">
        <v>8</v>
      </c>
      <c r="M2082" s="23" t="s">
        <v>8</v>
      </c>
    </row>
    <row r="2083" spans="1:13" s="21" customFormat="1" x14ac:dyDescent="0.25">
      <c r="A2083" s="22" t="s">
        <v>8</v>
      </c>
      <c r="B2083" s="18" t="str">
        <f>"105591"</f>
        <v>105591</v>
      </c>
      <c r="C2083" s="19" t="s">
        <v>2079</v>
      </c>
      <c r="D2083" s="19" t="s">
        <v>17515</v>
      </c>
      <c r="E2083" s="19" t="s">
        <v>31526</v>
      </c>
      <c r="F2083" s="19" t="s">
        <v>35983</v>
      </c>
      <c r="G2083" s="18" t="str">
        <f>"33613"</f>
        <v>33613</v>
      </c>
      <c r="H2083" s="19" t="s">
        <v>33986</v>
      </c>
      <c r="I2083" s="20">
        <v>20.167999999999999</v>
      </c>
      <c r="J2083" s="44" t="s">
        <v>8</v>
      </c>
      <c r="K2083" s="23" t="s">
        <v>8</v>
      </c>
      <c r="L2083" s="23" t="s">
        <v>8</v>
      </c>
      <c r="M2083" s="23" t="s">
        <v>8</v>
      </c>
    </row>
    <row r="2084" spans="1:13" s="21" customFormat="1" x14ac:dyDescent="0.25">
      <c r="A2084" s="22" t="s">
        <v>8</v>
      </c>
      <c r="B2084" s="18" t="str">
        <f>"105592"</f>
        <v>105592</v>
      </c>
      <c r="C2084" s="19" t="s">
        <v>2080</v>
      </c>
      <c r="D2084" s="19" t="s">
        <v>17516</v>
      </c>
      <c r="E2084" s="19" t="s">
        <v>31590</v>
      </c>
      <c r="F2084" s="19" t="s">
        <v>35983</v>
      </c>
      <c r="G2084" s="18" t="str">
        <f>"32960"</f>
        <v>32960</v>
      </c>
      <c r="H2084" s="19" t="s">
        <v>36140</v>
      </c>
      <c r="I2084" s="20">
        <v>18.97</v>
      </c>
      <c r="J2084" s="44" t="s">
        <v>8</v>
      </c>
      <c r="K2084" s="23" t="s">
        <v>8</v>
      </c>
      <c r="L2084" s="23" t="s">
        <v>8</v>
      </c>
      <c r="M2084" s="23" t="s">
        <v>8</v>
      </c>
    </row>
    <row r="2085" spans="1:13" s="21" customFormat="1" x14ac:dyDescent="0.25">
      <c r="A2085" s="22" t="s">
        <v>8</v>
      </c>
      <c r="B2085" s="18" t="str">
        <f>"105593"</f>
        <v>105593</v>
      </c>
      <c r="C2085" s="19" t="s">
        <v>2081</v>
      </c>
      <c r="D2085" s="19" t="s">
        <v>17517</v>
      </c>
      <c r="E2085" s="19" t="s">
        <v>31590</v>
      </c>
      <c r="F2085" s="19" t="s">
        <v>35983</v>
      </c>
      <c r="G2085" s="18" t="str">
        <f>"32966"</f>
        <v>32966</v>
      </c>
      <c r="H2085" s="19" t="s">
        <v>36140</v>
      </c>
      <c r="I2085" s="20">
        <v>16.135000000000002</v>
      </c>
      <c r="J2085" s="44" t="s">
        <v>8</v>
      </c>
      <c r="K2085" s="23" t="s">
        <v>8</v>
      </c>
      <c r="L2085" s="23" t="s">
        <v>8</v>
      </c>
      <c r="M2085" s="23" t="s">
        <v>8</v>
      </c>
    </row>
    <row r="2086" spans="1:13" s="21" customFormat="1" x14ac:dyDescent="0.25">
      <c r="A2086" s="22" t="s">
        <v>8</v>
      </c>
      <c r="B2086" s="18" t="str">
        <f>"105596"</f>
        <v>105596</v>
      </c>
      <c r="C2086" s="19" t="s">
        <v>2082</v>
      </c>
      <c r="D2086" s="19" t="s">
        <v>17518</v>
      </c>
      <c r="E2086" s="19" t="s">
        <v>31633</v>
      </c>
      <c r="F2086" s="19" t="s">
        <v>35983</v>
      </c>
      <c r="G2086" s="18" t="str">
        <f>"33180"</f>
        <v>33180</v>
      </c>
      <c r="H2086" s="19" t="s">
        <v>36126</v>
      </c>
      <c r="I2086" s="20">
        <v>26.27</v>
      </c>
      <c r="J2086" s="44" t="s">
        <v>8</v>
      </c>
      <c r="K2086" s="23" t="s">
        <v>8</v>
      </c>
      <c r="L2086" s="23" t="s">
        <v>8</v>
      </c>
      <c r="M2086" s="23" t="s">
        <v>8</v>
      </c>
    </row>
    <row r="2087" spans="1:13" s="21" customFormat="1" x14ac:dyDescent="0.25">
      <c r="A2087" s="22" t="s">
        <v>8</v>
      </c>
      <c r="B2087" s="18" t="str">
        <f>"105597"</f>
        <v>105597</v>
      </c>
      <c r="C2087" s="19" t="s">
        <v>2083</v>
      </c>
      <c r="D2087" s="19" t="s">
        <v>17519</v>
      </c>
      <c r="E2087" s="19" t="s">
        <v>5397</v>
      </c>
      <c r="F2087" s="19" t="s">
        <v>35983</v>
      </c>
      <c r="G2087" s="18" t="str">
        <f>"32064"</f>
        <v>32064</v>
      </c>
      <c r="H2087" s="19" t="s">
        <v>36146</v>
      </c>
      <c r="I2087" s="20">
        <v>21.01</v>
      </c>
      <c r="J2087" s="44" t="s">
        <v>8</v>
      </c>
      <c r="K2087" s="23" t="s">
        <v>8</v>
      </c>
      <c r="L2087" s="23" t="s">
        <v>8</v>
      </c>
      <c r="M2087" s="23" t="s">
        <v>8</v>
      </c>
    </row>
    <row r="2088" spans="1:13" s="21" customFormat="1" x14ac:dyDescent="0.25">
      <c r="A2088" s="22" t="s">
        <v>8</v>
      </c>
      <c r="B2088" s="18" t="str">
        <f>"105598"</f>
        <v>105598</v>
      </c>
      <c r="C2088" s="19" t="s">
        <v>2084</v>
      </c>
      <c r="D2088" s="19" t="s">
        <v>17520</v>
      </c>
      <c r="E2088" s="19" t="s">
        <v>31573</v>
      </c>
      <c r="F2088" s="19" t="s">
        <v>35983</v>
      </c>
      <c r="G2088" s="18" t="str">
        <f>"33483"</f>
        <v>33483</v>
      </c>
      <c r="H2088" s="19" t="s">
        <v>36130</v>
      </c>
      <c r="I2088" s="20">
        <v>16.981000000000002</v>
      </c>
      <c r="J2088" s="44" t="s">
        <v>8</v>
      </c>
      <c r="K2088" s="23" t="s">
        <v>8</v>
      </c>
      <c r="L2088" s="23" t="s">
        <v>8</v>
      </c>
      <c r="M2088" s="23" t="s">
        <v>8</v>
      </c>
    </row>
    <row r="2089" spans="1:13" s="21" customFormat="1" x14ac:dyDescent="0.25">
      <c r="A2089" s="22" t="s">
        <v>8</v>
      </c>
      <c r="B2089" s="18" t="str">
        <f>"105599"</f>
        <v>105599</v>
      </c>
      <c r="C2089" s="19" t="s">
        <v>2085</v>
      </c>
      <c r="D2089" s="19" t="s">
        <v>17521</v>
      </c>
      <c r="E2089" s="19" t="s">
        <v>31634</v>
      </c>
      <c r="F2089" s="19" t="s">
        <v>35983</v>
      </c>
      <c r="G2089" s="18" t="str">
        <f>"33540"</f>
        <v>33540</v>
      </c>
      <c r="H2089" s="19" t="s">
        <v>35446</v>
      </c>
      <c r="I2089" s="20">
        <v>22.22</v>
      </c>
      <c r="J2089" s="44" t="s">
        <v>8</v>
      </c>
      <c r="K2089" s="23" t="s">
        <v>8</v>
      </c>
      <c r="L2089" s="23" t="s">
        <v>8</v>
      </c>
      <c r="M2089" s="23" t="s">
        <v>8</v>
      </c>
    </row>
    <row r="2090" spans="1:13" s="21" customFormat="1" x14ac:dyDescent="0.25">
      <c r="A2090" s="22" t="s">
        <v>8</v>
      </c>
      <c r="B2090" s="18" t="str">
        <f>"105600"</f>
        <v>105600</v>
      </c>
      <c r="C2090" s="19" t="s">
        <v>2086</v>
      </c>
      <c r="D2090" s="19" t="s">
        <v>17522</v>
      </c>
      <c r="E2090" s="19" t="s">
        <v>31594</v>
      </c>
      <c r="F2090" s="19" t="s">
        <v>35983</v>
      </c>
      <c r="G2090" s="18" t="str">
        <f>"34952"</f>
        <v>34952</v>
      </c>
      <c r="H2090" s="19" t="s">
        <v>36136</v>
      </c>
      <c r="I2090" s="20">
        <v>22.370999999999999</v>
      </c>
      <c r="J2090" s="44" t="s">
        <v>8</v>
      </c>
      <c r="K2090" s="23" t="s">
        <v>8</v>
      </c>
      <c r="L2090" s="23" t="s">
        <v>8</v>
      </c>
      <c r="M2090" s="23" t="s">
        <v>8</v>
      </c>
    </row>
    <row r="2091" spans="1:13" s="21" customFormat="1" x14ac:dyDescent="0.25">
      <c r="A2091" s="22" t="s">
        <v>8</v>
      </c>
      <c r="B2091" s="18" t="str">
        <f>"105601"</f>
        <v>105601</v>
      </c>
      <c r="C2091" s="19" t="s">
        <v>2087</v>
      </c>
      <c r="D2091" s="19" t="s">
        <v>17523</v>
      </c>
      <c r="E2091" s="19" t="s">
        <v>31635</v>
      </c>
      <c r="F2091" s="19" t="s">
        <v>35983</v>
      </c>
      <c r="G2091" s="18" t="str">
        <f>"32550"</f>
        <v>32550</v>
      </c>
      <c r="H2091" s="19" t="s">
        <v>36123</v>
      </c>
      <c r="I2091" s="20">
        <v>18.329000000000001</v>
      </c>
      <c r="J2091" s="44" t="s">
        <v>8</v>
      </c>
      <c r="K2091" s="23" t="s">
        <v>8</v>
      </c>
      <c r="L2091" s="23" t="s">
        <v>8</v>
      </c>
      <c r="M2091" s="23" t="s">
        <v>8</v>
      </c>
    </row>
    <row r="2092" spans="1:13" s="21" customFormat="1" x14ac:dyDescent="0.25">
      <c r="A2092" s="22" t="s">
        <v>8</v>
      </c>
      <c r="B2092" s="18" t="str">
        <f>"105602"</f>
        <v>105602</v>
      </c>
      <c r="C2092" s="19" t="s">
        <v>2088</v>
      </c>
      <c r="D2092" s="19" t="s">
        <v>17524</v>
      </c>
      <c r="E2092" s="19" t="s">
        <v>31538</v>
      </c>
      <c r="F2092" s="19" t="s">
        <v>35983</v>
      </c>
      <c r="G2092" s="18" t="str">
        <f>"34474"</f>
        <v>34474</v>
      </c>
      <c r="H2092" s="19" t="s">
        <v>30850</v>
      </c>
      <c r="I2092" s="20">
        <v>19.71</v>
      </c>
      <c r="J2092" s="44" t="s">
        <v>8</v>
      </c>
      <c r="K2092" s="23" t="s">
        <v>8</v>
      </c>
      <c r="L2092" s="23" t="s">
        <v>8</v>
      </c>
      <c r="M2092" s="23" t="s">
        <v>8</v>
      </c>
    </row>
    <row r="2093" spans="1:13" s="21" customFormat="1" x14ac:dyDescent="0.25">
      <c r="A2093" s="22" t="s">
        <v>8</v>
      </c>
      <c r="B2093" s="18" t="str">
        <f>"105603"</f>
        <v>105603</v>
      </c>
      <c r="C2093" s="19" t="s">
        <v>2089</v>
      </c>
      <c r="D2093" s="19" t="s">
        <v>17525</v>
      </c>
      <c r="E2093" s="19" t="s">
        <v>31636</v>
      </c>
      <c r="F2093" s="19" t="s">
        <v>35983</v>
      </c>
      <c r="G2093" s="18" t="str">
        <f>"34221"</f>
        <v>34221</v>
      </c>
      <c r="H2093" s="19" t="s">
        <v>36131</v>
      </c>
      <c r="I2093" s="20">
        <v>19.106000000000002</v>
      </c>
      <c r="J2093" s="44" t="s">
        <v>8</v>
      </c>
      <c r="K2093" s="23" t="s">
        <v>8</v>
      </c>
      <c r="L2093" s="23" t="s">
        <v>8</v>
      </c>
      <c r="M2093" s="23" t="s">
        <v>8</v>
      </c>
    </row>
    <row r="2094" spans="1:13" s="21" customFormat="1" x14ac:dyDescent="0.25">
      <c r="A2094" s="22" t="s">
        <v>8</v>
      </c>
      <c r="B2094" s="18" t="str">
        <f>"105604"</f>
        <v>105604</v>
      </c>
      <c r="C2094" s="19" t="s">
        <v>2090</v>
      </c>
      <c r="D2094" s="19" t="s">
        <v>17526</v>
      </c>
      <c r="E2094" s="19" t="s">
        <v>31533</v>
      </c>
      <c r="F2094" s="19" t="s">
        <v>35983</v>
      </c>
      <c r="G2094" s="18" t="str">
        <f>"33324"</f>
        <v>33324</v>
      </c>
      <c r="H2094" s="19" t="s">
        <v>36127</v>
      </c>
      <c r="I2094" s="20">
        <v>23.225999999999999</v>
      </c>
      <c r="J2094" s="44" t="s">
        <v>8</v>
      </c>
      <c r="K2094" s="23" t="s">
        <v>8</v>
      </c>
      <c r="L2094" s="23" t="s">
        <v>8</v>
      </c>
      <c r="M2094" s="23" t="s">
        <v>8</v>
      </c>
    </row>
    <row r="2095" spans="1:13" s="21" customFormat="1" x14ac:dyDescent="0.25">
      <c r="A2095" s="22" t="s">
        <v>8</v>
      </c>
      <c r="B2095" s="18" t="str">
        <f>"105606"</f>
        <v>105606</v>
      </c>
      <c r="C2095" s="19" t="s">
        <v>2091</v>
      </c>
      <c r="D2095" s="19" t="s">
        <v>17527</v>
      </c>
      <c r="E2095" s="19" t="s">
        <v>31559</v>
      </c>
      <c r="F2095" s="19" t="s">
        <v>35983</v>
      </c>
      <c r="G2095" s="18" t="str">
        <f>"34601"</f>
        <v>34601</v>
      </c>
      <c r="H2095" s="19" t="s">
        <v>31676</v>
      </c>
      <c r="I2095" s="20">
        <v>16.887</v>
      </c>
      <c r="J2095" s="44" t="s">
        <v>8</v>
      </c>
      <c r="K2095" s="23" t="s">
        <v>8</v>
      </c>
      <c r="L2095" s="23" t="s">
        <v>8</v>
      </c>
      <c r="M2095" s="23" t="s">
        <v>8</v>
      </c>
    </row>
    <row r="2096" spans="1:13" s="21" customFormat="1" x14ac:dyDescent="0.25">
      <c r="A2096" s="22" t="s">
        <v>8</v>
      </c>
      <c r="B2096" s="18" t="str">
        <f>"105607"</f>
        <v>105607</v>
      </c>
      <c r="C2096" s="19" t="s">
        <v>2092</v>
      </c>
      <c r="D2096" s="19" t="s">
        <v>17528</v>
      </c>
      <c r="E2096" s="19" t="s">
        <v>31514</v>
      </c>
      <c r="F2096" s="19" t="s">
        <v>35983</v>
      </c>
      <c r="G2096" s="18" t="str">
        <f>"33401"</f>
        <v>33401</v>
      </c>
      <c r="H2096" s="19" t="s">
        <v>36130</v>
      </c>
      <c r="I2096" s="20">
        <v>20.082999999999998</v>
      </c>
      <c r="J2096" s="44" t="s">
        <v>8</v>
      </c>
      <c r="K2096" s="23" t="s">
        <v>8</v>
      </c>
      <c r="L2096" s="23" t="s">
        <v>8</v>
      </c>
      <c r="M2096" s="23" t="s">
        <v>8</v>
      </c>
    </row>
    <row r="2097" spans="1:13" s="21" customFormat="1" x14ac:dyDescent="0.25">
      <c r="A2097" s="22" t="s">
        <v>8</v>
      </c>
      <c r="B2097" s="18" t="str">
        <f>"105609"</f>
        <v>105609</v>
      </c>
      <c r="C2097" s="19" t="s">
        <v>2093</v>
      </c>
      <c r="D2097" s="19" t="s">
        <v>17529</v>
      </c>
      <c r="E2097" s="19" t="s">
        <v>31578</v>
      </c>
      <c r="F2097" s="19" t="s">
        <v>35983</v>
      </c>
      <c r="G2097" s="18" t="str">
        <f>"33321"</f>
        <v>33321</v>
      </c>
      <c r="H2097" s="19" t="s">
        <v>36127</v>
      </c>
      <c r="I2097" s="20">
        <v>24.202999999999999</v>
      </c>
      <c r="J2097" s="44" t="s">
        <v>8</v>
      </c>
      <c r="K2097" s="23" t="s">
        <v>8</v>
      </c>
      <c r="L2097" s="23" t="s">
        <v>8</v>
      </c>
      <c r="M2097" s="23" t="s">
        <v>8</v>
      </c>
    </row>
    <row r="2098" spans="1:13" s="21" customFormat="1" x14ac:dyDescent="0.25">
      <c r="A2098" s="22" t="s">
        <v>8</v>
      </c>
      <c r="B2098" s="18" t="str">
        <f>"105610"</f>
        <v>105610</v>
      </c>
      <c r="C2098" s="19" t="s">
        <v>2094</v>
      </c>
      <c r="D2098" s="19" t="s">
        <v>17530</v>
      </c>
      <c r="E2098" s="19" t="s">
        <v>31522</v>
      </c>
      <c r="F2098" s="19" t="s">
        <v>35983</v>
      </c>
      <c r="G2098" s="18" t="str">
        <f>"33180"</f>
        <v>33180</v>
      </c>
      <c r="H2098" s="19" t="s">
        <v>36126</v>
      </c>
      <c r="I2098" s="20">
        <v>21.422999999999998</v>
      </c>
      <c r="J2098" s="44" t="s">
        <v>8</v>
      </c>
      <c r="K2098" s="23" t="s">
        <v>8</v>
      </c>
      <c r="L2098" s="23" t="s">
        <v>8</v>
      </c>
      <c r="M2098" s="23" t="s">
        <v>8</v>
      </c>
    </row>
    <row r="2099" spans="1:13" s="21" customFormat="1" x14ac:dyDescent="0.25">
      <c r="A2099" s="22" t="s">
        <v>8</v>
      </c>
      <c r="B2099" s="18" t="str">
        <f>"105611"</f>
        <v>105611</v>
      </c>
      <c r="C2099" s="19" t="s">
        <v>2095</v>
      </c>
      <c r="D2099" s="19" t="s">
        <v>17531</v>
      </c>
      <c r="E2099" s="19" t="s">
        <v>31637</v>
      </c>
      <c r="F2099" s="19" t="s">
        <v>35983</v>
      </c>
      <c r="G2099" s="18" t="str">
        <f>"33415"</f>
        <v>33415</v>
      </c>
      <c r="H2099" s="19" t="s">
        <v>36130</v>
      </c>
      <c r="I2099" s="20">
        <v>21.702999999999999</v>
      </c>
      <c r="J2099" s="44" t="s">
        <v>8</v>
      </c>
      <c r="K2099" s="23" t="s">
        <v>8</v>
      </c>
      <c r="L2099" s="23" t="s">
        <v>8</v>
      </c>
      <c r="M2099" s="23" t="s">
        <v>8</v>
      </c>
    </row>
    <row r="2100" spans="1:13" s="21" customFormat="1" x14ac:dyDescent="0.25">
      <c r="A2100" s="22" t="s">
        <v>8</v>
      </c>
      <c r="B2100" s="18" t="str">
        <f>"105612"</f>
        <v>105612</v>
      </c>
      <c r="C2100" s="19" t="s">
        <v>2096</v>
      </c>
      <c r="D2100" s="19" t="s">
        <v>17532</v>
      </c>
      <c r="E2100" s="19" t="s">
        <v>31536</v>
      </c>
      <c r="F2100" s="19" t="s">
        <v>35983</v>
      </c>
      <c r="G2100" s="18" t="str">
        <f>"32539"</f>
        <v>32539</v>
      </c>
      <c r="H2100" s="19" t="s">
        <v>36134</v>
      </c>
      <c r="I2100" s="20">
        <v>17.576000000000001</v>
      </c>
      <c r="J2100" s="44" t="s">
        <v>8</v>
      </c>
      <c r="K2100" s="23" t="s">
        <v>8</v>
      </c>
      <c r="L2100" s="23" t="s">
        <v>8</v>
      </c>
      <c r="M2100" s="23" t="s">
        <v>8</v>
      </c>
    </row>
    <row r="2101" spans="1:13" s="21" customFormat="1" x14ac:dyDescent="0.25">
      <c r="A2101" s="22" t="s">
        <v>8</v>
      </c>
      <c r="B2101" s="18" t="str">
        <f>"105613"</f>
        <v>105613</v>
      </c>
      <c r="C2101" s="19" t="s">
        <v>2097</v>
      </c>
      <c r="D2101" s="19" t="s">
        <v>17533</v>
      </c>
      <c r="E2101" s="19" t="s">
        <v>5397</v>
      </c>
      <c r="F2101" s="19" t="s">
        <v>35983</v>
      </c>
      <c r="G2101" s="18" t="str">
        <f>"32064"</f>
        <v>32064</v>
      </c>
      <c r="H2101" s="19" t="s">
        <v>36146</v>
      </c>
      <c r="I2101" s="20">
        <v>19.21</v>
      </c>
      <c r="J2101" s="44" t="s">
        <v>8</v>
      </c>
      <c r="K2101" s="23" t="s">
        <v>8</v>
      </c>
      <c r="L2101" s="23" t="s">
        <v>8</v>
      </c>
      <c r="M2101" s="23" t="s">
        <v>8</v>
      </c>
    </row>
    <row r="2102" spans="1:13" s="21" customFormat="1" x14ac:dyDescent="0.25">
      <c r="A2102" s="22" t="s">
        <v>8</v>
      </c>
      <c r="B2102" s="18" t="str">
        <f>"105616"</f>
        <v>105616</v>
      </c>
      <c r="C2102" s="19" t="s">
        <v>2098</v>
      </c>
      <c r="D2102" s="19" t="s">
        <v>17534</v>
      </c>
      <c r="E2102" s="19" t="s">
        <v>31517</v>
      </c>
      <c r="F2102" s="19" t="s">
        <v>35983</v>
      </c>
      <c r="G2102" s="18" t="str">
        <f>"33716"</f>
        <v>33716</v>
      </c>
      <c r="H2102" s="19" t="s">
        <v>36128</v>
      </c>
      <c r="I2102" s="20">
        <v>18.442</v>
      </c>
      <c r="J2102" s="44" t="s">
        <v>8</v>
      </c>
      <c r="K2102" s="23" t="s">
        <v>8</v>
      </c>
      <c r="L2102" s="23" t="s">
        <v>8</v>
      </c>
      <c r="M2102" s="23" t="s">
        <v>8</v>
      </c>
    </row>
    <row r="2103" spans="1:13" s="21" customFormat="1" x14ac:dyDescent="0.25">
      <c r="A2103" s="22" t="s">
        <v>8</v>
      </c>
      <c r="B2103" s="18" t="str">
        <f>"105617"</f>
        <v>105617</v>
      </c>
      <c r="C2103" s="19" t="s">
        <v>2099</v>
      </c>
      <c r="D2103" s="19" t="s">
        <v>17535</v>
      </c>
      <c r="E2103" s="19" t="s">
        <v>31638</v>
      </c>
      <c r="F2103" s="19" t="s">
        <v>35983</v>
      </c>
      <c r="G2103" s="18" t="str">
        <f>"32250"</f>
        <v>32250</v>
      </c>
      <c r="H2103" s="19" t="s">
        <v>36129</v>
      </c>
      <c r="I2103" s="20">
        <v>20.111999999999998</v>
      </c>
      <c r="J2103" s="44" t="s">
        <v>8</v>
      </c>
      <c r="K2103" s="23" t="s">
        <v>8</v>
      </c>
      <c r="L2103" s="23" t="s">
        <v>8</v>
      </c>
      <c r="M2103" s="23" t="s">
        <v>8</v>
      </c>
    </row>
    <row r="2104" spans="1:13" s="21" customFormat="1" x14ac:dyDescent="0.25">
      <c r="A2104" s="22" t="s">
        <v>8</v>
      </c>
      <c r="B2104" s="18" t="str">
        <f>"105618"</f>
        <v>105618</v>
      </c>
      <c r="C2104" s="19" t="s">
        <v>2100</v>
      </c>
      <c r="D2104" s="19" t="s">
        <v>17536</v>
      </c>
      <c r="E2104" s="19" t="s">
        <v>31563</v>
      </c>
      <c r="F2104" s="19" t="s">
        <v>35983</v>
      </c>
      <c r="G2104" s="18" t="str">
        <f>"32792"</f>
        <v>32792</v>
      </c>
      <c r="H2104" s="19" t="s">
        <v>31169</v>
      </c>
      <c r="I2104" s="20">
        <v>23.219000000000001</v>
      </c>
      <c r="J2104" s="44" t="s">
        <v>8</v>
      </c>
      <c r="K2104" s="23" t="s">
        <v>8</v>
      </c>
      <c r="L2104" s="23" t="s">
        <v>8</v>
      </c>
      <c r="M2104" s="23" t="s">
        <v>8</v>
      </c>
    </row>
    <row r="2105" spans="1:13" s="21" customFormat="1" x14ac:dyDescent="0.25">
      <c r="A2105" s="22" t="s">
        <v>8</v>
      </c>
      <c r="B2105" s="18" t="str">
        <f>"105620"</f>
        <v>105620</v>
      </c>
      <c r="C2105" s="19" t="s">
        <v>2101</v>
      </c>
      <c r="D2105" s="19" t="s">
        <v>17537</v>
      </c>
      <c r="E2105" s="19" t="s">
        <v>31555</v>
      </c>
      <c r="F2105" s="19" t="s">
        <v>35983</v>
      </c>
      <c r="G2105" s="18" t="str">
        <f>"33813"</f>
        <v>33813</v>
      </c>
      <c r="H2105" s="19" t="s">
        <v>36062</v>
      </c>
      <c r="I2105" s="20">
        <v>23.548999999999999</v>
      </c>
      <c r="J2105" s="44" t="s">
        <v>8</v>
      </c>
      <c r="K2105" s="23" t="s">
        <v>8</v>
      </c>
      <c r="L2105" s="23" t="s">
        <v>8</v>
      </c>
      <c r="M2105" s="23" t="s">
        <v>8</v>
      </c>
    </row>
    <row r="2106" spans="1:13" s="21" customFormat="1" x14ac:dyDescent="0.25">
      <c r="A2106" s="22" t="s">
        <v>8</v>
      </c>
      <c r="B2106" s="18" t="str">
        <f>"105621"</f>
        <v>105621</v>
      </c>
      <c r="C2106" s="19" t="s">
        <v>2102</v>
      </c>
      <c r="D2106" s="19" t="s">
        <v>17538</v>
      </c>
      <c r="E2106" s="19" t="s">
        <v>31562</v>
      </c>
      <c r="F2106" s="19" t="s">
        <v>35983</v>
      </c>
      <c r="G2106" s="18" t="str">
        <f>"34748"</f>
        <v>34748</v>
      </c>
      <c r="H2106" s="19" t="s">
        <v>36096</v>
      </c>
      <c r="I2106" s="20">
        <v>24.183</v>
      </c>
      <c r="J2106" s="44" t="s">
        <v>8</v>
      </c>
      <c r="K2106" s="23" t="s">
        <v>8</v>
      </c>
      <c r="L2106" s="23" t="s">
        <v>8</v>
      </c>
      <c r="M2106" s="23" t="s">
        <v>8</v>
      </c>
    </row>
    <row r="2107" spans="1:13" s="21" customFormat="1" x14ac:dyDescent="0.25">
      <c r="A2107" s="22" t="s">
        <v>8</v>
      </c>
      <c r="B2107" s="18" t="str">
        <f>"105622"</f>
        <v>105622</v>
      </c>
      <c r="C2107" s="19" t="s">
        <v>2103</v>
      </c>
      <c r="D2107" s="19" t="s">
        <v>17539</v>
      </c>
      <c r="E2107" s="19" t="s">
        <v>31545</v>
      </c>
      <c r="F2107" s="19" t="s">
        <v>35983</v>
      </c>
      <c r="G2107" s="18" t="str">
        <f>"33064"</f>
        <v>33064</v>
      </c>
      <c r="H2107" s="19" t="s">
        <v>36127</v>
      </c>
      <c r="I2107" s="20">
        <v>22.355</v>
      </c>
      <c r="J2107" s="44" t="s">
        <v>8</v>
      </c>
      <c r="K2107" s="23" t="s">
        <v>8</v>
      </c>
      <c r="L2107" s="23" t="s">
        <v>8</v>
      </c>
      <c r="M2107" s="23" t="s">
        <v>8</v>
      </c>
    </row>
    <row r="2108" spans="1:13" s="21" customFormat="1" x14ac:dyDescent="0.25">
      <c r="A2108" s="22" t="s">
        <v>8</v>
      </c>
      <c r="B2108" s="18" t="str">
        <f>"105623"</f>
        <v>105623</v>
      </c>
      <c r="C2108" s="19" t="s">
        <v>2104</v>
      </c>
      <c r="D2108" s="19" t="s">
        <v>17540</v>
      </c>
      <c r="E2108" s="19" t="s">
        <v>31507</v>
      </c>
      <c r="F2108" s="19" t="s">
        <v>35983</v>
      </c>
      <c r="G2108" s="18" t="str">
        <f>"33155"</f>
        <v>33155</v>
      </c>
      <c r="H2108" s="19" t="s">
        <v>36126</v>
      </c>
      <c r="I2108" s="20">
        <v>25.957999999999998</v>
      </c>
      <c r="J2108" s="44" t="s">
        <v>8</v>
      </c>
      <c r="K2108" s="23" t="s">
        <v>8</v>
      </c>
      <c r="L2108" s="23" t="s">
        <v>8</v>
      </c>
      <c r="M2108" s="23" t="s">
        <v>8</v>
      </c>
    </row>
    <row r="2109" spans="1:13" s="21" customFormat="1" x14ac:dyDescent="0.25">
      <c r="A2109" s="22" t="s">
        <v>8</v>
      </c>
      <c r="B2109" s="18" t="str">
        <f>"105624"</f>
        <v>105624</v>
      </c>
      <c r="C2109" s="19" t="s">
        <v>2105</v>
      </c>
      <c r="D2109" s="19" t="s">
        <v>17541</v>
      </c>
      <c r="E2109" s="19" t="s">
        <v>31639</v>
      </c>
      <c r="F2109" s="19" t="s">
        <v>35983</v>
      </c>
      <c r="G2109" s="18" t="str">
        <f>"32425"</f>
        <v>32425</v>
      </c>
      <c r="H2109" s="19" t="s">
        <v>34081</v>
      </c>
      <c r="I2109" s="20">
        <v>14.929</v>
      </c>
      <c r="J2109" s="44" t="s">
        <v>8</v>
      </c>
      <c r="K2109" s="23" t="s">
        <v>8</v>
      </c>
      <c r="L2109" s="23" t="s">
        <v>8</v>
      </c>
      <c r="M2109" s="23" t="s">
        <v>8</v>
      </c>
    </row>
    <row r="2110" spans="1:13" s="21" customFormat="1" x14ac:dyDescent="0.25">
      <c r="A2110" s="22" t="s">
        <v>8</v>
      </c>
      <c r="B2110" s="18" t="str">
        <f>"105626"</f>
        <v>105626</v>
      </c>
      <c r="C2110" s="19" t="s">
        <v>2106</v>
      </c>
      <c r="D2110" s="19" t="s">
        <v>17542</v>
      </c>
      <c r="E2110" s="19" t="s">
        <v>31502</v>
      </c>
      <c r="F2110" s="19" t="s">
        <v>35983</v>
      </c>
      <c r="G2110" s="18" t="str">
        <f>"32435"</f>
        <v>32435</v>
      </c>
      <c r="H2110" s="19" t="s">
        <v>36123</v>
      </c>
      <c r="I2110" s="20">
        <v>18.026</v>
      </c>
      <c r="J2110" s="44" t="s">
        <v>8</v>
      </c>
      <c r="K2110" s="23" t="s">
        <v>8</v>
      </c>
      <c r="L2110" s="23" t="s">
        <v>8</v>
      </c>
      <c r="M2110" s="23" t="s">
        <v>8</v>
      </c>
    </row>
    <row r="2111" spans="1:13" s="21" customFormat="1" x14ac:dyDescent="0.25">
      <c r="A2111" s="22" t="s">
        <v>8</v>
      </c>
      <c r="B2111" s="18" t="str">
        <f>"105627"</f>
        <v>105627</v>
      </c>
      <c r="C2111" s="19" t="s">
        <v>2107</v>
      </c>
      <c r="D2111" s="19" t="s">
        <v>17543</v>
      </c>
      <c r="E2111" s="19" t="s">
        <v>31545</v>
      </c>
      <c r="F2111" s="19" t="s">
        <v>35983</v>
      </c>
      <c r="G2111" s="18" t="str">
        <f>"33069"</f>
        <v>33069</v>
      </c>
      <c r="H2111" s="19" t="s">
        <v>36127</v>
      </c>
      <c r="I2111" s="20">
        <v>26.158999999999999</v>
      </c>
      <c r="J2111" s="44" t="s">
        <v>8</v>
      </c>
      <c r="K2111" s="23" t="s">
        <v>8</v>
      </c>
      <c r="L2111" s="23" t="s">
        <v>8</v>
      </c>
      <c r="M2111" s="23" t="s">
        <v>8</v>
      </c>
    </row>
    <row r="2112" spans="1:13" s="21" customFormat="1" x14ac:dyDescent="0.25">
      <c r="A2112" s="22" t="s">
        <v>8</v>
      </c>
      <c r="B2112" s="18" t="str">
        <f>"105628"</f>
        <v>105628</v>
      </c>
      <c r="C2112" s="19" t="s">
        <v>2108</v>
      </c>
      <c r="D2112" s="19" t="s">
        <v>17544</v>
      </c>
      <c r="E2112" s="19" t="s">
        <v>31548</v>
      </c>
      <c r="F2112" s="19" t="s">
        <v>35983</v>
      </c>
      <c r="G2112" s="18" t="str">
        <f>"32501"</f>
        <v>32501</v>
      </c>
      <c r="H2112" s="19" t="s">
        <v>36035</v>
      </c>
      <c r="I2112" s="20">
        <v>19.959</v>
      </c>
      <c r="J2112" s="44" t="s">
        <v>8</v>
      </c>
      <c r="K2112" s="23" t="s">
        <v>8</v>
      </c>
      <c r="L2112" s="23" t="s">
        <v>8</v>
      </c>
      <c r="M2112" s="23" t="s">
        <v>8</v>
      </c>
    </row>
    <row r="2113" spans="1:13" s="21" customFormat="1" x14ac:dyDescent="0.25">
      <c r="A2113" s="22" t="s">
        <v>8</v>
      </c>
      <c r="B2113" s="18" t="str">
        <f>"105629"</f>
        <v>105629</v>
      </c>
      <c r="C2113" s="19" t="s">
        <v>2109</v>
      </c>
      <c r="D2113" s="19" t="s">
        <v>17545</v>
      </c>
      <c r="E2113" s="19" t="s">
        <v>31515</v>
      </c>
      <c r="F2113" s="19" t="s">
        <v>35983</v>
      </c>
      <c r="G2113" s="18" t="str">
        <f>"34209"</f>
        <v>34209</v>
      </c>
      <c r="H2113" s="19" t="s">
        <v>36131</v>
      </c>
      <c r="I2113" s="20">
        <v>18.808</v>
      </c>
      <c r="J2113" s="44" t="s">
        <v>8</v>
      </c>
      <c r="K2113" s="23" t="s">
        <v>8</v>
      </c>
      <c r="L2113" s="23" t="s">
        <v>8</v>
      </c>
      <c r="M2113" s="23" t="s">
        <v>8</v>
      </c>
    </row>
    <row r="2114" spans="1:13" s="21" customFormat="1" x14ac:dyDescent="0.25">
      <c r="A2114" s="22" t="s">
        <v>8</v>
      </c>
      <c r="B2114" s="18" t="str">
        <f>"105630"</f>
        <v>105630</v>
      </c>
      <c r="C2114" s="19" t="s">
        <v>2110</v>
      </c>
      <c r="D2114" s="19" t="s">
        <v>17546</v>
      </c>
      <c r="E2114" s="19" t="s">
        <v>31640</v>
      </c>
      <c r="F2114" s="19" t="s">
        <v>35983</v>
      </c>
      <c r="G2114" s="18" t="str">
        <f>"32082"</f>
        <v>32082</v>
      </c>
      <c r="H2114" s="19" t="s">
        <v>33300</v>
      </c>
      <c r="I2114" s="20">
        <v>19.084</v>
      </c>
      <c r="J2114" s="44" t="s">
        <v>8</v>
      </c>
      <c r="K2114" s="23" t="s">
        <v>8</v>
      </c>
      <c r="L2114" s="23" t="s">
        <v>8</v>
      </c>
      <c r="M2114" s="23" t="s">
        <v>8</v>
      </c>
    </row>
    <row r="2115" spans="1:13" s="21" customFormat="1" x14ac:dyDescent="0.25">
      <c r="A2115" s="22" t="s">
        <v>8</v>
      </c>
      <c r="B2115" s="18" t="str">
        <f>"105631"</f>
        <v>105631</v>
      </c>
      <c r="C2115" s="19" t="s">
        <v>2111</v>
      </c>
      <c r="D2115" s="19" t="s">
        <v>17547</v>
      </c>
      <c r="E2115" s="19" t="s">
        <v>31503</v>
      </c>
      <c r="F2115" s="19" t="s">
        <v>35983</v>
      </c>
      <c r="G2115" s="18" t="str">
        <f>"32347"</f>
        <v>32347</v>
      </c>
      <c r="H2115" s="19" t="s">
        <v>31080</v>
      </c>
      <c r="I2115" s="20">
        <v>21.332999999999998</v>
      </c>
      <c r="J2115" s="44" t="s">
        <v>8</v>
      </c>
      <c r="K2115" s="23" t="s">
        <v>8</v>
      </c>
      <c r="L2115" s="23" t="s">
        <v>8</v>
      </c>
      <c r="M2115" s="23" t="s">
        <v>8</v>
      </c>
    </row>
    <row r="2116" spans="1:13" s="21" customFormat="1" x14ac:dyDescent="0.25">
      <c r="A2116" s="22" t="s">
        <v>8</v>
      </c>
      <c r="B2116" s="18" t="str">
        <f>"105632"</f>
        <v>105632</v>
      </c>
      <c r="C2116" s="19" t="s">
        <v>2112</v>
      </c>
      <c r="D2116" s="19" t="s">
        <v>17548</v>
      </c>
      <c r="E2116" s="19" t="s">
        <v>30912</v>
      </c>
      <c r="F2116" s="19" t="s">
        <v>35983</v>
      </c>
      <c r="G2116" s="18" t="str">
        <f>"32218"</f>
        <v>32218</v>
      </c>
      <c r="H2116" s="19" t="s">
        <v>36129</v>
      </c>
      <c r="I2116" s="20">
        <v>20.295999999999999</v>
      </c>
      <c r="J2116" s="44" t="s">
        <v>8</v>
      </c>
      <c r="K2116" s="23" t="s">
        <v>8</v>
      </c>
      <c r="L2116" s="23" t="s">
        <v>8</v>
      </c>
      <c r="M2116" s="23" t="s">
        <v>8</v>
      </c>
    </row>
    <row r="2117" spans="1:13" s="21" customFormat="1" x14ac:dyDescent="0.25">
      <c r="A2117" s="22" t="s">
        <v>8</v>
      </c>
      <c r="B2117" s="18" t="str">
        <f>"105634"</f>
        <v>105634</v>
      </c>
      <c r="C2117" s="19" t="s">
        <v>2113</v>
      </c>
      <c r="D2117" s="19" t="s">
        <v>17549</v>
      </c>
      <c r="E2117" s="19" t="s">
        <v>31551</v>
      </c>
      <c r="F2117" s="19" t="s">
        <v>35983</v>
      </c>
      <c r="G2117" s="18" t="str">
        <f>"33756"</f>
        <v>33756</v>
      </c>
      <c r="H2117" s="19" t="s">
        <v>36128</v>
      </c>
      <c r="I2117" s="20">
        <v>20.584</v>
      </c>
      <c r="J2117" s="44" t="s">
        <v>8</v>
      </c>
      <c r="K2117" s="23" t="s">
        <v>8</v>
      </c>
      <c r="L2117" s="23" t="s">
        <v>8</v>
      </c>
      <c r="M2117" s="23" t="s">
        <v>8</v>
      </c>
    </row>
    <row r="2118" spans="1:13" s="21" customFormat="1" x14ac:dyDescent="0.25">
      <c r="A2118" s="22" t="s">
        <v>8</v>
      </c>
      <c r="B2118" s="18" t="str">
        <f>"105635"</f>
        <v>105635</v>
      </c>
      <c r="C2118" s="19" t="s">
        <v>2114</v>
      </c>
      <c r="D2118" s="19" t="s">
        <v>17550</v>
      </c>
      <c r="E2118" s="19" t="s">
        <v>31057</v>
      </c>
      <c r="F2118" s="19" t="s">
        <v>35983</v>
      </c>
      <c r="G2118" s="18" t="str">
        <f>"32901"</f>
        <v>32901</v>
      </c>
      <c r="H2118" s="19" t="s">
        <v>34287</v>
      </c>
      <c r="I2118" s="20">
        <v>21.405000000000001</v>
      </c>
      <c r="J2118" s="44" t="s">
        <v>8</v>
      </c>
      <c r="K2118" s="23" t="s">
        <v>8</v>
      </c>
      <c r="L2118" s="23" t="s">
        <v>8</v>
      </c>
      <c r="M2118" s="23" t="s">
        <v>8</v>
      </c>
    </row>
    <row r="2119" spans="1:13" s="21" customFormat="1" x14ac:dyDescent="0.25">
      <c r="A2119" s="22" t="s">
        <v>8</v>
      </c>
      <c r="B2119" s="18" t="str">
        <f>"105636"</f>
        <v>105636</v>
      </c>
      <c r="C2119" s="19" t="s">
        <v>2115</v>
      </c>
      <c r="D2119" s="19" t="s">
        <v>17551</v>
      </c>
      <c r="E2119" s="19" t="s">
        <v>31551</v>
      </c>
      <c r="F2119" s="19" t="s">
        <v>35983</v>
      </c>
      <c r="G2119" s="18" t="str">
        <f>"33756"</f>
        <v>33756</v>
      </c>
      <c r="H2119" s="19" t="s">
        <v>36128</v>
      </c>
      <c r="I2119" s="20">
        <v>20.535</v>
      </c>
      <c r="J2119" s="44" t="s">
        <v>8</v>
      </c>
      <c r="K2119" s="23" t="s">
        <v>8</v>
      </c>
      <c r="L2119" s="23" t="s">
        <v>8</v>
      </c>
      <c r="M2119" s="23" t="s">
        <v>8</v>
      </c>
    </row>
    <row r="2120" spans="1:13" s="21" customFormat="1" x14ac:dyDescent="0.25">
      <c r="A2120" s="22" t="s">
        <v>8</v>
      </c>
      <c r="B2120" s="18" t="str">
        <f>"105637"</f>
        <v>105637</v>
      </c>
      <c r="C2120" s="19" t="s">
        <v>2116</v>
      </c>
      <c r="D2120" s="19" t="s">
        <v>17552</v>
      </c>
      <c r="E2120" s="19" t="s">
        <v>31093</v>
      </c>
      <c r="F2120" s="19" t="s">
        <v>35983</v>
      </c>
      <c r="G2120" s="18" t="str">
        <f>"32446"</f>
        <v>32446</v>
      </c>
      <c r="H2120" s="19" t="s">
        <v>30816</v>
      </c>
      <c r="I2120" s="20">
        <v>21.507000000000001</v>
      </c>
      <c r="J2120" s="44" t="s">
        <v>8</v>
      </c>
      <c r="K2120" s="23" t="s">
        <v>8</v>
      </c>
      <c r="L2120" s="23" t="s">
        <v>8</v>
      </c>
      <c r="M2120" s="23" t="s">
        <v>8</v>
      </c>
    </row>
    <row r="2121" spans="1:13" s="21" customFormat="1" x14ac:dyDescent="0.25">
      <c r="A2121" s="22" t="s">
        <v>8</v>
      </c>
      <c r="B2121" s="18" t="str">
        <f>"105638"</f>
        <v>105638</v>
      </c>
      <c r="C2121" s="19" t="s">
        <v>2117</v>
      </c>
      <c r="D2121" s="19" t="s">
        <v>17553</v>
      </c>
      <c r="E2121" s="19" t="s">
        <v>31537</v>
      </c>
      <c r="F2121" s="19" t="s">
        <v>35983</v>
      </c>
      <c r="G2121" s="18" t="str">
        <f>"32601"</f>
        <v>32601</v>
      </c>
      <c r="H2121" s="19" t="s">
        <v>36135</v>
      </c>
      <c r="I2121" s="20">
        <v>19.347999999999999</v>
      </c>
      <c r="J2121" s="44" t="s">
        <v>8</v>
      </c>
      <c r="K2121" s="23" t="s">
        <v>8</v>
      </c>
      <c r="L2121" s="23" t="s">
        <v>8</v>
      </c>
      <c r="M2121" s="23" t="s">
        <v>8</v>
      </c>
    </row>
    <row r="2122" spans="1:13" s="21" customFormat="1" x14ac:dyDescent="0.25">
      <c r="A2122" s="22" t="s">
        <v>8</v>
      </c>
      <c r="B2122" s="18" t="str">
        <f>"105640"</f>
        <v>105640</v>
      </c>
      <c r="C2122" s="19" t="s">
        <v>2118</v>
      </c>
      <c r="D2122" s="19" t="s">
        <v>17554</v>
      </c>
      <c r="E2122" s="19" t="s">
        <v>31641</v>
      </c>
      <c r="F2122" s="19" t="s">
        <v>35983</v>
      </c>
      <c r="G2122" s="18" t="str">
        <f>"33403"</f>
        <v>33403</v>
      </c>
      <c r="H2122" s="19" t="s">
        <v>36130</v>
      </c>
      <c r="I2122" s="20">
        <v>22.645</v>
      </c>
      <c r="J2122" s="44" t="s">
        <v>8</v>
      </c>
      <c r="K2122" s="23" t="s">
        <v>8</v>
      </c>
      <c r="L2122" s="23" t="s">
        <v>8</v>
      </c>
      <c r="M2122" s="23" t="s">
        <v>8</v>
      </c>
    </row>
    <row r="2123" spans="1:13" s="21" customFormat="1" x14ac:dyDescent="0.25">
      <c r="A2123" s="22" t="s">
        <v>8</v>
      </c>
      <c r="B2123" s="18" t="str">
        <f>"105641"</f>
        <v>105641</v>
      </c>
      <c r="C2123" s="19" t="s">
        <v>2119</v>
      </c>
      <c r="D2123" s="19" t="s">
        <v>17555</v>
      </c>
      <c r="E2123" s="19" t="s">
        <v>31642</v>
      </c>
      <c r="F2123" s="19" t="s">
        <v>35983</v>
      </c>
      <c r="G2123" s="18" t="str">
        <f>"33186"</f>
        <v>33186</v>
      </c>
      <c r="H2123" s="19" t="s">
        <v>36126</v>
      </c>
      <c r="I2123" s="20">
        <v>20.454000000000001</v>
      </c>
      <c r="J2123" s="44" t="s">
        <v>8</v>
      </c>
      <c r="K2123" s="23" t="s">
        <v>8</v>
      </c>
      <c r="L2123" s="23" t="s">
        <v>8</v>
      </c>
      <c r="M2123" s="23" t="s">
        <v>8</v>
      </c>
    </row>
    <row r="2124" spans="1:13" s="21" customFormat="1" x14ac:dyDescent="0.25">
      <c r="A2124" s="22" t="s">
        <v>8</v>
      </c>
      <c r="B2124" s="18" t="str">
        <f>"105643"</f>
        <v>105643</v>
      </c>
      <c r="C2124" s="19" t="s">
        <v>2120</v>
      </c>
      <c r="D2124" s="19" t="s">
        <v>17556</v>
      </c>
      <c r="E2124" s="19" t="s">
        <v>31584</v>
      </c>
      <c r="F2124" s="19" t="s">
        <v>35983</v>
      </c>
      <c r="G2124" s="18" t="str">
        <f>"32750"</f>
        <v>32750</v>
      </c>
      <c r="H2124" s="19" t="s">
        <v>31595</v>
      </c>
      <c r="I2124" s="20">
        <v>18.524999999999999</v>
      </c>
      <c r="J2124" s="44" t="s">
        <v>8</v>
      </c>
      <c r="K2124" s="23" t="s">
        <v>8</v>
      </c>
      <c r="L2124" s="23" t="s">
        <v>8</v>
      </c>
      <c r="M2124" s="23" t="s">
        <v>8</v>
      </c>
    </row>
    <row r="2125" spans="1:13" s="21" customFormat="1" x14ac:dyDescent="0.25">
      <c r="A2125" s="22" t="s">
        <v>8</v>
      </c>
      <c r="B2125" s="18" t="str">
        <f>"105644"</f>
        <v>105644</v>
      </c>
      <c r="C2125" s="19" t="s">
        <v>2121</v>
      </c>
      <c r="D2125" s="19" t="s">
        <v>17557</v>
      </c>
      <c r="E2125" s="19" t="s">
        <v>31526</v>
      </c>
      <c r="F2125" s="19" t="s">
        <v>35983</v>
      </c>
      <c r="G2125" s="18" t="str">
        <f>"33612"</f>
        <v>33612</v>
      </c>
      <c r="H2125" s="19" t="s">
        <v>33986</v>
      </c>
      <c r="I2125" s="20">
        <v>19.673999999999999</v>
      </c>
      <c r="J2125" s="44" t="s">
        <v>8</v>
      </c>
      <c r="K2125" s="23" t="s">
        <v>8</v>
      </c>
      <c r="L2125" s="23" t="s">
        <v>8</v>
      </c>
      <c r="M2125" s="23" t="s">
        <v>8</v>
      </c>
    </row>
    <row r="2126" spans="1:13" s="21" customFormat="1" x14ac:dyDescent="0.25">
      <c r="A2126" s="22" t="s">
        <v>8</v>
      </c>
      <c r="B2126" s="18" t="str">
        <f>"105645"</f>
        <v>105645</v>
      </c>
      <c r="C2126" s="19" t="s">
        <v>2122</v>
      </c>
      <c r="D2126" s="19" t="s">
        <v>17558</v>
      </c>
      <c r="E2126" s="19" t="s">
        <v>30912</v>
      </c>
      <c r="F2126" s="19" t="s">
        <v>35983</v>
      </c>
      <c r="G2126" s="18" t="str">
        <f>"32258"</f>
        <v>32258</v>
      </c>
      <c r="H2126" s="19" t="s">
        <v>36129</v>
      </c>
      <c r="I2126" s="20">
        <v>20.867999999999999</v>
      </c>
      <c r="J2126" s="44" t="s">
        <v>8</v>
      </c>
      <c r="K2126" s="23" t="s">
        <v>8</v>
      </c>
      <c r="L2126" s="23" t="s">
        <v>8</v>
      </c>
      <c r="M2126" s="23" t="s">
        <v>8</v>
      </c>
    </row>
    <row r="2127" spans="1:13" s="21" customFormat="1" x14ac:dyDescent="0.25">
      <c r="A2127" s="22" t="s">
        <v>8</v>
      </c>
      <c r="B2127" s="18" t="str">
        <f>"105649"</f>
        <v>105649</v>
      </c>
      <c r="C2127" s="19" t="s">
        <v>2123</v>
      </c>
      <c r="D2127" s="19" t="s">
        <v>17559</v>
      </c>
      <c r="E2127" s="19" t="s">
        <v>31643</v>
      </c>
      <c r="F2127" s="19" t="s">
        <v>35983</v>
      </c>
      <c r="G2127" s="18" t="str">
        <f>"34785"</f>
        <v>34785</v>
      </c>
      <c r="H2127" s="19" t="s">
        <v>35065</v>
      </c>
      <c r="I2127" s="20">
        <v>20.876999999999999</v>
      </c>
      <c r="J2127" s="44" t="s">
        <v>8</v>
      </c>
      <c r="K2127" s="23" t="s">
        <v>8</v>
      </c>
      <c r="L2127" s="23" t="s">
        <v>8</v>
      </c>
      <c r="M2127" s="23" t="s">
        <v>8</v>
      </c>
    </row>
    <row r="2128" spans="1:13" s="21" customFormat="1" x14ac:dyDescent="0.25">
      <c r="A2128" s="22" t="s">
        <v>8</v>
      </c>
      <c r="B2128" s="18" t="str">
        <f>"105650"</f>
        <v>105650</v>
      </c>
      <c r="C2128" s="19" t="s">
        <v>2124</v>
      </c>
      <c r="D2128" s="19" t="s">
        <v>17560</v>
      </c>
      <c r="E2128" s="19" t="s">
        <v>31526</v>
      </c>
      <c r="F2128" s="19" t="s">
        <v>35983</v>
      </c>
      <c r="G2128" s="18" t="str">
        <f>"33611"</f>
        <v>33611</v>
      </c>
      <c r="H2128" s="19" t="s">
        <v>33986</v>
      </c>
      <c r="I2128" s="20">
        <v>21.780999999999999</v>
      </c>
      <c r="J2128" s="44" t="s">
        <v>8</v>
      </c>
      <c r="K2128" s="23" t="s">
        <v>8</v>
      </c>
      <c r="L2128" s="23" t="s">
        <v>8</v>
      </c>
      <c r="M2128" s="23" t="s">
        <v>8</v>
      </c>
    </row>
    <row r="2129" spans="1:13" s="21" customFormat="1" x14ac:dyDescent="0.25">
      <c r="A2129" s="22" t="s">
        <v>8</v>
      </c>
      <c r="B2129" s="18" t="str">
        <f>"105651"</f>
        <v>105651</v>
      </c>
      <c r="C2129" s="19" t="s">
        <v>2125</v>
      </c>
      <c r="D2129" s="19" t="s">
        <v>17561</v>
      </c>
      <c r="E2129" s="19" t="s">
        <v>31506</v>
      </c>
      <c r="F2129" s="19" t="s">
        <v>35983</v>
      </c>
      <c r="G2129" s="18" t="str">
        <f>"32114"</f>
        <v>32114</v>
      </c>
      <c r="H2129" s="19" t="s">
        <v>36125</v>
      </c>
      <c r="I2129" s="20">
        <v>19.013000000000002</v>
      </c>
      <c r="J2129" s="44" t="s">
        <v>8</v>
      </c>
      <c r="K2129" s="23" t="s">
        <v>8</v>
      </c>
      <c r="L2129" s="23" t="s">
        <v>8</v>
      </c>
      <c r="M2129" s="23" t="s">
        <v>8</v>
      </c>
    </row>
    <row r="2130" spans="1:13" s="21" customFormat="1" x14ac:dyDescent="0.25">
      <c r="A2130" s="22" t="s">
        <v>8</v>
      </c>
      <c r="B2130" s="18" t="str">
        <f>"105652"</f>
        <v>105652</v>
      </c>
      <c r="C2130" s="19" t="s">
        <v>2126</v>
      </c>
      <c r="D2130" s="19" t="s">
        <v>17562</v>
      </c>
      <c r="E2130" s="19" t="s">
        <v>31644</v>
      </c>
      <c r="F2130" s="19" t="s">
        <v>35983</v>
      </c>
      <c r="G2130" s="18" t="str">
        <f>"32177"</f>
        <v>32177</v>
      </c>
      <c r="H2130" s="19" t="s">
        <v>31482</v>
      </c>
      <c r="I2130" s="20">
        <v>21.238</v>
      </c>
      <c r="J2130" s="44" t="s">
        <v>8</v>
      </c>
      <c r="K2130" s="23" t="s">
        <v>8</v>
      </c>
      <c r="L2130" s="23" t="s">
        <v>8</v>
      </c>
      <c r="M2130" s="23" t="s">
        <v>8</v>
      </c>
    </row>
    <row r="2131" spans="1:13" s="21" customFormat="1" x14ac:dyDescent="0.25">
      <c r="A2131" s="22" t="s">
        <v>8</v>
      </c>
      <c r="B2131" s="18" t="str">
        <f>"105653"</f>
        <v>105653</v>
      </c>
      <c r="C2131" s="19" t="s">
        <v>2127</v>
      </c>
      <c r="D2131" s="19" t="s">
        <v>17563</v>
      </c>
      <c r="E2131" s="19" t="s">
        <v>31587</v>
      </c>
      <c r="F2131" s="19" t="s">
        <v>35983</v>
      </c>
      <c r="G2131" s="18" t="str">
        <f>"32073"</f>
        <v>32073</v>
      </c>
      <c r="H2131" s="19" t="s">
        <v>36030</v>
      </c>
      <c r="I2131" s="20">
        <v>19.920999999999999</v>
      </c>
      <c r="J2131" s="44" t="s">
        <v>8</v>
      </c>
      <c r="K2131" s="23" t="s">
        <v>8</v>
      </c>
      <c r="L2131" s="23" t="s">
        <v>8</v>
      </c>
      <c r="M2131" s="23" t="s">
        <v>8</v>
      </c>
    </row>
    <row r="2132" spans="1:13" s="21" customFormat="1" x14ac:dyDescent="0.25">
      <c r="A2132" s="22" t="s">
        <v>8</v>
      </c>
      <c r="B2132" s="18" t="str">
        <f>"105654"</f>
        <v>105654</v>
      </c>
      <c r="C2132" s="19" t="s">
        <v>2128</v>
      </c>
      <c r="D2132" s="19" t="s">
        <v>17564</v>
      </c>
      <c r="E2132" s="19" t="s">
        <v>31551</v>
      </c>
      <c r="F2132" s="19" t="s">
        <v>35983</v>
      </c>
      <c r="G2132" s="18" t="str">
        <f>"33761"</f>
        <v>33761</v>
      </c>
      <c r="H2132" s="19" t="s">
        <v>36128</v>
      </c>
      <c r="I2132" s="20">
        <v>16.608000000000001</v>
      </c>
      <c r="J2132" s="44" t="s">
        <v>8</v>
      </c>
      <c r="K2132" s="23" t="s">
        <v>8</v>
      </c>
      <c r="L2132" s="23" t="s">
        <v>8</v>
      </c>
      <c r="M2132" s="23" t="s">
        <v>8</v>
      </c>
    </row>
    <row r="2133" spans="1:13" s="21" customFormat="1" x14ac:dyDescent="0.25">
      <c r="A2133" s="22" t="s">
        <v>8</v>
      </c>
      <c r="B2133" s="18" t="str">
        <f>"105655"</f>
        <v>105655</v>
      </c>
      <c r="C2133" s="19" t="s">
        <v>2129</v>
      </c>
      <c r="D2133" s="19" t="s">
        <v>17565</v>
      </c>
      <c r="E2133" s="19" t="s">
        <v>31515</v>
      </c>
      <c r="F2133" s="19" t="s">
        <v>35983</v>
      </c>
      <c r="G2133" s="18" t="str">
        <f>"34209"</f>
        <v>34209</v>
      </c>
      <c r="H2133" s="19" t="s">
        <v>36131</v>
      </c>
      <c r="I2133" s="20">
        <v>18.937000000000001</v>
      </c>
      <c r="J2133" s="44" t="s">
        <v>8</v>
      </c>
      <c r="K2133" s="23" t="s">
        <v>8</v>
      </c>
      <c r="L2133" s="23" t="s">
        <v>8</v>
      </c>
      <c r="M2133" s="23" t="s">
        <v>8</v>
      </c>
    </row>
    <row r="2134" spans="1:13" s="21" customFormat="1" x14ac:dyDescent="0.25">
      <c r="A2134" s="22" t="s">
        <v>8</v>
      </c>
      <c r="B2134" s="18" t="str">
        <f>"105657"</f>
        <v>105657</v>
      </c>
      <c r="C2134" s="19" t="s">
        <v>2130</v>
      </c>
      <c r="D2134" s="19" t="s">
        <v>17566</v>
      </c>
      <c r="E2134" s="19" t="s">
        <v>31607</v>
      </c>
      <c r="F2134" s="19" t="s">
        <v>35983</v>
      </c>
      <c r="G2134" s="18" t="str">
        <f>"34461"</f>
        <v>34461</v>
      </c>
      <c r="H2134" s="19" t="s">
        <v>36138</v>
      </c>
      <c r="I2134" s="20">
        <v>18.646999999999998</v>
      </c>
      <c r="J2134" s="44" t="s">
        <v>8</v>
      </c>
      <c r="K2134" s="23" t="s">
        <v>8</v>
      </c>
      <c r="L2134" s="23" t="s">
        <v>8</v>
      </c>
      <c r="M2134" s="23" t="s">
        <v>8</v>
      </c>
    </row>
    <row r="2135" spans="1:13" s="21" customFormat="1" x14ac:dyDescent="0.25">
      <c r="A2135" s="22" t="s">
        <v>8</v>
      </c>
      <c r="B2135" s="18" t="str">
        <f>"105658"</f>
        <v>105658</v>
      </c>
      <c r="C2135" s="19" t="s">
        <v>2131</v>
      </c>
      <c r="D2135" s="19" t="s">
        <v>17567</v>
      </c>
      <c r="E2135" s="19" t="s">
        <v>31634</v>
      </c>
      <c r="F2135" s="19" t="s">
        <v>35983</v>
      </c>
      <c r="G2135" s="18" t="str">
        <f>"33542"</f>
        <v>33542</v>
      </c>
      <c r="H2135" s="19" t="s">
        <v>35446</v>
      </c>
      <c r="I2135" s="20">
        <v>18.131</v>
      </c>
      <c r="J2135" s="44" t="s">
        <v>8</v>
      </c>
      <c r="K2135" s="23" t="s">
        <v>8</v>
      </c>
      <c r="L2135" s="23" t="s">
        <v>8</v>
      </c>
      <c r="M2135" s="23" t="s">
        <v>8</v>
      </c>
    </row>
    <row r="2136" spans="1:13" s="21" customFormat="1" x14ac:dyDescent="0.25">
      <c r="A2136" s="22" t="s">
        <v>8</v>
      </c>
      <c r="B2136" s="18" t="str">
        <f>"105659"</f>
        <v>105659</v>
      </c>
      <c r="C2136" s="19" t="s">
        <v>2132</v>
      </c>
      <c r="D2136" s="19" t="s">
        <v>17568</v>
      </c>
      <c r="E2136" s="19" t="s">
        <v>31523</v>
      </c>
      <c r="F2136" s="19" t="s">
        <v>35983</v>
      </c>
      <c r="G2136" s="18" t="str">
        <f>"33460"</f>
        <v>33460</v>
      </c>
      <c r="H2136" s="19" t="s">
        <v>36130</v>
      </c>
      <c r="I2136" s="20">
        <v>20.231999999999999</v>
      </c>
      <c r="J2136" s="44" t="s">
        <v>8</v>
      </c>
      <c r="K2136" s="23" t="s">
        <v>8</v>
      </c>
      <c r="L2136" s="23" t="s">
        <v>8</v>
      </c>
      <c r="M2136" s="23" t="s">
        <v>8</v>
      </c>
    </row>
    <row r="2137" spans="1:13" s="21" customFormat="1" x14ac:dyDescent="0.25">
      <c r="A2137" s="22" t="s">
        <v>8</v>
      </c>
      <c r="B2137" s="18" t="str">
        <f>"105660"</f>
        <v>105660</v>
      </c>
      <c r="C2137" s="19" t="s">
        <v>2133</v>
      </c>
      <c r="D2137" s="19" t="s">
        <v>17569</v>
      </c>
      <c r="E2137" s="19" t="s">
        <v>31555</v>
      </c>
      <c r="F2137" s="19" t="s">
        <v>35983</v>
      </c>
      <c r="G2137" s="18" t="str">
        <f>"33809"</f>
        <v>33809</v>
      </c>
      <c r="H2137" s="19" t="s">
        <v>36062</v>
      </c>
      <c r="I2137" s="20">
        <v>22.83</v>
      </c>
      <c r="J2137" s="44" t="s">
        <v>8</v>
      </c>
      <c r="K2137" s="23" t="s">
        <v>8</v>
      </c>
      <c r="L2137" s="23" t="s">
        <v>8</v>
      </c>
      <c r="M2137" s="23" t="s">
        <v>8</v>
      </c>
    </row>
    <row r="2138" spans="1:13" s="21" customFormat="1" x14ac:dyDescent="0.25">
      <c r="A2138" s="22" t="s">
        <v>8</v>
      </c>
      <c r="B2138" s="18" t="str">
        <f>"105662"</f>
        <v>105662</v>
      </c>
      <c r="C2138" s="19" t="s">
        <v>2134</v>
      </c>
      <c r="D2138" s="19" t="s">
        <v>17570</v>
      </c>
      <c r="E2138" s="19" t="s">
        <v>31645</v>
      </c>
      <c r="F2138" s="19" t="s">
        <v>35983</v>
      </c>
      <c r="G2138" s="18" t="str">
        <f>"32440"</f>
        <v>32440</v>
      </c>
      <c r="H2138" s="19" t="s">
        <v>30816</v>
      </c>
      <c r="I2138" s="20">
        <v>16.396999999999998</v>
      </c>
      <c r="J2138" s="44" t="s">
        <v>8</v>
      </c>
      <c r="K2138" s="23" t="s">
        <v>8</v>
      </c>
      <c r="L2138" s="23" t="s">
        <v>8</v>
      </c>
      <c r="M2138" s="23" t="s">
        <v>8</v>
      </c>
    </row>
    <row r="2139" spans="1:13" s="21" customFormat="1" x14ac:dyDescent="0.25">
      <c r="A2139" s="22" t="s">
        <v>8</v>
      </c>
      <c r="B2139" s="18" t="str">
        <f>"105663"</f>
        <v>105663</v>
      </c>
      <c r="C2139" s="19" t="s">
        <v>2135</v>
      </c>
      <c r="D2139" s="19" t="s">
        <v>17571</v>
      </c>
      <c r="E2139" s="19" t="s">
        <v>31646</v>
      </c>
      <c r="F2139" s="19" t="s">
        <v>35983</v>
      </c>
      <c r="G2139" s="18" t="str">
        <f>"32043"</f>
        <v>32043</v>
      </c>
      <c r="H2139" s="19" t="s">
        <v>36030</v>
      </c>
      <c r="I2139" s="20">
        <v>20.606000000000002</v>
      </c>
      <c r="J2139" s="44" t="s">
        <v>8</v>
      </c>
      <c r="K2139" s="23" t="s">
        <v>8</v>
      </c>
      <c r="L2139" s="23" t="s">
        <v>8</v>
      </c>
      <c r="M2139" s="23" t="s">
        <v>8</v>
      </c>
    </row>
    <row r="2140" spans="1:13" s="21" customFormat="1" x14ac:dyDescent="0.25">
      <c r="A2140" s="22" t="s">
        <v>8</v>
      </c>
      <c r="B2140" s="18" t="str">
        <f>"105664"</f>
        <v>105664</v>
      </c>
      <c r="C2140" s="19" t="s">
        <v>2136</v>
      </c>
      <c r="D2140" s="19" t="s">
        <v>17572</v>
      </c>
      <c r="E2140" s="19" t="s">
        <v>31537</v>
      </c>
      <c r="F2140" s="19" t="s">
        <v>35983</v>
      </c>
      <c r="G2140" s="18" t="str">
        <f>"32607"</f>
        <v>32607</v>
      </c>
      <c r="H2140" s="19" t="s">
        <v>36135</v>
      </c>
      <c r="I2140" s="20">
        <v>17.373000000000001</v>
      </c>
      <c r="J2140" s="44" t="s">
        <v>8</v>
      </c>
      <c r="K2140" s="23" t="s">
        <v>8</v>
      </c>
      <c r="L2140" s="23" t="s">
        <v>8</v>
      </c>
      <c r="M2140" s="23" t="s">
        <v>8</v>
      </c>
    </row>
    <row r="2141" spans="1:13" s="21" customFormat="1" x14ac:dyDescent="0.25">
      <c r="A2141" s="22" t="s">
        <v>8</v>
      </c>
      <c r="B2141" s="18" t="str">
        <f>"105665"</f>
        <v>105665</v>
      </c>
      <c r="C2141" s="19" t="s">
        <v>2137</v>
      </c>
      <c r="D2141" s="19" t="s">
        <v>17573</v>
      </c>
      <c r="E2141" s="19" t="s">
        <v>31647</v>
      </c>
      <c r="F2141" s="19" t="s">
        <v>35983</v>
      </c>
      <c r="G2141" s="18" t="str">
        <f>"32119"</f>
        <v>32119</v>
      </c>
      <c r="H2141" s="19" t="s">
        <v>36125</v>
      </c>
      <c r="I2141" s="20">
        <v>19.655000000000001</v>
      </c>
      <c r="J2141" s="44" t="s">
        <v>8</v>
      </c>
      <c r="K2141" s="23" t="s">
        <v>8</v>
      </c>
      <c r="L2141" s="23" t="s">
        <v>8</v>
      </c>
      <c r="M2141" s="23" t="s">
        <v>8</v>
      </c>
    </row>
    <row r="2142" spans="1:13" s="21" customFormat="1" x14ac:dyDescent="0.25">
      <c r="A2142" s="22" t="s">
        <v>8</v>
      </c>
      <c r="B2142" s="18" t="str">
        <f>"105666"</f>
        <v>105666</v>
      </c>
      <c r="C2142" s="19" t="s">
        <v>2138</v>
      </c>
      <c r="D2142" s="19" t="s">
        <v>17574</v>
      </c>
      <c r="E2142" s="19" t="s">
        <v>30912</v>
      </c>
      <c r="F2142" s="19" t="s">
        <v>35983</v>
      </c>
      <c r="G2142" s="18" t="str">
        <f>"32226"</f>
        <v>32226</v>
      </c>
      <c r="H2142" s="19" t="s">
        <v>36129</v>
      </c>
      <c r="I2142" s="20">
        <v>20.510999999999999</v>
      </c>
      <c r="J2142" s="44" t="s">
        <v>8</v>
      </c>
      <c r="K2142" s="23" t="s">
        <v>8</v>
      </c>
      <c r="L2142" s="23" t="s">
        <v>8</v>
      </c>
      <c r="M2142" s="23" t="s">
        <v>8</v>
      </c>
    </row>
    <row r="2143" spans="1:13" s="21" customFormat="1" x14ac:dyDescent="0.25">
      <c r="A2143" s="22" t="s">
        <v>8</v>
      </c>
      <c r="B2143" s="18" t="str">
        <f>"105668"</f>
        <v>105668</v>
      </c>
      <c r="C2143" s="19" t="s">
        <v>2139</v>
      </c>
      <c r="D2143" s="19" t="s">
        <v>17575</v>
      </c>
      <c r="E2143" s="19" t="s">
        <v>31648</v>
      </c>
      <c r="F2143" s="19" t="s">
        <v>35983</v>
      </c>
      <c r="G2143" s="18" t="str">
        <f>"33025"</f>
        <v>33025</v>
      </c>
      <c r="H2143" s="19" t="s">
        <v>36127</v>
      </c>
      <c r="I2143" s="20">
        <v>20.946999999999999</v>
      </c>
      <c r="J2143" s="44" t="s">
        <v>8</v>
      </c>
      <c r="K2143" s="23" t="s">
        <v>8</v>
      </c>
      <c r="L2143" s="23" t="s">
        <v>8</v>
      </c>
      <c r="M2143" s="23" t="s">
        <v>8</v>
      </c>
    </row>
    <row r="2144" spans="1:13" s="21" customFormat="1" x14ac:dyDescent="0.25">
      <c r="A2144" s="22" t="s">
        <v>8</v>
      </c>
      <c r="B2144" s="18" t="str">
        <f>"105670"</f>
        <v>105670</v>
      </c>
      <c r="C2144" s="19" t="s">
        <v>2140</v>
      </c>
      <c r="D2144" s="19" t="s">
        <v>17576</v>
      </c>
      <c r="E2144" s="19" t="s">
        <v>31627</v>
      </c>
      <c r="F2144" s="19" t="s">
        <v>35983</v>
      </c>
      <c r="G2144" s="18" t="str">
        <f>"34769"</f>
        <v>34769</v>
      </c>
      <c r="H2144" s="19" t="s">
        <v>31089</v>
      </c>
      <c r="I2144" s="20">
        <v>23.550999999999998</v>
      </c>
      <c r="J2144" s="44" t="s">
        <v>8</v>
      </c>
      <c r="K2144" s="23" t="s">
        <v>8</v>
      </c>
      <c r="L2144" s="23" t="s">
        <v>8</v>
      </c>
      <c r="M2144" s="23" t="s">
        <v>8</v>
      </c>
    </row>
    <row r="2145" spans="1:13" s="21" customFormat="1" x14ac:dyDescent="0.25">
      <c r="A2145" s="22" t="s">
        <v>8</v>
      </c>
      <c r="B2145" s="18" t="str">
        <f>"105671"</f>
        <v>105671</v>
      </c>
      <c r="C2145" s="19" t="s">
        <v>2141</v>
      </c>
      <c r="D2145" s="19" t="s">
        <v>17577</v>
      </c>
      <c r="E2145" s="19" t="s">
        <v>31057</v>
      </c>
      <c r="F2145" s="19" t="s">
        <v>35983</v>
      </c>
      <c r="G2145" s="18" t="str">
        <f>"32901"</f>
        <v>32901</v>
      </c>
      <c r="H2145" s="19" t="s">
        <v>34287</v>
      </c>
      <c r="I2145" s="20">
        <v>20.581</v>
      </c>
      <c r="J2145" s="44" t="s">
        <v>8</v>
      </c>
      <c r="K2145" s="23" t="s">
        <v>8</v>
      </c>
      <c r="L2145" s="23" t="s">
        <v>8</v>
      </c>
      <c r="M2145" s="23" t="s">
        <v>8</v>
      </c>
    </row>
    <row r="2146" spans="1:13" s="21" customFormat="1" x14ac:dyDescent="0.25">
      <c r="A2146" s="22" t="s">
        <v>8</v>
      </c>
      <c r="B2146" s="18" t="str">
        <f>"105672"</f>
        <v>105672</v>
      </c>
      <c r="C2146" s="19" t="s">
        <v>2142</v>
      </c>
      <c r="D2146" s="19" t="s">
        <v>17578</v>
      </c>
      <c r="E2146" s="19" t="s">
        <v>31575</v>
      </c>
      <c r="F2146" s="19" t="s">
        <v>35983</v>
      </c>
      <c r="G2146" s="18" t="str">
        <f>"33991"</f>
        <v>33991</v>
      </c>
      <c r="H2146" s="19" t="s">
        <v>33138</v>
      </c>
      <c r="I2146" s="20">
        <v>16.891999999999999</v>
      </c>
      <c r="J2146" s="44" t="s">
        <v>8</v>
      </c>
      <c r="K2146" s="23" t="s">
        <v>8</v>
      </c>
      <c r="L2146" s="23" t="s">
        <v>8</v>
      </c>
      <c r="M2146" s="23" t="s">
        <v>8</v>
      </c>
    </row>
    <row r="2147" spans="1:13" s="21" customFormat="1" x14ac:dyDescent="0.25">
      <c r="A2147" s="22" t="s">
        <v>8</v>
      </c>
      <c r="B2147" s="18" t="str">
        <f>"105673"</f>
        <v>105673</v>
      </c>
      <c r="C2147" s="19" t="s">
        <v>2143</v>
      </c>
      <c r="D2147" s="19" t="s">
        <v>17579</v>
      </c>
      <c r="E2147" s="19" t="s">
        <v>31583</v>
      </c>
      <c r="F2147" s="19" t="s">
        <v>35983</v>
      </c>
      <c r="G2147" s="18" t="str">
        <f>"32904"</f>
        <v>32904</v>
      </c>
      <c r="H2147" s="19" t="s">
        <v>34287</v>
      </c>
      <c r="I2147" s="20">
        <v>19.254999999999999</v>
      </c>
      <c r="J2147" s="44" t="s">
        <v>8</v>
      </c>
      <c r="K2147" s="23" t="s">
        <v>8</v>
      </c>
      <c r="L2147" s="23" t="s">
        <v>8</v>
      </c>
      <c r="M2147" s="23" t="s">
        <v>8</v>
      </c>
    </row>
    <row r="2148" spans="1:13" s="21" customFormat="1" x14ac:dyDescent="0.25">
      <c r="A2148" s="22" t="s">
        <v>8</v>
      </c>
      <c r="B2148" s="18" t="str">
        <f>"105677"</f>
        <v>105677</v>
      </c>
      <c r="C2148" s="19" t="s">
        <v>2144</v>
      </c>
      <c r="D2148" s="19" t="s">
        <v>17580</v>
      </c>
      <c r="E2148" s="19" t="s">
        <v>31526</v>
      </c>
      <c r="F2148" s="19" t="s">
        <v>35983</v>
      </c>
      <c r="G2148" s="18" t="str">
        <f>"33612"</f>
        <v>33612</v>
      </c>
      <c r="H2148" s="19" t="s">
        <v>33986</v>
      </c>
      <c r="I2148" s="20">
        <v>18.594000000000001</v>
      </c>
      <c r="J2148" s="44" t="s">
        <v>8</v>
      </c>
      <c r="K2148" s="23" t="s">
        <v>8</v>
      </c>
      <c r="L2148" s="23" t="s">
        <v>8</v>
      </c>
      <c r="M2148" s="23" t="s">
        <v>8</v>
      </c>
    </row>
    <row r="2149" spans="1:13" s="21" customFormat="1" x14ac:dyDescent="0.25">
      <c r="A2149" s="22" t="s">
        <v>8</v>
      </c>
      <c r="B2149" s="18" t="str">
        <f>"105679"</f>
        <v>105679</v>
      </c>
      <c r="C2149" s="19" t="s">
        <v>2145</v>
      </c>
      <c r="D2149" s="19" t="s">
        <v>17581</v>
      </c>
      <c r="E2149" s="19" t="s">
        <v>31601</v>
      </c>
      <c r="F2149" s="19" t="s">
        <v>35983</v>
      </c>
      <c r="G2149" s="18" t="str">
        <f>"33351"</f>
        <v>33351</v>
      </c>
      <c r="H2149" s="19" t="s">
        <v>36127</v>
      </c>
      <c r="I2149" s="20">
        <v>23.218</v>
      </c>
      <c r="J2149" s="44" t="s">
        <v>8</v>
      </c>
      <c r="K2149" s="23" t="s">
        <v>8</v>
      </c>
      <c r="L2149" s="23" t="s">
        <v>8</v>
      </c>
      <c r="M2149" s="23" t="s">
        <v>8</v>
      </c>
    </row>
    <row r="2150" spans="1:13" s="21" customFormat="1" x14ac:dyDescent="0.25">
      <c r="A2150" s="22" t="s">
        <v>8</v>
      </c>
      <c r="B2150" s="18" t="str">
        <f>"105680"</f>
        <v>105680</v>
      </c>
      <c r="C2150" s="19" t="s">
        <v>2146</v>
      </c>
      <c r="D2150" s="19" t="s">
        <v>17582</v>
      </c>
      <c r="E2150" s="19" t="s">
        <v>31649</v>
      </c>
      <c r="F2150" s="19" t="s">
        <v>35983</v>
      </c>
      <c r="G2150" s="18" t="str">
        <f>"33313"</f>
        <v>33313</v>
      </c>
      <c r="H2150" s="19" t="s">
        <v>36127</v>
      </c>
      <c r="I2150" s="20">
        <v>24.222999999999999</v>
      </c>
      <c r="J2150" s="44" t="s">
        <v>8</v>
      </c>
      <c r="K2150" s="23" t="s">
        <v>8</v>
      </c>
      <c r="L2150" s="23" t="s">
        <v>8</v>
      </c>
      <c r="M2150" s="23" t="s">
        <v>8</v>
      </c>
    </row>
    <row r="2151" spans="1:13" s="21" customFormat="1" x14ac:dyDescent="0.25">
      <c r="A2151" s="22" t="s">
        <v>8</v>
      </c>
      <c r="B2151" s="18" t="str">
        <f>"105682"</f>
        <v>105682</v>
      </c>
      <c r="C2151" s="19" t="s">
        <v>2147</v>
      </c>
      <c r="D2151" s="19" t="s">
        <v>17583</v>
      </c>
      <c r="E2151" s="19" t="s">
        <v>30912</v>
      </c>
      <c r="F2151" s="19" t="s">
        <v>35983</v>
      </c>
      <c r="G2151" s="18" t="str">
        <f>"32216"</f>
        <v>32216</v>
      </c>
      <c r="H2151" s="19" t="s">
        <v>36129</v>
      </c>
      <c r="I2151" s="20">
        <v>20.917000000000002</v>
      </c>
      <c r="J2151" s="44" t="s">
        <v>8</v>
      </c>
      <c r="K2151" s="23" t="s">
        <v>8</v>
      </c>
      <c r="L2151" s="23" t="s">
        <v>8</v>
      </c>
      <c r="M2151" s="23" t="s">
        <v>8</v>
      </c>
    </row>
    <row r="2152" spans="1:13" s="21" customFormat="1" x14ac:dyDescent="0.25">
      <c r="A2152" s="22" t="s">
        <v>8</v>
      </c>
      <c r="B2152" s="18" t="str">
        <f>"105683"</f>
        <v>105683</v>
      </c>
      <c r="C2152" s="19" t="s">
        <v>2148</v>
      </c>
      <c r="D2152" s="19" t="s">
        <v>17584</v>
      </c>
      <c r="E2152" s="19" t="s">
        <v>31650</v>
      </c>
      <c r="F2152" s="19" t="s">
        <v>35983</v>
      </c>
      <c r="G2152" s="18" t="str">
        <f>"33935"</f>
        <v>33935</v>
      </c>
      <c r="H2152" s="19" t="s">
        <v>36142</v>
      </c>
      <c r="I2152" s="20">
        <v>17.411000000000001</v>
      </c>
      <c r="J2152" s="44" t="s">
        <v>8</v>
      </c>
      <c r="K2152" s="23" t="s">
        <v>8</v>
      </c>
      <c r="L2152" s="23" t="s">
        <v>8</v>
      </c>
      <c r="M2152" s="23" t="s">
        <v>8</v>
      </c>
    </row>
    <row r="2153" spans="1:13" s="21" customFormat="1" x14ac:dyDescent="0.25">
      <c r="A2153" s="22" t="s">
        <v>8</v>
      </c>
      <c r="B2153" s="18" t="str">
        <f>"105684"</f>
        <v>105684</v>
      </c>
      <c r="C2153" s="19" t="s">
        <v>2149</v>
      </c>
      <c r="D2153" s="19" t="s">
        <v>17585</v>
      </c>
      <c r="E2153" s="19" t="s">
        <v>30912</v>
      </c>
      <c r="F2153" s="19" t="s">
        <v>35983</v>
      </c>
      <c r="G2153" s="18" t="str">
        <f>"32221"</f>
        <v>32221</v>
      </c>
      <c r="H2153" s="19" t="s">
        <v>36129</v>
      </c>
      <c r="I2153" s="20">
        <v>24.053999999999998</v>
      </c>
      <c r="J2153" s="44" t="s">
        <v>8</v>
      </c>
      <c r="K2153" s="23" t="s">
        <v>8</v>
      </c>
      <c r="L2153" s="23" t="s">
        <v>8</v>
      </c>
      <c r="M2153" s="23" t="s">
        <v>8</v>
      </c>
    </row>
    <row r="2154" spans="1:13" s="21" customFormat="1" x14ac:dyDescent="0.25">
      <c r="A2154" s="22" t="s">
        <v>8</v>
      </c>
      <c r="B2154" s="18" t="str">
        <f>"105685"</f>
        <v>105685</v>
      </c>
      <c r="C2154" s="19" t="s">
        <v>2150</v>
      </c>
      <c r="D2154" s="19" t="s">
        <v>17586</v>
      </c>
      <c r="E2154" s="19" t="s">
        <v>31520</v>
      </c>
      <c r="F2154" s="19" t="s">
        <v>35983</v>
      </c>
      <c r="G2154" s="18" t="str">
        <f>"33428"</f>
        <v>33428</v>
      </c>
      <c r="H2154" s="19" t="s">
        <v>36130</v>
      </c>
      <c r="I2154" s="20">
        <v>17.751999999999999</v>
      </c>
      <c r="J2154" s="44" t="s">
        <v>8</v>
      </c>
      <c r="K2154" s="23" t="s">
        <v>8</v>
      </c>
      <c r="L2154" s="23" t="s">
        <v>8</v>
      </c>
      <c r="M2154" s="23" t="s">
        <v>8</v>
      </c>
    </row>
    <row r="2155" spans="1:13" s="21" customFormat="1" x14ac:dyDescent="0.25">
      <c r="A2155" s="22" t="s">
        <v>8</v>
      </c>
      <c r="B2155" s="18" t="str">
        <f>"105686"</f>
        <v>105686</v>
      </c>
      <c r="C2155" s="19" t="s">
        <v>2151</v>
      </c>
      <c r="D2155" s="19" t="s">
        <v>17587</v>
      </c>
      <c r="E2155" s="19" t="s">
        <v>31601</v>
      </c>
      <c r="F2155" s="19" t="s">
        <v>35983</v>
      </c>
      <c r="G2155" s="18" t="str">
        <f>"33351"</f>
        <v>33351</v>
      </c>
      <c r="H2155" s="19" t="s">
        <v>36127</v>
      </c>
      <c r="I2155" s="20">
        <v>17.747</v>
      </c>
      <c r="J2155" s="44" t="s">
        <v>8</v>
      </c>
      <c r="K2155" s="23" t="s">
        <v>8</v>
      </c>
      <c r="L2155" s="23" t="s">
        <v>8</v>
      </c>
      <c r="M2155" s="23" t="s">
        <v>8</v>
      </c>
    </row>
    <row r="2156" spans="1:13" s="21" customFormat="1" x14ac:dyDescent="0.25">
      <c r="A2156" s="22" t="s">
        <v>8</v>
      </c>
      <c r="B2156" s="18" t="str">
        <f>"105687"</f>
        <v>105687</v>
      </c>
      <c r="C2156" s="19" t="s">
        <v>2152</v>
      </c>
      <c r="D2156" s="19" t="s">
        <v>17588</v>
      </c>
      <c r="E2156" s="19" t="s">
        <v>31552</v>
      </c>
      <c r="F2156" s="19" t="s">
        <v>35983</v>
      </c>
      <c r="G2156" s="18" t="str">
        <f>"34994"</f>
        <v>34994</v>
      </c>
      <c r="H2156" s="19" t="s">
        <v>35168</v>
      </c>
      <c r="I2156" s="20">
        <v>18.71</v>
      </c>
      <c r="J2156" s="44" t="s">
        <v>8</v>
      </c>
      <c r="K2156" s="23" t="s">
        <v>8</v>
      </c>
      <c r="L2156" s="23" t="s">
        <v>8</v>
      </c>
      <c r="M2156" s="23" t="s">
        <v>8</v>
      </c>
    </row>
    <row r="2157" spans="1:13" s="21" customFormat="1" x14ac:dyDescent="0.25">
      <c r="A2157" s="22" t="s">
        <v>8</v>
      </c>
      <c r="B2157" s="18" t="str">
        <f>"105688"</f>
        <v>105688</v>
      </c>
      <c r="C2157" s="19" t="s">
        <v>2153</v>
      </c>
      <c r="D2157" s="19" t="s">
        <v>17589</v>
      </c>
      <c r="E2157" s="19" t="s">
        <v>31517</v>
      </c>
      <c r="F2157" s="19" t="s">
        <v>35983</v>
      </c>
      <c r="G2157" s="18" t="str">
        <f>"33716"</f>
        <v>33716</v>
      </c>
      <c r="H2157" s="19" t="s">
        <v>36128</v>
      </c>
      <c r="I2157" s="20">
        <v>21.571000000000002</v>
      </c>
      <c r="J2157" s="44" t="s">
        <v>8</v>
      </c>
      <c r="K2157" s="23" t="s">
        <v>8</v>
      </c>
      <c r="L2157" s="23" t="s">
        <v>8</v>
      </c>
      <c r="M2157" s="23" t="s">
        <v>8</v>
      </c>
    </row>
    <row r="2158" spans="1:13" s="21" customFormat="1" x14ac:dyDescent="0.25">
      <c r="A2158" s="22" t="s">
        <v>8</v>
      </c>
      <c r="B2158" s="18" t="str">
        <f>"105690"</f>
        <v>105690</v>
      </c>
      <c r="C2158" s="19" t="s">
        <v>2154</v>
      </c>
      <c r="D2158" s="19" t="s">
        <v>17590</v>
      </c>
      <c r="E2158" s="19" t="s">
        <v>31551</v>
      </c>
      <c r="F2158" s="19" t="s">
        <v>35983</v>
      </c>
      <c r="G2158" s="18" t="str">
        <f>"33756"</f>
        <v>33756</v>
      </c>
      <c r="H2158" s="19" t="s">
        <v>36128</v>
      </c>
      <c r="I2158" s="20">
        <v>22.003</v>
      </c>
      <c r="J2158" s="44" t="s">
        <v>8</v>
      </c>
      <c r="K2158" s="23" t="s">
        <v>8</v>
      </c>
      <c r="L2158" s="23" t="s">
        <v>8</v>
      </c>
      <c r="M2158" s="23" t="s">
        <v>8</v>
      </c>
    </row>
    <row r="2159" spans="1:13" s="21" customFormat="1" x14ac:dyDescent="0.25">
      <c r="A2159" s="22" t="s">
        <v>8</v>
      </c>
      <c r="B2159" s="18" t="str">
        <f>"105691"</f>
        <v>105691</v>
      </c>
      <c r="C2159" s="19" t="s">
        <v>2155</v>
      </c>
      <c r="D2159" s="19" t="s">
        <v>17591</v>
      </c>
      <c r="E2159" s="19" t="s">
        <v>31651</v>
      </c>
      <c r="F2159" s="19" t="s">
        <v>35983</v>
      </c>
      <c r="G2159" s="18" t="str">
        <f>"33442"</f>
        <v>33442</v>
      </c>
      <c r="H2159" s="19" t="s">
        <v>36127</v>
      </c>
      <c r="I2159" s="20">
        <v>19.856999999999999</v>
      </c>
      <c r="J2159" s="44" t="s">
        <v>8</v>
      </c>
      <c r="K2159" s="23" t="s">
        <v>8</v>
      </c>
      <c r="L2159" s="23" t="s">
        <v>8</v>
      </c>
      <c r="M2159" s="23" t="s">
        <v>8</v>
      </c>
    </row>
    <row r="2160" spans="1:13" s="21" customFormat="1" x14ac:dyDescent="0.25">
      <c r="A2160" s="22" t="s">
        <v>8</v>
      </c>
      <c r="B2160" s="18" t="str">
        <f>"105692"</f>
        <v>105692</v>
      </c>
      <c r="C2160" s="19" t="s">
        <v>2156</v>
      </c>
      <c r="D2160" s="19" t="s">
        <v>17592</v>
      </c>
      <c r="E2160" s="19" t="s">
        <v>31587</v>
      </c>
      <c r="F2160" s="19" t="s">
        <v>35983</v>
      </c>
      <c r="G2160" s="18" t="str">
        <f>"32073"</f>
        <v>32073</v>
      </c>
      <c r="H2160" s="19" t="s">
        <v>36030</v>
      </c>
      <c r="I2160" s="20">
        <v>19.375</v>
      </c>
      <c r="J2160" s="44" t="s">
        <v>8</v>
      </c>
      <c r="K2160" s="23" t="s">
        <v>8</v>
      </c>
      <c r="L2160" s="23" t="s">
        <v>8</v>
      </c>
      <c r="M2160" s="23" t="s">
        <v>8</v>
      </c>
    </row>
    <row r="2161" spans="1:13" s="21" customFormat="1" x14ac:dyDescent="0.25">
      <c r="A2161" s="22" t="s">
        <v>8</v>
      </c>
      <c r="B2161" s="18" t="str">
        <f>"105693"</f>
        <v>105693</v>
      </c>
      <c r="C2161" s="19" t="s">
        <v>2157</v>
      </c>
      <c r="D2161" s="19" t="s">
        <v>17593</v>
      </c>
      <c r="E2161" s="19" t="s">
        <v>31555</v>
      </c>
      <c r="F2161" s="19" t="s">
        <v>35983</v>
      </c>
      <c r="G2161" s="18" t="str">
        <f>"33805"</f>
        <v>33805</v>
      </c>
      <c r="H2161" s="19" t="s">
        <v>36062</v>
      </c>
      <c r="I2161" s="20">
        <v>20.736000000000001</v>
      </c>
      <c r="J2161" s="44" t="s">
        <v>8</v>
      </c>
      <c r="K2161" s="23" t="s">
        <v>8</v>
      </c>
      <c r="L2161" s="23" t="s">
        <v>8</v>
      </c>
      <c r="M2161" s="23" t="s">
        <v>8</v>
      </c>
    </row>
    <row r="2162" spans="1:13" s="21" customFormat="1" x14ac:dyDescent="0.25">
      <c r="A2162" s="22" t="s">
        <v>8</v>
      </c>
      <c r="B2162" s="18" t="str">
        <f>"105694"</f>
        <v>105694</v>
      </c>
      <c r="C2162" s="19" t="s">
        <v>2158</v>
      </c>
      <c r="D2162" s="19" t="s">
        <v>17594</v>
      </c>
      <c r="E2162" s="19" t="s">
        <v>31542</v>
      </c>
      <c r="F2162" s="19" t="s">
        <v>35983</v>
      </c>
      <c r="G2162" s="18" t="str">
        <f>"33771"</f>
        <v>33771</v>
      </c>
      <c r="H2162" s="19" t="s">
        <v>36128</v>
      </c>
      <c r="I2162" s="20">
        <v>17.934999999999999</v>
      </c>
      <c r="J2162" s="44" t="s">
        <v>8</v>
      </c>
      <c r="K2162" s="23" t="s">
        <v>8</v>
      </c>
      <c r="L2162" s="23" t="s">
        <v>8</v>
      </c>
      <c r="M2162" s="23" t="s">
        <v>8</v>
      </c>
    </row>
    <row r="2163" spans="1:13" s="21" customFormat="1" x14ac:dyDescent="0.25">
      <c r="A2163" s="22" t="s">
        <v>8</v>
      </c>
      <c r="B2163" s="18" t="str">
        <f>"105696"</f>
        <v>105696</v>
      </c>
      <c r="C2163" s="19" t="s">
        <v>2159</v>
      </c>
      <c r="D2163" s="19" t="s">
        <v>17595</v>
      </c>
      <c r="E2163" s="19" t="s">
        <v>31616</v>
      </c>
      <c r="F2163" s="19" t="s">
        <v>35983</v>
      </c>
      <c r="G2163" s="18" t="str">
        <f>"32091"</f>
        <v>32091</v>
      </c>
      <c r="H2163" s="19" t="s">
        <v>34878</v>
      </c>
      <c r="I2163" s="20">
        <v>24.867000000000001</v>
      </c>
      <c r="J2163" s="44" t="s">
        <v>8</v>
      </c>
      <c r="K2163" s="23" t="s">
        <v>8</v>
      </c>
      <c r="L2163" s="23" t="s">
        <v>8</v>
      </c>
      <c r="M2163" s="23" t="s">
        <v>8</v>
      </c>
    </row>
    <row r="2164" spans="1:13" s="21" customFormat="1" x14ac:dyDescent="0.25">
      <c r="A2164" s="22" t="s">
        <v>8</v>
      </c>
      <c r="B2164" s="18" t="str">
        <f>"105697"</f>
        <v>105697</v>
      </c>
      <c r="C2164" s="19" t="s">
        <v>2160</v>
      </c>
      <c r="D2164" s="19" t="s">
        <v>17596</v>
      </c>
      <c r="E2164" s="19" t="s">
        <v>31551</v>
      </c>
      <c r="F2164" s="19" t="s">
        <v>35983</v>
      </c>
      <c r="G2164" s="18" t="str">
        <f>"33764"</f>
        <v>33764</v>
      </c>
      <c r="H2164" s="19" t="s">
        <v>36128</v>
      </c>
      <c r="I2164" s="20">
        <v>22.39</v>
      </c>
      <c r="J2164" s="44" t="s">
        <v>8</v>
      </c>
      <c r="K2164" s="23" t="s">
        <v>8</v>
      </c>
      <c r="L2164" s="23" t="s">
        <v>8</v>
      </c>
      <c r="M2164" s="23" t="s">
        <v>8</v>
      </c>
    </row>
    <row r="2165" spans="1:13" s="21" customFormat="1" x14ac:dyDescent="0.25">
      <c r="A2165" s="22" t="s">
        <v>8</v>
      </c>
      <c r="B2165" s="18" t="str">
        <f>"105700"</f>
        <v>105700</v>
      </c>
      <c r="C2165" s="19" t="s">
        <v>2161</v>
      </c>
      <c r="D2165" s="19" t="s">
        <v>17597</v>
      </c>
      <c r="E2165" s="19" t="s">
        <v>31526</v>
      </c>
      <c r="F2165" s="19" t="s">
        <v>35983</v>
      </c>
      <c r="G2165" s="18" t="str">
        <f>"33618"</f>
        <v>33618</v>
      </c>
      <c r="H2165" s="19" t="s">
        <v>33986</v>
      </c>
      <c r="I2165" s="20">
        <v>18.637</v>
      </c>
      <c r="J2165" s="44" t="s">
        <v>8</v>
      </c>
      <c r="K2165" s="23" t="s">
        <v>8</v>
      </c>
      <c r="L2165" s="23" t="s">
        <v>8</v>
      </c>
      <c r="M2165" s="23" t="s">
        <v>8</v>
      </c>
    </row>
    <row r="2166" spans="1:13" s="21" customFormat="1" x14ac:dyDescent="0.25">
      <c r="A2166" s="22" t="s">
        <v>8</v>
      </c>
      <c r="B2166" s="18" t="str">
        <f>"105701"</f>
        <v>105701</v>
      </c>
      <c r="C2166" s="19" t="s">
        <v>2162</v>
      </c>
      <c r="D2166" s="19" t="s">
        <v>17598</v>
      </c>
      <c r="E2166" s="19" t="s">
        <v>31570</v>
      </c>
      <c r="F2166" s="19" t="s">
        <v>35983</v>
      </c>
      <c r="G2166" s="18" t="str">
        <f>"32954"</f>
        <v>32954</v>
      </c>
      <c r="H2166" s="19" t="s">
        <v>34287</v>
      </c>
      <c r="I2166" s="20">
        <v>21.76</v>
      </c>
      <c r="J2166" s="44" t="s">
        <v>8</v>
      </c>
      <c r="K2166" s="23" t="s">
        <v>8</v>
      </c>
      <c r="L2166" s="23" t="s">
        <v>8</v>
      </c>
      <c r="M2166" s="23" t="s">
        <v>8</v>
      </c>
    </row>
    <row r="2167" spans="1:13" s="21" customFormat="1" x14ac:dyDescent="0.25">
      <c r="A2167" s="22" t="s">
        <v>8</v>
      </c>
      <c r="B2167" s="18" t="str">
        <f>"105702"</f>
        <v>105702</v>
      </c>
      <c r="C2167" s="19" t="s">
        <v>2163</v>
      </c>
      <c r="D2167" s="19" t="s">
        <v>17599</v>
      </c>
      <c r="E2167" s="19" t="s">
        <v>31528</v>
      </c>
      <c r="F2167" s="19" t="s">
        <v>35983</v>
      </c>
      <c r="G2167" s="18" t="str">
        <f>"34235"</f>
        <v>34235</v>
      </c>
      <c r="H2167" s="19" t="s">
        <v>31528</v>
      </c>
      <c r="I2167" s="20">
        <v>18.446000000000002</v>
      </c>
      <c r="J2167" s="44" t="s">
        <v>8</v>
      </c>
      <c r="K2167" s="23" t="s">
        <v>8</v>
      </c>
      <c r="L2167" s="23" t="s">
        <v>8</v>
      </c>
      <c r="M2167" s="23" t="s">
        <v>8</v>
      </c>
    </row>
    <row r="2168" spans="1:13" s="21" customFormat="1" x14ac:dyDescent="0.25">
      <c r="A2168" s="22" t="s">
        <v>8</v>
      </c>
      <c r="B2168" s="18" t="str">
        <f>"105703"</f>
        <v>105703</v>
      </c>
      <c r="C2168" s="19" t="s">
        <v>2164</v>
      </c>
      <c r="D2168" s="19" t="s">
        <v>17600</v>
      </c>
      <c r="E2168" s="19" t="s">
        <v>31564</v>
      </c>
      <c r="F2168" s="19" t="s">
        <v>35983</v>
      </c>
      <c r="G2168" s="18" t="str">
        <f>"34453"</f>
        <v>34453</v>
      </c>
      <c r="H2168" s="19" t="s">
        <v>36138</v>
      </c>
      <c r="I2168" s="20">
        <v>23.077999999999999</v>
      </c>
      <c r="J2168" s="44" t="s">
        <v>8</v>
      </c>
      <c r="K2168" s="23" t="s">
        <v>8</v>
      </c>
      <c r="L2168" s="23" t="s">
        <v>8</v>
      </c>
      <c r="M2168" s="23" t="s">
        <v>8</v>
      </c>
    </row>
    <row r="2169" spans="1:13" s="21" customFormat="1" x14ac:dyDescent="0.25">
      <c r="A2169" s="22" t="s">
        <v>8</v>
      </c>
      <c r="B2169" s="18" t="str">
        <f>"105705"</f>
        <v>105705</v>
      </c>
      <c r="C2169" s="19" t="s">
        <v>2165</v>
      </c>
      <c r="D2169" s="19" t="s">
        <v>17601</v>
      </c>
      <c r="E2169" s="19" t="s">
        <v>31562</v>
      </c>
      <c r="F2169" s="19" t="s">
        <v>35983</v>
      </c>
      <c r="G2169" s="18" t="str">
        <f>"34748"</f>
        <v>34748</v>
      </c>
      <c r="H2169" s="19" t="s">
        <v>36096</v>
      </c>
      <c r="I2169" s="20">
        <v>19.486000000000001</v>
      </c>
      <c r="J2169" s="44" t="s">
        <v>8</v>
      </c>
      <c r="K2169" s="23" t="s">
        <v>8</v>
      </c>
      <c r="L2169" s="23" t="s">
        <v>8</v>
      </c>
      <c r="M2169" s="23" t="s">
        <v>8</v>
      </c>
    </row>
    <row r="2170" spans="1:13" s="21" customFormat="1" x14ac:dyDescent="0.25">
      <c r="A2170" s="22" t="s">
        <v>8</v>
      </c>
      <c r="B2170" s="18" t="str">
        <f>"105706"</f>
        <v>105706</v>
      </c>
      <c r="C2170" s="19" t="s">
        <v>2166</v>
      </c>
      <c r="D2170" s="19" t="s">
        <v>17602</v>
      </c>
      <c r="E2170" s="19" t="s">
        <v>31652</v>
      </c>
      <c r="F2170" s="19" t="s">
        <v>35983</v>
      </c>
      <c r="G2170" s="18" t="str">
        <f>"34761"</f>
        <v>34761</v>
      </c>
      <c r="H2170" s="19" t="s">
        <v>31169</v>
      </c>
      <c r="I2170" s="20">
        <v>19.911000000000001</v>
      </c>
      <c r="J2170" s="44" t="s">
        <v>8</v>
      </c>
      <c r="K2170" s="23" t="s">
        <v>8</v>
      </c>
      <c r="L2170" s="23" t="s">
        <v>8</v>
      </c>
      <c r="M2170" s="23" t="s">
        <v>8</v>
      </c>
    </row>
    <row r="2171" spans="1:13" s="21" customFormat="1" x14ac:dyDescent="0.25">
      <c r="A2171" s="22" t="s">
        <v>8</v>
      </c>
      <c r="B2171" s="18" t="str">
        <f>"105707"</f>
        <v>105707</v>
      </c>
      <c r="C2171" s="19" t="s">
        <v>2167</v>
      </c>
      <c r="D2171" s="19" t="s">
        <v>17603</v>
      </c>
      <c r="E2171" s="19" t="s">
        <v>30912</v>
      </c>
      <c r="F2171" s="19" t="s">
        <v>35983</v>
      </c>
      <c r="G2171" s="18" t="str">
        <f>"32221"</f>
        <v>32221</v>
      </c>
      <c r="H2171" s="19" t="s">
        <v>36129</v>
      </c>
      <c r="I2171" s="20">
        <v>17.989999999999998</v>
      </c>
      <c r="J2171" s="44" t="s">
        <v>8</v>
      </c>
      <c r="K2171" s="23" t="s">
        <v>8</v>
      </c>
      <c r="L2171" s="23" t="s">
        <v>8</v>
      </c>
      <c r="M2171" s="23" t="s">
        <v>8</v>
      </c>
    </row>
    <row r="2172" spans="1:13" s="21" customFormat="1" x14ac:dyDescent="0.25">
      <c r="A2172" s="22" t="s">
        <v>8</v>
      </c>
      <c r="B2172" s="18" t="str">
        <f>"105708"</f>
        <v>105708</v>
      </c>
      <c r="C2172" s="19" t="s">
        <v>2168</v>
      </c>
      <c r="D2172" s="19" t="s">
        <v>17604</v>
      </c>
      <c r="E2172" s="19" t="s">
        <v>31585</v>
      </c>
      <c r="F2172" s="19" t="s">
        <v>35983</v>
      </c>
      <c r="G2172" s="18" t="str">
        <f>"34684"</f>
        <v>34684</v>
      </c>
      <c r="H2172" s="19" t="s">
        <v>36128</v>
      </c>
      <c r="I2172" s="20">
        <v>20.548999999999999</v>
      </c>
      <c r="J2172" s="44" t="s">
        <v>8</v>
      </c>
      <c r="K2172" s="23" t="s">
        <v>8</v>
      </c>
      <c r="L2172" s="23" t="s">
        <v>8</v>
      </c>
      <c r="M2172" s="23" t="s">
        <v>8</v>
      </c>
    </row>
    <row r="2173" spans="1:13" s="21" customFormat="1" x14ac:dyDescent="0.25">
      <c r="A2173" s="22" t="s">
        <v>8</v>
      </c>
      <c r="B2173" s="18" t="str">
        <f>"105709"</f>
        <v>105709</v>
      </c>
      <c r="C2173" s="19" t="s">
        <v>2169</v>
      </c>
      <c r="D2173" s="19" t="s">
        <v>17605</v>
      </c>
      <c r="E2173" s="19" t="s">
        <v>31618</v>
      </c>
      <c r="F2173" s="19" t="s">
        <v>35983</v>
      </c>
      <c r="G2173" s="18" t="str">
        <f>"33015"</f>
        <v>33015</v>
      </c>
      <c r="H2173" s="19" t="s">
        <v>36126</v>
      </c>
      <c r="I2173" s="20">
        <v>19.100999999999999</v>
      </c>
      <c r="J2173" s="44" t="s">
        <v>8</v>
      </c>
      <c r="K2173" s="23" t="s">
        <v>8</v>
      </c>
      <c r="L2173" s="23" t="s">
        <v>8</v>
      </c>
      <c r="M2173" s="23" t="s">
        <v>8</v>
      </c>
    </row>
    <row r="2174" spans="1:13" s="21" customFormat="1" x14ac:dyDescent="0.25">
      <c r="A2174" s="22" t="s">
        <v>8</v>
      </c>
      <c r="B2174" s="18" t="str">
        <f>"105710"</f>
        <v>105710</v>
      </c>
      <c r="C2174" s="19" t="s">
        <v>2170</v>
      </c>
      <c r="D2174" s="19" t="s">
        <v>17606</v>
      </c>
      <c r="E2174" s="19" t="s">
        <v>30912</v>
      </c>
      <c r="F2174" s="19" t="s">
        <v>35983</v>
      </c>
      <c r="G2174" s="18" t="str">
        <f>"32218"</f>
        <v>32218</v>
      </c>
      <c r="H2174" s="19" t="s">
        <v>36129</v>
      </c>
      <c r="I2174" s="20">
        <v>16.696999999999999</v>
      </c>
      <c r="J2174" s="44" t="s">
        <v>8</v>
      </c>
      <c r="K2174" s="23" t="s">
        <v>8</v>
      </c>
      <c r="L2174" s="23" t="s">
        <v>8</v>
      </c>
      <c r="M2174" s="23" t="s">
        <v>8</v>
      </c>
    </row>
    <row r="2175" spans="1:13" s="21" customFormat="1" x14ac:dyDescent="0.25">
      <c r="A2175" s="22" t="s">
        <v>8</v>
      </c>
      <c r="B2175" s="18" t="str">
        <f>"105711"</f>
        <v>105711</v>
      </c>
      <c r="C2175" s="19" t="s">
        <v>2171</v>
      </c>
      <c r="D2175" s="19" t="s">
        <v>17607</v>
      </c>
      <c r="E2175" s="19" t="s">
        <v>31507</v>
      </c>
      <c r="F2175" s="19" t="s">
        <v>35983</v>
      </c>
      <c r="G2175" s="18" t="str">
        <f>"33161"</f>
        <v>33161</v>
      </c>
      <c r="H2175" s="19" t="s">
        <v>36126</v>
      </c>
      <c r="I2175" s="20">
        <v>20.315000000000001</v>
      </c>
      <c r="J2175" s="44" t="s">
        <v>8</v>
      </c>
      <c r="K2175" s="23" t="s">
        <v>8</v>
      </c>
      <c r="L2175" s="23" t="s">
        <v>8</v>
      </c>
      <c r="M2175" s="23" t="s">
        <v>8</v>
      </c>
    </row>
    <row r="2176" spans="1:13" s="21" customFormat="1" x14ac:dyDescent="0.25">
      <c r="A2176" s="22" t="s">
        <v>8</v>
      </c>
      <c r="B2176" s="18" t="str">
        <f>"105712"</f>
        <v>105712</v>
      </c>
      <c r="C2176" s="19" t="s">
        <v>2172</v>
      </c>
      <c r="D2176" s="19" t="s">
        <v>17608</v>
      </c>
      <c r="E2176" s="19" t="s">
        <v>31517</v>
      </c>
      <c r="F2176" s="19" t="s">
        <v>35983</v>
      </c>
      <c r="G2176" s="18" t="str">
        <f>"33710"</f>
        <v>33710</v>
      </c>
      <c r="H2176" s="19" t="s">
        <v>36128</v>
      </c>
      <c r="I2176" s="20">
        <v>20.234999999999999</v>
      </c>
      <c r="J2176" s="44" t="s">
        <v>8</v>
      </c>
      <c r="K2176" s="23" t="s">
        <v>8</v>
      </c>
      <c r="L2176" s="23" t="s">
        <v>8</v>
      </c>
      <c r="M2176" s="23" t="s">
        <v>8</v>
      </c>
    </row>
    <row r="2177" spans="1:13" s="21" customFormat="1" x14ac:dyDescent="0.25">
      <c r="A2177" s="22" t="s">
        <v>8</v>
      </c>
      <c r="B2177" s="18" t="str">
        <f>"105713"</f>
        <v>105713</v>
      </c>
      <c r="C2177" s="19" t="s">
        <v>2173</v>
      </c>
      <c r="D2177" s="19" t="s">
        <v>17609</v>
      </c>
      <c r="E2177" s="19" t="s">
        <v>31517</v>
      </c>
      <c r="F2177" s="19" t="s">
        <v>35983</v>
      </c>
      <c r="G2177" s="18" t="str">
        <f>"33711"</f>
        <v>33711</v>
      </c>
      <c r="H2177" s="19" t="s">
        <v>36128</v>
      </c>
      <c r="I2177" s="20">
        <v>17.303000000000001</v>
      </c>
      <c r="J2177" s="44" t="s">
        <v>8</v>
      </c>
      <c r="K2177" s="23" t="s">
        <v>8</v>
      </c>
      <c r="L2177" s="23" t="s">
        <v>8</v>
      </c>
      <c r="M2177" s="23" t="s">
        <v>8</v>
      </c>
    </row>
    <row r="2178" spans="1:13" s="21" customFormat="1" x14ac:dyDescent="0.25">
      <c r="A2178" s="22" t="s">
        <v>8</v>
      </c>
      <c r="B2178" s="18" t="str">
        <f>"105714"</f>
        <v>105714</v>
      </c>
      <c r="C2178" s="19" t="s">
        <v>2174</v>
      </c>
      <c r="D2178" s="19" t="s">
        <v>17610</v>
      </c>
      <c r="E2178" s="19" t="s">
        <v>31517</v>
      </c>
      <c r="F2178" s="19" t="s">
        <v>35983</v>
      </c>
      <c r="G2178" s="18" t="str">
        <f>"33701"</f>
        <v>33701</v>
      </c>
      <c r="H2178" s="19" t="s">
        <v>36128</v>
      </c>
      <c r="I2178" s="20">
        <v>21.094999999999999</v>
      </c>
      <c r="J2178" s="44" t="s">
        <v>8</v>
      </c>
      <c r="K2178" s="23" t="s">
        <v>8</v>
      </c>
      <c r="L2178" s="23" t="s">
        <v>8</v>
      </c>
      <c r="M2178" s="23" t="s">
        <v>8</v>
      </c>
    </row>
    <row r="2179" spans="1:13" s="21" customFormat="1" x14ac:dyDescent="0.25">
      <c r="A2179" s="22" t="s">
        <v>8</v>
      </c>
      <c r="B2179" s="18" t="str">
        <f>"105715"</f>
        <v>105715</v>
      </c>
      <c r="C2179" s="19" t="s">
        <v>2175</v>
      </c>
      <c r="D2179" s="19" t="s">
        <v>17611</v>
      </c>
      <c r="E2179" s="19" t="s">
        <v>31522</v>
      </c>
      <c r="F2179" s="19" t="s">
        <v>35983</v>
      </c>
      <c r="G2179" s="18" t="str">
        <f>"33169"</f>
        <v>33169</v>
      </c>
      <c r="H2179" s="19" t="s">
        <v>36126</v>
      </c>
      <c r="I2179" s="20">
        <v>19.931000000000001</v>
      </c>
      <c r="J2179" s="44" t="s">
        <v>8</v>
      </c>
      <c r="K2179" s="23" t="s">
        <v>8</v>
      </c>
      <c r="L2179" s="23" t="s">
        <v>8</v>
      </c>
      <c r="M2179" s="23" t="s">
        <v>8</v>
      </c>
    </row>
    <row r="2180" spans="1:13" s="21" customFormat="1" x14ac:dyDescent="0.25">
      <c r="A2180" s="22" t="s">
        <v>8</v>
      </c>
      <c r="B2180" s="18" t="str">
        <f>"105716"</f>
        <v>105716</v>
      </c>
      <c r="C2180" s="19" t="s">
        <v>2176</v>
      </c>
      <c r="D2180" s="19" t="s">
        <v>17612</v>
      </c>
      <c r="E2180" s="19" t="s">
        <v>31526</v>
      </c>
      <c r="F2180" s="19" t="s">
        <v>35983</v>
      </c>
      <c r="G2180" s="18" t="str">
        <f>"33615"</f>
        <v>33615</v>
      </c>
      <c r="H2180" s="19" t="s">
        <v>33986</v>
      </c>
      <c r="I2180" s="20">
        <v>21.992000000000001</v>
      </c>
      <c r="J2180" s="44" t="s">
        <v>8</v>
      </c>
      <c r="K2180" s="23" t="s">
        <v>8</v>
      </c>
      <c r="L2180" s="23" t="s">
        <v>8</v>
      </c>
      <c r="M2180" s="23" t="s">
        <v>8</v>
      </c>
    </row>
    <row r="2181" spans="1:13" s="21" customFormat="1" x14ac:dyDescent="0.25">
      <c r="A2181" s="22" t="s">
        <v>8</v>
      </c>
      <c r="B2181" s="18" t="str">
        <f>"105717"</f>
        <v>105717</v>
      </c>
      <c r="C2181" s="19" t="s">
        <v>2177</v>
      </c>
      <c r="D2181" s="19" t="s">
        <v>17613</v>
      </c>
      <c r="E2181" s="19" t="s">
        <v>31538</v>
      </c>
      <c r="F2181" s="19" t="s">
        <v>35983</v>
      </c>
      <c r="G2181" s="18" t="str">
        <f>"34481"</f>
        <v>34481</v>
      </c>
      <c r="H2181" s="19" t="s">
        <v>30850</v>
      </c>
      <c r="I2181" s="20">
        <v>21.47</v>
      </c>
      <c r="J2181" s="44" t="s">
        <v>8</v>
      </c>
      <c r="K2181" s="23" t="s">
        <v>8</v>
      </c>
      <c r="L2181" s="23" t="s">
        <v>8</v>
      </c>
      <c r="M2181" s="23" t="s">
        <v>8</v>
      </c>
    </row>
    <row r="2182" spans="1:13" s="21" customFormat="1" x14ac:dyDescent="0.25">
      <c r="A2182" s="22" t="s">
        <v>8</v>
      </c>
      <c r="B2182" s="18" t="str">
        <f>"105718"</f>
        <v>105718</v>
      </c>
      <c r="C2182" s="19" t="s">
        <v>2178</v>
      </c>
      <c r="D2182" s="19" t="s">
        <v>17614</v>
      </c>
      <c r="E2182" s="19" t="s">
        <v>31623</v>
      </c>
      <c r="F2182" s="19" t="s">
        <v>35983</v>
      </c>
      <c r="G2182" s="18" t="str">
        <f>"33511"</f>
        <v>33511</v>
      </c>
      <c r="H2182" s="19" t="s">
        <v>33986</v>
      </c>
      <c r="I2182" s="20">
        <v>22.042000000000002</v>
      </c>
      <c r="J2182" s="44" t="s">
        <v>8</v>
      </c>
      <c r="K2182" s="23" t="s">
        <v>8</v>
      </c>
      <c r="L2182" s="23" t="s">
        <v>8</v>
      </c>
      <c r="M2182" s="23" t="s">
        <v>8</v>
      </c>
    </row>
    <row r="2183" spans="1:13" s="21" customFormat="1" x14ac:dyDescent="0.25">
      <c r="A2183" s="22" t="s">
        <v>8</v>
      </c>
      <c r="B2183" s="18" t="str">
        <f>"105719"</f>
        <v>105719</v>
      </c>
      <c r="C2183" s="19" t="s">
        <v>2179</v>
      </c>
      <c r="D2183" s="19" t="s">
        <v>17615</v>
      </c>
      <c r="E2183" s="19" t="s">
        <v>31507</v>
      </c>
      <c r="F2183" s="19" t="s">
        <v>35983</v>
      </c>
      <c r="G2183" s="18" t="str">
        <f>"33173"</f>
        <v>33173</v>
      </c>
      <c r="H2183" s="19" t="s">
        <v>36126</v>
      </c>
      <c r="I2183" s="20">
        <v>19.048999999999999</v>
      </c>
      <c r="J2183" s="44" t="s">
        <v>8</v>
      </c>
      <c r="K2183" s="23" t="s">
        <v>8</v>
      </c>
      <c r="L2183" s="23" t="s">
        <v>8</v>
      </c>
      <c r="M2183" s="23" t="s">
        <v>8</v>
      </c>
    </row>
    <row r="2184" spans="1:13" s="21" customFormat="1" x14ac:dyDescent="0.25">
      <c r="A2184" s="22" t="s">
        <v>8</v>
      </c>
      <c r="B2184" s="18" t="str">
        <f>"105720"</f>
        <v>105720</v>
      </c>
      <c r="C2184" s="19" t="s">
        <v>2180</v>
      </c>
      <c r="D2184" s="19" t="s">
        <v>17616</v>
      </c>
      <c r="E2184" s="19" t="s">
        <v>31563</v>
      </c>
      <c r="F2184" s="19" t="s">
        <v>35983</v>
      </c>
      <c r="G2184" s="18" t="str">
        <f>"32792"</f>
        <v>32792</v>
      </c>
      <c r="H2184" s="19" t="s">
        <v>31169</v>
      </c>
      <c r="I2184" s="20">
        <v>20.245999999999999</v>
      </c>
      <c r="J2184" s="44" t="s">
        <v>8</v>
      </c>
      <c r="K2184" s="23" t="s">
        <v>8</v>
      </c>
      <c r="L2184" s="23" t="s">
        <v>8</v>
      </c>
      <c r="M2184" s="23" t="s">
        <v>8</v>
      </c>
    </row>
    <row r="2185" spans="1:13" s="21" customFormat="1" x14ac:dyDescent="0.25">
      <c r="A2185" s="22" t="s">
        <v>8</v>
      </c>
      <c r="B2185" s="18" t="str">
        <f>"105721"</f>
        <v>105721</v>
      </c>
      <c r="C2185" s="19" t="s">
        <v>2181</v>
      </c>
      <c r="D2185" s="19" t="s">
        <v>17617</v>
      </c>
      <c r="E2185" s="19" t="s">
        <v>30912</v>
      </c>
      <c r="F2185" s="19" t="s">
        <v>35983</v>
      </c>
      <c r="G2185" s="18" t="str">
        <f>"32244"</f>
        <v>32244</v>
      </c>
      <c r="H2185" s="19" t="s">
        <v>36129</v>
      </c>
      <c r="I2185" s="20">
        <v>18.41</v>
      </c>
      <c r="J2185" s="44" t="s">
        <v>8</v>
      </c>
      <c r="K2185" s="23" t="s">
        <v>8</v>
      </c>
      <c r="L2185" s="23" t="s">
        <v>8</v>
      </c>
      <c r="M2185" s="23" t="s">
        <v>8</v>
      </c>
    </row>
    <row r="2186" spans="1:13" s="21" customFormat="1" x14ac:dyDescent="0.25">
      <c r="A2186" s="22" t="s">
        <v>8</v>
      </c>
      <c r="B2186" s="18" t="str">
        <f>"105723"</f>
        <v>105723</v>
      </c>
      <c r="C2186" s="19" t="s">
        <v>2182</v>
      </c>
      <c r="D2186" s="19" t="s">
        <v>17618</v>
      </c>
      <c r="E2186" s="19" t="s">
        <v>31541</v>
      </c>
      <c r="F2186" s="19" t="s">
        <v>35983</v>
      </c>
      <c r="G2186" s="18" t="str">
        <f>"33907"</f>
        <v>33907</v>
      </c>
      <c r="H2186" s="19" t="s">
        <v>33138</v>
      </c>
      <c r="I2186" s="20">
        <v>21.869</v>
      </c>
      <c r="J2186" s="44" t="s">
        <v>8</v>
      </c>
      <c r="K2186" s="23" t="s">
        <v>8</v>
      </c>
      <c r="L2186" s="23" t="s">
        <v>8</v>
      </c>
      <c r="M2186" s="23" t="s">
        <v>8</v>
      </c>
    </row>
    <row r="2187" spans="1:13" s="21" customFormat="1" x14ac:dyDescent="0.25">
      <c r="A2187" s="22" t="s">
        <v>8</v>
      </c>
      <c r="B2187" s="18" t="str">
        <f>"105724"</f>
        <v>105724</v>
      </c>
      <c r="C2187" s="19" t="s">
        <v>2183</v>
      </c>
      <c r="D2187" s="19" t="s">
        <v>17619</v>
      </c>
      <c r="E2187" s="19" t="s">
        <v>31538</v>
      </c>
      <c r="F2187" s="19" t="s">
        <v>35983</v>
      </c>
      <c r="G2187" s="18" t="str">
        <f>"34470"</f>
        <v>34470</v>
      </c>
      <c r="H2187" s="19" t="s">
        <v>30850</v>
      </c>
      <c r="I2187" s="20">
        <v>21.68</v>
      </c>
      <c r="J2187" s="44" t="s">
        <v>8</v>
      </c>
      <c r="K2187" s="23" t="s">
        <v>8</v>
      </c>
      <c r="L2187" s="23" t="s">
        <v>8</v>
      </c>
      <c r="M2187" s="23" t="s">
        <v>8</v>
      </c>
    </row>
    <row r="2188" spans="1:13" s="21" customFormat="1" x14ac:dyDescent="0.25">
      <c r="A2188" s="22" t="s">
        <v>8</v>
      </c>
      <c r="B2188" s="18" t="str">
        <f>"105725"</f>
        <v>105725</v>
      </c>
      <c r="C2188" s="19" t="s">
        <v>2184</v>
      </c>
      <c r="D2188" s="19" t="s">
        <v>17620</v>
      </c>
      <c r="E2188" s="19" t="s">
        <v>31526</v>
      </c>
      <c r="F2188" s="19" t="s">
        <v>35983</v>
      </c>
      <c r="G2188" s="18" t="str">
        <f>"33605"</f>
        <v>33605</v>
      </c>
      <c r="H2188" s="19" t="s">
        <v>33986</v>
      </c>
      <c r="I2188" s="20">
        <v>18.18</v>
      </c>
      <c r="J2188" s="44" t="s">
        <v>8</v>
      </c>
      <c r="K2188" s="23" t="s">
        <v>8</v>
      </c>
      <c r="L2188" s="23" t="s">
        <v>8</v>
      </c>
      <c r="M2188" s="23" t="s">
        <v>8</v>
      </c>
    </row>
    <row r="2189" spans="1:13" s="21" customFormat="1" x14ac:dyDescent="0.25">
      <c r="A2189" s="22" t="s">
        <v>8</v>
      </c>
      <c r="B2189" s="18" t="str">
        <f>"105727"</f>
        <v>105727</v>
      </c>
      <c r="C2189" s="19" t="s">
        <v>2185</v>
      </c>
      <c r="D2189" s="19" t="s">
        <v>17621</v>
      </c>
      <c r="E2189" s="19" t="s">
        <v>31653</v>
      </c>
      <c r="F2189" s="19" t="s">
        <v>35983</v>
      </c>
      <c r="G2189" s="18" t="str">
        <f>"32428"</f>
        <v>32428</v>
      </c>
      <c r="H2189" s="19" t="s">
        <v>31500</v>
      </c>
      <c r="I2189" s="20">
        <v>18.212</v>
      </c>
      <c r="J2189" s="44" t="s">
        <v>8</v>
      </c>
      <c r="K2189" s="23" t="s">
        <v>8</v>
      </c>
      <c r="L2189" s="23" t="s">
        <v>8</v>
      </c>
      <c r="M2189" s="23" t="s">
        <v>8</v>
      </c>
    </row>
    <row r="2190" spans="1:13" s="21" customFormat="1" x14ac:dyDescent="0.25">
      <c r="A2190" s="22" t="s">
        <v>8</v>
      </c>
      <c r="B2190" s="18" t="str">
        <f>"105728"</f>
        <v>105728</v>
      </c>
      <c r="C2190" s="19" t="s">
        <v>2186</v>
      </c>
      <c r="D2190" s="19" t="s">
        <v>17622</v>
      </c>
      <c r="E2190" s="19" t="s">
        <v>31599</v>
      </c>
      <c r="F2190" s="19" t="s">
        <v>35983</v>
      </c>
      <c r="G2190" s="18" t="str">
        <f>"32805"</f>
        <v>32805</v>
      </c>
      <c r="H2190" s="19" t="s">
        <v>31169</v>
      </c>
      <c r="I2190" s="20">
        <v>22.327000000000002</v>
      </c>
      <c r="J2190" s="44" t="s">
        <v>8</v>
      </c>
      <c r="K2190" s="23" t="s">
        <v>8</v>
      </c>
      <c r="L2190" s="23" t="s">
        <v>8</v>
      </c>
      <c r="M2190" s="23" t="s">
        <v>8</v>
      </c>
    </row>
    <row r="2191" spans="1:13" s="21" customFormat="1" x14ac:dyDescent="0.25">
      <c r="A2191" s="22" t="s">
        <v>8</v>
      </c>
      <c r="B2191" s="18" t="str">
        <f>"105729"</f>
        <v>105729</v>
      </c>
      <c r="C2191" s="19" t="s">
        <v>2187</v>
      </c>
      <c r="D2191" s="19" t="s">
        <v>17623</v>
      </c>
      <c r="E2191" s="19" t="s">
        <v>31093</v>
      </c>
      <c r="F2191" s="19" t="s">
        <v>35983</v>
      </c>
      <c r="G2191" s="18" t="str">
        <f>"32446"</f>
        <v>32446</v>
      </c>
      <c r="H2191" s="19" t="s">
        <v>30816</v>
      </c>
      <c r="I2191" s="20">
        <v>21.643999999999998</v>
      </c>
      <c r="J2191" s="44" t="s">
        <v>8</v>
      </c>
      <c r="K2191" s="23" t="s">
        <v>8</v>
      </c>
      <c r="L2191" s="23" t="s">
        <v>8</v>
      </c>
      <c r="M2191" s="23" t="s">
        <v>8</v>
      </c>
    </row>
    <row r="2192" spans="1:13" s="21" customFormat="1" x14ac:dyDescent="0.25">
      <c r="A2192" s="22" t="s">
        <v>8</v>
      </c>
      <c r="B2192" s="18" t="str">
        <f>"105730"</f>
        <v>105730</v>
      </c>
      <c r="C2192" s="19" t="s">
        <v>2188</v>
      </c>
      <c r="D2192" s="19" t="s">
        <v>17624</v>
      </c>
      <c r="E2192" s="19" t="s">
        <v>31534</v>
      </c>
      <c r="F2192" s="19" t="s">
        <v>35983</v>
      </c>
      <c r="G2192" s="18" t="str">
        <f>"33881"</f>
        <v>33881</v>
      </c>
      <c r="H2192" s="19" t="s">
        <v>36062</v>
      </c>
      <c r="I2192" s="20">
        <v>23.093</v>
      </c>
      <c r="J2192" s="44" t="s">
        <v>8</v>
      </c>
      <c r="K2192" s="23" t="s">
        <v>8</v>
      </c>
      <c r="L2192" s="23" t="s">
        <v>8</v>
      </c>
      <c r="M2192" s="23" t="s">
        <v>8</v>
      </c>
    </row>
    <row r="2193" spans="1:13" s="21" customFormat="1" x14ac:dyDescent="0.25">
      <c r="A2193" s="22" t="s">
        <v>8</v>
      </c>
      <c r="B2193" s="18" t="str">
        <f>"105731"</f>
        <v>105731</v>
      </c>
      <c r="C2193" s="19" t="s">
        <v>2189</v>
      </c>
      <c r="D2193" s="19" t="s">
        <v>17625</v>
      </c>
      <c r="E2193" s="19" t="s">
        <v>31599</v>
      </c>
      <c r="F2193" s="19" t="s">
        <v>35983</v>
      </c>
      <c r="G2193" s="18" t="str">
        <f>"32801"</f>
        <v>32801</v>
      </c>
      <c r="H2193" s="19" t="s">
        <v>31169</v>
      </c>
      <c r="I2193" s="20">
        <v>18.574999999999999</v>
      </c>
      <c r="J2193" s="44" t="s">
        <v>8</v>
      </c>
      <c r="K2193" s="23" t="s">
        <v>8</v>
      </c>
      <c r="L2193" s="23" t="s">
        <v>8</v>
      </c>
      <c r="M2193" s="23" t="s">
        <v>8</v>
      </c>
    </row>
    <row r="2194" spans="1:13" s="21" customFormat="1" x14ac:dyDescent="0.25">
      <c r="A2194" s="22" t="s">
        <v>8</v>
      </c>
      <c r="B2194" s="18" t="str">
        <f>"105732"</f>
        <v>105732</v>
      </c>
      <c r="C2194" s="19" t="s">
        <v>2190</v>
      </c>
      <c r="D2194" s="19" t="s">
        <v>17626</v>
      </c>
      <c r="E2194" s="19" t="s">
        <v>31525</v>
      </c>
      <c r="F2194" s="19" t="s">
        <v>35983</v>
      </c>
      <c r="G2194" s="18" t="str">
        <f>"34698"</f>
        <v>34698</v>
      </c>
      <c r="H2194" s="19" t="s">
        <v>36128</v>
      </c>
      <c r="I2194" s="20">
        <v>18.457999999999998</v>
      </c>
      <c r="J2194" s="44" t="s">
        <v>8</v>
      </c>
      <c r="K2194" s="23" t="s">
        <v>8</v>
      </c>
      <c r="L2194" s="23" t="s">
        <v>8</v>
      </c>
      <c r="M2194" s="23" t="s">
        <v>8</v>
      </c>
    </row>
    <row r="2195" spans="1:13" s="21" customFormat="1" x14ac:dyDescent="0.25">
      <c r="A2195" s="22" t="s">
        <v>8</v>
      </c>
      <c r="B2195" s="18" t="str">
        <f>"105733"</f>
        <v>105733</v>
      </c>
      <c r="C2195" s="19" t="s">
        <v>2191</v>
      </c>
      <c r="D2195" s="19" t="s">
        <v>17627</v>
      </c>
      <c r="E2195" s="19" t="s">
        <v>31542</v>
      </c>
      <c r="F2195" s="19" t="s">
        <v>35983</v>
      </c>
      <c r="G2195" s="18" t="str">
        <f>"34641"</f>
        <v>34641</v>
      </c>
      <c r="H2195" s="19" t="s">
        <v>36128</v>
      </c>
      <c r="I2195" s="20">
        <v>22.29</v>
      </c>
      <c r="J2195" s="44" t="s">
        <v>8</v>
      </c>
      <c r="K2195" s="23" t="s">
        <v>8</v>
      </c>
      <c r="L2195" s="23" t="s">
        <v>8</v>
      </c>
      <c r="M2195" s="23" t="s">
        <v>8</v>
      </c>
    </row>
    <row r="2196" spans="1:13" s="21" customFormat="1" x14ac:dyDescent="0.25">
      <c r="A2196" s="22" t="s">
        <v>8</v>
      </c>
      <c r="B2196" s="18" t="str">
        <f>"105734"</f>
        <v>105734</v>
      </c>
      <c r="C2196" s="19" t="s">
        <v>2192</v>
      </c>
      <c r="D2196" s="19" t="s">
        <v>17628</v>
      </c>
      <c r="E2196" s="19" t="s">
        <v>31627</v>
      </c>
      <c r="F2196" s="19" t="s">
        <v>35983</v>
      </c>
      <c r="G2196" s="18" t="str">
        <f>"34772"</f>
        <v>34772</v>
      </c>
      <c r="H2196" s="19" t="s">
        <v>31089</v>
      </c>
      <c r="I2196" s="20">
        <v>24.526</v>
      </c>
      <c r="J2196" s="44" t="s">
        <v>8</v>
      </c>
      <c r="K2196" s="23" t="s">
        <v>8</v>
      </c>
      <c r="L2196" s="23" t="s">
        <v>8</v>
      </c>
      <c r="M2196" s="23" t="s">
        <v>8</v>
      </c>
    </row>
    <row r="2197" spans="1:13" s="21" customFormat="1" x14ac:dyDescent="0.25">
      <c r="A2197" s="22" t="s">
        <v>8</v>
      </c>
      <c r="B2197" s="18" t="str">
        <f>"105735"</f>
        <v>105735</v>
      </c>
      <c r="C2197" s="19" t="s">
        <v>2193</v>
      </c>
      <c r="D2197" s="19" t="s">
        <v>17629</v>
      </c>
      <c r="E2197" s="19" t="s">
        <v>31622</v>
      </c>
      <c r="F2197" s="19" t="s">
        <v>35983</v>
      </c>
      <c r="G2197" s="18" t="str">
        <f>"32713"</f>
        <v>32713</v>
      </c>
      <c r="H2197" s="19" t="s">
        <v>36125</v>
      </c>
      <c r="I2197" s="20">
        <v>20.245000000000001</v>
      </c>
      <c r="J2197" s="44" t="s">
        <v>8</v>
      </c>
      <c r="K2197" s="23" t="s">
        <v>8</v>
      </c>
      <c r="L2197" s="23" t="s">
        <v>8</v>
      </c>
      <c r="M2197" s="23" t="s">
        <v>8</v>
      </c>
    </row>
    <row r="2198" spans="1:13" s="21" customFormat="1" x14ac:dyDescent="0.25">
      <c r="A2198" s="22" t="s">
        <v>8</v>
      </c>
      <c r="B2198" s="18" t="str">
        <f>"105736"</f>
        <v>105736</v>
      </c>
      <c r="C2198" s="19" t="s">
        <v>2194</v>
      </c>
      <c r="D2198" s="19" t="s">
        <v>17630</v>
      </c>
      <c r="E2198" s="19" t="s">
        <v>31568</v>
      </c>
      <c r="F2198" s="19" t="s">
        <v>35983</v>
      </c>
      <c r="G2198" s="18" t="str">
        <f>"33573"</f>
        <v>33573</v>
      </c>
      <c r="H2198" s="19" t="s">
        <v>33986</v>
      </c>
      <c r="I2198" s="20">
        <v>19.638000000000002</v>
      </c>
      <c r="J2198" s="44" t="s">
        <v>8</v>
      </c>
      <c r="K2198" s="23" t="s">
        <v>8</v>
      </c>
      <c r="L2198" s="23" t="s">
        <v>8</v>
      </c>
      <c r="M2198" s="23" t="s">
        <v>8</v>
      </c>
    </row>
    <row r="2199" spans="1:13" s="21" customFormat="1" x14ac:dyDescent="0.25">
      <c r="A2199" s="22" t="s">
        <v>8</v>
      </c>
      <c r="B2199" s="18" t="str">
        <f>"105737"</f>
        <v>105737</v>
      </c>
      <c r="C2199" s="19" t="s">
        <v>2195</v>
      </c>
      <c r="D2199" s="19" t="s">
        <v>17631</v>
      </c>
      <c r="E2199" s="19" t="s">
        <v>31539</v>
      </c>
      <c r="F2199" s="19" t="s">
        <v>35983</v>
      </c>
      <c r="G2199" s="18" t="str">
        <f>"32063"</f>
        <v>32063</v>
      </c>
      <c r="H2199" s="19" t="s">
        <v>32860</v>
      </c>
      <c r="I2199" s="20">
        <v>21.515999999999998</v>
      </c>
      <c r="J2199" s="44" t="s">
        <v>8</v>
      </c>
      <c r="K2199" s="23" t="s">
        <v>8</v>
      </c>
      <c r="L2199" s="23" t="s">
        <v>8</v>
      </c>
      <c r="M2199" s="23" t="s">
        <v>8</v>
      </c>
    </row>
    <row r="2200" spans="1:13" s="21" customFormat="1" x14ac:dyDescent="0.25">
      <c r="A2200" s="22" t="s">
        <v>8</v>
      </c>
      <c r="B2200" s="18" t="str">
        <f>"105738"</f>
        <v>105738</v>
      </c>
      <c r="C2200" s="19" t="s">
        <v>2196</v>
      </c>
      <c r="D2200" s="19" t="s">
        <v>17632</v>
      </c>
      <c r="E2200" s="19" t="s">
        <v>31535</v>
      </c>
      <c r="F2200" s="19" t="s">
        <v>35983</v>
      </c>
      <c r="G2200" s="18" t="str">
        <f>"34110"</f>
        <v>34110</v>
      </c>
      <c r="H2200" s="19" t="s">
        <v>36133</v>
      </c>
      <c r="I2200" s="20">
        <v>17.757000000000001</v>
      </c>
      <c r="J2200" s="44" t="s">
        <v>8</v>
      </c>
      <c r="K2200" s="23" t="s">
        <v>8</v>
      </c>
      <c r="L2200" s="23" t="s">
        <v>8</v>
      </c>
      <c r="M2200" s="23" t="s">
        <v>8</v>
      </c>
    </row>
    <row r="2201" spans="1:13" s="21" customFormat="1" x14ac:dyDescent="0.25">
      <c r="A2201" s="22" t="s">
        <v>8</v>
      </c>
      <c r="B2201" s="18" t="str">
        <f>"105739"</f>
        <v>105739</v>
      </c>
      <c r="C2201" s="19" t="s">
        <v>2197</v>
      </c>
      <c r="D2201" s="19" t="s">
        <v>17633</v>
      </c>
      <c r="E2201" s="19" t="s">
        <v>31555</v>
      </c>
      <c r="F2201" s="19" t="s">
        <v>35983</v>
      </c>
      <c r="G2201" s="18" t="str">
        <f>"33803"</f>
        <v>33803</v>
      </c>
      <c r="H2201" s="19" t="s">
        <v>36062</v>
      </c>
      <c r="I2201" s="20">
        <v>23.754999999999999</v>
      </c>
      <c r="J2201" s="44" t="s">
        <v>8</v>
      </c>
      <c r="K2201" s="23" t="s">
        <v>8</v>
      </c>
      <c r="L2201" s="23" t="s">
        <v>8</v>
      </c>
      <c r="M2201" s="23" t="s">
        <v>8</v>
      </c>
    </row>
    <row r="2202" spans="1:13" s="21" customFormat="1" x14ac:dyDescent="0.25">
      <c r="A2202" s="22" t="s">
        <v>8</v>
      </c>
      <c r="B2202" s="18" t="str">
        <f>"105743"</f>
        <v>105743</v>
      </c>
      <c r="C2202" s="19" t="s">
        <v>2198</v>
      </c>
      <c r="D2202" s="19" t="s">
        <v>17634</v>
      </c>
      <c r="E2202" s="19" t="s">
        <v>31654</v>
      </c>
      <c r="F2202" s="19" t="s">
        <v>35983</v>
      </c>
      <c r="G2202" s="18" t="str">
        <f>"32233"</f>
        <v>32233</v>
      </c>
      <c r="H2202" s="19" t="s">
        <v>36129</v>
      </c>
      <c r="I2202" s="20">
        <v>22.131</v>
      </c>
      <c r="J2202" s="44" t="s">
        <v>8</v>
      </c>
      <c r="K2202" s="23" t="s">
        <v>8</v>
      </c>
      <c r="L2202" s="23" t="s">
        <v>8</v>
      </c>
      <c r="M2202" s="23" t="s">
        <v>8</v>
      </c>
    </row>
    <row r="2203" spans="1:13" s="21" customFormat="1" x14ac:dyDescent="0.25">
      <c r="A2203" s="22" t="s">
        <v>8</v>
      </c>
      <c r="B2203" s="18" t="str">
        <f>"105744"</f>
        <v>105744</v>
      </c>
      <c r="C2203" s="19" t="s">
        <v>2199</v>
      </c>
      <c r="D2203" s="19" t="s">
        <v>17635</v>
      </c>
      <c r="E2203" s="19" t="s">
        <v>31551</v>
      </c>
      <c r="F2203" s="19" t="s">
        <v>35983</v>
      </c>
      <c r="G2203" s="18" t="str">
        <f>"33759"</f>
        <v>33759</v>
      </c>
      <c r="H2203" s="19" t="s">
        <v>36128</v>
      </c>
      <c r="I2203" s="20">
        <v>14.959</v>
      </c>
      <c r="J2203" s="44" t="s">
        <v>8</v>
      </c>
      <c r="K2203" s="23" t="s">
        <v>8</v>
      </c>
      <c r="L2203" s="23" t="s">
        <v>8</v>
      </c>
      <c r="M2203" s="23" t="s">
        <v>8</v>
      </c>
    </row>
    <row r="2204" spans="1:13" s="21" customFormat="1" x14ac:dyDescent="0.25">
      <c r="A2204" s="22" t="s">
        <v>8</v>
      </c>
      <c r="B2204" s="18" t="str">
        <f>"105745"</f>
        <v>105745</v>
      </c>
      <c r="C2204" s="19" t="s">
        <v>2200</v>
      </c>
      <c r="D2204" s="19" t="s">
        <v>17636</v>
      </c>
      <c r="E2204" s="19" t="s">
        <v>30912</v>
      </c>
      <c r="F2204" s="19" t="s">
        <v>35983</v>
      </c>
      <c r="G2204" s="18" t="str">
        <f>"32224"</f>
        <v>32224</v>
      </c>
      <c r="H2204" s="19" t="s">
        <v>36129</v>
      </c>
      <c r="I2204" s="20">
        <v>21.181000000000001</v>
      </c>
      <c r="J2204" s="44" t="s">
        <v>8</v>
      </c>
      <c r="K2204" s="23" t="s">
        <v>8</v>
      </c>
      <c r="L2204" s="23" t="s">
        <v>8</v>
      </c>
      <c r="M2204" s="23" t="s">
        <v>8</v>
      </c>
    </row>
    <row r="2205" spans="1:13" s="21" customFormat="1" x14ac:dyDescent="0.25">
      <c r="A2205" s="22" t="s">
        <v>8</v>
      </c>
      <c r="B2205" s="18" t="str">
        <f>"105747"</f>
        <v>105747</v>
      </c>
      <c r="C2205" s="19" t="s">
        <v>2201</v>
      </c>
      <c r="D2205" s="19" t="s">
        <v>17637</v>
      </c>
      <c r="E2205" s="19" t="s">
        <v>31548</v>
      </c>
      <c r="F2205" s="19" t="s">
        <v>35983</v>
      </c>
      <c r="G2205" s="18" t="str">
        <f>"32501"</f>
        <v>32501</v>
      </c>
      <c r="H2205" s="19" t="s">
        <v>36035</v>
      </c>
      <c r="I2205" s="20">
        <v>16.859000000000002</v>
      </c>
      <c r="J2205" s="44" t="s">
        <v>8</v>
      </c>
      <c r="K2205" s="23" t="s">
        <v>8</v>
      </c>
      <c r="L2205" s="23" t="s">
        <v>8</v>
      </c>
      <c r="M2205" s="23" t="s">
        <v>8</v>
      </c>
    </row>
    <row r="2206" spans="1:13" s="21" customFormat="1" x14ac:dyDescent="0.25">
      <c r="A2206" s="22" t="s">
        <v>8</v>
      </c>
      <c r="B2206" s="18" t="str">
        <f>"105749"</f>
        <v>105749</v>
      </c>
      <c r="C2206" s="19" t="s">
        <v>2202</v>
      </c>
      <c r="D2206" s="19" t="s">
        <v>17638</v>
      </c>
      <c r="E2206" s="19" t="s">
        <v>31517</v>
      </c>
      <c r="F2206" s="19" t="s">
        <v>35983</v>
      </c>
      <c r="G2206" s="18" t="str">
        <f>"33702"</f>
        <v>33702</v>
      </c>
      <c r="H2206" s="19" t="s">
        <v>36128</v>
      </c>
      <c r="I2206" s="20">
        <v>21.562999999999999</v>
      </c>
      <c r="J2206" s="44" t="s">
        <v>8</v>
      </c>
      <c r="K2206" s="23" t="s">
        <v>8</v>
      </c>
      <c r="L2206" s="23" t="s">
        <v>8</v>
      </c>
      <c r="M2206" s="23" t="s">
        <v>8</v>
      </c>
    </row>
    <row r="2207" spans="1:13" s="21" customFormat="1" x14ac:dyDescent="0.25">
      <c r="A2207" s="22" t="s">
        <v>8</v>
      </c>
      <c r="B2207" s="18" t="str">
        <f>"105751"</f>
        <v>105751</v>
      </c>
      <c r="C2207" s="19" t="s">
        <v>2203</v>
      </c>
      <c r="D2207" s="19" t="s">
        <v>17639</v>
      </c>
      <c r="E2207" s="19" t="s">
        <v>31548</v>
      </c>
      <c r="F2207" s="19" t="s">
        <v>35983</v>
      </c>
      <c r="G2207" s="18" t="str">
        <f>"32526"</f>
        <v>32526</v>
      </c>
      <c r="H2207" s="19" t="s">
        <v>36035</v>
      </c>
      <c r="I2207" s="20">
        <v>21.754999999999999</v>
      </c>
      <c r="J2207" s="44" t="s">
        <v>8</v>
      </c>
      <c r="K2207" s="23" t="s">
        <v>8</v>
      </c>
      <c r="L2207" s="23" t="s">
        <v>8</v>
      </c>
      <c r="M2207" s="23" t="s">
        <v>8</v>
      </c>
    </row>
    <row r="2208" spans="1:13" s="21" customFormat="1" x14ac:dyDescent="0.25">
      <c r="A2208" s="22" t="s">
        <v>8</v>
      </c>
      <c r="B2208" s="18" t="str">
        <f>"105754"</f>
        <v>105754</v>
      </c>
      <c r="C2208" s="19" t="s">
        <v>2204</v>
      </c>
      <c r="D2208" s="19" t="s">
        <v>17640</v>
      </c>
      <c r="E2208" s="19" t="s">
        <v>31599</v>
      </c>
      <c r="F2208" s="19" t="s">
        <v>35983</v>
      </c>
      <c r="G2208" s="18" t="str">
        <f>"32812"</f>
        <v>32812</v>
      </c>
      <c r="H2208" s="19" t="s">
        <v>31169</v>
      </c>
      <c r="I2208" s="20">
        <v>20.006</v>
      </c>
      <c r="J2208" s="44" t="s">
        <v>8</v>
      </c>
      <c r="K2208" s="23" t="s">
        <v>8</v>
      </c>
      <c r="L2208" s="23" t="s">
        <v>8</v>
      </c>
      <c r="M2208" s="23" t="s">
        <v>8</v>
      </c>
    </row>
    <row r="2209" spans="1:13" s="21" customFormat="1" x14ac:dyDescent="0.25">
      <c r="A2209" s="22" t="s">
        <v>8</v>
      </c>
      <c r="B2209" s="18" t="str">
        <f>"105755"</f>
        <v>105755</v>
      </c>
      <c r="C2209" s="19" t="s">
        <v>2205</v>
      </c>
      <c r="D2209" s="19" t="s">
        <v>17641</v>
      </c>
      <c r="E2209" s="19" t="s">
        <v>31518</v>
      </c>
      <c r="F2209" s="19" t="s">
        <v>35983</v>
      </c>
      <c r="G2209" s="18" t="str">
        <f>"33436"</f>
        <v>33436</v>
      </c>
      <c r="H2209" s="19" t="s">
        <v>36130</v>
      </c>
      <c r="I2209" s="20">
        <v>21.393000000000001</v>
      </c>
      <c r="J2209" s="44" t="s">
        <v>8</v>
      </c>
      <c r="K2209" s="23" t="s">
        <v>8</v>
      </c>
      <c r="L2209" s="23" t="s">
        <v>8</v>
      </c>
      <c r="M2209" s="23" t="s">
        <v>8</v>
      </c>
    </row>
    <row r="2210" spans="1:13" s="21" customFormat="1" x14ac:dyDescent="0.25">
      <c r="A2210" s="22" t="s">
        <v>8</v>
      </c>
      <c r="B2210" s="18" t="str">
        <f>"105756"</f>
        <v>105756</v>
      </c>
      <c r="C2210" s="19" t="s">
        <v>2206</v>
      </c>
      <c r="D2210" s="19" t="s">
        <v>17642</v>
      </c>
      <c r="E2210" s="19" t="s">
        <v>31655</v>
      </c>
      <c r="F2210" s="19" t="s">
        <v>35983</v>
      </c>
      <c r="G2210" s="18" t="str">
        <f>"32046"</f>
        <v>32046</v>
      </c>
      <c r="H2210" s="19" t="s">
        <v>36144</v>
      </c>
      <c r="I2210" s="20">
        <v>20.440999999999999</v>
      </c>
      <c r="J2210" s="44" t="s">
        <v>8</v>
      </c>
      <c r="K2210" s="23" t="s">
        <v>8</v>
      </c>
      <c r="L2210" s="23" t="s">
        <v>8</v>
      </c>
      <c r="M2210" s="23" t="s">
        <v>8</v>
      </c>
    </row>
    <row r="2211" spans="1:13" s="21" customFormat="1" x14ac:dyDescent="0.25">
      <c r="A2211" s="22" t="s">
        <v>8</v>
      </c>
      <c r="B2211" s="18" t="str">
        <f>"105757"</f>
        <v>105757</v>
      </c>
      <c r="C2211" s="19" t="s">
        <v>2207</v>
      </c>
      <c r="D2211" s="19" t="s">
        <v>17643</v>
      </c>
      <c r="E2211" s="19" t="s">
        <v>31599</v>
      </c>
      <c r="F2211" s="19" t="s">
        <v>35983</v>
      </c>
      <c r="G2211" s="18" t="str">
        <f>"32801"</f>
        <v>32801</v>
      </c>
      <c r="H2211" s="19" t="s">
        <v>31169</v>
      </c>
      <c r="I2211" s="20">
        <v>18.358000000000001</v>
      </c>
      <c r="J2211" s="44" t="s">
        <v>8</v>
      </c>
      <c r="K2211" s="23" t="s">
        <v>8</v>
      </c>
      <c r="L2211" s="23" t="s">
        <v>8</v>
      </c>
      <c r="M2211" s="23" t="s">
        <v>8</v>
      </c>
    </row>
    <row r="2212" spans="1:13" s="21" customFormat="1" x14ac:dyDescent="0.25">
      <c r="A2212" s="22" t="s">
        <v>8</v>
      </c>
      <c r="B2212" s="18" t="str">
        <f>"105758"</f>
        <v>105758</v>
      </c>
      <c r="C2212" s="19" t="s">
        <v>2208</v>
      </c>
      <c r="D2212" s="19" t="s">
        <v>17644</v>
      </c>
      <c r="E2212" s="19" t="s">
        <v>31585</v>
      </c>
      <c r="F2212" s="19" t="s">
        <v>35983</v>
      </c>
      <c r="G2212" s="18" t="str">
        <f>"34684"</f>
        <v>34684</v>
      </c>
      <c r="H2212" s="19" t="s">
        <v>36128</v>
      </c>
      <c r="I2212" s="20">
        <v>15.128</v>
      </c>
      <c r="J2212" s="44" t="s">
        <v>8</v>
      </c>
      <c r="K2212" s="23" t="s">
        <v>8</v>
      </c>
      <c r="L2212" s="23" t="s">
        <v>8</v>
      </c>
      <c r="M2212" s="23" t="s">
        <v>8</v>
      </c>
    </row>
    <row r="2213" spans="1:13" s="21" customFormat="1" x14ac:dyDescent="0.25">
      <c r="A2213" s="22" t="s">
        <v>8</v>
      </c>
      <c r="B2213" s="18" t="str">
        <f>"105761"</f>
        <v>105761</v>
      </c>
      <c r="C2213" s="19" t="s">
        <v>2209</v>
      </c>
      <c r="D2213" s="19" t="s">
        <v>17645</v>
      </c>
      <c r="E2213" s="19" t="s">
        <v>31603</v>
      </c>
      <c r="F2213" s="19" t="s">
        <v>35983</v>
      </c>
      <c r="G2213" s="18" t="str">
        <f>"34292"</f>
        <v>34292</v>
      </c>
      <c r="H2213" s="19" t="s">
        <v>31528</v>
      </c>
      <c r="I2213" s="20">
        <v>21.103000000000002</v>
      </c>
      <c r="J2213" s="44" t="s">
        <v>8</v>
      </c>
      <c r="K2213" s="23" t="s">
        <v>8</v>
      </c>
      <c r="L2213" s="23" t="s">
        <v>8</v>
      </c>
      <c r="M2213" s="23" t="s">
        <v>8</v>
      </c>
    </row>
    <row r="2214" spans="1:13" s="21" customFormat="1" x14ac:dyDescent="0.25">
      <c r="A2214" s="22" t="s">
        <v>8</v>
      </c>
      <c r="B2214" s="18" t="str">
        <f>"105762"</f>
        <v>105762</v>
      </c>
      <c r="C2214" s="19" t="s">
        <v>2210</v>
      </c>
      <c r="D2214" s="19" t="s">
        <v>17646</v>
      </c>
      <c r="E2214" s="19" t="s">
        <v>31656</v>
      </c>
      <c r="F2214" s="19" t="s">
        <v>35983</v>
      </c>
      <c r="G2214" s="18" t="str">
        <f>"33410"</f>
        <v>33410</v>
      </c>
      <c r="H2214" s="19" t="s">
        <v>36130</v>
      </c>
      <c r="I2214" s="20">
        <v>23.254000000000001</v>
      </c>
      <c r="J2214" s="44" t="s">
        <v>8</v>
      </c>
      <c r="K2214" s="23" t="s">
        <v>8</v>
      </c>
      <c r="L2214" s="23" t="s">
        <v>8</v>
      </c>
      <c r="M2214" s="23" t="s">
        <v>8</v>
      </c>
    </row>
    <row r="2215" spans="1:13" s="21" customFormat="1" x14ac:dyDescent="0.25">
      <c r="A2215" s="22" t="s">
        <v>8</v>
      </c>
      <c r="B2215" s="18" t="str">
        <f>"105764"</f>
        <v>105764</v>
      </c>
      <c r="C2215" s="19" t="s">
        <v>2211</v>
      </c>
      <c r="D2215" s="19" t="s">
        <v>17647</v>
      </c>
      <c r="E2215" s="19" t="s">
        <v>31531</v>
      </c>
      <c r="F2215" s="19" t="s">
        <v>35983</v>
      </c>
      <c r="G2215" s="18" t="str">
        <f>"32308"</f>
        <v>32308</v>
      </c>
      <c r="H2215" s="19" t="s">
        <v>32404</v>
      </c>
      <c r="I2215" s="20">
        <v>19.925000000000001</v>
      </c>
      <c r="J2215" s="44" t="s">
        <v>8</v>
      </c>
      <c r="K2215" s="23" t="s">
        <v>8</v>
      </c>
      <c r="L2215" s="23" t="s">
        <v>8</v>
      </c>
      <c r="M2215" s="23" t="s">
        <v>8</v>
      </c>
    </row>
    <row r="2216" spans="1:13" s="21" customFormat="1" x14ac:dyDescent="0.25">
      <c r="A2216" s="22" t="s">
        <v>8</v>
      </c>
      <c r="B2216" s="18" t="str">
        <f>"105765"</f>
        <v>105765</v>
      </c>
      <c r="C2216" s="19" t="s">
        <v>2212</v>
      </c>
      <c r="D2216" s="19" t="s">
        <v>17648</v>
      </c>
      <c r="E2216" s="19" t="s">
        <v>31507</v>
      </c>
      <c r="F2216" s="19" t="s">
        <v>35983</v>
      </c>
      <c r="G2216" s="18" t="str">
        <f>"33161"</f>
        <v>33161</v>
      </c>
      <c r="H2216" s="19" t="s">
        <v>36126</v>
      </c>
      <c r="I2216" s="20">
        <v>18.468</v>
      </c>
      <c r="J2216" s="44" t="s">
        <v>8</v>
      </c>
      <c r="K2216" s="23" t="s">
        <v>8</v>
      </c>
      <c r="L2216" s="23" t="s">
        <v>8</v>
      </c>
      <c r="M2216" s="23" t="s">
        <v>8</v>
      </c>
    </row>
    <row r="2217" spans="1:13" s="21" customFormat="1" x14ac:dyDescent="0.25">
      <c r="A2217" s="22" t="s">
        <v>8</v>
      </c>
      <c r="B2217" s="18" t="str">
        <f>"105769"</f>
        <v>105769</v>
      </c>
      <c r="C2217" s="19" t="s">
        <v>2213</v>
      </c>
      <c r="D2217" s="19" t="s">
        <v>17649</v>
      </c>
      <c r="E2217" s="19" t="s">
        <v>31055</v>
      </c>
      <c r="F2217" s="19" t="s">
        <v>35983</v>
      </c>
      <c r="G2217" s="18" t="str">
        <f>"32055"</f>
        <v>32055</v>
      </c>
      <c r="H2217" s="19" t="s">
        <v>32076</v>
      </c>
      <c r="I2217" s="20">
        <v>26.645</v>
      </c>
      <c r="J2217" s="44" t="s">
        <v>8</v>
      </c>
      <c r="K2217" s="23" t="s">
        <v>8</v>
      </c>
      <c r="L2217" s="23" t="s">
        <v>8</v>
      </c>
      <c r="M2217" s="23" t="s">
        <v>8</v>
      </c>
    </row>
    <row r="2218" spans="1:13" s="21" customFormat="1" x14ac:dyDescent="0.25">
      <c r="A2218" s="22" t="s">
        <v>8</v>
      </c>
      <c r="B2218" s="18" t="str">
        <f>"105770"</f>
        <v>105770</v>
      </c>
      <c r="C2218" s="19" t="s">
        <v>2214</v>
      </c>
      <c r="D2218" s="19" t="s">
        <v>17650</v>
      </c>
      <c r="E2218" s="19" t="s">
        <v>31591</v>
      </c>
      <c r="F2218" s="19" t="s">
        <v>35983</v>
      </c>
      <c r="G2218" s="18" t="str">
        <f>"32693"</f>
        <v>32693</v>
      </c>
      <c r="H2218" s="19" t="s">
        <v>36141</v>
      </c>
      <c r="I2218" s="20">
        <v>16.443000000000001</v>
      </c>
      <c r="J2218" s="44" t="s">
        <v>8</v>
      </c>
      <c r="K2218" s="23" t="s">
        <v>8</v>
      </c>
      <c r="L2218" s="23" t="s">
        <v>8</v>
      </c>
      <c r="M2218" s="23" t="s">
        <v>8</v>
      </c>
    </row>
    <row r="2219" spans="1:13" s="21" customFormat="1" x14ac:dyDescent="0.25">
      <c r="A2219" s="22" t="s">
        <v>8</v>
      </c>
      <c r="B2219" s="18" t="str">
        <f>"105772"</f>
        <v>105772</v>
      </c>
      <c r="C2219" s="19" t="s">
        <v>2215</v>
      </c>
      <c r="D2219" s="19" t="s">
        <v>17651</v>
      </c>
      <c r="E2219" s="19" t="s">
        <v>31517</v>
      </c>
      <c r="F2219" s="19" t="s">
        <v>35983</v>
      </c>
      <c r="G2219" s="18" t="str">
        <f>"33705"</f>
        <v>33705</v>
      </c>
      <c r="H2219" s="19" t="s">
        <v>36128</v>
      </c>
      <c r="I2219" s="20">
        <v>18.573</v>
      </c>
      <c r="J2219" s="44" t="s">
        <v>8</v>
      </c>
      <c r="K2219" s="23" t="s">
        <v>8</v>
      </c>
      <c r="L2219" s="23" t="s">
        <v>8</v>
      </c>
      <c r="M2219" s="23" t="s">
        <v>8</v>
      </c>
    </row>
    <row r="2220" spans="1:13" s="21" customFormat="1" x14ac:dyDescent="0.25">
      <c r="A2220" s="22" t="s">
        <v>8</v>
      </c>
      <c r="B2220" s="18" t="str">
        <f>"105774"</f>
        <v>105774</v>
      </c>
      <c r="C2220" s="19" t="s">
        <v>2216</v>
      </c>
      <c r="D2220" s="19" t="s">
        <v>17652</v>
      </c>
      <c r="E2220" s="19" t="s">
        <v>31528</v>
      </c>
      <c r="F2220" s="19" t="s">
        <v>35983</v>
      </c>
      <c r="G2220" s="18" t="str">
        <f>"34230"</f>
        <v>34230</v>
      </c>
      <c r="H2220" s="19" t="s">
        <v>31528</v>
      </c>
      <c r="I2220" s="20">
        <v>16.719000000000001</v>
      </c>
      <c r="J2220" s="44" t="s">
        <v>8</v>
      </c>
      <c r="K2220" s="23" t="s">
        <v>8</v>
      </c>
      <c r="L2220" s="23" t="s">
        <v>8</v>
      </c>
      <c r="M2220" s="23" t="s">
        <v>8</v>
      </c>
    </row>
    <row r="2221" spans="1:13" s="21" customFormat="1" x14ac:dyDescent="0.25">
      <c r="A2221" s="22" t="s">
        <v>8</v>
      </c>
      <c r="B2221" s="18" t="str">
        <f>"105775"</f>
        <v>105775</v>
      </c>
      <c r="C2221" s="19" t="s">
        <v>2217</v>
      </c>
      <c r="D2221" s="19" t="s">
        <v>17653</v>
      </c>
      <c r="E2221" s="19" t="s">
        <v>31530</v>
      </c>
      <c r="F2221" s="19" t="s">
        <v>35983</v>
      </c>
      <c r="G2221" s="18" t="str">
        <f>"32401"</f>
        <v>32401</v>
      </c>
      <c r="H2221" s="19" t="s">
        <v>36132</v>
      </c>
      <c r="I2221" s="20">
        <v>20.146999999999998</v>
      </c>
      <c r="J2221" s="44" t="s">
        <v>8</v>
      </c>
      <c r="K2221" s="23" t="s">
        <v>8</v>
      </c>
      <c r="L2221" s="23" t="s">
        <v>8</v>
      </c>
      <c r="M2221" s="23" t="s">
        <v>8</v>
      </c>
    </row>
    <row r="2222" spans="1:13" s="21" customFormat="1" x14ac:dyDescent="0.25">
      <c r="A2222" s="22" t="s">
        <v>8</v>
      </c>
      <c r="B2222" s="18" t="str">
        <f>"105776"</f>
        <v>105776</v>
      </c>
      <c r="C2222" s="19" t="s">
        <v>2218</v>
      </c>
      <c r="D2222" s="19" t="s">
        <v>17654</v>
      </c>
      <c r="E2222" s="19" t="s">
        <v>31657</v>
      </c>
      <c r="F2222" s="19" t="s">
        <v>35983</v>
      </c>
      <c r="G2222" s="18" t="str">
        <f>"32127"</f>
        <v>32127</v>
      </c>
      <c r="H2222" s="19" t="s">
        <v>36125</v>
      </c>
      <c r="I2222" s="20">
        <v>18.978999999999999</v>
      </c>
      <c r="J2222" s="44" t="s">
        <v>8</v>
      </c>
      <c r="K2222" s="23" t="s">
        <v>8</v>
      </c>
      <c r="L2222" s="23" t="s">
        <v>8</v>
      </c>
      <c r="M2222" s="23" t="s">
        <v>8</v>
      </c>
    </row>
    <row r="2223" spans="1:13" s="21" customFormat="1" x14ac:dyDescent="0.25">
      <c r="A2223" s="22" t="s">
        <v>8</v>
      </c>
      <c r="B2223" s="18" t="str">
        <f>"105777"</f>
        <v>105777</v>
      </c>
      <c r="C2223" s="19" t="s">
        <v>2219</v>
      </c>
      <c r="D2223" s="19" t="s">
        <v>17655</v>
      </c>
      <c r="E2223" s="19" t="s">
        <v>31658</v>
      </c>
      <c r="F2223" s="19" t="s">
        <v>35983</v>
      </c>
      <c r="G2223" s="18" t="str">
        <f>"33837"</f>
        <v>33837</v>
      </c>
      <c r="H2223" s="19" t="s">
        <v>36062</v>
      </c>
      <c r="I2223" s="20">
        <v>23.576000000000001</v>
      </c>
      <c r="J2223" s="44" t="s">
        <v>8</v>
      </c>
      <c r="K2223" s="23" t="s">
        <v>8</v>
      </c>
      <c r="L2223" s="23" t="s">
        <v>8</v>
      </c>
      <c r="M2223" s="23" t="s">
        <v>8</v>
      </c>
    </row>
    <row r="2224" spans="1:13" s="21" customFormat="1" x14ac:dyDescent="0.25">
      <c r="A2224" s="22" t="s">
        <v>8</v>
      </c>
      <c r="B2224" s="18" t="str">
        <f>"105779"</f>
        <v>105779</v>
      </c>
      <c r="C2224" s="19" t="s">
        <v>2220</v>
      </c>
      <c r="D2224" s="19" t="s">
        <v>17656</v>
      </c>
      <c r="E2224" s="19" t="s">
        <v>31541</v>
      </c>
      <c r="F2224" s="19" t="s">
        <v>35983</v>
      </c>
      <c r="G2224" s="18" t="str">
        <f>"33908"</f>
        <v>33908</v>
      </c>
      <c r="H2224" s="19" t="s">
        <v>33138</v>
      </c>
      <c r="I2224" s="20">
        <v>18.827999999999999</v>
      </c>
      <c r="J2224" s="44" t="s">
        <v>8</v>
      </c>
      <c r="K2224" s="23" t="s">
        <v>8</v>
      </c>
      <c r="L2224" s="23" t="s">
        <v>8</v>
      </c>
      <c r="M2224" s="23" t="s">
        <v>8</v>
      </c>
    </row>
    <row r="2225" spans="1:13" s="21" customFormat="1" x14ac:dyDescent="0.25">
      <c r="A2225" s="22" t="s">
        <v>8</v>
      </c>
      <c r="B2225" s="18" t="str">
        <f>"105780"</f>
        <v>105780</v>
      </c>
      <c r="C2225" s="19" t="s">
        <v>2221</v>
      </c>
      <c r="D2225" s="19" t="s">
        <v>17657</v>
      </c>
      <c r="E2225" s="19" t="s">
        <v>31659</v>
      </c>
      <c r="F2225" s="19" t="s">
        <v>35983</v>
      </c>
      <c r="G2225" s="18" t="str">
        <f>"33825"</f>
        <v>33825</v>
      </c>
      <c r="H2225" s="19" t="s">
        <v>34344</v>
      </c>
      <c r="I2225" s="20">
        <v>19.068999999999999</v>
      </c>
      <c r="J2225" s="44" t="s">
        <v>8</v>
      </c>
      <c r="K2225" s="23" t="s">
        <v>8</v>
      </c>
      <c r="L2225" s="23" t="s">
        <v>8</v>
      </c>
      <c r="M2225" s="23" t="s">
        <v>8</v>
      </c>
    </row>
    <row r="2226" spans="1:13" s="21" customFormat="1" x14ac:dyDescent="0.25">
      <c r="A2226" s="22" t="s">
        <v>8</v>
      </c>
      <c r="B2226" s="18" t="str">
        <f>"105782"</f>
        <v>105782</v>
      </c>
      <c r="C2226" s="19" t="s">
        <v>2222</v>
      </c>
      <c r="D2226" s="19" t="s">
        <v>17658</v>
      </c>
      <c r="E2226" s="19" t="s">
        <v>31576</v>
      </c>
      <c r="F2226" s="19" t="s">
        <v>35983</v>
      </c>
      <c r="G2226" s="18" t="str">
        <f>"32703"</f>
        <v>32703</v>
      </c>
      <c r="H2226" s="19" t="s">
        <v>31169</v>
      </c>
      <c r="I2226" s="20">
        <v>19.271000000000001</v>
      </c>
      <c r="J2226" s="44" t="s">
        <v>8</v>
      </c>
      <c r="K2226" s="23" t="s">
        <v>8</v>
      </c>
      <c r="L2226" s="23" t="s">
        <v>8</v>
      </c>
      <c r="M2226" s="23" t="s">
        <v>8</v>
      </c>
    </row>
    <row r="2227" spans="1:13" s="21" customFormat="1" x14ac:dyDescent="0.25">
      <c r="A2227" s="22" t="s">
        <v>8</v>
      </c>
      <c r="B2227" s="18" t="str">
        <f>"105783"</f>
        <v>105783</v>
      </c>
      <c r="C2227" s="19" t="s">
        <v>2223</v>
      </c>
      <c r="D2227" s="19" t="s">
        <v>17659</v>
      </c>
      <c r="E2227" s="19" t="s">
        <v>31599</v>
      </c>
      <c r="F2227" s="19" t="s">
        <v>35983</v>
      </c>
      <c r="G2227" s="18" t="str">
        <f>"32825"</f>
        <v>32825</v>
      </c>
      <c r="H2227" s="19" t="s">
        <v>31169</v>
      </c>
      <c r="I2227" s="20">
        <v>21.79</v>
      </c>
      <c r="J2227" s="44" t="s">
        <v>8</v>
      </c>
      <c r="K2227" s="23" t="s">
        <v>8</v>
      </c>
      <c r="L2227" s="23" t="s">
        <v>8</v>
      </c>
      <c r="M2227" s="23" t="s">
        <v>8</v>
      </c>
    </row>
    <row r="2228" spans="1:13" s="21" customFormat="1" x14ac:dyDescent="0.25">
      <c r="A2228" s="22" t="s">
        <v>8</v>
      </c>
      <c r="B2228" s="18" t="str">
        <f>"105784"</f>
        <v>105784</v>
      </c>
      <c r="C2228" s="19" t="s">
        <v>2224</v>
      </c>
      <c r="D2228" s="19" t="s">
        <v>17660</v>
      </c>
      <c r="E2228" s="19" t="s">
        <v>31660</v>
      </c>
      <c r="F2228" s="19" t="s">
        <v>35983</v>
      </c>
      <c r="G2228" s="18" t="str">
        <f>"32578"</f>
        <v>32578</v>
      </c>
      <c r="H2228" s="19" t="s">
        <v>36134</v>
      </c>
      <c r="I2228" s="20">
        <v>19.829999999999998</v>
      </c>
      <c r="J2228" s="44" t="s">
        <v>8</v>
      </c>
      <c r="K2228" s="23" t="s">
        <v>8</v>
      </c>
      <c r="L2228" s="23" t="s">
        <v>8</v>
      </c>
      <c r="M2228" s="23" t="s">
        <v>8</v>
      </c>
    </row>
    <row r="2229" spans="1:13" s="21" customFormat="1" x14ac:dyDescent="0.25">
      <c r="A2229" s="22" t="s">
        <v>8</v>
      </c>
      <c r="B2229" s="18" t="str">
        <f>"105785"</f>
        <v>105785</v>
      </c>
      <c r="C2229" s="19" t="s">
        <v>2225</v>
      </c>
      <c r="D2229" s="19" t="s">
        <v>17661</v>
      </c>
      <c r="E2229" s="19" t="s">
        <v>31563</v>
      </c>
      <c r="F2229" s="19" t="s">
        <v>35983</v>
      </c>
      <c r="G2229" s="18" t="str">
        <f>"32789"</f>
        <v>32789</v>
      </c>
      <c r="H2229" s="19" t="s">
        <v>31169</v>
      </c>
      <c r="I2229" s="20">
        <v>20.806000000000001</v>
      </c>
      <c r="J2229" s="44" t="s">
        <v>8</v>
      </c>
      <c r="K2229" s="23" t="s">
        <v>8</v>
      </c>
      <c r="L2229" s="23" t="s">
        <v>8</v>
      </c>
      <c r="M2229" s="23" t="s">
        <v>8</v>
      </c>
    </row>
    <row r="2230" spans="1:13" s="21" customFormat="1" x14ac:dyDescent="0.25">
      <c r="A2230" s="22" t="s">
        <v>8</v>
      </c>
      <c r="B2230" s="18" t="str">
        <f>"105786"</f>
        <v>105786</v>
      </c>
      <c r="C2230" s="19" t="s">
        <v>2226</v>
      </c>
      <c r="D2230" s="19" t="s">
        <v>17662</v>
      </c>
      <c r="E2230" s="19" t="s">
        <v>31588</v>
      </c>
      <c r="F2230" s="19" t="s">
        <v>35983</v>
      </c>
      <c r="G2230" s="18" t="str">
        <f>"34667"</f>
        <v>34667</v>
      </c>
      <c r="H2230" s="19" t="s">
        <v>35446</v>
      </c>
      <c r="I2230" s="20">
        <v>23.975999999999999</v>
      </c>
      <c r="J2230" s="44" t="s">
        <v>8</v>
      </c>
      <c r="K2230" s="23" t="s">
        <v>8</v>
      </c>
      <c r="L2230" s="23" t="s">
        <v>8</v>
      </c>
      <c r="M2230" s="23" t="s">
        <v>8</v>
      </c>
    </row>
    <row r="2231" spans="1:13" s="21" customFormat="1" x14ac:dyDescent="0.25">
      <c r="A2231" s="22" t="s">
        <v>8</v>
      </c>
      <c r="B2231" s="18" t="str">
        <f>"105790"</f>
        <v>105790</v>
      </c>
      <c r="C2231" s="19" t="s">
        <v>2227</v>
      </c>
      <c r="D2231" s="19" t="s">
        <v>17663</v>
      </c>
      <c r="E2231" s="19" t="s">
        <v>31535</v>
      </c>
      <c r="F2231" s="19" t="s">
        <v>35983</v>
      </c>
      <c r="G2231" s="18" t="str">
        <f>"34109"</f>
        <v>34109</v>
      </c>
      <c r="H2231" s="19" t="s">
        <v>36133</v>
      </c>
      <c r="I2231" s="20">
        <v>18.236000000000001</v>
      </c>
      <c r="J2231" s="44" t="s">
        <v>8</v>
      </c>
      <c r="K2231" s="23" t="s">
        <v>8</v>
      </c>
      <c r="L2231" s="23" t="s">
        <v>8</v>
      </c>
      <c r="M2231" s="23" t="s">
        <v>8</v>
      </c>
    </row>
    <row r="2232" spans="1:13" s="21" customFormat="1" x14ac:dyDescent="0.25">
      <c r="A2232" s="22" t="s">
        <v>8</v>
      </c>
      <c r="B2232" s="18" t="str">
        <f>"105791"</f>
        <v>105791</v>
      </c>
      <c r="C2232" s="19" t="s">
        <v>2228</v>
      </c>
      <c r="D2232" s="19" t="s">
        <v>17664</v>
      </c>
      <c r="E2232" s="19" t="s">
        <v>31599</v>
      </c>
      <c r="F2232" s="19" t="s">
        <v>35983</v>
      </c>
      <c r="G2232" s="18" t="str">
        <f>"32806"</f>
        <v>32806</v>
      </c>
      <c r="H2232" s="19" t="s">
        <v>31169</v>
      </c>
      <c r="I2232" s="20">
        <v>17.46</v>
      </c>
      <c r="J2232" s="44" t="s">
        <v>8</v>
      </c>
      <c r="K2232" s="23" t="s">
        <v>8</v>
      </c>
      <c r="L2232" s="23" t="s">
        <v>8</v>
      </c>
      <c r="M2232" s="23" t="s">
        <v>8</v>
      </c>
    </row>
    <row r="2233" spans="1:13" s="21" customFormat="1" x14ac:dyDescent="0.25">
      <c r="A2233" s="22" t="s">
        <v>8</v>
      </c>
      <c r="B2233" s="18" t="str">
        <f>"105792"</f>
        <v>105792</v>
      </c>
      <c r="C2233" s="19" t="s">
        <v>2229</v>
      </c>
      <c r="D2233" s="19" t="s">
        <v>17665</v>
      </c>
      <c r="E2233" s="19" t="s">
        <v>31534</v>
      </c>
      <c r="F2233" s="19" t="s">
        <v>35983</v>
      </c>
      <c r="G2233" s="18" t="str">
        <f>"33884"</f>
        <v>33884</v>
      </c>
      <c r="H2233" s="19" t="s">
        <v>36062</v>
      </c>
      <c r="I2233" s="20">
        <v>18.864000000000001</v>
      </c>
      <c r="J2233" s="44" t="s">
        <v>8</v>
      </c>
      <c r="K2233" s="23" t="s">
        <v>8</v>
      </c>
      <c r="L2233" s="23" t="s">
        <v>8</v>
      </c>
      <c r="M2233" s="23" t="s">
        <v>8</v>
      </c>
    </row>
    <row r="2234" spans="1:13" s="21" customFormat="1" x14ac:dyDescent="0.25">
      <c r="A2234" s="22" t="s">
        <v>8</v>
      </c>
      <c r="B2234" s="18" t="str">
        <f>"105793"</f>
        <v>105793</v>
      </c>
      <c r="C2234" s="19" t="s">
        <v>2230</v>
      </c>
      <c r="D2234" s="19" t="s">
        <v>17666</v>
      </c>
      <c r="E2234" s="19" t="s">
        <v>31605</v>
      </c>
      <c r="F2234" s="19" t="s">
        <v>35983</v>
      </c>
      <c r="G2234" s="18" t="str">
        <f>"32780"</f>
        <v>32780</v>
      </c>
      <c r="H2234" s="19" t="s">
        <v>34287</v>
      </c>
      <c r="I2234" s="20">
        <v>20.957000000000001</v>
      </c>
      <c r="J2234" s="44" t="s">
        <v>8</v>
      </c>
      <c r="K2234" s="23" t="s">
        <v>8</v>
      </c>
      <c r="L2234" s="23" t="s">
        <v>8</v>
      </c>
      <c r="M2234" s="23" t="s">
        <v>8</v>
      </c>
    </row>
    <row r="2235" spans="1:13" s="21" customFormat="1" x14ac:dyDescent="0.25">
      <c r="A2235" s="22" t="s">
        <v>8</v>
      </c>
      <c r="B2235" s="18" t="str">
        <f>"105795"</f>
        <v>105795</v>
      </c>
      <c r="C2235" s="19" t="s">
        <v>2231</v>
      </c>
      <c r="D2235" s="19" t="s">
        <v>17667</v>
      </c>
      <c r="E2235" s="19" t="s">
        <v>31514</v>
      </c>
      <c r="F2235" s="19" t="s">
        <v>35983</v>
      </c>
      <c r="G2235" s="18" t="str">
        <f>"33415"</f>
        <v>33415</v>
      </c>
      <c r="H2235" s="19" t="s">
        <v>36130</v>
      </c>
      <c r="I2235" s="20">
        <v>20.279</v>
      </c>
      <c r="J2235" s="44" t="s">
        <v>8</v>
      </c>
      <c r="K2235" s="23" t="s">
        <v>8</v>
      </c>
      <c r="L2235" s="23" t="s">
        <v>8</v>
      </c>
      <c r="M2235" s="23" t="s">
        <v>8</v>
      </c>
    </row>
    <row r="2236" spans="1:13" s="21" customFormat="1" x14ac:dyDescent="0.25">
      <c r="A2236" s="22" t="s">
        <v>8</v>
      </c>
      <c r="B2236" s="18" t="str">
        <f>"105796"</f>
        <v>105796</v>
      </c>
      <c r="C2236" s="19" t="s">
        <v>2232</v>
      </c>
      <c r="D2236" s="19" t="s">
        <v>17668</v>
      </c>
      <c r="E2236" s="19" t="s">
        <v>31572</v>
      </c>
      <c r="F2236" s="19" t="s">
        <v>35983</v>
      </c>
      <c r="G2236" s="18" t="str">
        <f>"32757"</f>
        <v>32757</v>
      </c>
      <c r="H2236" s="19" t="s">
        <v>36096</v>
      </c>
      <c r="I2236" s="20">
        <v>15.366</v>
      </c>
      <c r="J2236" s="44" t="s">
        <v>8</v>
      </c>
      <c r="K2236" s="23" t="s">
        <v>8</v>
      </c>
      <c r="L2236" s="23" t="s">
        <v>8</v>
      </c>
      <c r="M2236" s="23" t="s">
        <v>8</v>
      </c>
    </row>
    <row r="2237" spans="1:13" s="21" customFormat="1" x14ac:dyDescent="0.25">
      <c r="A2237" s="22" t="s">
        <v>8</v>
      </c>
      <c r="B2237" s="18" t="str">
        <f>"105797"</f>
        <v>105797</v>
      </c>
      <c r="C2237" s="19" t="s">
        <v>2233</v>
      </c>
      <c r="D2237" s="19" t="s">
        <v>17669</v>
      </c>
      <c r="E2237" s="19" t="s">
        <v>31599</v>
      </c>
      <c r="F2237" s="19" t="s">
        <v>35983</v>
      </c>
      <c r="G2237" s="18" t="str">
        <f>"32805"</f>
        <v>32805</v>
      </c>
      <c r="H2237" s="19" t="s">
        <v>31169</v>
      </c>
      <c r="I2237" s="20">
        <v>15.603999999999999</v>
      </c>
      <c r="J2237" s="44" t="s">
        <v>8</v>
      </c>
      <c r="K2237" s="23" t="s">
        <v>8</v>
      </c>
      <c r="L2237" s="23" t="s">
        <v>8</v>
      </c>
      <c r="M2237" s="23" t="s">
        <v>8</v>
      </c>
    </row>
    <row r="2238" spans="1:13" s="21" customFormat="1" x14ac:dyDescent="0.25">
      <c r="A2238" s="22" t="s">
        <v>8</v>
      </c>
      <c r="B2238" s="18" t="str">
        <f>"105801"</f>
        <v>105801</v>
      </c>
      <c r="C2238" s="19" t="s">
        <v>2234</v>
      </c>
      <c r="D2238" s="19" t="s">
        <v>17670</v>
      </c>
      <c r="E2238" s="19" t="s">
        <v>31514</v>
      </c>
      <c r="F2238" s="19" t="s">
        <v>35983</v>
      </c>
      <c r="G2238" s="18" t="str">
        <f>"33417"</f>
        <v>33417</v>
      </c>
      <c r="H2238" s="19" t="s">
        <v>36130</v>
      </c>
      <c r="I2238" s="20">
        <v>22.405999999999999</v>
      </c>
      <c r="J2238" s="44" t="s">
        <v>8</v>
      </c>
      <c r="K2238" s="23" t="s">
        <v>8</v>
      </c>
      <c r="L2238" s="23" t="s">
        <v>8</v>
      </c>
      <c r="M2238" s="23" t="s">
        <v>8</v>
      </c>
    </row>
    <row r="2239" spans="1:13" s="21" customFormat="1" x14ac:dyDescent="0.25">
      <c r="A2239" s="22" t="s">
        <v>8</v>
      </c>
      <c r="B2239" s="18" t="str">
        <f>"105802"</f>
        <v>105802</v>
      </c>
      <c r="C2239" s="19" t="s">
        <v>2235</v>
      </c>
      <c r="D2239" s="19" t="s">
        <v>17671</v>
      </c>
      <c r="E2239" s="19" t="s">
        <v>30986</v>
      </c>
      <c r="F2239" s="19" t="s">
        <v>35983</v>
      </c>
      <c r="G2239" s="18" t="str">
        <f>"32344"</f>
        <v>32344</v>
      </c>
      <c r="H2239" s="19" t="s">
        <v>32391</v>
      </c>
      <c r="I2239" s="20">
        <v>18.425000000000001</v>
      </c>
      <c r="J2239" s="44" t="s">
        <v>8</v>
      </c>
      <c r="K2239" s="23" t="s">
        <v>8</v>
      </c>
      <c r="L2239" s="23" t="s">
        <v>8</v>
      </c>
      <c r="M2239" s="23" t="s">
        <v>8</v>
      </c>
    </row>
    <row r="2240" spans="1:13" s="21" customFormat="1" x14ac:dyDescent="0.25">
      <c r="A2240" s="22" t="s">
        <v>8</v>
      </c>
      <c r="B2240" s="18" t="str">
        <f>"105803"</f>
        <v>105803</v>
      </c>
      <c r="C2240" s="19" t="s">
        <v>2236</v>
      </c>
      <c r="D2240" s="19" t="s">
        <v>17672</v>
      </c>
      <c r="E2240" s="19" t="s">
        <v>31618</v>
      </c>
      <c r="F2240" s="19" t="s">
        <v>35983</v>
      </c>
      <c r="G2240" s="18" t="str">
        <f>"33010"</f>
        <v>33010</v>
      </c>
      <c r="H2240" s="19" t="s">
        <v>36126</v>
      </c>
      <c r="I2240" s="20">
        <v>21.873000000000001</v>
      </c>
      <c r="J2240" s="44" t="s">
        <v>8</v>
      </c>
      <c r="K2240" s="23" t="s">
        <v>8</v>
      </c>
      <c r="L2240" s="23" t="s">
        <v>8</v>
      </c>
      <c r="M2240" s="23" t="s">
        <v>8</v>
      </c>
    </row>
    <row r="2241" spans="1:13" s="21" customFormat="1" x14ac:dyDescent="0.25">
      <c r="A2241" s="22" t="s">
        <v>8</v>
      </c>
      <c r="B2241" s="18" t="str">
        <f>"105804"</f>
        <v>105804</v>
      </c>
      <c r="C2241" s="19" t="s">
        <v>2237</v>
      </c>
      <c r="D2241" s="19" t="s">
        <v>17673</v>
      </c>
      <c r="E2241" s="19" t="s">
        <v>31546</v>
      </c>
      <c r="F2241" s="19" t="s">
        <v>35983</v>
      </c>
      <c r="G2241" s="18" t="str">
        <f>"34947"</f>
        <v>34947</v>
      </c>
      <c r="H2241" s="19" t="s">
        <v>36136</v>
      </c>
      <c r="I2241" s="20">
        <v>22.013000000000002</v>
      </c>
      <c r="J2241" s="44" t="s">
        <v>8</v>
      </c>
      <c r="K2241" s="23" t="s">
        <v>8</v>
      </c>
      <c r="L2241" s="23" t="s">
        <v>8</v>
      </c>
      <c r="M2241" s="23" t="s">
        <v>8</v>
      </c>
    </row>
    <row r="2242" spans="1:13" s="21" customFormat="1" x14ac:dyDescent="0.25">
      <c r="A2242" s="22" t="s">
        <v>8</v>
      </c>
      <c r="B2242" s="18" t="str">
        <f>"105805"</f>
        <v>105805</v>
      </c>
      <c r="C2242" s="19" t="s">
        <v>2238</v>
      </c>
      <c r="D2242" s="19" t="s">
        <v>17674</v>
      </c>
      <c r="E2242" s="19" t="s">
        <v>31644</v>
      </c>
      <c r="F2242" s="19" t="s">
        <v>35983</v>
      </c>
      <c r="G2242" s="18" t="str">
        <f>"32177"</f>
        <v>32177</v>
      </c>
      <c r="H2242" s="19" t="s">
        <v>31482</v>
      </c>
      <c r="I2242" s="20">
        <v>18.065000000000001</v>
      </c>
      <c r="J2242" s="44" t="s">
        <v>8</v>
      </c>
      <c r="K2242" s="23" t="s">
        <v>8</v>
      </c>
      <c r="L2242" s="23" t="s">
        <v>8</v>
      </c>
      <c r="M2242" s="23" t="s">
        <v>8</v>
      </c>
    </row>
    <row r="2243" spans="1:13" s="21" customFormat="1" x14ac:dyDescent="0.25">
      <c r="A2243" s="22" t="s">
        <v>8</v>
      </c>
      <c r="B2243" s="18" t="str">
        <f>"105807"</f>
        <v>105807</v>
      </c>
      <c r="C2243" s="19" t="s">
        <v>2239</v>
      </c>
      <c r="D2243" s="19" t="s">
        <v>17675</v>
      </c>
      <c r="E2243" s="19" t="s">
        <v>30899</v>
      </c>
      <c r="F2243" s="19" t="s">
        <v>35983</v>
      </c>
      <c r="G2243" s="18" t="str">
        <f>"32340"</f>
        <v>32340</v>
      </c>
      <c r="H2243" s="19" t="s">
        <v>30899</v>
      </c>
      <c r="I2243" s="20">
        <v>20.719000000000001</v>
      </c>
      <c r="J2243" s="44" t="s">
        <v>8</v>
      </c>
      <c r="K2243" s="23" t="s">
        <v>8</v>
      </c>
      <c r="L2243" s="23" t="s">
        <v>8</v>
      </c>
      <c r="M2243" s="23" t="s">
        <v>8</v>
      </c>
    </row>
    <row r="2244" spans="1:13" s="21" customFormat="1" x14ac:dyDescent="0.25">
      <c r="A2244" s="22" t="s">
        <v>8</v>
      </c>
      <c r="B2244" s="18" t="str">
        <f>"105808"</f>
        <v>105808</v>
      </c>
      <c r="C2244" s="19" t="s">
        <v>2240</v>
      </c>
      <c r="D2244" s="19" t="s">
        <v>17676</v>
      </c>
      <c r="E2244" s="19" t="s">
        <v>31315</v>
      </c>
      <c r="F2244" s="19" t="s">
        <v>35983</v>
      </c>
      <c r="G2244" s="18" t="str">
        <f>"32112"</f>
        <v>32112</v>
      </c>
      <c r="H2244" s="19" t="s">
        <v>31482</v>
      </c>
      <c r="I2244" s="20">
        <v>16.957999999999998</v>
      </c>
      <c r="J2244" s="44" t="s">
        <v>8</v>
      </c>
      <c r="K2244" s="23" t="s">
        <v>8</v>
      </c>
      <c r="L2244" s="23" t="s">
        <v>8</v>
      </c>
      <c r="M2244" s="23" t="s">
        <v>8</v>
      </c>
    </row>
    <row r="2245" spans="1:13" s="21" customFormat="1" x14ac:dyDescent="0.25">
      <c r="A2245" s="22" t="s">
        <v>8</v>
      </c>
      <c r="B2245" s="18" t="str">
        <f>"105809"</f>
        <v>105809</v>
      </c>
      <c r="C2245" s="19" t="s">
        <v>2241</v>
      </c>
      <c r="D2245" s="19" t="s">
        <v>17677</v>
      </c>
      <c r="E2245" s="19" t="s">
        <v>5397</v>
      </c>
      <c r="F2245" s="19" t="s">
        <v>35983</v>
      </c>
      <c r="G2245" s="18" t="str">
        <f>"32060"</f>
        <v>32060</v>
      </c>
      <c r="H2245" s="19" t="s">
        <v>36146</v>
      </c>
      <c r="I2245" s="20">
        <v>17.956</v>
      </c>
      <c r="J2245" s="44" t="s">
        <v>8</v>
      </c>
      <c r="K2245" s="23" t="s">
        <v>8</v>
      </c>
      <c r="L2245" s="23" t="s">
        <v>8</v>
      </c>
      <c r="M2245" s="23" t="s">
        <v>8</v>
      </c>
    </row>
    <row r="2246" spans="1:13" s="21" customFormat="1" x14ac:dyDescent="0.25">
      <c r="A2246" s="22" t="s">
        <v>8</v>
      </c>
      <c r="B2246" s="18" t="str">
        <f>"105810"</f>
        <v>105810</v>
      </c>
      <c r="C2246" s="19" t="s">
        <v>2242</v>
      </c>
      <c r="D2246" s="19" t="s">
        <v>17678</v>
      </c>
      <c r="E2246" s="19" t="s">
        <v>31531</v>
      </c>
      <c r="F2246" s="19" t="s">
        <v>35983</v>
      </c>
      <c r="G2246" s="18" t="str">
        <f>"32304"</f>
        <v>32304</v>
      </c>
      <c r="H2246" s="19" t="s">
        <v>32404</v>
      </c>
      <c r="I2246" s="20">
        <v>19.065999999999999</v>
      </c>
      <c r="J2246" s="44" t="s">
        <v>8</v>
      </c>
      <c r="K2246" s="23" t="s">
        <v>8</v>
      </c>
      <c r="L2246" s="23" t="s">
        <v>8</v>
      </c>
      <c r="M2246" s="23" t="s">
        <v>8</v>
      </c>
    </row>
    <row r="2247" spans="1:13" s="21" customFormat="1" x14ac:dyDescent="0.25">
      <c r="A2247" s="22" t="s">
        <v>8</v>
      </c>
      <c r="B2247" s="18" t="str">
        <f>"105812"</f>
        <v>105812</v>
      </c>
      <c r="C2247" s="19" t="s">
        <v>2243</v>
      </c>
      <c r="D2247" s="19" t="s">
        <v>17679</v>
      </c>
      <c r="E2247" s="19" t="s">
        <v>31659</v>
      </c>
      <c r="F2247" s="19" t="s">
        <v>35983</v>
      </c>
      <c r="G2247" s="18" t="str">
        <f>"33825"</f>
        <v>33825</v>
      </c>
      <c r="H2247" s="19" t="s">
        <v>34344</v>
      </c>
      <c r="I2247" s="20">
        <v>18.202999999999999</v>
      </c>
      <c r="J2247" s="44" t="s">
        <v>8</v>
      </c>
      <c r="K2247" s="23" t="s">
        <v>8</v>
      </c>
      <c r="L2247" s="23" t="s">
        <v>8</v>
      </c>
      <c r="M2247" s="23" t="s">
        <v>8</v>
      </c>
    </row>
    <row r="2248" spans="1:13" s="21" customFormat="1" x14ac:dyDescent="0.25">
      <c r="A2248" s="22" t="s">
        <v>8</v>
      </c>
      <c r="B2248" s="18" t="str">
        <f>"105813"</f>
        <v>105813</v>
      </c>
      <c r="C2248" s="19" t="s">
        <v>2244</v>
      </c>
      <c r="D2248" s="19" t="s">
        <v>17680</v>
      </c>
      <c r="E2248" s="19" t="s">
        <v>30912</v>
      </c>
      <c r="F2248" s="19" t="s">
        <v>35983</v>
      </c>
      <c r="G2248" s="18" t="str">
        <f>"32204"</f>
        <v>32204</v>
      </c>
      <c r="H2248" s="19" t="s">
        <v>36129</v>
      </c>
      <c r="I2248" s="20">
        <v>19.14</v>
      </c>
      <c r="J2248" s="44" t="s">
        <v>8</v>
      </c>
      <c r="K2248" s="23" t="s">
        <v>8</v>
      </c>
      <c r="L2248" s="23" t="s">
        <v>8</v>
      </c>
      <c r="M2248" s="23" t="s">
        <v>8</v>
      </c>
    </row>
    <row r="2249" spans="1:13" s="21" customFormat="1" x14ac:dyDescent="0.25">
      <c r="A2249" s="22" t="s">
        <v>8</v>
      </c>
      <c r="B2249" s="18" t="str">
        <f>"105816"</f>
        <v>105816</v>
      </c>
      <c r="C2249" s="19" t="s">
        <v>2245</v>
      </c>
      <c r="D2249" s="19" t="s">
        <v>17681</v>
      </c>
      <c r="E2249" s="19" t="s">
        <v>31566</v>
      </c>
      <c r="F2249" s="19" t="s">
        <v>35983</v>
      </c>
      <c r="G2249" s="18" t="str">
        <f>"32084"</f>
        <v>32084</v>
      </c>
      <c r="H2249" s="19" t="s">
        <v>33300</v>
      </c>
      <c r="I2249" s="20">
        <v>18.605</v>
      </c>
      <c r="J2249" s="44" t="s">
        <v>8</v>
      </c>
      <c r="K2249" s="23" t="s">
        <v>8</v>
      </c>
      <c r="L2249" s="23" t="s">
        <v>8</v>
      </c>
      <c r="M2249" s="23" t="s">
        <v>8</v>
      </c>
    </row>
    <row r="2250" spans="1:13" s="21" customFormat="1" x14ac:dyDescent="0.25">
      <c r="A2250" s="22" t="s">
        <v>8</v>
      </c>
      <c r="B2250" s="18" t="str">
        <f>"105817"</f>
        <v>105817</v>
      </c>
      <c r="C2250" s="19" t="s">
        <v>2246</v>
      </c>
      <c r="D2250" s="19" t="s">
        <v>17682</v>
      </c>
      <c r="E2250" s="19" t="s">
        <v>31528</v>
      </c>
      <c r="F2250" s="19" t="s">
        <v>35983</v>
      </c>
      <c r="G2250" s="18" t="str">
        <f>"34236"</f>
        <v>34236</v>
      </c>
      <c r="H2250" s="19" t="s">
        <v>31528</v>
      </c>
      <c r="I2250" s="20">
        <v>18.363</v>
      </c>
      <c r="J2250" s="44" t="s">
        <v>8</v>
      </c>
      <c r="K2250" s="23" t="s">
        <v>8</v>
      </c>
      <c r="L2250" s="23" t="s">
        <v>8</v>
      </c>
      <c r="M2250" s="23" t="s">
        <v>8</v>
      </c>
    </row>
    <row r="2251" spans="1:13" s="21" customFormat="1" x14ac:dyDescent="0.25">
      <c r="A2251" s="22" t="s">
        <v>8</v>
      </c>
      <c r="B2251" s="18" t="str">
        <f>"105819"</f>
        <v>105819</v>
      </c>
      <c r="C2251" s="19" t="s">
        <v>2247</v>
      </c>
      <c r="D2251" s="19" t="s">
        <v>17683</v>
      </c>
      <c r="E2251" s="19" t="s">
        <v>31594</v>
      </c>
      <c r="F2251" s="19" t="s">
        <v>35983</v>
      </c>
      <c r="G2251" s="18" t="str">
        <f>"34952"</f>
        <v>34952</v>
      </c>
      <c r="H2251" s="19" t="s">
        <v>36136</v>
      </c>
      <c r="I2251" s="20">
        <v>24.818000000000001</v>
      </c>
      <c r="J2251" s="44" t="s">
        <v>8</v>
      </c>
      <c r="K2251" s="23" t="s">
        <v>8</v>
      </c>
      <c r="L2251" s="23" t="s">
        <v>8</v>
      </c>
      <c r="M2251" s="23" t="s">
        <v>8</v>
      </c>
    </row>
    <row r="2252" spans="1:13" s="21" customFormat="1" x14ac:dyDescent="0.25">
      <c r="A2252" s="22" t="s">
        <v>8</v>
      </c>
      <c r="B2252" s="18" t="str">
        <f>"105820"</f>
        <v>105820</v>
      </c>
      <c r="C2252" s="19" t="s">
        <v>2248</v>
      </c>
      <c r="D2252" s="19" t="s">
        <v>17684</v>
      </c>
      <c r="E2252" s="19" t="s">
        <v>30912</v>
      </c>
      <c r="F2252" s="19" t="s">
        <v>35983</v>
      </c>
      <c r="G2252" s="18" t="str">
        <f>"32207"</f>
        <v>32207</v>
      </c>
      <c r="H2252" s="19" t="s">
        <v>36129</v>
      </c>
      <c r="I2252" s="20">
        <v>18.744</v>
      </c>
      <c r="J2252" s="44" t="s">
        <v>8</v>
      </c>
      <c r="K2252" s="23" t="s">
        <v>8</v>
      </c>
      <c r="L2252" s="23" t="s">
        <v>8</v>
      </c>
      <c r="M2252" s="23" t="s">
        <v>8</v>
      </c>
    </row>
    <row r="2253" spans="1:13" s="21" customFormat="1" x14ac:dyDescent="0.25">
      <c r="A2253" s="22" t="s">
        <v>8</v>
      </c>
      <c r="B2253" s="18" t="str">
        <f>"105821"</f>
        <v>105821</v>
      </c>
      <c r="C2253" s="19" t="s">
        <v>2249</v>
      </c>
      <c r="D2253" s="19" t="s">
        <v>17685</v>
      </c>
      <c r="E2253" s="19" t="s">
        <v>30912</v>
      </c>
      <c r="F2253" s="19" t="s">
        <v>35983</v>
      </c>
      <c r="G2253" s="18" t="str">
        <f>"32217"</f>
        <v>32217</v>
      </c>
      <c r="H2253" s="19" t="s">
        <v>36129</v>
      </c>
      <c r="I2253" s="20">
        <v>22.478000000000002</v>
      </c>
      <c r="J2253" s="44" t="s">
        <v>8</v>
      </c>
      <c r="K2253" s="23" t="s">
        <v>8</v>
      </c>
      <c r="L2253" s="23" t="s">
        <v>8</v>
      </c>
      <c r="M2253" s="23" t="s">
        <v>8</v>
      </c>
    </row>
    <row r="2254" spans="1:13" s="21" customFormat="1" x14ac:dyDescent="0.25">
      <c r="A2254" s="22" t="s">
        <v>8</v>
      </c>
      <c r="B2254" s="18" t="str">
        <f>"105822"</f>
        <v>105822</v>
      </c>
      <c r="C2254" s="19" t="s">
        <v>2250</v>
      </c>
      <c r="D2254" s="19" t="s">
        <v>17686</v>
      </c>
      <c r="E2254" s="19" t="s">
        <v>31506</v>
      </c>
      <c r="F2254" s="19" t="s">
        <v>35983</v>
      </c>
      <c r="G2254" s="18" t="str">
        <f>"32114"</f>
        <v>32114</v>
      </c>
      <c r="H2254" s="19" t="s">
        <v>36125</v>
      </c>
      <c r="I2254" s="20">
        <v>21.561</v>
      </c>
      <c r="J2254" s="44" t="s">
        <v>8</v>
      </c>
      <c r="K2254" s="23" t="s">
        <v>8</v>
      </c>
      <c r="L2254" s="23" t="s">
        <v>8</v>
      </c>
      <c r="M2254" s="23" t="s">
        <v>8</v>
      </c>
    </row>
    <row r="2255" spans="1:13" s="21" customFormat="1" x14ac:dyDescent="0.25">
      <c r="A2255" s="22" t="s">
        <v>8</v>
      </c>
      <c r="B2255" s="18" t="str">
        <f>"105823"</f>
        <v>105823</v>
      </c>
      <c r="C2255" s="19" t="s">
        <v>2251</v>
      </c>
      <c r="D2255" s="19" t="s">
        <v>17687</v>
      </c>
      <c r="E2255" s="19" t="s">
        <v>31556</v>
      </c>
      <c r="F2255" s="19" t="s">
        <v>35983</v>
      </c>
      <c r="G2255" s="18" t="str">
        <f>"33830"</f>
        <v>33830</v>
      </c>
      <c r="H2255" s="19" t="s">
        <v>36062</v>
      </c>
      <c r="I2255" s="20">
        <v>17.602</v>
      </c>
      <c r="J2255" s="44" t="s">
        <v>8</v>
      </c>
      <c r="K2255" s="23" t="s">
        <v>8</v>
      </c>
      <c r="L2255" s="23" t="s">
        <v>8</v>
      </c>
      <c r="M2255" s="23" t="s">
        <v>8</v>
      </c>
    </row>
    <row r="2256" spans="1:13" s="21" customFormat="1" x14ac:dyDescent="0.25">
      <c r="A2256" s="22" t="s">
        <v>8</v>
      </c>
      <c r="B2256" s="18" t="str">
        <f>"105824"</f>
        <v>105824</v>
      </c>
      <c r="C2256" s="19" t="s">
        <v>2252</v>
      </c>
      <c r="D2256" s="19" t="s">
        <v>17688</v>
      </c>
      <c r="E2256" s="19" t="s">
        <v>30817</v>
      </c>
      <c r="F2256" s="19" t="s">
        <v>35983</v>
      </c>
      <c r="G2256" s="18" t="str">
        <f>"32331"</f>
        <v>32331</v>
      </c>
      <c r="H2256" s="19" t="s">
        <v>30899</v>
      </c>
      <c r="I2256" s="20">
        <v>17.728000000000002</v>
      </c>
      <c r="J2256" s="44" t="s">
        <v>8</v>
      </c>
      <c r="K2256" s="23" t="s">
        <v>8</v>
      </c>
      <c r="L2256" s="23" t="s">
        <v>8</v>
      </c>
      <c r="M2256" s="23" t="s">
        <v>8</v>
      </c>
    </row>
    <row r="2257" spans="1:13" s="21" customFormat="1" x14ac:dyDescent="0.25">
      <c r="A2257" s="22" t="s">
        <v>8</v>
      </c>
      <c r="B2257" s="18" t="str">
        <f>"105825"</f>
        <v>105825</v>
      </c>
      <c r="C2257" s="19" t="s">
        <v>2253</v>
      </c>
      <c r="D2257" s="19" t="s">
        <v>17689</v>
      </c>
      <c r="E2257" s="19" t="s">
        <v>30854</v>
      </c>
      <c r="F2257" s="19" t="s">
        <v>35983</v>
      </c>
      <c r="G2257" s="18" t="str">
        <f>"32052"</f>
        <v>32052</v>
      </c>
      <c r="H2257" s="19" t="s">
        <v>30804</v>
      </c>
      <c r="I2257" s="20">
        <v>19.13</v>
      </c>
      <c r="J2257" s="44" t="s">
        <v>8</v>
      </c>
      <c r="K2257" s="23" t="s">
        <v>8</v>
      </c>
      <c r="L2257" s="23" t="s">
        <v>8</v>
      </c>
      <c r="M2257" s="23" t="s">
        <v>8</v>
      </c>
    </row>
    <row r="2258" spans="1:13" s="21" customFormat="1" x14ac:dyDescent="0.25">
      <c r="A2258" s="22" t="s">
        <v>8</v>
      </c>
      <c r="B2258" s="18" t="str">
        <f>"105826"</f>
        <v>105826</v>
      </c>
      <c r="C2258" s="19" t="s">
        <v>2254</v>
      </c>
      <c r="D2258" s="19" t="s">
        <v>17690</v>
      </c>
      <c r="E2258" s="19" t="s">
        <v>30912</v>
      </c>
      <c r="F2258" s="19" t="s">
        <v>35983</v>
      </c>
      <c r="G2258" s="18" t="str">
        <f>"32218"</f>
        <v>32218</v>
      </c>
      <c r="H2258" s="19" t="s">
        <v>36129</v>
      </c>
      <c r="I2258" s="20">
        <v>20.257999999999999</v>
      </c>
      <c r="J2258" s="44" t="s">
        <v>8</v>
      </c>
      <c r="K2258" s="23" t="s">
        <v>8</v>
      </c>
      <c r="L2258" s="23" t="s">
        <v>8</v>
      </c>
      <c r="M2258" s="23" t="s">
        <v>8</v>
      </c>
    </row>
    <row r="2259" spans="1:13" s="21" customFormat="1" x14ac:dyDescent="0.25">
      <c r="A2259" s="22" t="s">
        <v>8</v>
      </c>
      <c r="B2259" s="18" t="str">
        <f>"105827"</f>
        <v>105827</v>
      </c>
      <c r="C2259" s="19" t="s">
        <v>2255</v>
      </c>
      <c r="D2259" s="19" t="s">
        <v>17691</v>
      </c>
      <c r="E2259" s="19" t="s">
        <v>31523</v>
      </c>
      <c r="F2259" s="19" t="s">
        <v>35983</v>
      </c>
      <c r="G2259" s="18" t="str">
        <f>"33461"</f>
        <v>33461</v>
      </c>
      <c r="H2259" s="19" t="s">
        <v>36130</v>
      </c>
      <c r="I2259" s="20">
        <v>19.838999999999999</v>
      </c>
      <c r="J2259" s="44" t="s">
        <v>8</v>
      </c>
      <c r="K2259" s="23" t="s">
        <v>8</v>
      </c>
      <c r="L2259" s="23" t="s">
        <v>8</v>
      </c>
      <c r="M2259" s="23" t="s">
        <v>8</v>
      </c>
    </row>
    <row r="2260" spans="1:13" s="21" customFormat="1" x14ac:dyDescent="0.25">
      <c r="A2260" s="22" t="s">
        <v>8</v>
      </c>
      <c r="B2260" s="18" t="str">
        <f>"105828"</f>
        <v>105828</v>
      </c>
      <c r="C2260" s="19" t="s">
        <v>2256</v>
      </c>
      <c r="D2260" s="19" t="s">
        <v>17692</v>
      </c>
      <c r="E2260" s="19" t="s">
        <v>31661</v>
      </c>
      <c r="F2260" s="19" t="s">
        <v>35983</v>
      </c>
      <c r="G2260" s="18" t="str">
        <f>"34990"</f>
        <v>34990</v>
      </c>
      <c r="H2260" s="19" t="s">
        <v>35168</v>
      </c>
      <c r="I2260" s="20">
        <v>21.138999999999999</v>
      </c>
      <c r="J2260" s="44" t="s">
        <v>8</v>
      </c>
      <c r="K2260" s="23" t="s">
        <v>8</v>
      </c>
      <c r="L2260" s="23" t="s">
        <v>8</v>
      </c>
      <c r="M2260" s="23" t="s">
        <v>8</v>
      </c>
    </row>
    <row r="2261" spans="1:13" s="21" customFormat="1" x14ac:dyDescent="0.25">
      <c r="A2261" s="22" t="s">
        <v>8</v>
      </c>
      <c r="B2261" s="18" t="str">
        <f>"105831"</f>
        <v>105831</v>
      </c>
      <c r="C2261" s="19" t="s">
        <v>2257</v>
      </c>
      <c r="D2261" s="19" t="s">
        <v>17693</v>
      </c>
      <c r="E2261" s="19" t="s">
        <v>31661</v>
      </c>
      <c r="F2261" s="19" t="s">
        <v>35983</v>
      </c>
      <c r="G2261" s="18" t="str">
        <f>"34990"</f>
        <v>34990</v>
      </c>
      <c r="H2261" s="19" t="s">
        <v>35168</v>
      </c>
      <c r="I2261" s="20">
        <v>25.010999999999999</v>
      </c>
      <c r="J2261" s="44" t="s">
        <v>8</v>
      </c>
      <c r="K2261" s="23" t="s">
        <v>8</v>
      </c>
      <c r="L2261" s="23" t="s">
        <v>8</v>
      </c>
      <c r="M2261" s="23" t="s">
        <v>8</v>
      </c>
    </row>
    <row r="2262" spans="1:13" s="21" customFormat="1" x14ac:dyDescent="0.25">
      <c r="A2262" s="22" t="s">
        <v>8</v>
      </c>
      <c r="B2262" s="18" t="str">
        <f>"105832"</f>
        <v>105832</v>
      </c>
      <c r="C2262" s="19" t="s">
        <v>2258</v>
      </c>
      <c r="D2262" s="19" t="s">
        <v>17694</v>
      </c>
      <c r="E2262" s="19" t="s">
        <v>31594</v>
      </c>
      <c r="F2262" s="19" t="s">
        <v>35983</v>
      </c>
      <c r="G2262" s="18" t="str">
        <f>"34952"</f>
        <v>34952</v>
      </c>
      <c r="H2262" s="19" t="s">
        <v>36136</v>
      </c>
      <c r="I2262" s="20">
        <v>23.146999999999998</v>
      </c>
      <c r="J2262" s="44" t="s">
        <v>8</v>
      </c>
      <c r="K2262" s="23" t="s">
        <v>8</v>
      </c>
      <c r="L2262" s="23" t="s">
        <v>8</v>
      </c>
      <c r="M2262" s="23" t="s">
        <v>8</v>
      </c>
    </row>
    <row r="2263" spans="1:13" s="21" customFormat="1" x14ac:dyDescent="0.25">
      <c r="A2263" s="22" t="s">
        <v>8</v>
      </c>
      <c r="B2263" s="18" t="str">
        <f>"105833"</f>
        <v>105833</v>
      </c>
      <c r="C2263" s="19" t="s">
        <v>2259</v>
      </c>
      <c r="D2263" s="19" t="s">
        <v>17695</v>
      </c>
      <c r="E2263" s="19" t="s">
        <v>31517</v>
      </c>
      <c r="F2263" s="19" t="s">
        <v>35983</v>
      </c>
      <c r="G2263" s="18" t="str">
        <f>"33705"</f>
        <v>33705</v>
      </c>
      <c r="H2263" s="19" t="s">
        <v>36128</v>
      </c>
      <c r="I2263" s="20">
        <v>19.576000000000001</v>
      </c>
      <c r="J2263" s="44" t="s">
        <v>8</v>
      </c>
      <c r="K2263" s="23" t="s">
        <v>8</v>
      </c>
      <c r="L2263" s="23" t="s">
        <v>8</v>
      </c>
      <c r="M2263" s="23" t="s">
        <v>8</v>
      </c>
    </row>
    <row r="2264" spans="1:13" s="21" customFormat="1" x14ac:dyDescent="0.25">
      <c r="A2264" s="22" t="s">
        <v>8</v>
      </c>
      <c r="B2264" s="18" t="str">
        <f>"105834"</f>
        <v>105834</v>
      </c>
      <c r="C2264" s="19" t="s">
        <v>2260</v>
      </c>
      <c r="D2264" s="19" t="s">
        <v>17696</v>
      </c>
      <c r="E2264" s="19" t="s">
        <v>30912</v>
      </c>
      <c r="F2264" s="19" t="s">
        <v>35983</v>
      </c>
      <c r="G2264" s="18" t="str">
        <f>"32202"</f>
        <v>32202</v>
      </c>
      <c r="H2264" s="19" t="s">
        <v>36129</v>
      </c>
      <c r="I2264" s="20">
        <v>22.207999999999998</v>
      </c>
      <c r="J2264" s="44" t="s">
        <v>8</v>
      </c>
      <c r="K2264" s="23" t="s">
        <v>8</v>
      </c>
      <c r="L2264" s="23" t="s">
        <v>8</v>
      </c>
      <c r="M2264" s="23" t="s">
        <v>8</v>
      </c>
    </row>
    <row r="2265" spans="1:13" s="21" customFormat="1" x14ac:dyDescent="0.25">
      <c r="A2265" s="22" t="s">
        <v>8</v>
      </c>
      <c r="B2265" s="18" t="str">
        <f>"105835"</f>
        <v>105835</v>
      </c>
      <c r="C2265" s="19" t="s">
        <v>2261</v>
      </c>
      <c r="D2265" s="19" t="s">
        <v>17697</v>
      </c>
      <c r="E2265" s="19" t="s">
        <v>31523</v>
      </c>
      <c r="F2265" s="19" t="s">
        <v>35983</v>
      </c>
      <c r="G2265" s="18" t="str">
        <f>"33463"</f>
        <v>33463</v>
      </c>
      <c r="H2265" s="19" t="s">
        <v>36130</v>
      </c>
      <c r="I2265" s="20">
        <v>18.911999999999999</v>
      </c>
      <c r="J2265" s="44" t="s">
        <v>8</v>
      </c>
      <c r="K2265" s="23" t="s">
        <v>8</v>
      </c>
      <c r="L2265" s="23" t="s">
        <v>8</v>
      </c>
      <c r="M2265" s="23" t="s">
        <v>8</v>
      </c>
    </row>
    <row r="2266" spans="1:13" s="21" customFormat="1" x14ac:dyDescent="0.25">
      <c r="A2266" s="22" t="s">
        <v>8</v>
      </c>
      <c r="B2266" s="18" t="str">
        <f>"105837"</f>
        <v>105837</v>
      </c>
      <c r="C2266" s="19" t="s">
        <v>2262</v>
      </c>
      <c r="D2266" s="19" t="s">
        <v>17698</v>
      </c>
      <c r="E2266" s="19" t="s">
        <v>31518</v>
      </c>
      <c r="F2266" s="19" t="s">
        <v>35983</v>
      </c>
      <c r="G2266" s="18" t="str">
        <f>"33436"</f>
        <v>33436</v>
      </c>
      <c r="H2266" s="19" t="s">
        <v>36130</v>
      </c>
      <c r="I2266" s="20">
        <v>21.07</v>
      </c>
      <c r="J2266" s="44" t="s">
        <v>8</v>
      </c>
      <c r="K2266" s="23" t="s">
        <v>8</v>
      </c>
      <c r="L2266" s="23" t="s">
        <v>8</v>
      </c>
      <c r="M2266" s="23" t="s">
        <v>8</v>
      </c>
    </row>
    <row r="2267" spans="1:13" s="21" customFormat="1" x14ac:dyDescent="0.25">
      <c r="A2267" s="22" t="s">
        <v>8</v>
      </c>
      <c r="B2267" s="18" t="str">
        <f>"105838"</f>
        <v>105838</v>
      </c>
      <c r="C2267" s="19" t="s">
        <v>2263</v>
      </c>
      <c r="D2267" s="19" t="s">
        <v>17699</v>
      </c>
      <c r="E2267" s="19" t="s">
        <v>31662</v>
      </c>
      <c r="F2267" s="19" t="s">
        <v>35983</v>
      </c>
      <c r="G2267" s="18" t="str">
        <f>"33418"</f>
        <v>33418</v>
      </c>
      <c r="H2267" s="19" t="s">
        <v>36130</v>
      </c>
      <c r="I2267" s="20">
        <v>17.939</v>
      </c>
      <c r="J2267" s="44" t="s">
        <v>8</v>
      </c>
      <c r="K2267" s="23" t="s">
        <v>8</v>
      </c>
      <c r="L2267" s="23" t="s">
        <v>8</v>
      </c>
      <c r="M2267" s="23" t="s">
        <v>8</v>
      </c>
    </row>
    <row r="2268" spans="1:13" s="21" customFormat="1" x14ac:dyDescent="0.25">
      <c r="A2268" s="22" t="s">
        <v>8</v>
      </c>
      <c r="B2268" s="18" t="str">
        <f>"105839"</f>
        <v>105839</v>
      </c>
      <c r="C2268" s="19" t="s">
        <v>2264</v>
      </c>
      <c r="D2268" s="19" t="s">
        <v>17700</v>
      </c>
      <c r="E2268" s="19" t="s">
        <v>31586</v>
      </c>
      <c r="F2268" s="19" t="s">
        <v>35983</v>
      </c>
      <c r="G2268" s="18" t="str">
        <f>"34741"</f>
        <v>34741</v>
      </c>
      <c r="H2268" s="19" t="s">
        <v>31089</v>
      </c>
      <c r="I2268" s="20">
        <v>24.393000000000001</v>
      </c>
      <c r="J2268" s="44" t="s">
        <v>8</v>
      </c>
      <c r="K2268" s="23" t="s">
        <v>8</v>
      </c>
      <c r="L2268" s="23" t="s">
        <v>8</v>
      </c>
      <c r="M2268" s="23" t="s">
        <v>8</v>
      </c>
    </row>
    <row r="2269" spans="1:13" s="21" customFormat="1" x14ac:dyDescent="0.25">
      <c r="A2269" s="22" t="s">
        <v>8</v>
      </c>
      <c r="B2269" s="18" t="str">
        <f>"105840"</f>
        <v>105840</v>
      </c>
      <c r="C2269" s="19" t="s">
        <v>2265</v>
      </c>
      <c r="D2269" s="19" t="s">
        <v>17701</v>
      </c>
      <c r="E2269" s="19" t="s">
        <v>31506</v>
      </c>
      <c r="F2269" s="19" t="s">
        <v>35983</v>
      </c>
      <c r="G2269" s="18" t="str">
        <f>"32117"</f>
        <v>32117</v>
      </c>
      <c r="H2269" s="19" t="s">
        <v>36125</v>
      </c>
      <c r="I2269" s="20">
        <v>19.635000000000002</v>
      </c>
      <c r="J2269" s="44" t="s">
        <v>8</v>
      </c>
      <c r="K2269" s="23" t="s">
        <v>8</v>
      </c>
      <c r="L2269" s="23" t="s">
        <v>8</v>
      </c>
      <c r="M2269" s="23" t="s">
        <v>8</v>
      </c>
    </row>
    <row r="2270" spans="1:13" s="21" customFormat="1" x14ac:dyDescent="0.25">
      <c r="A2270" s="22" t="s">
        <v>8</v>
      </c>
      <c r="B2270" s="18" t="str">
        <f>"105842"</f>
        <v>105842</v>
      </c>
      <c r="C2270" s="19" t="s">
        <v>2266</v>
      </c>
      <c r="D2270" s="19" t="s">
        <v>17702</v>
      </c>
      <c r="E2270" s="19" t="s">
        <v>31528</v>
      </c>
      <c r="F2270" s="19" t="s">
        <v>35983</v>
      </c>
      <c r="G2270" s="18" t="str">
        <f>"34233"</f>
        <v>34233</v>
      </c>
      <c r="H2270" s="19" t="s">
        <v>31528</v>
      </c>
      <c r="I2270" s="20">
        <v>18.445</v>
      </c>
      <c r="J2270" s="44" t="s">
        <v>8</v>
      </c>
      <c r="K2270" s="23" t="s">
        <v>8</v>
      </c>
      <c r="L2270" s="23" t="s">
        <v>8</v>
      </c>
      <c r="M2270" s="23" t="s">
        <v>8</v>
      </c>
    </row>
    <row r="2271" spans="1:13" s="21" customFormat="1" x14ac:dyDescent="0.25">
      <c r="A2271" s="22" t="s">
        <v>8</v>
      </c>
      <c r="B2271" s="18" t="str">
        <f>"105843"</f>
        <v>105843</v>
      </c>
      <c r="C2271" s="19" t="s">
        <v>2267</v>
      </c>
      <c r="D2271" s="19" t="s">
        <v>17703</v>
      </c>
      <c r="E2271" s="19" t="s">
        <v>31581</v>
      </c>
      <c r="F2271" s="19" t="s">
        <v>35983</v>
      </c>
      <c r="G2271" s="18" t="str">
        <f>"32714"</f>
        <v>32714</v>
      </c>
      <c r="H2271" s="19" t="s">
        <v>31595</v>
      </c>
      <c r="I2271" s="20">
        <v>17.745999999999999</v>
      </c>
      <c r="J2271" s="44" t="s">
        <v>8</v>
      </c>
      <c r="K2271" s="23" t="s">
        <v>8</v>
      </c>
      <c r="L2271" s="23" t="s">
        <v>8</v>
      </c>
      <c r="M2271" s="23" t="s">
        <v>8</v>
      </c>
    </row>
    <row r="2272" spans="1:13" s="21" customFormat="1" x14ac:dyDescent="0.25">
      <c r="A2272" s="22" t="s">
        <v>8</v>
      </c>
      <c r="B2272" s="18" t="str">
        <f>"105846"</f>
        <v>105846</v>
      </c>
      <c r="C2272" s="19" t="s">
        <v>2268</v>
      </c>
      <c r="D2272" s="19" t="s">
        <v>17704</v>
      </c>
      <c r="E2272" s="19" t="s">
        <v>31055</v>
      </c>
      <c r="F2272" s="19" t="s">
        <v>35983</v>
      </c>
      <c r="G2272" s="18" t="str">
        <f>"32025"</f>
        <v>32025</v>
      </c>
      <c r="H2272" s="19" t="s">
        <v>32076</v>
      </c>
      <c r="I2272" s="20">
        <v>20.93</v>
      </c>
      <c r="J2272" s="44" t="s">
        <v>8</v>
      </c>
      <c r="K2272" s="23" t="s">
        <v>8</v>
      </c>
      <c r="L2272" s="23" t="s">
        <v>8</v>
      </c>
      <c r="M2272" s="23" t="s">
        <v>8</v>
      </c>
    </row>
    <row r="2273" spans="1:13" s="21" customFormat="1" x14ac:dyDescent="0.25">
      <c r="A2273" s="22" t="s">
        <v>8</v>
      </c>
      <c r="B2273" s="18" t="str">
        <f>"105849"</f>
        <v>105849</v>
      </c>
      <c r="C2273" s="19" t="s">
        <v>2269</v>
      </c>
      <c r="D2273" s="19" t="s">
        <v>17705</v>
      </c>
      <c r="E2273" s="19" t="s">
        <v>31595</v>
      </c>
      <c r="F2273" s="19" t="s">
        <v>35983</v>
      </c>
      <c r="G2273" s="18" t="str">
        <f>"33778"</f>
        <v>33778</v>
      </c>
      <c r="H2273" s="19" t="s">
        <v>36128</v>
      </c>
      <c r="I2273" s="20">
        <v>16.318999999999999</v>
      </c>
      <c r="J2273" s="44" t="s">
        <v>8</v>
      </c>
      <c r="K2273" s="23" t="s">
        <v>8</v>
      </c>
      <c r="L2273" s="23" t="s">
        <v>8</v>
      </c>
      <c r="M2273" s="23" t="s">
        <v>8</v>
      </c>
    </row>
    <row r="2274" spans="1:13" s="21" customFormat="1" x14ac:dyDescent="0.25">
      <c r="A2274" s="22" t="s">
        <v>8</v>
      </c>
      <c r="B2274" s="18" t="str">
        <f>"105850"</f>
        <v>105850</v>
      </c>
      <c r="C2274" s="19" t="s">
        <v>2270</v>
      </c>
      <c r="D2274" s="19" t="s">
        <v>17706</v>
      </c>
      <c r="E2274" s="19" t="s">
        <v>31518</v>
      </c>
      <c r="F2274" s="19" t="s">
        <v>35983</v>
      </c>
      <c r="G2274" s="18" t="str">
        <f>"33426"</f>
        <v>33426</v>
      </c>
      <c r="H2274" s="19" t="s">
        <v>36130</v>
      </c>
      <c r="I2274" s="20">
        <v>19.216000000000001</v>
      </c>
      <c r="J2274" s="44" t="s">
        <v>8</v>
      </c>
      <c r="K2274" s="23" t="s">
        <v>8</v>
      </c>
      <c r="L2274" s="23" t="s">
        <v>8</v>
      </c>
      <c r="M2274" s="23" t="s">
        <v>8</v>
      </c>
    </row>
    <row r="2275" spans="1:13" s="21" customFormat="1" x14ac:dyDescent="0.25">
      <c r="A2275" s="22" t="s">
        <v>8</v>
      </c>
      <c r="B2275" s="18" t="str">
        <f>"105851"</f>
        <v>105851</v>
      </c>
      <c r="C2275" s="19" t="s">
        <v>2271</v>
      </c>
      <c r="D2275" s="19" t="s">
        <v>17707</v>
      </c>
      <c r="E2275" s="19" t="s">
        <v>31520</v>
      </c>
      <c r="F2275" s="19" t="s">
        <v>35983</v>
      </c>
      <c r="G2275" s="18" t="str">
        <f>"33433"</f>
        <v>33433</v>
      </c>
      <c r="H2275" s="19" t="s">
        <v>36130</v>
      </c>
      <c r="I2275" s="20">
        <v>24.414000000000001</v>
      </c>
      <c r="J2275" s="44" t="s">
        <v>8</v>
      </c>
      <c r="K2275" s="23" t="s">
        <v>8</v>
      </c>
      <c r="L2275" s="23" t="s">
        <v>8</v>
      </c>
      <c r="M2275" s="23" t="s">
        <v>8</v>
      </c>
    </row>
    <row r="2276" spans="1:13" s="21" customFormat="1" x14ac:dyDescent="0.25">
      <c r="A2276" s="22" t="s">
        <v>8</v>
      </c>
      <c r="B2276" s="18" t="str">
        <f>"105852"</f>
        <v>105852</v>
      </c>
      <c r="C2276" s="19" t="s">
        <v>2272</v>
      </c>
      <c r="D2276" s="19" t="s">
        <v>17708</v>
      </c>
      <c r="E2276" s="19" t="s">
        <v>31520</v>
      </c>
      <c r="F2276" s="19" t="s">
        <v>35983</v>
      </c>
      <c r="G2276" s="18" t="str">
        <f>"33433"</f>
        <v>33433</v>
      </c>
      <c r="H2276" s="19" t="s">
        <v>36130</v>
      </c>
      <c r="I2276" s="20">
        <v>22.565999999999999</v>
      </c>
      <c r="J2276" s="44" t="s">
        <v>8</v>
      </c>
      <c r="K2276" s="23" t="s">
        <v>8</v>
      </c>
      <c r="L2276" s="23" t="s">
        <v>8</v>
      </c>
      <c r="M2276" s="23" t="s">
        <v>8</v>
      </c>
    </row>
    <row r="2277" spans="1:13" s="21" customFormat="1" x14ac:dyDescent="0.25">
      <c r="A2277" s="22" t="s">
        <v>8</v>
      </c>
      <c r="B2277" s="18" t="str">
        <f>"105854"</f>
        <v>105854</v>
      </c>
      <c r="C2277" s="19" t="s">
        <v>2273</v>
      </c>
      <c r="D2277" s="19" t="s">
        <v>17709</v>
      </c>
      <c r="E2277" s="19" t="s">
        <v>31531</v>
      </c>
      <c r="F2277" s="19" t="s">
        <v>35983</v>
      </c>
      <c r="G2277" s="18" t="str">
        <f>"32308"</f>
        <v>32308</v>
      </c>
      <c r="H2277" s="19" t="s">
        <v>32404</v>
      </c>
      <c r="I2277" s="20">
        <v>16.934000000000001</v>
      </c>
      <c r="J2277" s="44" t="s">
        <v>8</v>
      </c>
      <c r="K2277" s="23" t="s">
        <v>8</v>
      </c>
      <c r="L2277" s="23" t="s">
        <v>8</v>
      </c>
      <c r="M2277" s="23" t="s">
        <v>8</v>
      </c>
    </row>
    <row r="2278" spans="1:13" s="21" customFormat="1" x14ac:dyDescent="0.25">
      <c r="A2278" s="22" t="s">
        <v>8</v>
      </c>
      <c r="B2278" s="18" t="str">
        <f>"105855"</f>
        <v>105855</v>
      </c>
      <c r="C2278" s="19" t="s">
        <v>2274</v>
      </c>
      <c r="D2278" s="19" t="s">
        <v>17710</v>
      </c>
      <c r="E2278" s="19" t="s">
        <v>31505</v>
      </c>
      <c r="F2278" s="19" t="s">
        <v>35983</v>
      </c>
      <c r="G2278" s="18" t="str">
        <f>"32726"</f>
        <v>32726</v>
      </c>
      <c r="H2278" s="19" t="s">
        <v>36096</v>
      </c>
      <c r="I2278" s="20">
        <v>18.376000000000001</v>
      </c>
      <c r="J2278" s="44" t="s">
        <v>8</v>
      </c>
      <c r="K2278" s="23" t="s">
        <v>8</v>
      </c>
      <c r="L2278" s="23" t="s">
        <v>8</v>
      </c>
      <c r="M2278" s="23" t="s">
        <v>8</v>
      </c>
    </row>
    <row r="2279" spans="1:13" s="21" customFormat="1" x14ac:dyDescent="0.25">
      <c r="A2279" s="22" t="s">
        <v>8</v>
      </c>
      <c r="B2279" s="18" t="str">
        <f>"105856"</f>
        <v>105856</v>
      </c>
      <c r="C2279" s="19" t="s">
        <v>2275</v>
      </c>
      <c r="D2279" s="19" t="s">
        <v>17711</v>
      </c>
      <c r="E2279" s="19" t="s">
        <v>31535</v>
      </c>
      <c r="F2279" s="19" t="s">
        <v>35983</v>
      </c>
      <c r="G2279" s="18" t="str">
        <f>"34108"</f>
        <v>34108</v>
      </c>
      <c r="H2279" s="19" t="s">
        <v>36133</v>
      </c>
      <c r="I2279" s="20">
        <v>17.882000000000001</v>
      </c>
      <c r="J2279" s="44" t="s">
        <v>8</v>
      </c>
      <c r="K2279" s="23" t="s">
        <v>8</v>
      </c>
      <c r="L2279" s="23" t="s">
        <v>8</v>
      </c>
      <c r="M2279" s="23" t="s">
        <v>8</v>
      </c>
    </row>
    <row r="2280" spans="1:13" s="21" customFormat="1" x14ac:dyDescent="0.25">
      <c r="A2280" s="22" t="s">
        <v>8</v>
      </c>
      <c r="B2280" s="18" t="str">
        <f>"105858"</f>
        <v>105858</v>
      </c>
      <c r="C2280" s="19" t="s">
        <v>2276</v>
      </c>
      <c r="D2280" s="19" t="s">
        <v>17712</v>
      </c>
      <c r="E2280" s="19" t="s">
        <v>31564</v>
      </c>
      <c r="F2280" s="19" t="s">
        <v>35983</v>
      </c>
      <c r="G2280" s="18" t="str">
        <f>"34452"</f>
        <v>34452</v>
      </c>
      <c r="H2280" s="19" t="s">
        <v>36138</v>
      </c>
      <c r="I2280" s="20">
        <v>17.364999999999998</v>
      </c>
      <c r="J2280" s="44" t="s">
        <v>8</v>
      </c>
      <c r="K2280" s="23" t="s">
        <v>8</v>
      </c>
      <c r="L2280" s="23" t="s">
        <v>8</v>
      </c>
      <c r="M2280" s="23" t="s">
        <v>8</v>
      </c>
    </row>
    <row r="2281" spans="1:13" s="21" customFormat="1" x14ac:dyDescent="0.25">
      <c r="A2281" s="22" t="s">
        <v>8</v>
      </c>
      <c r="B2281" s="18" t="str">
        <f>"105859"</f>
        <v>105859</v>
      </c>
      <c r="C2281" s="19" t="s">
        <v>2277</v>
      </c>
      <c r="D2281" s="19" t="s">
        <v>17713</v>
      </c>
      <c r="E2281" s="19" t="s">
        <v>31580</v>
      </c>
      <c r="F2281" s="19" t="s">
        <v>35983</v>
      </c>
      <c r="G2281" s="18" t="str">
        <f>"33980"</f>
        <v>33980</v>
      </c>
      <c r="H2281" s="19" t="s">
        <v>33156</v>
      </c>
      <c r="I2281" s="20">
        <v>19.09</v>
      </c>
      <c r="J2281" s="44" t="s">
        <v>8</v>
      </c>
      <c r="K2281" s="23" t="s">
        <v>8</v>
      </c>
      <c r="L2281" s="23" t="s">
        <v>8</v>
      </c>
      <c r="M2281" s="23" t="s">
        <v>8</v>
      </c>
    </row>
    <row r="2282" spans="1:13" s="21" customFormat="1" x14ac:dyDescent="0.25">
      <c r="A2282" s="22" t="s">
        <v>8</v>
      </c>
      <c r="B2282" s="18" t="str">
        <f>"105860"</f>
        <v>105860</v>
      </c>
      <c r="C2282" s="19" t="s">
        <v>2278</v>
      </c>
      <c r="D2282" s="19" t="s">
        <v>17714</v>
      </c>
      <c r="E2282" s="19" t="s">
        <v>31663</v>
      </c>
      <c r="F2282" s="19" t="s">
        <v>35983</v>
      </c>
      <c r="G2282" s="18" t="str">
        <f>"32535"</f>
        <v>32535</v>
      </c>
      <c r="H2282" s="19" t="s">
        <v>36035</v>
      </c>
      <c r="I2282" s="20">
        <v>18.536000000000001</v>
      </c>
      <c r="J2282" s="44" t="s">
        <v>8</v>
      </c>
      <c r="K2282" s="23" t="s">
        <v>8</v>
      </c>
      <c r="L2282" s="23" t="s">
        <v>8</v>
      </c>
      <c r="M2282" s="23" t="s">
        <v>8</v>
      </c>
    </row>
    <row r="2283" spans="1:13" s="21" customFormat="1" x14ac:dyDescent="0.25">
      <c r="A2283" s="22" t="s">
        <v>8</v>
      </c>
      <c r="B2283" s="18" t="str">
        <f>"105861"</f>
        <v>105861</v>
      </c>
      <c r="C2283" s="19" t="s">
        <v>2279</v>
      </c>
      <c r="D2283" s="19" t="s">
        <v>17715</v>
      </c>
      <c r="E2283" s="19" t="s">
        <v>31057</v>
      </c>
      <c r="F2283" s="19" t="s">
        <v>35983</v>
      </c>
      <c r="G2283" s="18" t="str">
        <f>"32934"</f>
        <v>32934</v>
      </c>
      <c r="H2283" s="19" t="s">
        <v>34287</v>
      </c>
      <c r="I2283" s="20">
        <v>18.57</v>
      </c>
      <c r="J2283" s="44" t="s">
        <v>8</v>
      </c>
      <c r="K2283" s="23" t="s">
        <v>8</v>
      </c>
      <c r="L2283" s="23" t="s">
        <v>8</v>
      </c>
      <c r="M2283" s="23" t="s">
        <v>8</v>
      </c>
    </row>
    <row r="2284" spans="1:13" s="21" customFormat="1" x14ac:dyDescent="0.25">
      <c r="A2284" s="22" t="s">
        <v>8</v>
      </c>
      <c r="B2284" s="18" t="str">
        <f>"105862"</f>
        <v>105862</v>
      </c>
      <c r="C2284" s="19" t="s">
        <v>2280</v>
      </c>
      <c r="D2284" s="19" t="s">
        <v>17716</v>
      </c>
      <c r="E2284" s="19" t="s">
        <v>31664</v>
      </c>
      <c r="F2284" s="19" t="s">
        <v>35983</v>
      </c>
      <c r="G2284" s="18" t="str">
        <f>"32550"</f>
        <v>32550</v>
      </c>
      <c r="H2284" s="19" t="s">
        <v>36123</v>
      </c>
      <c r="I2284" s="20">
        <v>20.324000000000002</v>
      </c>
      <c r="J2284" s="44" t="s">
        <v>8</v>
      </c>
      <c r="K2284" s="23" t="s">
        <v>8</v>
      </c>
      <c r="L2284" s="23" t="s">
        <v>8</v>
      </c>
      <c r="M2284" s="23" t="s">
        <v>8</v>
      </c>
    </row>
    <row r="2285" spans="1:13" s="21" customFormat="1" x14ac:dyDescent="0.25">
      <c r="A2285" s="22" t="s">
        <v>8</v>
      </c>
      <c r="B2285" s="18" t="str">
        <f>"105864"</f>
        <v>105864</v>
      </c>
      <c r="C2285" s="19" t="s">
        <v>2281</v>
      </c>
      <c r="D2285" s="19" t="s">
        <v>17717</v>
      </c>
      <c r="E2285" s="19" t="s">
        <v>31541</v>
      </c>
      <c r="F2285" s="19" t="s">
        <v>35983</v>
      </c>
      <c r="G2285" s="18" t="str">
        <f>"33907"</f>
        <v>33907</v>
      </c>
      <c r="H2285" s="19" t="s">
        <v>33138</v>
      </c>
      <c r="I2285" s="20">
        <v>19.271999999999998</v>
      </c>
      <c r="J2285" s="44" t="s">
        <v>8</v>
      </c>
      <c r="K2285" s="23" t="s">
        <v>8</v>
      </c>
      <c r="L2285" s="23" t="s">
        <v>8</v>
      </c>
      <c r="M2285" s="23" t="s">
        <v>8</v>
      </c>
    </row>
    <row r="2286" spans="1:13" s="21" customFormat="1" x14ac:dyDescent="0.25">
      <c r="A2286" s="22" t="s">
        <v>8</v>
      </c>
      <c r="B2286" s="18" t="str">
        <f>"105866"</f>
        <v>105866</v>
      </c>
      <c r="C2286" s="19" t="s">
        <v>2282</v>
      </c>
      <c r="D2286" s="19" t="s">
        <v>17718</v>
      </c>
      <c r="E2286" s="19" t="s">
        <v>31568</v>
      </c>
      <c r="F2286" s="19" t="s">
        <v>35983</v>
      </c>
      <c r="G2286" s="18" t="str">
        <f>"33573"</f>
        <v>33573</v>
      </c>
      <c r="H2286" s="19" t="s">
        <v>33986</v>
      </c>
      <c r="I2286" s="20">
        <v>21.42</v>
      </c>
      <c r="J2286" s="44" t="s">
        <v>8</v>
      </c>
      <c r="K2286" s="23" t="s">
        <v>8</v>
      </c>
      <c r="L2286" s="23" t="s">
        <v>8</v>
      </c>
      <c r="M2286" s="23" t="s">
        <v>8</v>
      </c>
    </row>
    <row r="2287" spans="1:13" s="21" customFormat="1" x14ac:dyDescent="0.25">
      <c r="A2287" s="22" t="s">
        <v>8</v>
      </c>
      <c r="B2287" s="18" t="str">
        <f>"105868"</f>
        <v>105868</v>
      </c>
      <c r="C2287" s="19" t="s">
        <v>2283</v>
      </c>
      <c r="D2287" s="19" t="s">
        <v>17719</v>
      </c>
      <c r="E2287" s="19" t="s">
        <v>31599</v>
      </c>
      <c r="F2287" s="19" t="s">
        <v>35983</v>
      </c>
      <c r="G2287" s="18" t="str">
        <f>"32825"</f>
        <v>32825</v>
      </c>
      <c r="H2287" s="19" t="s">
        <v>31169</v>
      </c>
      <c r="I2287" s="20">
        <v>23.327999999999999</v>
      </c>
      <c r="J2287" s="44" t="s">
        <v>8</v>
      </c>
      <c r="K2287" s="23" t="s">
        <v>8</v>
      </c>
      <c r="L2287" s="23" t="s">
        <v>8</v>
      </c>
      <c r="M2287" s="23" t="s">
        <v>8</v>
      </c>
    </row>
    <row r="2288" spans="1:13" s="21" customFormat="1" x14ac:dyDescent="0.25">
      <c r="A2288" s="22" t="s">
        <v>8</v>
      </c>
      <c r="B2288" s="18" t="str">
        <f>"105870"</f>
        <v>105870</v>
      </c>
      <c r="C2288" s="19" t="s">
        <v>2284</v>
      </c>
      <c r="D2288" s="19" t="s">
        <v>17720</v>
      </c>
      <c r="E2288" s="19" t="s">
        <v>31607</v>
      </c>
      <c r="F2288" s="19" t="s">
        <v>35983</v>
      </c>
      <c r="G2288" s="18" t="str">
        <f>"34461"</f>
        <v>34461</v>
      </c>
      <c r="H2288" s="19" t="s">
        <v>36138</v>
      </c>
      <c r="I2288" s="20">
        <v>20.693000000000001</v>
      </c>
      <c r="J2288" s="44" t="s">
        <v>8</v>
      </c>
      <c r="K2288" s="23" t="s">
        <v>8</v>
      </c>
      <c r="L2288" s="23" t="s">
        <v>8</v>
      </c>
      <c r="M2288" s="23" t="s">
        <v>8</v>
      </c>
    </row>
    <row r="2289" spans="1:13" s="21" customFormat="1" x14ac:dyDescent="0.25">
      <c r="A2289" s="22" t="s">
        <v>8</v>
      </c>
      <c r="B2289" s="18" t="str">
        <f>"105872"</f>
        <v>105872</v>
      </c>
      <c r="C2289" s="19" t="s">
        <v>2285</v>
      </c>
      <c r="D2289" s="19" t="s">
        <v>17721</v>
      </c>
      <c r="E2289" s="19" t="s">
        <v>31665</v>
      </c>
      <c r="F2289" s="19" t="s">
        <v>35983</v>
      </c>
      <c r="G2289" s="18" t="str">
        <f>"32708"</f>
        <v>32708</v>
      </c>
      <c r="H2289" s="19" t="s">
        <v>31595</v>
      </c>
      <c r="I2289" s="20">
        <v>22.433</v>
      </c>
      <c r="J2289" s="44" t="s">
        <v>8</v>
      </c>
      <c r="K2289" s="23" t="s">
        <v>8</v>
      </c>
      <c r="L2289" s="23" t="s">
        <v>8</v>
      </c>
      <c r="M2289" s="23" t="s">
        <v>8</v>
      </c>
    </row>
    <row r="2290" spans="1:13" s="21" customFormat="1" x14ac:dyDescent="0.25">
      <c r="A2290" s="22" t="s">
        <v>8</v>
      </c>
      <c r="B2290" s="18" t="str">
        <f>"105873"</f>
        <v>105873</v>
      </c>
      <c r="C2290" s="19" t="s">
        <v>2286</v>
      </c>
      <c r="D2290" s="19" t="s">
        <v>17722</v>
      </c>
      <c r="E2290" s="19" t="s">
        <v>31507</v>
      </c>
      <c r="F2290" s="19" t="s">
        <v>35983</v>
      </c>
      <c r="G2290" s="18" t="str">
        <f>"33133"</f>
        <v>33133</v>
      </c>
      <c r="H2290" s="19" t="s">
        <v>36126</v>
      </c>
      <c r="I2290" s="20">
        <v>23.562000000000001</v>
      </c>
      <c r="J2290" s="44" t="s">
        <v>8</v>
      </c>
      <c r="K2290" s="23" t="s">
        <v>8</v>
      </c>
      <c r="L2290" s="23" t="s">
        <v>8</v>
      </c>
      <c r="M2290" s="23" t="s">
        <v>8</v>
      </c>
    </row>
    <row r="2291" spans="1:13" s="21" customFormat="1" x14ac:dyDescent="0.25">
      <c r="A2291" s="22" t="s">
        <v>8</v>
      </c>
      <c r="B2291" s="18" t="str">
        <f>"105875"</f>
        <v>105875</v>
      </c>
      <c r="C2291" s="19" t="s">
        <v>2287</v>
      </c>
      <c r="D2291" s="19" t="s">
        <v>17723</v>
      </c>
      <c r="E2291" s="19" t="s">
        <v>31514</v>
      </c>
      <c r="F2291" s="19" t="s">
        <v>35983</v>
      </c>
      <c r="G2291" s="18" t="str">
        <f>"33401"</f>
        <v>33401</v>
      </c>
      <c r="H2291" s="19" t="s">
        <v>36130</v>
      </c>
      <c r="I2291" s="20">
        <v>19.992000000000001</v>
      </c>
      <c r="J2291" s="44" t="s">
        <v>8</v>
      </c>
      <c r="K2291" s="23" t="s">
        <v>8</v>
      </c>
      <c r="L2291" s="23" t="s">
        <v>8</v>
      </c>
      <c r="M2291" s="23" t="s">
        <v>8</v>
      </c>
    </row>
    <row r="2292" spans="1:13" s="21" customFormat="1" x14ac:dyDescent="0.25">
      <c r="A2292" s="22" t="s">
        <v>8</v>
      </c>
      <c r="B2292" s="18" t="str">
        <f>"105878"</f>
        <v>105878</v>
      </c>
      <c r="C2292" s="19" t="s">
        <v>2288</v>
      </c>
      <c r="D2292" s="19" t="s">
        <v>17724</v>
      </c>
      <c r="E2292" s="19" t="s">
        <v>31517</v>
      </c>
      <c r="F2292" s="19" t="s">
        <v>35983</v>
      </c>
      <c r="G2292" s="18" t="str">
        <f>"33712"</f>
        <v>33712</v>
      </c>
      <c r="H2292" s="19" t="s">
        <v>36128</v>
      </c>
      <c r="I2292" s="20">
        <v>19.994</v>
      </c>
      <c r="J2292" s="44" t="s">
        <v>8</v>
      </c>
      <c r="K2292" s="23" t="s">
        <v>8</v>
      </c>
      <c r="L2292" s="23" t="s">
        <v>8</v>
      </c>
      <c r="M2292" s="23" t="s">
        <v>8</v>
      </c>
    </row>
    <row r="2293" spans="1:13" s="21" customFormat="1" x14ac:dyDescent="0.25">
      <c r="A2293" s="22" t="s">
        <v>8</v>
      </c>
      <c r="B2293" s="18" t="str">
        <f>"105879"</f>
        <v>105879</v>
      </c>
      <c r="C2293" s="19" t="s">
        <v>2289</v>
      </c>
      <c r="D2293" s="19" t="s">
        <v>17725</v>
      </c>
      <c r="E2293" s="19" t="s">
        <v>31563</v>
      </c>
      <c r="F2293" s="19" t="s">
        <v>35983</v>
      </c>
      <c r="G2293" s="18" t="str">
        <f>"32792"</f>
        <v>32792</v>
      </c>
      <c r="H2293" s="19" t="s">
        <v>31169</v>
      </c>
      <c r="I2293" s="20">
        <v>21.335000000000001</v>
      </c>
      <c r="J2293" s="44" t="s">
        <v>8</v>
      </c>
      <c r="K2293" s="23" t="s">
        <v>8</v>
      </c>
      <c r="L2293" s="23" t="s">
        <v>8</v>
      </c>
      <c r="M2293" s="23" t="s">
        <v>8</v>
      </c>
    </row>
    <row r="2294" spans="1:13" s="21" customFormat="1" x14ac:dyDescent="0.25">
      <c r="A2294" s="22" t="s">
        <v>8</v>
      </c>
      <c r="B2294" s="18" t="str">
        <f>"105881"</f>
        <v>105881</v>
      </c>
      <c r="C2294" s="19" t="s">
        <v>2290</v>
      </c>
      <c r="D2294" s="19" t="s">
        <v>17726</v>
      </c>
      <c r="E2294" s="19" t="s">
        <v>31623</v>
      </c>
      <c r="F2294" s="19" t="s">
        <v>35983</v>
      </c>
      <c r="G2294" s="18" t="str">
        <f>"33511"</f>
        <v>33511</v>
      </c>
      <c r="H2294" s="19" t="s">
        <v>33986</v>
      </c>
      <c r="I2294" s="20">
        <v>20.559000000000001</v>
      </c>
      <c r="J2294" s="44" t="s">
        <v>8</v>
      </c>
      <c r="K2294" s="23" t="s">
        <v>8</v>
      </c>
      <c r="L2294" s="23" t="s">
        <v>8</v>
      </c>
      <c r="M2294" s="23" t="s">
        <v>8</v>
      </c>
    </row>
    <row r="2295" spans="1:13" s="21" customFormat="1" x14ac:dyDescent="0.25">
      <c r="A2295" s="22" t="s">
        <v>8</v>
      </c>
      <c r="B2295" s="18" t="str">
        <f>"105882"</f>
        <v>105882</v>
      </c>
      <c r="C2295" s="19" t="s">
        <v>2291</v>
      </c>
      <c r="D2295" s="19" t="s">
        <v>17727</v>
      </c>
      <c r="E2295" s="19" t="s">
        <v>31541</v>
      </c>
      <c r="F2295" s="19" t="s">
        <v>35983</v>
      </c>
      <c r="G2295" s="18" t="str">
        <f>"33916"</f>
        <v>33916</v>
      </c>
      <c r="H2295" s="19" t="s">
        <v>33138</v>
      </c>
      <c r="I2295" s="20">
        <v>18.951000000000001</v>
      </c>
      <c r="J2295" s="44" t="s">
        <v>8</v>
      </c>
      <c r="K2295" s="23" t="s">
        <v>8</v>
      </c>
      <c r="L2295" s="23" t="s">
        <v>8</v>
      </c>
      <c r="M2295" s="23" t="s">
        <v>8</v>
      </c>
    </row>
    <row r="2296" spans="1:13" s="21" customFormat="1" x14ac:dyDescent="0.25">
      <c r="A2296" s="22" t="s">
        <v>8</v>
      </c>
      <c r="B2296" s="18" t="str">
        <f>"105884"</f>
        <v>105884</v>
      </c>
      <c r="C2296" s="19" t="s">
        <v>2292</v>
      </c>
      <c r="D2296" s="19" t="s">
        <v>17728</v>
      </c>
      <c r="E2296" s="19" t="s">
        <v>31526</v>
      </c>
      <c r="F2296" s="19" t="s">
        <v>35983</v>
      </c>
      <c r="G2296" s="18" t="str">
        <f>"33612"</f>
        <v>33612</v>
      </c>
      <c r="H2296" s="19" t="s">
        <v>33986</v>
      </c>
      <c r="I2296" s="20">
        <v>19.626999999999999</v>
      </c>
      <c r="J2296" s="44" t="s">
        <v>8</v>
      </c>
      <c r="K2296" s="23" t="s">
        <v>8</v>
      </c>
      <c r="L2296" s="23" t="s">
        <v>8</v>
      </c>
      <c r="M2296" s="23" t="s">
        <v>8</v>
      </c>
    </row>
    <row r="2297" spans="1:13" s="21" customFormat="1" x14ac:dyDescent="0.25">
      <c r="A2297" s="22" t="s">
        <v>8</v>
      </c>
      <c r="B2297" s="18" t="str">
        <f>"105885"</f>
        <v>105885</v>
      </c>
      <c r="C2297" s="19" t="s">
        <v>2293</v>
      </c>
      <c r="D2297" s="19" t="s">
        <v>17729</v>
      </c>
      <c r="E2297" s="19" t="s">
        <v>31666</v>
      </c>
      <c r="F2297" s="19" t="s">
        <v>35983</v>
      </c>
      <c r="G2297" s="18" t="str">
        <f>"32940"</f>
        <v>32940</v>
      </c>
      <c r="H2297" s="19" t="s">
        <v>34287</v>
      </c>
      <c r="I2297" s="20">
        <v>23.52</v>
      </c>
      <c r="J2297" s="44" t="s">
        <v>8</v>
      </c>
      <c r="K2297" s="23" t="s">
        <v>8</v>
      </c>
      <c r="L2297" s="23" t="s">
        <v>8</v>
      </c>
      <c r="M2297" s="23" t="s">
        <v>8</v>
      </c>
    </row>
    <row r="2298" spans="1:13" s="21" customFormat="1" x14ac:dyDescent="0.25">
      <c r="A2298" s="22" t="s">
        <v>8</v>
      </c>
      <c r="B2298" s="18" t="str">
        <f>"105886"</f>
        <v>105886</v>
      </c>
      <c r="C2298" s="19" t="s">
        <v>2287</v>
      </c>
      <c r="D2298" s="19" t="s">
        <v>17730</v>
      </c>
      <c r="E2298" s="19" t="s">
        <v>31598</v>
      </c>
      <c r="F2298" s="19" t="s">
        <v>35983</v>
      </c>
      <c r="G2298" s="18" t="str">
        <f>"32751"</f>
        <v>32751</v>
      </c>
      <c r="H2298" s="19" t="s">
        <v>31169</v>
      </c>
      <c r="I2298" s="20">
        <v>21.74</v>
      </c>
      <c r="J2298" s="44" t="s">
        <v>8</v>
      </c>
      <c r="K2298" s="23" t="s">
        <v>8</v>
      </c>
      <c r="L2298" s="23" t="s">
        <v>8</v>
      </c>
      <c r="M2298" s="23" t="s">
        <v>8</v>
      </c>
    </row>
    <row r="2299" spans="1:13" s="21" customFormat="1" x14ac:dyDescent="0.25">
      <c r="A2299" s="22" t="s">
        <v>8</v>
      </c>
      <c r="B2299" s="18" t="str">
        <f>"105888"</f>
        <v>105888</v>
      </c>
      <c r="C2299" s="19" t="s">
        <v>2294</v>
      </c>
      <c r="D2299" s="19" t="s">
        <v>17731</v>
      </c>
      <c r="E2299" s="19" t="s">
        <v>31627</v>
      </c>
      <c r="F2299" s="19" t="s">
        <v>35983</v>
      </c>
      <c r="G2299" s="18" t="str">
        <f>"34769"</f>
        <v>34769</v>
      </c>
      <c r="H2299" s="19" t="s">
        <v>31089</v>
      </c>
      <c r="I2299" s="20">
        <v>18.734999999999999</v>
      </c>
      <c r="J2299" s="44" t="s">
        <v>8</v>
      </c>
      <c r="K2299" s="23" t="s">
        <v>8</v>
      </c>
      <c r="L2299" s="23" t="s">
        <v>8</v>
      </c>
      <c r="M2299" s="23" t="s">
        <v>8</v>
      </c>
    </row>
    <row r="2300" spans="1:13" s="21" customFormat="1" x14ac:dyDescent="0.25">
      <c r="A2300" s="22" t="s">
        <v>8</v>
      </c>
      <c r="B2300" s="18" t="str">
        <f>"105890"</f>
        <v>105890</v>
      </c>
      <c r="C2300" s="19" t="s">
        <v>2295</v>
      </c>
      <c r="D2300" s="19" t="s">
        <v>17732</v>
      </c>
      <c r="E2300" s="19" t="s">
        <v>31517</v>
      </c>
      <c r="F2300" s="19" t="s">
        <v>35983</v>
      </c>
      <c r="G2300" s="18" t="str">
        <f>"33712"</f>
        <v>33712</v>
      </c>
      <c r="H2300" s="19" t="s">
        <v>36128</v>
      </c>
      <c r="I2300" s="20">
        <v>17.594999999999999</v>
      </c>
      <c r="J2300" s="44" t="s">
        <v>8</v>
      </c>
      <c r="K2300" s="23" t="s">
        <v>8</v>
      </c>
      <c r="L2300" s="23" t="s">
        <v>8</v>
      </c>
      <c r="M2300" s="23" t="s">
        <v>8</v>
      </c>
    </row>
    <row r="2301" spans="1:13" s="21" customFormat="1" x14ac:dyDescent="0.25">
      <c r="A2301" s="22" t="s">
        <v>8</v>
      </c>
      <c r="B2301" s="18" t="str">
        <f>"105891"</f>
        <v>105891</v>
      </c>
      <c r="C2301" s="19" t="s">
        <v>2296</v>
      </c>
      <c r="D2301" s="19" t="s">
        <v>17733</v>
      </c>
      <c r="E2301" s="19" t="s">
        <v>31526</v>
      </c>
      <c r="F2301" s="19" t="s">
        <v>35983</v>
      </c>
      <c r="G2301" s="18" t="str">
        <f>"33602"</f>
        <v>33602</v>
      </c>
      <c r="H2301" s="19" t="s">
        <v>33986</v>
      </c>
      <c r="I2301" s="20">
        <v>20.905999999999999</v>
      </c>
      <c r="J2301" s="44" t="s">
        <v>8</v>
      </c>
      <c r="K2301" s="23" t="s">
        <v>8</v>
      </c>
      <c r="L2301" s="23" t="s">
        <v>8</v>
      </c>
      <c r="M2301" s="23" t="s">
        <v>8</v>
      </c>
    </row>
    <row r="2302" spans="1:13" s="21" customFormat="1" x14ac:dyDescent="0.25">
      <c r="A2302" s="22" t="s">
        <v>8</v>
      </c>
      <c r="B2302" s="18" t="str">
        <f>"105892"</f>
        <v>105892</v>
      </c>
      <c r="C2302" s="19" t="s">
        <v>2297</v>
      </c>
      <c r="D2302" s="19" t="s">
        <v>17734</v>
      </c>
      <c r="E2302" s="19" t="s">
        <v>30899</v>
      </c>
      <c r="F2302" s="19" t="s">
        <v>35983</v>
      </c>
      <c r="G2302" s="18" t="str">
        <f>"32340"</f>
        <v>32340</v>
      </c>
      <c r="H2302" s="19" t="s">
        <v>30899</v>
      </c>
      <c r="I2302" s="20">
        <v>21.247</v>
      </c>
      <c r="J2302" s="44" t="s">
        <v>8</v>
      </c>
      <c r="K2302" s="23" t="s">
        <v>8</v>
      </c>
      <c r="L2302" s="23" t="s">
        <v>8</v>
      </c>
      <c r="M2302" s="23" t="s">
        <v>8</v>
      </c>
    </row>
    <row r="2303" spans="1:13" s="21" customFormat="1" x14ac:dyDescent="0.25">
      <c r="A2303" s="22" t="s">
        <v>8</v>
      </c>
      <c r="B2303" s="18" t="str">
        <f>"105895"</f>
        <v>105895</v>
      </c>
      <c r="C2303" s="19" t="s">
        <v>2298</v>
      </c>
      <c r="D2303" s="19" t="s">
        <v>17735</v>
      </c>
      <c r="E2303" s="19" t="s">
        <v>31595</v>
      </c>
      <c r="F2303" s="19" t="s">
        <v>35983</v>
      </c>
      <c r="G2303" s="18" t="str">
        <f>"33777"</f>
        <v>33777</v>
      </c>
      <c r="H2303" s="19" t="s">
        <v>36128</v>
      </c>
      <c r="I2303" s="20">
        <v>23.777000000000001</v>
      </c>
      <c r="J2303" s="44" t="s">
        <v>8</v>
      </c>
      <c r="K2303" s="23" t="s">
        <v>8</v>
      </c>
      <c r="L2303" s="23" t="s">
        <v>8</v>
      </c>
      <c r="M2303" s="23" t="s">
        <v>8</v>
      </c>
    </row>
    <row r="2304" spans="1:13" s="21" customFormat="1" x14ac:dyDescent="0.25">
      <c r="A2304" s="22" t="s">
        <v>8</v>
      </c>
      <c r="B2304" s="18" t="str">
        <f>"105901"</f>
        <v>105901</v>
      </c>
      <c r="C2304" s="19" t="s">
        <v>2299</v>
      </c>
      <c r="D2304" s="19" t="s">
        <v>17736</v>
      </c>
      <c r="E2304" s="19" t="s">
        <v>30912</v>
      </c>
      <c r="F2304" s="19" t="s">
        <v>35983</v>
      </c>
      <c r="G2304" s="18" t="str">
        <f>"32259"</f>
        <v>32259</v>
      </c>
      <c r="H2304" s="19" t="s">
        <v>33300</v>
      </c>
      <c r="I2304" s="20">
        <v>18.670000000000002</v>
      </c>
      <c r="J2304" s="44" t="s">
        <v>8</v>
      </c>
      <c r="K2304" s="23" t="s">
        <v>8</v>
      </c>
      <c r="L2304" s="23" t="s">
        <v>8</v>
      </c>
      <c r="M2304" s="23" t="s">
        <v>8</v>
      </c>
    </row>
    <row r="2305" spans="1:13" s="21" customFormat="1" x14ac:dyDescent="0.25">
      <c r="A2305" s="22" t="s">
        <v>8</v>
      </c>
      <c r="B2305" s="18" t="str">
        <f>"105903"</f>
        <v>105903</v>
      </c>
      <c r="C2305" s="19" t="s">
        <v>2300</v>
      </c>
      <c r="D2305" s="19" t="s">
        <v>17737</v>
      </c>
      <c r="E2305" s="19" t="s">
        <v>31507</v>
      </c>
      <c r="F2305" s="19" t="s">
        <v>35983</v>
      </c>
      <c r="G2305" s="18" t="str">
        <f>"33150"</f>
        <v>33150</v>
      </c>
      <c r="H2305" s="19" t="s">
        <v>36126</v>
      </c>
      <c r="I2305" s="20">
        <v>19.951000000000001</v>
      </c>
      <c r="J2305" s="44" t="s">
        <v>8</v>
      </c>
      <c r="K2305" s="23" t="s">
        <v>8</v>
      </c>
      <c r="L2305" s="23" t="s">
        <v>8</v>
      </c>
      <c r="M2305" s="23" t="s">
        <v>8</v>
      </c>
    </row>
    <row r="2306" spans="1:13" s="21" customFormat="1" x14ac:dyDescent="0.25">
      <c r="A2306" s="22" t="s">
        <v>8</v>
      </c>
      <c r="B2306" s="18" t="str">
        <f>"105904"</f>
        <v>105904</v>
      </c>
      <c r="C2306" s="19" t="s">
        <v>2301</v>
      </c>
      <c r="D2306" s="19" t="s">
        <v>17738</v>
      </c>
      <c r="E2306" s="19" t="s">
        <v>31057</v>
      </c>
      <c r="F2306" s="19" t="s">
        <v>35983</v>
      </c>
      <c r="G2306" s="18" t="str">
        <f>"32901"</f>
        <v>32901</v>
      </c>
      <c r="H2306" s="19" t="s">
        <v>34287</v>
      </c>
      <c r="I2306" s="20">
        <v>19.321999999999999</v>
      </c>
      <c r="J2306" s="44" t="s">
        <v>8</v>
      </c>
      <c r="K2306" s="23" t="s">
        <v>8</v>
      </c>
      <c r="L2306" s="23" t="s">
        <v>8</v>
      </c>
      <c r="M2306" s="23" t="s">
        <v>8</v>
      </c>
    </row>
    <row r="2307" spans="1:13" s="21" customFormat="1" x14ac:dyDescent="0.25">
      <c r="A2307" s="22" t="s">
        <v>8</v>
      </c>
      <c r="B2307" s="18" t="str">
        <f>"105910"</f>
        <v>105910</v>
      </c>
      <c r="C2307" s="19" t="s">
        <v>2302</v>
      </c>
      <c r="D2307" s="19" t="s">
        <v>17739</v>
      </c>
      <c r="E2307" s="19" t="s">
        <v>31507</v>
      </c>
      <c r="F2307" s="19" t="s">
        <v>35983</v>
      </c>
      <c r="G2307" s="18" t="str">
        <f>"33157"</f>
        <v>33157</v>
      </c>
      <c r="H2307" s="19" t="s">
        <v>36126</v>
      </c>
      <c r="I2307" s="20">
        <v>20.013000000000002</v>
      </c>
      <c r="J2307" s="44" t="s">
        <v>8</v>
      </c>
      <c r="K2307" s="23" t="s">
        <v>8</v>
      </c>
      <c r="L2307" s="23" t="s">
        <v>8</v>
      </c>
      <c r="M2307" s="23" t="s">
        <v>8</v>
      </c>
    </row>
    <row r="2308" spans="1:13" s="21" customFormat="1" x14ac:dyDescent="0.25">
      <c r="A2308" s="22" t="s">
        <v>8</v>
      </c>
      <c r="B2308" s="18" t="str">
        <f>"105911"</f>
        <v>105911</v>
      </c>
      <c r="C2308" s="19" t="s">
        <v>2303</v>
      </c>
      <c r="D2308" s="19" t="s">
        <v>17740</v>
      </c>
      <c r="E2308" s="19" t="s">
        <v>31514</v>
      </c>
      <c r="F2308" s="19" t="s">
        <v>35983</v>
      </c>
      <c r="G2308" s="18" t="str">
        <f>"33409"</f>
        <v>33409</v>
      </c>
      <c r="H2308" s="19" t="s">
        <v>36130</v>
      </c>
      <c r="I2308" s="20">
        <v>22.917999999999999</v>
      </c>
      <c r="J2308" s="44" t="s">
        <v>8</v>
      </c>
      <c r="K2308" s="23" t="s">
        <v>8</v>
      </c>
      <c r="L2308" s="23" t="s">
        <v>8</v>
      </c>
      <c r="M2308" s="23" t="s">
        <v>8</v>
      </c>
    </row>
    <row r="2309" spans="1:13" s="21" customFormat="1" x14ac:dyDescent="0.25">
      <c r="A2309" s="22" t="s">
        <v>8</v>
      </c>
      <c r="B2309" s="18" t="str">
        <f>"105912"</f>
        <v>105912</v>
      </c>
      <c r="C2309" s="19" t="s">
        <v>2304</v>
      </c>
      <c r="D2309" s="19" t="s">
        <v>17741</v>
      </c>
      <c r="E2309" s="19" t="s">
        <v>31553</v>
      </c>
      <c r="F2309" s="19" t="s">
        <v>35983</v>
      </c>
      <c r="G2309" s="18" t="str">
        <f>"34689"</f>
        <v>34689</v>
      </c>
      <c r="H2309" s="19" t="s">
        <v>36128</v>
      </c>
      <c r="I2309" s="20">
        <v>16.853000000000002</v>
      </c>
      <c r="J2309" s="44" t="s">
        <v>8</v>
      </c>
      <c r="K2309" s="23" t="s">
        <v>8</v>
      </c>
      <c r="L2309" s="23" t="s">
        <v>8</v>
      </c>
      <c r="M2309" s="23" t="s">
        <v>8</v>
      </c>
    </row>
    <row r="2310" spans="1:13" s="21" customFormat="1" x14ac:dyDescent="0.25">
      <c r="A2310" s="22" t="s">
        <v>8</v>
      </c>
      <c r="B2310" s="18" t="str">
        <f>"105915"</f>
        <v>105915</v>
      </c>
      <c r="C2310" s="19" t="s">
        <v>2305</v>
      </c>
      <c r="D2310" s="19" t="s">
        <v>17742</v>
      </c>
      <c r="E2310" s="19" t="s">
        <v>31506</v>
      </c>
      <c r="F2310" s="19" t="s">
        <v>35983</v>
      </c>
      <c r="G2310" s="18" t="str">
        <f>"32114"</f>
        <v>32114</v>
      </c>
      <c r="H2310" s="19" t="s">
        <v>36125</v>
      </c>
      <c r="I2310" s="20">
        <v>21.289000000000001</v>
      </c>
      <c r="J2310" s="44" t="s">
        <v>8</v>
      </c>
      <c r="K2310" s="23" t="s">
        <v>8</v>
      </c>
      <c r="L2310" s="23" t="s">
        <v>8</v>
      </c>
      <c r="M2310" s="23" t="s">
        <v>8</v>
      </c>
    </row>
    <row r="2311" spans="1:13" s="21" customFormat="1" x14ac:dyDescent="0.25">
      <c r="A2311" s="22" t="s">
        <v>8</v>
      </c>
      <c r="B2311" s="18" t="str">
        <f>"105917"</f>
        <v>105917</v>
      </c>
      <c r="C2311" s="19" t="s">
        <v>2306</v>
      </c>
      <c r="D2311" s="19" t="s">
        <v>17743</v>
      </c>
      <c r="E2311" s="19" t="s">
        <v>30912</v>
      </c>
      <c r="F2311" s="19" t="s">
        <v>35983</v>
      </c>
      <c r="G2311" s="18" t="str">
        <f>"32216"</f>
        <v>32216</v>
      </c>
      <c r="H2311" s="19" t="s">
        <v>36129</v>
      </c>
      <c r="I2311" s="20">
        <v>17.079999999999998</v>
      </c>
      <c r="J2311" s="44" t="s">
        <v>8</v>
      </c>
      <c r="K2311" s="23" t="s">
        <v>8</v>
      </c>
      <c r="L2311" s="23" t="s">
        <v>8</v>
      </c>
      <c r="M2311" s="23" t="s">
        <v>8</v>
      </c>
    </row>
    <row r="2312" spans="1:13" s="21" customFormat="1" x14ac:dyDescent="0.25">
      <c r="A2312" s="22" t="s">
        <v>8</v>
      </c>
      <c r="B2312" s="18" t="str">
        <f>"105919"</f>
        <v>105919</v>
      </c>
      <c r="C2312" s="19" t="s">
        <v>2307</v>
      </c>
      <c r="D2312" s="19" t="s">
        <v>17744</v>
      </c>
      <c r="E2312" s="19" t="s">
        <v>31515</v>
      </c>
      <c r="F2312" s="19" t="s">
        <v>35983</v>
      </c>
      <c r="G2312" s="18" t="str">
        <f>"34205"</f>
        <v>34205</v>
      </c>
      <c r="H2312" s="19" t="s">
        <v>36131</v>
      </c>
      <c r="I2312" s="20">
        <v>18.021999999999998</v>
      </c>
      <c r="J2312" s="44" t="s">
        <v>8</v>
      </c>
      <c r="K2312" s="23" t="s">
        <v>8</v>
      </c>
      <c r="L2312" s="23" t="s">
        <v>8</v>
      </c>
      <c r="M2312" s="23" t="s">
        <v>8</v>
      </c>
    </row>
    <row r="2313" spans="1:13" s="21" customFormat="1" x14ac:dyDescent="0.25">
      <c r="A2313" s="22" t="s">
        <v>8</v>
      </c>
      <c r="B2313" s="18" t="str">
        <f>"105921"</f>
        <v>105921</v>
      </c>
      <c r="C2313" s="19" t="s">
        <v>2308</v>
      </c>
      <c r="D2313" s="19" t="s">
        <v>17745</v>
      </c>
      <c r="E2313" s="19" t="s">
        <v>31656</v>
      </c>
      <c r="F2313" s="19" t="s">
        <v>35983</v>
      </c>
      <c r="G2313" s="18" t="str">
        <f>"33410"</f>
        <v>33410</v>
      </c>
      <c r="H2313" s="19" t="s">
        <v>36130</v>
      </c>
      <c r="I2313" s="20">
        <v>20.341999999999999</v>
      </c>
      <c r="J2313" s="44" t="s">
        <v>8</v>
      </c>
      <c r="K2313" s="23" t="s">
        <v>8</v>
      </c>
      <c r="L2313" s="23" t="s">
        <v>8</v>
      </c>
      <c r="M2313" s="23" t="s">
        <v>8</v>
      </c>
    </row>
    <row r="2314" spans="1:13" s="21" customFormat="1" x14ac:dyDescent="0.25">
      <c r="A2314" s="22" t="s">
        <v>8</v>
      </c>
      <c r="B2314" s="18" t="str">
        <f>"105924"</f>
        <v>105924</v>
      </c>
      <c r="C2314" s="19" t="s">
        <v>2309</v>
      </c>
      <c r="D2314" s="19" t="s">
        <v>17746</v>
      </c>
      <c r="E2314" s="19" t="s">
        <v>31612</v>
      </c>
      <c r="F2314" s="19" t="s">
        <v>35983</v>
      </c>
      <c r="G2314" s="18" t="str">
        <f>"32424"</f>
        <v>32424</v>
      </c>
      <c r="H2314" s="19" t="s">
        <v>31743</v>
      </c>
      <c r="I2314" s="20">
        <v>17.463999999999999</v>
      </c>
      <c r="J2314" s="44" t="s">
        <v>8</v>
      </c>
      <c r="K2314" s="23" t="s">
        <v>8</v>
      </c>
      <c r="L2314" s="23" t="s">
        <v>8</v>
      </c>
      <c r="M2314" s="23" t="s">
        <v>8</v>
      </c>
    </row>
    <row r="2315" spans="1:13" s="21" customFormat="1" x14ac:dyDescent="0.25">
      <c r="A2315" s="22" t="s">
        <v>8</v>
      </c>
      <c r="B2315" s="18" t="str">
        <f>"105926"</f>
        <v>105926</v>
      </c>
      <c r="C2315" s="19" t="s">
        <v>2310</v>
      </c>
      <c r="D2315" s="19" t="s">
        <v>17747</v>
      </c>
      <c r="E2315" s="19" t="s">
        <v>31517</v>
      </c>
      <c r="F2315" s="19" t="s">
        <v>35983</v>
      </c>
      <c r="G2315" s="18" t="str">
        <f>"33705"</f>
        <v>33705</v>
      </c>
      <c r="H2315" s="19" t="s">
        <v>36128</v>
      </c>
      <c r="I2315" s="20">
        <v>15.925000000000001</v>
      </c>
      <c r="J2315" s="44" t="s">
        <v>8</v>
      </c>
      <c r="K2315" s="23" t="s">
        <v>8</v>
      </c>
      <c r="L2315" s="23" t="s">
        <v>8</v>
      </c>
      <c r="M2315" s="23" t="s">
        <v>8</v>
      </c>
    </row>
    <row r="2316" spans="1:13" s="21" customFormat="1" x14ac:dyDescent="0.25">
      <c r="A2316" s="22" t="s">
        <v>8</v>
      </c>
      <c r="B2316" s="18" t="str">
        <f>"105927"</f>
        <v>105927</v>
      </c>
      <c r="C2316" s="19" t="s">
        <v>2311</v>
      </c>
      <c r="D2316" s="19" t="s">
        <v>17748</v>
      </c>
      <c r="E2316" s="19" t="s">
        <v>30912</v>
      </c>
      <c r="F2316" s="19" t="s">
        <v>35983</v>
      </c>
      <c r="G2316" s="18" t="str">
        <f>"32225"</f>
        <v>32225</v>
      </c>
      <c r="H2316" s="19" t="s">
        <v>36129</v>
      </c>
      <c r="I2316" s="20">
        <v>22.68</v>
      </c>
      <c r="J2316" s="44" t="s">
        <v>8</v>
      </c>
      <c r="K2316" s="23" t="s">
        <v>8</v>
      </c>
      <c r="L2316" s="23" t="s">
        <v>8</v>
      </c>
      <c r="M2316" s="23" t="s">
        <v>8</v>
      </c>
    </row>
    <row r="2317" spans="1:13" s="21" customFormat="1" x14ac:dyDescent="0.25">
      <c r="A2317" s="22" t="s">
        <v>8</v>
      </c>
      <c r="B2317" s="18" t="str">
        <f>"105928"</f>
        <v>105928</v>
      </c>
      <c r="C2317" s="19" t="s">
        <v>2312</v>
      </c>
      <c r="D2317" s="19" t="s">
        <v>17749</v>
      </c>
      <c r="E2317" s="19" t="s">
        <v>31587</v>
      </c>
      <c r="F2317" s="19" t="s">
        <v>35983</v>
      </c>
      <c r="G2317" s="18" t="str">
        <f>"32073"</f>
        <v>32073</v>
      </c>
      <c r="H2317" s="19" t="s">
        <v>36030</v>
      </c>
      <c r="I2317" s="20">
        <v>19.332999999999998</v>
      </c>
      <c r="J2317" s="44" t="s">
        <v>8</v>
      </c>
      <c r="K2317" s="23" t="s">
        <v>8</v>
      </c>
      <c r="L2317" s="23" t="s">
        <v>8</v>
      </c>
      <c r="M2317" s="23" t="s">
        <v>8</v>
      </c>
    </row>
    <row r="2318" spans="1:13" s="21" customFormat="1" x14ac:dyDescent="0.25">
      <c r="A2318" s="22" t="s">
        <v>8</v>
      </c>
      <c r="B2318" s="18" t="str">
        <f>"105930"</f>
        <v>105930</v>
      </c>
      <c r="C2318" s="19" t="s">
        <v>2313</v>
      </c>
      <c r="D2318" s="19" t="s">
        <v>17750</v>
      </c>
      <c r="E2318" s="19" t="s">
        <v>31527</v>
      </c>
      <c r="F2318" s="19" t="s">
        <v>35983</v>
      </c>
      <c r="G2318" s="18" t="str">
        <f>"32720"</f>
        <v>32720</v>
      </c>
      <c r="H2318" s="19" t="s">
        <v>36125</v>
      </c>
      <c r="I2318" s="20">
        <v>20.754999999999999</v>
      </c>
      <c r="J2318" s="44" t="s">
        <v>8</v>
      </c>
      <c r="K2318" s="23" t="s">
        <v>8</v>
      </c>
      <c r="L2318" s="23" t="s">
        <v>8</v>
      </c>
      <c r="M2318" s="23" t="s">
        <v>8</v>
      </c>
    </row>
    <row r="2319" spans="1:13" s="21" customFormat="1" x14ac:dyDescent="0.25">
      <c r="A2319" s="22" t="s">
        <v>8</v>
      </c>
      <c r="B2319" s="18" t="str">
        <f>"105935"</f>
        <v>105935</v>
      </c>
      <c r="C2319" s="19" t="s">
        <v>2314</v>
      </c>
      <c r="D2319" s="19" t="s">
        <v>17751</v>
      </c>
      <c r="E2319" s="19" t="s">
        <v>31548</v>
      </c>
      <c r="F2319" s="19" t="s">
        <v>35983</v>
      </c>
      <c r="G2319" s="18" t="str">
        <f>"32505"</f>
        <v>32505</v>
      </c>
      <c r="H2319" s="19" t="s">
        <v>36035</v>
      </c>
      <c r="I2319" s="20">
        <v>17.696999999999999</v>
      </c>
      <c r="J2319" s="44" t="s">
        <v>8</v>
      </c>
      <c r="K2319" s="23" t="s">
        <v>8</v>
      </c>
      <c r="L2319" s="23" t="s">
        <v>8</v>
      </c>
      <c r="M2319" s="23" t="s">
        <v>8</v>
      </c>
    </row>
    <row r="2320" spans="1:13" s="21" customFormat="1" x14ac:dyDescent="0.25">
      <c r="A2320" s="22" t="s">
        <v>8</v>
      </c>
      <c r="B2320" s="18" t="str">
        <f>"105937"</f>
        <v>105937</v>
      </c>
      <c r="C2320" s="19" t="s">
        <v>2315</v>
      </c>
      <c r="D2320" s="19" t="s">
        <v>17752</v>
      </c>
      <c r="E2320" s="19" t="s">
        <v>31527</v>
      </c>
      <c r="F2320" s="19" t="s">
        <v>35983</v>
      </c>
      <c r="G2320" s="18" t="str">
        <f>"32724"</f>
        <v>32724</v>
      </c>
      <c r="H2320" s="19" t="s">
        <v>36125</v>
      </c>
      <c r="I2320" s="20">
        <v>17.141999999999999</v>
      </c>
      <c r="J2320" s="44" t="s">
        <v>8</v>
      </c>
      <c r="K2320" s="23" t="s">
        <v>8</v>
      </c>
      <c r="L2320" s="23" t="s">
        <v>8</v>
      </c>
      <c r="M2320" s="23" t="s">
        <v>8</v>
      </c>
    </row>
    <row r="2321" spans="1:13" s="21" customFormat="1" x14ac:dyDescent="0.25">
      <c r="A2321" s="22" t="s">
        <v>8</v>
      </c>
      <c r="B2321" s="18" t="str">
        <f>"105939"</f>
        <v>105939</v>
      </c>
      <c r="C2321" s="19" t="s">
        <v>2316</v>
      </c>
      <c r="D2321" s="19" t="s">
        <v>17753</v>
      </c>
      <c r="E2321" s="19" t="s">
        <v>31507</v>
      </c>
      <c r="F2321" s="19" t="s">
        <v>35983</v>
      </c>
      <c r="G2321" s="18" t="str">
        <f>"33144"</f>
        <v>33144</v>
      </c>
      <c r="H2321" s="19" t="s">
        <v>36126</v>
      </c>
      <c r="I2321" s="20">
        <v>19.988</v>
      </c>
      <c r="J2321" s="44" t="s">
        <v>8</v>
      </c>
      <c r="K2321" s="23" t="s">
        <v>8</v>
      </c>
      <c r="L2321" s="23" t="s">
        <v>8</v>
      </c>
      <c r="M2321" s="23" t="s">
        <v>8</v>
      </c>
    </row>
    <row r="2322" spans="1:13" s="21" customFormat="1" x14ac:dyDescent="0.25">
      <c r="A2322" s="22" t="s">
        <v>8</v>
      </c>
      <c r="B2322" s="18" t="str">
        <f>"105949"</f>
        <v>105949</v>
      </c>
      <c r="C2322" s="19" t="s">
        <v>2317</v>
      </c>
      <c r="D2322" s="19" t="s">
        <v>17754</v>
      </c>
      <c r="E2322" s="19" t="s">
        <v>31555</v>
      </c>
      <c r="F2322" s="19" t="s">
        <v>35983</v>
      </c>
      <c r="G2322" s="18" t="str">
        <f>"33803"</f>
        <v>33803</v>
      </c>
      <c r="H2322" s="19" t="s">
        <v>36062</v>
      </c>
      <c r="I2322" s="20">
        <v>19.114999999999998</v>
      </c>
      <c r="J2322" s="44" t="s">
        <v>8</v>
      </c>
      <c r="K2322" s="23" t="s">
        <v>8</v>
      </c>
      <c r="L2322" s="23" t="s">
        <v>8</v>
      </c>
      <c r="M2322" s="23" t="s">
        <v>8</v>
      </c>
    </row>
    <row r="2323" spans="1:13" s="21" customFormat="1" x14ac:dyDescent="0.25">
      <c r="A2323" s="22" t="s">
        <v>8</v>
      </c>
      <c r="B2323" s="18" t="str">
        <f>"105951"</f>
        <v>105951</v>
      </c>
      <c r="C2323" s="19" t="s">
        <v>2318</v>
      </c>
      <c r="D2323" s="19" t="s">
        <v>17755</v>
      </c>
      <c r="E2323" s="19" t="s">
        <v>31623</v>
      </c>
      <c r="F2323" s="19" t="s">
        <v>35983</v>
      </c>
      <c r="G2323" s="18" t="str">
        <f>"33511"</f>
        <v>33511</v>
      </c>
      <c r="H2323" s="19" t="s">
        <v>33986</v>
      </c>
      <c r="I2323" s="20">
        <v>23.364999999999998</v>
      </c>
      <c r="J2323" s="44" t="s">
        <v>8</v>
      </c>
      <c r="K2323" s="23" t="s">
        <v>8</v>
      </c>
      <c r="L2323" s="23" t="s">
        <v>8</v>
      </c>
      <c r="M2323" s="23" t="s">
        <v>8</v>
      </c>
    </row>
    <row r="2324" spans="1:13" s="21" customFormat="1" x14ac:dyDescent="0.25">
      <c r="A2324" s="22" t="s">
        <v>8</v>
      </c>
      <c r="B2324" s="18" t="str">
        <f>"105952"</f>
        <v>105952</v>
      </c>
      <c r="C2324" s="19" t="s">
        <v>2319</v>
      </c>
      <c r="D2324" s="19" t="s">
        <v>17756</v>
      </c>
      <c r="E2324" s="19" t="s">
        <v>31667</v>
      </c>
      <c r="F2324" s="19" t="s">
        <v>35983</v>
      </c>
      <c r="G2324" s="18" t="str">
        <f>"32137"</f>
        <v>32137</v>
      </c>
      <c r="H2324" s="19" t="s">
        <v>36145</v>
      </c>
      <c r="I2324" s="20">
        <v>19.620999999999999</v>
      </c>
      <c r="J2324" s="44" t="s">
        <v>8</v>
      </c>
      <c r="K2324" s="23" t="s">
        <v>8</v>
      </c>
      <c r="L2324" s="23" t="s">
        <v>8</v>
      </c>
      <c r="M2324" s="23" t="s">
        <v>8</v>
      </c>
    </row>
    <row r="2325" spans="1:13" s="21" customFormat="1" x14ac:dyDescent="0.25">
      <c r="A2325" s="22" t="s">
        <v>8</v>
      </c>
      <c r="B2325" s="18" t="str">
        <f>"105955"</f>
        <v>105955</v>
      </c>
      <c r="C2325" s="19" t="s">
        <v>2320</v>
      </c>
      <c r="D2325" s="19" t="s">
        <v>17757</v>
      </c>
      <c r="E2325" s="19" t="s">
        <v>31603</v>
      </c>
      <c r="F2325" s="19" t="s">
        <v>35983</v>
      </c>
      <c r="G2325" s="18" t="str">
        <f>"34285"</f>
        <v>34285</v>
      </c>
      <c r="H2325" s="19" t="s">
        <v>31528</v>
      </c>
      <c r="I2325" s="20">
        <v>21.196999999999999</v>
      </c>
      <c r="J2325" s="44" t="s">
        <v>8</v>
      </c>
      <c r="K2325" s="23" t="s">
        <v>8</v>
      </c>
      <c r="L2325" s="23" t="s">
        <v>8</v>
      </c>
      <c r="M2325" s="23" t="s">
        <v>8</v>
      </c>
    </row>
    <row r="2326" spans="1:13" s="21" customFormat="1" x14ac:dyDescent="0.25">
      <c r="A2326" s="22" t="s">
        <v>8</v>
      </c>
      <c r="B2326" s="18" t="str">
        <f>"105959"</f>
        <v>105959</v>
      </c>
      <c r="C2326" s="19" t="s">
        <v>2321</v>
      </c>
      <c r="D2326" s="19" t="s">
        <v>17758</v>
      </c>
      <c r="E2326" s="19" t="s">
        <v>31517</v>
      </c>
      <c r="F2326" s="19" t="s">
        <v>35983</v>
      </c>
      <c r="G2326" s="18" t="str">
        <f>"33711"</f>
        <v>33711</v>
      </c>
      <c r="H2326" s="19" t="s">
        <v>36128</v>
      </c>
      <c r="I2326" s="20">
        <v>21.547999999999998</v>
      </c>
      <c r="J2326" s="44" t="s">
        <v>8</v>
      </c>
      <c r="K2326" s="23" t="s">
        <v>8</v>
      </c>
      <c r="L2326" s="23" t="s">
        <v>8</v>
      </c>
      <c r="M2326" s="23" t="s">
        <v>8</v>
      </c>
    </row>
    <row r="2327" spans="1:13" s="21" customFormat="1" x14ac:dyDescent="0.25">
      <c r="A2327" s="22" t="s">
        <v>8</v>
      </c>
      <c r="B2327" s="18" t="str">
        <f>"105960"</f>
        <v>105960</v>
      </c>
      <c r="C2327" s="19" t="s">
        <v>2322</v>
      </c>
      <c r="D2327" s="19" t="s">
        <v>17759</v>
      </c>
      <c r="E2327" s="19" t="s">
        <v>31599</v>
      </c>
      <c r="F2327" s="19" t="s">
        <v>35983</v>
      </c>
      <c r="G2327" s="18" t="str">
        <f>"32811"</f>
        <v>32811</v>
      </c>
      <c r="H2327" s="19" t="s">
        <v>31169</v>
      </c>
      <c r="I2327" s="20">
        <v>20.12</v>
      </c>
      <c r="J2327" s="44" t="s">
        <v>8</v>
      </c>
      <c r="K2327" s="23" t="s">
        <v>8</v>
      </c>
      <c r="L2327" s="23" t="s">
        <v>8</v>
      </c>
      <c r="M2327" s="23" t="s">
        <v>8</v>
      </c>
    </row>
    <row r="2328" spans="1:13" s="21" customFormat="1" x14ac:dyDescent="0.25">
      <c r="A2328" s="22" t="s">
        <v>8</v>
      </c>
      <c r="B2328" s="18" t="str">
        <f>"105961"</f>
        <v>105961</v>
      </c>
      <c r="C2328" s="19" t="s">
        <v>2323</v>
      </c>
      <c r="D2328" s="19" t="s">
        <v>17760</v>
      </c>
      <c r="E2328" s="19" t="s">
        <v>30912</v>
      </c>
      <c r="F2328" s="19" t="s">
        <v>35983</v>
      </c>
      <c r="G2328" s="18" t="str">
        <f>"32209"</f>
        <v>32209</v>
      </c>
      <c r="H2328" s="19" t="s">
        <v>36129</v>
      </c>
      <c r="I2328" s="20">
        <v>18.052</v>
      </c>
      <c r="J2328" s="44" t="s">
        <v>8</v>
      </c>
      <c r="K2328" s="23" t="s">
        <v>8</v>
      </c>
      <c r="L2328" s="23" t="s">
        <v>8</v>
      </c>
      <c r="M2328" s="23" t="s">
        <v>8</v>
      </c>
    </row>
    <row r="2329" spans="1:13" s="21" customFormat="1" x14ac:dyDescent="0.25">
      <c r="A2329" s="22" t="s">
        <v>8</v>
      </c>
      <c r="B2329" s="18" t="str">
        <f>"105962"</f>
        <v>105962</v>
      </c>
      <c r="C2329" s="19" t="s">
        <v>2324</v>
      </c>
      <c r="D2329" s="19" t="s">
        <v>17761</v>
      </c>
      <c r="E2329" s="19" t="s">
        <v>31587</v>
      </c>
      <c r="F2329" s="19" t="s">
        <v>35983</v>
      </c>
      <c r="G2329" s="18" t="str">
        <f>"32073"</f>
        <v>32073</v>
      </c>
      <c r="H2329" s="19" t="s">
        <v>36030</v>
      </c>
      <c r="I2329" s="20">
        <v>19.14</v>
      </c>
      <c r="J2329" s="44" t="s">
        <v>8</v>
      </c>
      <c r="K2329" s="23" t="s">
        <v>8</v>
      </c>
      <c r="L2329" s="23" t="s">
        <v>8</v>
      </c>
      <c r="M2329" s="23" t="s">
        <v>8</v>
      </c>
    </row>
    <row r="2330" spans="1:13" s="21" customFormat="1" x14ac:dyDescent="0.25">
      <c r="A2330" s="22" t="s">
        <v>8</v>
      </c>
      <c r="B2330" s="18" t="str">
        <f>"105963"</f>
        <v>105963</v>
      </c>
      <c r="C2330" s="19" t="s">
        <v>2325</v>
      </c>
      <c r="D2330" s="19" t="s">
        <v>17762</v>
      </c>
      <c r="E2330" s="19" t="s">
        <v>31668</v>
      </c>
      <c r="F2330" s="19" t="s">
        <v>35983</v>
      </c>
      <c r="G2330" s="18" t="str">
        <f>"32066"</f>
        <v>32066</v>
      </c>
      <c r="H2330" s="19" t="s">
        <v>30892</v>
      </c>
      <c r="I2330" s="20">
        <v>18.693999999999999</v>
      </c>
      <c r="J2330" s="44" t="s">
        <v>8</v>
      </c>
      <c r="K2330" s="23" t="s">
        <v>8</v>
      </c>
      <c r="L2330" s="23" t="s">
        <v>8</v>
      </c>
      <c r="M2330" s="23" t="s">
        <v>8</v>
      </c>
    </row>
    <row r="2331" spans="1:13" s="21" customFormat="1" x14ac:dyDescent="0.25">
      <c r="A2331" s="22" t="s">
        <v>8</v>
      </c>
      <c r="B2331" s="18" t="str">
        <f>"105965"</f>
        <v>105965</v>
      </c>
      <c r="C2331" s="19" t="s">
        <v>1990</v>
      </c>
      <c r="D2331" s="19" t="s">
        <v>17763</v>
      </c>
      <c r="E2331" s="19" t="s">
        <v>31603</v>
      </c>
      <c r="F2331" s="19" t="s">
        <v>35983</v>
      </c>
      <c r="G2331" s="18" t="str">
        <f>"34292"</f>
        <v>34292</v>
      </c>
      <c r="H2331" s="19" t="s">
        <v>31528</v>
      </c>
      <c r="I2331" s="20">
        <v>19.588000000000001</v>
      </c>
      <c r="J2331" s="44" t="s">
        <v>8</v>
      </c>
      <c r="K2331" s="23" t="s">
        <v>8</v>
      </c>
      <c r="L2331" s="23" t="s">
        <v>8</v>
      </c>
      <c r="M2331" s="23" t="s">
        <v>8</v>
      </c>
    </row>
    <row r="2332" spans="1:13" s="21" customFormat="1" x14ac:dyDescent="0.25">
      <c r="A2332" s="22" t="s">
        <v>8</v>
      </c>
      <c r="B2332" s="18" t="str">
        <f>"105966"</f>
        <v>105966</v>
      </c>
      <c r="C2332" s="19" t="s">
        <v>2326</v>
      </c>
      <c r="D2332" s="19" t="s">
        <v>17764</v>
      </c>
      <c r="E2332" s="19" t="s">
        <v>31541</v>
      </c>
      <c r="F2332" s="19" t="s">
        <v>35983</v>
      </c>
      <c r="G2332" s="18" t="str">
        <f>"33908"</f>
        <v>33908</v>
      </c>
      <c r="H2332" s="19" t="s">
        <v>33138</v>
      </c>
      <c r="I2332" s="20">
        <v>19.553999999999998</v>
      </c>
      <c r="J2332" s="44" t="s">
        <v>8</v>
      </c>
      <c r="K2332" s="23" t="s">
        <v>8</v>
      </c>
      <c r="L2332" s="23" t="s">
        <v>8</v>
      </c>
      <c r="M2332" s="23" t="s">
        <v>8</v>
      </c>
    </row>
    <row r="2333" spans="1:13" s="21" customFormat="1" x14ac:dyDescent="0.25">
      <c r="A2333" s="22" t="s">
        <v>8</v>
      </c>
      <c r="B2333" s="18" t="str">
        <f>"105967"</f>
        <v>105967</v>
      </c>
      <c r="C2333" s="19" t="s">
        <v>2327</v>
      </c>
      <c r="D2333" s="19" t="s">
        <v>17765</v>
      </c>
      <c r="E2333" s="19" t="s">
        <v>31652</v>
      </c>
      <c r="F2333" s="19" t="s">
        <v>35983</v>
      </c>
      <c r="G2333" s="18" t="str">
        <f>"34761"</f>
        <v>34761</v>
      </c>
      <c r="H2333" s="19" t="s">
        <v>31169</v>
      </c>
      <c r="I2333" s="20">
        <v>22.731000000000002</v>
      </c>
      <c r="J2333" s="44" t="s">
        <v>8</v>
      </c>
      <c r="K2333" s="23" t="s">
        <v>8</v>
      </c>
      <c r="L2333" s="23" t="s">
        <v>8</v>
      </c>
      <c r="M2333" s="23" t="s">
        <v>8</v>
      </c>
    </row>
    <row r="2334" spans="1:13" s="21" customFormat="1" x14ac:dyDescent="0.25">
      <c r="A2334" s="22" t="s">
        <v>8</v>
      </c>
      <c r="B2334" s="18" t="str">
        <f>"105968"</f>
        <v>105968</v>
      </c>
      <c r="C2334" s="19" t="s">
        <v>2328</v>
      </c>
      <c r="D2334" s="19" t="s">
        <v>17766</v>
      </c>
      <c r="E2334" s="19" t="s">
        <v>31614</v>
      </c>
      <c r="F2334" s="19" t="s">
        <v>35983</v>
      </c>
      <c r="G2334" s="18" t="str">
        <f>"33462"</f>
        <v>33462</v>
      </c>
      <c r="H2334" s="19" t="s">
        <v>36130</v>
      </c>
      <c r="I2334" s="20">
        <v>24.85</v>
      </c>
      <c r="J2334" s="44" t="s">
        <v>8</v>
      </c>
      <c r="K2334" s="23" t="s">
        <v>8</v>
      </c>
      <c r="L2334" s="23" t="s">
        <v>8</v>
      </c>
      <c r="M2334" s="23" t="s">
        <v>8</v>
      </c>
    </row>
    <row r="2335" spans="1:13" s="21" customFormat="1" x14ac:dyDescent="0.25">
      <c r="A2335" s="22" t="s">
        <v>8</v>
      </c>
      <c r="B2335" s="18" t="str">
        <f>"105970"</f>
        <v>105970</v>
      </c>
      <c r="C2335" s="19" t="s">
        <v>2329</v>
      </c>
      <c r="D2335" s="19" t="s">
        <v>17767</v>
      </c>
      <c r="E2335" s="19" t="s">
        <v>31093</v>
      </c>
      <c r="F2335" s="19" t="s">
        <v>35983</v>
      </c>
      <c r="G2335" s="18" t="str">
        <f>"32446"</f>
        <v>32446</v>
      </c>
      <c r="H2335" s="19" t="s">
        <v>30816</v>
      </c>
      <c r="I2335" s="20">
        <v>18.260000000000002</v>
      </c>
      <c r="J2335" s="44" t="s">
        <v>8</v>
      </c>
      <c r="K2335" s="23" t="s">
        <v>8</v>
      </c>
      <c r="L2335" s="23" t="s">
        <v>8</v>
      </c>
      <c r="M2335" s="23" t="s">
        <v>8</v>
      </c>
    </row>
    <row r="2336" spans="1:13" s="21" customFormat="1" x14ac:dyDescent="0.25">
      <c r="A2336" s="22" t="s">
        <v>8</v>
      </c>
      <c r="B2336" s="18" t="str">
        <f>"105972"</f>
        <v>105972</v>
      </c>
      <c r="C2336" s="19" t="s">
        <v>2330</v>
      </c>
      <c r="D2336" s="19" t="s">
        <v>17768</v>
      </c>
      <c r="E2336" s="19" t="s">
        <v>31552</v>
      </c>
      <c r="F2336" s="19" t="s">
        <v>35983</v>
      </c>
      <c r="G2336" s="18" t="str">
        <f>"34997"</f>
        <v>34997</v>
      </c>
      <c r="H2336" s="19" t="s">
        <v>35168</v>
      </c>
      <c r="I2336" s="20">
        <v>15.992000000000001</v>
      </c>
      <c r="J2336" s="44" t="s">
        <v>8</v>
      </c>
      <c r="K2336" s="23" t="s">
        <v>8</v>
      </c>
      <c r="L2336" s="23" t="s">
        <v>8</v>
      </c>
      <c r="M2336" s="23" t="s">
        <v>8</v>
      </c>
    </row>
    <row r="2337" spans="1:13" s="21" customFormat="1" x14ac:dyDescent="0.25">
      <c r="A2337" s="22" t="s">
        <v>8</v>
      </c>
      <c r="B2337" s="18" t="str">
        <f>"105974"</f>
        <v>105974</v>
      </c>
      <c r="C2337" s="19" t="s">
        <v>2331</v>
      </c>
      <c r="D2337" s="19" t="s">
        <v>17769</v>
      </c>
      <c r="E2337" s="19" t="s">
        <v>31599</v>
      </c>
      <c r="F2337" s="19" t="s">
        <v>35983</v>
      </c>
      <c r="G2337" s="18" t="str">
        <f>"32817"</f>
        <v>32817</v>
      </c>
      <c r="H2337" s="19" t="s">
        <v>31169</v>
      </c>
      <c r="I2337" s="20">
        <v>22.035</v>
      </c>
      <c r="J2337" s="44" t="s">
        <v>8</v>
      </c>
      <c r="K2337" s="23" t="s">
        <v>8</v>
      </c>
      <c r="L2337" s="23" t="s">
        <v>8</v>
      </c>
      <c r="M2337" s="23" t="s">
        <v>8</v>
      </c>
    </row>
    <row r="2338" spans="1:13" s="21" customFormat="1" x14ac:dyDescent="0.25">
      <c r="A2338" s="22" t="s">
        <v>8</v>
      </c>
      <c r="B2338" s="18" t="str">
        <f>"105975"</f>
        <v>105975</v>
      </c>
      <c r="C2338" s="19" t="s">
        <v>2332</v>
      </c>
      <c r="D2338" s="19" t="s">
        <v>17770</v>
      </c>
      <c r="E2338" s="19" t="s">
        <v>31530</v>
      </c>
      <c r="F2338" s="19" t="s">
        <v>35983</v>
      </c>
      <c r="G2338" s="18" t="str">
        <f>"32404"</f>
        <v>32404</v>
      </c>
      <c r="H2338" s="19" t="s">
        <v>36132</v>
      </c>
      <c r="I2338" s="20">
        <v>21.53</v>
      </c>
      <c r="J2338" s="44" t="s">
        <v>8</v>
      </c>
      <c r="K2338" s="23" t="s">
        <v>8</v>
      </c>
      <c r="L2338" s="23" t="s">
        <v>8</v>
      </c>
      <c r="M2338" s="23" t="s">
        <v>8</v>
      </c>
    </row>
    <row r="2339" spans="1:13" s="21" customFormat="1" x14ac:dyDescent="0.25">
      <c r="A2339" s="22" t="s">
        <v>8</v>
      </c>
      <c r="B2339" s="18" t="str">
        <f>"105978"</f>
        <v>105978</v>
      </c>
      <c r="C2339" s="19" t="s">
        <v>2333</v>
      </c>
      <c r="D2339" s="19" t="s">
        <v>17771</v>
      </c>
      <c r="E2339" s="19" t="s">
        <v>31597</v>
      </c>
      <c r="F2339" s="19" t="s">
        <v>35983</v>
      </c>
      <c r="G2339" s="18" t="str">
        <f>"33782"</f>
        <v>33782</v>
      </c>
      <c r="H2339" s="19" t="s">
        <v>36128</v>
      </c>
      <c r="I2339" s="20">
        <v>21.262</v>
      </c>
      <c r="J2339" s="44" t="s">
        <v>8</v>
      </c>
      <c r="K2339" s="23" t="s">
        <v>8</v>
      </c>
      <c r="L2339" s="23" t="s">
        <v>8</v>
      </c>
      <c r="M2339" s="23" t="s">
        <v>8</v>
      </c>
    </row>
    <row r="2340" spans="1:13" s="21" customFormat="1" x14ac:dyDescent="0.25">
      <c r="A2340" s="22" t="s">
        <v>8</v>
      </c>
      <c r="B2340" s="18" t="str">
        <f>"105979"</f>
        <v>105979</v>
      </c>
      <c r="C2340" s="19" t="s">
        <v>2334</v>
      </c>
      <c r="D2340" s="19" t="s">
        <v>17772</v>
      </c>
      <c r="E2340" s="19" t="s">
        <v>31669</v>
      </c>
      <c r="F2340" s="19" t="s">
        <v>35983</v>
      </c>
      <c r="G2340" s="18" t="str">
        <f>"33073"</f>
        <v>33073</v>
      </c>
      <c r="H2340" s="19" t="s">
        <v>36127</v>
      </c>
      <c r="I2340" s="20">
        <v>23.446000000000002</v>
      </c>
      <c r="J2340" s="44" t="s">
        <v>8</v>
      </c>
      <c r="K2340" s="23" t="s">
        <v>8</v>
      </c>
      <c r="L2340" s="23" t="s">
        <v>8</v>
      </c>
      <c r="M2340" s="23" t="s">
        <v>8</v>
      </c>
    </row>
    <row r="2341" spans="1:13" s="21" customFormat="1" x14ac:dyDescent="0.25">
      <c r="A2341" s="22" t="s">
        <v>8</v>
      </c>
      <c r="B2341" s="18" t="str">
        <f>"105980"</f>
        <v>105980</v>
      </c>
      <c r="C2341" s="19" t="s">
        <v>2335</v>
      </c>
      <c r="D2341" s="19" t="s">
        <v>17773</v>
      </c>
      <c r="E2341" s="19" t="s">
        <v>30912</v>
      </c>
      <c r="F2341" s="19" t="s">
        <v>35983</v>
      </c>
      <c r="G2341" s="18" t="str">
        <f>"32218"</f>
        <v>32218</v>
      </c>
      <c r="H2341" s="19" t="s">
        <v>36129</v>
      </c>
      <c r="I2341" s="20">
        <v>17.451000000000001</v>
      </c>
      <c r="J2341" s="44" t="s">
        <v>8</v>
      </c>
      <c r="K2341" s="23" t="s">
        <v>8</v>
      </c>
      <c r="L2341" s="23" t="s">
        <v>8</v>
      </c>
      <c r="M2341" s="23" t="s">
        <v>8</v>
      </c>
    </row>
    <row r="2342" spans="1:13" s="21" customFormat="1" x14ac:dyDescent="0.25">
      <c r="A2342" s="22" t="s">
        <v>8</v>
      </c>
      <c r="B2342" s="18" t="str">
        <f>"105982"</f>
        <v>105982</v>
      </c>
      <c r="C2342" s="19" t="s">
        <v>2336</v>
      </c>
      <c r="D2342" s="19" t="s">
        <v>17774</v>
      </c>
      <c r="E2342" s="19" t="s">
        <v>31580</v>
      </c>
      <c r="F2342" s="19" t="s">
        <v>35983</v>
      </c>
      <c r="G2342" s="18" t="str">
        <f>"33948"</f>
        <v>33948</v>
      </c>
      <c r="H2342" s="19" t="s">
        <v>33156</v>
      </c>
      <c r="I2342" s="20">
        <v>20.300999999999998</v>
      </c>
      <c r="J2342" s="44" t="s">
        <v>8</v>
      </c>
      <c r="K2342" s="23" t="s">
        <v>8</v>
      </c>
      <c r="L2342" s="23" t="s">
        <v>8</v>
      </c>
      <c r="M2342" s="23" t="s">
        <v>8</v>
      </c>
    </row>
    <row r="2343" spans="1:13" s="21" customFormat="1" x14ac:dyDescent="0.25">
      <c r="A2343" s="22" t="s">
        <v>8</v>
      </c>
      <c r="B2343" s="18" t="str">
        <f>"105983"</f>
        <v>105983</v>
      </c>
      <c r="C2343" s="19" t="s">
        <v>2337</v>
      </c>
      <c r="D2343" s="19" t="s">
        <v>17775</v>
      </c>
      <c r="E2343" s="19" t="s">
        <v>31528</v>
      </c>
      <c r="F2343" s="19" t="s">
        <v>35983</v>
      </c>
      <c r="G2343" s="18" t="str">
        <f>"34232"</f>
        <v>34232</v>
      </c>
      <c r="H2343" s="19" t="s">
        <v>31528</v>
      </c>
      <c r="I2343" s="20">
        <v>17.091999999999999</v>
      </c>
      <c r="J2343" s="44" t="s">
        <v>8</v>
      </c>
      <c r="K2343" s="23" t="s">
        <v>8</v>
      </c>
      <c r="L2343" s="23" t="s">
        <v>8</v>
      </c>
      <c r="M2343" s="23" t="s">
        <v>8</v>
      </c>
    </row>
    <row r="2344" spans="1:13" s="21" customFormat="1" x14ac:dyDescent="0.25">
      <c r="A2344" s="22" t="s">
        <v>8</v>
      </c>
      <c r="B2344" s="18" t="str">
        <f>"105985"</f>
        <v>105985</v>
      </c>
      <c r="C2344" s="19" t="s">
        <v>2338</v>
      </c>
      <c r="D2344" s="19" t="s">
        <v>17776</v>
      </c>
      <c r="E2344" s="19" t="s">
        <v>31609</v>
      </c>
      <c r="F2344" s="19" t="s">
        <v>35983</v>
      </c>
      <c r="G2344" s="18" t="str">
        <f>"32905"</f>
        <v>32905</v>
      </c>
      <c r="H2344" s="19" t="s">
        <v>34287</v>
      </c>
      <c r="I2344" s="20">
        <v>17.513999999999999</v>
      </c>
      <c r="J2344" s="44" t="s">
        <v>8</v>
      </c>
      <c r="K2344" s="23" t="s">
        <v>8</v>
      </c>
      <c r="L2344" s="23" t="s">
        <v>8</v>
      </c>
      <c r="M2344" s="23" t="s">
        <v>8</v>
      </c>
    </row>
    <row r="2345" spans="1:13" s="21" customFormat="1" x14ac:dyDescent="0.25">
      <c r="A2345" s="22" t="s">
        <v>8</v>
      </c>
      <c r="B2345" s="18" t="str">
        <f>"105986"</f>
        <v>105986</v>
      </c>
      <c r="C2345" s="19" t="s">
        <v>2339</v>
      </c>
      <c r="D2345" s="19" t="s">
        <v>17777</v>
      </c>
      <c r="E2345" s="19" t="s">
        <v>31634</v>
      </c>
      <c r="F2345" s="19" t="s">
        <v>35983</v>
      </c>
      <c r="G2345" s="18" t="str">
        <f>"33540"</f>
        <v>33540</v>
      </c>
      <c r="H2345" s="19" t="s">
        <v>35446</v>
      </c>
      <c r="I2345" s="20">
        <v>24.611000000000001</v>
      </c>
      <c r="J2345" s="44" t="s">
        <v>8</v>
      </c>
      <c r="K2345" s="23" t="s">
        <v>8</v>
      </c>
      <c r="L2345" s="23" t="s">
        <v>8</v>
      </c>
      <c r="M2345" s="23" t="s">
        <v>8</v>
      </c>
    </row>
    <row r="2346" spans="1:13" s="21" customFormat="1" x14ac:dyDescent="0.25">
      <c r="A2346" s="22" t="s">
        <v>8</v>
      </c>
      <c r="B2346" s="18" t="str">
        <f>"105987"</f>
        <v>105987</v>
      </c>
      <c r="C2346" s="19" t="s">
        <v>2340</v>
      </c>
      <c r="D2346" s="19" t="s">
        <v>17778</v>
      </c>
      <c r="E2346" s="19" t="s">
        <v>31599</v>
      </c>
      <c r="F2346" s="19" t="s">
        <v>35983</v>
      </c>
      <c r="G2346" s="18" t="str">
        <f>"32837"</f>
        <v>32837</v>
      </c>
      <c r="H2346" s="19" t="s">
        <v>31169</v>
      </c>
      <c r="I2346" s="20">
        <v>23.372</v>
      </c>
      <c r="J2346" s="44" t="s">
        <v>8</v>
      </c>
      <c r="K2346" s="23" t="s">
        <v>8</v>
      </c>
      <c r="L2346" s="23" t="s">
        <v>8</v>
      </c>
      <c r="M2346" s="23" t="s">
        <v>8</v>
      </c>
    </row>
    <row r="2347" spans="1:13" s="21" customFormat="1" x14ac:dyDescent="0.25">
      <c r="A2347" s="22" t="s">
        <v>8</v>
      </c>
      <c r="B2347" s="18" t="str">
        <f>"105995"</f>
        <v>105995</v>
      </c>
      <c r="C2347" s="19" t="s">
        <v>2341</v>
      </c>
      <c r="D2347" s="19" t="s">
        <v>17779</v>
      </c>
      <c r="E2347" s="19" t="s">
        <v>31535</v>
      </c>
      <c r="F2347" s="19" t="s">
        <v>35983</v>
      </c>
      <c r="G2347" s="18" t="str">
        <f>"34109"</f>
        <v>34109</v>
      </c>
      <c r="H2347" s="19" t="s">
        <v>36133</v>
      </c>
      <c r="I2347" s="20">
        <v>18.934999999999999</v>
      </c>
      <c r="J2347" s="44" t="s">
        <v>8</v>
      </c>
      <c r="K2347" s="23" t="s">
        <v>8</v>
      </c>
      <c r="L2347" s="23" t="s">
        <v>8</v>
      </c>
      <c r="M2347" s="23" t="s">
        <v>8</v>
      </c>
    </row>
    <row r="2348" spans="1:13" s="21" customFormat="1" x14ac:dyDescent="0.25">
      <c r="A2348" s="22" t="s">
        <v>8</v>
      </c>
      <c r="B2348" s="18" t="str">
        <f>"105996"</f>
        <v>105996</v>
      </c>
      <c r="C2348" s="19" t="s">
        <v>2342</v>
      </c>
      <c r="D2348" s="19" t="s">
        <v>17780</v>
      </c>
      <c r="E2348" s="19" t="s">
        <v>31559</v>
      </c>
      <c r="F2348" s="19" t="s">
        <v>35983</v>
      </c>
      <c r="G2348" s="18" t="str">
        <f>"34613"</f>
        <v>34613</v>
      </c>
      <c r="H2348" s="19" t="s">
        <v>31676</v>
      </c>
      <c r="I2348" s="20">
        <v>18.428999999999998</v>
      </c>
      <c r="J2348" s="44" t="s">
        <v>8</v>
      </c>
      <c r="K2348" s="23" t="s">
        <v>8</v>
      </c>
      <c r="L2348" s="23" t="s">
        <v>8</v>
      </c>
      <c r="M2348" s="23" t="s">
        <v>8</v>
      </c>
    </row>
    <row r="2349" spans="1:13" s="21" customFormat="1" x14ac:dyDescent="0.25">
      <c r="A2349" s="22" t="s">
        <v>8</v>
      </c>
      <c r="B2349" s="18" t="str">
        <f>"105998"</f>
        <v>105998</v>
      </c>
      <c r="C2349" s="19" t="s">
        <v>2343</v>
      </c>
      <c r="D2349" s="19" t="s">
        <v>17781</v>
      </c>
      <c r="E2349" s="19" t="s">
        <v>31534</v>
      </c>
      <c r="F2349" s="19" t="s">
        <v>35983</v>
      </c>
      <c r="G2349" s="18" t="str">
        <f>"33881"</f>
        <v>33881</v>
      </c>
      <c r="H2349" s="19" t="s">
        <v>36062</v>
      </c>
      <c r="I2349" s="20">
        <v>18.748999999999999</v>
      </c>
      <c r="J2349" s="44" t="s">
        <v>8</v>
      </c>
      <c r="K2349" s="23" t="s">
        <v>8</v>
      </c>
      <c r="L2349" s="23" t="s">
        <v>8</v>
      </c>
      <c r="M2349" s="23" t="s">
        <v>8</v>
      </c>
    </row>
    <row r="2350" spans="1:13" s="21" customFormat="1" x14ac:dyDescent="0.25">
      <c r="A2350" s="22" t="s">
        <v>8</v>
      </c>
      <c r="B2350" s="18" t="str">
        <f>"105999"</f>
        <v>105999</v>
      </c>
      <c r="C2350" s="19" t="s">
        <v>2344</v>
      </c>
      <c r="D2350" s="19" t="s">
        <v>17782</v>
      </c>
      <c r="E2350" s="19" t="s">
        <v>31538</v>
      </c>
      <c r="F2350" s="19" t="s">
        <v>35983</v>
      </c>
      <c r="G2350" s="18" t="str">
        <f>"34474"</f>
        <v>34474</v>
      </c>
      <c r="H2350" s="19" t="s">
        <v>30850</v>
      </c>
      <c r="I2350" s="20">
        <v>14.955</v>
      </c>
      <c r="J2350" s="44" t="s">
        <v>8</v>
      </c>
      <c r="K2350" s="23" t="s">
        <v>8</v>
      </c>
      <c r="L2350" s="23" t="s">
        <v>8</v>
      </c>
      <c r="M2350" s="23" t="s">
        <v>8</v>
      </c>
    </row>
    <row r="2351" spans="1:13" s="21" customFormat="1" x14ac:dyDescent="0.25">
      <c r="A2351" s="22" t="s">
        <v>8</v>
      </c>
      <c r="B2351" s="18" t="str">
        <f>"106000"</f>
        <v>106000</v>
      </c>
      <c r="C2351" s="19" t="s">
        <v>2345</v>
      </c>
      <c r="D2351" s="19" t="s">
        <v>17783</v>
      </c>
      <c r="E2351" s="19" t="s">
        <v>31541</v>
      </c>
      <c r="F2351" s="19" t="s">
        <v>35983</v>
      </c>
      <c r="G2351" s="18" t="str">
        <f>"33901"</f>
        <v>33901</v>
      </c>
      <c r="H2351" s="19" t="s">
        <v>33138</v>
      </c>
      <c r="I2351" s="20">
        <v>19.649000000000001</v>
      </c>
      <c r="J2351" s="44" t="s">
        <v>8</v>
      </c>
      <c r="K2351" s="23" t="s">
        <v>8</v>
      </c>
      <c r="L2351" s="23" t="s">
        <v>8</v>
      </c>
      <c r="M2351" s="23" t="s">
        <v>8</v>
      </c>
    </row>
    <row r="2352" spans="1:13" s="21" customFormat="1" x14ac:dyDescent="0.25">
      <c r="A2352" s="22" t="s">
        <v>8</v>
      </c>
      <c r="B2352" s="18" t="str">
        <f>"106002"</f>
        <v>106002</v>
      </c>
      <c r="C2352" s="19" t="s">
        <v>2346</v>
      </c>
      <c r="D2352" s="19" t="s">
        <v>17784</v>
      </c>
      <c r="E2352" s="19" t="s">
        <v>31555</v>
      </c>
      <c r="F2352" s="19" t="s">
        <v>35983</v>
      </c>
      <c r="G2352" s="18" t="str">
        <f>"33809"</f>
        <v>33809</v>
      </c>
      <c r="H2352" s="19" t="s">
        <v>36062</v>
      </c>
      <c r="I2352" s="20">
        <v>19.940000000000001</v>
      </c>
      <c r="J2352" s="44" t="s">
        <v>8</v>
      </c>
      <c r="K2352" s="23" t="s">
        <v>8</v>
      </c>
      <c r="L2352" s="23" t="s">
        <v>8</v>
      </c>
      <c r="M2352" s="23" t="s">
        <v>8</v>
      </c>
    </row>
    <row r="2353" spans="1:13" s="21" customFormat="1" x14ac:dyDescent="0.25">
      <c r="A2353" s="22" t="s">
        <v>8</v>
      </c>
      <c r="B2353" s="18" t="str">
        <f>"106003"</f>
        <v>106003</v>
      </c>
      <c r="C2353" s="19" t="s">
        <v>2347</v>
      </c>
      <c r="D2353" s="19" t="s">
        <v>17785</v>
      </c>
      <c r="E2353" s="19" t="s">
        <v>31670</v>
      </c>
      <c r="F2353" s="19" t="s">
        <v>35983</v>
      </c>
      <c r="G2353" s="18" t="str">
        <f>"32159"</f>
        <v>32159</v>
      </c>
      <c r="H2353" s="19" t="s">
        <v>36096</v>
      </c>
      <c r="I2353" s="20">
        <v>21.274999999999999</v>
      </c>
      <c r="J2353" s="44" t="s">
        <v>8</v>
      </c>
      <c r="K2353" s="23" t="s">
        <v>8</v>
      </c>
      <c r="L2353" s="23" t="s">
        <v>8</v>
      </c>
      <c r="M2353" s="23" t="s">
        <v>8</v>
      </c>
    </row>
    <row r="2354" spans="1:13" s="21" customFormat="1" x14ac:dyDescent="0.25">
      <c r="A2354" s="22" t="s">
        <v>8</v>
      </c>
      <c r="B2354" s="18" t="str">
        <f>"106005"</f>
        <v>106005</v>
      </c>
      <c r="C2354" s="19" t="s">
        <v>1990</v>
      </c>
      <c r="D2354" s="19" t="s">
        <v>17786</v>
      </c>
      <c r="E2354" s="19" t="s">
        <v>31573</v>
      </c>
      <c r="F2354" s="19" t="s">
        <v>35983</v>
      </c>
      <c r="G2354" s="18" t="str">
        <f>"33446"</f>
        <v>33446</v>
      </c>
      <c r="H2354" s="19" t="s">
        <v>36130</v>
      </c>
      <c r="I2354" s="20">
        <v>20.745999999999999</v>
      </c>
      <c r="J2354" s="44" t="s">
        <v>8</v>
      </c>
      <c r="K2354" s="23" t="s">
        <v>8</v>
      </c>
      <c r="L2354" s="23" t="s">
        <v>8</v>
      </c>
      <c r="M2354" s="23" t="s">
        <v>8</v>
      </c>
    </row>
    <row r="2355" spans="1:13" s="21" customFormat="1" x14ac:dyDescent="0.25">
      <c r="A2355" s="22" t="s">
        <v>8</v>
      </c>
      <c r="B2355" s="18" t="str">
        <f>"106006"</f>
        <v>106006</v>
      </c>
      <c r="C2355" s="19" t="s">
        <v>2348</v>
      </c>
      <c r="D2355" s="19" t="s">
        <v>17787</v>
      </c>
      <c r="E2355" s="19" t="s">
        <v>31671</v>
      </c>
      <c r="F2355" s="19" t="s">
        <v>35983</v>
      </c>
      <c r="G2355" s="18" t="str">
        <f>"34639"</f>
        <v>34639</v>
      </c>
      <c r="H2355" s="19" t="s">
        <v>35446</v>
      </c>
      <c r="I2355" s="20">
        <v>18.314</v>
      </c>
      <c r="J2355" s="44" t="s">
        <v>8</v>
      </c>
      <c r="K2355" s="23" t="s">
        <v>8</v>
      </c>
      <c r="L2355" s="23" t="s">
        <v>8</v>
      </c>
      <c r="M2355" s="23" t="s">
        <v>8</v>
      </c>
    </row>
    <row r="2356" spans="1:13" s="21" customFormat="1" x14ac:dyDescent="0.25">
      <c r="A2356" s="22" t="s">
        <v>8</v>
      </c>
      <c r="B2356" s="18" t="str">
        <f>"106007"</f>
        <v>106007</v>
      </c>
      <c r="C2356" s="19" t="s">
        <v>2349</v>
      </c>
      <c r="D2356" s="19" t="s">
        <v>17788</v>
      </c>
      <c r="E2356" s="19" t="s">
        <v>31507</v>
      </c>
      <c r="F2356" s="19" t="s">
        <v>35983</v>
      </c>
      <c r="G2356" s="18" t="str">
        <f>"33125"</f>
        <v>33125</v>
      </c>
      <c r="H2356" s="19" t="s">
        <v>36126</v>
      </c>
      <c r="I2356" s="20">
        <v>20.728999999999999</v>
      </c>
      <c r="J2356" s="44" t="s">
        <v>8</v>
      </c>
      <c r="K2356" s="23" t="s">
        <v>8</v>
      </c>
      <c r="L2356" s="23" t="s">
        <v>8</v>
      </c>
      <c r="M2356" s="23" t="s">
        <v>8</v>
      </c>
    </row>
    <row r="2357" spans="1:13" s="21" customFormat="1" x14ac:dyDescent="0.25">
      <c r="A2357" s="22" t="s">
        <v>8</v>
      </c>
      <c r="B2357" s="18" t="str">
        <f>"106008"</f>
        <v>106008</v>
      </c>
      <c r="C2357" s="19" t="s">
        <v>2350</v>
      </c>
      <c r="D2357" s="19" t="s">
        <v>17789</v>
      </c>
      <c r="E2357" s="19" t="s">
        <v>31672</v>
      </c>
      <c r="F2357" s="19" t="s">
        <v>35983</v>
      </c>
      <c r="G2357" s="18" t="str">
        <f>"33513"</f>
        <v>33513</v>
      </c>
      <c r="H2357" s="19" t="s">
        <v>35065</v>
      </c>
      <c r="I2357" s="20">
        <v>19.631</v>
      </c>
      <c r="J2357" s="44" t="s">
        <v>8</v>
      </c>
      <c r="K2357" s="23" t="s">
        <v>8</v>
      </c>
      <c r="L2357" s="23" t="s">
        <v>8</v>
      </c>
      <c r="M2357" s="23" t="s">
        <v>8</v>
      </c>
    </row>
    <row r="2358" spans="1:13" s="21" customFormat="1" x14ac:dyDescent="0.25">
      <c r="A2358" s="22" t="s">
        <v>8</v>
      </c>
      <c r="B2358" s="18" t="str">
        <f>"106009"</f>
        <v>106009</v>
      </c>
      <c r="C2358" s="19" t="s">
        <v>2351</v>
      </c>
      <c r="D2358" s="19" t="s">
        <v>17790</v>
      </c>
      <c r="E2358" s="19" t="s">
        <v>31673</v>
      </c>
      <c r="F2358" s="19" t="s">
        <v>35983</v>
      </c>
      <c r="G2358" s="18" t="str">
        <f>"32628"</f>
        <v>32628</v>
      </c>
      <c r="H2358" s="19" t="s">
        <v>36147</v>
      </c>
      <c r="I2358" s="20">
        <v>19.524000000000001</v>
      </c>
      <c r="J2358" s="44" t="s">
        <v>8</v>
      </c>
      <c r="K2358" s="23" t="s">
        <v>8</v>
      </c>
      <c r="L2358" s="23" t="s">
        <v>8</v>
      </c>
      <c r="M2358" s="23" t="s">
        <v>8</v>
      </c>
    </row>
    <row r="2359" spans="1:13" s="21" customFormat="1" x14ac:dyDescent="0.25">
      <c r="A2359" s="22" t="s">
        <v>8</v>
      </c>
      <c r="B2359" s="18" t="str">
        <f>"106010"</f>
        <v>106010</v>
      </c>
      <c r="C2359" s="19" t="s">
        <v>2352</v>
      </c>
      <c r="D2359" s="19" t="s">
        <v>17791</v>
      </c>
      <c r="E2359" s="19" t="s">
        <v>31542</v>
      </c>
      <c r="F2359" s="19" t="s">
        <v>35983</v>
      </c>
      <c r="G2359" s="18" t="str">
        <f>"33777"</f>
        <v>33777</v>
      </c>
      <c r="H2359" s="19" t="s">
        <v>36128</v>
      </c>
      <c r="I2359" s="20">
        <v>22.058</v>
      </c>
      <c r="J2359" s="44" t="s">
        <v>8</v>
      </c>
      <c r="K2359" s="23" t="s">
        <v>8</v>
      </c>
      <c r="L2359" s="23" t="s">
        <v>8</v>
      </c>
      <c r="M2359" s="23" t="s">
        <v>8</v>
      </c>
    </row>
    <row r="2360" spans="1:13" s="21" customFormat="1" x14ac:dyDescent="0.25">
      <c r="A2360" s="22" t="s">
        <v>8</v>
      </c>
      <c r="B2360" s="18" t="str">
        <f>"106011"</f>
        <v>106011</v>
      </c>
      <c r="C2360" s="19" t="s">
        <v>2353</v>
      </c>
      <c r="D2360" s="19" t="s">
        <v>17792</v>
      </c>
      <c r="E2360" s="19" t="s">
        <v>31586</v>
      </c>
      <c r="F2360" s="19" t="s">
        <v>35983</v>
      </c>
      <c r="G2360" s="18" t="str">
        <f>"34741"</f>
        <v>34741</v>
      </c>
      <c r="H2360" s="19" t="s">
        <v>31089</v>
      </c>
      <c r="I2360" s="20">
        <v>19.981999999999999</v>
      </c>
      <c r="J2360" s="44" t="s">
        <v>8</v>
      </c>
      <c r="K2360" s="23" t="s">
        <v>8</v>
      </c>
      <c r="L2360" s="23" t="s">
        <v>8</v>
      </c>
      <c r="M2360" s="23" t="s">
        <v>8</v>
      </c>
    </row>
    <row r="2361" spans="1:13" s="21" customFormat="1" x14ac:dyDescent="0.25">
      <c r="A2361" s="22" t="s">
        <v>8</v>
      </c>
      <c r="B2361" s="18" t="str">
        <f>"106012"</f>
        <v>106012</v>
      </c>
      <c r="C2361" s="19" t="s">
        <v>2354</v>
      </c>
      <c r="D2361" s="19" t="s">
        <v>17793</v>
      </c>
      <c r="E2361" s="19" t="s">
        <v>31594</v>
      </c>
      <c r="F2361" s="19" t="s">
        <v>35983</v>
      </c>
      <c r="G2361" s="18" t="str">
        <f>"34952"</f>
        <v>34952</v>
      </c>
      <c r="H2361" s="19" t="s">
        <v>36136</v>
      </c>
      <c r="I2361" s="20">
        <v>21.710999999999999</v>
      </c>
      <c r="J2361" s="44" t="s">
        <v>8</v>
      </c>
      <c r="K2361" s="23" t="s">
        <v>8</v>
      </c>
      <c r="L2361" s="23" t="s">
        <v>8</v>
      </c>
      <c r="M2361" s="23" t="s">
        <v>8</v>
      </c>
    </row>
    <row r="2362" spans="1:13" s="21" customFormat="1" x14ac:dyDescent="0.25">
      <c r="A2362" s="22" t="s">
        <v>8</v>
      </c>
      <c r="B2362" s="18" t="str">
        <f>"106013"</f>
        <v>106013</v>
      </c>
      <c r="C2362" s="19" t="s">
        <v>2355</v>
      </c>
      <c r="D2362" s="19" t="s">
        <v>17794</v>
      </c>
      <c r="E2362" s="19" t="s">
        <v>31656</v>
      </c>
      <c r="F2362" s="19" t="s">
        <v>35983</v>
      </c>
      <c r="G2362" s="18" t="str">
        <f>"33418"</f>
        <v>33418</v>
      </c>
      <c r="H2362" s="19" t="s">
        <v>36130</v>
      </c>
      <c r="I2362" s="20">
        <v>24.3</v>
      </c>
      <c r="J2362" s="44" t="s">
        <v>8</v>
      </c>
      <c r="K2362" s="23" t="s">
        <v>8</v>
      </c>
      <c r="L2362" s="23" t="s">
        <v>8</v>
      </c>
      <c r="M2362" s="23" t="s">
        <v>8</v>
      </c>
    </row>
    <row r="2363" spans="1:13" s="21" customFormat="1" x14ac:dyDescent="0.25">
      <c r="A2363" s="22" t="s">
        <v>8</v>
      </c>
      <c r="B2363" s="18" t="str">
        <f>"106015"</f>
        <v>106015</v>
      </c>
      <c r="C2363" s="19" t="s">
        <v>2356</v>
      </c>
      <c r="D2363" s="19" t="s">
        <v>17795</v>
      </c>
      <c r="E2363" s="19" t="s">
        <v>31526</v>
      </c>
      <c r="F2363" s="19" t="s">
        <v>35983</v>
      </c>
      <c r="G2363" s="18" t="str">
        <f>"33618"</f>
        <v>33618</v>
      </c>
      <c r="H2363" s="19" t="s">
        <v>33986</v>
      </c>
      <c r="I2363" s="20">
        <v>21.547000000000001</v>
      </c>
      <c r="J2363" s="44" t="s">
        <v>8</v>
      </c>
      <c r="K2363" s="23" t="s">
        <v>8</v>
      </c>
      <c r="L2363" s="23" t="s">
        <v>8</v>
      </c>
      <c r="M2363" s="23" t="s">
        <v>8</v>
      </c>
    </row>
    <row r="2364" spans="1:13" s="21" customFormat="1" x14ac:dyDescent="0.25">
      <c r="A2364" s="22" t="s">
        <v>8</v>
      </c>
      <c r="B2364" s="18" t="str">
        <f>"106017"</f>
        <v>106017</v>
      </c>
      <c r="C2364" s="19" t="s">
        <v>2357</v>
      </c>
      <c r="D2364" s="19" t="s">
        <v>17796</v>
      </c>
      <c r="E2364" s="19" t="s">
        <v>31515</v>
      </c>
      <c r="F2364" s="19" t="s">
        <v>35983</v>
      </c>
      <c r="G2364" s="18" t="str">
        <f>"34210"</f>
        <v>34210</v>
      </c>
      <c r="H2364" s="19" t="s">
        <v>36131</v>
      </c>
      <c r="I2364" s="20">
        <v>23.384</v>
      </c>
      <c r="J2364" s="44" t="s">
        <v>8</v>
      </c>
      <c r="K2364" s="23" t="s">
        <v>8</v>
      </c>
      <c r="L2364" s="23" t="s">
        <v>8</v>
      </c>
      <c r="M2364" s="23" t="s">
        <v>8</v>
      </c>
    </row>
    <row r="2365" spans="1:13" s="21" customFormat="1" x14ac:dyDescent="0.25">
      <c r="A2365" s="22" t="s">
        <v>8</v>
      </c>
      <c r="B2365" s="18" t="str">
        <f>"106018"</f>
        <v>106018</v>
      </c>
      <c r="C2365" s="19" t="s">
        <v>2358</v>
      </c>
      <c r="D2365" s="19" t="s">
        <v>17797</v>
      </c>
      <c r="E2365" s="19" t="s">
        <v>31674</v>
      </c>
      <c r="F2365" s="19" t="s">
        <v>35983</v>
      </c>
      <c r="G2365" s="18" t="str">
        <f>"33476"</f>
        <v>33476</v>
      </c>
      <c r="H2365" s="19" t="s">
        <v>36130</v>
      </c>
      <c r="I2365" s="20">
        <v>28.75</v>
      </c>
      <c r="J2365" s="44" t="s">
        <v>8</v>
      </c>
      <c r="K2365" s="23" t="s">
        <v>8</v>
      </c>
      <c r="L2365" s="23" t="s">
        <v>8</v>
      </c>
      <c r="M2365" s="23" t="s">
        <v>8</v>
      </c>
    </row>
    <row r="2366" spans="1:13" s="21" customFormat="1" x14ac:dyDescent="0.25">
      <c r="A2366" s="22" t="s">
        <v>8</v>
      </c>
      <c r="B2366" s="18" t="str">
        <f>"106019"</f>
        <v>106019</v>
      </c>
      <c r="C2366" s="19" t="s">
        <v>2359</v>
      </c>
      <c r="D2366" s="19" t="s">
        <v>17798</v>
      </c>
      <c r="E2366" s="19" t="s">
        <v>31541</v>
      </c>
      <c r="F2366" s="19" t="s">
        <v>35983</v>
      </c>
      <c r="G2366" s="18" t="str">
        <f>"33908"</f>
        <v>33908</v>
      </c>
      <c r="H2366" s="19" t="s">
        <v>33138</v>
      </c>
      <c r="I2366" s="20">
        <v>18.204999999999998</v>
      </c>
      <c r="J2366" s="44" t="s">
        <v>8</v>
      </c>
      <c r="K2366" s="23" t="s">
        <v>8</v>
      </c>
      <c r="L2366" s="23" t="s">
        <v>8</v>
      </c>
      <c r="M2366" s="23" t="s">
        <v>8</v>
      </c>
    </row>
    <row r="2367" spans="1:13" s="21" customFormat="1" x14ac:dyDescent="0.25">
      <c r="A2367" s="22" t="s">
        <v>8</v>
      </c>
      <c r="B2367" s="18" t="str">
        <f>"106020"</f>
        <v>106020</v>
      </c>
      <c r="C2367" s="19" t="s">
        <v>1990</v>
      </c>
      <c r="D2367" s="19" t="s">
        <v>17799</v>
      </c>
      <c r="E2367" s="19" t="s">
        <v>31541</v>
      </c>
      <c r="F2367" s="19" t="s">
        <v>35983</v>
      </c>
      <c r="G2367" s="18" t="str">
        <f>"33912"</f>
        <v>33912</v>
      </c>
      <c r="H2367" s="19" t="s">
        <v>33138</v>
      </c>
      <c r="I2367" s="20">
        <v>17.04</v>
      </c>
      <c r="J2367" s="44" t="s">
        <v>8</v>
      </c>
      <c r="K2367" s="23" t="s">
        <v>8</v>
      </c>
      <c r="L2367" s="23" t="s">
        <v>8</v>
      </c>
      <c r="M2367" s="23" t="s">
        <v>8</v>
      </c>
    </row>
    <row r="2368" spans="1:13" s="21" customFormat="1" x14ac:dyDescent="0.25">
      <c r="A2368" s="22" t="s">
        <v>8</v>
      </c>
      <c r="B2368" s="18" t="str">
        <f>"106021"</f>
        <v>106021</v>
      </c>
      <c r="C2368" s="19" t="s">
        <v>2360</v>
      </c>
      <c r="D2368" s="19" t="s">
        <v>17800</v>
      </c>
      <c r="E2368" s="19" t="s">
        <v>31507</v>
      </c>
      <c r="F2368" s="19" t="s">
        <v>35983</v>
      </c>
      <c r="G2368" s="18" t="str">
        <f>"33130"</f>
        <v>33130</v>
      </c>
      <c r="H2368" s="19" t="s">
        <v>36126</v>
      </c>
      <c r="I2368" s="20">
        <v>18.922000000000001</v>
      </c>
      <c r="J2368" s="44" t="s">
        <v>8</v>
      </c>
      <c r="K2368" s="23" t="s">
        <v>8</v>
      </c>
      <c r="L2368" s="23" t="s">
        <v>8</v>
      </c>
      <c r="M2368" s="23" t="s">
        <v>8</v>
      </c>
    </row>
    <row r="2369" spans="1:13" s="21" customFormat="1" x14ac:dyDescent="0.25">
      <c r="A2369" s="22" t="s">
        <v>8</v>
      </c>
      <c r="B2369" s="18" t="str">
        <f>"106022"</f>
        <v>106022</v>
      </c>
      <c r="C2369" s="19" t="s">
        <v>2361</v>
      </c>
      <c r="D2369" s="19" t="s">
        <v>17801</v>
      </c>
      <c r="E2369" s="19" t="s">
        <v>31528</v>
      </c>
      <c r="F2369" s="19" t="s">
        <v>35983</v>
      </c>
      <c r="G2369" s="18" t="str">
        <f>"34238"</f>
        <v>34238</v>
      </c>
      <c r="H2369" s="19" t="s">
        <v>31528</v>
      </c>
      <c r="I2369" s="20">
        <v>17.719000000000001</v>
      </c>
      <c r="J2369" s="44" t="s">
        <v>8</v>
      </c>
      <c r="K2369" s="23" t="s">
        <v>8</v>
      </c>
      <c r="L2369" s="23" t="s">
        <v>8</v>
      </c>
      <c r="M2369" s="23" t="s">
        <v>8</v>
      </c>
    </row>
    <row r="2370" spans="1:13" s="21" customFormat="1" x14ac:dyDescent="0.25">
      <c r="A2370" s="22" t="s">
        <v>8</v>
      </c>
      <c r="B2370" s="18" t="str">
        <f>"106024"</f>
        <v>106024</v>
      </c>
      <c r="C2370" s="19" t="s">
        <v>2362</v>
      </c>
      <c r="D2370" s="19" t="s">
        <v>17802</v>
      </c>
      <c r="E2370" s="19" t="s">
        <v>31599</v>
      </c>
      <c r="F2370" s="19" t="s">
        <v>35983</v>
      </c>
      <c r="G2370" s="18" t="str">
        <f>"32804"</f>
        <v>32804</v>
      </c>
      <c r="H2370" s="19" t="s">
        <v>31169</v>
      </c>
      <c r="I2370" s="20">
        <v>18.224</v>
      </c>
      <c r="J2370" s="44" t="s">
        <v>8</v>
      </c>
      <c r="K2370" s="23" t="s">
        <v>8</v>
      </c>
      <c r="L2370" s="23" t="s">
        <v>8</v>
      </c>
      <c r="M2370" s="23" t="s">
        <v>8</v>
      </c>
    </row>
    <row r="2371" spans="1:13" s="21" customFormat="1" x14ac:dyDescent="0.25">
      <c r="A2371" s="22" t="s">
        <v>8</v>
      </c>
      <c r="B2371" s="18" t="str">
        <f>"106025"</f>
        <v>106025</v>
      </c>
      <c r="C2371" s="19" t="s">
        <v>2363</v>
      </c>
      <c r="D2371" s="19" t="s">
        <v>17803</v>
      </c>
      <c r="E2371" s="19" t="s">
        <v>31528</v>
      </c>
      <c r="F2371" s="19" t="s">
        <v>35983</v>
      </c>
      <c r="G2371" s="18" t="str">
        <f>"34243"</f>
        <v>34243</v>
      </c>
      <c r="H2371" s="19" t="s">
        <v>36131</v>
      </c>
      <c r="I2371" s="20">
        <v>17.268000000000001</v>
      </c>
      <c r="J2371" s="44" t="s">
        <v>8</v>
      </c>
      <c r="K2371" s="23" t="s">
        <v>8</v>
      </c>
      <c r="L2371" s="23" t="s">
        <v>8</v>
      </c>
      <c r="M2371" s="23" t="s">
        <v>8</v>
      </c>
    </row>
    <row r="2372" spans="1:13" s="21" customFormat="1" x14ac:dyDescent="0.25">
      <c r="A2372" s="22" t="s">
        <v>8</v>
      </c>
      <c r="B2372" s="18" t="str">
        <f>"106027"</f>
        <v>106027</v>
      </c>
      <c r="C2372" s="19" t="s">
        <v>2364</v>
      </c>
      <c r="D2372" s="19" t="s">
        <v>17804</v>
      </c>
      <c r="E2372" s="19" t="s">
        <v>31599</v>
      </c>
      <c r="F2372" s="19" t="s">
        <v>35983</v>
      </c>
      <c r="G2372" s="18" t="str">
        <f>"32807"</f>
        <v>32807</v>
      </c>
      <c r="H2372" s="19" t="s">
        <v>31169</v>
      </c>
      <c r="I2372" s="20">
        <v>19.8</v>
      </c>
      <c r="J2372" s="44" t="s">
        <v>8</v>
      </c>
      <c r="K2372" s="23" t="s">
        <v>8</v>
      </c>
      <c r="L2372" s="23" t="s">
        <v>8</v>
      </c>
      <c r="M2372" s="23" t="s">
        <v>8</v>
      </c>
    </row>
    <row r="2373" spans="1:13" s="21" customFormat="1" x14ac:dyDescent="0.25">
      <c r="A2373" s="22" t="s">
        <v>8</v>
      </c>
      <c r="B2373" s="18" t="str">
        <f>"106028"</f>
        <v>106028</v>
      </c>
      <c r="C2373" s="19" t="s">
        <v>2365</v>
      </c>
      <c r="D2373" s="19" t="s">
        <v>17805</v>
      </c>
      <c r="E2373" s="19" t="s">
        <v>31536</v>
      </c>
      <c r="F2373" s="19" t="s">
        <v>35983</v>
      </c>
      <c r="G2373" s="18" t="str">
        <f>"32539"</f>
        <v>32539</v>
      </c>
      <c r="H2373" s="19" t="s">
        <v>36134</v>
      </c>
      <c r="I2373" s="20">
        <v>17.364000000000001</v>
      </c>
      <c r="J2373" s="44" t="s">
        <v>8</v>
      </c>
      <c r="K2373" s="23" t="s">
        <v>8</v>
      </c>
      <c r="L2373" s="23" t="s">
        <v>8</v>
      </c>
      <c r="M2373" s="23" t="s">
        <v>8</v>
      </c>
    </row>
    <row r="2374" spans="1:13" s="21" customFormat="1" x14ac:dyDescent="0.25">
      <c r="A2374" s="22" t="s">
        <v>8</v>
      </c>
      <c r="B2374" s="18" t="str">
        <f>"106029"</f>
        <v>106029</v>
      </c>
      <c r="C2374" s="19" t="s">
        <v>2366</v>
      </c>
      <c r="D2374" s="19" t="s">
        <v>17806</v>
      </c>
      <c r="E2374" s="19" t="s">
        <v>31675</v>
      </c>
      <c r="F2374" s="19" t="s">
        <v>35983</v>
      </c>
      <c r="G2374" s="18" t="str">
        <f>"32746"</f>
        <v>32746</v>
      </c>
      <c r="H2374" s="19" t="s">
        <v>31595</v>
      </c>
      <c r="I2374" s="20">
        <v>22.416</v>
      </c>
      <c r="J2374" s="44" t="s">
        <v>8</v>
      </c>
      <c r="K2374" s="23" t="s">
        <v>8</v>
      </c>
      <c r="L2374" s="23" t="s">
        <v>8</v>
      </c>
      <c r="M2374" s="23" t="s">
        <v>8</v>
      </c>
    </row>
    <row r="2375" spans="1:13" s="21" customFormat="1" x14ac:dyDescent="0.25">
      <c r="A2375" s="22" t="s">
        <v>8</v>
      </c>
      <c r="B2375" s="18" t="str">
        <f>"106030"</f>
        <v>106030</v>
      </c>
      <c r="C2375" s="19" t="s">
        <v>2367</v>
      </c>
      <c r="D2375" s="19" t="s">
        <v>17807</v>
      </c>
      <c r="E2375" s="19" t="s">
        <v>31515</v>
      </c>
      <c r="F2375" s="19" t="s">
        <v>35983</v>
      </c>
      <c r="G2375" s="18" t="str">
        <f>"34205"</f>
        <v>34205</v>
      </c>
      <c r="H2375" s="19" t="s">
        <v>36131</v>
      </c>
      <c r="I2375" s="20">
        <v>17.946999999999999</v>
      </c>
      <c r="J2375" s="44" t="s">
        <v>8</v>
      </c>
      <c r="K2375" s="23" t="s">
        <v>8</v>
      </c>
      <c r="L2375" s="23" t="s">
        <v>8</v>
      </c>
      <c r="M2375" s="23" t="s">
        <v>8</v>
      </c>
    </row>
    <row r="2376" spans="1:13" s="21" customFormat="1" x14ac:dyDescent="0.25">
      <c r="A2376" s="22" t="s">
        <v>8</v>
      </c>
      <c r="B2376" s="18" t="str">
        <f>"106031"</f>
        <v>106031</v>
      </c>
      <c r="C2376" s="19" t="s">
        <v>2368</v>
      </c>
      <c r="D2376" s="19" t="s">
        <v>17808</v>
      </c>
      <c r="E2376" s="19" t="s">
        <v>31507</v>
      </c>
      <c r="F2376" s="19" t="s">
        <v>35983</v>
      </c>
      <c r="G2376" s="18" t="str">
        <f>"33128"</f>
        <v>33128</v>
      </c>
      <c r="H2376" s="19" t="s">
        <v>36126</v>
      </c>
      <c r="I2376" s="20">
        <v>21.111000000000001</v>
      </c>
      <c r="J2376" s="44" t="s">
        <v>8</v>
      </c>
      <c r="K2376" s="23" t="s">
        <v>8</v>
      </c>
      <c r="L2376" s="23" t="s">
        <v>8</v>
      </c>
      <c r="M2376" s="23" t="s">
        <v>8</v>
      </c>
    </row>
    <row r="2377" spans="1:13" s="21" customFormat="1" x14ac:dyDescent="0.25">
      <c r="A2377" s="22" t="s">
        <v>8</v>
      </c>
      <c r="B2377" s="18" t="str">
        <f>"106032"</f>
        <v>106032</v>
      </c>
      <c r="C2377" s="19" t="s">
        <v>2369</v>
      </c>
      <c r="D2377" s="19" t="s">
        <v>17809</v>
      </c>
      <c r="E2377" s="19" t="s">
        <v>31528</v>
      </c>
      <c r="F2377" s="19" t="s">
        <v>35983</v>
      </c>
      <c r="G2377" s="18" t="str">
        <f>"34239"</f>
        <v>34239</v>
      </c>
      <c r="H2377" s="19" t="s">
        <v>31528</v>
      </c>
      <c r="I2377" s="20">
        <v>19.75</v>
      </c>
      <c r="J2377" s="44" t="s">
        <v>8</v>
      </c>
      <c r="K2377" s="23" t="s">
        <v>8</v>
      </c>
      <c r="L2377" s="23" t="s">
        <v>8</v>
      </c>
      <c r="M2377" s="23" t="s">
        <v>8</v>
      </c>
    </row>
    <row r="2378" spans="1:13" s="21" customFormat="1" x14ac:dyDescent="0.25">
      <c r="A2378" s="22" t="s">
        <v>8</v>
      </c>
      <c r="B2378" s="18" t="str">
        <f>"106033"</f>
        <v>106033</v>
      </c>
      <c r="C2378" s="19" t="s">
        <v>2370</v>
      </c>
      <c r="D2378" s="19" t="s">
        <v>17810</v>
      </c>
      <c r="E2378" s="19" t="s">
        <v>31517</v>
      </c>
      <c r="F2378" s="19" t="s">
        <v>35983</v>
      </c>
      <c r="G2378" s="18" t="str">
        <f>"33702"</f>
        <v>33702</v>
      </c>
      <c r="H2378" s="19" t="s">
        <v>36128</v>
      </c>
      <c r="I2378" s="20">
        <v>18.95</v>
      </c>
      <c r="J2378" s="44" t="s">
        <v>8</v>
      </c>
      <c r="K2378" s="23" t="s">
        <v>8</v>
      </c>
      <c r="L2378" s="23" t="s">
        <v>8</v>
      </c>
      <c r="M2378" s="23" t="s">
        <v>8</v>
      </c>
    </row>
    <row r="2379" spans="1:13" s="21" customFormat="1" x14ac:dyDescent="0.25">
      <c r="A2379" s="22" t="s">
        <v>8</v>
      </c>
      <c r="B2379" s="18" t="str">
        <f>"106034"</f>
        <v>106034</v>
      </c>
      <c r="C2379" s="19" t="s">
        <v>2371</v>
      </c>
      <c r="D2379" s="19" t="s">
        <v>17811</v>
      </c>
      <c r="E2379" s="19" t="s">
        <v>31507</v>
      </c>
      <c r="F2379" s="19" t="s">
        <v>35983</v>
      </c>
      <c r="G2379" s="18" t="str">
        <f>"33136"</f>
        <v>33136</v>
      </c>
      <c r="H2379" s="19" t="s">
        <v>36126</v>
      </c>
      <c r="I2379" s="20">
        <v>21.952000000000002</v>
      </c>
      <c r="J2379" s="44" t="s">
        <v>8</v>
      </c>
      <c r="K2379" s="23" t="s">
        <v>8</v>
      </c>
      <c r="L2379" s="23" t="s">
        <v>8</v>
      </c>
      <c r="M2379" s="23" t="s">
        <v>8</v>
      </c>
    </row>
    <row r="2380" spans="1:13" s="21" customFormat="1" x14ac:dyDescent="0.25">
      <c r="A2380" s="22" t="s">
        <v>8</v>
      </c>
      <c r="B2380" s="18" t="str">
        <f>"106035"</f>
        <v>106035</v>
      </c>
      <c r="C2380" s="19" t="s">
        <v>2372</v>
      </c>
      <c r="D2380" s="19" t="s">
        <v>17812</v>
      </c>
      <c r="E2380" s="19" t="s">
        <v>31528</v>
      </c>
      <c r="F2380" s="19" t="s">
        <v>35983</v>
      </c>
      <c r="G2380" s="18" t="str">
        <f>"34236"</f>
        <v>34236</v>
      </c>
      <c r="H2380" s="19" t="s">
        <v>31528</v>
      </c>
      <c r="I2380" s="20">
        <v>18.841999999999999</v>
      </c>
      <c r="J2380" s="44" t="s">
        <v>8</v>
      </c>
      <c r="K2380" s="23" t="s">
        <v>8</v>
      </c>
      <c r="L2380" s="23" t="s">
        <v>8</v>
      </c>
      <c r="M2380" s="23" t="s">
        <v>8</v>
      </c>
    </row>
    <row r="2381" spans="1:13" s="21" customFormat="1" x14ac:dyDescent="0.25">
      <c r="A2381" s="22" t="s">
        <v>8</v>
      </c>
      <c r="B2381" s="18" t="str">
        <f>"106036"</f>
        <v>106036</v>
      </c>
      <c r="C2381" s="19" t="s">
        <v>2373</v>
      </c>
      <c r="D2381" s="19" t="s">
        <v>17813</v>
      </c>
      <c r="E2381" s="19" t="s">
        <v>31676</v>
      </c>
      <c r="F2381" s="19" t="s">
        <v>35983</v>
      </c>
      <c r="G2381" s="18" t="str">
        <f>"34442"</f>
        <v>34442</v>
      </c>
      <c r="H2381" s="19" t="s">
        <v>36138</v>
      </c>
      <c r="I2381" s="20">
        <v>25.172999999999998</v>
      </c>
      <c r="J2381" s="44" t="s">
        <v>8</v>
      </c>
      <c r="K2381" s="23" t="s">
        <v>8</v>
      </c>
      <c r="L2381" s="23" t="s">
        <v>8</v>
      </c>
      <c r="M2381" s="23" t="s">
        <v>8</v>
      </c>
    </row>
    <row r="2382" spans="1:13" s="21" customFormat="1" x14ac:dyDescent="0.25">
      <c r="A2382" s="22" t="s">
        <v>8</v>
      </c>
      <c r="B2382" s="18" t="str">
        <f>"106038"</f>
        <v>106038</v>
      </c>
      <c r="C2382" s="19" t="s">
        <v>2374</v>
      </c>
      <c r="D2382" s="19" t="s">
        <v>17814</v>
      </c>
      <c r="E2382" s="19" t="s">
        <v>31648</v>
      </c>
      <c r="F2382" s="19" t="s">
        <v>35983</v>
      </c>
      <c r="G2382" s="18" t="str">
        <f>"33025"</f>
        <v>33025</v>
      </c>
      <c r="H2382" s="19" t="s">
        <v>36127</v>
      </c>
      <c r="I2382" s="20">
        <v>18.344000000000001</v>
      </c>
      <c r="J2382" s="44" t="s">
        <v>8</v>
      </c>
      <c r="K2382" s="23" t="s">
        <v>8</v>
      </c>
      <c r="L2382" s="23" t="s">
        <v>8</v>
      </c>
      <c r="M2382" s="23" t="s">
        <v>8</v>
      </c>
    </row>
    <row r="2383" spans="1:13" s="21" customFormat="1" x14ac:dyDescent="0.25">
      <c r="A2383" s="22" t="s">
        <v>8</v>
      </c>
      <c r="B2383" s="18" t="str">
        <f>"106040"</f>
        <v>106040</v>
      </c>
      <c r="C2383" s="19" t="s">
        <v>2375</v>
      </c>
      <c r="D2383" s="19" t="s">
        <v>17815</v>
      </c>
      <c r="E2383" s="19" t="s">
        <v>31566</v>
      </c>
      <c r="F2383" s="19" t="s">
        <v>35983</v>
      </c>
      <c r="G2383" s="18" t="str">
        <f>"32092"</f>
        <v>32092</v>
      </c>
      <c r="H2383" s="19" t="s">
        <v>33300</v>
      </c>
      <c r="I2383" s="20">
        <v>20.088000000000001</v>
      </c>
      <c r="J2383" s="44" t="s">
        <v>8</v>
      </c>
      <c r="K2383" s="23" t="s">
        <v>8</v>
      </c>
      <c r="L2383" s="23" t="s">
        <v>8</v>
      </c>
      <c r="M2383" s="23" t="s">
        <v>8</v>
      </c>
    </row>
    <row r="2384" spans="1:13" s="21" customFormat="1" x14ac:dyDescent="0.25">
      <c r="A2384" s="22" t="s">
        <v>8</v>
      </c>
      <c r="B2384" s="18" t="str">
        <f>"106041"</f>
        <v>106041</v>
      </c>
      <c r="C2384" s="19" t="s">
        <v>2376</v>
      </c>
      <c r="D2384" s="19" t="s">
        <v>17816</v>
      </c>
      <c r="E2384" s="19" t="s">
        <v>31551</v>
      </c>
      <c r="F2384" s="19" t="s">
        <v>35983</v>
      </c>
      <c r="G2384" s="18" t="str">
        <f>"33759"</f>
        <v>33759</v>
      </c>
      <c r="H2384" s="19" t="s">
        <v>36128</v>
      </c>
      <c r="I2384" s="20">
        <v>19.463000000000001</v>
      </c>
      <c r="J2384" s="44" t="s">
        <v>8</v>
      </c>
      <c r="K2384" s="23" t="s">
        <v>8</v>
      </c>
      <c r="L2384" s="23" t="s">
        <v>8</v>
      </c>
      <c r="M2384" s="23" t="s">
        <v>8</v>
      </c>
    </row>
    <row r="2385" spans="1:13" s="21" customFormat="1" x14ac:dyDescent="0.25">
      <c r="A2385" s="22" t="s">
        <v>8</v>
      </c>
      <c r="B2385" s="18" t="str">
        <f>"106042"</f>
        <v>106042</v>
      </c>
      <c r="C2385" s="19" t="s">
        <v>2377</v>
      </c>
      <c r="D2385" s="19" t="s">
        <v>17817</v>
      </c>
      <c r="E2385" s="19" t="s">
        <v>31595</v>
      </c>
      <c r="F2385" s="19" t="s">
        <v>35983</v>
      </c>
      <c r="G2385" s="18" t="str">
        <f>"33772"</f>
        <v>33772</v>
      </c>
      <c r="H2385" s="19" t="s">
        <v>36128</v>
      </c>
      <c r="I2385" s="20">
        <v>23.914999999999999</v>
      </c>
      <c r="J2385" s="44" t="s">
        <v>8</v>
      </c>
      <c r="K2385" s="23" t="s">
        <v>8</v>
      </c>
      <c r="L2385" s="23" t="s">
        <v>8</v>
      </c>
      <c r="M2385" s="23" t="s">
        <v>8</v>
      </c>
    </row>
    <row r="2386" spans="1:13" s="21" customFormat="1" x14ac:dyDescent="0.25">
      <c r="A2386" s="22" t="s">
        <v>8</v>
      </c>
      <c r="B2386" s="18" t="str">
        <f>"106043"</f>
        <v>106043</v>
      </c>
      <c r="C2386" s="19" t="s">
        <v>2378</v>
      </c>
      <c r="D2386" s="19" t="s">
        <v>17818</v>
      </c>
      <c r="E2386" s="19" t="s">
        <v>31311</v>
      </c>
      <c r="F2386" s="19" t="s">
        <v>35983</v>
      </c>
      <c r="G2386" s="18" t="str">
        <f>"32351"</f>
        <v>32351</v>
      </c>
      <c r="H2386" s="19" t="s">
        <v>30883</v>
      </c>
      <c r="I2386" s="20">
        <v>20.753</v>
      </c>
      <c r="J2386" s="44" t="s">
        <v>8</v>
      </c>
      <c r="K2386" s="23" t="s">
        <v>8</v>
      </c>
      <c r="L2386" s="23" t="s">
        <v>8</v>
      </c>
      <c r="M2386" s="23" t="s">
        <v>8</v>
      </c>
    </row>
    <row r="2387" spans="1:13" s="21" customFormat="1" x14ac:dyDescent="0.25">
      <c r="A2387" s="22" t="s">
        <v>8</v>
      </c>
      <c r="B2387" s="18" t="str">
        <f>"106045"</f>
        <v>106045</v>
      </c>
      <c r="C2387" s="19" t="s">
        <v>2379</v>
      </c>
      <c r="D2387" s="19" t="s">
        <v>17819</v>
      </c>
      <c r="E2387" s="19" t="s">
        <v>30986</v>
      </c>
      <c r="F2387" s="19" t="s">
        <v>35983</v>
      </c>
      <c r="G2387" s="18" t="str">
        <f>"32344"</f>
        <v>32344</v>
      </c>
      <c r="H2387" s="19" t="s">
        <v>32391</v>
      </c>
      <c r="I2387" s="20">
        <v>18.263000000000002</v>
      </c>
      <c r="J2387" s="44" t="s">
        <v>8</v>
      </c>
      <c r="K2387" s="23" t="s">
        <v>8</v>
      </c>
      <c r="L2387" s="23" t="s">
        <v>8</v>
      </c>
      <c r="M2387" s="23" t="s">
        <v>8</v>
      </c>
    </row>
    <row r="2388" spans="1:13" s="21" customFormat="1" x14ac:dyDescent="0.25">
      <c r="A2388" s="22" t="s">
        <v>8</v>
      </c>
      <c r="B2388" s="18" t="str">
        <f>"106046"</f>
        <v>106046</v>
      </c>
      <c r="C2388" s="19" t="s">
        <v>2380</v>
      </c>
      <c r="D2388" s="19" t="s">
        <v>17820</v>
      </c>
      <c r="E2388" s="19" t="s">
        <v>31537</v>
      </c>
      <c r="F2388" s="19" t="s">
        <v>35983</v>
      </c>
      <c r="G2388" s="18" t="str">
        <f>"32608"</f>
        <v>32608</v>
      </c>
      <c r="H2388" s="19" t="s">
        <v>36135</v>
      </c>
      <c r="I2388" s="20">
        <v>20.498000000000001</v>
      </c>
      <c r="J2388" s="44" t="s">
        <v>8</v>
      </c>
      <c r="K2388" s="23" t="s">
        <v>8</v>
      </c>
      <c r="L2388" s="23" t="s">
        <v>8</v>
      </c>
      <c r="M2388" s="23" t="s">
        <v>8</v>
      </c>
    </row>
    <row r="2389" spans="1:13" s="21" customFormat="1" x14ac:dyDescent="0.25">
      <c r="A2389" s="22" t="s">
        <v>8</v>
      </c>
      <c r="B2389" s="18" t="str">
        <f>"106047"</f>
        <v>106047</v>
      </c>
      <c r="C2389" s="19" t="s">
        <v>2381</v>
      </c>
      <c r="D2389" s="19" t="s">
        <v>17821</v>
      </c>
      <c r="E2389" s="19" t="s">
        <v>31649</v>
      </c>
      <c r="F2389" s="19" t="s">
        <v>35983</v>
      </c>
      <c r="G2389" s="18" t="str">
        <f>"33319"</f>
        <v>33319</v>
      </c>
      <c r="H2389" s="19" t="s">
        <v>36127</v>
      </c>
      <c r="I2389" s="20">
        <v>21.12</v>
      </c>
      <c r="J2389" s="44" t="s">
        <v>8</v>
      </c>
      <c r="K2389" s="23" t="s">
        <v>8</v>
      </c>
      <c r="L2389" s="23" t="s">
        <v>8</v>
      </c>
      <c r="M2389" s="23" t="s">
        <v>8</v>
      </c>
    </row>
    <row r="2390" spans="1:13" s="21" customFormat="1" x14ac:dyDescent="0.25">
      <c r="A2390" s="22" t="s">
        <v>8</v>
      </c>
      <c r="B2390" s="18" t="str">
        <f>"106048"</f>
        <v>106048</v>
      </c>
      <c r="C2390" s="19" t="s">
        <v>2382</v>
      </c>
      <c r="D2390" s="19" t="s">
        <v>17822</v>
      </c>
      <c r="E2390" s="19" t="s">
        <v>31571</v>
      </c>
      <c r="F2390" s="19" t="s">
        <v>35983</v>
      </c>
      <c r="G2390" s="18" t="str">
        <f>"32570"</f>
        <v>32570</v>
      </c>
      <c r="H2390" s="19" t="s">
        <v>31260</v>
      </c>
      <c r="I2390" s="20">
        <v>20.141999999999999</v>
      </c>
      <c r="J2390" s="44" t="s">
        <v>8</v>
      </c>
      <c r="K2390" s="23" t="s">
        <v>8</v>
      </c>
      <c r="L2390" s="23" t="s">
        <v>8</v>
      </c>
      <c r="M2390" s="23" t="s">
        <v>8</v>
      </c>
    </row>
    <row r="2391" spans="1:13" s="21" customFormat="1" x14ac:dyDescent="0.25">
      <c r="A2391" s="22" t="s">
        <v>8</v>
      </c>
      <c r="B2391" s="18" t="str">
        <f>"106049"</f>
        <v>106049</v>
      </c>
      <c r="C2391" s="19" t="s">
        <v>2383</v>
      </c>
      <c r="D2391" s="19" t="s">
        <v>17823</v>
      </c>
      <c r="E2391" s="19" t="s">
        <v>31532</v>
      </c>
      <c r="F2391" s="19" t="s">
        <v>35983</v>
      </c>
      <c r="G2391" s="18" t="str">
        <f>"34653"</f>
        <v>34653</v>
      </c>
      <c r="H2391" s="19" t="s">
        <v>35446</v>
      </c>
      <c r="I2391" s="20">
        <v>19.992000000000001</v>
      </c>
      <c r="J2391" s="44" t="s">
        <v>8</v>
      </c>
      <c r="K2391" s="23" t="s">
        <v>8</v>
      </c>
      <c r="L2391" s="23" t="s">
        <v>8</v>
      </c>
      <c r="M2391" s="23" t="s">
        <v>8</v>
      </c>
    </row>
    <row r="2392" spans="1:13" s="21" customFormat="1" x14ac:dyDescent="0.25">
      <c r="A2392" s="22" t="s">
        <v>8</v>
      </c>
      <c r="B2392" s="18" t="str">
        <f>"106050"</f>
        <v>106050</v>
      </c>
      <c r="C2392" s="19" t="s">
        <v>2384</v>
      </c>
      <c r="D2392" s="19" t="s">
        <v>17824</v>
      </c>
      <c r="E2392" s="19" t="s">
        <v>31677</v>
      </c>
      <c r="F2392" s="19" t="s">
        <v>35983</v>
      </c>
      <c r="G2392" s="18" t="str">
        <f>"32765"</f>
        <v>32765</v>
      </c>
      <c r="H2392" s="19" t="s">
        <v>31595</v>
      </c>
      <c r="I2392" s="20">
        <v>19.306000000000001</v>
      </c>
      <c r="J2392" s="44" t="s">
        <v>8</v>
      </c>
      <c r="K2392" s="23" t="s">
        <v>8</v>
      </c>
      <c r="L2392" s="23" t="s">
        <v>8</v>
      </c>
      <c r="M2392" s="23" t="s">
        <v>8</v>
      </c>
    </row>
    <row r="2393" spans="1:13" s="21" customFormat="1" x14ac:dyDescent="0.25">
      <c r="A2393" s="22" t="s">
        <v>8</v>
      </c>
      <c r="B2393" s="18" t="str">
        <f>"106051"</f>
        <v>106051</v>
      </c>
      <c r="C2393" s="19" t="s">
        <v>2385</v>
      </c>
      <c r="D2393" s="19" t="s">
        <v>17825</v>
      </c>
      <c r="E2393" s="19" t="s">
        <v>31548</v>
      </c>
      <c r="F2393" s="19" t="s">
        <v>35983</v>
      </c>
      <c r="G2393" s="18" t="str">
        <f>"32502"</f>
        <v>32502</v>
      </c>
      <c r="H2393" s="19" t="s">
        <v>36035</v>
      </c>
      <c r="I2393" s="20">
        <v>19.434999999999999</v>
      </c>
      <c r="J2393" s="44" t="s">
        <v>8</v>
      </c>
      <c r="K2393" s="23" t="s">
        <v>8</v>
      </c>
      <c r="L2393" s="23" t="s">
        <v>8</v>
      </c>
      <c r="M2393" s="23" t="s">
        <v>8</v>
      </c>
    </row>
    <row r="2394" spans="1:13" s="21" customFormat="1" x14ac:dyDescent="0.25">
      <c r="A2394" s="22" t="s">
        <v>8</v>
      </c>
      <c r="B2394" s="18" t="str">
        <f>"106052"</f>
        <v>106052</v>
      </c>
      <c r="C2394" s="19" t="s">
        <v>2386</v>
      </c>
      <c r="D2394" s="19" t="s">
        <v>17826</v>
      </c>
      <c r="E2394" s="19" t="s">
        <v>31548</v>
      </c>
      <c r="F2394" s="19" t="s">
        <v>35983</v>
      </c>
      <c r="G2394" s="18" t="str">
        <f>"32503"</f>
        <v>32503</v>
      </c>
      <c r="H2394" s="19" t="s">
        <v>36035</v>
      </c>
      <c r="I2394" s="20">
        <v>19.312000000000001</v>
      </c>
      <c r="J2394" s="44" t="s">
        <v>8</v>
      </c>
      <c r="K2394" s="23" t="s">
        <v>8</v>
      </c>
      <c r="L2394" s="23" t="s">
        <v>8</v>
      </c>
      <c r="M2394" s="23" t="s">
        <v>8</v>
      </c>
    </row>
    <row r="2395" spans="1:13" s="21" customFormat="1" x14ac:dyDescent="0.25">
      <c r="A2395" s="22" t="s">
        <v>8</v>
      </c>
      <c r="B2395" s="18" t="str">
        <f>"106053"</f>
        <v>106053</v>
      </c>
      <c r="C2395" s="19" t="s">
        <v>2387</v>
      </c>
      <c r="D2395" s="19" t="s">
        <v>17827</v>
      </c>
      <c r="E2395" s="19" t="s">
        <v>31528</v>
      </c>
      <c r="F2395" s="19" t="s">
        <v>35983</v>
      </c>
      <c r="G2395" s="18" t="str">
        <f>"34232"</f>
        <v>34232</v>
      </c>
      <c r="H2395" s="19" t="s">
        <v>31528</v>
      </c>
      <c r="I2395" s="20">
        <v>15.679</v>
      </c>
      <c r="J2395" s="44" t="s">
        <v>8</v>
      </c>
      <c r="K2395" s="23" t="s">
        <v>8</v>
      </c>
      <c r="L2395" s="23" t="s">
        <v>8</v>
      </c>
      <c r="M2395" s="23" t="s">
        <v>8</v>
      </c>
    </row>
    <row r="2396" spans="1:13" s="21" customFormat="1" x14ac:dyDescent="0.25">
      <c r="A2396" s="22" t="s">
        <v>8</v>
      </c>
      <c r="B2396" s="18" t="str">
        <f>"106055"</f>
        <v>106055</v>
      </c>
      <c r="C2396" s="19" t="s">
        <v>2388</v>
      </c>
      <c r="D2396" s="19" t="s">
        <v>17828</v>
      </c>
      <c r="E2396" s="19" t="s">
        <v>31653</v>
      </c>
      <c r="F2396" s="19" t="s">
        <v>35983</v>
      </c>
      <c r="G2396" s="18" t="str">
        <f>"32428"</f>
        <v>32428</v>
      </c>
      <c r="H2396" s="19" t="s">
        <v>31500</v>
      </c>
      <c r="I2396" s="20">
        <v>18.725999999999999</v>
      </c>
      <c r="J2396" s="44" t="s">
        <v>8</v>
      </c>
      <c r="K2396" s="23" t="s">
        <v>8</v>
      </c>
      <c r="L2396" s="23" t="s">
        <v>8</v>
      </c>
      <c r="M2396" s="23" t="s">
        <v>8</v>
      </c>
    </row>
    <row r="2397" spans="1:13" s="21" customFormat="1" x14ac:dyDescent="0.25">
      <c r="A2397" s="22" t="s">
        <v>8</v>
      </c>
      <c r="B2397" s="18" t="str">
        <f>"106056"</f>
        <v>106056</v>
      </c>
      <c r="C2397" s="19" t="s">
        <v>2389</v>
      </c>
      <c r="D2397" s="19" t="s">
        <v>17829</v>
      </c>
      <c r="E2397" s="19" t="s">
        <v>31530</v>
      </c>
      <c r="F2397" s="19" t="s">
        <v>35983</v>
      </c>
      <c r="G2397" s="18" t="str">
        <f>"32404"</f>
        <v>32404</v>
      </c>
      <c r="H2397" s="19" t="s">
        <v>36132</v>
      </c>
      <c r="I2397" s="20">
        <v>19.535</v>
      </c>
      <c r="J2397" s="44" t="s">
        <v>8</v>
      </c>
      <c r="K2397" s="23" t="s">
        <v>8</v>
      </c>
      <c r="L2397" s="23" t="s">
        <v>8</v>
      </c>
      <c r="M2397" s="23" t="s">
        <v>8</v>
      </c>
    </row>
    <row r="2398" spans="1:13" s="21" customFormat="1" x14ac:dyDescent="0.25">
      <c r="A2398" s="22" t="s">
        <v>8</v>
      </c>
      <c r="B2398" s="18" t="str">
        <f>"106057"</f>
        <v>106057</v>
      </c>
      <c r="C2398" s="19" t="s">
        <v>2390</v>
      </c>
      <c r="D2398" s="19" t="s">
        <v>17830</v>
      </c>
      <c r="E2398" s="19" t="s">
        <v>31678</v>
      </c>
      <c r="F2398" s="19" t="s">
        <v>35983</v>
      </c>
      <c r="G2398" s="18" t="str">
        <f>"33928"</f>
        <v>33928</v>
      </c>
      <c r="H2398" s="19" t="s">
        <v>33138</v>
      </c>
      <c r="I2398" s="20">
        <v>20.484000000000002</v>
      </c>
      <c r="J2398" s="44" t="s">
        <v>8</v>
      </c>
      <c r="K2398" s="23" t="s">
        <v>8</v>
      </c>
      <c r="L2398" s="23" t="s">
        <v>8</v>
      </c>
      <c r="M2398" s="23" t="s">
        <v>8</v>
      </c>
    </row>
    <row r="2399" spans="1:13" s="21" customFormat="1" x14ac:dyDescent="0.25">
      <c r="A2399" s="22" t="s">
        <v>8</v>
      </c>
      <c r="B2399" s="18" t="str">
        <f>"106058"</f>
        <v>106058</v>
      </c>
      <c r="C2399" s="19" t="s">
        <v>2391</v>
      </c>
      <c r="D2399" s="19" t="s">
        <v>17831</v>
      </c>
      <c r="E2399" s="19" t="s">
        <v>30912</v>
      </c>
      <c r="F2399" s="19" t="s">
        <v>35983</v>
      </c>
      <c r="G2399" s="18" t="str">
        <f>"32216"</f>
        <v>32216</v>
      </c>
      <c r="H2399" s="19" t="s">
        <v>36129</v>
      </c>
      <c r="I2399" s="20">
        <v>19.295999999999999</v>
      </c>
      <c r="J2399" s="44" t="s">
        <v>8</v>
      </c>
      <c r="K2399" s="23" t="s">
        <v>8</v>
      </c>
      <c r="L2399" s="23" t="s">
        <v>8</v>
      </c>
      <c r="M2399" s="23" t="s">
        <v>8</v>
      </c>
    </row>
    <row r="2400" spans="1:13" s="21" customFormat="1" x14ac:dyDescent="0.25">
      <c r="A2400" s="22" t="s">
        <v>8</v>
      </c>
      <c r="B2400" s="18" t="str">
        <f>"106059"</f>
        <v>106059</v>
      </c>
      <c r="C2400" s="19" t="s">
        <v>2392</v>
      </c>
      <c r="D2400" s="19" t="s">
        <v>17832</v>
      </c>
      <c r="E2400" s="19" t="s">
        <v>31580</v>
      </c>
      <c r="F2400" s="19" t="s">
        <v>35983</v>
      </c>
      <c r="G2400" s="18" t="str">
        <f>"33954"</f>
        <v>33954</v>
      </c>
      <c r="H2400" s="19" t="s">
        <v>33156</v>
      </c>
      <c r="I2400" s="20">
        <v>18.396000000000001</v>
      </c>
      <c r="J2400" s="44" t="s">
        <v>8</v>
      </c>
      <c r="K2400" s="23" t="s">
        <v>8</v>
      </c>
      <c r="L2400" s="23" t="s">
        <v>8</v>
      </c>
      <c r="M2400" s="23" t="s">
        <v>8</v>
      </c>
    </row>
    <row r="2401" spans="1:13" s="21" customFormat="1" x14ac:dyDescent="0.25">
      <c r="A2401" s="22" t="s">
        <v>8</v>
      </c>
      <c r="B2401" s="18" t="str">
        <f>"106060"</f>
        <v>106060</v>
      </c>
      <c r="C2401" s="19" t="s">
        <v>2393</v>
      </c>
      <c r="D2401" s="19" t="s">
        <v>17833</v>
      </c>
      <c r="E2401" s="19" t="s">
        <v>31609</v>
      </c>
      <c r="F2401" s="19" t="s">
        <v>35983</v>
      </c>
      <c r="G2401" s="18" t="str">
        <f>"32907"</f>
        <v>32907</v>
      </c>
      <c r="H2401" s="19" t="s">
        <v>34287</v>
      </c>
      <c r="I2401" s="20">
        <v>20.001999999999999</v>
      </c>
      <c r="J2401" s="44" t="s">
        <v>8</v>
      </c>
      <c r="K2401" s="23" t="s">
        <v>8</v>
      </c>
      <c r="L2401" s="23" t="s">
        <v>8</v>
      </c>
      <c r="M2401" s="23" t="s">
        <v>8</v>
      </c>
    </row>
    <row r="2402" spans="1:13" s="21" customFormat="1" x14ac:dyDescent="0.25">
      <c r="A2402" s="22" t="s">
        <v>8</v>
      </c>
      <c r="B2402" s="18" t="str">
        <f>"106061"</f>
        <v>106061</v>
      </c>
      <c r="C2402" s="19" t="s">
        <v>2394</v>
      </c>
      <c r="D2402" s="19" t="s">
        <v>17834</v>
      </c>
      <c r="E2402" s="19" t="s">
        <v>31527</v>
      </c>
      <c r="F2402" s="19" t="s">
        <v>35983</v>
      </c>
      <c r="G2402" s="18" t="str">
        <f>"32720"</f>
        <v>32720</v>
      </c>
      <c r="H2402" s="19" t="s">
        <v>36125</v>
      </c>
      <c r="I2402" s="20">
        <v>19.099</v>
      </c>
      <c r="J2402" s="44" t="s">
        <v>8</v>
      </c>
      <c r="K2402" s="23" t="s">
        <v>8</v>
      </c>
      <c r="L2402" s="23" t="s">
        <v>8</v>
      </c>
      <c r="M2402" s="23" t="s">
        <v>8</v>
      </c>
    </row>
    <row r="2403" spans="1:13" s="21" customFormat="1" x14ac:dyDescent="0.25">
      <c r="A2403" s="22" t="s">
        <v>8</v>
      </c>
      <c r="B2403" s="18" t="str">
        <f>"106062"</f>
        <v>106062</v>
      </c>
      <c r="C2403" s="19" t="s">
        <v>2395</v>
      </c>
      <c r="D2403" s="19" t="s">
        <v>17835</v>
      </c>
      <c r="E2403" s="19" t="s">
        <v>31535</v>
      </c>
      <c r="F2403" s="19" t="s">
        <v>35983</v>
      </c>
      <c r="G2403" s="18" t="str">
        <f>"34110"</f>
        <v>34110</v>
      </c>
      <c r="H2403" s="19" t="s">
        <v>36133</v>
      </c>
      <c r="I2403" s="20">
        <v>17.969000000000001</v>
      </c>
      <c r="J2403" s="44" t="s">
        <v>8</v>
      </c>
      <c r="K2403" s="23" t="s">
        <v>8</v>
      </c>
      <c r="L2403" s="23" t="s">
        <v>8</v>
      </c>
      <c r="M2403" s="23" t="s">
        <v>8</v>
      </c>
    </row>
    <row r="2404" spans="1:13" s="21" customFormat="1" x14ac:dyDescent="0.25">
      <c r="A2404" s="22" t="s">
        <v>8</v>
      </c>
      <c r="B2404" s="18" t="str">
        <f>"106063"</f>
        <v>106063</v>
      </c>
      <c r="C2404" s="19" t="s">
        <v>2396</v>
      </c>
      <c r="D2404" s="19" t="s">
        <v>17836</v>
      </c>
      <c r="E2404" s="19" t="s">
        <v>31528</v>
      </c>
      <c r="F2404" s="19" t="s">
        <v>35983</v>
      </c>
      <c r="G2404" s="18" t="str">
        <f>"34238"</f>
        <v>34238</v>
      </c>
      <c r="H2404" s="19" t="s">
        <v>31528</v>
      </c>
      <c r="I2404" s="20">
        <v>17.870999999999999</v>
      </c>
      <c r="J2404" s="44" t="s">
        <v>8</v>
      </c>
      <c r="K2404" s="23" t="s">
        <v>8</v>
      </c>
      <c r="L2404" s="23" t="s">
        <v>8</v>
      </c>
      <c r="M2404" s="23" t="s">
        <v>8</v>
      </c>
    </row>
    <row r="2405" spans="1:13" s="21" customFormat="1" x14ac:dyDescent="0.25">
      <c r="A2405" s="22" t="s">
        <v>8</v>
      </c>
      <c r="B2405" s="18" t="str">
        <f>"106064"</f>
        <v>106064</v>
      </c>
      <c r="C2405" s="19" t="s">
        <v>2397</v>
      </c>
      <c r="D2405" s="19" t="s">
        <v>17837</v>
      </c>
      <c r="E2405" s="19" t="s">
        <v>30912</v>
      </c>
      <c r="F2405" s="19" t="s">
        <v>35983</v>
      </c>
      <c r="G2405" s="18" t="str">
        <f>"32216"</f>
        <v>32216</v>
      </c>
      <c r="H2405" s="19" t="s">
        <v>36129</v>
      </c>
      <c r="I2405" s="20">
        <v>22.004000000000001</v>
      </c>
      <c r="J2405" s="44" t="s">
        <v>8</v>
      </c>
      <c r="K2405" s="23" t="s">
        <v>8</v>
      </c>
      <c r="L2405" s="23" t="s">
        <v>8</v>
      </c>
      <c r="M2405" s="23" t="s">
        <v>8</v>
      </c>
    </row>
    <row r="2406" spans="1:13" s="21" customFormat="1" x14ac:dyDescent="0.25">
      <c r="A2406" s="22" t="s">
        <v>8</v>
      </c>
      <c r="B2406" s="18" t="str">
        <f>"106065"</f>
        <v>106065</v>
      </c>
      <c r="C2406" s="19" t="s">
        <v>2398</v>
      </c>
      <c r="D2406" s="19" t="s">
        <v>17838</v>
      </c>
      <c r="E2406" s="19" t="s">
        <v>31587</v>
      </c>
      <c r="F2406" s="19" t="s">
        <v>35983</v>
      </c>
      <c r="G2406" s="18" t="str">
        <f>"32003"</f>
        <v>32003</v>
      </c>
      <c r="H2406" s="19" t="s">
        <v>36030</v>
      </c>
      <c r="I2406" s="20">
        <v>23.091000000000001</v>
      </c>
      <c r="J2406" s="44" t="s">
        <v>8</v>
      </c>
      <c r="K2406" s="23" t="s">
        <v>8</v>
      </c>
      <c r="L2406" s="23" t="s">
        <v>8</v>
      </c>
      <c r="M2406" s="23" t="s">
        <v>8</v>
      </c>
    </row>
    <row r="2407" spans="1:13" s="21" customFormat="1" x14ac:dyDescent="0.25">
      <c r="A2407" s="22" t="s">
        <v>8</v>
      </c>
      <c r="B2407" s="18" t="str">
        <f>"106066"</f>
        <v>106066</v>
      </c>
      <c r="C2407" s="19" t="s">
        <v>2399</v>
      </c>
      <c r="D2407" s="19" t="s">
        <v>17839</v>
      </c>
      <c r="E2407" s="19" t="s">
        <v>31537</v>
      </c>
      <c r="F2407" s="19" t="s">
        <v>35983</v>
      </c>
      <c r="G2407" s="18" t="str">
        <f>"32608"</f>
        <v>32608</v>
      </c>
      <c r="H2407" s="19" t="s">
        <v>36135</v>
      </c>
      <c r="I2407" s="20">
        <v>19.32</v>
      </c>
      <c r="J2407" s="44" t="s">
        <v>8</v>
      </c>
      <c r="K2407" s="23" t="s">
        <v>8</v>
      </c>
      <c r="L2407" s="23" t="s">
        <v>8</v>
      </c>
      <c r="M2407" s="23" t="s">
        <v>8</v>
      </c>
    </row>
    <row r="2408" spans="1:13" s="21" customFormat="1" x14ac:dyDescent="0.25">
      <c r="A2408" s="22" t="s">
        <v>8</v>
      </c>
      <c r="B2408" s="18" t="str">
        <f>"106067"</f>
        <v>106067</v>
      </c>
      <c r="C2408" s="19" t="s">
        <v>2400</v>
      </c>
      <c r="D2408" s="19" t="s">
        <v>17840</v>
      </c>
      <c r="E2408" s="19" t="s">
        <v>31656</v>
      </c>
      <c r="F2408" s="19" t="s">
        <v>35983</v>
      </c>
      <c r="G2408" s="18" t="str">
        <f>"33410"</f>
        <v>33410</v>
      </c>
      <c r="H2408" s="19" t="s">
        <v>36130</v>
      </c>
      <c r="I2408" s="20">
        <v>22.276</v>
      </c>
      <c r="J2408" s="44" t="s">
        <v>8</v>
      </c>
      <c r="K2408" s="23" t="s">
        <v>8</v>
      </c>
      <c r="L2408" s="23" t="s">
        <v>8</v>
      </c>
      <c r="M2408" s="23" t="s">
        <v>8</v>
      </c>
    </row>
    <row r="2409" spans="1:13" s="21" customFormat="1" x14ac:dyDescent="0.25">
      <c r="A2409" s="22" t="s">
        <v>8</v>
      </c>
      <c r="B2409" s="18" t="str">
        <f>"106068"</f>
        <v>106068</v>
      </c>
      <c r="C2409" s="19" t="s">
        <v>2401</v>
      </c>
      <c r="D2409" s="19" t="s">
        <v>17841</v>
      </c>
      <c r="E2409" s="19" t="s">
        <v>30849</v>
      </c>
      <c r="F2409" s="19" t="s">
        <v>35983</v>
      </c>
      <c r="G2409" s="18" t="str">
        <f>"32702"</f>
        <v>32702</v>
      </c>
      <c r="H2409" s="19" t="s">
        <v>36096</v>
      </c>
      <c r="I2409" s="20">
        <v>18.844999999999999</v>
      </c>
      <c r="J2409" s="44" t="s">
        <v>8</v>
      </c>
      <c r="K2409" s="23" t="s">
        <v>8</v>
      </c>
      <c r="L2409" s="23" t="s">
        <v>8</v>
      </c>
      <c r="M2409" s="23" t="s">
        <v>8</v>
      </c>
    </row>
    <row r="2410" spans="1:13" s="21" customFormat="1" x14ac:dyDescent="0.25">
      <c r="A2410" s="22" t="s">
        <v>8</v>
      </c>
      <c r="B2410" s="18" t="str">
        <f>"106069"</f>
        <v>106069</v>
      </c>
      <c r="C2410" s="19" t="s">
        <v>2402</v>
      </c>
      <c r="D2410" s="19" t="s">
        <v>17842</v>
      </c>
      <c r="E2410" s="19" t="s">
        <v>31549</v>
      </c>
      <c r="F2410" s="19" t="s">
        <v>35983</v>
      </c>
      <c r="G2410" s="18" t="str">
        <f>"33853"</f>
        <v>33853</v>
      </c>
      <c r="H2410" s="19" t="s">
        <v>36062</v>
      </c>
      <c r="I2410" s="20">
        <v>20.087</v>
      </c>
      <c r="J2410" s="44" t="s">
        <v>8</v>
      </c>
      <c r="K2410" s="23" t="s">
        <v>8</v>
      </c>
      <c r="L2410" s="23" t="s">
        <v>8</v>
      </c>
      <c r="M2410" s="23" t="s">
        <v>8</v>
      </c>
    </row>
    <row r="2411" spans="1:13" s="21" customFormat="1" x14ac:dyDescent="0.25">
      <c r="A2411" s="22" t="s">
        <v>8</v>
      </c>
      <c r="B2411" s="18" t="str">
        <f>"106070"</f>
        <v>106070</v>
      </c>
      <c r="C2411" s="19" t="s">
        <v>2403</v>
      </c>
      <c r="D2411" s="19" t="s">
        <v>17843</v>
      </c>
      <c r="E2411" s="19" t="s">
        <v>31196</v>
      </c>
      <c r="F2411" s="19" t="s">
        <v>35983</v>
      </c>
      <c r="G2411" s="18" t="str">
        <f>"34266"</f>
        <v>34266</v>
      </c>
      <c r="H2411" s="19" t="s">
        <v>35316</v>
      </c>
      <c r="I2411" s="20">
        <v>16.218</v>
      </c>
      <c r="J2411" s="44" t="s">
        <v>8</v>
      </c>
      <c r="K2411" s="23" t="s">
        <v>8</v>
      </c>
      <c r="L2411" s="23" t="s">
        <v>8</v>
      </c>
      <c r="M2411" s="23" t="s">
        <v>8</v>
      </c>
    </row>
    <row r="2412" spans="1:13" s="21" customFormat="1" x14ac:dyDescent="0.25">
      <c r="A2412" s="22" t="s">
        <v>8</v>
      </c>
      <c r="B2412" s="18" t="str">
        <f>"106072"</f>
        <v>106072</v>
      </c>
      <c r="C2412" s="19" t="s">
        <v>2404</v>
      </c>
      <c r="D2412" s="19" t="s">
        <v>17844</v>
      </c>
      <c r="E2412" s="19" t="s">
        <v>31580</v>
      </c>
      <c r="F2412" s="19" t="s">
        <v>35983</v>
      </c>
      <c r="G2412" s="18" t="str">
        <f>"33952"</f>
        <v>33952</v>
      </c>
      <c r="H2412" s="19" t="s">
        <v>33156</v>
      </c>
      <c r="I2412" s="20">
        <v>17.795999999999999</v>
      </c>
      <c r="J2412" s="44" t="s">
        <v>8</v>
      </c>
      <c r="K2412" s="23" t="s">
        <v>8</v>
      </c>
      <c r="L2412" s="23" t="s">
        <v>8</v>
      </c>
      <c r="M2412" s="23" t="s">
        <v>8</v>
      </c>
    </row>
    <row r="2413" spans="1:13" s="21" customFormat="1" x14ac:dyDescent="0.25">
      <c r="A2413" s="22" t="s">
        <v>8</v>
      </c>
      <c r="B2413" s="18" t="str">
        <f>"106073"</f>
        <v>106073</v>
      </c>
      <c r="C2413" s="19" t="s">
        <v>2405</v>
      </c>
      <c r="D2413" s="19" t="s">
        <v>17845</v>
      </c>
      <c r="E2413" s="19" t="s">
        <v>31548</v>
      </c>
      <c r="F2413" s="19" t="s">
        <v>35983</v>
      </c>
      <c r="G2413" s="18" t="str">
        <f>"32514"</f>
        <v>32514</v>
      </c>
      <c r="H2413" s="19" t="s">
        <v>36035</v>
      </c>
      <c r="I2413" s="20">
        <v>18.853999999999999</v>
      </c>
      <c r="J2413" s="44" t="s">
        <v>8</v>
      </c>
      <c r="K2413" s="23" t="s">
        <v>8</v>
      </c>
      <c r="L2413" s="23" t="s">
        <v>8</v>
      </c>
      <c r="M2413" s="23" t="s">
        <v>8</v>
      </c>
    </row>
    <row r="2414" spans="1:13" s="21" customFormat="1" x14ac:dyDescent="0.25">
      <c r="A2414" s="22" t="s">
        <v>8</v>
      </c>
      <c r="B2414" s="18" t="str">
        <f>"106074"</f>
        <v>106074</v>
      </c>
      <c r="C2414" s="19" t="s">
        <v>2406</v>
      </c>
      <c r="D2414" s="19" t="s">
        <v>17846</v>
      </c>
      <c r="E2414" s="19" t="s">
        <v>31586</v>
      </c>
      <c r="F2414" s="19" t="s">
        <v>35983</v>
      </c>
      <c r="G2414" s="18" t="str">
        <f>"34741"</f>
        <v>34741</v>
      </c>
      <c r="H2414" s="19" t="s">
        <v>31089</v>
      </c>
      <c r="I2414" s="20">
        <v>22.925999999999998</v>
      </c>
      <c r="J2414" s="44" t="s">
        <v>8</v>
      </c>
      <c r="K2414" s="23" t="s">
        <v>8</v>
      </c>
      <c r="L2414" s="23" t="s">
        <v>8</v>
      </c>
      <c r="M2414" s="23" t="s">
        <v>8</v>
      </c>
    </row>
    <row r="2415" spans="1:13" s="21" customFormat="1" x14ac:dyDescent="0.25">
      <c r="A2415" s="22" t="s">
        <v>8</v>
      </c>
      <c r="B2415" s="18" t="str">
        <f>"106075"</f>
        <v>106075</v>
      </c>
      <c r="C2415" s="19" t="s">
        <v>2407</v>
      </c>
      <c r="D2415" s="19" t="s">
        <v>17847</v>
      </c>
      <c r="E2415" s="19" t="s">
        <v>31590</v>
      </c>
      <c r="F2415" s="19" t="s">
        <v>35983</v>
      </c>
      <c r="G2415" s="18" t="str">
        <f>"32960"</f>
        <v>32960</v>
      </c>
      <c r="H2415" s="19" t="s">
        <v>36140</v>
      </c>
      <c r="I2415" s="20">
        <v>20.838000000000001</v>
      </c>
      <c r="J2415" s="44" t="s">
        <v>8</v>
      </c>
      <c r="K2415" s="23" t="s">
        <v>8</v>
      </c>
      <c r="L2415" s="23" t="s">
        <v>8</v>
      </c>
      <c r="M2415" s="23" t="s">
        <v>8</v>
      </c>
    </row>
    <row r="2416" spans="1:13" s="21" customFormat="1" x14ac:dyDescent="0.25">
      <c r="A2416" s="22" t="s">
        <v>8</v>
      </c>
      <c r="B2416" s="18" t="str">
        <f>"106076"</f>
        <v>106076</v>
      </c>
      <c r="C2416" s="19" t="s">
        <v>2408</v>
      </c>
      <c r="D2416" s="19" t="s">
        <v>17848</v>
      </c>
      <c r="E2416" s="19" t="s">
        <v>31633</v>
      </c>
      <c r="F2416" s="19" t="s">
        <v>35983</v>
      </c>
      <c r="G2416" s="18" t="str">
        <f>"33180"</f>
        <v>33180</v>
      </c>
      <c r="H2416" s="19" t="s">
        <v>36126</v>
      </c>
      <c r="I2416" s="20">
        <v>20.677</v>
      </c>
      <c r="J2416" s="44" t="s">
        <v>8</v>
      </c>
      <c r="K2416" s="23" t="s">
        <v>8</v>
      </c>
      <c r="L2416" s="23" t="s">
        <v>8</v>
      </c>
      <c r="M2416" s="23" t="s">
        <v>8</v>
      </c>
    </row>
    <row r="2417" spans="1:13" s="21" customFormat="1" x14ac:dyDescent="0.25">
      <c r="A2417" s="22" t="s">
        <v>8</v>
      </c>
      <c r="B2417" s="18" t="str">
        <f>"106077"</f>
        <v>106077</v>
      </c>
      <c r="C2417" s="19" t="s">
        <v>2409</v>
      </c>
      <c r="D2417" s="19" t="s">
        <v>17849</v>
      </c>
      <c r="E2417" s="19" t="s">
        <v>31587</v>
      </c>
      <c r="F2417" s="19" t="s">
        <v>35983</v>
      </c>
      <c r="G2417" s="18" t="str">
        <f>"32073"</f>
        <v>32073</v>
      </c>
      <c r="H2417" s="19" t="s">
        <v>36030</v>
      </c>
      <c r="I2417" s="20">
        <v>19.922999999999998</v>
      </c>
      <c r="J2417" s="44" t="s">
        <v>8</v>
      </c>
      <c r="K2417" s="23" t="s">
        <v>8</v>
      </c>
      <c r="L2417" s="23" t="s">
        <v>8</v>
      </c>
      <c r="M2417" s="23" t="s">
        <v>8</v>
      </c>
    </row>
    <row r="2418" spans="1:13" s="21" customFormat="1" x14ac:dyDescent="0.25">
      <c r="A2418" s="22" t="s">
        <v>8</v>
      </c>
      <c r="B2418" s="18" t="str">
        <f>"106079"</f>
        <v>106079</v>
      </c>
      <c r="C2418" s="19" t="s">
        <v>2410</v>
      </c>
      <c r="D2418" s="19" t="s">
        <v>17850</v>
      </c>
      <c r="E2418" s="19" t="s">
        <v>31679</v>
      </c>
      <c r="F2418" s="19" t="s">
        <v>35983</v>
      </c>
      <c r="G2418" s="18" t="str">
        <f>"34655"</f>
        <v>34655</v>
      </c>
      <c r="H2418" s="19" t="s">
        <v>35446</v>
      </c>
      <c r="I2418" s="20">
        <v>23.55</v>
      </c>
      <c r="J2418" s="44" t="s">
        <v>8</v>
      </c>
      <c r="K2418" s="23" t="s">
        <v>8</v>
      </c>
      <c r="L2418" s="23" t="s">
        <v>8</v>
      </c>
      <c r="M2418" s="23" t="s">
        <v>8</v>
      </c>
    </row>
    <row r="2419" spans="1:13" s="21" customFormat="1" x14ac:dyDescent="0.25">
      <c r="A2419" s="22" t="s">
        <v>8</v>
      </c>
      <c r="B2419" s="18" t="str">
        <f>"106080"</f>
        <v>106080</v>
      </c>
      <c r="C2419" s="19" t="s">
        <v>2411</v>
      </c>
      <c r="D2419" s="19" t="s">
        <v>17851</v>
      </c>
      <c r="E2419" s="19" t="s">
        <v>31632</v>
      </c>
      <c r="F2419" s="19" t="s">
        <v>35983</v>
      </c>
      <c r="G2419" s="18" t="str">
        <f>"33018"</f>
        <v>33018</v>
      </c>
      <c r="H2419" s="19" t="s">
        <v>36126</v>
      </c>
      <c r="I2419" s="20">
        <v>20.338000000000001</v>
      </c>
      <c r="J2419" s="44" t="s">
        <v>8</v>
      </c>
      <c r="K2419" s="23" t="s">
        <v>8</v>
      </c>
      <c r="L2419" s="23" t="s">
        <v>8</v>
      </c>
      <c r="M2419" s="23" t="s">
        <v>8</v>
      </c>
    </row>
    <row r="2420" spans="1:13" s="21" customFormat="1" x14ac:dyDescent="0.25">
      <c r="A2420" s="22" t="s">
        <v>8</v>
      </c>
      <c r="B2420" s="18" t="str">
        <f>"106081"</f>
        <v>106081</v>
      </c>
      <c r="C2420" s="19" t="s">
        <v>2412</v>
      </c>
      <c r="D2420" s="19" t="s">
        <v>17852</v>
      </c>
      <c r="E2420" s="19" t="s">
        <v>31680</v>
      </c>
      <c r="F2420" s="19" t="s">
        <v>35983</v>
      </c>
      <c r="G2420" s="18" t="str">
        <f>"32322"</f>
        <v>32322</v>
      </c>
      <c r="H2420" s="19" t="s">
        <v>5</v>
      </c>
      <c r="I2420" s="20">
        <v>17.774000000000001</v>
      </c>
      <c r="J2420" s="44" t="s">
        <v>8</v>
      </c>
      <c r="K2420" s="23" t="s">
        <v>8</v>
      </c>
      <c r="L2420" s="23" t="s">
        <v>8</v>
      </c>
      <c r="M2420" s="23" t="s">
        <v>8</v>
      </c>
    </row>
    <row r="2421" spans="1:13" s="21" customFormat="1" x14ac:dyDescent="0.25">
      <c r="A2421" s="22" t="s">
        <v>8</v>
      </c>
      <c r="B2421" s="18" t="str">
        <f>"106082"</f>
        <v>106082</v>
      </c>
      <c r="C2421" s="19" t="s">
        <v>2413</v>
      </c>
      <c r="D2421" s="19" t="s">
        <v>17853</v>
      </c>
      <c r="E2421" s="19" t="s">
        <v>30912</v>
      </c>
      <c r="F2421" s="19" t="s">
        <v>35983</v>
      </c>
      <c r="G2421" s="18" t="str">
        <f>"32216"</f>
        <v>32216</v>
      </c>
      <c r="H2421" s="19" t="s">
        <v>36129</v>
      </c>
      <c r="I2421" s="20">
        <v>18.725999999999999</v>
      </c>
      <c r="J2421" s="44" t="s">
        <v>8</v>
      </c>
      <c r="K2421" s="23" t="s">
        <v>8</v>
      </c>
      <c r="L2421" s="23" t="s">
        <v>8</v>
      </c>
      <c r="M2421" s="23" t="s">
        <v>8</v>
      </c>
    </row>
    <row r="2422" spans="1:13" s="21" customFormat="1" x14ac:dyDescent="0.25">
      <c r="A2422" s="22" t="s">
        <v>8</v>
      </c>
      <c r="B2422" s="18" t="str">
        <f>"106083"</f>
        <v>106083</v>
      </c>
      <c r="C2422" s="19" t="s">
        <v>2414</v>
      </c>
      <c r="D2422" s="19" t="s">
        <v>17854</v>
      </c>
      <c r="E2422" s="19" t="s">
        <v>31681</v>
      </c>
      <c r="F2422" s="19" t="s">
        <v>35983</v>
      </c>
      <c r="G2422" s="18" t="str">
        <f>"32159"</f>
        <v>32159</v>
      </c>
      <c r="H2422" s="19" t="s">
        <v>36096</v>
      </c>
      <c r="I2422" s="20">
        <v>18.433</v>
      </c>
      <c r="J2422" s="44" t="s">
        <v>8</v>
      </c>
      <c r="K2422" s="23" t="s">
        <v>8</v>
      </c>
      <c r="L2422" s="23" t="s">
        <v>8</v>
      </c>
      <c r="M2422" s="23" t="s">
        <v>8</v>
      </c>
    </row>
    <row r="2423" spans="1:13" s="21" customFormat="1" x14ac:dyDescent="0.25">
      <c r="A2423" s="22" t="s">
        <v>8</v>
      </c>
      <c r="B2423" s="18" t="str">
        <f>"106084"</f>
        <v>106084</v>
      </c>
      <c r="C2423" s="19" t="s">
        <v>2415</v>
      </c>
      <c r="D2423" s="19" t="s">
        <v>17855</v>
      </c>
      <c r="E2423" s="19" t="s">
        <v>31538</v>
      </c>
      <c r="F2423" s="19" t="s">
        <v>35983</v>
      </c>
      <c r="G2423" s="18" t="str">
        <f>"34474"</f>
        <v>34474</v>
      </c>
      <c r="H2423" s="19" t="s">
        <v>30850</v>
      </c>
      <c r="I2423" s="20">
        <v>19.988</v>
      </c>
      <c r="J2423" s="44" t="s">
        <v>8</v>
      </c>
      <c r="K2423" s="23" t="s">
        <v>8</v>
      </c>
      <c r="L2423" s="23" t="s">
        <v>8</v>
      </c>
      <c r="M2423" s="23" t="s">
        <v>8</v>
      </c>
    </row>
    <row r="2424" spans="1:13" s="21" customFormat="1" x14ac:dyDescent="0.25">
      <c r="A2424" s="22" t="s">
        <v>8</v>
      </c>
      <c r="B2424" s="18" t="str">
        <f>"106085"</f>
        <v>106085</v>
      </c>
      <c r="C2424" s="19" t="s">
        <v>2416</v>
      </c>
      <c r="D2424" s="19" t="s">
        <v>17856</v>
      </c>
      <c r="E2424" s="19" t="s">
        <v>31528</v>
      </c>
      <c r="F2424" s="19" t="s">
        <v>35983</v>
      </c>
      <c r="G2424" s="18" t="str">
        <f>"34231"</f>
        <v>34231</v>
      </c>
      <c r="H2424" s="19" t="s">
        <v>31528</v>
      </c>
      <c r="I2424" s="20">
        <v>15.135999999999999</v>
      </c>
      <c r="J2424" s="44" t="s">
        <v>8</v>
      </c>
      <c r="K2424" s="23" t="s">
        <v>8</v>
      </c>
      <c r="L2424" s="23" t="s">
        <v>8</v>
      </c>
      <c r="M2424" s="23" t="s">
        <v>8</v>
      </c>
    </row>
    <row r="2425" spans="1:13" s="21" customFormat="1" x14ac:dyDescent="0.25">
      <c r="A2425" s="22" t="s">
        <v>8</v>
      </c>
      <c r="B2425" s="18" t="str">
        <f>"106086"</f>
        <v>106086</v>
      </c>
      <c r="C2425" s="19" t="s">
        <v>2417</v>
      </c>
      <c r="D2425" s="19" t="s">
        <v>17857</v>
      </c>
      <c r="E2425" s="19" t="s">
        <v>31534</v>
      </c>
      <c r="F2425" s="19" t="s">
        <v>35983</v>
      </c>
      <c r="G2425" s="18" t="str">
        <f>"33884"</f>
        <v>33884</v>
      </c>
      <c r="H2425" s="19" t="s">
        <v>36062</v>
      </c>
      <c r="I2425" s="20">
        <v>21.132000000000001</v>
      </c>
      <c r="J2425" s="44" t="s">
        <v>8</v>
      </c>
      <c r="K2425" s="23" t="s">
        <v>8</v>
      </c>
      <c r="L2425" s="23" t="s">
        <v>8</v>
      </c>
      <c r="M2425" s="23" t="s">
        <v>8</v>
      </c>
    </row>
    <row r="2426" spans="1:13" s="21" customFormat="1" x14ac:dyDescent="0.25">
      <c r="A2426" s="22" t="s">
        <v>8</v>
      </c>
      <c r="B2426" s="18" t="str">
        <f>"106088"</f>
        <v>106088</v>
      </c>
      <c r="C2426" s="19" t="s">
        <v>2418</v>
      </c>
      <c r="D2426" s="19" t="s">
        <v>17858</v>
      </c>
      <c r="E2426" s="19" t="s">
        <v>31566</v>
      </c>
      <c r="F2426" s="19" t="s">
        <v>35983</v>
      </c>
      <c r="G2426" s="18" t="str">
        <f>"32092"</f>
        <v>32092</v>
      </c>
      <c r="H2426" s="19" t="s">
        <v>33300</v>
      </c>
      <c r="I2426" s="20">
        <v>19.777000000000001</v>
      </c>
      <c r="J2426" s="44" t="s">
        <v>8</v>
      </c>
      <c r="K2426" s="23" t="s">
        <v>8</v>
      </c>
      <c r="L2426" s="23" t="s">
        <v>8</v>
      </c>
      <c r="M2426" s="23" t="s">
        <v>8</v>
      </c>
    </row>
    <row r="2427" spans="1:13" s="21" customFormat="1" x14ac:dyDescent="0.25">
      <c r="A2427" s="22" t="s">
        <v>8</v>
      </c>
      <c r="B2427" s="18" t="str">
        <f>"106089"</f>
        <v>106089</v>
      </c>
      <c r="C2427" s="19" t="s">
        <v>2419</v>
      </c>
      <c r="D2427" s="19" t="s">
        <v>17859</v>
      </c>
      <c r="E2427" s="19" t="s">
        <v>31682</v>
      </c>
      <c r="F2427" s="19" t="s">
        <v>35983</v>
      </c>
      <c r="G2427" s="18" t="str">
        <f>"33040"</f>
        <v>33040</v>
      </c>
      <c r="H2427" s="19" t="s">
        <v>31711</v>
      </c>
      <c r="I2427" s="20">
        <v>22.459</v>
      </c>
      <c r="J2427" s="44" t="s">
        <v>8</v>
      </c>
      <c r="K2427" s="23" t="s">
        <v>8</v>
      </c>
      <c r="L2427" s="23" t="s">
        <v>8</v>
      </c>
      <c r="M2427" s="23" t="s">
        <v>8</v>
      </c>
    </row>
    <row r="2428" spans="1:13" s="21" customFormat="1" x14ac:dyDescent="0.25">
      <c r="A2428" s="22" t="s">
        <v>8</v>
      </c>
      <c r="B2428" s="18" t="str">
        <f>"106090"</f>
        <v>106090</v>
      </c>
      <c r="C2428" s="19" t="s">
        <v>2420</v>
      </c>
      <c r="D2428" s="19" t="s">
        <v>17860</v>
      </c>
      <c r="E2428" s="19" t="s">
        <v>31528</v>
      </c>
      <c r="F2428" s="19" t="s">
        <v>35983</v>
      </c>
      <c r="G2428" s="18" t="str">
        <f>"34235"</f>
        <v>34235</v>
      </c>
      <c r="H2428" s="19" t="s">
        <v>31528</v>
      </c>
      <c r="I2428" s="20">
        <v>17.992000000000001</v>
      </c>
      <c r="J2428" s="44" t="s">
        <v>8</v>
      </c>
      <c r="K2428" s="23" t="s">
        <v>8</v>
      </c>
      <c r="L2428" s="23" t="s">
        <v>8</v>
      </c>
      <c r="M2428" s="23" t="s">
        <v>8</v>
      </c>
    </row>
    <row r="2429" spans="1:13" s="21" customFormat="1" x14ac:dyDescent="0.25">
      <c r="A2429" s="22" t="s">
        <v>8</v>
      </c>
      <c r="B2429" s="18" t="str">
        <f>"106091"</f>
        <v>106091</v>
      </c>
      <c r="C2429" s="19" t="s">
        <v>2421</v>
      </c>
      <c r="D2429" s="19" t="s">
        <v>17861</v>
      </c>
      <c r="E2429" s="19" t="s">
        <v>31683</v>
      </c>
      <c r="F2429" s="19" t="s">
        <v>35983</v>
      </c>
      <c r="G2429" s="18" t="str">
        <f>"33414"</f>
        <v>33414</v>
      </c>
      <c r="H2429" s="19" t="s">
        <v>36130</v>
      </c>
      <c r="I2429" s="20">
        <v>19.466000000000001</v>
      </c>
      <c r="J2429" s="44" t="s">
        <v>8</v>
      </c>
      <c r="K2429" s="23" t="s">
        <v>8</v>
      </c>
      <c r="L2429" s="23" t="s">
        <v>8</v>
      </c>
      <c r="M2429" s="23" t="s">
        <v>8</v>
      </c>
    </row>
    <row r="2430" spans="1:13" s="21" customFormat="1" x14ac:dyDescent="0.25">
      <c r="A2430" s="22" t="s">
        <v>8</v>
      </c>
      <c r="B2430" s="18" t="str">
        <f>"106092"</f>
        <v>106092</v>
      </c>
      <c r="C2430" s="19" t="s">
        <v>2422</v>
      </c>
      <c r="D2430" s="19" t="s">
        <v>17862</v>
      </c>
      <c r="E2430" s="19" t="s">
        <v>31684</v>
      </c>
      <c r="F2430" s="19" t="s">
        <v>35983</v>
      </c>
      <c r="G2430" s="18" t="str">
        <f>"33070"</f>
        <v>33070</v>
      </c>
      <c r="H2430" s="19" t="s">
        <v>31711</v>
      </c>
      <c r="I2430" s="20">
        <v>19.632000000000001</v>
      </c>
      <c r="J2430" s="44" t="s">
        <v>8</v>
      </c>
      <c r="K2430" s="23" t="s">
        <v>8</v>
      </c>
      <c r="L2430" s="23" t="s">
        <v>8</v>
      </c>
      <c r="M2430" s="23" t="s">
        <v>8</v>
      </c>
    </row>
    <row r="2431" spans="1:13" s="21" customFormat="1" x14ac:dyDescent="0.25">
      <c r="A2431" s="22" t="s">
        <v>8</v>
      </c>
      <c r="B2431" s="18" t="str">
        <f>"106093"</f>
        <v>106093</v>
      </c>
      <c r="C2431" s="19" t="s">
        <v>2423</v>
      </c>
      <c r="D2431" s="19" t="s">
        <v>17863</v>
      </c>
      <c r="E2431" s="19" t="s">
        <v>31685</v>
      </c>
      <c r="F2431" s="19" t="s">
        <v>35983</v>
      </c>
      <c r="G2431" s="18" t="str">
        <f>"33548"</f>
        <v>33548</v>
      </c>
      <c r="H2431" s="19" t="s">
        <v>33986</v>
      </c>
      <c r="I2431" s="20">
        <v>21.042000000000002</v>
      </c>
      <c r="J2431" s="44" t="s">
        <v>8</v>
      </c>
      <c r="K2431" s="23" t="s">
        <v>8</v>
      </c>
      <c r="L2431" s="23" t="s">
        <v>8</v>
      </c>
      <c r="M2431" s="23" t="s">
        <v>8</v>
      </c>
    </row>
    <row r="2432" spans="1:13" s="21" customFormat="1" x14ac:dyDescent="0.25">
      <c r="A2432" s="22" t="s">
        <v>8</v>
      </c>
      <c r="B2432" s="18" t="str">
        <f>"106094"</f>
        <v>106094</v>
      </c>
      <c r="C2432" s="19" t="s">
        <v>2424</v>
      </c>
      <c r="D2432" s="19" t="s">
        <v>17864</v>
      </c>
      <c r="E2432" s="19" t="s">
        <v>31686</v>
      </c>
      <c r="F2432" s="19" t="s">
        <v>35983</v>
      </c>
      <c r="G2432" s="18" t="str">
        <f>"33156"</f>
        <v>33156</v>
      </c>
      <c r="H2432" s="19" t="s">
        <v>36126</v>
      </c>
      <c r="I2432" s="20">
        <v>21.76</v>
      </c>
      <c r="J2432" s="44" t="s">
        <v>8</v>
      </c>
      <c r="K2432" s="23" t="s">
        <v>8</v>
      </c>
      <c r="L2432" s="23" t="s">
        <v>8</v>
      </c>
      <c r="M2432" s="23" t="s">
        <v>8</v>
      </c>
    </row>
    <row r="2433" spans="1:13" s="21" customFormat="1" x14ac:dyDescent="0.25">
      <c r="A2433" s="22" t="s">
        <v>8</v>
      </c>
      <c r="B2433" s="18" t="str">
        <f>"106095"</f>
        <v>106095</v>
      </c>
      <c r="C2433" s="19" t="s">
        <v>2425</v>
      </c>
      <c r="D2433" s="19" t="s">
        <v>17865</v>
      </c>
      <c r="E2433" s="19" t="s">
        <v>31681</v>
      </c>
      <c r="F2433" s="19" t="s">
        <v>35983</v>
      </c>
      <c r="G2433" s="18" t="str">
        <f>"32162"</f>
        <v>32162</v>
      </c>
      <c r="H2433" s="19" t="s">
        <v>35065</v>
      </c>
      <c r="I2433" s="20">
        <v>20.768000000000001</v>
      </c>
      <c r="J2433" s="44" t="s">
        <v>8</v>
      </c>
      <c r="K2433" s="23" t="s">
        <v>8</v>
      </c>
      <c r="L2433" s="23" t="s">
        <v>8</v>
      </c>
      <c r="M2433" s="23" t="s">
        <v>8</v>
      </c>
    </row>
    <row r="2434" spans="1:13" s="21" customFormat="1" x14ac:dyDescent="0.25">
      <c r="A2434" s="22" t="s">
        <v>8</v>
      </c>
      <c r="B2434" s="18" t="str">
        <f>"106096"</f>
        <v>106096</v>
      </c>
      <c r="C2434" s="19" t="s">
        <v>2426</v>
      </c>
      <c r="D2434" s="19" t="s">
        <v>17866</v>
      </c>
      <c r="E2434" s="19" t="s">
        <v>31687</v>
      </c>
      <c r="F2434" s="19" t="s">
        <v>35983</v>
      </c>
      <c r="G2434" s="18" t="str">
        <f>"32079"</f>
        <v>32079</v>
      </c>
      <c r="H2434" s="19" t="s">
        <v>36030</v>
      </c>
      <c r="I2434" s="20">
        <v>17.478000000000002</v>
      </c>
      <c r="J2434" s="44" t="s">
        <v>8</v>
      </c>
      <c r="K2434" s="23" t="s">
        <v>8</v>
      </c>
      <c r="L2434" s="23" t="s">
        <v>8</v>
      </c>
      <c r="M2434" s="23" t="s">
        <v>8</v>
      </c>
    </row>
    <row r="2435" spans="1:13" s="21" customFormat="1" x14ac:dyDescent="0.25">
      <c r="A2435" s="22" t="s">
        <v>8</v>
      </c>
      <c r="B2435" s="18" t="str">
        <f>"106097"</f>
        <v>106097</v>
      </c>
      <c r="C2435" s="19" t="s">
        <v>2427</v>
      </c>
      <c r="D2435" s="19" t="s">
        <v>17867</v>
      </c>
      <c r="E2435" s="19" t="s">
        <v>31590</v>
      </c>
      <c r="F2435" s="19" t="s">
        <v>35983</v>
      </c>
      <c r="G2435" s="18" t="str">
        <f>"32960"</f>
        <v>32960</v>
      </c>
      <c r="H2435" s="19" t="s">
        <v>36140</v>
      </c>
      <c r="I2435" s="20">
        <v>19.091000000000001</v>
      </c>
      <c r="J2435" s="44" t="s">
        <v>8</v>
      </c>
      <c r="K2435" s="23" t="s">
        <v>8</v>
      </c>
      <c r="L2435" s="23" t="s">
        <v>8</v>
      </c>
      <c r="M2435" s="23" t="s">
        <v>8</v>
      </c>
    </row>
    <row r="2436" spans="1:13" s="21" customFormat="1" x14ac:dyDescent="0.25">
      <c r="A2436" s="22" t="s">
        <v>8</v>
      </c>
      <c r="B2436" s="18" t="str">
        <f>"106098"</f>
        <v>106098</v>
      </c>
      <c r="C2436" s="19" t="s">
        <v>2428</v>
      </c>
      <c r="D2436" s="19" t="s">
        <v>17868</v>
      </c>
      <c r="E2436" s="19" t="s">
        <v>31528</v>
      </c>
      <c r="F2436" s="19" t="s">
        <v>35983</v>
      </c>
      <c r="G2436" s="18" t="str">
        <f>"34235"</f>
        <v>34235</v>
      </c>
      <c r="H2436" s="19" t="s">
        <v>31528</v>
      </c>
      <c r="I2436" s="20">
        <v>18.007999999999999</v>
      </c>
      <c r="J2436" s="44" t="s">
        <v>8</v>
      </c>
      <c r="K2436" s="23" t="s">
        <v>8</v>
      </c>
      <c r="L2436" s="23" t="s">
        <v>8</v>
      </c>
      <c r="M2436" s="23" t="s">
        <v>8</v>
      </c>
    </row>
    <row r="2437" spans="1:13" s="21" customFormat="1" x14ac:dyDescent="0.25">
      <c r="A2437" s="22" t="s">
        <v>8</v>
      </c>
      <c r="B2437" s="18" t="str">
        <f>"106099"</f>
        <v>106099</v>
      </c>
      <c r="C2437" s="19" t="s">
        <v>2429</v>
      </c>
      <c r="D2437" s="19" t="s">
        <v>17869</v>
      </c>
      <c r="E2437" s="19" t="s">
        <v>31670</v>
      </c>
      <c r="F2437" s="19" t="s">
        <v>35983</v>
      </c>
      <c r="G2437" s="18" t="str">
        <f>"32159"</f>
        <v>32159</v>
      </c>
      <c r="H2437" s="19" t="s">
        <v>36096</v>
      </c>
      <c r="I2437" s="20">
        <v>21.216000000000001</v>
      </c>
      <c r="J2437" s="44" t="s">
        <v>8</v>
      </c>
      <c r="K2437" s="23" t="s">
        <v>8</v>
      </c>
      <c r="L2437" s="23" t="s">
        <v>8</v>
      </c>
      <c r="M2437" s="23" t="s">
        <v>8</v>
      </c>
    </row>
    <row r="2438" spans="1:13" s="21" customFormat="1" x14ac:dyDescent="0.25">
      <c r="A2438" s="22" t="s">
        <v>8</v>
      </c>
      <c r="B2438" s="18" t="str">
        <f>"106100"</f>
        <v>106100</v>
      </c>
      <c r="C2438" s="19" t="s">
        <v>2430</v>
      </c>
      <c r="D2438" s="19" t="s">
        <v>17870</v>
      </c>
      <c r="E2438" s="19" t="s">
        <v>31507</v>
      </c>
      <c r="F2438" s="19" t="s">
        <v>35983</v>
      </c>
      <c r="G2438" s="18" t="str">
        <f>"33136"</f>
        <v>33136</v>
      </c>
      <c r="H2438" s="19" t="s">
        <v>36126</v>
      </c>
      <c r="I2438" s="20">
        <v>20.681999999999999</v>
      </c>
      <c r="J2438" s="44" t="s">
        <v>8</v>
      </c>
      <c r="K2438" s="23" t="s">
        <v>8</v>
      </c>
      <c r="L2438" s="23" t="s">
        <v>8</v>
      </c>
      <c r="M2438" s="23" t="s">
        <v>8</v>
      </c>
    </row>
    <row r="2439" spans="1:13" s="21" customFormat="1" x14ac:dyDescent="0.25">
      <c r="A2439" s="22" t="s">
        <v>8</v>
      </c>
      <c r="B2439" s="18" t="str">
        <f>"106101"</f>
        <v>106101</v>
      </c>
      <c r="C2439" s="19" t="s">
        <v>2431</v>
      </c>
      <c r="D2439" s="19" t="s">
        <v>17871</v>
      </c>
      <c r="E2439" s="19" t="s">
        <v>31688</v>
      </c>
      <c r="F2439" s="19" t="s">
        <v>35983</v>
      </c>
      <c r="G2439" s="18" t="str">
        <f>"32958"</f>
        <v>32958</v>
      </c>
      <c r="H2439" s="19" t="s">
        <v>36140</v>
      </c>
      <c r="I2439" s="20">
        <v>19.536000000000001</v>
      </c>
      <c r="J2439" s="44" t="s">
        <v>8</v>
      </c>
      <c r="K2439" s="23" t="s">
        <v>8</v>
      </c>
      <c r="L2439" s="23" t="s">
        <v>8</v>
      </c>
      <c r="M2439" s="23" t="s">
        <v>8</v>
      </c>
    </row>
    <row r="2440" spans="1:13" s="21" customFormat="1" x14ac:dyDescent="0.25">
      <c r="A2440" s="22" t="s">
        <v>8</v>
      </c>
      <c r="B2440" s="18" t="str">
        <f>"106102"</f>
        <v>106102</v>
      </c>
      <c r="C2440" s="19" t="s">
        <v>2432</v>
      </c>
      <c r="D2440" s="19" t="s">
        <v>17872</v>
      </c>
      <c r="E2440" s="19" t="s">
        <v>31528</v>
      </c>
      <c r="F2440" s="19" t="s">
        <v>35983</v>
      </c>
      <c r="G2440" s="18" t="str">
        <f>"34237"</f>
        <v>34237</v>
      </c>
      <c r="H2440" s="19" t="s">
        <v>31528</v>
      </c>
      <c r="I2440" s="20">
        <v>20.126000000000001</v>
      </c>
      <c r="J2440" s="44" t="s">
        <v>8</v>
      </c>
      <c r="K2440" s="23" t="s">
        <v>8</v>
      </c>
      <c r="L2440" s="23" t="s">
        <v>8</v>
      </c>
      <c r="M2440" s="23" t="s">
        <v>8</v>
      </c>
    </row>
    <row r="2441" spans="1:13" s="21" customFormat="1" x14ac:dyDescent="0.25">
      <c r="A2441" s="22" t="s">
        <v>8</v>
      </c>
      <c r="B2441" s="18" t="str">
        <f>"106103"</f>
        <v>106103</v>
      </c>
      <c r="C2441" s="19" t="s">
        <v>2433</v>
      </c>
      <c r="D2441" s="19" t="s">
        <v>17873</v>
      </c>
      <c r="E2441" s="19" t="s">
        <v>31191</v>
      </c>
      <c r="F2441" s="19" t="s">
        <v>35983</v>
      </c>
      <c r="G2441" s="18" t="str">
        <f>"33707"</f>
        <v>33707</v>
      </c>
      <c r="H2441" s="19" t="s">
        <v>36128</v>
      </c>
      <c r="I2441" s="20">
        <v>18.018000000000001</v>
      </c>
      <c r="J2441" s="44" t="s">
        <v>8</v>
      </c>
      <c r="K2441" s="23" t="s">
        <v>8</v>
      </c>
      <c r="L2441" s="23" t="s">
        <v>8</v>
      </c>
      <c r="M2441" s="23" t="s">
        <v>8</v>
      </c>
    </row>
    <row r="2442" spans="1:13" s="21" customFormat="1" x14ac:dyDescent="0.25">
      <c r="A2442" s="22" t="s">
        <v>8</v>
      </c>
      <c r="B2442" s="18" t="str">
        <f>"106104"</f>
        <v>106104</v>
      </c>
      <c r="C2442" s="19" t="s">
        <v>2434</v>
      </c>
      <c r="D2442" s="19" t="s">
        <v>17874</v>
      </c>
      <c r="E2442" s="19" t="s">
        <v>31689</v>
      </c>
      <c r="F2442" s="19" t="s">
        <v>35983</v>
      </c>
      <c r="G2442" s="18" t="str">
        <f>"34135"</f>
        <v>34135</v>
      </c>
      <c r="H2442" s="19" t="s">
        <v>33138</v>
      </c>
      <c r="I2442" s="20">
        <v>16.364999999999998</v>
      </c>
      <c r="J2442" s="44" t="s">
        <v>8</v>
      </c>
      <c r="K2442" s="23" t="s">
        <v>8</v>
      </c>
      <c r="L2442" s="23" t="s">
        <v>8</v>
      </c>
      <c r="M2442" s="23" t="s">
        <v>8</v>
      </c>
    </row>
    <row r="2443" spans="1:13" s="21" customFormat="1" x14ac:dyDescent="0.25">
      <c r="A2443" s="22" t="s">
        <v>8</v>
      </c>
      <c r="B2443" s="18" t="str">
        <f>"106105"</f>
        <v>106105</v>
      </c>
      <c r="C2443" s="19" t="s">
        <v>2435</v>
      </c>
      <c r="D2443" s="19" t="s">
        <v>17875</v>
      </c>
      <c r="E2443" s="19" t="s">
        <v>31621</v>
      </c>
      <c r="F2443" s="19" t="s">
        <v>35983</v>
      </c>
      <c r="G2443" s="18" t="str">
        <f>"34711"</f>
        <v>34711</v>
      </c>
      <c r="H2443" s="19" t="s">
        <v>36096</v>
      </c>
      <c r="I2443" s="20">
        <v>16.306999999999999</v>
      </c>
      <c r="J2443" s="44" t="s">
        <v>8</v>
      </c>
      <c r="K2443" s="23" t="s">
        <v>8</v>
      </c>
      <c r="L2443" s="23" t="s">
        <v>8</v>
      </c>
      <c r="M2443" s="23" t="s">
        <v>8</v>
      </c>
    </row>
    <row r="2444" spans="1:13" s="21" customFormat="1" x14ac:dyDescent="0.25">
      <c r="A2444" s="22" t="s">
        <v>8</v>
      </c>
      <c r="B2444" s="18" t="str">
        <f>"106106"</f>
        <v>106106</v>
      </c>
      <c r="C2444" s="19" t="s">
        <v>2436</v>
      </c>
      <c r="D2444" s="19" t="s">
        <v>17876</v>
      </c>
      <c r="E2444" s="19" t="s">
        <v>31648</v>
      </c>
      <c r="F2444" s="19" t="s">
        <v>35983</v>
      </c>
      <c r="G2444" s="18" t="str">
        <f>"33027"</f>
        <v>33027</v>
      </c>
      <c r="H2444" s="19" t="s">
        <v>36127</v>
      </c>
      <c r="I2444" s="20">
        <v>18.751999999999999</v>
      </c>
      <c r="J2444" s="44" t="s">
        <v>8</v>
      </c>
      <c r="K2444" s="23" t="s">
        <v>8</v>
      </c>
      <c r="L2444" s="23" t="s">
        <v>8</v>
      </c>
      <c r="M2444" s="23" t="s">
        <v>8</v>
      </c>
    </row>
    <row r="2445" spans="1:13" s="21" customFormat="1" x14ac:dyDescent="0.25">
      <c r="A2445" s="22" t="s">
        <v>8</v>
      </c>
      <c r="B2445" s="18" t="s">
        <v>15162</v>
      </c>
      <c r="C2445" s="19" t="s">
        <v>2437</v>
      </c>
      <c r="D2445" s="19" t="s">
        <v>17877</v>
      </c>
      <c r="E2445" s="19" t="s">
        <v>31690</v>
      </c>
      <c r="F2445" s="19" t="s">
        <v>35984</v>
      </c>
      <c r="G2445" s="18" t="str">
        <f>"30635"</f>
        <v>30635</v>
      </c>
      <c r="H2445" s="19" t="s">
        <v>36148</v>
      </c>
      <c r="I2445" s="20">
        <v>16.988</v>
      </c>
      <c r="J2445" s="44" t="s">
        <v>8</v>
      </c>
      <c r="K2445" s="23" t="s">
        <v>8</v>
      </c>
      <c r="L2445" s="23" t="s">
        <v>8</v>
      </c>
      <c r="M2445" s="23" t="s">
        <v>8</v>
      </c>
    </row>
    <row r="2446" spans="1:13" s="21" customFormat="1" x14ac:dyDescent="0.25">
      <c r="A2446" s="22" t="s">
        <v>8</v>
      </c>
      <c r="B2446" s="18" t="s">
        <v>15163</v>
      </c>
      <c r="C2446" s="19" t="s">
        <v>2438</v>
      </c>
      <c r="D2446" s="19" t="s">
        <v>17878</v>
      </c>
      <c r="E2446" s="19" t="s">
        <v>31691</v>
      </c>
      <c r="F2446" s="19" t="s">
        <v>35984</v>
      </c>
      <c r="G2446" s="18" t="str">
        <f>"30529"</f>
        <v>30529</v>
      </c>
      <c r="H2446" s="19" t="s">
        <v>30816</v>
      </c>
      <c r="I2446" s="20">
        <v>19.536000000000001</v>
      </c>
      <c r="J2446" s="44" t="s">
        <v>8</v>
      </c>
      <c r="K2446" s="23" t="s">
        <v>8</v>
      </c>
      <c r="L2446" s="23" t="s">
        <v>8</v>
      </c>
      <c r="M2446" s="23" t="s">
        <v>8</v>
      </c>
    </row>
    <row r="2447" spans="1:13" s="21" customFormat="1" x14ac:dyDescent="0.25">
      <c r="A2447" s="22" t="s">
        <v>8</v>
      </c>
      <c r="B2447" s="18" t="s">
        <v>15164</v>
      </c>
      <c r="C2447" s="19" t="s">
        <v>2439</v>
      </c>
      <c r="D2447" s="19" t="s">
        <v>17879</v>
      </c>
      <c r="E2447" s="19" t="s">
        <v>31692</v>
      </c>
      <c r="F2447" s="19" t="s">
        <v>35984</v>
      </c>
      <c r="G2447" s="18" t="str">
        <f>"30535"</f>
        <v>30535</v>
      </c>
      <c r="H2447" s="19" t="s">
        <v>36149</v>
      </c>
      <c r="I2447" s="20">
        <v>19.016999999999999</v>
      </c>
      <c r="J2447" s="44" t="s">
        <v>8</v>
      </c>
      <c r="K2447" s="23" t="s">
        <v>8</v>
      </c>
      <c r="L2447" s="23" t="s">
        <v>8</v>
      </c>
      <c r="M2447" s="23" t="s">
        <v>8</v>
      </c>
    </row>
    <row r="2448" spans="1:13" s="21" customFormat="1" x14ac:dyDescent="0.25">
      <c r="A2448" s="22" t="s">
        <v>8</v>
      </c>
      <c r="B2448" s="18" t="s">
        <v>15165</v>
      </c>
      <c r="C2448" s="19" t="s">
        <v>2440</v>
      </c>
      <c r="D2448" s="19" t="s">
        <v>17880</v>
      </c>
      <c r="E2448" s="19" t="s">
        <v>31693</v>
      </c>
      <c r="F2448" s="19" t="s">
        <v>35984</v>
      </c>
      <c r="G2448" s="18" t="str">
        <f>"31513"</f>
        <v>31513</v>
      </c>
      <c r="H2448" s="19" t="s">
        <v>31769</v>
      </c>
      <c r="I2448" s="20">
        <v>19.79</v>
      </c>
      <c r="J2448" s="44" t="s">
        <v>8</v>
      </c>
      <c r="K2448" s="23" t="s">
        <v>8</v>
      </c>
      <c r="L2448" s="23" t="s">
        <v>8</v>
      </c>
      <c r="M2448" s="23" t="s">
        <v>8</v>
      </c>
    </row>
    <row r="2449" spans="1:13" s="21" customFormat="1" x14ac:dyDescent="0.25">
      <c r="A2449" s="22" t="s">
        <v>8</v>
      </c>
      <c r="B2449" s="18" t="s">
        <v>15166</v>
      </c>
      <c r="C2449" s="19" t="s">
        <v>2441</v>
      </c>
      <c r="D2449" s="19" t="s">
        <v>17881</v>
      </c>
      <c r="E2449" s="19" t="s">
        <v>31694</v>
      </c>
      <c r="F2449" s="19" t="s">
        <v>35984</v>
      </c>
      <c r="G2449" s="18" t="str">
        <f>"31750"</f>
        <v>31750</v>
      </c>
      <c r="H2449" s="19" t="s">
        <v>36150</v>
      </c>
      <c r="I2449" s="20">
        <v>19.158000000000001</v>
      </c>
      <c r="J2449" s="44" t="s">
        <v>8</v>
      </c>
      <c r="K2449" s="23" t="s">
        <v>8</v>
      </c>
      <c r="L2449" s="23" t="s">
        <v>8</v>
      </c>
      <c r="M2449" s="23" t="s">
        <v>8</v>
      </c>
    </row>
    <row r="2450" spans="1:13" s="21" customFormat="1" x14ac:dyDescent="0.25">
      <c r="A2450" s="22" t="s">
        <v>8</v>
      </c>
      <c r="B2450" s="18" t="s">
        <v>15167</v>
      </c>
      <c r="C2450" s="19" t="s">
        <v>2442</v>
      </c>
      <c r="D2450" s="19" t="s">
        <v>17882</v>
      </c>
      <c r="E2450" s="19" t="s">
        <v>31695</v>
      </c>
      <c r="F2450" s="19" t="s">
        <v>35984</v>
      </c>
      <c r="G2450" s="18" t="str">
        <f>"31082"</f>
        <v>31082</v>
      </c>
      <c r="H2450" s="19" t="s">
        <v>31500</v>
      </c>
      <c r="I2450" s="20">
        <v>15.882</v>
      </c>
      <c r="J2450" s="44" t="s">
        <v>8</v>
      </c>
      <c r="K2450" s="23" t="s">
        <v>8</v>
      </c>
      <c r="L2450" s="23" t="s">
        <v>8</v>
      </c>
      <c r="M2450" s="23" t="s">
        <v>8</v>
      </c>
    </row>
    <row r="2451" spans="1:13" s="21" customFormat="1" x14ac:dyDescent="0.25">
      <c r="A2451" s="22" t="s">
        <v>8</v>
      </c>
      <c r="B2451" s="18" t="s">
        <v>15168</v>
      </c>
      <c r="C2451" s="19" t="s">
        <v>2443</v>
      </c>
      <c r="D2451" s="19" t="s">
        <v>17883</v>
      </c>
      <c r="E2451" s="19" t="s">
        <v>31696</v>
      </c>
      <c r="F2451" s="19" t="s">
        <v>35984</v>
      </c>
      <c r="G2451" s="18" t="str">
        <f>"30434"</f>
        <v>30434</v>
      </c>
      <c r="H2451" s="19" t="s">
        <v>32391</v>
      </c>
      <c r="I2451" s="20">
        <v>17.689</v>
      </c>
      <c r="J2451" s="44" t="s">
        <v>8</v>
      </c>
      <c r="K2451" s="23" t="s">
        <v>8</v>
      </c>
      <c r="L2451" s="23" t="s">
        <v>8</v>
      </c>
      <c r="M2451" s="23" t="s">
        <v>8</v>
      </c>
    </row>
    <row r="2452" spans="1:13" s="21" customFormat="1" x14ac:dyDescent="0.25">
      <c r="A2452" s="22" t="s">
        <v>8</v>
      </c>
      <c r="B2452" s="18" t="s">
        <v>15169</v>
      </c>
      <c r="C2452" s="19" t="s">
        <v>2444</v>
      </c>
      <c r="D2452" s="19" t="s">
        <v>17884</v>
      </c>
      <c r="E2452" s="19" t="s">
        <v>31697</v>
      </c>
      <c r="F2452" s="19" t="s">
        <v>35984</v>
      </c>
      <c r="G2452" s="18" t="str">
        <f>"31620"</f>
        <v>31620</v>
      </c>
      <c r="H2452" s="19" t="s">
        <v>33420</v>
      </c>
      <c r="I2452" s="20">
        <v>18.483000000000001</v>
      </c>
      <c r="J2452" s="44" t="s">
        <v>8</v>
      </c>
      <c r="K2452" s="23" t="s">
        <v>8</v>
      </c>
      <c r="L2452" s="23" t="s">
        <v>8</v>
      </c>
      <c r="M2452" s="23" t="s">
        <v>8</v>
      </c>
    </row>
    <row r="2453" spans="1:13" s="21" customFormat="1" x14ac:dyDescent="0.25">
      <c r="A2453" s="22" t="s">
        <v>8</v>
      </c>
      <c r="B2453" s="18" t="s">
        <v>15170</v>
      </c>
      <c r="C2453" s="19" t="s">
        <v>2445</v>
      </c>
      <c r="D2453" s="19" t="s">
        <v>17885</v>
      </c>
      <c r="E2453" s="19" t="s">
        <v>31698</v>
      </c>
      <c r="F2453" s="19" t="s">
        <v>35984</v>
      </c>
      <c r="G2453" s="18" t="str">
        <f>"31015"</f>
        <v>31015</v>
      </c>
      <c r="H2453" s="19" t="s">
        <v>36151</v>
      </c>
      <c r="I2453" s="20">
        <v>19.268000000000001</v>
      </c>
      <c r="J2453" s="44" t="s">
        <v>8</v>
      </c>
      <c r="K2453" s="23" t="s">
        <v>8</v>
      </c>
      <c r="L2453" s="23" t="s">
        <v>8</v>
      </c>
      <c r="M2453" s="23" t="s">
        <v>8</v>
      </c>
    </row>
    <row r="2454" spans="1:13" s="21" customFormat="1" x14ac:dyDescent="0.25">
      <c r="A2454" s="22" t="s">
        <v>8</v>
      </c>
      <c r="B2454" s="18" t="s">
        <v>15171</v>
      </c>
      <c r="C2454" s="19" t="s">
        <v>2446</v>
      </c>
      <c r="D2454" s="19" t="s">
        <v>17886</v>
      </c>
      <c r="E2454" s="19" t="s">
        <v>31699</v>
      </c>
      <c r="F2454" s="19" t="s">
        <v>35984</v>
      </c>
      <c r="G2454" s="18" t="str">
        <f>"31768"</f>
        <v>31768</v>
      </c>
      <c r="H2454" s="19" t="s">
        <v>31712</v>
      </c>
      <c r="I2454" s="20">
        <v>20.536000000000001</v>
      </c>
      <c r="J2454" s="44" t="s">
        <v>8</v>
      </c>
      <c r="K2454" s="23" t="s">
        <v>8</v>
      </c>
      <c r="L2454" s="23" t="s">
        <v>8</v>
      </c>
      <c r="M2454" s="23" t="s">
        <v>8</v>
      </c>
    </row>
    <row r="2455" spans="1:13" s="21" customFormat="1" x14ac:dyDescent="0.25">
      <c r="A2455" s="22" t="s">
        <v>8</v>
      </c>
      <c r="B2455" s="18" t="s">
        <v>15172</v>
      </c>
      <c r="C2455" s="19" t="s">
        <v>2447</v>
      </c>
      <c r="D2455" s="19" t="s">
        <v>17887</v>
      </c>
      <c r="E2455" s="19" t="s">
        <v>31700</v>
      </c>
      <c r="F2455" s="19" t="s">
        <v>35984</v>
      </c>
      <c r="G2455" s="18" t="str">
        <f>"30401"</f>
        <v>30401</v>
      </c>
      <c r="H2455" s="19" t="s">
        <v>36152</v>
      </c>
      <c r="I2455" s="20">
        <v>17.466000000000001</v>
      </c>
      <c r="J2455" s="44" t="s">
        <v>8</v>
      </c>
      <c r="K2455" s="23" t="s">
        <v>8</v>
      </c>
      <c r="L2455" s="23" t="s">
        <v>8</v>
      </c>
      <c r="M2455" s="23" t="s">
        <v>8</v>
      </c>
    </row>
    <row r="2456" spans="1:13" s="21" customFormat="1" x14ac:dyDescent="0.25">
      <c r="A2456" s="22" t="s">
        <v>8</v>
      </c>
      <c r="B2456" s="18" t="s">
        <v>15173</v>
      </c>
      <c r="C2456" s="19" t="s">
        <v>2448</v>
      </c>
      <c r="D2456" s="19" t="s">
        <v>17888</v>
      </c>
      <c r="E2456" s="19" t="s">
        <v>31701</v>
      </c>
      <c r="F2456" s="19" t="s">
        <v>35984</v>
      </c>
      <c r="G2456" s="18" t="str">
        <f>"30830"</f>
        <v>30830</v>
      </c>
      <c r="H2456" s="19" t="s">
        <v>35398</v>
      </c>
      <c r="I2456" s="20">
        <v>18.606999999999999</v>
      </c>
      <c r="J2456" s="44" t="s">
        <v>8</v>
      </c>
      <c r="K2456" s="23" t="s">
        <v>8</v>
      </c>
      <c r="L2456" s="23" t="s">
        <v>8</v>
      </c>
      <c r="M2456" s="23" t="s">
        <v>8</v>
      </c>
    </row>
    <row r="2457" spans="1:13" s="21" customFormat="1" x14ac:dyDescent="0.25">
      <c r="A2457" s="22" t="s">
        <v>8</v>
      </c>
      <c r="B2457" s="18" t="s">
        <v>15174</v>
      </c>
      <c r="C2457" s="19" t="s">
        <v>2449</v>
      </c>
      <c r="D2457" s="19" t="s">
        <v>17889</v>
      </c>
      <c r="E2457" s="19" t="s">
        <v>31702</v>
      </c>
      <c r="F2457" s="19" t="s">
        <v>35984</v>
      </c>
      <c r="G2457" s="18" t="str">
        <f>"39828"</f>
        <v>39828</v>
      </c>
      <c r="H2457" s="19" t="s">
        <v>36153</v>
      </c>
      <c r="I2457" s="20">
        <v>16.292000000000002</v>
      </c>
      <c r="J2457" s="44" t="s">
        <v>8</v>
      </c>
      <c r="K2457" s="23" t="s">
        <v>8</v>
      </c>
      <c r="L2457" s="23" t="s">
        <v>8</v>
      </c>
      <c r="M2457" s="23" t="s">
        <v>8</v>
      </c>
    </row>
    <row r="2458" spans="1:13" s="21" customFormat="1" x14ac:dyDescent="0.25">
      <c r="A2458" s="22" t="s">
        <v>8</v>
      </c>
      <c r="B2458" s="18" t="s">
        <v>15175</v>
      </c>
      <c r="C2458" s="19" t="s">
        <v>2450</v>
      </c>
      <c r="D2458" s="19" t="s">
        <v>17890</v>
      </c>
      <c r="E2458" s="19" t="s">
        <v>31703</v>
      </c>
      <c r="F2458" s="19" t="s">
        <v>35984</v>
      </c>
      <c r="G2458" s="18" t="str">
        <f>"31545"</f>
        <v>31545</v>
      </c>
      <c r="H2458" s="19" t="s">
        <v>33280</v>
      </c>
      <c r="I2458" s="20">
        <v>18.113</v>
      </c>
      <c r="J2458" s="44" t="s">
        <v>8</v>
      </c>
      <c r="K2458" s="23" t="s">
        <v>8</v>
      </c>
      <c r="L2458" s="23" t="s">
        <v>8</v>
      </c>
      <c r="M2458" s="23" t="s">
        <v>8</v>
      </c>
    </row>
    <row r="2459" spans="1:13" s="21" customFormat="1" x14ac:dyDescent="0.25">
      <c r="A2459" s="22" t="s">
        <v>8</v>
      </c>
      <c r="B2459" s="18" t="s">
        <v>15176</v>
      </c>
      <c r="C2459" s="19" t="s">
        <v>2451</v>
      </c>
      <c r="D2459" s="19" t="s">
        <v>17891</v>
      </c>
      <c r="E2459" s="19" t="s">
        <v>31704</v>
      </c>
      <c r="F2459" s="19" t="s">
        <v>35984</v>
      </c>
      <c r="G2459" s="18" t="str">
        <f>"39819"</f>
        <v>39819</v>
      </c>
      <c r="H2459" s="19" t="s">
        <v>30853</v>
      </c>
      <c r="I2459" s="20">
        <v>18.143000000000001</v>
      </c>
      <c r="J2459" s="44" t="s">
        <v>8</v>
      </c>
      <c r="K2459" s="23" t="s">
        <v>8</v>
      </c>
      <c r="L2459" s="23" t="s">
        <v>8</v>
      </c>
      <c r="M2459" s="23" t="s">
        <v>8</v>
      </c>
    </row>
    <row r="2460" spans="1:13" s="21" customFormat="1" x14ac:dyDescent="0.25">
      <c r="A2460" s="22" t="s">
        <v>8</v>
      </c>
      <c r="B2460" s="18" t="s">
        <v>15177</v>
      </c>
      <c r="C2460" s="19" t="s">
        <v>2452</v>
      </c>
      <c r="D2460" s="19" t="s">
        <v>17892</v>
      </c>
      <c r="E2460" s="19" t="s">
        <v>31503</v>
      </c>
      <c r="F2460" s="19" t="s">
        <v>35984</v>
      </c>
      <c r="G2460" s="18" t="str">
        <f>"31069"</f>
        <v>31069</v>
      </c>
      <c r="H2460" s="19" t="s">
        <v>33493</v>
      </c>
      <c r="I2460" s="20">
        <v>18.065000000000001</v>
      </c>
      <c r="J2460" s="44" t="s">
        <v>8</v>
      </c>
      <c r="K2460" s="23" t="s">
        <v>8</v>
      </c>
      <c r="L2460" s="23" t="s">
        <v>8</v>
      </c>
      <c r="M2460" s="23" t="s">
        <v>8</v>
      </c>
    </row>
    <row r="2461" spans="1:13" s="21" customFormat="1" x14ac:dyDescent="0.25">
      <c r="A2461" s="22" t="s">
        <v>8</v>
      </c>
      <c r="B2461" s="18" t="s">
        <v>15178</v>
      </c>
      <c r="C2461" s="19" t="s">
        <v>2453</v>
      </c>
      <c r="D2461" s="19" t="s">
        <v>17893</v>
      </c>
      <c r="E2461" s="19" t="s">
        <v>31705</v>
      </c>
      <c r="F2461" s="19" t="s">
        <v>35984</v>
      </c>
      <c r="G2461" s="18" t="str">
        <f>"30533"</f>
        <v>30533</v>
      </c>
      <c r="H2461" s="19" t="s">
        <v>36154</v>
      </c>
      <c r="I2461" s="20">
        <v>18.640999999999998</v>
      </c>
      <c r="J2461" s="44" t="s">
        <v>8</v>
      </c>
      <c r="K2461" s="23" t="s">
        <v>8</v>
      </c>
      <c r="L2461" s="23" t="s">
        <v>8</v>
      </c>
      <c r="M2461" s="23" t="s">
        <v>8</v>
      </c>
    </row>
    <row r="2462" spans="1:13" s="21" customFormat="1" x14ac:dyDescent="0.25">
      <c r="A2462" s="22" t="s">
        <v>8</v>
      </c>
      <c r="B2462" s="18" t="s">
        <v>15179</v>
      </c>
      <c r="C2462" s="19" t="s">
        <v>2454</v>
      </c>
      <c r="D2462" s="19" t="s">
        <v>17894</v>
      </c>
      <c r="E2462" s="19" t="s">
        <v>31706</v>
      </c>
      <c r="F2462" s="19" t="s">
        <v>35984</v>
      </c>
      <c r="G2462" s="18" t="str">
        <f>"30513"</f>
        <v>30513</v>
      </c>
      <c r="H2462" s="19" t="s">
        <v>36155</v>
      </c>
      <c r="I2462" s="20">
        <v>18.832000000000001</v>
      </c>
      <c r="J2462" s="44" t="s">
        <v>8</v>
      </c>
      <c r="K2462" s="23" t="s">
        <v>8</v>
      </c>
      <c r="L2462" s="23" t="s">
        <v>8</v>
      </c>
      <c r="M2462" s="23" t="s">
        <v>8</v>
      </c>
    </row>
    <row r="2463" spans="1:13" s="21" customFormat="1" x14ac:dyDescent="0.25">
      <c r="A2463" s="22" t="s">
        <v>8</v>
      </c>
      <c r="B2463" s="18" t="s">
        <v>15180</v>
      </c>
      <c r="C2463" s="19" t="s">
        <v>2455</v>
      </c>
      <c r="D2463" s="19" t="s">
        <v>17895</v>
      </c>
      <c r="E2463" s="19" t="s">
        <v>31707</v>
      </c>
      <c r="F2463" s="19" t="s">
        <v>35984</v>
      </c>
      <c r="G2463" s="18" t="str">
        <f>"39845"</f>
        <v>39845</v>
      </c>
      <c r="H2463" s="19" t="s">
        <v>31595</v>
      </c>
      <c r="I2463" s="20">
        <v>19.503</v>
      </c>
      <c r="J2463" s="44" t="s">
        <v>8</v>
      </c>
      <c r="K2463" s="23" t="s">
        <v>8</v>
      </c>
      <c r="L2463" s="23" t="s">
        <v>8</v>
      </c>
      <c r="M2463" s="23" t="s">
        <v>8</v>
      </c>
    </row>
    <row r="2464" spans="1:13" s="21" customFormat="1" x14ac:dyDescent="0.25">
      <c r="A2464" s="22" t="s">
        <v>8</v>
      </c>
      <c r="B2464" s="18" t="s">
        <v>15181</v>
      </c>
      <c r="C2464" s="19" t="s">
        <v>2456</v>
      </c>
      <c r="D2464" s="19" t="s">
        <v>17896</v>
      </c>
      <c r="E2464" s="19" t="s">
        <v>31708</v>
      </c>
      <c r="F2464" s="19" t="s">
        <v>35984</v>
      </c>
      <c r="G2464" s="18" t="str">
        <f>"30540"</f>
        <v>30540</v>
      </c>
      <c r="H2464" s="19" t="s">
        <v>35875</v>
      </c>
      <c r="I2464" s="20">
        <v>19.956</v>
      </c>
      <c r="J2464" s="44" t="s">
        <v>8</v>
      </c>
      <c r="K2464" s="23" t="s">
        <v>8</v>
      </c>
      <c r="L2464" s="23" t="s">
        <v>8</v>
      </c>
      <c r="M2464" s="23" t="s">
        <v>8</v>
      </c>
    </row>
    <row r="2465" spans="1:13" s="21" customFormat="1" x14ac:dyDescent="0.25">
      <c r="A2465" s="22" t="s">
        <v>8</v>
      </c>
      <c r="B2465" s="18" t="str">
        <f>"115002"</f>
        <v>115002</v>
      </c>
      <c r="C2465" s="19" t="s">
        <v>2457</v>
      </c>
      <c r="D2465" s="19" t="s">
        <v>17897</v>
      </c>
      <c r="E2465" s="19" t="s">
        <v>31709</v>
      </c>
      <c r="F2465" s="19" t="s">
        <v>35984</v>
      </c>
      <c r="G2465" s="18" t="str">
        <f>"30329"</f>
        <v>30329</v>
      </c>
      <c r="H2465" s="19" t="s">
        <v>31954</v>
      </c>
      <c r="I2465" s="20">
        <v>18.408000000000001</v>
      </c>
      <c r="J2465" s="44" t="s">
        <v>8</v>
      </c>
      <c r="K2465" s="23" t="s">
        <v>8</v>
      </c>
      <c r="L2465" s="23" t="s">
        <v>8</v>
      </c>
      <c r="M2465" s="23" t="s">
        <v>8</v>
      </c>
    </row>
    <row r="2466" spans="1:13" s="21" customFormat="1" x14ac:dyDescent="0.25">
      <c r="A2466" s="22" t="s">
        <v>8</v>
      </c>
      <c r="B2466" s="18" t="str">
        <f>"115004"</f>
        <v>115004</v>
      </c>
      <c r="C2466" s="19" t="s">
        <v>2458</v>
      </c>
      <c r="D2466" s="19" t="s">
        <v>17898</v>
      </c>
      <c r="E2466" s="19" t="s">
        <v>31710</v>
      </c>
      <c r="F2466" s="19" t="s">
        <v>35984</v>
      </c>
      <c r="G2466" s="18" t="str">
        <f>"31709"</f>
        <v>31709</v>
      </c>
      <c r="H2466" s="19" t="s">
        <v>35065</v>
      </c>
      <c r="I2466" s="20">
        <v>18.962</v>
      </c>
      <c r="J2466" s="44" t="s">
        <v>8</v>
      </c>
      <c r="K2466" s="23" t="s">
        <v>8</v>
      </c>
      <c r="L2466" s="23" t="s">
        <v>8</v>
      </c>
      <c r="M2466" s="23" t="s">
        <v>8</v>
      </c>
    </row>
    <row r="2467" spans="1:13" s="21" customFormat="1" x14ac:dyDescent="0.25">
      <c r="A2467" s="22" t="s">
        <v>8</v>
      </c>
      <c r="B2467" s="18" t="str">
        <f>"115005"</f>
        <v>115005</v>
      </c>
      <c r="C2467" s="19" t="s">
        <v>2459</v>
      </c>
      <c r="D2467" s="19" t="s">
        <v>17899</v>
      </c>
      <c r="E2467" s="19" t="s">
        <v>31711</v>
      </c>
      <c r="F2467" s="19" t="s">
        <v>35984</v>
      </c>
      <c r="G2467" s="18" t="str">
        <f>"30655"</f>
        <v>30655</v>
      </c>
      <c r="H2467" s="19" t="s">
        <v>36123</v>
      </c>
      <c r="I2467" s="20">
        <v>20.036999999999999</v>
      </c>
      <c r="J2467" s="44" t="s">
        <v>8</v>
      </c>
      <c r="K2467" s="23" t="s">
        <v>8</v>
      </c>
      <c r="L2467" s="23" t="s">
        <v>8</v>
      </c>
      <c r="M2467" s="23" t="s">
        <v>8</v>
      </c>
    </row>
    <row r="2468" spans="1:13" s="21" customFormat="1" x14ac:dyDescent="0.25">
      <c r="A2468" s="22" t="s">
        <v>8</v>
      </c>
      <c r="B2468" s="18" t="str">
        <f>"115012"</f>
        <v>115012</v>
      </c>
      <c r="C2468" s="19" t="s">
        <v>2460</v>
      </c>
      <c r="D2468" s="19" t="s">
        <v>17900</v>
      </c>
      <c r="E2468" s="19" t="s">
        <v>30853</v>
      </c>
      <c r="F2468" s="19" t="s">
        <v>35984</v>
      </c>
      <c r="G2468" s="18" t="str">
        <f>"30033"</f>
        <v>30033</v>
      </c>
      <c r="H2468" s="19" t="s">
        <v>31954</v>
      </c>
      <c r="I2468" s="20">
        <v>23.361000000000001</v>
      </c>
      <c r="J2468" s="44" t="s">
        <v>8</v>
      </c>
      <c r="K2468" s="23" t="s">
        <v>8</v>
      </c>
      <c r="L2468" s="23" t="s">
        <v>8</v>
      </c>
      <c r="M2468" s="23" t="s">
        <v>8</v>
      </c>
    </row>
    <row r="2469" spans="1:13" s="21" customFormat="1" x14ac:dyDescent="0.25">
      <c r="A2469" s="22" t="s">
        <v>8</v>
      </c>
      <c r="B2469" s="18" t="str">
        <f>"115020"</f>
        <v>115020</v>
      </c>
      <c r="C2469" s="19" t="s">
        <v>2461</v>
      </c>
      <c r="D2469" s="19" t="s">
        <v>17901</v>
      </c>
      <c r="E2469" s="19" t="s">
        <v>31537</v>
      </c>
      <c r="F2469" s="19" t="s">
        <v>35984</v>
      </c>
      <c r="G2469" s="18" t="str">
        <f>"30507"</f>
        <v>30507</v>
      </c>
      <c r="H2469" s="19" t="s">
        <v>36156</v>
      </c>
      <c r="I2469" s="20">
        <v>18.155000000000001</v>
      </c>
      <c r="J2469" s="44" t="s">
        <v>8</v>
      </c>
      <c r="K2469" s="23" t="s">
        <v>8</v>
      </c>
      <c r="L2469" s="23" t="s">
        <v>8</v>
      </c>
      <c r="M2469" s="23" t="s">
        <v>8</v>
      </c>
    </row>
    <row r="2470" spans="1:13" s="21" customFormat="1" x14ac:dyDescent="0.25">
      <c r="A2470" s="22" t="s">
        <v>8</v>
      </c>
      <c r="B2470" s="18" t="str">
        <f>"115022"</f>
        <v>115022</v>
      </c>
      <c r="C2470" s="19" t="s">
        <v>2462</v>
      </c>
      <c r="D2470" s="19" t="s">
        <v>17902</v>
      </c>
      <c r="E2470" s="19" t="s">
        <v>31709</v>
      </c>
      <c r="F2470" s="19" t="s">
        <v>35984</v>
      </c>
      <c r="G2470" s="18" t="str">
        <f>"30327"</f>
        <v>30327</v>
      </c>
      <c r="H2470" s="19" t="s">
        <v>32194</v>
      </c>
      <c r="I2470" s="20">
        <v>15.558999999999999</v>
      </c>
      <c r="J2470" s="44" t="s">
        <v>8</v>
      </c>
      <c r="K2470" s="23" t="s">
        <v>8</v>
      </c>
      <c r="L2470" s="23" t="s">
        <v>8</v>
      </c>
      <c r="M2470" s="23" t="s">
        <v>8</v>
      </c>
    </row>
    <row r="2471" spans="1:13" s="21" customFormat="1" x14ac:dyDescent="0.25">
      <c r="A2471" s="22" t="s">
        <v>8</v>
      </c>
      <c r="B2471" s="18" t="str">
        <f>"115025"</f>
        <v>115025</v>
      </c>
      <c r="C2471" s="19" t="s">
        <v>2463</v>
      </c>
      <c r="D2471" s="19" t="s">
        <v>17903</v>
      </c>
      <c r="E2471" s="19" t="s">
        <v>30853</v>
      </c>
      <c r="F2471" s="19" t="s">
        <v>35984</v>
      </c>
      <c r="G2471" s="18" t="str">
        <f>"30032"</f>
        <v>30032</v>
      </c>
      <c r="H2471" s="19" t="s">
        <v>31954</v>
      </c>
      <c r="I2471" s="20">
        <v>20.984000000000002</v>
      </c>
      <c r="J2471" s="44" t="s">
        <v>8</v>
      </c>
      <c r="K2471" s="23" t="s">
        <v>8</v>
      </c>
      <c r="L2471" s="23" t="s">
        <v>8</v>
      </c>
      <c r="M2471" s="23" t="s">
        <v>8</v>
      </c>
    </row>
    <row r="2472" spans="1:13" s="21" customFormat="1" x14ac:dyDescent="0.25">
      <c r="A2472" s="22" t="s">
        <v>8</v>
      </c>
      <c r="B2472" s="18" t="str">
        <f>"115039"</f>
        <v>115039</v>
      </c>
      <c r="C2472" s="19" t="s">
        <v>2464</v>
      </c>
      <c r="D2472" s="19" t="s">
        <v>17904</v>
      </c>
      <c r="E2472" s="19" t="s">
        <v>31712</v>
      </c>
      <c r="F2472" s="19" t="s">
        <v>35984</v>
      </c>
      <c r="G2472" s="18" t="str">
        <f>"39837"</f>
        <v>39837</v>
      </c>
      <c r="H2472" s="19" t="s">
        <v>35139</v>
      </c>
      <c r="I2472" s="20">
        <v>18.72</v>
      </c>
      <c r="J2472" s="44" t="s">
        <v>8</v>
      </c>
      <c r="K2472" s="23" t="s">
        <v>8</v>
      </c>
      <c r="L2472" s="23" t="s">
        <v>8</v>
      </c>
      <c r="M2472" s="23" t="s">
        <v>8</v>
      </c>
    </row>
    <row r="2473" spans="1:13" s="21" customFormat="1" x14ac:dyDescent="0.25">
      <c r="A2473" s="22" t="s">
        <v>8</v>
      </c>
      <c r="B2473" s="18" t="str">
        <f>"115040"</f>
        <v>115040</v>
      </c>
      <c r="C2473" s="19" t="s">
        <v>2465</v>
      </c>
      <c r="D2473" s="19" t="s">
        <v>17905</v>
      </c>
      <c r="E2473" s="19" t="s">
        <v>31713</v>
      </c>
      <c r="F2473" s="19" t="s">
        <v>35984</v>
      </c>
      <c r="G2473" s="18" t="str">
        <f>"30741"</f>
        <v>30741</v>
      </c>
      <c r="H2473" s="19" t="s">
        <v>33386</v>
      </c>
      <c r="I2473" s="20">
        <v>18.637</v>
      </c>
      <c r="J2473" s="44" t="s">
        <v>8</v>
      </c>
      <c r="K2473" s="23" t="s">
        <v>8</v>
      </c>
      <c r="L2473" s="23" t="s">
        <v>8</v>
      </c>
      <c r="M2473" s="23" t="s">
        <v>8</v>
      </c>
    </row>
    <row r="2474" spans="1:13" s="21" customFormat="1" x14ac:dyDescent="0.25">
      <c r="A2474" s="22" t="s">
        <v>8</v>
      </c>
      <c r="B2474" s="18" t="str">
        <f>"115044"</f>
        <v>115044</v>
      </c>
      <c r="C2474" s="19" t="s">
        <v>2466</v>
      </c>
      <c r="D2474" s="19" t="s">
        <v>17906</v>
      </c>
      <c r="E2474" s="19" t="s">
        <v>31714</v>
      </c>
      <c r="F2474" s="19" t="s">
        <v>35984</v>
      </c>
      <c r="G2474" s="18" t="str">
        <f>"30907"</f>
        <v>30907</v>
      </c>
      <c r="H2474" s="19" t="s">
        <v>32076</v>
      </c>
      <c r="I2474" s="20">
        <v>20.268999999999998</v>
      </c>
      <c r="J2474" s="44" t="s">
        <v>8</v>
      </c>
      <c r="K2474" s="23" t="s">
        <v>8</v>
      </c>
      <c r="L2474" s="23" t="s">
        <v>8</v>
      </c>
      <c r="M2474" s="23" t="s">
        <v>8</v>
      </c>
    </row>
    <row r="2475" spans="1:13" s="21" customFormat="1" x14ac:dyDescent="0.25">
      <c r="A2475" s="22" t="s">
        <v>8</v>
      </c>
      <c r="B2475" s="18" t="str">
        <f>"115045"</f>
        <v>115045</v>
      </c>
      <c r="C2475" s="19" t="s">
        <v>2467</v>
      </c>
      <c r="D2475" s="19" t="s">
        <v>17907</v>
      </c>
      <c r="E2475" s="19" t="s">
        <v>31715</v>
      </c>
      <c r="F2475" s="19" t="s">
        <v>35984</v>
      </c>
      <c r="G2475" s="18" t="str">
        <f>"31904"</f>
        <v>31904</v>
      </c>
      <c r="H2475" s="19" t="s">
        <v>36157</v>
      </c>
      <c r="I2475" s="20">
        <v>18.774000000000001</v>
      </c>
      <c r="J2475" s="44" t="s">
        <v>8</v>
      </c>
      <c r="K2475" s="23" t="s">
        <v>8</v>
      </c>
      <c r="L2475" s="23" t="s">
        <v>8</v>
      </c>
      <c r="M2475" s="23" t="s">
        <v>8</v>
      </c>
    </row>
    <row r="2476" spans="1:13" s="21" customFormat="1" x14ac:dyDescent="0.25">
      <c r="A2476" s="22" t="s">
        <v>8</v>
      </c>
      <c r="B2476" s="18" t="str">
        <f>"115090"</f>
        <v>115090</v>
      </c>
      <c r="C2476" s="19" t="s">
        <v>2468</v>
      </c>
      <c r="D2476" s="19" t="s">
        <v>17908</v>
      </c>
      <c r="E2476" s="19" t="s">
        <v>31716</v>
      </c>
      <c r="F2476" s="19" t="s">
        <v>35984</v>
      </c>
      <c r="G2476" s="18" t="str">
        <f>"30662"</f>
        <v>30662</v>
      </c>
      <c r="H2476" s="19" t="s">
        <v>5</v>
      </c>
      <c r="I2476" s="20">
        <v>19.806999999999999</v>
      </c>
      <c r="J2476" s="44" t="s">
        <v>8</v>
      </c>
      <c r="K2476" s="23" t="s">
        <v>8</v>
      </c>
      <c r="L2476" s="23" t="s">
        <v>8</v>
      </c>
      <c r="M2476" s="23" t="s">
        <v>8</v>
      </c>
    </row>
    <row r="2477" spans="1:13" s="21" customFormat="1" x14ac:dyDescent="0.25">
      <c r="A2477" s="22" t="s">
        <v>8</v>
      </c>
      <c r="B2477" s="18" t="str">
        <f>"115099"</f>
        <v>115099</v>
      </c>
      <c r="C2477" s="19" t="s">
        <v>2469</v>
      </c>
      <c r="D2477" s="19" t="s">
        <v>17909</v>
      </c>
      <c r="E2477" s="19" t="s">
        <v>31692</v>
      </c>
      <c r="F2477" s="19" t="s">
        <v>35984</v>
      </c>
      <c r="G2477" s="18" t="str">
        <f>"30535"</f>
        <v>30535</v>
      </c>
      <c r="H2477" s="19" t="s">
        <v>36149</v>
      </c>
      <c r="I2477" s="20">
        <v>17.536999999999999</v>
      </c>
      <c r="J2477" s="44" t="s">
        <v>8</v>
      </c>
      <c r="K2477" s="23" t="s">
        <v>8</v>
      </c>
      <c r="L2477" s="23" t="s">
        <v>8</v>
      </c>
      <c r="M2477" s="23" t="s">
        <v>8</v>
      </c>
    </row>
    <row r="2478" spans="1:13" s="21" customFormat="1" x14ac:dyDescent="0.25">
      <c r="A2478" s="22" t="s">
        <v>8</v>
      </c>
      <c r="B2478" s="18" t="str">
        <f>"115104"</f>
        <v>115104</v>
      </c>
      <c r="C2478" s="19" t="s">
        <v>2470</v>
      </c>
      <c r="D2478" s="19" t="s">
        <v>17910</v>
      </c>
      <c r="E2478" s="19" t="s">
        <v>31713</v>
      </c>
      <c r="F2478" s="19" t="s">
        <v>35984</v>
      </c>
      <c r="G2478" s="18" t="str">
        <f>"30741"</f>
        <v>30741</v>
      </c>
      <c r="H2478" s="19" t="s">
        <v>33386</v>
      </c>
      <c r="I2478" s="20">
        <v>16.452999999999999</v>
      </c>
      <c r="J2478" s="44" t="s">
        <v>8</v>
      </c>
      <c r="K2478" s="23" t="s">
        <v>8</v>
      </c>
      <c r="L2478" s="23" t="s">
        <v>8</v>
      </c>
      <c r="M2478" s="23" t="s">
        <v>8</v>
      </c>
    </row>
    <row r="2479" spans="1:13" s="21" customFormat="1" x14ac:dyDescent="0.25">
      <c r="A2479" s="22" t="s">
        <v>8</v>
      </c>
      <c r="B2479" s="18" t="str">
        <f>"115106"</f>
        <v>115106</v>
      </c>
      <c r="C2479" s="19" t="s">
        <v>2471</v>
      </c>
      <c r="D2479" s="19" t="s">
        <v>17911</v>
      </c>
      <c r="E2479" s="19" t="s">
        <v>31717</v>
      </c>
      <c r="F2479" s="19" t="s">
        <v>35984</v>
      </c>
      <c r="G2479" s="18" t="str">
        <f>"31329"</f>
        <v>31329</v>
      </c>
      <c r="H2479" s="19" t="s">
        <v>31952</v>
      </c>
      <c r="I2479" s="20">
        <v>18.183</v>
      </c>
      <c r="J2479" s="44" t="s">
        <v>8</v>
      </c>
      <c r="K2479" s="23" t="s">
        <v>8</v>
      </c>
      <c r="L2479" s="23" t="s">
        <v>8</v>
      </c>
      <c r="M2479" s="23" t="s">
        <v>8</v>
      </c>
    </row>
    <row r="2480" spans="1:13" s="21" customFormat="1" x14ac:dyDescent="0.25">
      <c r="A2480" s="22" t="s">
        <v>8</v>
      </c>
      <c r="B2480" s="18" t="str">
        <f>"115110"</f>
        <v>115110</v>
      </c>
      <c r="C2480" s="19" t="s">
        <v>2472</v>
      </c>
      <c r="D2480" s="19" t="s">
        <v>17912</v>
      </c>
      <c r="E2480" s="19" t="s">
        <v>31709</v>
      </c>
      <c r="F2480" s="19" t="s">
        <v>35984</v>
      </c>
      <c r="G2480" s="18" t="str">
        <f>"30309"</f>
        <v>30309</v>
      </c>
      <c r="H2480" s="19" t="s">
        <v>32194</v>
      </c>
      <c r="I2480" s="20">
        <v>20.196999999999999</v>
      </c>
      <c r="J2480" s="44" t="s">
        <v>8</v>
      </c>
      <c r="K2480" s="23" t="s">
        <v>8</v>
      </c>
      <c r="L2480" s="23" t="s">
        <v>8</v>
      </c>
      <c r="M2480" s="23" t="s">
        <v>8</v>
      </c>
    </row>
    <row r="2481" spans="1:13" s="21" customFormat="1" x14ac:dyDescent="0.25">
      <c r="A2481" s="22" t="s">
        <v>8</v>
      </c>
      <c r="B2481" s="18" t="str">
        <f>"115115"</f>
        <v>115115</v>
      </c>
      <c r="C2481" s="19" t="s">
        <v>2473</v>
      </c>
      <c r="D2481" s="19" t="s">
        <v>17913</v>
      </c>
      <c r="E2481" s="19" t="s">
        <v>31718</v>
      </c>
      <c r="F2481" s="19" t="s">
        <v>35984</v>
      </c>
      <c r="G2481" s="18" t="str">
        <f>"30060"</f>
        <v>30060</v>
      </c>
      <c r="H2481" s="19" t="s">
        <v>36158</v>
      </c>
      <c r="I2481" s="20">
        <v>16.622</v>
      </c>
      <c r="J2481" s="44" t="s">
        <v>8</v>
      </c>
      <c r="K2481" s="23" t="s">
        <v>8</v>
      </c>
      <c r="L2481" s="23" t="s">
        <v>8</v>
      </c>
      <c r="M2481" s="23" t="s">
        <v>8</v>
      </c>
    </row>
    <row r="2482" spans="1:13" s="21" customFormat="1" x14ac:dyDescent="0.25">
      <c r="A2482" s="22" t="s">
        <v>8</v>
      </c>
      <c r="B2482" s="18" t="str">
        <f>"115120"</f>
        <v>115120</v>
      </c>
      <c r="C2482" s="19" t="s">
        <v>2474</v>
      </c>
      <c r="D2482" s="19" t="s">
        <v>17914</v>
      </c>
      <c r="E2482" s="19" t="s">
        <v>31719</v>
      </c>
      <c r="F2482" s="19" t="s">
        <v>35984</v>
      </c>
      <c r="G2482" s="18" t="str">
        <f>"31405"</f>
        <v>31405</v>
      </c>
      <c r="H2482" s="19" t="s">
        <v>33903</v>
      </c>
      <c r="I2482" s="20">
        <v>15.831</v>
      </c>
      <c r="J2482" s="44" t="s">
        <v>8</v>
      </c>
      <c r="K2482" s="23" t="s">
        <v>8</v>
      </c>
      <c r="L2482" s="23" t="s">
        <v>8</v>
      </c>
      <c r="M2482" s="23" t="s">
        <v>8</v>
      </c>
    </row>
    <row r="2483" spans="1:13" s="21" customFormat="1" x14ac:dyDescent="0.25">
      <c r="A2483" s="22" t="s">
        <v>8</v>
      </c>
      <c r="B2483" s="18" t="str">
        <f>"115124"</f>
        <v>115124</v>
      </c>
      <c r="C2483" s="19" t="s">
        <v>2475</v>
      </c>
      <c r="D2483" s="19" t="s">
        <v>17915</v>
      </c>
      <c r="E2483" s="19" t="s">
        <v>31715</v>
      </c>
      <c r="F2483" s="19" t="s">
        <v>35984</v>
      </c>
      <c r="G2483" s="18" t="str">
        <f>"31904"</f>
        <v>31904</v>
      </c>
      <c r="H2483" s="19" t="s">
        <v>36157</v>
      </c>
      <c r="I2483" s="20">
        <v>22.422000000000001</v>
      </c>
      <c r="J2483" s="44" t="s">
        <v>8</v>
      </c>
      <c r="K2483" s="23" t="s">
        <v>8</v>
      </c>
      <c r="L2483" s="23" t="s">
        <v>8</v>
      </c>
      <c r="M2483" s="23" t="s">
        <v>8</v>
      </c>
    </row>
    <row r="2484" spans="1:13" s="21" customFormat="1" x14ac:dyDescent="0.25">
      <c r="A2484" s="22" t="s">
        <v>8</v>
      </c>
      <c r="B2484" s="18" t="str">
        <f>"115129"</f>
        <v>115129</v>
      </c>
      <c r="C2484" s="19" t="s">
        <v>2476</v>
      </c>
      <c r="D2484" s="19" t="s">
        <v>17916</v>
      </c>
      <c r="E2484" s="19" t="s">
        <v>31709</v>
      </c>
      <c r="F2484" s="19" t="s">
        <v>35984</v>
      </c>
      <c r="G2484" s="18" t="str">
        <f>"30305"</f>
        <v>30305</v>
      </c>
      <c r="H2484" s="19" t="s">
        <v>32194</v>
      </c>
      <c r="I2484" s="20">
        <v>18.541</v>
      </c>
      <c r="J2484" s="44" t="s">
        <v>8</v>
      </c>
      <c r="K2484" s="23" t="s">
        <v>8</v>
      </c>
      <c r="L2484" s="23" t="s">
        <v>8</v>
      </c>
      <c r="M2484" s="23" t="s">
        <v>8</v>
      </c>
    </row>
    <row r="2485" spans="1:13" s="21" customFormat="1" x14ac:dyDescent="0.25">
      <c r="A2485" s="22" t="s">
        <v>8</v>
      </c>
      <c r="B2485" s="18" t="str">
        <f>"115132"</f>
        <v>115132</v>
      </c>
      <c r="C2485" s="19" t="s">
        <v>2477</v>
      </c>
      <c r="D2485" s="19" t="s">
        <v>17917</v>
      </c>
      <c r="E2485" s="19" t="s">
        <v>31719</v>
      </c>
      <c r="F2485" s="19" t="s">
        <v>35984</v>
      </c>
      <c r="G2485" s="18" t="str">
        <f>"31419"</f>
        <v>31419</v>
      </c>
      <c r="H2485" s="19" t="s">
        <v>33903</v>
      </c>
      <c r="I2485" s="20">
        <v>19.431999999999999</v>
      </c>
      <c r="J2485" s="44" t="s">
        <v>8</v>
      </c>
      <c r="K2485" s="23" t="s">
        <v>8</v>
      </c>
      <c r="L2485" s="23" t="s">
        <v>8</v>
      </c>
      <c r="M2485" s="23" t="s">
        <v>8</v>
      </c>
    </row>
    <row r="2486" spans="1:13" s="21" customFormat="1" x14ac:dyDescent="0.25">
      <c r="A2486" s="22" t="s">
        <v>8</v>
      </c>
      <c r="B2486" s="18" t="str">
        <f>"115138"</f>
        <v>115138</v>
      </c>
      <c r="C2486" s="19" t="s">
        <v>2478</v>
      </c>
      <c r="D2486" s="19" t="s">
        <v>17918</v>
      </c>
      <c r="E2486" s="19" t="s">
        <v>31720</v>
      </c>
      <c r="F2486" s="19" t="s">
        <v>35984</v>
      </c>
      <c r="G2486" s="18" t="str">
        <f>"30263"</f>
        <v>30263</v>
      </c>
      <c r="H2486" s="19" t="s">
        <v>34682</v>
      </c>
      <c r="I2486" s="20">
        <v>17.931999999999999</v>
      </c>
      <c r="J2486" s="44" t="s">
        <v>8</v>
      </c>
      <c r="K2486" s="23" t="s">
        <v>8</v>
      </c>
      <c r="L2486" s="23" t="s">
        <v>8</v>
      </c>
      <c r="M2486" s="23" t="s">
        <v>8</v>
      </c>
    </row>
    <row r="2487" spans="1:13" s="21" customFormat="1" x14ac:dyDescent="0.25">
      <c r="A2487" s="22" t="s">
        <v>8</v>
      </c>
      <c r="B2487" s="18" t="str">
        <f>"115144"</f>
        <v>115144</v>
      </c>
      <c r="C2487" s="19" t="s">
        <v>2479</v>
      </c>
      <c r="D2487" s="19" t="s">
        <v>17919</v>
      </c>
      <c r="E2487" s="19" t="s">
        <v>31721</v>
      </c>
      <c r="F2487" s="19" t="s">
        <v>35984</v>
      </c>
      <c r="G2487" s="18" t="str">
        <f>"30274"</f>
        <v>30274</v>
      </c>
      <c r="H2487" s="19" t="s">
        <v>31848</v>
      </c>
      <c r="I2487" s="20">
        <v>19.574000000000002</v>
      </c>
      <c r="J2487" s="44" t="s">
        <v>8</v>
      </c>
      <c r="K2487" s="23" t="s">
        <v>8</v>
      </c>
      <c r="L2487" s="23" t="s">
        <v>8</v>
      </c>
      <c r="M2487" s="23" t="s">
        <v>8</v>
      </c>
    </row>
    <row r="2488" spans="1:13" s="21" customFormat="1" x14ac:dyDescent="0.25">
      <c r="A2488" s="22" t="s">
        <v>8</v>
      </c>
      <c r="B2488" s="18" t="str">
        <f>"115145"</f>
        <v>115145</v>
      </c>
      <c r="C2488" s="19" t="s">
        <v>2480</v>
      </c>
      <c r="D2488" s="19" t="s">
        <v>17920</v>
      </c>
      <c r="E2488" s="19" t="s">
        <v>31722</v>
      </c>
      <c r="F2488" s="19" t="s">
        <v>35984</v>
      </c>
      <c r="G2488" s="18" t="str">
        <f>"30106"</f>
        <v>30106</v>
      </c>
      <c r="H2488" s="19" t="s">
        <v>36158</v>
      </c>
      <c r="I2488" s="20">
        <v>19.838999999999999</v>
      </c>
      <c r="J2488" s="44" t="s">
        <v>8</v>
      </c>
      <c r="K2488" s="23" t="s">
        <v>8</v>
      </c>
      <c r="L2488" s="23" t="s">
        <v>8</v>
      </c>
      <c r="M2488" s="23" t="s">
        <v>8</v>
      </c>
    </row>
    <row r="2489" spans="1:13" s="21" customFormat="1" x14ac:dyDescent="0.25">
      <c r="A2489" s="22" t="s">
        <v>8</v>
      </c>
      <c r="B2489" s="18" t="str">
        <f>"115146"</f>
        <v>115146</v>
      </c>
      <c r="C2489" s="19" t="s">
        <v>2481</v>
      </c>
      <c r="D2489" s="19" t="s">
        <v>17921</v>
      </c>
      <c r="E2489" s="19" t="s">
        <v>31715</v>
      </c>
      <c r="F2489" s="19" t="s">
        <v>35984</v>
      </c>
      <c r="G2489" s="18" t="str">
        <f>"31907"</f>
        <v>31907</v>
      </c>
      <c r="H2489" s="19" t="s">
        <v>36157</v>
      </c>
      <c r="I2489" s="20">
        <v>18.786999999999999</v>
      </c>
      <c r="J2489" s="44" t="s">
        <v>8</v>
      </c>
      <c r="K2489" s="23" t="s">
        <v>8</v>
      </c>
      <c r="L2489" s="23" t="s">
        <v>8</v>
      </c>
      <c r="M2489" s="23" t="s">
        <v>8</v>
      </c>
    </row>
    <row r="2490" spans="1:13" s="21" customFormat="1" x14ac:dyDescent="0.25">
      <c r="A2490" s="22" t="s">
        <v>8</v>
      </c>
      <c r="B2490" s="18" t="str">
        <f>"115147"</f>
        <v>115147</v>
      </c>
      <c r="C2490" s="19" t="s">
        <v>2482</v>
      </c>
      <c r="D2490" s="19" t="s">
        <v>17922</v>
      </c>
      <c r="E2490" s="19" t="s">
        <v>31714</v>
      </c>
      <c r="F2490" s="19" t="s">
        <v>35984</v>
      </c>
      <c r="G2490" s="18" t="str">
        <f>"30909"</f>
        <v>30909</v>
      </c>
      <c r="H2490" s="19" t="s">
        <v>31178</v>
      </c>
      <c r="I2490" s="20">
        <v>21.038</v>
      </c>
      <c r="J2490" s="44" t="s">
        <v>8</v>
      </c>
      <c r="K2490" s="23" t="s">
        <v>8</v>
      </c>
      <c r="L2490" s="23" t="s">
        <v>8</v>
      </c>
      <c r="M2490" s="23" t="s">
        <v>8</v>
      </c>
    </row>
    <row r="2491" spans="1:13" s="21" customFormat="1" x14ac:dyDescent="0.25">
      <c r="A2491" s="22" t="s">
        <v>8</v>
      </c>
      <c r="B2491" s="18" t="str">
        <f>"115150"</f>
        <v>115150</v>
      </c>
      <c r="C2491" s="19" t="s">
        <v>2483</v>
      </c>
      <c r="D2491" s="19" t="s">
        <v>17923</v>
      </c>
      <c r="E2491" s="19" t="s">
        <v>31714</v>
      </c>
      <c r="F2491" s="19" t="s">
        <v>35984</v>
      </c>
      <c r="G2491" s="18" t="str">
        <f>"30906"</f>
        <v>30906</v>
      </c>
      <c r="H2491" s="19" t="s">
        <v>31178</v>
      </c>
      <c r="I2491" s="20">
        <v>18.097000000000001</v>
      </c>
      <c r="J2491" s="44" t="s">
        <v>8</v>
      </c>
      <c r="K2491" s="23" t="s">
        <v>8</v>
      </c>
      <c r="L2491" s="23" t="s">
        <v>8</v>
      </c>
      <c r="M2491" s="23" t="s">
        <v>8</v>
      </c>
    </row>
    <row r="2492" spans="1:13" s="21" customFormat="1" x14ac:dyDescent="0.25">
      <c r="A2492" s="22" t="s">
        <v>8</v>
      </c>
      <c r="B2492" s="18" t="str">
        <f>"115206"</f>
        <v>115206</v>
      </c>
      <c r="C2492" s="19" t="s">
        <v>2484</v>
      </c>
      <c r="D2492" s="19" t="s">
        <v>17924</v>
      </c>
      <c r="E2492" s="19" t="s">
        <v>31718</v>
      </c>
      <c r="F2492" s="19" t="s">
        <v>35984</v>
      </c>
      <c r="G2492" s="18" t="str">
        <f>"30060"</f>
        <v>30060</v>
      </c>
      <c r="H2492" s="19" t="s">
        <v>36158</v>
      </c>
      <c r="I2492" s="20">
        <v>15.452999999999999</v>
      </c>
      <c r="J2492" s="44" t="s">
        <v>8</v>
      </c>
      <c r="K2492" s="23" t="s">
        <v>8</v>
      </c>
      <c r="L2492" s="23" t="s">
        <v>8</v>
      </c>
      <c r="M2492" s="23" t="s">
        <v>8</v>
      </c>
    </row>
    <row r="2493" spans="1:13" s="21" customFormat="1" x14ac:dyDescent="0.25">
      <c r="A2493" s="22" t="s">
        <v>8</v>
      </c>
      <c r="B2493" s="18" t="str">
        <f>"115246"</f>
        <v>115246</v>
      </c>
      <c r="C2493" s="19" t="s">
        <v>2485</v>
      </c>
      <c r="D2493" s="19" t="s">
        <v>17925</v>
      </c>
      <c r="E2493" s="19" t="s">
        <v>30853</v>
      </c>
      <c r="F2493" s="19" t="s">
        <v>35984</v>
      </c>
      <c r="G2493" s="18" t="str">
        <f>"30033"</f>
        <v>30033</v>
      </c>
      <c r="H2493" s="19" t="s">
        <v>31954</v>
      </c>
      <c r="I2493" s="20">
        <v>22.704000000000001</v>
      </c>
      <c r="J2493" s="44" t="s">
        <v>8</v>
      </c>
      <c r="K2493" s="23" t="s">
        <v>8</v>
      </c>
      <c r="L2493" s="23" t="s">
        <v>8</v>
      </c>
      <c r="M2493" s="23" t="s">
        <v>8</v>
      </c>
    </row>
    <row r="2494" spans="1:13" s="21" customFormat="1" x14ac:dyDescent="0.25">
      <c r="A2494" s="22" t="s">
        <v>8</v>
      </c>
      <c r="B2494" s="18" t="str">
        <f>"115258"</f>
        <v>115258</v>
      </c>
      <c r="C2494" s="19" t="s">
        <v>2486</v>
      </c>
      <c r="D2494" s="19" t="s">
        <v>17926</v>
      </c>
      <c r="E2494" s="19" t="s">
        <v>31723</v>
      </c>
      <c r="F2494" s="19" t="s">
        <v>35984</v>
      </c>
      <c r="G2494" s="18" t="str">
        <f>"30132"</f>
        <v>30132</v>
      </c>
      <c r="H2494" s="19" t="s">
        <v>34570</v>
      </c>
      <c r="I2494" s="20">
        <v>16.364000000000001</v>
      </c>
      <c r="J2494" s="44" t="s">
        <v>8</v>
      </c>
      <c r="K2494" s="23" t="s">
        <v>8</v>
      </c>
      <c r="L2494" s="23" t="s">
        <v>8</v>
      </c>
      <c r="M2494" s="23" t="s">
        <v>8</v>
      </c>
    </row>
    <row r="2495" spans="1:13" s="21" customFormat="1" x14ac:dyDescent="0.25">
      <c r="A2495" s="22" t="s">
        <v>8</v>
      </c>
      <c r="B2495" s="18" t="str">
        <f>"115262"</f>
        <v>115262</v>
      </c>
      <c r="C2495" s="19" t="s">
        <v>2487</v>
      </c>
      <c r="D2495" s="19" t="s">
        <v>17927</v>
      </c>
      <c r="E2495" s="19" t="s">
        <v>31693</v>
      </c>
      <c r="F2495" s="19" t="s">
        <v>35984</v>
      </c>
      <c r="G2495" s="18" t="str">
        <f>"31513"</f>
        <v>31513</v>
      </c>
      <c r="H2495" s="19" t="s">
        <v>31769</v>
      </c>
      <c r="I2495" s="20">
        <v>19.82</v>
      </c>
      <c r="J2495" s="44" t="s">
        <v>8</v>
      </c>
      <c r="K2495" s="23" t="s">
        <v>8</v>
      </c>
      <c r="L2495" s="23" t="s">
        <v>8</v>
      </c>
      <c r="M2495" s="23" t="s">
        <v>8</v>
      </c>
    </row>
    <row r="2496" spans="1:13" s="21" customFormat="1" x14ac:dyDescent="0.25">
      <c r="A2496" s="22" t="s">
        <v>8</v>
      </c>
      <c r="B2496" s="18" t="str">
        <f>"115264"</f>
        <v>115264</v>
      </c>
      <c r="C2496" s="19" t="s">
        <v>2488</v>
      </c>
      <c r="D2496" s="19" t="s">
        <v>17928</v>
      </c>
      <c r="E2496" s="19" t="s">
        <v>31724</v>
      </c>
      <c r="F2496" s="19" t="s">
        <v>35984</v>
      </c>
      <c r="G2496" s="18" t="str">
        <f>"39846"</f>
        <v>39846</v>
      </c>
      <c r="H2496" s="19" t="s">
        <v>31743</v>
      </c>
      <c r="I2496" s="20">
        <v>21.004000000000001</v>
      </c>
      <c r="J2496" s="44" t="s">
        <v>8</v>
      </c>
      <c r="K2496" s="23" t="s">
        <v>8</v>
      </c>
      <c r="L2496" s="23" t="s">
        <v>8</v>
      </c>
      <c r="M2496" s="23" t="s">
        <v>8</v>
      </c>
    </row>
    <row r="2497" spans="1:13" s="21" customFormat="1" x14ac:dyDescent="0.25">
      <c r="A2497" s="22" t="s">
        <v>8</v>
      </c>
      <c r="B2497" s="18" t="str">
        <f>"115265"</f>
        <v>115265</v>
      </c>
      <c r="C2497" s="19" t="s">
        <v>2489</v>
      </c>
      <c r="D2497" s="19" t="s">
        <v>17929</v>
      </c>
      <c r="E2497" s="19" t="s">
        <v>31725</v>
      </c>
      <c r="F2497" s="19" t="s">
        <v>35984</v>
      </c>
      <c r="G2497" s="18" t="str">
        <f>"31501"</f>
        <v>31501</v>
      </c>
      <c r="H2497" s="19" t="s">
        <v>36159</v>
      </c>
      <c r="I2497" s="20">
        <v>22.097999999999999</v>
      </c>
      <c r="J2497" s="44" t="s">
        <v>8</v>
      </c>
      <c r="K2497" s="23" t="s">
        <v>8</v>
      </c>
      <c r="L2497" s="23" t="s">
        <v>8</v>
      </c>
      <c r="M2497" s="23" t="s">
        <v>8</v>
      </c>
    </row>
    <row r="2498" spans="1:13" s="21" customFormat="1" x14ac:dyDescent="0.25">
      <c r="A2498" s="22" t="s">
        <v>8</v>
      </c>
      <c r="B2498" s="18" t="str">
        <f>"115266"</f>
        <v>115266</v>
      </c>
      <c r="C2498" s="19" t="s">
        <v>2490</v>
      </c>
      <c r="D2498" s="19" t="s">
        <v>17930</v>
      </c>
      <c r="E2498" s="19" t="s">
        <v>31726</v>
      </c>
      <c r="F2498" s="19" t="s">
        <v>35984</v>
      </c>
      <c r="G2498" s="18" t="str">
        <f>"31730"</f>
        <v>31730</v>
      </c>
      <c r="H2498" s="19" t="s">
        <v>32259</v>
      </c>
      <c r="I2498" s="20">
        <v>19.122</v>
      </c>
      <c r="J2498" s="44" t="s">
        <v>8</v>
      </c>
      <c r="K2498" s="23" t="s">
        <v>8</v>
      </c>
      <c r="L2498" s="23" t="s">
        <v>8</v>
      </c>
      <c r="M2498" s="23" t="s">
        <v>8</v>
      </c>
    </row>
    <row r="2499" spans="1:13" s="21" customFormat="1" x14ac:dyDescent="0.25">
      <c r="A2499" s="22" t="s">
        <v>8</v>
      </c>
      <c r="B2499" s="18" t="str">
        <f>"115270"</f>
        <v>115270</v>
      </c>
      <c r="C2499" s="19" t="s">
        <v>2491</v>
      </c>
      <c r="D2499" s="19" t="s">
        <v>17931</v>
      </c>
      <c r="E2499" s="19" t="s">
        <v>31709</v>
      </c>
      <c r="F2499" s="19" t="s">
        <v>35984</v>
      </c>
      <c r="G2499" s="18" t="str">
        <f>"30342"</f>
        <v>30342</v>
      </c>
      <c r="H2499" s="19" t="s">
        <v>32194</v>
      </c>
      <c r="I2499" s="20">
        <v>22.114000000000001</v>
      </c>
      <c r="J2499" s="44" t="s">
        <v>8</v>
      </c>
      <c r="K2499" s="23" t="s">
        <v>8</v>
      </c>
      <c r="L2499" s="23" t="s">
        <v>8</v>
      </c>
      <c r="M2499" s="23" t="s">
        <v>8</v>
      </c>
    </row>
    <row r="2500" spans="1:13" s="21" customFormat="1" x14ac:dyDescent="0.25">
      <c r="A2500" s="22" t="s">
        <v>8</v>
      </c>
      <c r="B2500" s="18" t="str">
        <f>"115271"</f>
        <v>115271</v>
      </c>
      <c r="C2500" s="19" t="s">
        <v>2492</v>
      </c>
      <c r="D2500" s="19" t="s">
        <v>17932</v>
      </c>
      <c r="E2500" s="19" t="s">
        <v>31727</v>
      </c>
      <c r="F2500" s="19" t="s">
        <v>35984</v>
      </c>
      <c r="G2500" s="18" t="str">
        <f>"39823"</f>
        <v>39823</v>
      </c>
      <c r="H2500" s="19" t="s">
        <v>36160</v>
      </c>
      <c r="I2500" s="20">
        <v>18.449000000000002</v>
      </c>
      <c r="J2500" s="44" t="s">
        <v>8</v>
      </c>
      <c r="K2500" s="23" t="s">
        <v>8</v>
      </c>
      <c r="L2500" s="23" t="s">
        <v>8</v>
      </c>
      <c r="M2500" s="23" t="s">
        <v>8</v>
      </c>
    </row>
    <row r="2501" spans="1:13" s="21" customFormat="1" x14ac:dyDescent="0.25">
      <c r="A2501" s="22" t="s">
        <v>8</v>
      </c>
      <c r="B2501" s="18" t="str">
        <f>"115272"</f>
        <v>115272</v>
      </c>
      <c r="C2501" s="19" t="s">
        <v>2493</v>
      </c>
      <c r="D2501" s="19" t="s">
        <v>17933</v>
      </c>
      <c r="E2501" s="19" t="s">
        <v>31728</v>
      </c>
      <c r="F2501" s="19" t="s">
        <v>35984</v>
      </c>
      <c r="G2501" s="18" t="str">
        <f>"39840"</f>
        <v>39840</v>
      </c>
      <c r="H2501" s="19" t="s">
        <v>33068</v>
      </c>
      <c r="I2501" s="20">
        <v>17.809999999999999</v>
      </c>
      <c r="J2501" s="44" t="s">
        <v>8</v>
      </c>
      <c r="K2501" s="23" t="s">
        <v>8</v>
      </c>
      <c r="L2501" s="23" t="s">
        <v>8</v>
      </c>
      <c r="M2501" s="23" t="s">
        <v>8</v>
      </c>
    </row>
    <row r="2502" spans="1:13" s="21" customFormat="1" x14ac:dyDescent="0.25">
      <c r="A2502" s="22" t="s">
        <v>8</v>
      </c>
      <c r="B2502" s="18" t="str">
        <f>"115273"</f>
        <v>115273</v>
      </c>
      <c r="C2502" s="19" t="s">
        <v>2494</v>
      </c>
      <c r="D2502" s="19" t="s">
        <v>17934</v>
      </c>
      <c r="E2502" s="19" t="s">
        <v>31729</v>
      </c>
      <c r="F2502" s="19" t="s">
        <v>35984</v>
      </c>
      <c r="G2502" s="18" t="str">
        <f>"30135"</f>
        <v>30135</v>
      </c>
      <c r="H2502" s="19" t="s">
        <v>30966</v>
      </c>
      <c r="I2502" s="20">
        <v>18.765999999999998</v>
      </c>
      <c r="J2502" s="44" t="s">
        <v>8</v>
      </c>
      <c r="K2502" s="23" t="s">
        <v>8</v>
      </c>
      <c r="L2502" s="23" t="s">
        <v>8</v>
      </c>
      <c r="M2502" s="23" t="s">
        <v>8</v>
      </c>
    </row>
    <row r="2503" spans="1:13" s="21" customFormat="1" x14ac:dyDescent="0.25">
      <c r="A2503" s="22" t="s">
        <v>8</v>
      </c>
      <c r="B2503" s="18" t="str">
        <f>"115275"</f>
        <v>115275</v>
      </c>
      <c r="C2503" s="19" t="s">
        <v>2495</v>
      </c>
      <c r="D2503" s="19" t="s">
        <v>17935</v>
      </c>
      <c r="E2503" s="19" t="s">
        <v>31709</v>
      </c>
      <c r="F2503" s="19" t="s">
        <v>35984</v>
      </c>
      <c r="G2503" s="18" t="str">
        <f>"30312"</f>
        <v>30312</v>
      </c>
      <c r="H2503" s="19" t="s">
        <v>32194</v>
      </c>
      <c r="I2503" s="20">
        <v>25.241</v>
      </c>
      <c r="J2503" s="44" t="s">
        <v>8</v>
      </c>
      <c r="K2503" s="23" t="s">
        <v>8</v>
      </c>
      <c r="L2503" s="23" t="s">
        <v>8</v>
      </c>
      <c r="M2503" s="23" t="s">
        <v>8</v>
      </c>
    </row>
    <row r="2504" spans="1:13" s="21" customFormat="1" x14ac:dyDescent="0.25">
      <c r="A2504" s="22" t="s">
        <v>8</v>
      </c>
      <c r="B2504" s="18" t="str">
        <f>"115276"</f>
        <v>115276</v>
      </c>
      <c r="C2504" s="19" t="s">
        <v>2496</v>
      </c>
      <c r="D2504" s="19" t="s">
        <v>17936</v>
      </c>
      <c r="E2504" s="19" t="s">
        <v>31718</v>
      </c>
      <c r="F2504" s="19" t="s">
        <v>35984</v>
      </c>
      <c r="G2504" s="18" t="str">
        <f>"30008"</f>
        <v>30008</v>
      </c>
      <c r="H2504" s="19" t="s">
        <v>36158</v>
      </c>
      <c r="I2504" s="20">
        <v>20.312000000000001</v>
      </c>
      <c r="J2504" s="44" t="s">
        <v>8</v>
      </c>
      <c r="K2504" s="23" t="s">
        <v>8</v>
      </c>
      <c r="L2504" s="23" t="s">
        <v>8</v>
      </c>
      <c r="M2504" s="23" t="s">
        <v>8</v>
      </c>
    </row>
    <row r="2505" spans="1:13" s="21" customFormat="1" x14ac:dyDescent="0.25">
      <c r="A2505" s="22" t="s">
        <v>8</v>
      </c>
      <c r="B2505" s="18" t="str">
        <f>"115277"</f>
        <v>115277</v>
      </c>
      <c r="C2505" s="19" t="s">
        <v>2497</v>
      </c>
      <c r="D2505" s="19" t="s">
        <v>17937</v>
      </c>
      <c r="E2505" s="19" t="s">
        <v>31730</v>
      </c>
      <c r="F2505" s="19" t="s">
        <v>35984</v>
      </c>
      <c r="G2505" s="18" t="str">
        <f>"30240"</f>
        <v>30240</v>
      </c>
      <c r="H2505" s="19" t="s">
        <v>36161</v>
      </c>
      <c r="I2505" s="20">
        <v>17.669</v>
      </c>
      <c r="J2505" s="44" t="s">
        <v>8</v>
      </c>
      <c r="K2505" s="23" t="s">
        <v>8</v>
      </c>
      <c r="L2505" s="23" t="s">
        <v>8</v>
      </c>
      <c r="M2505" s="23" t="s">
        <v>8</v>
      </c>
    </row>
    <row r="2506" spans="1:13" s="21" customFormat="1" x14ac:dyDescent="0.25">
      <c r="A2506" s="22" t="s">
        <v>8</v>
      </c>
      <c r="B2506" s="18" t="str">
        <f>"115279"</f>
        <v>115279</v>
      </c>
      <c r="C2506" s="19" t="s">
        <v>2498</v>
      </c>
      <c r="D2506" s="19" t="s">
        <v>17938</v>
      </c>
      <c r="E2506" s="19" t="s">
        <v>31731</v>
      </c>
      <c r="F2506" s="19" t="s">
        <v>35984</v>
      </c>
      <c r="G2506" s="18" t="str">
        <f>"30645"</f>
        <v>30645</v>
      </c>
      <c r="H2506" s="19" t="s">
        <v>31748</v>
      </c>
      <c r="I2506" s="20">
        <v>19.739999999999998</v>
      </c>
      <c r="J2506" s="44" t="s">
        <v>8</v>
      </c>
      <c r="K2506" s="23" t="s">
        <v>8</v>
      </c>
      <c r="L2506" s="23" t="s">
        <v>8</v>
      </c>
      <c r="M2506" s="23" t="s">
        <v>8</v>
      </c>
    </row>
    <row r="2507" spans="1:13" s="21" customFormat="1" x14ac:dyDescent="0.25">
      <c r="A2507" s="22" t="s">
        <v>8</v>
      </c>
      <c r="B2507" s="18" t="str">
        <f>"115280"</f>
        <v>115280</v>
      </c>
      <c r="C2507" s="19" t="s">
        <v>2499</v>
      </c>
      <c r="D2507" s="19" t="s">
        <v>17939</v>
      </c>
      <c r="E2507" s="19" t="s">
        <v>31317</v>
      </c>
      <c r="F2507" s="19" t="s">
        <v>35984</v>
      </c>
      <c r="G2507" s="18" t="str">
        <f>"30705"</f>
        <v>30705</v>
      </c>
      <c r="H2507" s="19" t="s">
        <v>32687</v>
      </c>
      <c r="I2507" s="20">
        <v>19.666</v>
      </c>
      <c r="J2507" s="44" t="s">
        <v>8</v>
      </c>
      <c r="K2507" s="23" t="s">
        <v>8</v>
      </c>
      <c r="L2507" s="23" t="s">
        <v>8</v>
      </c>
      <c r="M2507" s="23" t="s">
        <v>8</v>
      </c>
    </row>
    <row r="2508" spans="1:13" s="21" customFormat="1" x14ac:dyDescent="0.25">
      <c r="A2508" s="22" t="s">
        <v>8</v>
      </c>
      <c r="B2508" s="18" t="str">
        <f>"115283"</f>
        <v>115283</v>
      </c>
      <c r="C2508" s="19" t="s">
        <v>2500</v>
      </c>
      <c r="D2508" s="19" t="s">
        <v>17940</v>
      </c>
      <c r="E2508" s="19" t="s">
        <v>31718</v>
      </c>
      <c r="F2508" s="19" t="s">
        <v>35984</v>
      </c>
      <c r="G2508" s="18" t="str">
        <f>"30068"</f>
        <v>30068</v>
      </c>
      <c r="H2508" s="19" t="s">
        <v>36158</v>
      </c>
      <c r="I2508" s="20">
        <v>21.65</v>
      </c>
      <c r="J2508" s="44" t="s">
        <v>8</v>
      </c>
      <c r="K2508" s="23" t="s">
        <v>8</v>
      </c>
      <c r="L2508" s="23" t="s">
        <v>8</v>
      </c>
      <c r="M2508" s="23" t="s">
        <v>8</v>
      </c>
    </row>
    <row r="2509" spans="1:13" s="21" customFormat="1" x14ac:dyDescent="0.25">
      <c r="A2509" s="22" t="s">
        <v>8</v>
      </c>
      <c r="B2509" s="18" t="str">
        <f>"115287"</f>
        <v>115287</v>
      </c>
      <c r="C2509" s="19" t="s">
        <v>2501</v>
      </c>
      <c r="D2509" s="19" t="s">
        <v>17941</v>
      </c>
      <c r="E2509" s="19" t="s">
        <v>31732</v>
      </c>
      <c r="F2509" s="19" t="s">
        <v>35984</v>
      </c>
      <c r="G2509" s="18" t="str">
        <f>"30161"</f>
        <v>30161</v>
      </c>
      <c r="H2509" s="19" t="s">
        <v>35420</v>
      </c>
      <c r="I2509" s="20">
        <v>18.678000000000001</v>
      </c>
      <c r="J2509" s="44" t="s">
        <v>8</v>
      </c>
      <c r="K2509" s="23" t="s">
        <v>8</v>
      </c>
      <c r="L2509" s="23" t="s">
        <v>8</v>
      </c>
      <c r="M2509" s="23" t="s">
        <v>8</v>
      </c>
    </row>
    <row r="2510" spans="1:13" s="21" customFormat="1" x14ac:dyDescent="0.25">
      <c r="A2510" s="22" t="s">
        <v>8</v>
      </c>
      <c r="B2510" s="18" t="str">
        <f>"115288"</f>
        <v>115288</v>
      </c>
      <c r="C2510" s="19" t="s">
        <v>2502</v>
      </c>
      <c r="D2510" s="19" t="s">
        <v>17942</v>
      </c>
      <c r="E2510" s="19" t="s">
        <v>31733</v>
      </c>
      <c r="F2510" s="19" t="s">
        <v>35984</v>
      </c>
      <c r="G2510" s="18" t="str">
        <f>"31204"</f>
        <v>31204</v>
      </c>
      <c r="H2510" s="19" t="s">
        <v>36028</v>
      </c>
      <c r="I2510" s="20">
        <v>17.542000000000002</v>
      </c>
      <c r="J2510" s="44" t="s">
        <v>8</v>
      </c>
      <c r="K2510" s="23" t="s">
        <v>8</v>
      </c>
      <c r="L2510" s="23" t="s">
        <v>8</v>
      </c>
      <c r="M2510" s="23" t="s">
        <v>8</v>
      </c>
    </row>
    <row r="2511" spans="1:13" s="21" customFormat="1" x14ac:dyDescent="0.25">
      <c r="A2511" s="22" t="s">
        <v>8</v>
      </c>
      <c r="B2511" s="18" t="str">
        <f>"115289"</f>
        <v>115289</v>
      </c>
      <c r="C2511" s="19" t="s">
        <v>2503</v>
      </c>
      <c r="D2511" s="19" t="s">
        <v>17943</v>
      </c>
      <c r="E2511" s="19" t="s">
        <v>31734</v>
      </c>
      <c r="F2511" s="19" t="s">
        <v>35984</v>
      </c>
      <c r="G2511" s="18" t="str">
        <f>"30629"</f>
        <v>30629</v>
      </c>
      <c r="H2511" s="19" t="s">
        <v>30899</v>
      </c>
      <c r="I2511" s="20">
        <v>16.738</v>
      </c>
      <c r="J2511" s="44" t="s">
        <v>8</v>
      </c>
      <c r="K2511" s="23" t="s">
        <v>8</v>
      </c>
      <c r="L2511" s="23" t="s">
        <v>8</v>
      </c>
      <c r="M2511" s="23" t="s">
        <v>8</v>
      </c>
    </row>
    <row r="2512" spans="1:13" s="21" customFormat="1" x14ac:dyDescent="0.25">
      <c r="A2512" s="22" t="s">
        <v>8</v>
      </c>
      <c r="B2512" s="18" t="str">
        <f>"115290"</f>
        <v>115290</v>
      </c>
      <c r="C2512" s="19" t="s">
        <v>2504</v>
      </c>
      <c r="D2512" s="19" t="s">
        <v>17944</v>
      </c>
      <c r="E2512" s="19" t="s">
        <v>31714</v>
      </c>
      <c r="F2512" s="19" t="s">
        <v>35984</v>
      </c>
      <c r="G2512" s="18" t="str">
        <f>"30906"</f>
        <v>30906</v>
      </c>
      <c r="H2512" s="19" t="s">
        <v>31178</v>
      </c>
      <c r="I2512" s="20">
        <v>21.948</v>
      </c>
      <c r="J2512" s="44" t="s">
        <v>8</v>
      </c>
      <c r="K2512" s="23" t="s">
        <v>8</v>
      </c>
      <c r="L2512" s="23" t="s">
        <v>8</v>
      </c>
      <c r="M2512" s="23" t="s">
        <v>8</v>
      </c>
    </row>
    <row r="2513" spans="1:13" s="21" customFormat="1" x14ac:dyDescent="0.25">
      <c r="A2513" s="22" t="s">
        <v>8</v>
      </c>
      <c r="B2513" s="18" t="str">
        <f>"115291"</f>
        <v>115291</v>
      </c>
      <c r="C2513" s="19" t="s">
        <v>2505</v>
      </c>
      <c r="D2513" s="19" t="s">
        <v>17945</v>
      </c>
      <c r="E2513" s="19" t="s">
        <v>31714</v>
      </c>
      <c r="F2513" s="19" t="s">
        <v>35984</v>
      </c>
      <c r="G2513" s="18" t="str">
        <f>"30909"</f>
        <v>30909</v>
      </c>
      <c r="H2513" s="19" t="s">
        <v>31178</v>
      </c>
      <c r="I2513" s="20">
        <v>19.887</v>
      </c>
      <c r="J2513" s="44" t="s">
        <v>8</v>
      </c>
      <c r="K2513" s="23" t="s">
        <v>8</v>
      </c>
      <c r="L2513" s="23" t="s">
        <v>8</v>
      </c>
      <c r="M2513" s="23" t="s">
        <v>8</v>
      </c>
    </row>
    <row r="2514" spans="1:13" s="21" customFormat="1" x14ac:dyDescent="0.25">
      <c r="A2514" s="22" t="s">
        <v>8</v>
      </c>
      <c r="B2514" s="18" t="str">
        <f>"115293"</f>
        <v>115293</v>
      </c>
      <c r="C2514" s="19" t="s">
        <v>2506</v>
      </c>
      <c r="D2514" s="19" t="s">
        <v>17946</v>
      </c>
      <c r="E2514" s="19" t="s">
        <v>31735</v>
      </c>
      <c r="F2514" s="19" t="s">
        <v>35984</v>
      </c>
      <c r="G2514" s="18" t="str">
        <f>"31322"</f>
        <v>31322</v>
      </c>
      <c r="H2514" s="19" t="s">
        <v>33903</v>
      </c>
      <c r="I2514" s="20">
        <v>19.207000000000001</v>
      </c>
      <c r="J2514" s="44" t="s">
        <v>8</v>
      </c>
      <c r="K2514" s="23" t="s">
        <v>8</v>
      </c>
      <c r="L2514" s="23" t="s">
        <v>8</v>
      </c>
      <c r="M2514" s="23" t="s">
        <v>8</v>
      </c>
    </row>
    <row r="2515" spans="1:13" s="21" customFormat="1" x14ac:dyDescent="0.25">
      <c r="A2515" s="22" t="s">
        <v>8</v>
      </c>
      <c r="B2515" s="18" t="str">
        <f>"115294"</f>
        <v>115294</v>
      </c>
      <c r="C2515" s="19" t="s">
        <v>2507</v>
      </c>
      <c r="D2515" s="19" t="s">
        <v>17947</v>
      </c>
      <c r="E2515" s="19" t="s">
        <v>31714</v>
      </c>
      <c r="F2515" s="19" t="s">
        <v>35984</v>
      </c>
      <c r="G2515" s="18" t="str">
        <f>"30907"</f>
        <v>30907</v>
      </c>
      <c r="H2515" s="19" t="s">
        <v>32076</v>
      </c>
      <c r="I2515" s="20">
        <v>19.417000000000002</v>
      </c>
      <c r="J2515" s="44" t="s">
        <v>8</v>
      </c>
      <c r="K2515" s="23" t="s">
        <v>8</v>
      </c>
      <c r="L2515" s="23" t="s">
        <v>8</v>
      </c>
      <c r="M2515" s="23" t="s">
        <v>8</v>
      </c>
    </row>
    <row r="2516" spans="1:13" s="21" customFormat="1" x14ac:dyDescent="0.25">
      <c r="A2516" s="22" t="s">
        <v>8</v>
      </c>
      <c r="B2516" s="18" t="str">
        <f>"115295"</f>
        <v>115295</v>
      </c>
      <c r="C2516" s="19" t="s">
        <v>2508</v>
      </c>
      <c r="D2516" s="19" t="s">
        <v>17948</v>
      </c>
      <c r="E2516" s="19" t="s">
        <v>31733</v>
      </c>
      <c r="F2516" s="19" t="s">
        <v>35984</v>
      </c>
      <c r="G2516" s="18" t="str">
        <f>"31210"</f>
        <v>31210</v>
      </c>
      <c r="H2516" s="19" t="s">
        <v>36028</v>
      </c>
      <c r="I2516" s="20">
        <v>19.602</v>
      </c>
      <c r="J2516" s="44" t="s">
        <v>8</v>
      </c>
      <c r="K2516" s="23" t="s">
        <v>8</v>
      </c>
      <c r="L2516" s="23" t="s">
        <v>8</v>
      </c>
      <c r="M2516" s="23" t="s">
        <v>8</v>
      </c>
    </row>
    <row r="2517" spans="1:13" s="21" customFormat="1" x14ac:dyDescent="0.25">
      <c r="A2517" s="22" t="s">
        <v>8</v>
      </c>
      <c r="B2517" s="18" t="str">
        <f>"115296"</f>
        <v>115296</v>
      </c>
      <c r="C2517" s="19" t="s">
        <v>2509</v>
      </c>
      <c r="D2517" s="19" t="s">
        <v>17949</v>
      </c>
      <c r="E2517" s="19" t="s">
        <v>31709</v>
      </c>
      <c r="F2517" s="19" t="s">
        <v>35984</v>
      </c>
      <c r="G2517" s="18" t="str">
        <f>"30319"</f>
        <v>30319</v>
      </c>
      <c r="H2517" s="19" t="s">
        <v>31954</v>
      </c>
      <c r="I2517" s="20">
        <v>17.696000000000002</v>
      </c>
      <c r="J2517" s="44" t="s">
        <v>8</v>
      </c>
      <c r="K2517" s="23" t="s">
        <v>8</v>
      </c>
      <c r="L2517" s="23" t="s">
        <v>8</v>
      </c>
      <c r="M2517" s="23" t="s">
        <v>8</v>
      </c>
    </row>
    <row r="2518" spans="1:13" s="21" customFormat="1" x14ac:dyDescent="0.25">
      <c r="A2518" s="22" t="s">
        <v>8</v>
      </c>
      <c r="B2518" s="18" t="str">
        <f>"115298"</f>
        <v>115298</v>
      </c>
      <c r="C2518" s="19" t="s">
        <v>2510</v>
      </c>
      <c r="D2518" s="19" t="s">
        <v>17950</v>
      </c>
      <c r="E2518" s="19" t="s">
        <v>31736</v>
      </c>
      <c r="F2518" s="19" t="s">
        <v>35984</v>
      </c>
      <c r="G2518" s="18" t="str">
        <f>"30213"</f>
        <v>30213</v>
      </c>
      <c r="H2518" s="19" t="s">
        <v>32194</v>
      </c>
      <c r="I2518" s="20">
        <v>19.834</v>
      </c>
      <c r="J2518" s="44" t="s">
        <v>8</v>
      </c>
      <c r="K2518" s="23" t="s">
        <v>8</v>
      </c>
      <c r="L2518" s="23" t="s">
        <v>8</v>
      </c>
      <c r="M2518" s="23" t="s">
        <v>8</v>
      </c>
    </row>
    <row r="2519" spans="1:13" s="21" customFormat="1" x14ac:dyDescent="0.25">
      <c r="A2519" s="22" t="s">
        <v>8</v>
      </c>
      <c r="B2519" s="18" t="str">
        <f>"115304"</f>
        <v>115304</v>
      </c>
      <c r="C2519" s="19" t="s">
        <v>2511</v>
      </c>
      <c r="D2519" s="19" t="s">
        <v>17951</v>
      </c>
      <c r="E2519" s="19" t="s">
        <v>30892</v>
      </c>
      <c r="F2519" s="19" t="s">
        <v>35984</v>
      </c>
      <c r="G2519" s="18" t="str">
        <f>"30728"</f>
        <v>30728</v>
      </c>
      <c r="H2519" s="19" t="s">
        <v>33386</v>
      </c>
      <c r="I2519" s="20">
        <v>18.207999999999998</v>
      </c>
      <c r="J2519" s="44" t="s">
        <v>8</v>
      </c>
      <c r="K2519" s="23" t="s">
        <v>8</v>
      </c>
      <c r="L2519" s="23" t="s">
        <v>8</v>
      </c>
      <c r="M2519" s="23" t="s">
        <v>8</v>
      </c>
    </row>
    <row r="2520" spans="1:13" s="21" customFormat="1" x14ac:dyDescent="0.25">
      <c r="A2520" s="22" t="s">
        <v>8</v>
      </c>
      <c r="B2520" s="18" t="str">
        <f>"115308"</f>
        <v>115308</v>
      </c>
      <c r="C2520" s="19" t="s">
        <v>2512</v>
      </c>
      <c r="D2520" s="19" t="s">
        <v>17952</v>
      </c>
      <c r="E2520" s="19" t="s">
        <v>31714</v>
      </c>
      <c r="F2520" s="19" t="s">
        <v>35984</v>
      </c>
      <c r="G2520" s="18" t="str">
        <f>"30907"</f>
        <v>30907</v>
      </c>
      <c r="H2520" s="19" t="s">
        <v>32076</v>
      </c>
      <c r="I2520" s="20">
        <v>18.091999999999999</v>
      </c>
      <c r="J2520" s="44" t="s">
        <v>8</v>
      </c>
      <c r="K2520" s="23" t="s">
        <v>8</v>
      </c>
      <c r="L2520" s="23" t="s">
        <v>8</v>
      </c>
      <c r="M2520" s="23" t="s">
        <v>8</v>
      </c>
    </row>
    <row r="2521" spans="1:13" s="21" customFormat="1" x14ac:dyDescent="0.25">
      <c r="A2521" s="22" t="s">
        <v>8</v>
      </c>
      <c r="B2521" s="18" t="str">
        <f>"115313"</f>
        <v>115313</v>
      </c>
      <c r="C2521" s="19" t="s">
        <v>2513</v>
      </c>
      <c r="D2521" s="19" t="s">
        <v>17953</v>
      </c>
      <c r="E2521" s="19" t="s">
        <v>31709</v>
      </c>
      <c r="F2521" s="19" t="s">
        <v>35984</v>
      </c>
      <c r="G2521" s="18" t="str">
        <f>"30319"</f>
        <v>30319</v>
      </c>
      <c r="H2521" s="19" t="s">
        <v>31954</v>
      </c>
      <c r="I2521" s="20">
        <v>22.353999999999999</v>
      </c>
      <c r="J2521" s="44" t="s">
        <v>8</v>
      </c>
      <c r="K2521" s="23" t="s">
        <v>8</v>
      </c>
      <c r="L2521" s="23" t="s">
        <v>8</v>
      </c>
      <c r="M2521" s="23" t="s">
        <v>8</v>
      </c>
    </row>
    <row r="2522" spans="1:13" s="21" customFormat="1" x14ac:dyDescent="0.25">
      <c r="A2522" s="22" t="s">
        <v>8</v>
      </c>
      <c r="B2522" s="18" t="str">
        <f>"115314"</f>
        <v>115314</v>
      </c>
      <c r="C2522" s="19" t="s">
        <v>2514</v>
      </c>
      <c r="D2522" s="19" t="s">
        <v>17954</v>
      </c>
      <c r="E2522" s="19" t="s">
        <v>31722</v>
      </c>
      <c r="F2522" s="19" t="s">
        <v>35984</v>
      </c>
      <c r="G2522" s="18" t="str">
        <f>"30106"</f>
        <v>30106</v>
      </c>
      <c r="H2522" s="19" t="s">
        <v>36158</v>
      </c>
      <c r="I2522" s="20">
        <v>20.550999999999998</v>
      </c>
      <c r="J2522" s="44" t="s">
        <v>8</v>
      </c>
      <c r="K2522" s="23" t="s">
        <v>8</v>
      </c>
      <c r="L2522" s="23" t="s">
        <v>8</v>
      </c>
      <c r="M2522" s="23" t="s">
        <v>8</v>
      </c>
    </row>
    <row r="2523" spans="1:13" s="21" customFormat="1" x14ac:dyDescent="0.25">
      <c r="A2523" s="22" t="s">
        <v>8</v>
      </c>
      <c r="B2523" s="18" t="str">
        <f>"115319"</f>
        <v>115319</v>
      </c>
      <c r="C2523" s="19" t="s">
        <v>2515</v>
      </c>
      <c r="D2523" s="19" t="s">
        <v>17955</v>
      </c>
      <c r="E2523" s="19" t="s">
        <v>31732</v>
      </c>
      <c r="F2523" s="19" t="s">
        <v>35984</v>
      </c>
      <c r="G2523" s="18" t="str">
        <f>"30165"</f>
        <v>30165</v>
      </c>
      <c r="H2523" s="19" t="s">
        <v>35420</v>
      </c>
      <c r="I2523" s="20">
        <v>22.704000000000001</v>
      </c>
      <c r="J2523" s="44" t="s">
        <v>8</v>
      </c>
      <c r="K2523" s="23" t="s">
        <v>8</v>
      </c>
      <c r="L2523" s="23" t="s">
        <v>8</v>
      </c>
      <c r="M2523" s="23" t="s">
        <v>8</v>
      </c>
    </row>
    <row r="2524" spans="1:13" s="21" customFormat="1" x14ac:dyDescent="0.25">
      <c r="A2524" s="22" t="s">
        <v>8</v>
      </c>
      <c r="B2524" s="18" t="str">
        <f>"115321"</f>
        <v>115321</v>
      </c>
      <c r="C2524" s="19" t="s">
        <v>2516</v>
      </c>
      <c r="D2524" s="19" t="s">
        <v>17956</v>
      </c>
      <c r="E2524" s="19" t="s">
        <v>31737</v>
      </c>
      <c r="F2524" s="19" t="s">
        <v>35984</v>
      </c>
      <c r="G2524" s="18" t="str">
        <f>"30828"</f>
        <v>30828</v>
      </c>
      <c r="H2524" s="19" t="s">
        <v>31025</v>
      </c>
      <c r="I2524" s="20">
        <v>16.664000000000001</v>
      </c>
      <c r="J2524" s="44" t="s">
        <v>8</v>
      </c>
      <c r="K2524" s="23" t="s">
        <v>8</v>
      </c>
      <c r="L2524" s="23" t="s">
        <v>8</v>
      </c>
      <c r="M2524" s="23" t="s">
        <v>8</v>
      </c>
    </row>
    <row r="2525" spans="1:13" s="21" customFormat="1" x14ac:dyDescent="0.25">
      <c r="A2525" s="22" t="s">
        <v>8</v>
      </c>
      <c r="B2525" s="18" t="str">
        <f>"115322"</f>
        <v>115322</v>
      </c>
      <c r="C2525" s="19" t="s">
        <v>2517</v>
      </c>
      <c r="D2525" s="19" t="s">
        <v>17957</v>
      </c>
      <c r="E2525" s="19" t="s">
        <v>31738</v>
      </c>
      <c r="F2525" s="19" t="s">
        <v>35984</v>
      </c>
      <c r="G2525" s="18" t="str">
        <f>"30084"</f>
        <v>30084</v>
      </c>
      <c r="H2525" s="19" t="s">
        <v>31954</v>
      </c>
      <c r="I2525" s="20">
        <v>23.302</v>
      </c>
      <c r="J2525" s="44" t="s">
        <v>8</v>
      </c>
      <c r="K2525" s="23" t="s">
        <v>8</v>
      </c>
      <c r="L2525" s="23" t="s">
        <v>8</v>
      </c>
      <c r="M2525" s="23" t="s">
        <v>8</v>
      </c>
    </row>
    <row r="2526" spans="1:13" s="21" customFormat="1" x14ac:dyDescent="0.25">
      <c r="A2526" s="22" t="s">
        <v>8</v>
      </c>
      <c r="B2526" s="18" t="str">
        <f>"115324"</f>
        <v>115324</v>
      </c>
      <c r="C2526" s="19" t="s">
        <v>2518</v>
      </c>
      <c r="D2526" s="19" t="s">
        <v>17958</v>
      </c>
      <c r="E2526" s="19" t="s">
        <v>31704</v>
      </c>
      <c r="F2526" s="19" t="s">
        <v>35984</v>
      </c>
      <c r="G2526" s="18" t="str">
        <f>"39819"</f>
        <v>39819</v>
      </c>
      <c r="H2526" s="19" t="s">
        <v>30853</v>
      </c>
      <c r="I2526" s="20">
        <v>16.498999999999999</v>
      </c>
      <c r="J2526" s="44" t="s">
        <v>8</v>
      </c>
      <c r="K2526" s="23" t="s">
        <v>8</v>
      </c>
      <c r="L2526" s="23" t="s">
        <v>8</v>
      </c>
      <c r="M2526" s="23" t="s">
        <v>8</v>
      </c>
    </row>
    <row r="2527" spans="1:13" s="21" customFormat="1" x14ac:dyDescent="0.25">
      <c r="A2527" s="22" t="s">
        <v>8</v>
      </c>
      <c r="B2527" s="18" t="str">
        <f>"115325"</f>
        <v>115325</v>
      </c>
      <c r="C2527" s="19" t="s">
        <v>2519</v>
      </c>
      <c r="D2527" s="19" t="s">
        <v>17959</v>
      </c>
      <c r="E2527" s="19" t="s">
        <v>31500</v>
      </c>
      <c r="F2527" s="19" t="s">
        <v>35984</v>
      </c>
      <c r="G2527" s="18" t="str">
        <f>"30673"</f>
        <v>30673</v>
      </c>
      <c r="H2527" s="19" t="s">
        <v>36162</v>
      </c>
      <c r="I2527" s="20">
        <v>17.858000000000001</v>
      </c>
      <c r="J2527" s="44" t="s">
        <v>8</v>
      </c>
      <c r="K2527" s="23" t="s">
        <v>8</v>
      </c>
      <c r="L2527" s="23" t="s">
        <v>8</v>
      </c>
      <c r="M2527" s="23" t="s">
        <v>8</v>
      </c>
    </row>
    <row r="2528" spans="1:13" s="21" customFormat="1" x14ac:dyDescent="0.25">
      <c r="A2528" s="22" t="s">
        <v>8</v>
      </c>
      <c r="B2528" s="18" t="str">
        <f>"115326"</f>
        <v>115326</v>
      </c>
      <c r="C2528" s="19" t="s">
        <v>2520</v>
      </c>
      <c r="D2528" s="19" t="s">
        <v>17960</v>
      </c>
      <c r="E2528" s="19" t="s">
        <v>31699</v>
      </c>
      <c r="F2528" s="19" t="s">
        <v>35984</v>
      </c>
      <c r="G2528" s="18" t="str">
        <f>"31788"</f>
        <v>31788</v>
      </c>
      <c r="H2528" s="19" t="s">
        <v>31712</v>
      </c>
      <c r="I2528" s="20">
        <v>22.382000000000001</v>
      </c>
      <c r="J2528" s="44" t="s">
        <v>8</v>
      </c>
      <c r="K2528" s="23" t="s">
        <v>8</v>
      </c>
      <c r="L2528" s="23" t="s">
        <v>8</v>
      </c>
      <c r="M2528" s="23" t="s">
        <v>8</v>
      </c>
    </row>
    <row r="2529" spans="1:13" s="21" customFormat="1" x14ac:dyDescent="0.25">
      <c r="A2529" s="22" t="s">
        <v>8</v>
      </c>
      <c r="B2529" s="18" t="str">
        <f>"115327"</f>
        <v>115327</v>
      </c>
      <c r="C2529" s="19" t="s">
        <v>2521</v>
      </c>
      <c r="D2529" s="19" t="s">
        <v>17961</v>
      </c>
      <c r="E2529" s="19" t="s">
        <v>31739</v>
      </c>
      <c r="F2529" s="19" t="s">
        <v>35984</v>
      </c>
      <c r="G2529" s="18" t="str">
        <f>"30542"</f>
        <v>30542</v>
      </c>
      <c r="H2529" s="19" t="s">
        <v>36156</v>
      </c>
      <c r="I2529" s="20">
        <v>18.501999999999999</v>
      </c>
      <c r="J2529" s="44" t="s">
        <v>8</v>
      </c>
      <c r="K2529" s="23" t="s">
        <v>8</v>
      </c>
      <c r="L2529" s="23" t="s">
        <v>8</v>
      </c>
      <c r="M2529" s="23" t="s">
        <v>8</v>
      </c>
    </row>
    <row r="2530" spans="1:13" s="21" customFormat="1" x14ac:dyDescent="0.25">
      <c r="A2530" s="22" t="s">
        <v>8</v>
      </c>
      <c r="B2530" s="18" t="str">
        <f>"115329"</f>
        <v>115329</v>
      </c>
      <c r="C2530" s="19" t="s">
        <v>2522</v>
      </c>
      <c r="D2530" s="19" t="s">
        <v>17962</v>
      </c>
      <c r="E2530" s="19" t="s">
        <v>31740</v>
      </c>
      <c r="F2530" s="19" t="s">
        <v>35984</v>
      </c>
      <c r="G2530" s="18" t="str">
        <f>"30286"</f>
        <v>30286</v>
      </c>
      <c r="H2530" s="19" t="s">
        <v>36163</v>
      </c>
      <c r="I2530" s="20">
        <v>18.995999999999999</v>
      </c>
      <c r="J2530" s="44" t="s">
        <v>8</v>
      </c>
      <c r="K2530" s="23" t="s">
        <v>8</v>
      </c>
      <c r="L2530" s="23" t="s">
        <v>8</v>
      </c>
      <c r="M2530" s="23" t="s">
        <v>8</v>
      </c>
    </row>
    <row r="2531" spans="1:13" s="21" customFormat="1" x14ac:dyDescent="0.25">
      <c r="A2531" s="22" t="s">
        <v>8</v>
      </c>
      <c r="B2531" s="18" t="str">
        <f>"115330"</f>
        <v>115330</v>
      </c>
      <c r="C2531" s="19" t="s">
        <v>2523</v>
      </c>
      <c r="D2531" s="19" t="s">
        <v>17963</v>
      </c>
      <c r="E2531" s="19" t="s">
        <v>31493</v>
      </c>
      <c r="F2531" s="19" t="s">
        <v>35984</v>
      </c>
      <c r="G2531" s="18" t="str">
        <f>"30082"</f>
        <v>30082</v>
      </c>
      <c r="H2531" s="19" t="s">
        <v>36158</v>
      </c>
      <c r="I2531" s="20">
        <v>21.491</v>
      </c>
      <c r="J2531" s="44" t="s">
        <v>8</v>
      </c>
      <c r="K2531" s="23" t="s">
        <v>8</v>
      </c>
      <c r="L2531" s="23" t="s">
        <v>8</v>
      </c>
      <c r="M2531" s="23" t="s">
        <v>8</v>
      </c>
    </row>
    <row r="2532" spans="1:13" s="21" customFormat="1" x14ac:dyDescent="0.25">
      <c r="A2532" s="22" t="s">
        <v>8</v>
      </c>
      <c r="B2532" s="18" t="str">
        <f>"115334"</f>
        <v>115334</v>
      </c>
      <c r="C2532" s="19" t="s">
        <v>2524</v>
      </c>
      <c r="D2532" s="19" t="s">
        <v>17964</v>
      </c>
      <c r="E2532" s="19" t="s">
        <v>31714</v>
      </c>
      <c r="F2532" s="19" t="s">
        <v>35984</v>
      </c>
      <c r="G2532" s="18" t="str">
        <f>"30904"</f>
        <v>30904</v>
      </c>
      <c r="H2532" s="19" t="s">
        <v>31178</v>
      </c>
      <c r="I2532" s="20">
        <v>18.071000000000002</v>
      </c>
      <c r="J2532" s="44" t="s">
        <v>8</v>
      </c>
      <c r="K2532" s="23" t="s">
        <v>8</v>
      </c>
      <c r="L2532" s="23" t="s">
        <v>8</v>
      </c>
      <c r="M2532" s="23" t="s">
        <v>8</v>
      </c>
    </row>
    <row r="2533" spans="1:13" s="21" customFormat="1" x14ac:dyDescent="0.25">
      <c r="A2533" s="22" t="s">
        <v>8</v>
      </c>
      <c r="B2533" s="18" t="str">
        <f>"115336"</f>
        <v>115336</v>
      </c>
      <c r="C2533" s="19" t="s">
        <v>2525</v>
      </c>
      <c r="D2533" s="19" t="s">
        <v>17965</v>
      </c>
      <c r="E2533" s="19" t="s">
        <v>31741</v>
      </c>
      <c r="F2533" s="19" t="s">
        <v>35984</v>
      </c>
      <c r="G2533" s="18" t="str">
        <f>"30809"</f>
        <v>30809</v>
      </c>
      <c r="H2533" s="19" t="s">
        <v>32076</v>
      </c>
      <c r="I2533" s="20">
        <v>18.247</v>
      </c>
      <c r="J2533" s="44" t="s">
        <v>8</v>
      </c>
      <c r="K2533" s="23" t="s">
        <v>8</v>
      </c>
      <c r="L2533" s="23" t="s">
        <v>8</v>
      </c>
      <c r="M2533" s="23" t="s">
        <v>8</v>
      </c>
    </row>
    <row r="2534" spans="1:13" s="21" customFormat="1" x14ac:dyDescent="0.25">
      <c r="A2534" s="22" t="s">
        <v>8</v>
      </c>
      <c r="B2534" s="18" t="str">
        <f>"115338"</f>
        <v>115338</v>
      </c>
      <c r="C2534" s="19" t="s">
        <v>2526</v>
      </c>
      <c r="D2534" s="19" t="s">
        <v>17966</v>
      </c>
      <c r="E2534" s="19" t="s">
        <v>31742</v>
      </c>
      <c r="F2534" s="19" t="s">
        <v>35984</v>
      </c>
      <c r="G2534" s="18" t="str">
        <f>"31041"</f>
        <v>31041</v>
      </c>
      <c r="H2534" s="19" t="s">
        <v>31733</v>
      </c>
      <c r="I2534" s="20">
        <v>18.939</v>
      </c>
      <c r="J2534" s="44" t="s">
        <v>8</v>
      </c>
      <c r="K2534" s="23" t="s">
        <v>8</v>
      </c>
      <c r="L2534" s="23" t="s">
        <v>8</v>
      </c>
      <c r="M2534" s="23" t="s">
        <v>8</v>
      </c>
    </row>
    <row r="2535" spans="1:13" s="21" customFormat="1" x14ac:dyDescent="0.25">
      <c r="A2535" s="22" t="s">
        <v>8</v>
      </c>
      <c r="B2535" s="18" t="str">
        <f>"115339"</f>
        <v>115339</v>
      </c>
      <c r="C2535" s="19" t="s">
        <v>2527</v>
      </c>
      <c r="D2535" s="19" t="s">
        <v>17967</v>
      </c>
      <c r="E2535" s="19" t="s">
        <v>31719</v>
      </c>
      <c r="F2535" s="19" t="s">
        <v>35984</v>
      </c>
      <c r="G2535" s="18" t="str">
        <f>"31419"</f>
        <v>31419</v>
      </c>
      <c r="H2535" s="19" t="s">
        <v>33903</v>
      </c>
      <c r="I2535" s="20">
        <v>15.760999999999999</v>
      </c>
      <c r="J2535" s="44" t="s">
        <v>8</v>
      </c>
      <c r="K2535" s="23" t="s">
        <v>8</v>
      </c>
      <c r="L2535" s="23" t="s">
        <v>8</v>
      </c>
      <c r="M2535" s="23" t="s">
        <v>8</v>
      </c>
    </row>
    <row r="2536" spans="1:13" s="21" customFormat="1" x14ac:dyDescent="0.25">
      <c r="A2536" s="22" t="s">
        <v>8</v>
      </c>
      <c r="B2536" s="18" t="str">
        <f>"115340"</f>
        <v>115340</v>
      </c>
      <c r="C2536" s="19" t="s">
        <v>2528</v>
      </c>
      <c r="D2536" s="19" t="s">
        <v>17968</v>
      </c>
      <c r="E2536" s="19" t="s">
        <v>31743</v>
      </c>
      <c r="F2536" s="19" t="s">
        <v>35984</v>
      </c>
      <c r="G2536" s="18" t="str">
        <f>"30701"</f>
        <v>30701</v>
      </c>
      <c r="H2536" s="19" t="s">
        <v>36164</v>
      </c>
      <c r="I2536" s="20">
        <v>16.164000000000001</v>
      </c>
      <c r="J2536" s="44" t="s">
        <v>8</v>
      </c>
      <c r="K2536" s="23" t="s">
        <v>8</v>
      </c>
      <c r="L2536" s="23" t="s">
        <v>8</v>
      </c>
      <c r="M2536" s="23" t="s">
        <v>8</v>
      </c>
    </row>
    <row r="2537" spans="1:13" s="21" customFormat="1" x14ac:dyDescent="0.25">
      <c r="A2537" s="22" t="s">
        <v>8</v>
      </c>
      <c r="B2537" s="18" t="str">
        <f>"115341"</f>
        <v>115341</v>
      </c>
      <c r="C2537" s="19" t="s">
        <v>2529</v>
      </c>
      <c r="D2537" s="19" t="s">
        <v>17969</v>
      </c>
      <c r="E2537" s="19" t="s">
        <v>31744</v>
      </c>
      <c r="F2537" s="19" t="s">
        <v>35984</v>
      </c>
      <c r="G2537" s="18" t="str">
        <f>"30720"</f>
        <v>30720</v>
      </c>
      <c r="H2537" s="19" t="s">
        <v>36165</v>
      </c>
      <c r="I2537" s="20">
        <v>19.059000000000001</v>
      </c>
      <c r="J2537" s="44" t="s">
        <v>8</v>
      </c>
      <c r="K2537" s="23" t="s">
        <v>8</v>
      </c>
      <c r="L2537" s="23" t="s">
        <v>8</v>
      </c>
      <c r="M2537" s="23" t="s">
        <v>8</v>
      </c>
    </row>
    <row r="2538" spans="1:13" s="21" customFormat="1" x14ac:dyDescent="0.25">
      <c r="A2538" s="22" t="s">
        <v>8</v>
      </c>
      <c r="B2538" s="18" t="str">
        <f>"115343"</f>
        <v>115343</v>
      </c>
      <c r="C2538" s="19" t="s">
        <v>2530</v>
      </c>
      <c r="D2538" s="19" t="s">
        <v>17970</v>
      </c>
      <c r="E2538" s="19" t="s">
        <v>31014</v>
      </c>
      <c r="F2538" s="19" t="s">
        <v>35984</v>
      </c>
      <c r="G2538" s="18" t="str">
        <f>"31639"</f>
        <v>31639</v>
      </c>
      <c r="H2538" s="19" t="s">
        <v>36166</v>
      </c>
      <c r="I2538" s="20">
        <v>22.766999999999999</v>
      </c>
      <c r="J2538" s="44" t="s">
        <v>8</v>
      </c>
      <c r="K2538" s="23" t="s">
        <v>8</v>
      </c>
      <c r="L2538" s="23" t="s">
        <v>8</v>
      </c>
      <c r="M2538" s="23" t="s">
        <v>8</v>
      </c>
    </row>
    <row r="2539" spans="1:13" s="21" customFormat="1" x14ac:dyDescent="0.25">
      <c r="A2539" s="22" t="s">
        <v>8</v>
      </c>
      <c r="B2539" s="18" t="str">
        <f>"115345"</f>
        <v>115345</v>
      </c>
      <c r="C2539" s="19" t="s">
        <v>2531</v>
      </c>
      <c r="D2539" s="19" t="s">
        <v>17971</v>
      </c>
      <c r="E2539" s="19" t="s">
        <v>31745</v>
      </c>
      <c r="F2539" s="19" t="s">
        <v>35984</v>
      </c>
      <c r="G2539" s="18" t="str">
        <f>"30577"</f>
        <v>30577</v>
      </c>
      <c r="H2539" s="19" t="s">
        <v>36167</v>
      </c>
      <c r="I2539" s="20">
        <v>20.228999999999999</v>
      </c>
      <c r="J2539" s="44" t="s">
        <v>8</v>
      </c>
      <c r="K2539" s="23" t="s">
        <v>8</v>
      </c>
      <c r="L2539" s="23" t="s">
        <v>8</v>
      </c>
      <c r="M2539" s="23" t="s">
        <v>8</v>
      </c>
    </row>
    <row r="2540" spans="1:13" s="21" customFormat="1" x14ac:dyDescent="0.25">
      <c r="A2540" s="22" t="s">
        <v>8</v>
      </c>
      <c r="B2540" s="18" t="str">
        <f>"115346"</f>
        <v>115346</v>
      </c>
      <c r="C2540" s="19" t="s">
        <v>2532</v>
      </c>
      <c r="D2540" s="19" t="s">
        <v>17972</v>
      </c>
      <c r="E2540" s="19" t="s">
        <v>31733</v>
      </c>
      <c r="F2540" s="19" t="s">
        <v>35984</v>
      </c>
      <c r="G2540" s="18" t="str">
        <f>"31210"</f>
        <v>31210</v>
      </c>
      <c r="H2540" s="19" t="s">
        <v>36028</v>
      </c>
      <c r="I2540" s="20">
        <v>18.728000000000002</v>
      </c>
      <c r="J2540" s="44" t="s">
        <v>8</v>
      </c>
      <c r="K2540" s="23" t="s">
        <v>8</v>
      </c>
      <c r="L2540" s="23" t="s">
        <v>8</v>
      </c>
      <c r="M2540" s="23" t="s">
        <v>8</v>
      </c>
    </row>
    <row r="2541" spans="1:13" s="21" customFormat="1" x14ac:dyDescent="0.25">
      <c r="A2541" s="22" t="s">
        <v>8</v>
      </c>
      <c r="B2541" s="18" t="str">
        <f>"115347"</f>
        <v>115347</v>
      </c>
      <c r="C2541" s="19" t="s">
        <v>2533</v>
      </c>
      <c r="D2541" s="19" t="s">
        <v>17973</v>
      </c>
      <c r="E2541" s="19" t="s">
        <v>31746</v>
      </c>
      <c r="F2541" s="19" t="s">
        <v>35984</v>
      </c>
      <c r="G2541" s="18" t="str">
        <f>"30044"</f>
        <v>30044</v>
      </c>
      <c r="H2541" s="19" t="s">
        <v>36168</v>
      </c>
      <c r="I2541" s="20">
        <v>16.387</v>
      </c>
      <c r="J2541" s="44" t="s">
        <v>8</v>
      </c>
      <c r="K2541" s="23" t="s">
        <v>8</v>
      </c>
      <c r="L2541" s="23" t="s">
        <v>8</v>
      </c>
      <c r="M2541" s="23" t="s">
        <v>8</v>
      </c>
    </row>
    <row r="2542" spans="1:13" s="21" customFormat="1" x14ac:dyDescent="0.25">
      <c r="A2542" s="22" t="s">
        <v>8</v>
      </c>
      <c r="B2542" s="18" t="str">
        <f>"115348"</f>
        <v>115348</v>
      </c>
      <c r="C2542" s="19" t="s">
        <v>2534</v>
      </c>
      <c r="D2542" s="19" t="s">
        <v>17974</v>
      </c>
      <c r="E2542" s="19" t="s">
        <v>31732</v>
      </c>
      <c r="F2542" s="19" t="s">
        <v>35984</v>
      </c>
      <c r="G2542" s="18" t="str">
        <f>"30161"</f>
        <v>30161</v>
      </c>
      <c r="H2542" s="19" t="s">
        <v>35420</v>
      </c>
      <c r="I2542" s="20">
        <v>16.875</v>
      </c>
      <c r="J2542" s="44" t="s">
        <v>8</v>
      </c>
      <c r="K2542" s="23" t="s">
        <v>8</v>
      </c>
      <c r="L2542" s="23" t="s">
        <v>8</v>
      </c>
      <c r="M2542" s="23" t="s">
        <v>8</v>
      </c>
    </row>
    <row r="2543" spans="1:13" s="21" customFormat="1" x14ac:dyDescent="0.25">
      <c r="A2543" s="22" t="s">
        <v>8</v>
      </c>
      <c r="B2543" s="18" t="str">
        <f>"115350"</f>
        <v>115350</v>
      </c>
      <c r="C2543" s="19" t="s">
        <v>2535</v>
      </c>
      <c r="D2543" s="19" t="s">
        <v>17975</v>
      </c>
      <c r="E2543" s="19" t="s">
        <v>31746</v>
      </c>
      <c r="F2543" s="19" t="s">
        <v>35984</v>
      </c>
      <c r="G2543" s="18" t="str">
        <f>"30044"</f>
        <v>30044</v>
      </c>
      <c r="H2543" s="19" t="s">
        <v>36168</v>
      </c>
      <c r="I2543" s="20">
        <v>19.602</v>
      </c>
      <c r="J2543" s="44" t="s">
        <v>8</v>
      </c>
      <c r="K2543" s="23" t="s">
        <v>8</v>
      </c>
      <c r="L2543" s="23" t="s">
        <v>8</v>
      </c>
      <c r="M2543" s="23" t="s">
        <v>8</v>
      </c>
    </row>
    <row r="2544" spans="1:13" s="21" customFormat="1" x14ac:dyDescent="0.25">
      <c r="A2544" s="22" t="s">
        <v>8</v>
      </c>
      <c r="B2544" s="18" t="str">
        <f>"115351"</f>
        <v>115351</v>
      </c>
      <c r="C2544" s="19" t="s">
        <v>2536</v>
      </c>
      <c r="D2544" s="19" t="s">
        <v>17976</v>
      </c>
      <c r="E2544" s="19" t="s">
        <v>31715</v>
      </c>
      <c r="F2544" s="19" t="s">
        <v>35984</v>
      </c>
      <c r="G2544" s="18" t="str">
        <f>"31906"</f>
        <v>31906</v>
      </c>
      <c r="H2544" s="19" t="s">
        <v>36157</v>
      </c>
      <c r="I2544" s="20">
        <v>20.481999999999999</v>
      </c>
      <c r="J2544" s="44" t="s">
        <v>8</v>
      </c>
      <c r="K2544" s="23" t="s">
        <v>8</v>
      </c>
      <c r="L2544" s="23" t="s">
        <v>8</v>
      </c>
      <c r="M2544" s="23" t="s">
        <v>8</v>
      </c>
    </row>
    <row r="2545" spans="1:13" s="21" customFormat="1" x14ac:dyDescent="0.25">
      <c r="A2545" s="22" t="s">
        <v>8</v>
      </c>
      <c r="B2545" s="18" t="str">
        <f>"115353"</f>
        <v>115353</v>
      </c>
      <c r="C2545" s="19" t="s">
        <v>2537</v>
      </c>
      <c r="D2545" s="19" t="s">
        <v>17977</v>
      </c>
      <c r="E2545" s="19" t="s">
        <v>31740</v>
      </c>
      <c r="F2545" s="19" t="s">
        <v>35984</v>
      </c>
      <c r="G2545" s="18" t="str">
        <f>"30286"</f>
        <v>30286</v>
      </c>
      <c r="H2545" s="19" t="s">
        <v>36163</v>
      </c>
      <c r="I2545" s="20">
        <v>17.928000000000001</v>
      </c>
      <c r="J2545" s="44" t="s">
        <v>8</v>
      </c>
      <c r="K2545" s="23" t="s">
        <v>8</v>
      </c>
      <c r="L2545" s="23" t="s">
        <v>8</v>
      </c>
      <c r="M2545" s="23" t="s">
        <v>8</v>
      </c>
    </row>
    <row r="2546" spans="1:13" s="21" customFormat="1" x14ac:dyDescent="0.25">
      <c r="A2546" s="22" t="s">
        <v>8</v>
      </c>
      <c r="B2546" s="18" t="str">
        <f>"115354"</f>
        <v>115354</v>
      </c>
      <c r="C2546" s="19" t="s">
        <v>2538</v>
      </c>
      <c r="D2546" s="19" t="s">
        <v>17978</v>
      </c>
      <c r="E2546" s="19" t="s">
        <v>31730</v>
      </c>
      <c r="F2546" s="19" t="s">
        <v>35984</v>
      </c>
      <c r="G2546" s="18" t="str">
        <f>"30240"</f>
        <v>30240</v>
      </c>
      <c r="H2546" s="19" t="s">
        <v>36161</v>
      </c>
      <c r="I2546" s="20">
        <v>19.338999999999999</v>
      </c>
      <c r="J2546" s="44" t="s">
        <v>8</v>
      </c>
      <c r="K2546" s="23" t="s">
        <v>8</v>
      </c>
      <c r="L2546" s="23" t="s">
        <v>8</v>
      </c>
      <c r="M2546" s="23" t="s">
        <v>8</v>
      </c>
    </row>
    <row r="2547" spans="1:13" s="21" customFormat="1" x14ac:dyDescent="0.25">
      <c r="A2547" s="22" t="s">
        <v>8</v>
      </c>
      <c r="B2547" s="18" t="str">
        <f>"115356"</f>
        <v>115356</v>
      </c>
      <c r="C2547" s="19" t="s">
        <v>2539</v>
      </c>
      <c r="D2547" s="19" t="s">
        <v>17979</v>
      </c>
      <c r="E2547" s="19" t="s">
        <v>31747</v>
      </c>
      <c r="F2547" s="19" t="s">
        <v>35984</v>
      </c>
      <c r="G2547" s="18" t="str">
        <f>"31040"</f>
        <v>31040</v>
      </c>
      <c r="H2547" s="19" t="s">
        <v>32386</v>
      </c>
      <c r="I2547" s="20">
        <v>16.489999999999998</v>
      </c>
      <c r="J2547" s="44" t="s">
        <v>8</v>
      </c>
      <c r="K2547" s="23" t="s">
        <v>8</v>
      </c>
      <c r="L2547" s="23" t="s">
        <v>8</v>
      </c>
      <c r="M2547" s="23" t="s">
        <v>8</v>
      </c>
    </row>
    <row r="2548" spans="1:13" s="21" customFormat="1" x14ac:dyDescent="0.25">
      <c r="A2548" s="22" t="s">
        <v>8</v>
      </c>
      <c r="B2548" s="18" t="str">
        <f>"115357"</f>
        <v>115357</v>
      </c>
      <c r="C2548" s="19" t="s">
        <v>2540</v>
      </c>
      <c r="D2548" s="19" t="s">
        <v>17980</v>
      </c>
      <c r="E2548" s="19" t="s">
        <v>31748</v>
      </c>
      <c r="F2548" s="19" t="s">
        <v>35984</v>
      </c>
      <c r="G2548" s="18" t="str">
        <f>"31067"</f>
        <v>31067</v>
      </c>
      <c r="H2548" s="19" t="s">
        <v>31500</v>
      </c>
      <c r="I2548" s="20">
        <v>18.759</v>
      </c>
      <c r="J2548" s="44" t="s">
        <v>8</v>
      </c>
      <c r="K2548" s="23" t="s">
        <v>8</v>
      </c>
      <c r="L2548" s="23" t="s">
        <v>8</v>
      </c>
      <c r="M2548" s="23" t="s">
        <v>8</v>
      </c>
    </row>
    <row r="2549" spans="1:13" s="21" customFormat="1" x14ac:dyDescent="0.25">
      <c r="A2549" s="22" t="s">
        <v>8</v>
      </c>
      <c r="B2549" s="18" t="str">
        <f>"115358"</f>
        <v>115358</v>
      </c>
      <c r="C2549" s="19" t="s">
        <v>2541</v>
      </c>
      <c r="D2549" s="19" t="s">
        <v>17981</v>
      </c>
      <c r="E2549" s="19" t="s">
        <v>31749</v>
      </c>
      <c r="F2549" s="19" t="s">
        <v>35984</v>
      </c>
      <c r="G2549" s="18" t="str">
        <f>"30457"</f>
        <v>30457</v>
      </c>
      <c r="H2549" s="19" t="s">
        <v>36169</v>
      </c>
      <c r="I2549" s="20">
        <v>17.812999999999999</v>
      </c>
      <c r="J2549" s="44" t="s">
        <v>8</v>
      </c>
      <c r="K2549" s="23" t="s">
        <v>8</v>
      </c>
      <c r="L2549" s="23" t="s">
        <v>8</v>
      </c>
      <c r="M2549" s="23" t="s">
        <v>8</v>
      </c>
    </row>
    <row r="2550" spans="1:13" s="21" customFormat="1" x14ac:dyDescent="0.25">
      <c r="A2550" s="22" t="s">
        <v>8</v>
      </c>
      <c r="B2550" s="18" t="str">
        <f>"115360"</f>
        <v>115360</v>
      </c>
      <c r="C2550" s="19" t="s">
        <v>2542</v>
      </c>
      <c r="D2550" s="19" t="s">
        <v>17982</v>
      </c>
      <c r="E2550" s="19" t="s">
        <v>30991</v>
      </c>
      <c r="F2550" s="19" t="s">
        <v>35984</v>
      </c>
      <c r="G2550" s="18" t="str">
        <f>"30214"</f>
        <v>30214</v>
      </c>
      <c r="H2550" s="19" t="s">
        <v>30805</v>
      </c>
      <c r="I2550" s="20">
        <v>21.189</v>
      </c>
      <c r="J2550" s="44" t="s">
        <v>8</v>
      </c>
      <c r="K2550" s="23" t="s">
        <v>8</v>
      </c>
      <c r="L2550" s="23" t="s">
        <v>8</v>
      </c>
      <c r="M2550" s="23" t="s">
        <v>8</v>
      </c>
    </row>
    <row r="2551" spans="1:13" s="21" customFormat="1" x14ac:dyDescent="0.25">
      <c r="A2551" s="22" t="s">
        <v>8</v>
      </c>
      <c r="B2551" s="18" t="str">
        <f>"115361"</f>
        <v>115361</v>
      </c>
      <c r="C2551" s="19" t="s">
        <v>2543</v>
      </c>
      <c r="D2551" s="19" t="s">
        <v>17983</v>
      </c>
      <c r="E2551" s="19" t="s">
        <v>31701</v>
      </c>
      <c r="F2551" s="19" t="s">
        <v>35984</v>
      </c>
      <c r="G2551" s="18" t="str">
        <f>"30830"</f>
        <v>30830</v>
      </c>
      <c r="H2551" s="19" t="s">
        <v>35398</v>
      </c>
      <c r="I2551" s="20">
        <v>17.780999999999999</v>
      </c>
      <c r="J2551" s="44" t="s">
        <v>8</v>
      </c>
      <c r="K2551" s="23" t="s">
        <v>8</v>
      </c>
      <c r="L2551" s="23" t="s">
        <v>8</v>
      </c>
      <c r="M2551" s="23" t="s">
        <v>8</v>
      </c>
    </row>
    <row r="2552" spans="1:13" s="21" customFormat="1" x14ac:dyDescent="0.25">
      <c r="A2552" s="22" t="s">
        <v>8</v>
      </c>
      <c r="B2552" s="18" t="str">
        <f>"115362"</f>
        <v>115362</v>
      </c>
      <c r="C2552" s="19" t="s">
        <v>2544</v>
      </c>
      <c r="D2552" s="19" t="s">
        <v>17984</v>
      </c>
      <c r="E2552" s="19" t="s">
        <v>31733</v>
      </c>
      <c r="F2552" s="19" t="s">
        <v>35984</v>
      </c>
      <c r="G2552" s="18" t="str">
        <f>"31217"</f>
        <v>31217</v>
      </c>
      <c r="H2552" s="19" t="s">
        <v>36028</v>
      </c>
      <c r="I2552" s="20">
        <v>21.58</v>
      </c>
      <c r="J2552" s="44" t="s">
        <v>8</v>
      </c>
      <c r="K2552" s="23" t="s">
        <v>8</v>
      </c>
      <c r="L2552" s="23" t="s">
        <v>8</v>
      </c>
      <c r="M2552" s="23" t="s">
        <v>8</v>
      </c>
    </row>
    <row r="2553" spans="1:13" s="21" customFormat="1" x14ac:dyDescent="0.25">
      <c r="A2553" s="22" t="s">
        <v>8</v>
      </c>
      <c r="B2553" s="18" t="str">
        <f>"115363"</f>
        <v>115363</v>
      </c>
      <c r="C2553" s="19" t="s">
        <v>2545</v>
      </c>
      <c r="D2553" s="19" t="s">
        <v>17985</v>
      </c>
      <c r="E2553" s="19" t="s">
        <v>31732</v>
      </c>
      <c r="F2553" s="19" t="s">
        <v>35984</v>
      </c>
      <c r="G2553" s="18" t="str">
        <f>"30165"</f>
        <v>30165</v>
      </c>
      <c r="H2553" s="19" t="s">
        <v>35420</v>
      </c>
      <c r="I2553" s="20">
        <v>18.591999999999999</v>
      </c>
      <c r="J2553" s="44" t="s">
        <v>8</v>
      </c>
      <c r="K2553" s="23" t="s">
        <v>8</v>
      </c>
      <c r="L2553" s="23" t="s">
        <v>8</v>
      </c>
      <c r="M2553" s="23" t="s">
        <v>8</v>
      </c>
    </row>
    <row r="2554" spans="1:13" s="21" customFormat="1" x14ac:dyDescent="0.25">
      <c r="A2554" s="22" t="s">
        <v>8</v>
      </c>
      <c r="B2554" s="18" t="str">
        <f>"115364"</f>
        <v>115364</v>
      </c>
      <c r="C2554" s="19" t="s">
        <v>2546</v>
      </c>
      <c r="D2554" s="19" t="s">
        <v>17986</v>
      </c>
      <c r="E2554" s="19" t="s">
        <v>31750</v>
      </c>
      <c r="F2554" s="19" t="s">
        <v>35984</v>
      </c>
      <c r="G2554" s="18" t="str">
        <f>"31063"</f>
        <v>31063</v>
      </c>
      <c r="H2554" s="19" t="s">
        <v>31733</v>
      </c>
      <c r="I2554" s="20">
        <v>17.693000000000001</v>
      </c>
      <c r="J2554" s="44" t="s">
        <v>8</v>
      </c>
      <c r="K2554" s="23" t="s">
        <v>8</v>
      </c>
      <c r="L2554" s="23" t="s">
        <v>8</v>
      </c>
      <c r="M2554" s="23" t="s">
        <v>8</v>
      </c>
    </row>
    <row r="2555" spans="1:13" s="21" customFormat="1" x14ac:dyDescent="0.25">
      <c r="A2555" s="22" t="s">
        <v>8</v>
      </c>
      <c r="B2555" s="18" t="str">
        <f>"115365"</f>
        <v>115365</v>
      </c>
      <c r="C2555" s="19" t="s">
        <v>2547</v>
      </c>
      <c r="D2555" s="19" t="s">
        <v>17987</v>
      </c>
      <c r="E2555" s="19" t="s">
        <v>31751</v>
      </c>
      <c r="F2555" s="19" t="s">
        <v>35984</v>
      </c>
      <c r="G2555" s="18" t="str">
        <f>"30824"</f>
        <v>30824</v>
      </c>
      <c r="H2555" s="19" t="s">
        <v>36170</v>
      </c>
      <c r="I2555" s="20">
        <v>19.989999999999998</v>
      </c>
      <c r="J2555" s="44" t="s">
        <v>8</v>
      </c>
      <c r="K2555" s="23" t="s">
        <v>8</v>
      </c>
      <c r="L2555" s="23" t="s">
        <v>8</v>
      </c>
      <c r="M2555" s="23" t="s">
        <v>8</v>
      </c>
    </row>
    <row r="2556" spans="1:13" s="21" customFormat="1" x14ac:dyDescent="0.25">
      <c r="A2556" s="22" t="s">
        <v>8</v>
      </c>
      <c r="B2556" s="18" t="str">
        <f>"115368"</f>
        <v>115368</v>
      </c>
      <c r="C2556" s="19" t="s">
        <v>2548</v>
      </c>
      <c r="D2556" s="19" t="s">
        <v>17988</v>
      </c>
      <c r="E2556" s="19" t="s">
        <v>30812</v>
      </c>
      <c r="F2556" s="19" t="s">
        <v>35984</v>
      </c>
      <c r="G2556" s="18" t="str">
        <f>"30117"</f>
        <v>30117</v>
      </c>
      <c r="H2556" s="19" t="s">
        <v>32334</v>
      </c>
      <c r="I2556" s="20">
        <v>18.145</v>
      </c>
      <c r="J2556" s="44" t="s">
        <v>8</v>
      </c>
      <c r="K2556" s="23" t="s">
        <v>8</v>
      </c>
      <c r="L2556" s="23" t="s">
        <v>8</v>
      </c>
      <c r="M2556" s="23" t="s">
        <v>8</v>
      </c>
    </row>
    <row r="2557" spans="1:13" s="21" customFormat="1" x14ac:dyDescent="0.25">
      <c r="A2557" s="22" t="s">
        <v>8</v>
      </c>
      <c r="B2557" s="18" t="str">
        <f>"115369"</f>
        <v>115369</v>
      </c>
      <c r="C2557" s="19" t="s">
        <v>2549</v>
      </c>
      <c r="D2557" s="19" t="s">
        <v>17989</v>
      </c>
      <c r="E2557" s="19" t="s">
        <v>31695</v>
      </c>
      <c r="F2557" s="19" t="s">
        <v>35984</v>
      </c>
      <c r="G2557" s="18" t="str">
        <f>"31082"</f>
        <v>31082</v>
      </c>
      <c r="H2557" s="19" t="s">
        <v>31500</v>
      </c>
      <c r="I2557" s="20">
        <v>18.501999999999999</v>
      </c>
      <c r="J2557" s="44" t="s">
        <v>8</v>
      </c>
      <c r="K2557" s="23" t="s">
        <v>8</v>
      </c>
      <c r="L2557" s="23" t="s">
        <v>8</v>
      </c>
      <c r="M2557" s="23" t="s">
        <v>8</v>
      </c>
    </row>
    <row r="2558" spans="1:13" s="21" customFormat="1" x14ac:dyDescent="0.25">
      <c r="A2558" s="22" t="s">
        <v>8</v>
      </c>
      <c r="B2558" s="18" t="str">
        <f>"115373"</f>
        <v>115373</v>
      </c>
      <c r="C2558" s="19" t="s">
        <v>2550</v>
      </c>
      <c r="D2558" s="19" t="s">
        <v>17990</v>
      </c>
      <c r="E2558" s="19" t="s">
        <v>31752</v>
      </c>
      <c r="F2558" s="19" t="s">
        <v>35984</v>
      </c>
      <c r="G2558" s="18" t="str">
        <f>"31602"</f>
        <v>31602</v>
      </c>
      <c r="H2558" s="19" t="s">
        <v>36047</v>
      </c>
      <c r="I2558" s="20">
        <v>24.175000000000001</v>
      </c>
      <c r="J2558" s="44" t="s">
        <v>8</v>
      </c>
      <c r="K2558" s="23" t="s">
        <v>8</v>
      </c>
      <c r="L2558" s="23" t="s">
        <v>8</v>
      </c>
      <c r="M2558" s="23" t="s">
        <v>8</v>
      </c>
    </row>
    <row r="2559" spans="1:13" s="21" customFormat="1" x14ac:dyDescent="0.25">
      <c r="A2559" s="22" t="s">
        <v>8</v>
      </c>
      <c r="B2559" s="18" t="str">
        <f>"115374"</f>
        <v>115374</v>
      </c>
      <c r="C2559" s="19" t="s">
        <v>2551</v>
      </c>
      <c r="D2559" s="19" t="s">
        <v>17991</v>
      </c>
      <c r="E2559" s="19" t="s">
        <v>31744</v>
      </c>
      <c r="F2559" s="19" t="s">
        <v>35984</v>
      </c>
      <c r="G2559" s="18" t="str">
        <f>"30720"</f>
        <v>30720</v>
      </c>
      <c r="H2559" s="19" t="s">
        <v>36165</v>
      </c>
      <c r="I2559" s="20">
        <v>16.821000000000002</v>
      </c>
      <c r="J2559" s="44" t="s">
        <v>8</v>
      </c>
      <c r="K2559" s="23" t="s">
        <v>8</v>
      </c>
      <c r="L2559" s="23" t="s">
        <v>8</v>
      </c>
      <c r="M2559" s="23" t="s">
        <v>8</v>
      </c>
    </row>
    <row r="2560" spans="1:13" s="21" customFormat="1" x14ac:dyDescent="0.25">
      <c r="A2560" s="22" t="s">
        <v>8</v>
      </c>
      <c r="B2560" s="18" t="str">
        <f>"115375"</f>
        <v>115375</v>
      </c>
      <c r="C2560" s="19" t="s">
        <v>2552</v>
      </c>
      <c r="D2560" s="19" t="s">
        <v>17992</v>
      </c>
      <c r="E2560" s="19" t="s">
        <v>31753</v>
      </c>
      <c r="F2560" s="19" t="s">
        <v>35984</v>
      </c>
      <c r="G2560" s="18" t="str">
        <f>"30014"</f>
        <v>30014</v>
      </c>
      <c r="H2560" s="19" t="s">
        <v>32101</v>
      </c>
      <c r="I2560" s="20">
        <v>23.402000000000001</v>
      </c>
      <c r="J2560" s="44" t="s">
        <v>8</v>
      </c>
      <c r="K2560" s="23" t="s">
        <v>8</v>
      </c>
      <c r="L2560" s="23" t="s">
        <v>8</v>
      </c>
      <c r="M2560" s="23" t="s">
        <v>8</v>
      </c>
    </row>
    <row r="2561" spans="1:13" s="21" customFormat="1" x14ac:dyDescent="0.25">
      <c r="A2561" s="22" t="s">
        <v>8</v>
      </c>
      <c r="B2561" s="18" t="str">
        <f>"115376"</f>
        <v>115376</v>
      </c>
      <c r="C2561" s="19" t="s">
        <v>2553</v>
      </c>
      <c r="D2561" s="19" t="s">
        <v>17993</v>
      </c>
      <c r="E2561" s="19" t="s">
        <v>31747</v>
      </c>
      <c r="F2561" s="19" t="s">
        <v>35984</v>
      </c>
      <c r="G2561" s="18" t="str">
        <f>"31040"</f>
        <v>31040</v>
      </c>
      <c r="H2561" s="19" t="s">
        <v>32386</v>
      </c>
      <c r="I2561" s="20">
        <v>16.484000000000002</v>
      </c>
      <c r="J2561" s="44" t="s">
        <v>8</v>
      </c>
      <c r="K2561" s="23" t="s">
        <v>8</v>
      </c>
      <c r="L2561" s="23" t="s">
        <v>8</v>
      </c>
      <c r="M2561" s="23" t="s">
        <v>8</v>
      </c>
    </row>
    <row r="2562" spans="1:13" s="21" customFormat="1" x14ac:dyDescent="0.25">
      <c r="A2562" s="22" t="s">
        <v>8</v>
      </c>
      <c r="B2562" s="18" t="str">
        <f>"115377"</f>
        <v>115377</v>
      </c>
      <c r="C2562" s="19" t="s">
        <v>2554</v>
      </c>
      <c r="D2562" s="19" t="s">
        <v>17994</v>
      </c>
      <c r="E2562" s="19" t="s">
        <v>31752</v>
      </c>
      <c r="F2562" s="19" t="s">
        <v>35984</v>
      </c>
      <c r="G2562" s="18" t="str">
        <f>"31602"</f>
        <v>31602</v>
      </c>
      <c r="H2562" s="19" t="s">
        <v>36047</v>
      </c>
      <c r="I2562" s="20">
        <v>19.698</v>
      </c>
      <c r="J2562" s="44" t="s">
        <v>8</v>
      </c>
      <c r="K2562" s="23" t="s">
        <v>8</v>
      </c>
      <c r="L2562" s="23" t="s">
        <v>8</v>
      </c>
      <c r="M2562" s="23" t="s">
        <v>8</v>
      </c>
    </row>
    <row r="2563" spans="1:13" s="21" customFormat="1" x14ac:dyDescent="0.25">
      <c r="A2563" s="22" t="s">
        <v>8</v>
      </c>
      <c r="B2563" s="18" t="str">
        <f>"115379"</f>
        <v>115379</v>
      </c>
      <c r="C2563" s="19" t="s">
        <v>2555</v>
      </c>
      <c r="D2563" s="19" t="s">
        <v>17995</v>
      </c>
      <c r="E2563" s="19" t="s">
        <v>31754</v>
      </c>
      <c r="F2563" s="19" t="s">
        <v>35984</v>
      </c>
      <c r="G2563" s="18" t="str">
        <f>"31029"</f>
        <v>31029</v>
      </c>
      <c r="H2563" s="19" t="s">
        <v>31711</v>
      </c>
      <c r="I2563" s="20">
        <v>21.597999999999999</v>
      </c>
      <c r="J2563" s="44" t="s">
        <v>8</v>
      </c>
      <c r="K2563" s="23" t="s">
        <v>8</v>
      </c>
      <c r="L2563" s="23" t="s">
        <v>8</v>
      </c>
      <c r="M2563" s="23" t="s">
        <v>8</v>
      </c>
    </row>
    <row r="2564" spans="1:13" s="21" customFormat="1" x14ac:dyDescent="0.25">
      <c r="A2564" s="22" t="s">
        <v>8</v>
      </c>
      <c r="B2564" s="18" t="str">
        <f>"115381"</f>
        <v>115381</v>
      </c>
      <c r="C2564" s="19" t="s">
        <v>2556</v>
      </c>
      <c r="D2564" s="19" t="s">
        <v>17996</v>
      </c>
      <c r="E2564" s="19" t="s">
        <v>31755</v>
      </c>
      <c r="F2564" s="19" t="s">
        <v>35984</v>
      </c>
      <c r="G2564" s="18" t="str">
        <f>"30125"</f>
        <v>30125</v>
      </c>
      <c r="H2564" s="19" t="s">
        <v>36062</v>
      </c>
      <c r="I2564" s="20">
        <v>18.576000000000001</v>
      </c>
      <c r="J2564" s="44" t="s">
        <v>8</v>
      </c>
      <c r="K2564" s="23" t="s">
        <v>8</v>
      </c>
      <c r="L2564" s="23" t="s">
        <v>8</v>
      </c>
      <c r="M2564" s="23" t="s">
        <v>8</v>
      </c>
    </row>
    <row r="2565" spans="1:13" s="21" customFormat="1" x14ac:dyDescent="0.25">
      <c r="A2565" s="22" t="s">
        <v>8</v>
      </c>
      <c r="B2565" s="18" t="str">
        <f>"115382"</f>
        <v>115382</v>
      </c>
      <c r="C2565" s="19" t="s">
        <v>2557</v>
      </c>
      <c r="D2565" s="19" t="s">
        <v>17997</v>
      </c>
      <c r="E2565" s="19" t="s">
        <v>31756</v>
      </c>
      <c r="F2565" s="19" t="s">
        <v>35984</v>
      </c>
      <c r="G2565" s="18" t="str">
        <f>"31087"</f>
        <v>31087</v>
      </c>
      <c r="H2565" s="19" t="s">
        <v>33144</v>
      </c>
      <c r="I2565" s="20">
        <v>19.553999999999998</v>
      </c>
      <c r="J2565" s="44" t="s">
        <v>8</v>
      </c>
      <c r="K2565" s="23" t="s">
        <v>8</v>
      </c>
      <c r="L2565" s="23" t="s">
        <v>8</v>
      </c>
      <c r="M2565" s="23" t="s">
        <v>8</v>
      </c>
    </row>
    <row r="2566" spans="1:13" s="21" customFormat="1" x14ac:dyDescent="0.25">
      <c r="A2566" s="22" t="s">
        <v>8</v>
      </c>
      <c r="B2566" s="18" t="str">
        <f>"115384"</f>
        <v>115384</v>
      </c>
      <c r="C2566" s="19" t="s">
        <v>2558</v>
      </c>
      <c r="D2566" s="19" t="s">
        <v>17998</v>
      </c>
      <c r="E2566" s="19" t="s">
        <v>30812</v>
      </c>
      <c r="F2566" s="19" t="s">
        <v>35984</v>
      </c>
      <c r="G2566" s="18" t="str">
        <f>"30117"</f>
        <v>30117</v>
      </c>
      <c r="H2566" s="19" t="s">
        <v>32334</v>
      </c>
      <c r="I2566" s="20">
        <v>17.879000000000001</v>
      </c>
      <c r="J2566" s="44" t="s">
        <v>8</v>
      </c>
      <c r="K2566" s="23" t="s">
        <v>8</v>
      </c>
      <c r="L2566" s="23" t="s">
        <v>8</v>
      </c>
      <c r="M2566" s="23" t="s">
        <v>8</v>
      </c>
    </row>
    <row r="2567" spans="1:13" s="21" customFormat="1" x14ac:dyDescent="0.25">
      <c r="A2567" s="22" t="s">
        <v>8</v>
      </c>
      <c r="B2567" s="18" t="str">
        <f>"115385"</f>
        <v>115385</v>
      </c>
      <c r="C2567" s="19" t="s">
        <v>2559</v>
      </c>
      <c r="D2567" s="19" t="s">
        <v>17999</v>
      </c>
      <c r="E2567" s="19" t="s">
        <v>31752</v>
      </c>
      <c r="F2567" s="19" t="s">
        <v>35984</v>
      </c>
      <c r="G2567" s="18" t="str">
        <f>"31602"</f>
        <v>31602</v>
      </c>
      <c r="H2567" s="19" t="s">
        <v>36047</v>
      </c>
      <c r="I2567" s="20">
        <v>21.834</v>
      </c>
      <c r="J2567" s="44" t="s">
        <v>8</v>
      </c>
      <c r="K2567" s="23" t="s">
        <v>8</v>
      </c>
      <c r="L2567" s="23" t="s">
        <v>8</v>
      </c>
      <c r="M2567" s="23" t="s">
        <v>8</v>
      </c>
    </row>
    <row r="2568" spans="1:13" s="21" customFormat="1" x14ac:dyDescent="0.25">
      <c r="A2568" s="22" t="s">
        <v>8</v>
      </c>
      <c r="B2568" s="18" t="str">
        <f>"115387"</f>
        <v>115387</v>
      </c>
      <c r="C2568" s="19" t="s">
        <v>2560</v>
      </c>
      <c r="D2568" s="19" t="s">
        <v>18000</v>
      </c>
      <c r="E2568" s="19" t="s">
        <v>31757</v>
      </c>
      <c r="F2568" s="19" t="s">
        <v>35984</v>
      </c>
      <c r="G2568" s="18" t="str">
        <f>"30436"</f>
        <v>30436</v>
      </c>
      <c r="H2568" s="19" t="s">
        <v>36171</v>
      </c>
      <c r="I2568" s="20">
        <v>18.574000000000002</v>
      </c>
      <c r="J2568" s="44" t="s">
        <v>8</v>
      </c>
      <c r="K2568" s="23" t="s">
        <v>8</v>
      </c>
      <c r="L2568" s="23" t="s">
        <v>8</v>
      </c>
      <c r="M2568" s="23" t="s">
        <v>8</v>
      </c>
    </row>
    <row r="2569" spans="1:13" s="21" customFormat="1" x14ac:dyDescent="0.25">
      <c r="A2569" s="22" t="s">
        <v>8</v>
      </c>
      <c r="B2569" s="18" t="str">
        <f>"115391"</f>
        <v>115391</v>
      </c>
      <c r="C2569" s="19" t="s">
        <v>2561</v>
      </c>
      <c r="D2569" s="19" t="s">
        <v>18001</v>
      </c>
      <c r="E2569" s="19" t="s">
        <v>31733</v>
      </c>
      <c r="F2569" s="19" t="s">
        <v>35984</v>
      </c>
      <c r="G2569" s="18" t="str">
        <f>"31217"</f>
        <v>31217</v>
      </c>
      <c r="H2569" s="19" t="s">
        <v>36028</v>
      </c>
      <c r="I2569" s="20">
        <v>18.867000000000001</v>
      </c>
      <c r="J2569" s="44" t="s">
        <v>8</v>
      </c>
      <c r="K2569" s="23" t="s">
        <v>8</v>
      </c>
      <c r="L2569" s="23" t="s">
        <v>8</v>
      </c>
      <c r="M2569" s="23" t="s">
        <v>8</v>
      </c>
    </row>
    <row r="2570" spans="1:13" s="21" customFormat="1" x14ac:dyDescent="0.25">
      <c r="A2570" s="22" t="s">
        <v>8</v>
      </c>
      <c r="B2570" s="18" t="str">
        <f>"115393"</f>
        <v>115393</v>
      </c>
      <c r="C2570" s="19" t="s">
        <v>2562</v>
      </c>
      <c r="D2570" s="19" t="s">
        <v>18002</v>
      </c>
      <c r="E2570" s="19" t="s">
        <v>31758</v>
      </c>
      <c r="F2570" s="19" t="s">
        <v>35984</v>
      </c>
      <c r="G2570" s="18" t="str">
        <f>"30511"</f>
        <v>30511</v>
      </c>
      <c r="H2570" s="19" t="s">
        <v>36172</v>
      </c>
      <c r="I2570" s="20">
        <v>18.452000000000002</v>
      </c>
      <c r="J2570" s="44" t="s">
        <v>8</v>
      </c>
      <c r="K2570" s="23" t="s">
        <v>8</v>
      </c>
      <c r="L2570" s="23" t="s">
        <v>8</v>
      </c>
      <c r="M2570" s="23" t="s">
        <v>8</v>
      </c>
    </row>
    <row r="2571" spans="1:13" s="21" customFormat="1" x14ac:dyDescent="0.25">
      <c r="A2571" s="22" t="s">
        <v>8</v>
      </c>
      <c r="B2571" s="18" t="str">
        <f>"115394"</f>
        <v>115394</v>
      </c>
      <c r="C2571" s="19" t="s">
        <v>2563</v>
      </c>
      <c r="D2571" s="19" t="s">
        <v>18003</v>
      </c>
      <c r="E2571" s="19" t="s">
        <v>31733</v>
      </c>
      <c r="F2571" s="19" t="s">
        <v>35984</v>
      </c>
      <c r="G2571" s="18" t="str">
        <f>"31220"</f>
        <v>31220</v>
      </c>
      <c r="H2571" s="19" t="s">
        <v>36028</v>
      </c>
      <c r="I2571" s="20">
        <v>20.05</v>
      </c>
      <c r="J2571" s="44" t="s">
        <v>8</v>
      </c>
      <c r="K2571" s="23" t="s">
        <v>8</v>
      </c>
      <c r="L2571" s="23" t="s">
        <v>8</v>
      </c>
      <c r="M2571" s="23" t="s">
        <v>8</v>
      </c>
    </row>
    <row r="2572" spans="1:13" s="21" customFormat="1" x14ac:dyDescent="0.25">
      <c r="A2572" s="22" t="s">
        <v>8</v>
      </c>
      <c r="B2572" s="18" t="str">
        <f>"115395"</f>
        <v>115395</v>
      </c>
      <c r="C2572" s="19" t="s">
        <v>2564</v>
      </c>
      <c r="D2572" s="19" t="s">
        <v>18004</v>
      </c>
      <c r="E2572" s="19" t="s">
        <v>31732</v>
      </c>
      <c r="F2572" s="19" t="s">
        <v>35984</v>
      </c>
      <c r="G2572" s="18" t="str">
        <f>"30161"</f>
        <v>30161</v>
      </c>
      <c r="H2572" s="19" t="s">
        <v>35420</v>
      </c>
      <c r="I2572" s="20">
        <v>16.966999999999999</v>
      </c>
      <c r="J2572" s="44" t="s">
        <v>8</v>
      </c>
      <c r="K2572" s="23" t="s">
        <v>8</v>
      </c>
      <c r="L2572" s="23" t="s">
        <v>8</v>
      </c>
      <c r="M2572" s="23" t="s">
        <v>8</v>
      </c>
    </row>
    <row r="2573" spans="1:13" s="21" customFormat="1" x14ac:dyDescent="0.25">
      <c r="A2573" s="22" t="s">
        <v>8</v>
      </c>
      <c r="B2573" s="18" t="str">
        <f>"115396"</f>
        <v>115396</v>
      </c>
      <c r="C2573" s="19" t="s">
        <v>2565</v>
      </c>
      <c r="D2573" s="19" t="s">
        <v>18005</v>
      </c>
      <c r="E2573" s="19" t="s">
        <v>31759</v>
      </c>
      <c r="F2573" s="19" t="s">
        <v>35984</v>
      </c>
      <c r="G2573" s="18" t="str">
        <f>"30630"</f>
        <v>30630</v>
      </c>
      <c r="H2573" s="19" t="s">
        <v>36173</v>
      </c>
      <c r="I2573" s="20">
        <v>18.202999999999999</v>
      </c>
      <c r="J2573" s="44" t="s">
        <v>8</v>
      </c>
      <c r="K2573" s="23" t="s">
        <v>8</v>
      </c>
      <c r="L2573" s="23" t="s">
        <v>8</v>
      </c>
      <c r="M2573" s="23" t="s">
        <v>8</v>
      </c>
    </row>
    <row r="2574" spans="1:13" s="21" customFormat="1" x14ac:dyDescent="0.25">
      <c r="A2574" s="22" t="s">
        <v>8</v>
      </c>
      <c r="B2574" s="18" t="str">
        <f>"115397"</f>
        <v>115397</v>
      </c>
      <c r="C2574" s="19" t="s">
        <v>2566</v>
      </c>
      <c r="D2574" s="19" t="s">
        <v>18006</v>
      </c>
      <c r="E2574" s="19" t="s">
        <v>31756</v>
      </c>
      <c r="F2574" s="19" t="s">
        <v>35984</v>
      </c>
      <c r="G2574" s="18" t="str">
        <f>"31087"</f>
        <v>31087</v>
      </c>
      <c r="H2574" s="19" t="s">
        <v>33144</v>
      </c>
      <c r="I2574" s="20">
        <v>18.559000000000001</v>
      </c>
      <c r="J2574" s="44" t="s">
        <v>8</v>
      </c>
      <c r="K2574" s="23" t="s">
        <v>8</v>
      </c>
      <c r="L2574" s="23" t="s">
        <v>8</v>
      </c>
      <c r="M2574" s="23" t="s">
        <v>8</v>
      </c>
    </row>
    <row r="2575" spans="1:13" s="21" customFormat="1" x14ac:dyDescent="0.25">
      <c r="A2575" s="22" t="s">
        <v>8</v>
      </c>
      <c r="B2575" s="18" t="str">
        <f>"115401"</f>
        <v>115401</v>
      </c>
      <c r="C2575" s="19" t="s">
        <v>2567</v>
      </c>
      <c r="D2575" s="19" t="s">
        <v>18007</v>
      </c>
      <c r="E2575" s="19" t="s">
        <v>31690</v>
      </c>
      <c r="F2575" s="19" t="s">
        <v>35984</v>
      </c>
      <c r="G2575" s="18" t="str">
        <f>"30635"</f>
        <v>30635</v>
      </c>
      <c r="H2575" s="19" t="s">
        <v>36148</v>
      </c>
      <c r="I2575" s="20">
        <v>17.916</v>
      </c>
      <c r="J2575" s="44" t="s">
        <v>8</v>
      </c>
      <c r="K2575" s="23" t="s">
        <v>8</v>
      </c>
      <c r="L2575" s="23" t="s">
        <v>8</v>
      </c>
      <c r="M2575" s="23" t="s">
        <v>8</v>
      </c>
    </row>
    <row r="2576" spans="1:13" s="21" customFormat="1" x14ac:dyDescent="0.25">
      <c r="A2576" s="22" t="s">
        <v>8</v>
      </c>
      <c r="B2576" s="18" t="str">
        <f>"115403"</f>
        <v>115403</v>
      </c>
      <c r="C2576" s="19" t="s">
        <v>2568</v>
      </c>
      <c r="D2576" s="19" t="s">
        <v>18008</v>
      </c>
      <c r="E2576" s="19" t="s">
        <v>31744</v>
      </c>
      <c r="F2576" s="19" t="s">
        <v>35984</v>
      </c>
      <c r="G2576" s="18" t="str">
        <f>"30720"</f>
        <v>30720</v>
      </c>
      <c r="H2576" s="19" t="s">
        <v>36165</v>
      </c>
      <c r="I2576" s="20">
        <v>18</v>
      </c>
      <c r="J2576" s="44" t="s">
        <v>8</v>
      </c>
      <c r="K2576" s="23" t="s">
        <v>8</v>
      </c>
      <c r="L2576" s="23" t="s">
        <v>8</v>
      </c>
      <c r="M2576" s="23" t="s">
        <v>8</v>
      </c>
    </row>
    <row r="2577" spans="1:13" s="21" customFormat="1" x14ac:dyDescent="0.25">
      <c r="A2577" s="22" t="s">
        <v>8</v>
      </c>
      <c r="B2577" s="18" t="str">
        <f>"115404"</f>
        <v>115404</v>
      </c>
      <c r="C2577" s="19" t="s">
        <v>2569</v>
      </c>
      <c r="D2577" s="19" t="s">
        <v>18009</v>
      </c>
      <c r="E2577" s="19" t="s">
        <v>31760</v>
      </c>
      <c r="F2577" s="19" t="s">
        <v>35984</v>
      </c>
      <c r="G2577" s="18" t="str">
        <f>"31549"</f>
        <v>31549</v>
      </c>
      <c r="H2577" s="19" t="s">
        <v>36174</v>
      </c>
      <c r="I2577" s="20">
        <v>20.652000000000001</v>
      </c>
      <c r="J2577" s="44" t="s">
        <v>8</v>
      </c>
      <c r="K2577" s="23" t="s">
        <v>8</v>
      </c>
      <c r="L2577" s="23" t="s">
        <v>8</v>
      </c>
      <c r="M2577" s="23" t="s">
        <v>8</v>
      </c>
    </row>
    <row r="2578" spans="1:13" s="21" customFormat="1" x14ac:dyDescent="0.25">
      <c r="A2578" s="22" t="s">
        <v>8</v>
      </c>
      <c r="B2578" s="18" t="str">
        <f>"115406"</f>
        <v>115406</v>
      </c>
      <c r="C2578" s="19" t="s">
        <v>2570</v>
      </c>
      <c r="D2578" s="19" t="s">
        <v>18010</v>
      </c>
      <c r="E2578" s="19" t="s">
        <v>31761</v>
      </c>
      <c r="F2578" s="19" t="s">
        <v>35984</v>
      </c>
      <c r="G2578" s="18" t="str">
        <f>"31096"</f>
        <v>31096</v>
      </c>
      <c r="H2578" s="19" t="s">
        <v>36072</v>
      </c>
      <c r="I2578" s="20">
        <v>19.375</v>
      </c>
      <c r="J2578" s="44" t="s">
        <v>8</v>
      </c>
      <c r="K2578" s="23" t="s">
        <v>8</v>
      </c>
      <c r="L2578" s="23" t="s">
        <v>8</v>
      </c>
      <c r="M2578" s="23" t="s">
        <v>8</v>
      </c>
    </row>
    <row r="2579" spans="1:13" s="21" customFormat="1" x14ac:dyDescent="0.25">
      <c r="A2579" s="22" t="s">
        <v>8</v>
      </c>
      <c r="B2579" s="18" t="str">
        <f>"115409"</f>
        <v>115409</v>
      </c>
      <c r="C2579" s="19" t="s">
        <v>2571</v>
      </c>
      <c r="D2579" s="19" t="s">
        <v>18011</v>
      </c>
      <c r="E2579" s="19" t="s">
        <v>31762</v>
      </c>
      <c r="F2579" s="19" t="s">
        <v>35984</v>
      </c>
      <c r="G2579" s="18" t="str">
        <f>"30742"</f>
        <v>30742</v>
      </c>
      <c r="H2579" s="19" t="s">
        <v>34671</v>
      </c>
      <c r="I2579" s="20">
        <v>16.858000000000001</v>
      </c>
      <c r="J2579" s="44" t="s">
        <v>8</v>
      </c>
      <c r="K2579" s="23" t="s">
        <v>8</v>
      </c>
      <c r="L2579" s="23" t="s">
        <v>8</v>
      </c>
      <c r="M2579" s="23" t="s">
        <v>8</v>
      </c>
    </row>
    <row r="2580" spans="1:13" s="21" customFormat="1" x14ac:dyDescent="0.25">
      <c r="A2580" s="22" t="s">
        <v>8</v>
      </c>
      <c r="B2580" s="18" t="str">
        <f>"115410"</f>
        <v>115410</v>
      </c>
      <c r="C2580" s="19" t="s">
        <v>2572</v>
      </c>
      <c r="D2580" s="19" t="s">
        <v>18012</v>
      </c>
      <c r="E2580" s="19" t="s">
        <v>31537</v>
      </c>
      <c r="F2580" s="19" t="s">
        <v>35984</v>
      </c>
      <c r="G2580" s="18" t="str">
        <f>"30501"</f>
        <v>30501</v>
      </c>
      <c r="H2580" s="19" t="s">
        <v>36156</v>
      </c>
      <c r="I2580" s="20">
        <v>20.218</v>
      </c>
      <c r="J2580" s="44" t="s">
        <v>8</v>
      </c>
      <c r="K2580" s="23" t="s">
        <v>8</v>
      </c>
      <c r="L2580" s="23" t="s">
        <v>8</v>
      </c>
      <c r="M2580" s="23" t="s">
        <v>8</v>
      </c>
    </row>
    <row r="2581" spans="1:13" s="21" customFormat="1" x14ac:dyDescent="0.25">
      <c r="A2581" s="22" t="s">
        <v>8</v>
      </c>
      <c r="B2581" s="18" t="str">
        <f>"115411"</f>
        <v>115411</v>
      </c>
      <c r="C2581" s="19" t="s">
        <v>2573</v>
      </c>
      <c r="D2581" s="19" t="s">
        <v>18013</v>
      </c>
      <c r="E2581" s="19" t="s">
        <v>31763</v>
      </c>
      <c r="F2581" s="19" t="s">
        <v>35984</v>
      </c>
      <c r="G2581" s="18" t="str">
        <f>"30439"</f>
        <v>30439</v>
      </c>
      <c r="H2581" s="19" t="s">
        <v>34331</v>
      </c>
      <c r="I2581" s="20">
        <v>20.047999999999998</v>
      </c>
      <c r="J2581" s="44" t="s">
        <v>8</v>
      </c>
      <c r="K2581" s="23" t="s">
        <v>8</v>
      </c>
      <c r="L2581" s="23" t="s">
        <v>8</v>
      </c>
      <c r="M2581" s="23" t="s">
        <v>8</v>
      </c>
    </row>
    <row r="2582" spans="1:13" s="21" customFormat="1" x14ac:dyDescent="0.25">
      <c r="A2582" s="22" t="s">
        <v>8</v>
      </c>
      <c r="B2582" s="18" t="str">
        <f>"115412"</f>
        <v>115412</v>
      </c>
      <c r="C2582" s="19" t="s">
        <v>2574</v>
      </c>
      <c r="D2582" s="19" t="s">
        <v>18014</v>
      </c>
      <c r="E2582" s="19" t="s">
        <v>31764</v>
      </c>
      <c r="F2582" s="19" t="s">
        <v>35984</v>
      </c>
      <c r="G2582" s="18" t="str">
        <f>"31794"</f>
        <v>31794</v>
      </c>
      <c r="H2582" s="19" t="s">
        <v>36175</v>
      </c>
      <c r="I2582" s="20">
        <v>19.736000000000001</v>
      </c>
      <c r="J2582" s="44" t="s">
        <v>8</v>
      </c>
      <c r="K2582" s="23" t="s">
        <v>8</v>
      </c>
      <c r="L2582" s="23" t="s">
        <v>8</v>
      </c>
      <c r="M2582" s="23" t="s">
        <v>8</v>
      </c>
    </row>
    <row r="2583" spans="1:13" s="21" customFormat="1" x14ac:dyDescent="0.25">
      <c r="A2583" s="22" t="s">
        <v>8</v>
      </c>
      <c r="B2583" s="18" t="str">
        <f>"115413"</f>
        <v>115413</v>
      </c>
      <c r="C2583" s="19" t="s">
        <v>2575</v>
      </c>
      <c r="D2583" s="19" t="s">
        <v>18015</v>
      </c>
      <c r="E2583" s="19" t="s">
        <v>31765</v>
      </c>
      <c r="F2583" s="19" t="s">
        <v>35984</v>
      </c>
      <c r="G2583" s="18" t="str">
        <f>"31044"</f>
        <v>31044</v>
      </c>
      <c r="H2583" s="19" t="s">
        <v>36176</v>
      </c>
      <c r="I2583" s="20">
        <v>17.616</v>
      </c>
      <c r="J2583" s="44" t="s">
        <v>8</v>
      </c>
      <c r="K2583" s="23" t="s">
        <v>8</v>
      </c>
      <c r="L2583" s="23" t="s">
        <v>8</v>
      </c>
      <c r="M2583" s="23" t="s">
        <v>8</v>
      </c>
    </row>
    <row r="2584" spans="1:13" s="21" customFormat="1" x14ac:dyDescent="0.25">
      <c r="A2584" s="22" t="s">
        <v>8</v>
      </c>
      <c r="B2584" s="18" t="str">
        <f>"115414"</f>
        <v>115414</v>
      </c>
      <c r="C2584" s="19" t="s">
        <v>2576</v>
      </c>
      <c r="D2584" s="19" t="s">
        <v>18016</v>
      </c>
      <c r="E2584" s="19" t="s">
        <v>31703</v>
      </c>
      <c r="F2584" s="19" t="s">
        <v>35984</v>
      </c>
      <c r="G2584" s="18" t="str">
        <f>"31545"</f>
        <v>31545</v>
      </c>
      <c r="H2584" s="19" t="s">
        <v>33280</v>
      </c>
      <c r="I2584" s="20">
        <v>21.73</v>
      </c>
      <c r="J2584" s="44" t="s">
        <v>8</v>
      </c>
      <c r="K2584" s="23" t="s">
        <v>8</v>
      </c>
      <c r="L2584" s="23" t="s">
        <v>8</v>
      </c>
      <c r="M2584" s="23" t="s">
        <v>8</v>
      </c>
    </row>
    <row r="2585" spans="1:13" s="21" customFormat="1" x14ac:dyDescent="0.25">
      <c r="A2585" s="22" t="s">
        <v>8</v>
      </c>
      <c r="B2585" s="18" t="str">
        <f>"115418"</f>
        <v>115418</v>
      </c>
      <c r="C2585" s="19" t="s">
        <v>2577</v>
      </c>
      <c r="D2585" s="19" t="s">
        <v>18017</v>
      </c>
      <c r="E2585" s="19" t="s">
        <v>31754</v>
      </c>
      <c r="F2585" s="19" t="s">
        <v>35984</v>
      </c>
      <c r="G2585" s="18" t="str">
        <f>"31029"</f>
        <v>31029</v>
      </c>
      <c r="H2585" s="19" t="s">
        <v>31711</v>
      </c>
      <c r="I2585" s="20">
        <v>18.37</v>
      </c>
      <c r="J2585" s="44" t="s">
        <v>8</v>
      </c>
      <c r="K2585" s="23" t="s">
        <v>8</v>
      </c>
      <c r="L2585" s="23" t="s">
        <v>8</v>
      </c>
      <c r="M2585" s="23" t="s">
        <v>8</v>
      </c>
    </row>
    <row r="2586" spans="1:13" s="21" customFormat="1" x14ac:dyDescent="0.25">
      <c r="A2586" s="22" t="s">
        <v>8</v>
      </c>
      <c r="B2586" s="18" t="str">
        <f>"115419"</f>
        <v>115419</v>
      </c>
      <c r="C2586" s="19" t="s">
        <v>2578</v>
      </c>
      <c r="D2586" s="19" t="s">
        <v>18018</v>
      </c>
      <c r="E2586" s="19" t="s">
        <v>30824</v>
      </c>
      <c r="F2586" s="19" t="s">
        <v>35984</v>
      </c>
      <c r="G2586" s="18" t="str">
        <f>"30607"</f>
        <v>30607</v>
      </c>
      <c r="H2586" s="19" t="s">
        <v>36034</v>
      </c>
      <c r="I2586" s="20">
        <v>19.364999999999998</v>
      </c>
      <c r="J2586" s="44" t="s">
        <v>8</v>
      </c>
      <c r="K2586" s="23" t="s">
        <v>8</v>
      </c>
      <c r="L2586" s="23" t="s">
        <v>8</v>
      </c>
      <c r="M2586" s="23" t="s">
        <v>8</v>
      </c>
    </row>
    <row r="2587" spans="1:13" s="21" customFormat="1" x14ac:dyDescent="0.25">
      <c r="A2587" s="22" t="s">
        <v>8</v>
      </c>
      <c r="B2587" s="18" t="str">
        <f>"115421"</f>
        <v>115421</v>
      </c>
      <c r="C2587" s="19" t="s">
        <v>2579</v>
      </c>
      <c r="D2587" s="19" t="s">
        <v>18019</v>
      </c>
      <c r="E2587" s="19" t="s">
        <v>31766</v>
      </c>
      <c r="F2587" s="19" t="s">
        <v>35984</v>
      </c>
      <c r="G2587" s="18" t="str">
        <f>"30188"</f>
        <v>30188</v>
      </c>
      <c r="H2587" s="19" t="s">
        <v>32436</v>
      </c>
      <c r="I2587" s="20">
        <v>20.693000000000001</v>
      </c>
      <c r="J2587" s="44" t="s">
        <v>8</v>
      </c>
      <c r="K2587" s="23" t="s">
        <v>8</v>
      </c>
      <c r="L2587" s="23" t="s">
        <v>8</v>
      </c>
      <c r="M2587" s="23" t="s">
        <v>8</v>
      </c>
    </row>
    <row r="2588" spans="1:13" s="21" customFormat="1" x14ac:dyDescent="0.25">
      <c r="A2588" s="22" t="s">
        <v>8</v>
      </c>
      <c r="B2588" s="18" t="str">
        <f>"115422"</f>
        <v>115422</v>
      </c>
      <c r="C2588" s="19" t="s">
        <v>2580</v>
      </c>
      <c r="D2588" s="19" t="s">
        <v>18020</v>
      </c>
      <c r="E2588" s="19" t="s">
        <v>31767</v>
      </c>
      <c r="F2588" s="19" t="s">
        <v>35984</v>
      </c>
      <c r="G2588" s="18" t="str">
        <f>"30075"</f>
        <v>30075</v>
      </c>
      <c r="H2588" s="19" t="s">
        <v>32194</v>
      </c>
      <c r="I2588" s="20">
        <v>22.056999999999999</v>
      </c>
      <c r="J2588" s="44" t="s">
        <v>8</v>
      </c>
      <c r="K2588" s="23" t="s">
        <v>8</v>
      </c>
      <c r="L2588" s="23" t="s">
        <v>8</v>
      </c>
      <c r="M2588" s="23" t="s">
        <v>8</v>
      </c>
    </row>
    <row r="2589" spans="1:13" s="21" customFormat="1" x14ac:dyDescent="0.25">
      <c r="A2589" s="22" t="s">
        <v>8</v>
      </c>
      <c r="B2589" s="18" t="str">
        <f>"115423"</f>
        <v>115423</v>
      </c>
      <c r="C2589" s="19" t="s">
        <v>2581</v>
      </c>
      <c r="D2589" s="19" t="s">
        <v>18021</v>
      </c>
      <c r="E2589" s="19" t="s">
        <v>31768</v>
      </c>
      <c r="F2589" s="19" t="s">
        <v>35984</v>
      </c>
      <c r="G2589" s="18" t="str">
        <f>"30040"</f>
        <v>30040</v>
      </c>
      <c r="H2589" s="19" t="s">
        <v>31754</v>
      </c>
      <c r="I2589" s="20">
        <v>20.324000000000002</v>
      </c>
      <c r="J2589" s="44" t="s">
        <v>8</v>
      </c>
      <c r="K2589" s="23" t="s">
        <v>8</v>
      </c>
      <c r="L2589" s="23" t="s">
        <v>8</v>
      </c>
      <c r="M2589" s="23" t="s">
        <v>8</v>
      </c>
    </row>
    <row r="2590" spans="1:13" s="21" customFormat="1" x14ac:dyDescent="0.25">
      <c r="A2590" s="22" t="s">
        <v>8</v>
      </c>
      <c r="B2590" s="18" t="str">
        <f>"115424"</f>
        <v>115424</v>
      </c>
      <c r="C2590" s="19" t="s">
        <v>2582</v>
      </c>
      <c r="D2590" s="19" t="s">
        <v>18022</v>
      </c>
      <c r="E2590" s="19" t="s">
        <v>31769</v>
      </c>
      <c r="F2590" s="19" t="s">
        <v>35984</v>
      </c>
      <c r="G2590" s="18" t="str">
        <f>"30802"</f>
        <v>30802</v>
      </c>
      <c r="H2590" s="19" t="s">
        <v>32076</v>
      </c>
      <c r="I2590" s="20">
        <v>24.568999999999999</v>
      </c>
      <c r="J2590" s="44" t="s">
        <v>8</v>
      </c>
      <c r="K2590" s="23" t="s">
        <v>8</v>
      </c>
      <c r="L2590" s="23" t="s">
        <v>8</v>
      </c>
      <c r="M2590" s="23" t="s">
        <v>8</v>
      </c>
    </row>
    <row r="2591" spans="1:13" s="21" customFormat="1" x14ac:dyDescent="0.25">
      <c r="A2591" s="22" t="s">
        <v>8</v>
      </c>
      <c r="B2591" s="18" t="str">
        <f>"115427"</f>
        <v>115427</v>
      </c>
      <c r="C2591" s="19" t="s">
        <v>2583</v>
      </c>
      <c r="D2591" s="19" t="s">
        <v>18023</v>
      </c>
      <c r="E2591" s="19" t="s">
        <v>30900</v>
      </c>
      <c r="F2591" s="19" t="s">
        <v>35984</v>
      </c>
      <c r="G2591" s="18" t="str">
        <f>"31757"</f>
        <v>31757</v>
      </c>
      <c r="H2591" s="19" t="s">
        <v>35510</v>
      </c>
      <c r="I2591" s="20">
        <v>17.608000000000001</v>
      </c>
      <c r="J2591" s="44" t="s">
        <v>8</v>
      </c>
      <c r="K2591" s="23" t="s">
        <v>8</v>
      </c>
      <c r="L2591" s="23" t="s">
        <v>8</v>
      </c>
      <c r="M2591" s="23" t="s">
        <v>8</v>
      </c>
    </row>
    <row r="2592" spans="1:13" s="21" customFormat="1" x14ac:dyDescent="0.25">
      <c r="A2592" s="22" t="s">
        <v>8</v>
      </c>
      <c r="B2592" s="18" t="str">
        <f>"115428"</f>
        <v>115428</v>
      </c>
      <c r="C2592" s="19" t="s">
        <v>2584</v>
      </c>
      <c r="D2592" s="19" t="s">
        <v>18024</v>
      </c>
      <c r="E2592" s="19" t="s">
        <v>31770</v>
      </c>
      <c r="F2592" s="19" t="s">
        <v>35984</v>
      </c>
      <c r="G2592" s="18" t="str">
        <f>"30747"</f>
        <v>30747</v>
      </c>
      <c r="H2592" s="19" t="s">
        <v>36177</v>
      </c>
      <c r="I2592" s="20">
        <v>16.783000000000001</v>
      </c>
      <c r="J2592" s="44" t="s">
        <v>8</v>
      </c>
      <c r="K2592" s="23" t="s">
        <v>8</v>
      </c>
      <c r="L2592" s="23" t="s">
        <v>8</v>
      </c>
      <c r="M2592" s="23" t="s">
        <v>8</v>
      </c>
    </row>
    <row r="2593" spans="1:13" s="21" customFormat="1" x14ac:dyDescent="0.25">
      <c r="A2593" s="22" t="s">
        <v>8</v>
      </c>
      <c r="B2593" s="18" t="str">
        <f>"115429"</f>
        <v>115429</v>
      </c>
      <c r="C2593" s="19" t="s">
        <v>2585</v>
      </c>
      <c r="D2593" s="19" t="s">
        <v>18025</v>
      </c>
      <c r="E2593" s="19" t="s">
        <v>31698</v>
      </c>
      <c r="F2593" s="19" t="s">
        <v>35984</v>
      </c>
      <c r="G2593" s="18" t="str">
        <f>"31015"</f>
        <v>31015</v>
      </c>
      <c r="H2593" s="19" t="s">
        <v>36151</v>
      </c>
      <c r="I2593" s="20">
        <v>23.134</v>
      </c>
      <c r="J2593" s="44" t="s">
        <v>8</v>
      </c>
      <c r="K2593" s="23" t="s">
        <v>8</v>
      </c>
      <c r="L2593" s="23" t="s">
        <v>8</v>
      </c>
      <c r="M2593" s="23" t="s">
        <v>8</v>
      </c>
    </row>
    <row r="2594" spans="1:13" s="21" customFormat="1" x14ac:dyDescent="0.25">
      <c r="A2594" s="22" t="s">
        <v>8</v>
      </c>
      <c r="B2594" s="18" t="str">
        <f>"115430"</f>
        <v>115430</v>
      </c>
      <c r="C2594" s="19" t="s">
        <v>2586</v>
      </c>
      <c r="D2594" s="19" t="s">
        <v>18026</v>
      </c>
      <c r="E2594" s="19" t="s">
        <v>31503</v>
      </c>
      <c r="F2594" s="19" t="s">
        <v>35984</v>
      </c>
      <c r="G2594" s="18" t="str">
        <f>"31069"</f>
        <v>31069</v>
      </c>
      <c r="H2594" s="19" t="s">
        <v>33493</v>
      </c>
      <c r="I2594" s="20">
        <v>20.544</v>
      </c>
      <c r="J2594" s="44" t="s">
        <v>8</v>
      </c>
      <c r="K2594" s="23" t="s">
        <v>8</v>
      </c>
      <c r="L2594" s="23" t="s">
        <v>8</v>
      </c>
      <c r="M2594" s="23" t="s">
        <v>8</v>
      </c>
    </row>
    <row r="2595" spans="1:13" s="21" customFormat="1" x14ac:dyDescent="0.25">
      <c r="A2595" s="22" t="s">
        <v>8</v>
      </c>
      <c r="B2595" s="18" t="str">
        <f>"115431"</f>
        <v>115431</v>
      </c>
      <c r="C2595" s="19" t="s">
        <v>2587</v>
      </c>
      <c r="D2595" s="19" t="s">
        <v>18027</v>
      </c>
      <c r="E2595" s="19" t="s">
        <v>31771</v>
      </c>
      <c r="F2595" s="19" t="s">
        <v>35984</v>
      </c>
      <c r="G2595" s="18" t="str">
        <f>"30110"</f>
        <v>30110</v>
      </c>
      <c r="H2595" s="19" t="s">
        <v>36178</v>
      </c>
      <c r="I2595" s="20">
        <v>21.815999999999999</v>
      </c>
      <c r="J2595" s="44" t="s">
        <v>8</v>
      </c>
      <c r="K2595" s="23" t="s">
        <v>8</v>
      </c>
      <c r="L2595" s="23" t="s">
        <v>8</v>
      </c>
      <c r="M2595" s="23" t="s">
        <v>8</v>
      </c>
    </row>
    <row r="2596" spans="1:13" s="21" customFormat="1" x14ac:dyDescent="0.25">
      <c r="A2596" s="22" t="s">
        <v>8</v>
      </c>
      <c r="B2596" s="18" t="str">
        <f>"115435"</f>
        <v>115435</v>
      </c>
      <c r="C2596" s="19" t="s">
        <v>2588</v>
      </c>
      <c r="D2596" s="19" t="s">
        <v>18028</v>
      </c>
      <c r="E2596" s="19" t="s">
        <v>31772</v>
      </c>
      <c r="F2596" s="19" t="s">
        <v>35984</v>
      </c>
      <c r="G2596" s="18" t="str">
        <f>"30643"</f>
        <v>30643</v>
      </c>
      <c r="H2596" s="19" t="s">
        <v>33145</v>
      </c>
      <c r="I2596" s="20">
        <v>20.053000000000001</v>
      </c>
      <c r="J2596" s="44" t="s">
        <v>8</v>
      </c>
      <c r="K2596" s="23" t="s">
        <v>8</v>
      </c>
      <c r="L2596" s="23" t="s">
        <v>8</v>
      </c>
      <c r="M2596" s="23" t="s">
        <v>8</v>
      </c>
    </row>
    <row r="2597" spans="1:13" s="21" customFormat="1" x14ac:dyDescent="0.25">
      <c r="A2597" s="22" t="s">
        <v>8</v>
      </c>
      <c r="B2597" s="18" t="str">
        <f>"115436"</f>
        <v>115436</v>
      </c>
      <c r="C2597" s="19" t="s">
        <v>2589</v>
      </c>
      <c r="D2597" s="19" t="s">
        <v>18029</v>
      </c>
      <c r="E2597" s="19" t="s">
        <v>31755</v>
      </c>
      <c r="F2597" s="19" t="s">
        <v>35984</v>
      </c>
      <c r="G2597" s="18" t="str">
        <f>"30125"</f>
        <v>30125</v>
      </c>
      <c r="H2597" s="19" t="s">
        <v>36062</v>
      </c>
      <c r="I2597" s="20">
        <v>18.018000000000001</v>
      </c>
      <c r="J2597" s="44" t="s">
        <v>8</v>
      </c>
      <c r="K2597" s="23" t="s">
        <v>8</v>
      </c>
      <c r="L2597" s="23" t="s">
        <v>8</v>
      </c>
      <c r="M2597" s="23" t="s">
        <v>8</v>
      </c>
    </row>
    <row r="2598" spans="1:13" s="21" customFormat="1" x14ac:dyDescent="0.25">
      <c r="A2598" s="22" t="s">
        <v>8</v>
      </c>
      <c r="B2598" s="18" t="str">
        <f>"115443"</f>
        <v>115443</v>
      </c>
      <c r="C2598" s="19" t="s">
        <v>2590</v>
      </c>
      <c r="D2598" s="19" t="s">
        <v>18030</v>
      </c>
      <c r="E2598" s="19" t="s">
        <v>30812</v>
      </c>
      <c r="F2598" s="19" t="s">
        <v>35984</v>
      </c>
      <c r="G2598" s="18" t="str">
        <f>"30117"</f>
        <v>30117</v>
      </c>
      <c r="H2598" s="19" t="s">
        <v>32334</v>
      </c>
      <c r="I2598" s="20">
        <v>17.984000000000002</v>
      </c>
      <c r="J2598" s="44" t="s">
        <v>8</v>
      </c>
      <c r="K2598" s="23" t="s">
        <v>8</v>
      </c>
      <c r="L2598" s="23" t="s">
        <v>8</v>
      </c>
      <c r="M2598" s="23" t="s">
        <v>8</v>
      </c>
    </row>
    <row r="2599" spans="1:13" s="21" customFormat="1" x14ac:dyDescent="0.25">
      <c r="A2599" s="22" t="s">
        <v>8</v>
      </c>
      <c r="B2599" s="18" t="str">
        <f>"115447"</f>
        <v>115447</v>
      </c>
      <c r="C2599" s="19" t="s">
        <v>2591</v>
      </c>
      <c r="D2599" s="19" t="s">
        <v>18031</v>
      </c>
      <c r="E2599" s="19" t="s">
        <v>31773</v>
      </c>
      <c r="F2599" s="19" t="s">
        <v>35984</v>
      </c>
      <c r="G2599" s="18" t="str">
        <f>"30204"</f>
        <v>30204</v>
      </c>
      <c r="H2599" s="19" t="s">
        <v>31372</v>
      </c>
      <c r="I2599" s="20">
        <v>17.654</v>
      </c>
      <c r="J2599" s="44" t="s">
        <v>8</v>
      </c>
      <c r="K2599" s="23" t="s">
        <v>8</v>
      </c>
      <c r="L2599" s="23" t="s">
        <v>8</v>
      </c>
      <c r="M2599" s="23" t="s">
        <v>8</v>
      </c>
    </row>
    <row r="2600" spans="1:13" s="21" customFormat="1" x14ac:dyDescent="0.25">
      <c r="A2600" s="22" t="s">
        <v>8</v>
      </c>
      <c r="B2600" s="18" t="str">
        <f>"115449"</f>
        <v>115449</v>
      </c>
      <c r="C2600" s="19" t="s">
        <v>2592</v>
      </c>
      <c r="D2600" s="19" t="s">
        <v>18032</v>
      </c>
      <c r="E2600" s="19" t="s">
        <v>31772</v>
      </c>
      <c r="F2600" s="19" t="s">
        <v>35984</v>
      </c>
      <c r="G2600" s="18" t="str">
        <f>"30643"</f>
        <v>30643</v>
      </c>
      <c r="H2600" s="19" t="s">
        <v>33145</v>
      </c>
      <c r="I2600" s="20">
        <v>23.369</v>
      </c>
      <c r="J2600" s="44" t="s">
        <v>8</v>
      </c>
      <c r="K2600" s="23" t="s">
        <v>8</v>
      </c>
      <c r="L2600" s="23" t="s">
        <v>8</v>
      </c>
      <c r="M2600" s="23" t="s">
        <v>8</v>
      </c>
    </row>
    <row r="2601" spans="1:13" s="21" customFormat="1" x14ac:dyDescent="0.25">
      <c r="A2601" s="22" t="s">
        <v>8</v>
      </c>
      <c r="B2601" s="18" t="str">
        <f>"115452"</f>
        <v>115452</v>
      </c>
      <c r="C2601" s="19" t="s">
        <v>2593</v>
      </c>
      <c r="D2601" s="19" t="s">
        <v>18033</v>
      </c>
      <c r="E2601" s="19" t="s">
        <v>31774</v>
      </c>
      <c r="F2601" s="19" t="s">
        <v>35984</v>
      </c>
      <c r="G2601" s="18" t="str">
        <f>"30728"</f>
        <v>30728</v>
      </c>
      <c r="H2601" s="19" t="s">
        <v>33386</v>
      </c>
      <c r="I2601" s="20">
        <v>17.695</v>
      </c>
      <c r="J2601" s="44" t="s">
        <v>8</v>
      </c>
      <c r="K2601" s="23" t="s">
        <v>8</v>
      </c>
      <c r="L2601" s="23" t="s">
        <v>8</v>
      </c>
      <c r="M2601" s="23" t="s">
        <v>8</v>
      </c>
    </row>
    <row r="2602" spans="1:13" s="21" customFormat="1" x14ac:dyDescent="0.25">
      <c r="A2602" s="22" t="s">
        <v>8</v>
      </c>
      <c r="B2602" s="18" t="str">
        <f>"115455"</f>
        <v>115455</v>
      </c>
      <c r="C2602" s="19" t="s">
        <v>2594</v>
      </c>
      <c r="D2602" s="19" t="s">
        <v>18034</v>
      </c>
      <c r="E2602" s="19" t="s">
        <v>31775</v>
      </c>
      <c r="F2602" s="19" t="s">
        <v>35984</v>
      </c>
      <c r="G2602" s="18" t="str">
        <f>"31090"</f>
        <v>31090</v>
      </c>
      <c r="H2602" s="19" t="s">
        <v>36179</v>
      </c>
      <c r="I2602" s="20">
        <v>19.504999999999999</v>
      </c>
      <c r="J2602" s="44" t="s">
        <v>8</v>
      </c>
      <c r="K2602" s="23" t="s">
        <v>8</v>
      </c>
      <c r="L2602" s="23" t="s">
        <v>8</v>
      </c>
      <c r="M2602" s="23" t="s">
        <v>8</v>
      </c>
    </row>
    <row r="2603" spans="1:13" s="21" customFormat="1" x14ac:dyDescent="0.25">
      <c r="A2603" s="22" t="s">
        <v>8</v>
      </c>
      <c r="B2603" s="18" t="str">
        <f>"115457"</f>
        <v>115457</v>
      </c>
      <c r="C2603" s="19" t="s">
        <v>2595</v>
      </c>
      <c r="D2603" s="19" t="s">
        <v>18035</v>
      </c>
      <c r="E2603" s="19" t="s">
        <v>30899</v>
      </c>
      <c r="F2603" s="19" t="s">
        <v>35984</v>
      </c>
      <c r="G2603" s="18" t="str">
        <f>"30650"</f>
        <v>30650</v>
      </c>
      <c r="H2603" s="19" t="s">
        <v>33505</v>
      </c>
      <c r="I2603" s="20">
        <v>17.686</v>
      </c>
      <c r="J2603" s="44" t="s">
        <v>8</v>
      </c>
      <c r="K2603" s="23" t="s">
        <v>8</v>
      </c>
      <c r="L2603" s="23" t="s">
        <v>8</v>
      </c>
      <c r="M2603" s="23" t="s">
        <v>8</v>
      </c>
    </row>
    <row r="2604" spans="1:13" s="21" customFormat="1" x14ac:dyDescent="0.25">
      <c r="A2604" s="22" t="s">
        <v>8</v>
      </c>
      <c r="B2604" s="18" t="str">
        <f>"115459"</f>
        <v>115459</v>
      </c>
      <c r="C2604" s="19" t="s">
        <v>2596</v>
      </c>
      <c r="D2604" s="19" t="s">
        <v>18036</v>
      </c>
      <c r="E2604" s="19" t="s">
        <v>31776</v>
      </c>
      <c r="F2604" s="19" t="s">
        <v>35984</v>
      </c>
      <c r="G2604" s="18" t="str">
        <f>"31328"</f>
        <v>31328</v>
      </c>
      <c r="H2604" s="19" t="s">
        <v>33903</v>
      </c>
      <c r="I2604" s="20">
        <v>17.523</v>
      </c>
      <c r="J2604" s="44" t="s">
        <v>8</v>
      </c>
      <c r="K2604" s="23" t="s">
        <v>8</v>
      </c>
      <c r="L2604" s="23" t="s">
        <v>8</v>
      </c>
      <c r="M2604" s="23" t="s">
        <v>8</v>
      </c>
    </row>
    <row r="2605" spans="1:13" s="21" customFormat="1" x14ac:dyDescent="0.25">
      <c r="A2605" s="22" t="s">
        <v>8</v>
      </c>
      <c r="B2605" s="18" t="str">
        <f>"115460"</f>
        <v>115460</v>
      </c>
      <c r="C2605" s="19" t="s">
        <v>2597</v>
      </c>
      <c r="D2605" s="19" t="s">
        <v>18037</v>
      </c>
      <c r="E2605" s="19" t="s">
        <v>31777</v>
      </c>
      <c r="F2605" s="19" t="s">
        <v>35984</v>
      </c>
      <c r="G2605" s="18" t="str">
        <f>"30269"</f>
        <v>30269</v>
      </c>
      <c r="H2605" s="19" t="s">
        <v>30805</v>
      </c>
      <c r="I2605" s="20">
        <v>20.283999999999999</v>
      </c>
      <c r="J2605" s="44" t="s">
        <v>8</v>
      </c>
      <c r="K2605" s="23" t="s">
        <v>8</v>
      </c>
      <c r="L2605" s="23" t="s">
        <v>8</v>
      </c>
      <c r="M2605" s="23" t="s">
        <v>8</v>
      </c>
    </row>
    <row r="2606" spans="1:13" s="21" customFormat="1" x14ac:dyDescent="0.25">
      <c r="A2606" s="22" t="s">
        <v>8</v>
      </c>
      <c r="B2606" s="18" t="str">
        <f>"115461"</f>
        <v>115461</v>
      </c>
      <c r="C2606" s="19" t="s">
        <v>2598</v>
      </c>
      <c r="D2606" s="19" t="s">
        <v>18038</v>
      </c>
      <c r="E2606" s="19" t="s">
        <v>31778</v>
      </c>
      <c r="F2606" s="19" t="s">
        <v>35984</v>
      </c>
      <c r="G2606" s="18" t="str">
        <f>"30120"</f>
        <v>30120</v>
      </c>
      <c r="H2606" s="19" t="s">
        <v>31556</v>
      </c>
      <c r="I2606" s="20">
        <v>18.286999999999999</v>
      </c>
      <c r="J2606" s="44" t="s">
        <v>8</v>
      </c>
      <c r="K2606" s="23" t="s">
        <v>8</v>
      </c>
      <c r="L2606" s="23" t="s">
        <v>8</v>
      </c>
      <c r="M2606" s="23" t="s">
        <v>8</v>
      </c>
    </row>
    <row r="2607" spans="1:13" s="21" customFormat="1" x14ac:dyDescent="0.25">
      <c r="A2607" s="22" t="s">
        <v>8</v>
      </c>
      <c r="B2607" s="18" t="str">
        <f>"115463"</f>
        <v>115463</v>
      </c>
      <c r="C2607" s="19" t="s">
        <v>2599</v>
      </c>
      <c r="D2607" s="19" t="s">
        <v>18039</v>
      </c>
      <c r="E2607" s="19" t="s">
        <v>31779</v>
      </c>
      <c r="F2607" s="19" t="s">
        <v>35984</v>
      </c>
      <c r="G2607" s="18" t="str">
        <f>"30253"</f>
        <v>30253</v>
      </c>
      <c r="H2607" s="19" t="s">
        <v>32041</v>
      </c>
      <c r="I2607" s="20">
        <v>21.667999999999999</v>
      </c>
      <c r="J2607" s="44" t="s">
        <v>8</v>
      </c>
      <c r="K2607" s="23" t="s">
        <v>8</v>
      </c>
      <c r="L2607" s="23" t="s">
        <v>8</v>
      </c>
      <c r="M2607" s="23" t="s">
        <v>8</v>
      </c>
    </row>
    <row r="2608" spans="1:13" s="21" customFormat="1" x14ac:dyDescent="0.25">
      <c r="A2608" s="22" t="s">
        <v>8</v>
      </c>
      <c r="B2608" s="18" t="str">
        <f>"115466"</f>
        <v>115466</v>
      </c>
      <c r="C2608" s="19" t="s">
        <v>2600</v>
      </c>
      <c r="D2608" s="19" t="s">
        <v>18040</v>
      </c>
      <c r="E2608" s="19" t="s">
        <v>31780</v>
      </c>
      <c r="F2608" s="19" t="s">
        <v>35984</v>
      </c>
      <c r="G2608" s="18" t="str">
        <f>"31032"</f>
        <v>31032</v>
      </c>
      <c r="H2608" s="19" t="s">
        <v>34651</v>
      </c>
      <c r="I2608" s="20">
        <v>19.436</v>
      </c>
      <c r="J2608" s="44" t="s">
        <v>8</v>
      </c>
      <c r="K2608" s="23" t="s">
        <v>8</v>
      </c>
      <c r="L2608" s="23" t="s">
        <v>8</v>
      </c>
      <c r="M2608" s="23" t="s">
        <v>8</v>
      </c>
    </row>
    <row r="2609" spans="1:13" s="21" customFormat="1" x14ac:dyDescent="0.25">
      <c r="A2609" s="22" t="s">
        <v>8</v>
      </c>
      <c r="B2609" s="18" t="str">
        <f>"115467"</f>
        <v>115467</v>
      </c>
      <c r="C2609" s="19" t="s">
        <v>2601</v>
      </c>
      <c r="D2609" s="19" t="s">
        <v>18041</v>
      </c>
      <c r="E2609" s="19" t="s">
        <v>30824</v>
      </c>
      <c r="F2609" s="19" t="s">
        <v>35984</v>
      </c>
      <c r="G2609" s="18" t="str">
        <f>"30606"</f>
        <v>30606</v>
      </c>
      <c r="H2609" s="19" t="s">
        <v>36034</v>
      </c>
      <c r="I2609" s="20">
        <v>18.395</v>
      </c>
      <c r="J2609" s="44" t="s">
        <v>8</v>
      </c>
      <c r="K2609" s="23" t="s">
        <v>8</v>
      </c>
      <c r="L2609" s="23" t="s">
        <v>8</v>
      </c>
      <c r="M2609" s="23" t="s">
        <v>8</v>
      </c>
    </row>
    <row r="2610" spans="1:13" s="21" customFormat="1" x14ac:dyDescent="0.25">
      <c r="A2610" s="22" t="s">
        <v>8</v>
      </c>
      <c r="B2610" s="18" t="str">
        <f>"115468"</f>
        <v>115468</v>
      </c>
      <c r="C2610" s="19" t="s">
        <v>2602</v>
      </c>
      <c r="D2610" s="19" t="s">
        <v>18042</v>
      </c>
      <c r="E2610" s="19" t="s">
        <v>31706</v>
      </c>
      <c r="F2610" s="19" t="s">
        <v>35984</v>
      </c>
      <c r="G2610" s="18" t="str">
        <f>"30513"</f>
        <v>30513</v>
      </c>
      <c r="H2610" s="19" t="s">
        <v>36155</v>
      </c>
      <c r="I2610" s="20">
        <v>15.326000000000001</v>
      </c>
      <c r="J2610" s="44" t="s">
        <v>8</v>
      </c>
      <c r="K2610" s="23" t="s">
        <v>8</v>
      </c>
      <c r="L2610" s="23" t="s">
        <v>8</v>
      </c>
      <c r="M2610" s="23" t="s">
        <v>8</v>
      </c>
    </row>
    <row r="2611" spans="1:13" s="21" customFormat="1" x14ac:dyDescent="0.25">
      <c r="A2611" s="22" t="s">
        <v>8</v>
      </c>
      <c r="B2611" s="18" t="str">
        <f>"115469"</f>
        <v>115469</v>
      </c>
      <c r="C2611" s="19" t="s">
        <v>2603</v>
      </c>
      <c r="D2611" s="19" t="s">
        <v>18043</v>
      </c>
      <c r="E2611" s="19" t="s">
        <v>31781</v>
      </c>
      <c r="F2611" s="19" t="s">
        <v>35984</v>
      </c>
      <c r="G2611" s="18" t="str">
        <f>"30012"</f>
        <v>30012</v>
      </c>
      <c r="H2611" s="19" t="s">
        <v>35942</v>
      </c>
      <c r="I2611" s="20">
        <v>20.347000000000001</v>
      </c>
      <c r="J2611" s="44" t="s">
        <v>8</v>
      </c>
      <c r="K2611" s="23" t="s">
        <v>8</v>
      </c>
      <c r="L2611" s="23" t="s">
        <v>8</v>
      </c>
      <c r="M2611" s="23" t="s">
        <v>8</v>
      </c>
    </row>
    <row r="2612" spans="1:13" s="21" customFormat="1" x14ac:dyDescent="0.25">
      <c r="A2612" s="22" t="s">
        <v>8</v>
      </c>
      <c r="B2612" s="18" t="str">
        <f>"115473"</f>
        <v>115473</v>
      </c>
      <c r="C2612" s="19" t="s">
        <v>2604</v>
      </c>
      <c r="D2612" s="19" t="s">
        <v>18044</v>
      </c>
      <c r="E2612" s="19" t="s">
        <v>31782</v>
      </c>
      <c r="F2612" s="19" t="s">
        <v>35984</v>
      </c>
      <c r="G2612" s="18" t="str">
        <f>"30058"</f>
        <v>30058</v>
      </c>
      <c r="H2612" s="19" t="s">
        <v>31954</v>
      </c>
      <c r="I2612" s="20">
        <v>19.785</v>
      </c>
      <c r="J2612" s="44" t="s">
        <v>8</v>
      </c>
      <c r="K2612" s="23" t="s">
        <v>8</v>
      </c>
      <c r="L2612" s="23" t="s">
        <v>8</v>
      </c>
      <c r="M2612" s="23" t="s">
        <v>8</v>
      </c>
    </row>
    <row r="2613" spans="1:13" s="21" customFormat="1" x14ac:dyDescent="0.25">
      <c r="A2613" s="22" t="s">
        <v>8</v>
      </c>
      <c r="B2613" s="18" t="str">
        <f>"115474"</f>
        <v>115474</v>
      </c>
      <c r="C2613" s="19" t="s">
        <v>2605</v>
      </c>
      <c r="D2613" s="19" t="s">
        <v>18045</v>
      </c>
      <c r="E2613" s="19" t="s">
        <v>31780</v>
      </c>
      <c r="F2613" s="19" t="s">
        <v>35984</v>
      </c>
      <c r="G2613" s="18" t="str">
        <f>"31032"</f>
        <v>31032</v>
      </c>
      <c r="H2613" s="19" t="s">
        <v>34651</v>
      </c>
      <c r="I2613" s="20">
        <v>19.184999999999999</v>
      </c>
      <c r="J2613" s="44" t="s">
        <v>8</v>
      </c>
      <c r="K2613" s="23" t="s">
        <v>8</v>
      </c>
      <c r="L2613" s="23" t="s">
        <v>8</v>
      </c>
      <c r="M2613" s="23" t="s">
        <v>8</v>
      </c>
    </row>
    <row r="2614" spans="1:13" s="21" customFormat="1" x14ac:dyDescent="0.25">
      <c r="A2614" s="22" t="s">
        <v>8</v>
      </c>
      <c r="B2614" s="18" t="str">
        <f>"115477"</f>
        <v>115477</v>
      </c>
      <c r="C2614" s="19" t="s">
        <v>2606</v>
      </c>
      <c r="D2614" s="19" t="s">
        <v>18046</v>
      </c>
      <c r="E2614" s="19" t="s">
        <v>31783</v>
      </c>
      <c r="F2614" s="19" t="s">
        <v>35984</v>
      </c>
      <c r="G2614" s="18" t="str">
        <f>"31061"</f>
        <v>31061</v>
      </c>
      <c r="H2614" s="19" t="s">
        <v>31758</v>
      </c>
      <c r="I2614" s="20">
        <v>20.122</v>
      </c>
      <c r="J2614" s="44" t="s">
        <v>8</v>
      </c>
      <c r="K2614" s="23" t="s">
        <v>8</v>
      </c>
      <c r="L2614" s="23" t="s">
        <v>8</v>
      </c>
      <c r="M2614" s="23" t="s">
        <v>8</v>
      </c>
    </row>
    <row r="2615" spans="1:13" s="21" customFormat="1" x14ac:dyDescent="0.25">
      <c r="A2615" s="22" t="s">
        <v>8</v>
      </c>
      <c r="B2615" s="18" t="str">
        <f>"115478"</f>
        <v>115478</v>
      </c>
      <c r="C2615" s="19" t="s">
        <v>2607</v>
      </c>
      <c r="D2615" s="19" t="s">
        <v>18047</v>
      </c>
      <c r="E2615" s="19" t="s">
        <v>31715</v>
      </c>
      <c r="F2615" s="19" t="s">
        <v>35984</v>
      </c>
      <c r="G2615" s="18" t="str">
        <f>"31904"</f>
        <v>31904</v>
      </c>
      <c r="H2615" s="19" t="s">
        <v>36157</v>
      </c>
      <c r="I2615" s="20">
        <v>18.484000000000002</v>
      </c>
      <c r="J2615" s="44" t="s">
        <v>8</v>
      </c>
      <c r="K2615" s="23" t="s">
        <v>8</v>
      </c>
      <c r="L2615" s="23" t="s">
        <v>8</v>
      </c>
      <c r="M2615" s="23" t="s">
        <v>8</v>
      </c>
    </row>
    <row r="2616" spans="1:13" s="21" customFormat="1" x14ac:dyDescent="0.25">
      <c r="A2616" s="22" t="s">
        <v>8</v>
      </c>
      <c r="B2616" s="18" t="str">
        <f>"115479"</f>
        <v>115479</v>
      </c>
      <c r="C2616" s="19" t="s">
        <v>2608</v>
      </c>
      <c r="D2616" s="19" t="s">
        <v>18048</v>
      </c>
      <c r="E2616" s="19" t="s">
        <v>31784</v>
      </c>
      <c r="F2616" s="19" t="s">
        <v>35984</v>
      </c>
      <c r="G2616" s="18" t="str">
        <f>"31014"</f>
        <v>31014</v>
      </c>
      <c r="H2616" s="19" t="s">
        <v>36180</v>
      </c>
      <c r="I2616" s="20">
        <v>19.742999999999999</v>
      </c>
      <c r="J2616" s="44" t="s">
        <v>8</v>
      </c>
      <c r="K2616" s="23" t="s">
        <v>8</v>
      </c>
      <c r="L2616" s="23" t="s">
        <v>8</v>
      </c>
      <c r="M2616" s="23" t="s">
        <v>8</v>
      </c>
    </row>
    <row r="2617" spans="1:13" s="21" customFormat="1" x14ac:dyDescent="0.25">
      <c r="A2617" s="22" t="s">
        <v>8</v>
      </c>
      <c r="B2617" s="18" t="str">
        <f>"115480"</f>
        <v>115480</v>
      </c>
      <c r="C2617" s="19" t="s">
        <v>2609</v>
      </c>
      <c r="D2617" s="19" t="s">
        <v>18049</v>
      </c>
      <c r="E2617" s="19" t="s">
        <v>30900</v>
      </c>
      <c r="F2617" s="19" t="s">
        <v>35984</v>
      </c>
      <c r="G2617" s="18" t="str">
        <f>"31792"</f>
        <v>31792</v>
      </c>
      <c r="H2617" s="19" t="s">
        <v>35510</v>
      </c>
      <c r="I2617" s="20">
        <v>19.437000000000001</v>
      </c>
      <c r="J2617" s="44" t="s">
        <v>8</v>
      </c>
      <c r="K2617" s="23" t="s">
        <v>8</v>
      </c>
      <c r="L2617" s="23" t="s">
        <v>8</v>
      </c>
      <c r="M2617" s="23" t="s">
        <v>8</v>
      </c>
    </row>
    <row r="2618" spans="1:13" s="21" customFormat="1" x14ac:dyDescent="0.25">
      <c r="A2618" s="22" t="s">
        <v>8</v>
      </c>
      <c r="B2618" s="18" t="str">
        <f>"115481"</f>
        <v>115481</v>
      </c>
      <c r="C2618" s="19" t="s">
        <v>2610</v>
      </c>
      <c r="D2618" s="19" t="s">
        <v>18050</v>
      </c>
      <c r="E2618" s="19" t="s">
        <v>31785</v>
      </c>
      <c r="F2618" s="19" t="s">
        <v>35984</v>
      </c>
      <c r="G2618" s="18" t="str">
        <f>"31825"</f>
        <v>31825</v>
      </c>
      <c r="H2618" s="19" t="s">
        <v>36181</v>
      </c>
      <c r="I2618" s="20">
        <v>21.25</v>
      </c>
      <c r="J2618" s="44" t="s">
        <v>8</v>
      </c>
      <c r="K2618" s="23" t="s">
        <v>8</v>
      </c>
      <c r="L2618" s="23" t="s">
        <v>8</v>
      </c>
      <c r="M2618" s="23" t="s">
        <v>8</v>
      </c>
    </row>
    <row r="2619" spans="1:13" s="21" customFormat="1" x14ac:dyDescent="0.25">
      <c r="A2619" s="22" t="s">
        <v>8</v>
      </c>
      <c r="B2619" s="18" t="str">
        <f>"115482"</f>
        <v>115482</v>
      </c>
      <c r="C2619" s="19" t="s">
        <v>2611</v>
      </c>
      <c r="D2619" s="19" t="s">
        <v>18051</v>
      </c>
      <c r="E2619" s="19" t="s">
        <v>30853</v>
      </c>
      <c r="F2619" s="19" t="s">
        <v>35984</v>
      </c>
      <c r="G2619" s="18" t="str">
        <f>"30030"</f>
        <v>30030</v>
      </c>
      <c r="H2619" s="19" t="s">
        <v>31954</v>
      </c>
      <c r="I2619" s="20">
        <v>19.254000000000001</v>
      </c>
      <c r="J2619" s="44" t="s">
        <v>8</v>
      </c>
      <c r="K2619" s="23" t="s">
        <v>8</v>
      </c>
      <c r="L2619" s="23" t="s">
        <v>8</v>
      </c>
      <c r="M2619" s="23" t="s">
        <v>8</v>
      </c>
    </row>
    <row r="2620" spans="1:13" s="21" customFormat="1" x14ac:dyDescent="0.25">
      <c r="A2620" s="22" t="s">
        <v>8</v>
      </c>
      <c r="B2620" s="18" t="str">
        <f>"115483"</f>
        <v>115483</v>
      </c>
      <c r="C2620" s="19" t="s">
        <v>2612</v>
      </c>
      <c r="D2620" s="19" t="s">
        <v>18052</v>
      </c>
      <c r="E2620" s="19" t="s">
        <v>31786</v>
      </c>
      <c r="F2620" s="19" t="s">
        <v>35984</v>
      </c>
      <c r="G2620" s="18" t="str">
        <f>"39842"</f>
        <v>39842</v>
      </c>
      <c r="H2620" s="19" t="s">
        <v>35805</v>
      </c>
      <c r="I2620" s="20">
        <v>17.172000000000001</v>
      </c>
      <c r="J2620" s="44" t="s">
        <v>8</v>
      </c>
      <c r="K2620" s="23" t="s">
        <v>8</v>
      </c>
      <c r="L2620" s="23" t="s">
        <v>8</v>
      </c>
      <c r="M2620" s="23" t="s">
        <v>8</v>
      </c>
    </row>
    <row r="2621" spans="1:13" s="21" customFormat="1" x14ac:dyDescent="0.25">
      <c r="A2621" s="22" t="s">
        <v>8</v>
      </c>
      <c r="B2621" s="18" t="str">
        <f>"115484"</f>
        <v>115484</v>
      </c>
      <c r="C2621" s="19" t="s">
        <v>2613</v>
      </c>
      <c r="D2621" s="19" t="s">
        <v>18053</v>
      </c>
      <c r="E2621" s="19" t="s">
        <v>31740</v>
      </c>
      <c r="F2621" s="19" t="s">
        <v>35984</v>
      </c>
      <c r="G2621" s="18" t="str">
        <f>"30286"</f>
        <v>30286</v>
      </c>
      <c r="H2621" s="19" t="s">
        <v>36163</v>
      </c>
      <c r="I2621" s="20">
        <v>23.972999999999999</v>
      </c>
      <c r="J2621" s="44" t="s">
        <v>8</v>
      </c>
      <c r="K2621" s="23" t="s">
        <v>8</v>
      </c>
      <c r="L2621" s="23" t="s">
        <v>8</v>
      </c>
      <c r="M2621" s="23" t="s">
        <v>8</v>
      </c>
    </row>
    <row r="2622" spans="1:13" s="21" customFormat="1" x14ac:dyDescent="0.25">
      <c r="A2622" s="22" t="s">
        <v>8</v>
      </c>
      <c r="B2622" s="18" t="str">
        <f>"115486"</f>
        <v>115486</v>
      </c>
      <c r="C2622" s="19" t="s">
        <v>2614</v>
      </c>
      <c r="D2622" s="19" t="s">
        <v>18054</v>
      </c>
      <c r="E2622" s="19" t="s">
        <v>31733</v>
      </c>
      <c r="F2622" s="19" t="s">
        <v>35984</v>
      </c>
      <c r="G2622" s="18" t="str">
        <f>"31206"</f>
        <v>31206</v>
      </c>
      <c r="H2622" s="19" t="s">
        <v>36028</v>
      </c>
      <c r="I2622" s="20">
        <v>18.263000000000002</v>
      </c>
      <c r="J2622" s="44" t="s">
        <v>8</v>
      </c>
      <c r="K2622" s="23" t="s">
        <v>8</v>
      </c>
      <c r="L2622" s="23" t="s">
        <v>8</v>
      </c>
      <c r="M2622" s="23" t="s">
        <v>8</v>
      </c>
    </row>
    <row r="2623" spans="1:13" s="21" customFormat="1" x14ac:dyDescent="0.25">
      <c r="A2623" s="22" t="s">
        <v>8</v>
      </c>
      <c r="B2623" s="18" t="str">
        <f>"115487"</f>
        <v>115487</v>
      </c>
      <c r="C2623" s="19" t="s">
        <v>2615</v>
      </c>
      <c r="D2623" s="19" t="s">
        <v>18055</v>
      </c>
      <c r="E2623" s="19" t="s">
        <v>31537</v>
      </c>
      <c r="F2623" s="19" t="s">
        <v>35984</v>
      </c>
      <c r="G2623" s="18" t="str">
        <f>"30501"</f>
        <v>30501</v>
      </c>
      <c r="H2623" s="19" t="s">
        <v>36156</v>
      </c>
      <c r="I2623" s="20">
        <v>21.661999999999999</v>
      </c>
      <c r="J2623" s="44" t="s">
        <v>8</v>
      </c>
      <c r="K2623" s="23" t="s">
        <v>8</v>
      </c>
      <c r="L2623" s="23" t="s">
        <v>8</v>
      </c>
      <c r="M2623" s="23" t="s">
        <v>8</v>
      </c>
    </row>
    <row r="2624" spans="1:13" s="21" customFormat="1" x14ac:dyDescent="0.25">
      <c r="A2624" s="22" t="s">
        <v>8</v>
      </c>
      <c r="B2624" s="18" t="str">
        <f>"115488"</f>
        <v>115488</v>
      </c>
      <c r="C2624" s="19" t="s">
        <v>2616</v>
      </c>
      <c r="D2624" s="19" t="s">
        <v>18056</v>
      </c>
      <c r="E2624" s="19" t="s">
        <v>31787</v>
      </c>
      <c r="F2624" s="19" t="s">
        <v>35984</v>
      </c>
      <c r="G2624" s="18" t="str">
        <f>"30669"</f>
        <v>30669</v>
      </c>
      <c r="H2624" s="19" t="s">
        <v>32455</v>
      </c>
      <c r="I2624" s="20">
        <v>17.515999999999998</v>
      </c>
      <c r="J2624" s="44" t="s">
        <v>8</v>
      </c>
      <c r="K2624" s="23" t="s">
        <v>8</v>
      </c>
      <c r="L2624" s="23" t="s">
        <v>8</v>
      </c>
      <c r="M2624" s="23" t="s">
        <v>8</v>
      </c>
    </row>
    <row r="2625" spans="1:13" s="21" customFormat="1" x14ac:dyDescent="0.25">
      <c r="A2625" s="22" t="s">
        <v>8</v>
      </c>
      <c r="B2625" s="18" t="str">
        <f>"115490"</f>
        <v>115490</v>
      </c>
      <c r="C2625" s="19" t="s">
        <v>2617</v>
      </c>
      <c r="D2625" s="19" t="s">
        <v>18057</v>
      </c>
      <c r="E2625" s="19" t="s">
        <v>31722</v>
      </c>
      <c r="F2625" s="19" t="s">
        <v>35984</v>
      </c>
      <c r="G2625" s="18" t="str">
        <f>"30106"</f>
        <v>30106</v>
      </c>
      <c r="H2625" s="19" t="s">
        <v>36158</v>
      </c>
      <c r="I2625" s="20">
        <v>20.010999999999999</v>
      </c>
      <c r="J2625" s="44" t="s">
        <v>8</v>
      </c>
      <c r="K2625" s="23" t="s">
        <v>8</v>
      </c>
      <c r="L2625" s="23" t="s">
        <v>8</v>
      </c>
      <c r="M2625" s="23" t="s">
        <v>8</v>
      </c>
    </row>
    <row r="2626" spans="1:13" s="21" customFormat="1" x14ac:dyDescent="0.25">
      <c r="A2626" s="22" t="s">
        <v>8</v>
      </c>
      <c r="B2626" s="18" t="str">
        <f>"115491"</f>
        <v>115491</v>
      </c>
      <c r="C2626" s="19" t="s">
        <v>2618</v>
      </c>
      <c r="D2626" s="19" t="s">
        <v>18058</v>
      </c>
      <c r="E2626" s="19" t="s">
        <v>31788</v>
      </c>
      <c r="F2626" s="19" t="s">
        <v>35984</v>
      </c>
      <c r="G2626" s="18" t="str">
        <f>"31714"</f>
        <v>31714</v>
      </c>
      <c r="H2626" s="19" t="s">
        <v>36182</v>
      </c>
      <c r="I2626" s="20">
        <v>22.289000000000001</v>
      </c>
      <c r="J2626" s="44" t="s">
        <v>8</v>
      </c>
      <c r="K2626" s="23" t="s">
        <v>8</v>
      </c>
      <c r="L2626" s="23" t="s">
        <v>8</v>
      </c>
      <c r="M2626" s="23" t="s">
        <v>8</v>
      </c>
    </row>
    <row r="2627" spans="1:13" s="21" customFormat="1" x14ac:dyDescent="0.25">
      <c r="A2627" s="22" t="s">
        <v>8</v>
      </c>
      <c r="B2627" s="18" t="str">
        <f>"115492"</f>
        <v>115492</v>
      </c>
      <c r="C2627" s="19" t="s">
        <v>2619</v>
      </c>
      <c r="D2627" s="19" t="s">
        <v>18059</v>
      </c>
      <c r="E2627" s="19" t="s">
        <v>31762</v>
      </c>
      <c r="F2627" s="19" t="s">
        <v>35984</v>
      </c>
      <c r="G2627" s="18" t="str">
        <f>"30742"</f>
        <v>30742</v>
      </c>
      <c r="H2627" s="19" t="s">
        <v>34671</v>
      </c>
      <c r="I2627" s="20">
        <v>18.797999999999998</v>
      </c>
      <c r="J2627" s="44" t="s">
        <v>8</v>
      </c>
      <c r="K2627" s="23" t="s">
        <v>8</v>
      </c>
      <c r="L2627" s="23" t="s">
        <v>8</v>
      </c>
      <c r="M2627" s="23" t="s">
        <v>8</v>
      </c>
    </row>
    <row r="2628" spans="1:13" s="21" customFormat="1" x14ac:dyDescent="0.25">
      <c r="A2628" s="22" t="s">
        <v>8</v>
      </c>
      <c r="B2628" s="18" t="str">
        <f>"115494"</f>
        <v>115494</v>
      </c>
      <c r="C2628" s="19" t="s">
        <v>2620</v>
      </c>
      <c r="D2628" s="19" t="s">
        <v>18060</v>
      </c>
      <c r="E2628" s="19" t="s">
        <v>31789</v>
      </c>
      <c r="F2628" s="19" t="s">
        <v>35984</v>
      </c>
      <c r="G2628" s="18" t="str">
        <f>"31055"</f>
        <v>31055</v>
      </c>
      <c r="H2628" s="19" t="s">
        <v>36174</v>
      </c>
      <c r="I2628" s="20">
        <v>20.027999999999999</v>
      </c>
      <c r="J2628" s="44" t="s">
        <v>8</v>
      </c>
      <c r="K2628" s="23" t="s">
        <v>8</v>
      </c>
      <c r="L2628" s="23" t="s">
        <v>8</v>
      </c>
      <c r="M2628" s="23" t="s">
        <v>8</v>
      </c>
    </row>
    <row r="2629" spans="1:13" s="21" customFormat="1" x14ac:dyDescent="0.25">
      <c r="A2629" s="22" t="s">
        <v>8</v>
      </c>
      <c r="B2629" s="18" t="str">
        <f>"115495"</f>
        <v>115495</v>
      </c>
      <c r="C2629" s="19" t="s">
        <v>2621</v>
      </c>
      <c r="D2629" s="19" t="s">
        <v>18061</v>
      </c>
      <c r="E2629" s="19" t="s">
        <v>31747</v>
      </c>
      <c r="F2629" s="19" t="s">
        <v>35984</v>
      </c>
      <c r="G2629" s="18" t="str">
        <f>"31021"</f>
        <v>31021</v>
      </c>
      <c r="H2629" s="19" t="s">
        <v>32386</v>
      </c>
      <c r="I2629" s="20">
        <v>19.064</v>
      </c>
      <c r="J2629" s="44" t="s">
        <v>8</v>
      </c>
      <c r="K2629" s="23" t="s">
        <v>8</v>
      </c>
      <c r="L2629" s="23" t="s">
        <v>8</v>
      </c>
      <c r="M2629" s="23" t="s">
        <v>8</v>
      </c>
    </row>
    <row r="2630" spans="1:13" s="21" customFormat="1" x14ac:dyDescent="0.25">
      <c r="A2630" s="22" t="s">
        <v>8</v>
      </c>
      <c r="B2630" s="18" t="str">
        <f>"115496"</f>
        <v>115496</v>
      </c>
      <c r="C2630" s="19" t="s">
        <v>2622</v>
      </c>
      <c r="D2630" s="19" t="s">
        <v>18062</v>
      </c>
      <c r="E2630" s="19" t="s">
        <v>30811</v>
      </c>
      <c r="F2630" s="19" t="s">
        <v>35984</v>
      </c>
      <c r="G2630" s="18" t="str">
        <f>"30642"</f>
        <v>30642</v>
      </c>
      <c r="H2630" s="19" t="s">
        <v>32455</v>
      </c>
      <c r="I2630" s="20">
        <v>17.824000000000002</v>
      </c>
      <c r="J2630" s="44" t="s">
        <v>8</v>
      </c>
      <c r="K2630" s="23" t="s">
        <v>8</v>
      </c>
      <c r="L2630" s="23" t="s">
        <v>8</v>
      </c>
      <c r="M2630" s="23" t="s">
        <v>8</v>
      </c>
    </row>
    <row r="2631" spans="1:13" s="21" customFormat="1" x14ac:dyDescent="0.25">
      <c r="A2631" s="22" t="s">
        <v>8</v>
      </c>
      <c r="B2631" s="18" t="str">
        <f>"115498"</f>
        <v>115498</v>
      </c>
      <c r="C2631" s="19" t="s">
        <v>2623</v>
      </c>
      <c r="D2631" s="19" t="s">
        <v>18063</v>
      </c>
      <c r="E2631" s="19" t="s">
        <v>31790</v>
      </c>
      <c r="F2631" s="19" t="s">
        <v>35984</v>
      </c>
      <c r="G2631" s="18" t="str">
        <f>"31643"</f>
        <v>31643</v>
      </c>
      <c r="H2631" s="19" t="s">
        <v>36183</v>
      </c>
      <c r="I2631" s="20">
        <v>16.228000000000002</v>
      </c>
      <c r="J2631" s="44" t="s">
        <v>8</v>
      </c>
      <c r="K2631" s="23" t="s">
        <v>8</v>
      </c>
      <c r="L2631" s="23" t="s">
        <v>8</v>
      </c>
      <c r="M2631" s="23" t="s">
        <v>8</v>
      </c>
    </row>
    <row r="2632" spans="1:13" s="21" customFormat="1" x14ac:dyDescent="0.25">
      <c r="A2632" s="22" t="s">
        <v>8</v>
      </c>
      <c r="B2632" s="18" t="str">
        <f>"115501"</f>
        <v>115501</v>
      </c>
      <c r="C2632" s="19" t="s">
        <v>2624</v>
      </c>
      <c r="D2632" s="19" t="s">
        <v>18064</v>
      </c>
      <c r="E2632" s="19" t="s">
        <v>30900</v>
      </c>
      <c r="F2632" s="19" t="s">
        <v>35984</v>
      </c>
      <c r="G2632" s="18" t="str">
        <f>"31792"</f>
        <v>31792</v>
      </c>
      <c r="H2632" s="19" t="s">
        <v>35510</v>
      </c>
      <c r="I2632" s="20">
        <v>17.015999999999998</v>
      </c>
      <c r="J2632" s="44" t="s">
        <v>8</v>
      </c>
      <c r="K2632" s="23" t="s">
        <v>8</v>
      </c>
      <c r="L2632" s="23" t="s">
        <v>8</v>
      </c>
      <c r="M2632" s="23" t="s">
        <v>8</v>
      </c>
    </row>
    <row r="2633" spans="1:13" s="21" customFormat="1" x14ac:dyDescent="0.25">
      <c r="A2633" s="22" t="s">
        <v>8</v>
      </c>
      <c r="B2633" s="18" t="str">
        <f>"115502"</f>
        <v>115502</v>
      </c>
      <c r="C2633" s="19" t="s">
        <v>2625</v>
      </c>
      <c r="D2633" s="19" t="s">
        <v>18065</v>
      </c>
      <c r="E2633" s="19" t="s">
        <v>30854</v>
      </c>
      <c r="F2633" s="19" t="s">
        <v>35984</v>
      </c>
      <c r="G2633" s="18" t="str">
        <f>"30143"</f>
        <v>30143</v>
      </c>
      <c r="H2633" s="19" t="s">
        <v>35058</v>
      </c>
      <c r="I2633" s="20">
        <v>18.658999999999999</v>
      </c>
      <c r="J2633" s="44" t="s">
        <v>8</v>
      </c>
      <c r="K2633" s="23" t="s">
        <v>8</v>
      </c>
      <c r="L2633" s="23" t="s">
        <v>8</v>
      </c>
      <c r="M2633" s="23" t="s">
        <v>8</v>
      </c>
    </row>
    <row r="2634" spans="1:13" s="21" customFormat="1" x14ac:dyDescent="0.25">
      <c r="A2634" s="22" t="s">
        <v>8</v>
      </c>
      <c r="B2634" s="18" t="str">
        <f>"115503"</f>
        <v>115503</v>
      </c>
      <c r="C2634" s="19" t="s">
        <v>2626</v>
      </c>
      <c r="D2634" s="19" t="s">
        <v>18066</v>
      </c>
      <c r="E2634" s="19" t="s">
        <v>31703</v>
      </c>
      <c r="F2634" s="19" t="s">
        <v>35984</v>
      </c>
      <c r="G2634" s="18" t="str">
        <f>"31545"</f>
        <v>31545</v>
      </c>
      <c r="H2634" s="19" t="s">
        <v>33280</v>
      </c>
      <c r="I2634" s="20">
        <v>19.056999999999999</v>
      </c>
      <c r="J2634" s="44" t="s">
        <v>8</v>
      </c>
      <c r="K2634" s="23" t="s">
        <v>8</v>
      </c>
      <c r="L2634" s="23" t="s">
        <v>8</v>
      </c>
      <c r="M2634" s="23" t="s">
        <v>8</v>
      </c>
    </row>
    <row r="2635" spans="1:13" s="21" customFormat="1" x14ac:dyDescent="0.25">
      <c r="A2635" s="22" t="s">
        <v>8</v>
      </c>
      <c r="B2635" s="18" t="str">
        <f>"115504"</f>
        <v>115504</v>
      </c>
      <c r="C2635" s="19" t="s">
        <v>2627</v>
      </c>
      <c r="D2635" s="19" t="s">
        <v>18067</v>
      </c>
      <c r="E2635" s="19" t="s">
        <v>31709</v>
      </c>
      <c r="F2635" s="19" t="s">
        <v>35984</v>
      </c>
      <c r="G2635" s="18" t="str">
        <f>"30319"</f>
        <v>30319</v>
      </c>
      <c r="H2635" s="19" t="s">
        <v>31954</v>
      </c>
      <c r="I2635" s="20">
        <v>18.582000000000001</v>
      </c>
      <c r="J2635" s="44" t="s">
        <v>8</v>
      </c>
      <c r="K2635" s="23" t="s">
        <v>8</v>
      </c>
      <c r="L2635" s="23" t="s">
        <v>8</v>
      </c>
      <c r="M2635" s="23" t="s">
        <v>8</v>
      </c>
    </row>
    <row r="2636" spans="1:13" s="21" customFormat="1" x14ac:dyDescent="0.25">
      <c r="A2636" s="22" t="s">
        <v>8</v>
      </c>
      <c r="B2636" s="18" t="str">
        <f>"115505"</f>
        <v>115505</v>
      </c>
      <c r="C2636" s="19" t="s">
        <v>2628</v>
      </c>
      <c r="D2636" s="19" t="s">
        <v>18068</v>
      </c>
      <c r="E2636" s="19" t="s">
        <v>31699</v>
      </c>
      <c r="F2636" s="19" t="s">
        <v>35984</v>
      </c>
      <c r="G2636" s="18" t="str">
        <f>"31768"</f>
        <v>31768</v>
      </c>
      <c r="H2636" s="19" t="s">
        <v>31712</v>
      </c>
      <c r="I2636" s="20">
        <v>18.526</v>
      </c>
      <c r="J2636" s="44" t="s">
        <v>8</v>
      </c>
      <c r="K2636" s="23" t="s">
        <v>8</v>
      </c>
      <c r="L2636" s="23" t="s">
        <v>8</v>
      </c>
      <c r="M2636" s="23" t="s">
        <v>8</v>
      </c>
    </row>
    <row r="2637" spans="1:13" s="21" customFormat="1" x14ac:dyDescent="0.25">
      <c r="A2637" s="22" t="s">
        <v>8</v>
      </c>
      <c r="B2637" s="18" t="str">
        <f>"115506"</f>
        <v>115506</v>
      </c>
      <c r="C2637" s="19" t="s">
        <v>2629</v>
      </c>
      <c r="D2637" s="19" t="s">
        <v>18069</v>
      </c>
      <c r="E2637" s="19" t="s">
        <v>31736</v>
      </c>
      <c r="F2637" s="19" t="s">
        <v>35984</v>
      </c>
      <c r="G2637" s="18" t="str">
        <f>"30213"</f>
        <v>30213</v>
      </c>
      <c r="H2637" s="19" t="s">
        <v>32194</v>
      </c>
      <c r="I2637" s="20">
        <v>22.18</v>
      </c>
      <c r="J2637" s="44" t="s">
        <v>8</v>
      </c>
      <c r="K2637" s="23" t="s">
        <v>8</v>
      </c>
      <c r="L2637" s="23" t="s">
        <v>8</v>
      </c>
      <c r="M2637" s="23" t="s">
        <v>8</v>
      </c>
    </row>
    <row r="2638" spans="1:13" s="21" customFormat="1" x14ac:dyDescent="0.25">
      <c r="A2638" s="22" t="s">
        <v>8</v>
      </c>
      <c r="B2638" s="18" t="str">
        <f>"115507"</f>
        <v>115507</v>
      </c>
      <c r="C2638" s="19" t="s">
        <v>2630</v>
      </c>
      <c r="D2638" s="19" t="s">
        <v>18070</v>
      </c>
      <c r="E2638" s="19" t="s">
        <v>30876</v>
      </c>
      <c r="F2638" s="19" t="s">
        <v>35984</v>
      </c>
      <c r="G2638" s="18" t="str">
        <f>"31006"</f>
        <v>31006</v>
      </c>
      <c r="H2638" s="19" t="s">
        <v>31080</v>
      </c>
      <c r="I2638" s="20">
        <v>23.212</v>
      </c>
      <c r="J2638" s="44" t="s">
        <v>8</v>
      </c>
      <c r="K2638" s="23" t="s">
        <v>8</v>
      </c>
      <c r="L2638" s="23" t="s">
        <v>8</v>
      </c>
      <c r="M2638" s="23" t="s">
        <v>8</v>
      </c>
    </row>
    <row r="2639" spans="1:13" s="21" customFormat="1" x14ac:dyDescent="0.25">
      <c r="A2639" s="22" t="s">
        <v>8</v>
      </c>
      <c r="B2639" s="18" t="str">
        <f>"115508"</f>
        <v>115508</v>
      </c>
      <c r="C2639" s="19" t="s">
        <v>2631</v>
      </c>
      <c r="D2639" s="19" t="s">
        <v>18071</v>
      </c>
      <c r="E2639" s="19" t="s">
        <v>31791</v>
      </c>
      <c r="F2639" s="19" t="s">
        <v>35984</v>
      </c>
      <c r="G2639" s="18" t="str">
        <f>"30114"</f>
        <v>30114</v>
      </c>
      <c r="H2639" s="19" t="s">
        <v>32436</v>
      </c>
      <c r="I2639" s="20">
        <v>20.530999999999999</v>
      </c>
      <c r="J2639" s="44" t="s">
        <v>8</v>
      </c>
      <c r="K2639" s="23" t="s">
        <v>8</v>
      </c>
      <c r="L2639" s="23" t="s">
        <v>8</v>
      </c>
      <c r="M2639" s="23" t="s">
        <v>8</v>
      </c>
    </row>
    <row r="2640" spans="1:13" s="21" customFormat="1" x14ac:dyDescent="0.25">
      <c r="A2640" s="22" t="s">
        <v>8</v>
      </c>
      <c r="B2640" s="18" t="str">
        <f>"115509"</f>
        <v>115509</v>
      </c>
      <c r="C2640" s="19" t="s">
        <v>2632</v>
      </c>
      <c r="D2640" s="19" t="s">
        <v>18072</v>
      </c>
      <c r="E2640" s="19" t="s">
        <v>30824</v>
      </c>
      <c r="F2640" s="19" t="s">
        <v>35984</v>
      </c>
      <c r="G2640" s="18" t="str">
        <f>"30606"</f>
        <v>30606</v>
      </c>
      <c r="H2640" s="19" t="s">
        <v>36034</v>
      </c>
      <c r="I2640" s="20">
        <v>18.218</v>
      </c>
      <c r="J2640" s="44" t="s">
        <v>8</v>
      </c>
      <c r="K2640" s="23" t="s">
        <v>8</v>
      </c>
      <c r="L2640" s="23" t="s">
        <v>8</v>
      </c>
      <c r="M2640" s="23" t="s">
        <v>8</v>
      </c>
    </row>
    <row r="2641" spans="1:13" s="21" customFormat="1" x14ac:dyDescent="0.25">
      <c r="A2641" s="22" t="s">
        <v>8</v>
      </c>
      <c r="B2641" s="18" t="str">
        <f>"115512"</f>
        <v>115512</v>
      </c>
      <c r="C2641" s="19" t="s">
        <v>2633</v>
      </c>
      <c r="D2641" s="19" t="s">
        <v>18073</v>
      </c>
      <c r="E2641" s="19" t="s">
        <v>31709</v>
      </c>
      <c r="F2641" s="19" t="s">
        <v>35984</v>
      </c>
      <c r="G2641" s="18" t="str">
        <f>"30318"</f>
        <v>30318</v>
      </c>
      <c r="H2641" s="19" t="s">
        <v>32194</v>
      </c>
      <c r="I2641" s="20">
        <v>21.527000000000001</v>
      </c>
      <c r="J2641" s="44" t="s">
        <v>8</v>
      </c>
      <c r="K2641" s="23" t="s">
        <v>8</v>
      </c>
      <c r="L2641" s="23" t="s">
        <v>8</v>
      </c>
      <c r="M2641" s="23" t="s">
        <v>8</v>
      </c>
    </row>
    <row r="2642" spans="1:13" s="21" customFormat="1" x14ac:dyDescent="0.25">
      <c r="A2642" s="22" t="s">
        <v>8</v>
      </c>
      <c r="B2642" s="18" t="str">
        <f>"115513"</f>
        <v>115513</v>
      </c>
      <c r="C2642" s="19" t="s">
        <v>2634</v>
      </c>
      <c r="D2642" s="19" t="s">
        <v>18074</v>
      </c>
      <c r="E2642" s="19" t="s">
        <v>31067</v>
      </c>
      <c r="F2642" s="19" t="s">
        <v>35984</v>
      </c>
      <c r="G2642" s="18" t="str">
        <f>"31510"</f>
        <v>31510</v>
      </c>
      <c r="H2642" s="19" t="s">
        <v>36184</v>
      </c>
      <c r="I2642" s="20">
        <v>21.332999999999998</v>
      </c>
      <c r="J2642" s="44" t="s">
        <v>8</v>
      </c>
      <c r="K2642" s="23" t="s">
        <v>8</v>
      </c>
      <c r="L2642" s="23" t="s">
        <v>8</v>
      </c>
      <c r="M2642" s="23" t="s">
        <v>8</v>
      </c>
    </row>
    <row r="2643" spans="1:13" s="21" customFormat="1" x14ac:dyDescent="0.25">
      <c r="A2643" s="22" t="s">
        <v>8</v>
      </c>
      <c r="B2643" s="18" t="str">
        <f>"115515"</f>
        <v>115515</v>
      </c>
      <c r="C2643" s="19" t="s">
        <v>2635</v>
      </c>
      <c r="D2643" s="19" t="s">
        <v>18075</v>
      </c>
      <c r="E2643" s="19" t="s">
        <v>31792</v>
      </c>
      <c r="F2643" s="19" t="s">
        <v>35984</v>
      </c>
      <c r="G2643" s="18" t="str">
        <f>"30152"</f>
        <v>30152</v>
      </c>
      <c r="H2643" s="19" t="s">
        <v>36158</v>
      </c>
      <c r="I2643" s="20">
        <v>19.271999999999998</v>
      </c>
      <c r="J2643" s="44" t="s">
        <v>8</v>
      </c>
      <c r="K2643" s="23" t="s">
        <v>8</v>
      </c>
      <c r="L2643" s="23" t="s">
        <v>8</v>
      </c>
      <c r="M2643" s="23" t="s">
        <v>8</v>
      </c>
    </row>
    <row r="2644" spans="1:13" s="21" customFormat="1" x14ac:dyDescent="0.25">
      <c r="A2644" s="22" t="s">
        <v>8</v>
      </c>
      <c r="B2644" s="18" t="str">
        <f>"115516"</f>
        <v>115516</v>
      </c>
      <c r="C2644" s="19" t="s">
        <v>2636</v>
      </c>
      <c r="D2644" s="19" t="s">
        <v>18076</v>
      </c>
      <c r="E2644" s="19" t="s">
        <v>31793</v>
      </c>
      <c r="F2644" s="19" t="s">
        <v>35984</v>
      </c>
      <c r="G2644" s="18" t="str">
        <f>"30047"</f>
        <v>30047</v>
      </c>
      <c r="H2644" s="19" t="s">
        <v>36168</v>
      </c>
      <c r="I2644" s="20">
        <v>20.032</v>
      </c>
      <c r="J2644" s="44" t="s">
        <v>8</v>
      </c>
      <c r="K2644" s="23" t="s">
        <v>8</v>
      </c>
      <c r="L2644" s="23" t="s">
        <v>8</v>
      </c>
      <c r="M2644" s="23" t="s">
        <v>8</v>
      </c>
    </row>
    <row r="2645" spans="1:13" s="21" customFormat="1" x14ac:dyDescent="0.25">
      <c r="A2645" s="22" t="s">
        <v>8</v>
      </c>
      <c r="B2645" s="18" t="str">
        <f>"115520"</f>
        <v>115520</v>
      </c>
      <c r="C2645" s="19" t="s">
        <v>2637</v>
      </c>
      <c r="D2645" s="19" t="s">
        <v>18077</v>
      </c>
      <c r="E2645" s="19" t="s">
        <v>31794</v>
      </c>
      <c r="F2645" s="19" t="s">
        <v>35984</v>
      </c>
      <c r="G2645" s="18" t="str">
        <f>"31521"</f>
        <v>31521</v>
      </c>
      <c r="H2645" s="19" t="s">
        <v>36185</v>
      </c>
      <c r="I2645" s="20">
        <v>23.216999999999999</v>
      </c>
      <c r="J2645" s="44" t="s">
        <v>8</v>
      </c>
      <c r="K2645" s="23" t="s">
        <v>8</v>
      </c>
      <c r="L2645" s="23" t="s">
        <v>8</v>
      </c>
      <c r="M2645" s="23" t="s">
        <v>8</v>
      </c>
    </row>
    <row r="2646" spans="1:13" s="21" customFormat="1" x14ac:dyDescent="0.25">
      <c r="A2646" s="22" t="s">
        <v>8</v>
      </c>
      <c r="B2646" s="18" t="str">
        <f>"115521"</f>
        <v>115521</v>
      </c>
      <c r="C2646" s="19" t="s">
        <v>2638</v>
      </c>
      <c r="D2646" s="19" t="s">
        <v>18078</v>
      </c>
      <c r="E2646" s="19" t="s">
        <v>31718</v>
      </c>
      <c r="F2646" s="19" t="s">
        <v>35984</v>
      </c>
      <c r="G2646" s="18" t="str">
        <f>"30067"</f>
        <v>30067</v>
      </c>
      <c r="H2646" s="19" t="s">
        <v>36158</v>
      </c>
      <c r="I2646" s="20">
        <v>16.690000000000001</v>
      </c>
      <c r="J2646" s="44" t="s">
        <v>8</v>
      </c>
      <c r="K2646" s="23" t="s">
        <v>8</v>
      </c>
      <c r="L2646" s="23" t="s">
        <v>8</v>
      </c>
      <c r="M2646" s="23" t="s">
        <v>8</v>
      </c>
    </row>
    <row r="2647" spans="1:13" s="21" customFormat="1" x14ac:dyDescent="0.25">
      <c r="A2647" s="22" t="s">
        <v>8</v>
      </c>
      <c r="B2647" s="18" t="str">
        <f>"115522"</f>
        <v>115522</v>
      </c>
      <c r="C2647" s="19" t="s">
        <v>2639</v>
      </c>
      <c r="D2647" s="19" t="s">
        <v>18079</v>
      </c>
      <c r="E2647" s="19" t="s">
        <v>31795</v>
      </c>
      <c r="F2647" s="19" t="s">
        <v>35984</v>
      </c>
      <c r="G2647" s="18" t="str">
        <f>"30451"</f>
        <v>30451</v>
      </c>
      <c r="H2647" s="19" t="s">
        <v>34331</v>
      </c>
      <c r="I2647" s="20">
        <v>18.475000000000001</v>
      </c>
      <c r="J2647" s="44" t="s">
        <v>8</v>
      </c>
      <c r="K2647" s="23" t="s">
        <v>8</v>
      </c>
      <c r="L2647" s="23" t="s">
        <v>8</v>
      </c>
      <c r="M2647" s="23" t="s">
        <v>8</v>
      </c>
    </row>
    <row r="2648" spans="1:13" s="21" customFormat="1" x14ac:dyDescent="0.25">
      <c r="A2648" s="22" t="s">
        <v>8</v>
      </c>
      <c r="B2648" s="18" t="str">
        <f>"115523"</f>
        <v>115523</v>
      </c>
      <c r="C2648" s="19" t="s">
        <v>2640</v>
      </c>
      <c r="D2648" s="19" t="s">
        <v>18080</v>
      </c>
      <c r="E2648" s="19" t="s">
        <v>31796</v>
      </c>
      <c r="F2648" s="19" t="s">
        <v>35984</v>
      </c>
      <c r="G2648" s="18" t="str">
        <f>"31078"</f>
        <v>31078</v>
      </c>
      <c r="H2648" s="19" t="s">
        <v>31759</v>
      </c>
      <c r="I2648" s="20">
        <v>17.483000000000001</v>
      </c>
      <c r="J2648" s="44" t="s">
        <v>8</v>
      </c>
      <c r="K2648" s="23" t="s">
        <v>8</v>
      </c>
      <c r="L2648" s="23" t="s">
        <v>8</v>
      </c>
      <c r="M2648" s="23" t="s">
        <v>8</v>
      </c>
    </row>
    <row r="2649" spans="1:13" s="21" customFormat="1" x14ac:dyDescent="0.25">
      <c r="A2649" s="22" t="s">
        <v>8</v>
      </c>
      <c r="B2649" s="18" t="str">
        <f>"115524"</f>
        <v>115524</v>
      </c>
      <c r="C2649" s="19" t="s">
        <v>2641</v>
      </c>
      <c r="D2649" s="19" t="s">
        <v>18081</v>
      </c>
      <c r="E2649" s="19" t="s">
        <v>31741</v>
      </c>
      <c r="F2649" s="19" t="s">
        <v>35984</v>
      </c>
      <c r="G2649" s="18" t="str">
        <f>"30809"</f>
        <v>30809</v>
      </c>
      <c r="H2649" s="19" t="s">
        <v>32076</v>
      </c>
      <c r="I2649" s="20">
        <v>16.786000000000001</v>
      </c>
      <c r="J2649" s="44" t="s">
        <v>8</v>
      </c>
      <c r="K2649" s="23" t="s">
        <v>8</v>
      </c>
      <c r="L2649" s="23" t="s">
        <v>8</v>
      </c>
      <c r="M2649" s="23" t="s">
        <v>8</v>
      </c>
    </row>
    <row r="2650" spans="1:13" s="21" customFormat="1" x14ac:dyDescent="0.25">
      <c r="A2650" s="22" t="s">
        <v>8</v>
      </c>
      <c r="B2650" s="18" t="str">
        <f>"115525"</f>
        <v>115525</v>
      </c>
      <c r="C2650" s="19" t="s">
        <v>2642</v>
      </c>
      <c r="D2650" s="19" t="s">
        <v>18082</v>
      </c>
      <c r="E2650" s="19" t="s">
        <v>31709</v>
      </c>
      <c r="F2650" s="19" t="s">
        <v>35984</v>
      </c>
      <c r="G2650" s="18" t="str">
        <f>"30315"</f>
        <v>30315</v>
      </c>
      <c r="H2650" s="19" t="s">
        <v>32194</v>
      </c>
      <c r="I2650" s="20">
        <v>18.526</v>
      </c>
      <c r="J2650" s="44" t="s">
        <v>8</v>
      </c>
      <c r="K2650" s="23" t="s">
        <v>8</v>
      </c>
      <c r="L2650" s="23" t="s">
        <v>8</v>
      </c>
      <c r="M2650" s="23" t="s">
        <v>8</v>
      </c>
    </row>
    <row r="2651" spans="1:13" s="21" customFormat="1" x14ac:dyDescent="0.25">
      <c r="A2651" s="22" t="s">
        <v>8</v>
      </c>
      <c r="B2651" s="18" t="str">
        <f>"115528"</f>
        <v>115528</v>
      </c>
      <c r="C2651" s="19" t="s">
        <v>2643</v>
      </c>
      <c r="D2651" s="19" t="s">
        <v>18083</v>
      </c>
      <c r="E2651" s="19" t="s">
        <v>31720</v>
      </c>
      <c r="F2651" s="19" t="s">
        <v>35984</v>
      </c>
      <c r="G2651" s="18" t="str">
        <f>"30263"</f>
        <v>30263</v>
      </c>
      <c r="H2651" s="19" t="s">
        <v>34682</v>
      </c>
      <c r="I2651" s="20">
        <v>18.963999999999999</v>
      </c>
      <c r="J2651" s="44" t="s">
        <v>8</v>
      </c>
      <c r="K2651" s="23" t="s">
        <v>8</v>
      </c>
      <c r="L2651" s="23" t="s">
        <v>8</v>
      </c>
      <c r="M2651" s="23" t="s">
        <v>8</v>
      </c>
    </row>
    <row r="2652" spans="1:13" s="21" customFormat="1" x14ac:dyDescent="0.25">
      <c r="A2652" s="22" t="s">
        <v>8</v>
      </c>
      <c r="B2652" s="18" t="str">
        <f>"115529"</f>
        <v>115529</v>
      </c>
      <c r="C2652" s="19" t="s">
        <v>2644</v>
      </c>
      <c r="D2652" s="19" t="s">
        <v>18084</v>
      </c>
      <c r="E2652" s="19" t="s">
        <v>31797</v>
      </c>
      <c r="F2652" s="19" t="s">
        <v>35984</v>
      </c>
      <c r="G2652" s="18" t="str">
        <f>"30223"</f>
        <v>30223</v>
      </c>
      <c r="H2652" s="19" t="s">
        <v>36186</v>
      </c>
      <c r="I2652" s="20">
        <v>20.599</v>
      </c>
      <c r="J2652" s="44" t="s">
        <v>8</v>
      </c>
      <c r="K2652" s="23" t="s">
        <v>8</v>
      </c>
      <c r="L2652" s="23" t="s">
        <v>8</v>
      </c>
      <c r="M2652" s="23" t="s">
        <v>8</v>
      </c>
    </row>
    <row r="2653" spans="1:13" s="21" customFormat="1" x14ac:dyDescent="0.25">
      <c r="A2653" s="22" t="s">
        <v>8</v>
      </c>
      <c r="B2653" s="18" t="str">
        <f>"115530"</f>
        <v>115530</v>
      </c>
      <c r="C2653" s="19" t="s">
        <v>2645</v>
      </c>
      <c r="D2653" s="19" t="s">
        <v>18085</v>
      </c>
      <c r="E2653" s="19" t="s">
        <v>31798</v>
      </c>
      <c r="F2653" s="19" t="s">
        <v>35984</v>
      </c>
      <c r="G2653" s="18" t="str">
        <f>"30153"</f>
        <v>30153</v>
      </c>
      <c r="H2653" s="19" t="s">
        <v>36062</v>
      </c>
      <c r="I2653" s="20">
        <v>22.234000000000002</v>
      </c>
      <c r="J2653" s="44" t="s">
        <v>8</v>
      </c>
      <c r="K2653" s="23" t="s">
        <v>8</v>
      </c>
      <c r="L2653" s="23" t="s">
        <v>8</v>
      </c>
      <c r="M2653" s="23" t="s">
        <v>8</v>
      </c>
    </row>
    <row r="2654" spans="1:13" s="21" customFormat="1" x14ac:dyDescent="0.25">
      <c r="A2654" s="22" t="s">
        <v>8</v>
      </c>
      <c r="B2654" s="18" t="str">
        <f>"115531"</f>
        <v>115531</v>
      </c>
      <c r="C2654" s="19" t="s">
        <v>2646</v>
      </c>
      <c r="D2654" s="19" t="s">
        <v>18086</v>
      </c>
      <c r="E2654" s="19" t="s">
        <v>31709</v>
      </c>
      <c r="F2654" s="19" t="s">
        <v>35984</v>
      </c>
      <c r="G2654" s="18" t="str">
        <f>"30306"</f>
        <v>30306</v>
      </c>
      <c r="H2654" s="19" t="s">
        <v>32194</v>
      </c>
      <c r="I2654" s="20">
        <v>19.824000000000002</v>
      </c>
      <c r="J2654" s="44" t="s">
        <v>8</v>
      </c>
      <c r="K2654" s="23" t="s">
        <v>8</v>
      </c>
      <c r="L2654" s="23" t="s">
        <v>8</v>
      </c>
      <c r="M2654" s="23" t="s">
        <v>8</v>
      </c>
    </row>
    <row r="2655" spans="1:13" s="21" customFormat="1" x14ac:dyDescent="0.25">
      <c r="A2655" s="22" t="s">
        <v>8</v>
      </c>
      <c r="B2655" s="18" t="str">
        <f>"115532"</f>
        <v>115532</v>
      </c>
      <c r="C2655" s="19" t="s">
        <v>2647</v>
      </c>
      <c r="D2655" s="19" t="s">
        <v>18087</v>
      </c>
      <c r="E2655" s="19" t="s">
        <v>31799</v>
      </c>
      <c r="F2655" s="19" t="s">
        <v>35984</v>
      </c>
      <c r="G2655" s="18" t="str">
        <f>"30025"</f>
        <v>30025</v>
      </c>
      <c r="H2655" s="19" t="s">
        <v>36123</v>
      </c>
      <c r="I2655" s="20">
        <v>19.344000000000001</v>
      </c>
      <c r="J2655" s="44" t="s">
        <v>8</v>
      </c>
      <c r="K2655" s="23" t="s">
        <v>8</v>
      </c>
      <c r="L2655" s="23" t="s">
        <v>8</v>
      </c>
      <c r="M2655" s="23" t="s">
        <v>8</v>
      </c>
    </row>
    <row r="2656" spans="1:13" s="21" customFormat="1" x14ac:dyDescent="0.25">
      <c r="A2656" s="22" t="s">
        <v>8</v>
      </c>
      <c r="B2656" s="18" t="str">
        <f>"115533"</f>
        <v>115533</v>
      </c>
      <c r="C2656" s="19" t="s">
        <v>2648</v>
      </c>
      <c r="D2656" s="19" t="s">
        <v>18088</v>
      </c>
      <c r="E2656" s="19" t="s">
        <v>31700</v>
      </c>
      <c r="F2656" s="19" t="s">
        <v>35984</v>
      </c>
      <c r="G2656" s="18" t="str">
        <f>"30401"</f>
        <v>30401</v>
      </c>
      <c r="H2656" s="19" t="s">
        <v>36152</v>
      </c>
      <c r="I2656" s="20">
        <v>15.917</v>
      </c>
      <c r="J2656" s="44" t="s">
        <v>8</v>
      </c>
      <c r="K2656" s="23" t="s">
        <v>8</v>
      </c>
      <c r="L2656" s="23" t="s">
        <v>8</v>
      </c>
      <c r="M2656" s="23" t="s">
        <v>8</v>
      </c>
    </row>
    <row r="2657" spans="1:13" s="21" customFormat="1" x14ac:dyDescent="0.25">
      <c r="A2657" s="22" t="s">
        <v>8</v>
      </c>
      <c r="B2657" s="18" t="str">
        <f>"115534"</f>
        <v>115534</v>
      </c>
      <c r="C2657" s="19" t="s">
        <v>2649</v>
      </c>
      <c r="D2657" s="19" t="s">
        <v>18089</v>
      </c>
      <c r="E2657" s="19" t="s">
        <v>31719</v>
      </c>
      <c r="F2657" s="19" t="s">
        <v>35984</v>
      </c>
      <c r="G2657" s="18" t="str">
        <f>"31406"</f>
        <v>31406</v>
      </c>
      <c r="H2657" s="19" t="s">
        <v>33903</v>
      </c>
      <c r="I2657" s="20">
        <v>17.195</v>
      </c>
      <c r="J2657" s="44" t="s">
        <v>8</v>
      </c>
      <c r="K2657" s="23" t="s">
        <v>8</v>
      </c>
      <c r="L2657" s="23" t="s">
        <v>8</v>
      </c>
      <c r="M2657" s="23" t="s">
        <v>8</v>
      </c>
    </row>
    <row r="2658" spans="1:13" s="21" customFormat="1" x14ac:dyDescent="0.25">
      <c r="A2658" s="22" t="s">
        <v>8</v>
      </c>
      <c r="B2658" s="18" t="str">
        <f>"115535"</f>
        <v>115535</v>
      </c>
      <c r="C2658" s="19" t="s">
        <v>2650</v>
      </c>
      <c r="D2658" s="19" t="s">
        <v>18090</v>
      </c>
      <c r="E2658" s="19" t="s">
        <v>31055</v>
      </c>
      <c r="F2658" s="19" t="s">
        <v>35984</v>
      </c>
      <c r="G2658" s="18" t="str">
        <f>"30260"</f>
        <v>30260</v>
      </c>
      <c r="H2658" s="19" t="s">
        <v>31848</v>
      </c>
      <c r="I2658" s="20">
        <v>18.779</v>
      </c>
      <c r="J2658" s="44" t="s">
        <v>8</v>
      </c>
      <c r="K2658" s="23" t="s">
        <v>8</v>
      </c>
      <c r="L2658" s="23" t="s">
        <v>8</v>
      </c>
      <c r="M2658" s="23" t="s">
        <v>8</v>
      </c>
    </row>
    <row r="2659" spans="1:13" s="21" customFormat="1" x14ac:dyDescent="0.25">
      <c r="A2659" s="22" t="s">
        <v>8</v>
      </c>
      <c r="B2659" s="18" t="str">
        <f>"115536"</f>
        <v>115536</v>
      </c>
      <c r="C2659" s="19" t="s">
        <v>2651</v>
      </c>
      <c r="D2659" s="19" t="s">
        <v>18091</v>
      </c>
      <c r="E2659" s="19" t="s">
        <v>31800</v>
      </c>
      <c r="F2659" s="19" t="s">
        <v>35984</v>
      </c>
      <c r="G2659" s="18" t="str">
        <f>"30680"</f>
        <v>30680</v>
      </c>
      <c r="H2659" s="19" t="s">
        <v>36187</v>
      </c>
      <c r="I2659" s="20">
        <v>17.891999999999999</v>
      </c>
      <c r="J2659" s="44" t="s">
        <v>8</v>
      </c>
      <c r="K2659" s="23" t="s">
        <v>8</v>
      </c>
      <c r="L2659" s="23" t="s">
        <v>8</v>
      </c>
      <c r="M2659" s="23" t="s">
        <v>8</v>
      </c>
    </row>
    <row r="2660" spans="1:13" s="21" customFormat="1" x14ac:dyDescent="0.25">
      <c r="A2660" s="22" t="s">
        <v>8</v>
      </c>
      <c r="B2660" s="18" t="str">
        <f>"115537"</f>
        <v>115537</v>
      </c>
      <c r="C2660" s="19" t="s">
        <v>2652</v>
      </c>
      <c r="D2660" s="19" t="s">
        <v>18092</v>
      </c>
      <c r="E2660" s="19" t="s">
        <v>31797</v>
      </c>
      <c r="F2660" s="19" t="s">
        <v>35984</v>
      </c>
      <c r="G2660" s="18" t="str">
        <f>"30223"</f>
        <v>30223</v>
      </c>
      <c r="H2660" s="19" t="s">
        <v>36186</v>
      </c>
      <c r="I2660" s="20">
        <v>21.550999999999998</v>
      </c>
      <c r="J2660" s="44" t="s">
        <v>8</v>
      </c>
      <c r="K2660" s="23" t="s">
        <v>8</v>
      </c>
      <c r="L2660" s="23" t="s">
        <v>8</v>
      </c>
      <c r="M2660" s="23" t="s">
        <v>8</v>
      </c>
    </row>
    <row r="2661" spans="1:13" s="21" customFormat="1" x14ac:dyDescent="0.25">
      <c r="A2661" s="22" t="s">
        <v>8</v>
      </c>
      <c r="B2661" s="18" t="str">
        <f>"115538"</f>
        <v>115538</v>
      </c>
      <c r="C2661" s="19" t="s">
        <v>2653</v>
      </c>
      <c r="D2661" s="19" t="s">
        <v>18093</v>
      </c>
      <c r="E2661" s="19" t="s">
        <v>31801</v>
      </c>
      <c r="F2661" s="19" t="s">
        <v>35984</v>
      </c>
      <c r="G2661" s="18" t="str">
        <f>"30127"</f>
        <v>30127</v>
      </c>
      <c r="H2661" s="19" t="s">
        <v>36158</v>
      </c>
      <c r="I2661" s="20">
        <v>18.11</v>
      </c>
      <c r="J2661" s="44" t="s">
        <v>8</v>
      </c>
      <c r="K2661" s="23" t="s">
        <v>8</v>
      </c>
      <c r="L2661" s="23" t="s">
        <v>8</v>
      </c>
      <c r="M2661" s="23" t="s">
        <v>8</v>
      </c>
    </row>
    <row r="2662" spans="1:13" s="21" customFormat="1" x14ac:dyDescent="0.25">
      <c r="A2662" s="22" t="s">
        <v>8</v>
      </c>
      <c r="B2662" s="18" t="str">
        <f>"115539"</f>
        <v>115539</v>
      </c>
      <c r="C2662" s="19" t="s">
        <v>2654</v>
      </c>
      <c r="D2662" s="19" t="s">
        <v>18094</v>
      </c>
      <c r="E2662" s="19" t="s">
        <v>30992</v>
      </c>
      <c r="F2662" s="19" t="s">
        <v>35984</v>
      </c>
      <c r="G2662" s="18" t="str">
        <f>"30236"</f>
        <v>30236</v>
      </c>
      <c r="H2662" s="19" t="s">
        <v>31848</v>
      </c>
      <c r="I2662" s="20">
        <v>20.64</v>
      </c>
      <c r="J2662" s="44" t="s">
        <v>8</v>
      </c>
      <c r="K2662" s="23" t="s">
        <v>8</v>
      </c>
      <c r="L2662" s="23" t="s">
        <v>8</v>
      </c>
      <c r="M2662" s="23" t="s">
        <v>8</v>
      </c>
    </row>
    <row r="2663" spans="1:13" s="21" customFormat="1" x14ac:dyDescent="0.25">
      <c r="A2663" s="22" t="s">
        <v>8</v>
      </c>
      <c r="B2663" s="18" t="str">
        <f>"115540"</f>
        <v>115540</v>
      </c>
      <c r="C2663" s="19" t="s">
        <v>2655</v>
      </c>
      <c r="D2663" s="19" t="s">
        <v>18095</v>
      </c>
      <c r="E2663" s="19" t="s">
        <v>31802</v>
      </c>
      <c r="F2663" s="19" t="s">
        <v>35984</v>
      </c>
      <c r="G2663" s="18" t="str">
        <f>"30471"</f>
        <v>30471</v>
      </c>
      <c r="H2663" s="19" t="s">
        <v>36152</v>
      </c>
      <c r="I2663" s="20">
        <v>18.992000000000001</v>
      </c>
      <c r="J2663" s="44" t="s">
        <v>8</v>
      </c>
      <c r="K2663" s="23" t="s">
        <v>8</v>
      </c>
      <c r="L2663" s="23" t="s">
        <v>8</v>
      </c>
      <c r="M2663" s="23" t="s">
        <v>8</v>
      </c>
    </row>
    <row r="2664" spans="1:13" s="21" customFormat="1" x14ac:dyDescent="0.25">
      <c r="A2664" s="22" t="s">
        <v>8</v>
      </c>
      <c r="B2664" s="18" t="str">
        <f>"115541"</f>
        <v>115541</v>
      </c>
      <c r="C2664" s="19" t="s">
        <v>2656</v>
      </c>
      <c r="D2664" s="19" t="s">
        <v>18096</v>
      </c>
      <c r="E2664" s="19" t="s">
        <v>31803</v>
      </c>
      <c r="F2664" s="19" t="s">
        <v>35984</v>
      </c>
      <c r="G2664" s="18" t="str">
        <f>"31071"</f>
        <v>31071</v>
      </c>
      <c r="H2664" s="19" t="s">
        <v>36046</v>
      </c>
      <c r="I2664" s="20">
        <v>18.585999999999999</v>
      </c>
      <c r="J2664" s="44" t="s">
        <v>8</v>
      </c>
      <c r="K2664" s="23" t="s">
        <v>8</v>
      </c>
      <c r="L2664" s="23" t="s">
        <v>8</v>
      </c>
      <c r="M2664" s="23" t="s">
        <v>8</v>
      </c>
    </row>
    <row r="2665" spans="1:13" s="21" customFormat="1" x14ac:dyDescent="0.25">
      <c r="A2665" s="22" t="s">
        <v>8</v>
      </c>
      <c r="B2665" s="18" t="str">
        <f>"115542"</f>
        <v>115542</v>
      </c>
      <c r="C2665" s="19" t="s">
        <v>2657</v>
      </c>
      <c r="D2665" s="19" t="s">
        <v>18097</v>
      </c>
      <c r="E2665" s="19" t="s">
        <v>31709</v>
      </c>
      <c r="F2665" s="19" t="s">
        <v>35984</v>
      </c>
      <c r="G2665" s="18" t="str">
        <f>"30314"</f>
        <v>30314</v>
      </c>
      <c r="H2665" s="19" t="s">
        <v>32194</v>
      </c>
      <c r="I2665" s="20">
        <v>21.350999999999999</v>
      </c>
      <c r="J2665" s="44" t="s">
        <v>8</v>
      </c>
      <c r="K2665" s="23" t="s">
        <v>8</v>
      </c>
      <c r="L2665" s="23" t="s">
        <v>8</v>
      </c>
      <c r="M2665" s="23" t="s">
        <v>8</v>
      </c>
    </row>
    <row r="2666" spans="1:13" s="21" customFormat="1" x14ac:dyDescent="0.25">
      <c r="A2666" s="22" t="s">
        <v>8</v>
      </c>
      <c r="B2666" s="18" t="str">
        <f>"115543"</f>
        <v>115543</v>
      </c>
      <c r="C2666" s="19" t="s">
        <v>2658</v>
      </c>
      <c r="D2666" s="19" t="s">
        <v>18098</v>
      </c>
      <c r="E2666" s="19" t="s">
        <v>31778</v>
      </c>
      <c r="F2666" s="19" t="s">
        <v>35984</v>
      </c>
      <c r="G2666" s="18" t="str">
        <f>"30120"</f>
        <v>30120</v>
      </c>
      <c r="H2666" s="19" t="s">
        <v>31556</v>
      </c>
      <c r="I2666" s="20">
        <v>21.138000000000002</v>
      </c>
      <c r="J2666" s="44" t="s">
        <v>8</v>
      </c>
      <c r="K2666" s="23" t="s">
        <v>8</v>
      </c>
      <c r="L2666" s="23" t="s">
        <v>8</v>
      </c>
      <c r="M2666" s="23" t="s">
        <v>8</v>
      </c>
    </row>
    <row r="2667" spans="1:13" s="21" customFormat="1" x14ac:dyDescent="0.25">
      <c r="A2667" s="22" t="s">
        <v>8</v>
      </c>
      <c r="B2667" s="18" t="str">
        <f>"115544"</f>
        <v>115544</v>
      </c>
      <c r="C2667" s="19" t="s">
        <v>2659</v>
      </c>
      <c r="D2667" s="19" t="s">
        <v>18099</v>
      </c>
      <c r="E2667" s="19" t="s">
        <v>31804</v>
      </c>
      <c r="F2667" s="19" t="s">
        <v>35984</v>
      </c>
      <c r="G2667" s="18" t="str">
        <f>"30467"</f>
        <v>30467</v>
      </c>
      <c r="H2667" s="19" t="s">
        <v>36188</v>
      </c>
      <c r="I2667" s="20">
        <v>18.288</v>
      </c>
      <c r="J2667" s="44" t="s">
        <v>8</v>
      </c>
      <c r="K2667" s="23" t="s">
        <v>8</v>
      </c>
      <c r="L2667" s="23" t="s">
        <v>8</v>
      </c>
      <c r="M2667" s="23" t="s">
        <v>8</v>
      </c>
    </row>
    <row r="2668" spans="1:13" s="21" customFormat="1" x14ac:dyDescent="0.25">
      <c r="A2668" s="22" t="s">
        <v>8</v>
      </c>
      <c r="B2668" s="18" t="str">
        <f>"115545"</f>
        <v>115545</v>
      </c>
      <c r="C2668" s="19" t="s">
        <v>2660</v>
      </c>
      <c r="D2668" s="19" t="s">
        <v>18100</v>
      </c>
      <c r="E2668" s="19" t="s">
        <v>30992</v>
      </c>
      <c r="F2668" s="19" t="s">
        <v>35984</v>
      </c>
      <c r="G2668" s="18" t="str">
        <f>"30236"</f>
        <v>30236</v>
      </c>
      <c r="H2668" s="19" t="s">
        <v>31848</v>
      </c>
      <c r="I2668" s="20">
        <v>21.556000000000001</v>
      </c>
      <c r="J2668" s="44" t="s">
        <v>8</v>
      </c>
      <c r="K2668" s="23" t="s">
        <v>8</v>
      </c>
      <c r="L2668" s="23" t="s">
        <v>8</v>
      </c>
      <c r="M2668" s="23" t="s">
        <v>8</v>
      </c>
    </row>
    <row r="2669" spans="1:13" s="21" customFormat="1" x14ac:dyDescent="0.25">
      <c r="A2669" s="22" t="s">
        <v>8</v>
      </c>
      <c r="B2669" s="18" t="str">
        <f>"115546"</f>
        <v>115546</v>
      </c>
      <c r="C2669" s="19" t="s">
        <v>2661</v>
      </c>
      <c r="D2669" s="19" t="s">
        <v>18101</v>
      </c>
      <c r="E2669" s="19" t="s">
        <v>31719</v>
      </c>
      <c r="F2669" s="19" t="s">
        <v>35984</v>
      </c>
      <c r="G2669" s="18" t="str">
        <f>"31406"</f>
        <v>31406</v>
      </c>
      <c r="H2669" s="19" t="s">
        <v>33903</v>
      </c>
      <c r="I2669" s="20">
        <v>19.529</v>
      </c>
      <c r="J2669" s="44" t="s">
        <v>8</v>
      </c>
      <c r="K2669" s="23" t="s">
        <v>8</v>
      </c>
      <c r="L2669" s="23" t="s">
        <v>8</v>
      </c>
      <c r="M2669" s="23" t="s">
        <v>8</v>
      </c>
    </row>
    <row r="2670" spans="1:13" s="21" customFormat="1" x14ac:dyDescent="0.25">
      <c r="A2670" s="22" t="s">
        <v>8</v>
      </c>
      <c r="B2670" s="18" t="str">
        <f>"115547"</f>
        <v>115547</v>
      </c>
      <c r="C2670" s="19" t="s">
        <v>2662</v>
      </c>
      <c r="D2670" s="19" t="s">
        <v>18102</v>
      </c>
      <c r="E2670" s="19" t="s">
        <v>31805</v>
      </c>
      <c r="F2670" s="19" t="s">
        <v>35984</v>
      </c>
      <c r="G2670" s="18" t="str">
        <f>"31407"</f>
        <v>31407</v>
      </c>
      <c r="H2670" s="19" t="s">
        <v>33903</v>
      </c>
      <c r="I2670" s="20">
        <v>17.989000000000001</v>
      </c>
      <c r="J2670" s="44" t="s">
        <v>8</v>
      </c>
      <c r="K2670" s="23" t="s">
        <v>8</v>
      </c>
      <c r="L2670" s="23" t="s">
        <v>8</v>
      </c>
      <c r="M2670" s="23" t="s">
        <v>8</v>
      </c>
    </row>
    <row r="2671" spans="1:13" s="21" customFormat="1" x14ac:dyDescent="0.25">
      <c r="A2671" s="22" t="s">
        <v>8</v>
      </c>
      <c r="B2671" s="18" t="str">
        <f>"115550"</f>
        <v>115550</v>
      </c>
      <c r="C2671" s="19" t="s">
        <v>2663</v>
      </c>
      <c r="D2671" s="19" t="s">
        <v>18103</v>
      </c>
      <c r="E2671" s="19" t="s">
        <v>31806</v>
      </c>
      <c r="F2671" s="19" t="s">
        <v>35984</v>
      </c>
      <c r="G2671" s="18" t="str">
        <f>"31780"</f>
        <v>31780</v>
      </c>
      <c r="H2671" s="19" t="s">
        <v>35065</v>
      </c>
      <c r="I2671" s="20">
        <v>18.701000000000001</v>
      </c>
      <c r="J2671" s="44" t="s">
        <v>8</v>
      </c>
      <c r="K2671" s="23" t="s">
        <v>8</v>
      </c>
      <c r="L2671" s="23" t="s">
        <v>8</v>
      </c>
      <c r="M2671" s="23" t="s">
        <v>8</v>
      </c>
    </row>
    <row r="2672" spans="1:13" s="21" customFormat="1" x14ac:dyDescent="0.25">
      <c r="A2672" s="22" t="s">
        <v>8</v>
      </c>
      <c r="B2672" s="18" t="str">
        <f>"115551"</f>
        <v>115551</v>
      </c>
      <c r="C2672" s="19" t="s">
        <v>2664</v>
      </c>
      <c r="D2672" s="19" t="s">
        <v>18104</v>
      </c>
      <c r="E2672" s="19" t="s">
        <v>31768</v>
      </c>
      <c r="F2672" s="19" t="s">
        <v>35984</v>
      </c>
      <c r="G2672" s="18" t="str">
        <f>"30041"</f>
        <v>30041</v>
      </c>
      <c r="H2672" s="19" t="s">
        <v>31754</v>
      </c>
      <c r="I2672" s="20">
        <v>18.751999999999999</v>
      </c>
      <c r="J2672" s="44" t="s">
        <v>8</v>
      </c>
      <c r="K2672" s="23" t="s">
        <v>8</v>
      </c>
      <c r="L2672" s="23" t="s">
        <v>8</v>
      </c>
      <c r="M2672" s="23" t="s">
        <v>8</v>
      </c>
    </row>
    <row r="2673" spans="1:13" s="21" customFormat="1" x14ac:dyDescent="0.25">
      <c r="A2673" s="22" t="s">
        <v>8</v>
      </c>
      <c r="B2673" s="18" t="str">
        <f>"115552"</f>
        <v>115552</v>
      </c>
      <c r="C2673" s="19" t="s">
        <v>2665</v>
      </c>
      <c r="D2673" s="19" t="s">
        <v>18105</v>
      </c>
      <c r="E2673" s="19" t="s">
        <v>31807</v>
      </c>
      <c r="F2673" s="19" t="s">
        <v>35984</v>
      </c>
      <c r="G2673" s="18" t="str">
        <f>"31088"</f>
        <v>31088</v>
      </c>
      <c r="H2673" s="19" t="s">
        <v>33493</v>
      </c>
      <c r="I2673" s="20">
        <v>17.486999999999998</v>
      </c>
      <c r="J2673" s="44" t="s">
        <v>8</v>
      </c>
      <c r="K2673" s="23" t="s">
        <v>8</v>
      </c>
      <c r="L2673" s="23" t="s">
        <v>8</v>
      </c>
      <c r="M2673" s="23" t="s">
        <v>8</v>
      </c>
    </row>
    <row r="2674" spans="1:13" s="21" customFormat="1" x14ac:dyDescent="0.25">
      <c r="A2674" s="22" t="s">
        <v>8</v>
      </c>
      <c r="B2674" s="18" t="str">
        <f>"115553"</f>
        <v>115553</v>
      </c>
      <c r="C2674" s="19" t="s">
        <v>2666</v>
      </c>
      <c r="D2674" s="19" t="s">
        <v>18106</v>
      </c>
      <c r="E2674" s="19" t="s">
        <v>31808</v>
      </c>
      <c r="F2674" s="19" t="s">
        <v>35984</v>
      </c>
      <c r="G2674" s="18" t="str">
        <f>"31320"</f>
        <v>31320</v>
      </c>
      <c r="H2674" s="19" t="s">
        <v>32284</v>
      </c>
      <c r="I2674" s="20">
        <v>17.132000000000001</v>
      </c>
      <c r="J2674" s="44" t="s">
        <v>8</v>
      </c>
      <c r="K2674" s="23" t="s">
        <v>8</v>
      </c>
      <c r="L2674" s="23" t="s">
        <v>8</v>
      </c>
      <c r="M2674" s="23" t="s">
        <v>8</v>
      </c>
    </row>
    <row r="2675" spans="1:13" s="21" customFormat="1" x14ac:dyDescent="0.25">
      <c r="A2675" s="22" t="s">
        <v>8</v>
      </c>
      <c r="B2675" s="18" t="str">
        <f>"115554"</f>
        <v>115554</v>
      </c>
      <c r="C2675" s="19" t="s">
        <v>2667</v>
      </c>
      <c r="D2675" s="19" t="s">
        <v>18107</v>
      </c>
      <c r="E2675" s="19" t="s">
        <v>31794</v>
      </c>
      <c r="F2675" s="19" t="s">
        <v>35984</v>
      </c>
      <c r="G2675" s="18" t="str">
        <f>"31520"</f>
        <v>31520</v>
      </c>
      <c r="H2675" s="19" t="s">
        <v>36185</v>
      </c>
      <c r="I2675" s="20">
        <v>16.234999999999999</v>
      </c>
      <c r="J2675" s="44" t="s">
        <v>8</v>
      </c>
      <c r="K2675" s="23" t="s">
        <v>8</v>
      </c>
      <c r="L2675" s="23" t="s">
        <v>8</v>
      </c>
      <c r="M2675" s="23" t="s">
        <v>8</v>
      </c>
    </row>
    <row r="2676" spans="1:13" s="21" customFormat="1" x14ac:dyDescent="0.25">
      <c r="A2676" s="22" t="s">
        <v>8</v>
      </c>
      <c r="B2676" s="18" t="str">
        <f>"115555"</f>
        <v>115555</v>
      </c>
      <c r="C2676" s="19" t="s">
        <v>2668</v>
      </c>
      <c r="D2676" s="19" t="s">
        <v>18108</v>
      </c>
      <c r="E2676" s="19" t="s">
        <v>31809</v>
      </c>
      <c r="F2676" s="19" t="s">
        <v>35984</v>
      </c>
      <c r="G2676" s="18" t="str">
        <f>"30344"</f>
        <v>30344</v>
      </c>
      <c r="H2676" s="19" t="s">
        <v>32194</v>
      </c>
      <c r="I2676" s="20">
        <v>18.257999999999999</v>
      </c>
      <c r="J2676" s="44" t="s">
        <v>8</v>
      </c>
      <c r="K2676" s="23" t="s">
        <v>8</v>
      </c>
      <c r="L2676" s="23" t="s">
        <v>8</v>
      </c>
      <c r="M2676" s="23" t="s">
        <v>8</v>
      </c>
    </row>
    <row r="2677" spans="1:13" s="21" customFormat="1" x14ac:dyDescent="0.25">
      <c r="A2677" s="22" t="s">
        <v>8</v>
      </c>
      <c r="B2677" s="18" t="str">
        <f>"115556"</f>
        <v>115556</v>
      </c>
      <c r="C2677" s="19" t="s">
        <v>2669</v>
      </c>
      <c r="D2677" s="19" t="s">
        <v>18109</v>
      </c>
      <c r="E2677" s="19" t="s">
        <v>31797</v>
      </c>
      <c r="F2677" s="19" t="s">
        <v>35984</v>
      </c>
      <c r="G2677" s="18" t="str">
        <f>"30224"</f>
        <v>30224</v>
      </c>
      <c r="H2677" s="19" t="s">
        <v>36186</v>
      </c>
      <c r="I2677" s="20">
        <v>20.591999999999999</v>
      </c>
      <c r="J2677" s="44" t="s">
        <v>8</v>
      </c>
      <c r="K2677" s="23" t="s">
        <v>8</v>
      </c>
      <c r="L2677" s="23" t="s">
        <v>8</v>
      </c>
      <c r="M2677" s="23" t="s">
        <v>8</v>
      </c>
    </row>
    <row r="2678" spans="1:13" s="21" customFormat="1" x14ac:dyDescent="0.25">
      <c r="A2678" s="22" t="s">
        <v>8</v>
      </c>
      <c r="B2678" s="18" t="str">
        <f>"115558"</f>
        <v>115558</v>
      </c>
      <c r="C2678" s="19" t="s">
        <v>2670</v>
      </c>
      <c r="D2678" s="19" t="s">
        <v>18110</v>
      </c>
      <c r="E2678" s="19" t="s">
        <v>31591</v>
      </c>
      <c r="F2678" s="19" t="s">
        <v>35984</v>
      </c>
      <c r="G2678" s="18" t="str">
        <f>"30752"</f>
        <v>30752</v>
      </c>
      <c r="H2678" s="19" t="s">
        <v>36189</v>
      </c>
      <c r="I2678" s="20">
        <v>18.638000000000002</v>
      </c>
      <c r="J2678" s="44" t="s">
        <v>8</v>
      </c>
      <c r="K2678" s="23" t="s">
        <v>8</v>
      </c>
      <c r="L2678" s="23" t="s">
        <v>8</v>
      </c>
      <c r="M2678" s="23" t="s">
        <v>8</v>
      </c>
    </row>
    <row r="2679" spans="1:13" s="21" customFormat="1" x14ac:dyDescent="0.25">
      <c r="A2679" s="22" t="s">
        <v>8</v>
      </c>
      <c r="B2679" s="18" t="str">
        <f>"115559"</f>
        <v>115559</v>
      </c>
      <c r="C2679" s="19" t="s">
        <v>2671</v>
      </c>
      <c r="D2679" s="19" t="s">
        <v>18111</v>
      </c>
      <c r="E2679" s="19" t="s">
        <v>31810</v>
      </c>
      <c r="F2679" s="19" t="s">
        <v>35984</v>
      </c>
      <c r="G2679" s="18" t="str">
        <f>"30528"</f>
        <v>30528</v>
      </c>
      <c r="H2679" s="19" t="s">
        <v>35131</v>
      </c>
      <c r="I2679" s="20">
        <v>16.356999999999999</v>
      </c>
      <c r="J2679" s="44" t="s">
        <v>8</v>
      </c>
      <c r="K2679" s="23" t="s">
        <v>8</v>
      </c>
      <c r="L2679" s="23" t="s">
        <v>8</v>
      </c>
      <c r="M2679" s="23" t="s">
        <v>8</v>
      </c>
    </row>
    <row r="2680" spans="1:13" s="21" customFormat="1" x14ac:dyDescent="0.25">
      <c r="A2680" s="22" t="s">
        <v>8</v>
      </c>
      <c r="B2680" s="18" t="str">
        <f>"115560"</f>
        <v>115560</v>
      </c>
      <c r="C2680" s="19" t="s">
        <v>2672</v>
      </c>
      <c r="D2680" s="19" t="s">
        <v>18112</v>
      </c>
      <c r="E2680" s="19" t="s">
        <v>31810</v>
      </c>
      <c r="F2680" s="19" t="s">
        <v>35984</v>
      </c>
      <c r="G2680" s="18" t="str">
        <f>"30528"</f>
        <v>30528</v>
      </c>
      <c r="H2680" s="19" t="s">
        <v>35131</v>
      </c>
      <c r="I2680" s="20">
        <v>17.875</v>
      </c>
      <c r="J2680" s="44" t="s">
        <v>8</v>
      </c>
      <c r="K2680" s="23" t="s">
        <v>8</v>
      </c>
      <c r="L2680" s="23" t="s">
        <v>8</v>
      </c>
      <c r="M2680" s="23" t="s">
        <v>8</v>
      </c>
    </row>
    <row r="2681" spans="1:13" s="21" customFormat="1" x14ac:dyDescent="0.25">
      <c r="A2681" s="22" t="s">
        <v>8</v>
      </c>
      <c r="B2681" s="18" t="str">
        <f>"115561"</f>
        <v>115561</v>
      </c>
      <c r="C2681" s="19" t="s">
        <v>2673</v>
      </c>
      <c r="D2681" s="19" t="s">
        <v>18113</v>
      </c>
      <c r="E2681" s="19" t="s">
        <v>31738</v>
      </c>
      <c r="F2681" s="19" t="s">
        <v>35984</v>
      </c>
      <c r="G2681" s="18" t="str">
        <f>"30084"</f>
        <v>30084</v>
      </c>
      <c r="H2681" s="19" t="s">
        <v>31954</v>
      </c>
      <c r="I2681" s="20">
        <v>18.77</v>
      </c>
      <c r="J2681" s="44" t="s">
        <v>8</v>
      </c>
      <c r="K2681" s="23" t="s">
        <v>8</v>
      </c>
      <c r="L2681" s="23" t="s">
        <v>8</v>
      </c>
      <c r="M2681" s="23" t="s">
        <v>8</v>
      </c>
    </row>
    <row r="2682" spans="1:13" s="21" customFormat="1" x14ac:dyDescent="0.25">
      <c r="A2682" s="22" t="s">
        <v>8</v>
      </c>
      <c r="B2682" s="18" t="str">
        <f>"115562"</f>
        <v>115562</v>
      </c>
      <c r="C2682" s="19" t="s">
        <v>2674</v>
      </c>
      <c r="D2682" s="19" t="s">
        <v>18114</v>
      </c>
      <c r="E2682" s="19" t="s">
        <v>31752</v>
      </c>
      <c r="F2682" s="19" t="s">
        <v>35984</v>
      </c>
      <c r="G2682" s="18" t="str">
        <f>"31602"</f>
        <v>31602</v>
      </c>
      <c r="H2682" s="19" t="s">
        <v>36047</v>
      </c>
      <c r="I2682" s="20">
        <v>21.638000000000002</v>
      </c>
      <c r="J2682" s="44" t="s">
        <v>8</v>
      </c>
      <c r="K2682" s="23" t="s">
        <v>8</v>
      </c>
      <c r="L2682" s="23" t="s">
        <v>8</v>
      </c>
      <c r="M2682" s="23" t="s">
        <v>8</v>
      </c>
    </row>
    <row r="2683" spans="1:13" s="21" customFormat="1" x14ac:dyDescent="0.25">
      <c r="A2683" s="22" t="s">
        <v>8</v>
      </c>
      <c r="B2683" s="18" t="str">
        <f>"115563"</f>
        <v>115563</v>
      </c>
      <c r="C2683" s="19" t="s">
        <v>2675</v>
      </c>
      <c r="D2683" s="19" t="s">
        <v>18115</v>
      </c>
      <c r="E2683" s="19" t="s">
        <v>30816</v>
      </c>
      <c r="F2683" s="19" t="s">
        <v>35984</v>
      </c>
      <c r="G2683" s="18" t="str">
        <f>"30233"</f>
        <v>30233</v>
      </c>
      <c r="H2683" s="19" t="s">
        <v>36190</v>
      </c>
      <c r="I2683" s="20">
        <v>21.367999999999999</v>
      </c>
      <c r="J2683" s="44" t="s">
        <v>8</v>
      </c>
      <c r="K2683" s="23" t="s">
        <v>8</v>
      </c>
      <c r="L2683" s="23" t="s">
        <v>8</v>
      </c>
      <c r="M2683" s="23" t="s">
        <v>8</v>
      </c>
    </row>
    <row r="2684" spans="1:13" s="21" customFormat="1" x14ac:dyDescent="0.25">
      <c r="A2684" s="22" t="s">
        <v>8</v>
      </c>
      <c r="B2684" s="18" t="str">
        <f>"115564"</f>
        <v>115564</v>
      </c>
      <c r="C2684" s="19" t="s">
        <v>2676</v>
      </c>
      <c r="D2684" s="19" t="s">
        <v>18116</v>
      </c>
      <c r="E2684" s="19" t="s">
        <v>31811</v>
      </c>
      <c r="F2684" s="19" t="s">
        <v>35984</v>
      </c>
      <c r="G2684" s="18" t="str">
        <f>"31007"</f>
        <v>31007</v>
      </c>
      <c r="H2684" s="19" t="s">
        <v>36191</v>
      </c>
      <c r="I2684" s="20">
        <v>21.751000000000001</v>
      </c>
      <c r="J2684" s="44" t="s">
        <v>8</v>
      </c>
      <c r="K2684" s="23" t="s">
        <v>8</v>
      </c>
      <c r="L2684" s="23" t="s">
        <v>8</v>
      </c>
      <c r="M2684" s="23" t="s">
        <v>8</v>
      </c>
    </row>
    <row r="2685" spans="1:13" s="21" customFormat="1" x14ac:dyDescent="0.25">
      <c r="A2685" s="22" t="s">
        <v>8</v>
      </c>
      <c r="B2685" s="18" t="str">
        <f>"115565"</f>
        <v>115565</v>
      </c>
      <c r="C2685" s="19" t="s">
        <v>2677</v>
      </c>
      <c r="D2685" s="19" t="s">
        <v>18117</v>
      </c>
      <c r="E2685" s="19" t="s">
        <v>31812</v>
      </c>
      <c r="F2685" s="19" t="s">
        <v>35984</v>
      </c>
      <c r="G2685" s="18" t="str">
        <f>"30083"</f>
        <v>30083</v>
      </c>
      <c r="H2685" s="19" t="s">
        <v>31954</v>
      </c>
      <c r="I2685" s="20">
        <v>18.018999999999998</v>
      </c>
      <c r="J2685" s="44" t="s">
        <v>8</v>
      </c>
      <c r="K2685" s="23" t="s">
        <v>8</v>
      </c>
      <c r="L2685" s="23" t="s">
        <v>8</v>
      </c>
      <c r="M2685" s="23" t="s">
        <v>8</v>
      </c>
    </row>
    <row r="2686" spans="1:13" s="21" customFormat="1" x14ac:dyDescent="0.25">
      <c r="A2686" s="22" t="s">
        <v>8</v>
      </c>
      <c r="B2686" s="18" t="str">
        <f>"115566"</f>
        <v>115566</v>
      </c>
      <c r="C2686" s="19" t="s">
        <v>2678</v>
      </c>
      <c r="D2686" s="19" t="s">
        <v>18118</v>
      </c>
      <c r="E2686" s="19" t="s">
        <v>31715</v>
      </c>
      <c r="F2686" s="19" t="s">
        <v>35984</v>
      </c>
      <c r="G2686" s="18" t="str">
        <f>"31909"</f>
        <v>31909</v>
      </c>
      <c r="H2686" s="19" t="s">
        <v>36157</v>
      </c>
      <c r="I2686" s="20">
        <v>17.899000000000001</v>
      </c>
      <c r="J2686" s="44" t="s">
        <v>8</v>
      </c>
      <c r="K2686" s="23" t="s">
        <v>8</v>
      </c>
      <c r="L2686" s="23" t="s">
        <v>8</v>
      </c>
      <c r="M2686" s="23" t="s">
        <v>8</v>
      </c>
    </row>
    <row r="2687" spans="1:13" s="21" customFormat="1" x14ac:dyDescent="0.25">
      <c r="A2687" s="22" t="s">
        <v>8</v>
      </c>
      <c r="B2687" s="18" t="str">
        <f>"115568"</f>
        <v>115568</v>
      </c>
      <c r="C2687" s="19" t="s">
        <v>2679</v>
      </c>
      <c r="D2687" s="19" t="s">
        <v>18119</v>
      </c>
      <c r="E2687" s="19" t="s">
        <v>31698</v>
      </c>
      <c r="F2687" s="19" t="s">
        <v>35984</v>
      </c>
      <c r="G2687" s="18" t="str">
        <f>"31015"</f>
        <v>31015</v>
      </c>
      <c r="H2687" s="19" t="s">
        <v>36151</v>
      </c>
      <c r="I2687" s="20">
        <v>19.062000000000001</v>
      </c>
      <c r="J2687" s="44" t="s">
        <v>8</v>
      </c>
      <c r="K2687" s="23" t="s">
        <v>8</v>
      </c>
      <c r="L2687" s="23" t="s">
        <v>8</v>
      </c>
      <c r="M2687" s="23" t="s">
        <v>8</v>
      </c>
    </row>
    <row r="2688" spans="1:13" s="21" customFormat="1" x14ac:dyDescent="0.25">
      <c r="A2688" s="22" t="s">
        <v>8</v>
      </c>
      <c r="B2688" s="18" t="str">
        <f>"115569"</f>
        <v>115569</v>
      </c>
      <c r="C2688" s="19" t="s">
        <v>2680</v>
      </c>
      <c r="D2688" s="19" t="s">
        <v>18120</v>
      </c>
      <c r="E2688" s="19" t="s">
        <v>31709</v>
      </c>
      <c r="F2688" s="19" t="s">
        <v>35984</v>
      </c>
      <c r="G2688" s="18" t="str">
        <f>"30315"</f>
        <v>30315</v>
      </c>
      <c r="H2688" s="19" t="s">
        <v>32194</v>
      </c>
      <c r="I2688" s="20">
        <v>20.050999999999998</v>
      </c>
      <c r="J2688" s="44" t="s">
        <v>8</v>
      </c>
      <c r="K2688" s="23" t="s">
        <v>8</v>
      </c>
      <c r="L2688" s="23" t="s">
        <v>8</v>
      </c>
      <c r="M2688" s="23" t="s">
        <v>8</v>
      </c>
    </row>
    <row r="2689" spans="1:13" s="21" customFormat="1" x14ac:dyDescent="0.25">
      <c r="A2689" s="22" t="s">
        <v>8</v>
      </c>
      <c r="B2689" s="18" t="str">
        <f>"115570"</f>
        <v>115570</v>
      </c>
      <c r="C2689" s="19" t="s">
        <v>2681</v>
      </c>
      <c r="D2689" s="19" t="s">
        <v>18121</v>
      </c>
      <c r="E2689" s="19" t="s">
        <v>30900</v>
      </c>
      <c r="F2689" s="19" t="s">
        <v>35984</v>
      </c>
      <c r="G2689" s="18" t="str">
        <f>"31792"</f>
        <v>31792</v>
      </c>
      <c r="H2689" s="19" t="s">
        <v>35510</v>
      </c>
      <c r="I2689" s="20">
        <v>18.132999999999999</v>
      </c>
      <c r="J2689" s="44" t="s">
        <v>8</v>
      </c>
      <c r="K2689" s="23" t="s">
        <v>8</v>
      </c>
      <c r="L2689" s="23" t="s">
        <v>8</v>
      </c>
      <c r="M2689" s="23" t="s">
        <v>8</v>
      </c>
    </row>
    <row r="2690" spans="1:13" s="21" customFormat="1" x14ac:dyDescent="0.25">
      <c r="A2690" s="22" t="s">
        <v>8</v>
      </c>
      <c r="B2690" s="18" t="str">
        <f>"115571"</f>
        <v>115571</v>
      </c>
      <c r="C2690" s="19" t="s">
        <v>2682</v>
      </c>
      <c r="D2690" s="19" t="s">
        <v>18122</v>
      </c>
      <c r="E2690" s="19" t="s">
        <v>31778</v>
      </c>
      <c r="F2690" s="19" t="s">
        <v>35984</v>
      </c>
      <c r="G2690" s="18" t="str">
        <f>"30120"</f>
        <v>30120</v>
      </c>
      <c r="H2690" s="19" t="s">
        <v>31556</v>
      </c>
      <c r="I2690" s="20">
        <v>18.477</v>
      </c>
      <c r="J2690" s="44" t="s">
        <v>8</v>
      </c>
      <c r="K2690" s="23" t="s">
        <v>8</v>
      </c>
      <c r="L2690" s="23" t="s">
        <v>8</v>
      </c>
      <c r="M2690" s="23" t="s">
        <v>8</v>
      </c>
    </row>
    <row r="2691" spans="1:13" s="21" customFormat="1" x14ac:dyDescent="0.25">
      <c r="A2691" s="22" t="s">
        <v>8</v>
      </c>
      <c r="B2691" s="18" t="str">
        <f>"115573"</f>
        <v>115573</v>
      </c>
      <c r="C2691" s="19" t="s">
        <v>2683</v>
      </c>
      <c r="D2691" s="19" t="s">
        <v>18123</v>
      </c>
      <c r="E2691" s="19" t="s">
        <v>31813</v>
      </c>
      <c r="F2691" s="19" t="s">
        <v>35984</v>
      </c>
      <c r="G2691" s="18" t="str">
        <f>"30291"</f>
        <v>30291</v>
      </c>
      <c r="H2691" s="19" t="s">
        <v>32194</v>
      </c>
      <c r="I2691" s="20">
        <v>18.044</v>
      </c>
      <c r="J2691" s="44" t="s">
        <v>8</v>
      </c>
      <c r="K2691" s="23" t="s">
        <v>8</v>
      </c>
      <c r="L2691" s="23" t="s">
        <v>8</v>
      </c>
      <c r="M2691" s="23" t="s">
        <v>8</v>
      </c>
    </row>
    <row r="2692" spans="1:13" s="21" customFormat="1" x14ac:dyDescent="0.25">
      <c r="A2692" s="22" t="s">
        <v>8</v>
      </c>
      <c r="B2692" s="18" t="str">
        <f>"115575"</f>
        <v>115575</v>
      </c>
      <c r="C2692" s="19" t="s">
        <v>2684</v>
      </c>
      <c r="D2692" s="19" t="s">
        <v>18124</v>
      </c>
      <c r="E2692" s="19" t="s">
        <v>31814</v>
      </c>
      <c r="F2692" s="19" t="s">
        <v>35984</v>
      </c>
      <c r="G2692" s="18" t="str">
        <f>"30453"</f>
        <v>30453</v>
      </c>
      <c r="H2692" s="19" t="s">
        <v>36192</v>
      </c>
      <c r="I2692" s="20">
        <v>18.542999999999999</v>
      </c>
      <c r="J2692" s="44" t="s">
        <v>8</v>
      </c>
      <c r="K2692" s="23" t="s">
        <v>8</v>
      </c>
      <c r="L2692" s="23" t="s">
        <v>8</v>
      </c>
      <c r="M2692" s="23" t="s">
        <v>8</v>
      </c>
    </row>
    <row r="2693" spans="1:13" s="21" customFormat="1" x14ac:dyDescent="0.25">
      <c r="A2693" s="22" t="s">
        <v>8</v>
      </c>
      <c r="B2693" s="18" t="str">
        <f>"115576"</f>
        <v>115576</v>
      </c>
      <c r="C2693" s="19" t="s">
        <v>2685</v>
      </c>
      <c r="D2693" s="19" t="s">
        <v>18125</v>
      </c>
      <c r="E2693" s="19" t="s">
        <v>31815</v>
      </c>
      <c r="F2693" s="19" t="s">
        <v>35984</v>
      </c>
      <c r="G2693" s="18" t="str">
        <f>"31831"</f>
        <v>31831</v>
      </c>
      <c r="H2693" s="19" t="s">
        <v>34183</v>
      </c>
      <c r="I2693" s="20">
        <v>18.038</v>
      </c>
      <c r="J2693" s="44" t="s">
        <v>8</v>
      </c>
      <c r="K2693" s="23" t="s">
        <v>8</v>
      </c>
      <c r="L2693" s="23" t="s">
        <v>8</v>
      </c>
      <c r="M2693" s="23" t="s">
        <v>8</v>
      </c>
    </row>
    <row r="2694" spans="1:13" s="21" customFormat="1" x14ac:dyDescent="0.25">
      <c r="A2694" s="22" t="s">
        <v>8</v>
      </c>
      <c r="B2694" s="18" t="str">
        <f>"115577"</f>
        <v>115577</v>
      </c>
      <c r="C2694" s="19" t="s">
        <v>2686</v>
      </c>
      <c r="D2694" s="19" t="s">
        <v>18126</v>
      </c>
      <c r="E2694" s="19" t="s">
        <v>31703</v>
      </c>
      <c r="F2694" s="19" t="s">
        <v>35984</v>
      </c>
      <c r="G2694" s="18" t="str">
        <f>"31545"</f>
        <v>31545</v>
      </c>
      <c r="H2694" s="19" t="s">
        <v>33280</v>
      </c>
      <c r="I2694" s="20">
        <v>19.585000000000001</v>
      </c>
      <c r="J2694" s="44" t="s">
        <v>8</v>
      </c>
      <c r="K2694" s="23" t="s">
        <v>8</v>
      </c>
      <c r="L2694" s="23" t="s">
        <v>8</v>
      </c>
      <c r="M2694" s="23" t="s">
        <v>8</v>
      </c>
    </row>
    <row r="2695" spans="1:13" s="21" customFormat="1" x14ac:dyDescent="0.25">
      <c r="A2695" s="22" t="s">
        <v>8</v>
      </c>
      <c r="B2695" s="18" t="str">
        <f>"115578"</f>
        <v>115578</v>
      </c>
      <c r="C2695" s="19" t="s">
        <v>2687</v>
      </c>
      <c r="D2695" s="19" t="s">
        <v>18127</v>
      </c>
      <c r="E2695" s="19" t="s">
        <v>31783</v>
      </c>
      <c r="F2695" s="19" t="s">
        <v>35984</v>
      </c>
      <c r="G2695" s="18" t="str">
        <f>"31061"</f>
        <v>31061</v>
      </c>
      <c r="H2695" s="19" t="s">
        <v>31758</v>
      </c>
      <c r="I2695" s="20">
        <v>17.722000000000001</v>
      </c>
      <c r="J2695" s="44" t="s">
        <v>8</v>
      </c>
      <c r="K2695" s="23" t="s">
        <v>8</v>
      </c>
      <c r="L2695" s="23" t="s">
        <v>8</v>
      </c>
      <c r="M2695" s="23" t="s">
        <v>8</v>
      </c>
    </row>
    <row r="2696" spans="1:13" s="21" customFormat="1" x14ac:dyDescent="0.25">
      <c r="A2696" s="22" t="s">
        <v>8</v>
      </c>
      <c r="B2696" s="18" t="str">
        <f>"115579"</f>
        <v>115579</v>
      </c>
      <c r="C2696" s="19" t="s">
        <v>2688</v>
      </c>
      <c r="D2696" s="19" t="s">
        <v>18128</v>
      </c>
      <c r="E2696" s="19" t="s">
        <v>31816</v>
      </c>
      <c r="F2696" s="19" t="s">
        <v>35984</v>
      </c>
      <c r="G2696" s="18" t="str">
        <f>"30337"</f>
        <v>30337</v>
      </c>
      <c r="H2696" s="19" t="s">
        <v>32194</v>
      </c>
      <c r="I2696" s="20">
        <v>19.308</v>
      </c>
      <c r="J2696" s="44" t="s">
        <v>8</v>
      </c>
      <c r="K2696" s="23" t="s">
        <v>8</v>
      </c>
      <c r="L2696" s="23" t="s">
        <v>8</v>
      </c>
      <c r="M2696" s="23" t="s">
        <v>8</v>
      </c>
    </row>
    <row r="2697" spans="1:13" s="21" customFormat="1" x14ac:dyDescent="0.25">
      <c r="A2697" s="22" t="s">
        <v>8</v>
      </c>
      <c r="B2697" s="18" t="str">
        <f>"115580"</f>
        <v>115580</v>
      </c>
      <c r="C2697" s="19" t="s">
        <v>2689</v>
      </c>
      <c r="D2697" s="19" t="s">
        <v>18129</v>
      </c>
      <c r="E2697" s="19" t="s">
        <v>31718</v>
      </c>
      <c r="F2697" s="19" t="s">
        <v>35984</v>
      </c>
      <c r="G2697" s="18" t="str">
        <f>"30008"</f>
        <v>30008</v>
      </c>
      <c r="H2697" s="19" t="s">
        <v>36158</v>
      </c>
      <c r="I2697" s="20">
        <v>17.669</v>
      </c>
      <c r="J2697" s="44" t="s">
        <v>8</v>
      </c>
      <c r="K2697" s="23" t="s">
        <v>8</v>
      </c>
      <c r="L2697" s="23" t="s">
        <v>8</v>
      </c>
      <c r="M2697" s="23" t="s">
        <v>8</v>
      </c>
    </row>
    <row r="2698" spans="1:13" s="21" customFormat="1" x14ac:dyDescent="0.25">
      <c r="A2698" s="22" t="s">
        <v>8</v>
      </c>
      <c r="B2698" s="18" t="str">
        <f>"115582"</f>
        <v>115582</v>
      </c>
      <c r="C2698" s="19" t="s">
        <v>2690</v>
      </c>
      <c r="D2698" s="19" t="s">
        <v>18130</v>
      </c>
      <c r="E2698" s="19" t="s">
        <v>31817</v>
      </c>
      <c r="F2698" s="19" t="s">
        <v>35984</v>
      </c>
      <c r="G2698" s="18" t="str">
        <f>"31522"</f>
        <v>31522</v>
      </c>
      <c r="H2698" s="19" t="s">
        <v>36185</v>
      </c>
      <c r="I2698" s="20">
        <v>16.239999999999998</v>
      </c>
      <c r="J2698" s="44" t="s">
        <v>8</v>
      </c>
      <c r="K2698" s="23" t="s">
        <v>8</v>
      </c>
      <c r="L2698" s="23" t="s">
        <v>8</v>
      </c>
      <c r="M2698" s="23" t="s">
        <v>8</v>
      </c>
    </row>
    <row r="2699" spans="1:13" s="21" customFormat="1" x14ac:dyDescent="0.25">
      <c r="A2699" s="22" t="s">
        <v>8</v>
      </c>
      <c r="B2699" s="18" t="str">
        <f>"115584"</f>
        <v>115584</v>
      </c>
      <c r="C2699" s="19" t="s">
        <v>2691</v>
      </c>
      <c r="D2699" s="19" t="s">
        <v>18131</v>
      </c>
      <c r="E2699" s="19" t="s">
        <v>31743</v>
      </c>
      <c r="F2699" s="19" t="s">
        <v>35984</v>
      </c>
      <c r="G2699" s="18" t="str">
        <f>"30703"</f>
        <v>30703</v>
      </c>
      <c r="H2699" s="19" t="s">
        <v>36164</v>
      </c>
      <c r="I2699" s="20">
        <v>14.561999999999999</v>
      </c>
      <c r="J2699" s="44" t="s">
        <v>8</v>
      </c>
      <c r="K2699" s="23" t="s">
        <v>8</v>
      </c>
      <c r="L2699" s="23" t="s">
        <v>8</v>
      </c>
      <c r="M2699" s="23" t="s">
        <v>8</v>
      </c>
    </row>
    <row r="2700" spans="1:13" s="21" customFormat="1" x14ac:dyDescent="0.25">
      <c r="A2700" s="22" t="s">
        <v>8</v>
      </c>
      <c r="B2700" s="18" t="str">
        <f>"115585"</f>
        <v>115585</v>
      </c>
      <c r="C2700" s="19" t="s">
        <v>2692</v>
      </c>
      <c r="D2700" s="19" t="s">
        <v>18132</v>
      </c>
      <c r="E2700" s="19" t="s">
        <v>31709</v>
      </c>
      <c r="F2700" s="19" t="s">
        <v>35984</v>
      </c>
      <c r="G2700" s="18" t="str">
        <f>"30312"</f>
        <v>30312</v>
      </c>
      <c r="H2700" s="19" t="s">
        <v>32194</v>
      </c>
      <c r="I2700" s="20">
        <v>20.582000000000001</v>
      </c>
      <c r="J2700" s="44" t="s">
        <v>8</v>
      </c>
      <c r="K2700" s="23" t="s">
        <v>8</v>
      </c>
      <c r="L2700" s="23" t="s">
        <v>8</v>
      </c>
      <c r="M2700" s="23" t="s">
        <v>8</v>
      </c>
    </row>
    <row r="2701" spans="1:13" s="21" customFormat="1" x14ac:dyDescent="0.25">
      <c r="A2701" s="22" t="s">
        <v>8</v>
      </c>
      <c r="B2701" s="18" t="str">
        <f>"115586"</f>
        <v>115586</v>
      </c>
      <c r="C2701" s="19" t="s">
        <v>2693</v>
      </c>
      <c r="D2701" s="19" t="s">
        <v>18133</v>
      </c>
      <c r="E2701" s="19" t="s">
        <v>31818</v>
      </c>
      <c r="F2701" s="19" t="s">
        <v>35984</v>
      </c>
      <c r="G2701" s="18" t="str">
        <f>"31036"</f>
        <v>31036</v>
      </c>
      <c r="H2701" s="19" t="s">
        <v>31795</v>
      </c>
      <c r="I2701" s="20">
        <v>19.878</v>
      </c>
      <c r="J2701" s="44" t="s">
        <v>8</v>
      </c>
      <c r="K2701" s="23" t="s">
        <v>8</v>
      </c>
      <c r="L2701" s="23" t="s">
        <v>8</v>
      </c>
      <c r="M2701" s="23" t="s">
        <v>8</v>
      </c>
    </row>
    <row r="2702" spans="1:13" s="21" customFormat="1" x14ac:dyDescent="0.25">
      <c r="A2702" s="22" t="s">
        <v>8</v>
      </c>
      <c r="B2702" s="18" t="str">
        <f>"115587"</f>
        <v>115587</v>
      </c>
      <c r="C2702" s="19" t="s">
        <v>2694</v>
      </c>
      <c r="D2702" s="19" t="s">
        <v>18134</v>
      </c>
      <c r="E2702" s="19" t="s">
        <v>31819</v>
      </c>
      <c r="F2702" s="19" t="s">
        <v>35984</v>
      </c>
      <c r="G2702" s="18" t="str">
        <f>"30113"</f>
        <v>30113</v>
      </c>
      <c r="H2702" s="19" t="s">
        <v>36178</v>
      </c>
      <c r="I2702" s="20">
        <v>20.143999999999998</v>
      </c>
      <c r="J2702" s="44" t="s">
        <v>8</v>
      </c>
      <c r="K2702" s="23" t="s">
        <v>8</v>
      </c>
      <c r="L2702" s="23" t="s">
        <v>8</v>
      </c>
      <c r="M2702" s="23" t="s">
        <v>8</v>
      </c>
    </row>
    <row r="2703" spans="1:13" s="21" customFormat="1" x14ac:dyDescent="0.25">
      <c r="A2703" s="22" t="s">
        <v>8</v>
      </c>
      <c r="B2703" s="18" t="str">
        <f>"115588"</f>
        <v>115588</v>
      </c>
      <c r="C2703" s="19" t="s">
        <v>2695</v>
      </c>
      <c r="D2703" s="19" t="s">
        <v>18135</v>
      </c>
      <c r="E2703" s="19" t="s">
        <v>31753</v>
      </c>
      <c r="F2703" s="19" t="s">
        <v>35984</v>
      </c>
      <c r="G2703" s="18" t="str">
        <f>"30015"</f>
        <v>30015</v>
      </c>
      <c r="H2703" s="19" t="s">
        <v>32101</v>
      </c>
      <c r="I2703" s="20">
        <v>19.385000000000002</v>
      </c>
      <c r="J2703" s="44" t="s">
        <v>8</v>
      </c>
      <c r="K2703" s="23" t="s">
        <v>8</v>
      </c>
      <c r="L2703" s="23" t="s">
        <v>8</v>
      </c>
      <c r="M2703" s="23" t="s">
        <v>8</v>
      </c>
    </row>
    <row r="2704" spans="1:13" s="21" customFormat="1" x14ac:dyDescent="0.25">
      <c r="A2704" s="22" t="s">
        <v>8</v>
      </c>
      <c r="B2704" s="18" t="str">
        <f>"115592"</f>
        <v>115592</v>
      </c>
      <c r="C2704" s="19" t="s">
        <v>2696</v>
      </c>
      <c r="D2704" s="19" t="s">
        <v>18136</v>
      </c>
      <c r="E2704" s="19" t="s">
        <v>31819</v>
      </c>
      <c r="F2704" s="19" t="s">
        <v>35984</v>
      </c>
      <c r="G2704" s="18" t="str">
        <f>"30113"</f>
        <v>30113</v>
      </c>
      <c r="H2704" s="19" t="s">
        <v>36178</v>
      </c>
      <c r="I2704" s="20">
        <v>18.928000000000001</v>
      </c>
      <c r="J2704" s="44" t="s">
        <v>8</v>
      </c>
      <c r="K2704" s="23" t="s">
        <v>8</v>
      </c>
      <c r="L2704" s="23" t="s">
        <v>8</v>
      </c>
      <c r="M2704" s="23" t="s">
        <v>8</v>
      </c>
    </row>
    <row r="2705" spans="1:13" s="21" customFormat="1" x14ac:dyDescent="0.25">
      <c r="A2705" s="22" t="s">
        <v>8</v>
      </c>
      <c r="B2705" s="18" t="str">
        <f>"115593"</f>
        <v>115593</v>
      </c>
      <c r="C2705" s="19" t="s">
        <v>2697</v>
      </c>
      <c r="D2705" s="19" t="s">
        <v>18137</v>
      </c>
      <c r="E2705" s="19" t="s">
        <v>31820</v>
      </c>
      <c r="F2705" s="19" t="s">
        <v>35984</v>
      </c>
      <c r="G2705" s="18" t="str">
        <f>"31553"</f>
        <v>31553</v>
      </c>
      <c r="H2705" s="19" t="s">
        <v>36193</v>
      </c>
      <c r="I2705" s="20">
        <v>16.157</v>
      </c>
      <c r="J2705" s="44" t="s">
        <v>8</v>
      </c>
      <c r="K2705" s="23" t="s">
        <v>8</v>
      </c>
      <c r="L2705" s="23" t="s">
        <v>8</v>
      </c>
      <c r="M2705" s="23" t="s">
        <v>8</v>
      </c>
    </row>
    <row r="2706" spans="1:13" s="21" customFormat="1" x14ac:dyDescent="0.25">
      <c r="A2706" s="22" t="s">
        <v>8</v>
      </c>
      <c r="B2706" s="18" t="str">
        <f>"115595"</f>
        <v>115595</v>
      </c>
      <c r="C2706" s="19" t="s">
        <v>2698</v>
      </c>
      <c r="D2706" s="19" t="s">
        <v>18138</v>
      </c>
      <c r="E2706" s="19" t="s">
        <v>31821</v>
      </c>
      <c r="F2706" s="19" t="s">
        <v>35984</v>
      </c>
      <c r="G2706" s="18" t="str">
        <f>"31024"</f>
        <v>31024</v>
      </c>
      <c r="H2706" s="19" t="s">
        <v>31482</v>
      </c>
      <c r="I2706" s="20">
        <v>17.789000000000001</v>
      </c>
      <c r="J2706" s="44" t="s">
        <v>8</v>
      </c>
      <c r="K2706" s="23" t="s">
        <v>8</v>
      </c>
      <c r="L2706" s="23" t="s">
        <v>8</v>
      </c>
      <c r="M2706" s="23" t="s">
        <v>8</v>
      </c>
    </row>
    <row r="2707" spans="1:13" s="21" customFormat="1" x14ac:dyDescent="0.25">
      <c r="A2707" s="22" t="s">
        <v>8</v>
      </c>
      <c r="B2707" s="18" t="str">
        <f>"115596"</f>
        <v>115596</v>
      </c>
      <c r="C2707" s="19" t="s">
        <v>2699</v>
      </c>
      <c r="D2707" s="19" t="s">
        <v>18139</v>
      </c>
      <c r="E2707" s="19" t="s">
        <v>31738</v>
      </c>
      <c r="F2707" s="19" t="s">
        <v>35984</v>
      </c>
      <c r="G2707" s="18" t="str">
        <f>"30084"</f>
        <v>30084</v>
      </c>
      <c r="H2707" s="19" t="s">
        <v>31954</v>
      </c>
      <c r="I2707" s="20">
        <v>18.803999999999998</v>
      </c>
      <c r="J2707" s="44" t="s">
        <v>8</v>
      </c>
      <c r="K2707" s="23" t="s">
        <v>8</v>
      </c>
      <c r="L2707" s="23" t="s">
        <v>8</v>
      </c>
      <c r="M2707" s="23" t="s">
        <v>8</v>
      </c>
    </row>
    <row r="2708" spans="1:13" s="21" customFormat="1" x14ac:dyDescent="0.25">
      <c r="A2708" s="22" t="s">
        <v>8</v>
      </c>
      <c r="B2708" s="18" t="str">
        <f>"115597"</f>
        <v>115597</v>
      </c>
      <c r="C2708" s="19" t="s">
        <v>2700</v>
      </c>
      <c r="D2708" s="19" t="s">
        <v>18140</v>
      </c>
      <c r="E2708" s="19" t="s">
        <v>31822</v>
      </c>
      <c r="F2708" s="19" t="s">
        <v>35984</v>
      </c>
      <c r="G2708" s="18" t="str">
        <f>"30458"</f>
        <v>30458</v>
      </c>
      <c r="H2708" s="19" t="s">
        <v>36194</v>
      </c>
      <c r="I2708" s="20">
        <v>18.548999999999999</v>
      </c>
      <c r="J2708" s="44" t="s">
        <v>8</v>
      </c>
      <c r="K2708" s="23" t="s">
        <v>8</v>
      </c>
      <c r="L2708" s="23" t="s">
        <v>8</v>
      </c>
      <c r="M2708" s="23" t="s">
        <v>8</v>
      </c>
    </row>
    <row r="2709" spans="1:13" s="21" customFormat="1" x14ac:dyDescent="0.25">
      <c r="A2709" s="22" t="s">
        <v>8</v>
      </c>
      <c r="B2709" s="18" t="str">
        <f>"115598"</f>
        <v>115598</v>
      </c>
      <c r="C2709" s="19" t="s">
        <v>2701</v>
      </c>
      <c r="D2709" s="19" t="s">
        <v>18141</v>
      </c>
      <c r="E2709" s="19" t="s">
        <v>31823</v>
      </c>
      <c r="F2709" s="19" t="s">
        <v>35984</v>
      </c>
      <c r="G2709" s="18" t="str">
        <f>"30417"</f>
        <v>30417</v>
      </c>
      <c r="H2709" s="19" t="s">
        <v>31741</v>
      </c>
      <c r="I2709" s="20">
        <v>18.698</v>
      </c>
      <c r="J2709" s="44" t="s">
        <v>8</v>
      </c>
      <c r="K2709" s="23" t="s">
        <v>8</v>
      </c>
      <c r="L2709" s="23" t="s">
        <v>8</v>
      </c>
      <c r="M2709" s="23" t="s">
        <v>8</v>
      </c>
    </row>
    <row r="2710" spans="1:13" s="21" customFormat="1" x14ac:dyDescent="0.25">
      <c r="A2710" s="22" t="s">
        <v>8</v>
      </c>
      <c r="B2710" s="18" t="str">
        <f>"115599"</f>
        <v>115599</v>
      </c>
      <c r="C2710" s="19" t="s">
        <v>2702</v>
      </c>
      <c r="D2710" s="19" t="s">
        <v>18142</v>
      </c>
      <c r="E2710" s="19" t="s">
        <v>31824</v>
      </c>
      <c r="F2710" s="19" t="s">
        <v>35984</v>
      </c>
      <c r="G2710" s="18" t="str">
        <f>"31803"</f>
        <v>31803</v>
      </c>
      <c r="H2710" s="19" t="s">
        <v>30850</v>
      </c>
      <c r="I2710" s="20">
        <v>18.181999999999999</v>
      </c>
      <c r="J2710" s="44" t="s">
        <v>8</v>
      </c>
      <c r="K2710" s="23" t="s">
        <v>8</v>
      </c>
      <c r="L2710" s="23" t="s">
        <v>8</v>
      </c>
      <c r="M2710" s="23" t="s">
        <v>8</v>
      </c>
    </row>
    <row r="2711" spans="1:13" s="21" customFormat="1" x14ac:dyDescent="0.25">
      <c r="A2711" s="22" t="s">
        <v>8</v>
      </c>
      <c r="B2711" s="18" t="str">
        <f>"115600"</f>
        <v>115600</v>
      </c>
      <c r="C2711" s="19" t="s">
        <v>2703</v>
      </c>
      <c r="D2711" s="19" t="s">
        <v>18143</v>
      </c>
      <c r="E2711" s="19" t="s">
        <v>31825</v>
      </c>
      <c r="F2711" s="19" t="s">
        <v>35984</v>
      </c>
      <c r="G2711" s="18" t="str">
        <f>"30518"</f>
        <v>30518</v>
      </c>
      <c r="H2711" s="19" t="s">
        <v>36168</v>
      </c>
      <c r="I2711" s="20">
        <v>20.062999999999999</v>
      </c>
      <c r="J2711" s="44" t="s">
        <v>8</v>
      </c>
      <c r="K2711" s="23" t="s">
        <v>8</v>
      </c>
      <c r="L2711" s="23" t="s">
        <v>8</v>
      </c>
      <c r="M2711" s="23" t="s">
        <v>8</v>
      </c>
    </row>
    <row r="2712" spans="1:13" s="21" customFormat="1" x14ac:dyDescent="0.25">
      <c r="A2712" s="22" t="s">
        <v>8</v>
      </c>
      <c r="B2712" s="18" t="str">
        <f>"115601"</f>
        <v>115601</v>
      </c>
      <c r="C2712" s="19" t="s">
        <v>2704</v>
      </c>
      <c r="D2712" s="19" t="s">
        <v>18144</v>
      </c>
      <c r="E2712" s="19" t="s">
        <v>31822</v>
      </c>
      <c r="F2712" s="19" t="s">
        <v>35984</v>
      </c>
      <c r="G2712" s="18" t="str">
        <f>"30458"</f>
        <v>30458</v>
      </c>
      <c r="H2712" s="19" t="s">
        <v>36194</v>
      </c>
      <c r="I2712" s="20">
        <v>18.373000000000001</v>
      </c>
      <c r="J2712" s="44" t="s">
        <v>8</v>
      </c>
      <c r="K2712" s="23" t="s">
        <v>8</v>
      </c>
      <c r="L2712" s="23" t="s">
        <v>8</v>
      </c>
      <c r="M2712" s="23" t="s">
        <v>8</v>
      </c>
    </row>
    <row r="2713" spans="1:13" s="21" customFormat="1" x14ac:dyDescent="0.25">
      <c r="A2713" s="22" t="s">
        <v>8</v>
      </c>
      <c r="B2713" s="18" t="str">
        <f>"115603"</f>
        <v>115603</v>
      </c>
      <c r="C2713" s="19" t="s">
        <v>2705</v>
      </c>
      <c r="D2713" s="19" t="s">
        <v>18145</v>
      </c>
      <c r="E2713" s="19" t="s">
        <v>31826</v>
      </c>
      <c r="F2713" s="19" t="s">
        <v>35984</v>
      </c>
      <c r="G2713" s="18" t="str">
        <f>"31830"</f>
        <v>31830</v>
      </c>
      <c r="H2713" s="19" t="s">
        <v>36195</v>
      </c>
      <c r="I2713" s="20">
        <v>16.864999999999998</v>
      </c>
      <c r="J2713" s="44" t="s">
        <v>8</v>
      </c>
      <c r="K2713" s="23" t="s">
        <v>8</v>
      </c>
      <c r="L2713" s="23" t="s">
        <v>8</v>
      </c>
      <c r="M2713" s="23" t="s">
        <v>8</v>
      </c>
    </row>
    <row r="2714" spans="1:13" s="21" customFormat="1" x14ac:dyDescent="0.25">
      <c r="A2714" s="22" t="s">
        <v>8</v>
      </c>
      <c r="B2714" s="18" t="str">
        <f>"115604"</f>
        <v>115604</v>
      </c>
      <c r="C2714" s="19" t="s">
        <v>2706</v>
      </c>
      <c r="D2714" s="19" t="s">
        <v>18146</v>
      </c>
      <c r="E2714" s="19" t="s">
        <v>31822</v>
      </c>
      <c r="F2714" s="19" t="s">
        <v>35984</v>
      </c>
      <c r="G2714" s="18" t="str">
        <f>"30458"</f>
        <v>30458</v>
      </c>
      <c r="H2714" s="19" t="s">
        <v>36194</v>
      </c>
      <c r="I2714" s="20">
        <v>18.157</v>
      </c>
      <c r="J2714" s="44" t="s">
        <v>8</v>
      </c>
      <c r="K2714" s="23" t="s">
        <v>8</v>
      </c>
      <c r="L2714" s="23" t="s">
        <v>8</v>
      </c>
      <c r="M2714" s="23" t="s">
        <v>8</v>
      </c>
    </row>
    <row r="2715" spans="1:13" s="21" customFormat="1" x14ac:dyDescent="0.25">
      <c r="A2715" s="22" t="s">
        <v>8</v>
      </c>
      <c r="B2715" s="18" t="str">
        <f>"115605"</f>
        <v>115605</v>
      </c>
      <c r="C2715" s="19" t="s">
        <v>2707</v>
      </c>
      <c r="D2715" s="19" t="s">
        <v>18147</v>
      </c>
      <c r="E2715" s="19" t="s">
        <v>31725</v>
      </c>
      <c r="F2715" s="19" t="s">
        <v>35984</v>
      </c>
      <c r="G2715" s="18" t="str">
        <f>"31501"</f>
        <v>31501</v>
      </c>
      <c r="H2715" s="19" t="s">
        <v>36159</v>
      </c>
      <c r="I2715" s="20">
        <v>21.2</v>
      </c>
      <c r="J2715" s="44" t="s">
        <v>8</v>
      </c>
      <c r="K2715" s="23" t="s">
        <v>8</v>
      </c>
      <c r="L2715" s="23" t="s">
        <v>8</v>
      </c>
      <c r="M2715" s="23" t="s">
        <v>8</v>
      </c>
    </row>
    <row r="2716" spans="1:13" s="21" customFormat="1" x14ac:dyDescent="0.25">
      <c r="A2716" s="22" t="s">
        <v>8</v>
      </c>
      <c r="B2716" s="18" t="str">
        <f>"115606"</f>
        <v>115606</v>
      </c>
      <c r="C2716" s="19" t="s">
        <v>2708</v>
      </c>
      <c r="D2716" s="19" t="s">
        <v>18148</v>
      </c>
      <c r="E2716" s="19" t="s">
        <v>31791</v>
      </c>
      <c r="F2716" s="19" t="s">
        <v>35984</v>
      </c>
      <c r="G2716" s="18" t="str">
        <f>"30114"</f>
        <v>30114</v>
      </c>
      <c r="H2716" s="19" t="s">
        <v>32436</v>
      </c>
      <c r="I2716" s="20">
        <v>24.131</v>
      </c>
      <c r="J2716" s="44" t="s">
        <v>8</v>
      </c>
      <c r="K2716" s="23" t="s">
        <v>8</v>
      </c>
      <c r="L2716" s="23" t="s">
        <v>8</v>
      </c>
      <c r="M2716" s="23" t="s">
        <v>8</v>
      </c>
    </row>
    <row r="2717" spans="1:13" s="21" customFormat="1" x14ac:dyDescent="0.25">
      <c r="A2717" s="22" t="s">
        <v>8</v>
      </c>
      <c r="B2717" s="18" t="str">
        <f>"115607"</f>
        <v>115607</v>
      </c>
      <c r="C2717" s="19" t="s">
        <v>2709</v>
      </c>
      <c r="D2717" s="19" t="s">
        <v>18149</v>
      </c>
      <c r="E2717" s="19" t="s">
        <v>31827</v>
      </c>
      <c r="F2717" s="19" t="s">
        <v>35984</v>
      </c>
      <c r="G2717" s="18" t="str">
        <f>"39897"</f>
        <v>39897</v>
      </c>
      <c r="H2717" s="19" t="s">
        <v>36153</v>
      </c>
      <c r="I2717" s="20">
        <v>18.271999999999998</v>
      </c>
      <c r="J2717" s="44" t="s">
        <v>8</v>
      </c>
      <c r="K2717" s="23" t="s">
        <v>8</v>
      </c>
      <c r="L2717" s="23" t="s">
        <v>8</v>
      </c>
      <c r="M2717" s="23" t="s">
        <v>8</v>
      </c>
    </row>
    <row r="2718" spans="1:13" s="21" customFormat="1" x14ac:dyDescent="0.25">
      <c r="A2718" s="22" t="s">
        <v>8</v>
      </c>
      <c r="B2718" s="18" t="str">
        <f>"115608"</f>
        <v>115608</v>
      </c>
      <c r="C2718" s="19" t="s">
        <v>2710</v>
      </c>
      <c r="D2718" s="19" t="s">
        <v>18150</v>
      </c>
      <c r="E2718" s="19" t="s">
        <v>31828</v>
      </c>
      <c r="F2718" s="19" t="s">
        <v>35984</v>
      </c>
      <c r="G2718" s="18" t="str">
        <f>"31774"</f>
        <v>31774</v>
      </c>
      <c r="H2718" s="19" t="s">
        <v>36196</v>
      </c>
      <c r="I2718" s="20">
        <v>20.39</v>
      </c>
      <c r="J2718" s="44" t="s">
        <v>8</v>
      </c>
      <c r="K2718" s="23" t="s">
        <v>8</v>
      </c>
      <c r="L2718" s="23" t="s">
        <v>8</v>
      </c>
      <c r="M2718" s="23" t="s">
        <v>8</v>
      </c>
    </row>
    <row r="2719" spans="1:13" s="21" customFormat="1" x14ac:dyDescent="0.25">
      <c r="A2719" s="22" t="s">
        <v>8</v>
      </c>
      <c r="B2719" s="18" t="str">
        <f>"115610"</f>
        <v>115610</v>
      </c>
      <c r="C2719" s="19" t="s">
        <v>2711</v>
      </c>
      <c r="D2719" s="19" t="s">
        <v>18151</v>
      </c>
      <c r="E2719" s="19" t="s">
        <v>31719</v>
      </c>
      <c r="F2719" s="19" t="s">
        <v>35984</v>
      </c>
      <c r="G2719" s="18" t="str">
        <f>"31405"</f>
        <v>31405</v>
      </c>
      <c r="H2719" s="19" t="s">
        <v>33903</v>
      </c>
      <c r="I2719" s="20">
        <v>18.353000000000002</v>
      </c>
      <c r="J2719" s="44" t="s">
        <v>8</v>
      </c>
      <c r="K2719" s="23" t="s">
        <v>8</v>
      </c>
      <c r="L2719" s="23" t="s">
        <v>8</v>
      </c>
      <c r="M2719" s="23" t="s">
        <v>8</v>
      </c>
    </row>
    <row r="2720" spans="1:13" s="21" customFormat="1" x14ac:dyDescent="0.25">
      <c r="A2720" s="22" t="s">
        <v>8</v>
      </c>
      <c r="B2720" s="18" t="str">
        <f>"115611"</f>
        <v>115611</v>
      </c>
      <c r="C2720" s="19" t="s">
        <v>2712</v>
      </c>
      <c r="D2720" s="19" t="s">
        <v>18152</v>
      </c>
      <c r="E2720" s="19" t="s">
        <v>30966</v>
      </c>
      <c r="F2720" s="19" t="s">
        <v>35984</v>
      </c>
      <c r="G2720" s="18" t="str">
        <f>"31533"</f>
        <v>31533</v>
      </c>
      <c r="H2720" s="19" t="s">
        <v>36039</v>
      </c>
      <c r="I2720" s="20">
        <v>21.7</v>
      </c>
      <c r="J2720" s="44" t="s">
        <v>8</v>
      </c>
      <c r="K2720" s="23" t="s">
        <v>8</v>
      </c>
      <c r="L2720" s="23" t="s">
        <v>8</v>
      </c>
      <c r="M2720" s="23" t="s">
        <v>8</v>
      </c>
    </row>
    <row r="2721" spans="1:13" s="21" customFormat="1" x14ac:dyDescent="0.25">
      <c r="A2721" s="22" t="s">
        <v>8</v>
      </c>
      <c r="B2721" s="18" t="str">
        <f>"115612"</f>
        <v>115612</v>
      </c>
      <c r="C2721" s="19" t="s">
        <v>2713</v>
      </c>
      <c r="D2721" s="19" t="s">
        <v>18153</v>
      </c>
      <c r="E2721" s="19" t="s">
        <v>31807</v>
      </c>
      <c r="F2721" s="19" t="s">
        <v>35984</v>
      </c>
      <c r="G2721" s="18" t="str">
        <f>"31088"</f>
        <v>31088</v>
      </c>
      <c r="H2721" s="19" t="s">
        <v>33493</v>
      </c>
      <c r="I2721" s="20">
        <v>19.196999999999999</v>
      </c>
      <c r="J2721" s="44" t="s">
        <v>8</v>
      </c>
      <c r="K2721" s="23" t="s">
        <v>8</v>
      </c>
      <c r="L2721" s="23" t="s">
        <v>8</v>
      </c>
      <c r="M2721" s="23" t="s">
        <v>8</v>
      </c>
    </row>
    <row r="2722" spans="1:13" s="21" customFormat="1" x14ac:dyDescent="0.25">
      <c r="A2722" s="22" t="s">
        <v>8</v>
      </c>
      <c r="B2722" s="18" t="str">
        <f>"115613"</f>
        <v>115613</v>
      </c>
      <c r="C2722" s="19" t="s">
        <v>2714</v>
      </c>
      <c r="D2722" s="19" t="s">
        <v>18154</v>
      </c>
      <c r="E2722" s="19" t="s">
        <v>31829</v>
      </c>
      <c r="F2722" s="19" t="s">
        <v>35984</v>
      </c>
      <c r="G2722" s="18" t="str">
        <f>"30810"</f>
        <v>30810</v>
      </c>
      <c r="H2722" s="19" t="s">
        <v>36197</v>
      </c>
      <c r="I2722" s="20">
        <v>18.995999999999999</v>
      </c>
      <c r="J2722" s="44" t="s">
        <v>8</v>
      </c>
      <c r="K2722" s="23" t="s">
        <v>8</v>
      </c>
      <c r="L2722" s="23" t="s">
        <v>8</v>
      </c>
      <c r="M2722" s="23" t="s">
        <v>8</v>
      </c>
    </row>
    <row r="2723" spans="1:13" s="21" customFormat="1" x14ac:dyDescent="0.25">
      <c r="A2723" s="22" t="s">
        <v>8</v>
      </c>
      <c r="B2723" s="18" t="str">
        <f>"115614"</f>
        <v>115614</v>
      </c>
      <c r="C2723" s="19" t="s">
        <v>2715</v>
      </c>
      <c r="D2723" s="19" t="s">
        <v>18155</v>
      </c>
      <c r="E2723" s="19" t="s">
        <v>31562</v>
      </c>
      <c r="F2723" s="19" t="s">
        <v>35984</v>
      </c>
      <c r="G2723" s="18" t="str">
        <f>"31763"</f>
        <v>31763</v>
      </c>
      <c r="H2723" s="19" t="s">
        <v>33138</v>
      </c>
      <c r="I2723" s="20">
        <v>20.417000000000002</v>
      </c>
      <c r="J2723" s="44" t="s">
        <v>8</v>
      </c>
      <c r="K2723" s="23" t="s">
        <v>8</v>
      </c>
      <c r="L2723" s="23" t="s">
        <v>8</v>
      </c>
      <c r="M2723" s="23" t="s">
        <v>8</v>
      </c>
    </row>
    <row r="2724" spans="1:13" s="21" customFormat="1" x14ac:dyDescent="0.25">
      <c r="A2724" s="22" t="s">
        <v>8</v>
      </c>
      <c r="B2724" s="18" t="str">
        <f>"115615"</f>
        <v>115615</v>
      </c>
      <c r="C2724" s="19" t="s">
        <v>2716</v>
      </c>
      <c r="D2724" s="19" t="s">
        <v>18156</v>
      </c>
      <c r="E2724" s="19" t="s">
        <v>31725</v>
      </c>
      <c r="F2724" s="19" t="s">
        <v>35984</v>
      </c>
      <c r="G2724" s="18" t="str">
        <f>"31502"</f>
        <v>31502</v>
      </c>
      <c r="H2724" s="19" t="s">
        <v>36159</v>
      </c>
      <c r="I2724" s="20">
        <v>18.846</v>
      </c>
      <c r="J2724" s="44" t="s">
        <v>8</v>
      </c>
      <c r="K2724" s="23" t="s">
        <v>8</v>
      </c>
      <c r="L2724" s="23" t="s">
        <v>8</v>
      </c>
      <c r="M2724" s="23" t="s">
        <v>8</v>
      </c>
    </row>
    <row r="2725" spans="1:13" s="21" customFormat="1" x14ac:dyDescent="0.25">
      <c r="A2725" s="22" t="s">
        <v>8</v>
      </c>
      <c r="B2725" s="18" t="str">
        <f>"115616"</f>
        <v>115616</v>
      </c>
      <c r="C2725" s="19" t="s">
        <v>2717</v>
      </c>
      <c r="D2725" s="19" t="s">
        <v>18157</v>
      </c>
      <c r="E2725" s="19" t="s">
        <v>5</v>
      </c>
      <c r="F2725" s="19" t="s">
        <v>35984</v>
      </c>
      <c r="G2725" s="18" t="str">
        <f>"30217"</f>
        <v>30217</v>
      </c>
      <c r="H2725" s="19" t="s">
        <v>36198</v>
      </c>
      <c r="I2725" s="20">
        <v>18.367999999999999</v>
      </c>
      <c r="J2725" s="44" t="s">
        <v>8</v>
      </c>
      <c r="K2725" s="23" t="s">
        <v>8</v>
      </c>
      <c r="L2725" s="23" t="s">
        <v>8</v>
      </c>
      <c r="M2725" s="23" t="s">
        <v>8</v>
      </c>
    </row>
    <row r="2726" spans="1:13" s="21" customFormat="1" x14ac:dyDescent="0.25">
      <c r="A2726" s="22" t="s">
        <v>8</v>
      </c>
      <c r="B2726" s="18" t="str">
        <f>"115617"</f>
        <v>115617</v>
      </c>
      <c r="C2726" s="19" t="s">
        <v>2718</v>
      </c>
      <c r="D2726" s="19" t="s">
        <v>18158</v>
      </c>
      <c r="E2726" s="19" t="s">
        <v>31694</v>
      </c>
      <c r="F2726" s="19" t="s">
        <v>35984</v>
      </c>
      <c r="G2726" s="18" t="str">
        <f>"31750"</f>
        <v>31750</v>
      </c>
      <c r="H2726" s="19" t="s">
        <v>36150</v>
      </c>
      <c r="I2726" s="20">
        <v>18.79</v>
      </c>
      <c r="J2726" s="44" t="s">
        <v>8</v>
      </c>
      <c r="K2726" s="23" t="s">
        <v>8</v>
      </c>
      <c r="L2726" s="23" t="s">
        <v>8</v>
      </c>
      <c r="M2726" s="23" t="s">
        <v>8</v>
      </c>
    </row>
    <row r="2727" spans="1:13" s="21" customFormat="1" x14ac:dyDescent="0.25">
      <c r="A2727" s="22" t="s">
        <v>8</v>
      </c>
      <c r="B2727" s="18" t="str">
        <f>"115618"</f>
        <v>115618</v>
      </c>
      <c r="C2727" s="19" t="s">
        <v>2719</v>
      </c>
      <c r="D2727" s="19" t="s">
        <v>18159</v>
      </c>
      <c r="E2727" s="19" t="s">
        <v>31822</v>
      </c>
      <c r="F2727" s="19" t="s">
        <v>35984</v>
      </c>
      <c r="G2727" s="18" t="str">
        <f>"30458"</f>
        <v>30458</v>
      </c>
      <c r="H2727" s="19" t="s">
        <v>36194</v>
      </c>
      <c r="I2727" s="20">
        <v>22.187000000000001</v>
      </c>
      <c r="J2727" s="44" t="s">
        <v>8</v>
      </c>
      <c r="K2727" s="23" t="s">
        <v>8</v>
      </c>
      <c r="L2727" s="23" t="s">
        <v>8</v>
      </c>
      <c r="M2727" s="23" t="s">
        <v>8</v>
      </c>
    </row>
    <row r="2728" spans="1:13" s="21" customFormat="1" x14ac:dyDescent="0.25">
      <c r="A2728" s="22" t="s">
        <v>8</v>
      </c>
      <c r="B2728" s="18" t="str">
        <f>"115619"</f>
        <v>115619</v>
      </c>
      <c r="C2728" s="19" t="s">
        <v>2720</v>
      </c>
      <c r="D2728" s="19" t="s">
        <v>18160</v>
      </c>
      <c r="E2728" s="19" t="s">
        <v>31830</v>
      </c>
      <c r="F2728" s="19" t="s">
        <v>35984</v>
      </c>
      <c r="G2728" s="18" t="str">
        <f>"30427"</f>
        <v>30427</v>
      </c>
      <c r="H2728" s="19" t="s">
        <v>36192</v>
      </c>
      <c r="I2728" s="20">
        <v>20.638000000000002</v>
      </c>
      <c r="J2728" s="44" t="s">
        <v>8</v>
      </c>
      <c r="K2728" s="23" t="s">
        <v>8</v>
      </c>
      <c r="L2728" s="23" t="s">
        <v>8</v>
      </c>
      <c r="M2728" s="23" t="s">
        <v>8</v>
      </c>
    </row>
    <row r="2729" spans="1:13" s="21" customFormat="1" x14ac:dyDescent="0.25">
      <c r="A2729" s="22" t="s">
        <v>8</v>
      </c>
      <c r="B2729" s="18" t="str">
        <f>"115621"</f>
        <v>115621</v>
      </c>
      <c r="C2729" s="19" t="s">
        <v>2721</v>
      </c>
      <c r="D2729" s="19" t="s">
        <v>18161</v>
      </c>
      <c r="E2729" s="19" t="s">
        <v>31831</v>
      </c>
      <c r="F2729" s="19" t="s">
        <v>35984</v>
      </c>
      <c r="G2729" s="18" t="str">
        <f>"31324"</f>
        <v>31324</v>
      </c>
      <c r="H2729" s="19" t="s">
        <v>34543</v>
      </c>
      <c r="I2729" s="20">
        <v>19.283000000000001</v>
      </c>
      <c r="J2729" s="44" t="s">
        <v>8</v>
      </c>
      <c r="K2729" s="23" t="s">
        <v>8</v>
      </c>
      <c r="L2729" s="23" t="s">
        <v>8</v>
      </c>
      <c r="M2729" s="23" t="s">
        <v>8</v>
      </c>
    </row>
    <row r="2730" spans="1:13" s="21" customFormat="1" x14ac:dyDescent="0.25">
      <c r="A2730" s="22" t="s">
        <v>8</v>
      </c>
      <c r="B2730" s="18" t="str">
        <f>"115622"</f>
        <v>115622</v>
      </c>
      <c r="C2730" s="19" t="s">
        <v>2722</v>
      </c>
      <c r="D2730" s="19" t="s">
        <v>18162</v>
      </c>
      <c r="E2730" s="19" t="s">
        <v>31832</v>
      </c>
      <c r="F2730" s="19" t="s">
        <v>35984</v>
      </c>
      <c r="G2730" s="18" t="str">
        <f>"31023"</f>
        <v>31023</v>
      </c>
      <c r="H2730" s="19" t="s">
        <v>33824</v>
      </c>
      <c r="I2730" s="20">
        <v>17.766999999999999</v>
      </c>
      <c r="J2730" s="44" t="s">
        <v>8</v>
      </c>
      <c r="K2730" s="23" t="s">
        <v>8</v>
      </c>
      <c r="L2730" s="23" t="s">
        <v>8</v>
      </c>
      <c r="M2730" s="23" t="s">
        <v>8</v>
      </c>
    </row>
    <row r="2731" spans="1:13" s="21" customFormat="1" x14ac:dyDescent="0.25">
      <c r="A2731" s="22" t="s">
        <v>8</v>
      </c>
      <c r="B2731" s="18" t="str">
        <f>"115623"</f>
        <v>115623</v>
      </c>
      <c r="C2731" s="19" t="s">
        <v>2723</v>
      </c>
      <c r="D2731" s="19" t="s">
        <v>18163</v>
      </c>
      <c r="E2731" s="19" t="s">
        <v>30909</v>
      </c>
      <c r="F2731" s="19" t="s">
        <v>35984</v>
      </c>
      <c r="G2731" s="18" t="str">
        <f>"31001"</f>
        <v>31001</v>
      </c>
      <c r="H2731" s="19" t="s">
        <v>36046</v>
      </c>
      <c r="I2731" s="20">
        <v>18.466999999999999</v>
      </c>
      <c r="J2731" s="44" t="s">
        <v>8</v>
      </c>
      <c r="K2731" s="23" t="s">
        <v>8</v>
      </c>
      <c r="L2731" s="23" t="s">
        <v>8</v>
      </c>
      <c r="M2731" s="23" t="s">
        <v>8</v>
      </c>
    </row>
    <row r="2732" spans="1:13" s="21" customFormat="1" x14ac:dyDescent="0.25">
      <c r="A2732" s="22" t="s">
        <v>8</v>
      </c>
      <c r="B2732" s="18" t="str">
        <f>"115624"</f>
        <v>115624</v>
      </c>
      <c r="C2732" s="19" t="s">
        <v>2724</v>
      </c>
      <c r="D2732" s="19" t="s">
        <v>18164</v>
      </c>
      <c r="E2732" s="19" t="s">
        <v>31833</v>
      </c>
      <c r="F2732" s="19" t="s">
        <v>35984</v>
      </c>
      <c r="G2732" s="18" t="str">
        <f>"31404"</f>
        <v>31404</v>
      </c>
      <c r="H2732" s="19" t="s">
        <v>33903</v>
      </c>
      <c r="I2732" s="20">
        <v>20.596</v>
      </c>
      <c r="J2732" s="44" t="s">
        <v>8</v>
      </c>
      <c r="K2732" s="23" t="s">
        <v>8</v>
      </c>
      <c r="L2732" s="23" t="s">
        <v>8</v>
      </c>
      <c r="M2732" s="23" t="s">
        <v>8</v>
      </c>
    </row>
    <row r="2733" spans="1:13" s="21" customFormat="1" x14ac:dyDescent="0.25">
      <c r="A2733" s="22" t="s">
        <v>8</v>
      </c>
      <c r="B2733" s="18" t="str">
        <f>"115625"</f>
        <v>115625</v>
      </c>
      <c r="C2733" s="19" t="s">
        <v>2725</v>
      </c>
      <c r="D2733" s="19" t="s">
        <v>18165</v>
      </c>
      <c r="E2733" s="19" t="s">
        <v>31834</v>
      </c>
      <c r="F2733" s="19" t="s">
        <v>35984</v>
      </c>
      <c r="G2733" s="18" t="str">
        <f>"31701"</f>
        <v>31701</v>
      </c>
      <c r="H2733" s="19" t="s">
        <v>36199</v>
      </c>
      <c r="I2733" s="20">
        <v>19.956</v>
      </c>
      <c r="J2733" s="44" t="s">
        <v>8</v>
      </c>
      <c r="K2733" s="23" t="s">
        <v>8</v>
      </c>
      <c r="L2733" s="23" t="s">
        <v>8</v>
      </c>
      <c r="M2733" s="23" t="s">
        <v>8</v>
      </c>
    </row>
    <row r="2734" spans="1:13" s="21" customFormat="1" x14ac:dyDescent="0.25">
      <c r="A2734" s="22" t="s">
        <v>8</v>
      </c>
      <c r="B2734" s="18" t="str">
        <f>"115626"</f>
        <v>115626</v>
      </c>
      <c r="C2734" s="19" t="s">
        <v>2726</v>
      </c>
      <c r="D2734" s="19" t="s">
        <v>18166</v>
      </c>
      <c r="E2734" s="19" t="s">
        <v>31835</v>
      </c>
      <c r="F2734" s="19" t="s">
        <v>35984</v>
      </c>
      <c r="G2734" s="18" t="str">
        <f>"31539"</f>
        <v>31539</v>
      </c>
      <c r="H2734" s="19" t="s">
        <v>36200</v>
      </c>
      <c r="I2734" s="20">
        <v>19.545999999999999</v>
      </c>
      <c r="J2734" s="44" t="s">
        <v>8</v>
      </c>
      <c r="K2734" s="23" t="s">
        <v>8</v>
      </c>
      <c r="L2734" s="23" t="s">
        <v>8</v>
      </c>
      <c r="M2734" s="23" t="s">
        <v>8</v>
      </c>
    </row>
    <row r="2735" spans="1:13" s="21" customFormat="1" x14ac:dyDescent="0.25">
      <c r="A2735" s="22" t="s">
        <v>8</v>
      </c>
      <c r="B2735" s="18" t="str">
        <f>"115627"</f>
        <v>115627</v>
      </c>
      <c r="C2735" s="19" t="s">
        <v>2727</v>
      </c>
      <c r="D2735" s="19" t="s">
        <v>18167</v>
      </c>
      <c r="E2735" s="19" t="s">
        <v>31836</v>
      </c>
      <c r="F2735" s="19" t="s">
        <v>35984</v>
      </c>
      <c r="G2735" s="18" t="str">
        <f>"31057"</f>
        <v>31057</v>
      </c>
      <c r="H2735" s="19" t="s">
        <v>31733</v>
      </c>
      <c r="I2735" s="20">
        <v>21.486999999999998</v>
      </c>
      <c r="J2735" s="44" t="s">
        <v>8</v>
      </c>
      <c r="K2735" s="23" t="s">
        <v>8</v>
      </c>
      <c r="L2735" s="23" t="s">
        <v>8</v>
      </c>
      <c r="M2735" s="23" t="s">
        <v>8</v>
      </c>
    </row>
    <row r="2736" spans="1:13" s="21" customFormat="1" x14ac:dyDescent="0.25">
      <c r="A2736" s="22" t="s">
        <v>8</v>
      </c>
      <c r="B2736" s="18" t="str">
        <f>"115628"</f>
        <v>115628</v>
      </c>
      <c r="C2736" s="19" t="s">
        <v>2728</v>
      </c>
      <c r="D2736" s="19" t="s">
        <v>18168</v>
      </c>
      <c r="E2736" s="19" t="s">
        <v>31834</v>
      </c>
      <c r="F2736" s="19" t="s">
        <v>35984</v>
      </c>
      <c r="G2736" s="18" t="str">
        <f>"31702"</f>
        <v>31702</v>
      </c>
      <c r="H2736" s="19" t="s">
        <v>36199</v>
      </c>
      <c r="I2736" s="20">
        <v>20.004999999999999</v>
      </c>
      <c r="J2736" s="44" t="s">
        <v>8</v>
      </c>
      <c r="K2736" s="23" t="s">
        <v>8</v>
      </c>
      <c r="L2736" s="23" t="s">
        <v>8</v>
      </c>
      <c r="M2736" s="23" t="s">
        <v>8</v>
      </c>
    </row>
    <row r="2737" spans="1:13" s="21" customFormat="1" x14ac:dyDescent="0.25">
      <c r="A2737" s="22" t="s">
        <v>8</v>
      </c>
      <c r="B2737" s="18" t="str">
        <f>"115629"</f>
        <v>115629</v>
      </c>
      <c r="C2737" s="19" t="s">
        <v>2729</v>
      </c>
      <c r="D2737" s="19" t="s">
        <v>18169</v>
      </c>
      <c r="E2737" s="19" t="s">
        <v>31837</v>
      </c>
      <c r="F2737" s="19" t="s">
        <v>35984</v>
      </c>
      <c r="G2737" s="18" t="str">
        <f>"31791"</f>
        <v>31791</v>
      </c>
      <c r="H2737" s="19" t="s">
        <v>36201</v>
      </c>
      <c r="I2737" s="20">
        <v>20.245000000000001</v>
      </c>
      <c r="J2737" s="44" t="s">
        <v>8</v>
      </c>
      <c r="K2737" s="23" t="s">
        <v>8</v>
      </c>
      <c r="L2737" s="23" t="s">
        <v>8</v>
      </c>
      <c r="M2737" s="23" t="s">
        <v>8</v>
      </c>
    </row>
    <row r="2738" spans="1:13" s="21" customFormat="1" x14ac:dyDescent="0.25">
      <c r="A2738" s="22" t="s">
        <v>8</v>
      </c>
      <c r="B2738" s="18" t="str">
        <f>"115630"</f>
        <v>115630</v>
      </c>
      <c r="C2738" s="19" t="s">
        <v>2730</v>
      </c>
      <c r="D2738" s="19" t="s">
        <v>18170</v>
      </c>
      <c r="E2738" s="19" t="s">
        <v>31838</v>
      </c>
      <c r="F2738" s="19" t="s">
        <v>35984</v>
      </c>
      <c r="G2738" s="18" t="str">
        <f>"31537"</f>
        <v>31537</v>
      </c>
      <c r="H2738" s="19" t="s">
        <v>33124</v>
      </c>
      <c r="I2738" s="20">
        <v>18.087</v>
      </c>
      <c r="J2738" s="44" t="s">
        <v>8</v>
      </c>
      <c r="K2738" s="23" t="s">
        <v>8</v>
      </c>
      <c r="L2738" s="23" t="s">
        <v>8</v>
      </c>
      <c r="M2738" s="23" t="s">
        <v>8</v>
      </c>
    </row>
    <row r="2739" spans="1:13" s="21" customFormat="1" x14ac:dyDescent="0.25">
      <c r="A2739" s="22" t="s">
        <v>8</v>
      </c>
      <c r="B2739" s="18" t="str">
        <f>"115631"</f>
        <v>115631</v>
      </c>
      <c r="C2739" s="19" t="s">
        <v>2731</v>
      </c>
      <c r="D2739" s="19" t="s">
        <v>18171</v>
      </c>
      <c r="E2739" s="19" t="s">
        <v>30824</v>
      </c>
      <c r="F2739" s="19" t="s">
        <v>35984</v>
      </c>
      <c r="G2739" s="18" t="str">
        <f>"30607"</f>
        <v>30607</v>
      </c>
      <c r="H2739" s="19" t="s">
        <v>36034</v>
      </c>
      <c r="I2739" s="20">
        <v>19.879000000000001</v>
      </c>
      <c r="J2739" s="44" t="s">
        <v>8</v>
      </c>
      <c r="K2739" s="23" t="s">
        <v>8</v>
      </c>
      <c r="L2739" s="23" t="s">
        <v>8</v>
      </c>
      <c r="M2739" s="23" t="s">
        <v>8</v>
      </c>
    </row>
    <row r="2740" spans="1:13" s="21" customFormat="1" x14ac:dyDescent="0.25">
      <c r="A2740" s="22" t="s">
        <v>8</v>
      </c>
      <c r="B2740" s="18" t="str">
        <f>"115633"</f>
        <v>115633</v>
      </c>
      <c r="C2740" s="19" t="s">
        <v>2732</v>
      </c>
      <c r="D2740" s="19" t="s">
        <v>18172</v>
      </c>
      <c r="E2740" s="19" t="s">
        <v>31776</v>
      </c>
      <c r="F2740" s="19" t="s">
        <v>35984</v>
      </c>
      <c r="G2740" s="18" t="str">
        <f>"31328"</f>
        <v>31328</v>
      </c>
      <c r="H2740" s="19" t="s">
        <v>33903</v>
      </c>
      <c r="I2740" s="20">
        <v>18.571999999999999</v>
      </c>
      <c r="J2740" s="44" t="s">
        <v>8</v>
      </c>
      <c r="K2740" s="23" t="s">
        <v>8</v>
      </c>
      <c r="L2740" s="23" t="s">
        <v>8</v>
      </c>
      <c r="M2740" s="23" t="s">
        <v>8</v>
      </c>
    </row>
    <row r="2741" spans="1:13" s="21" customFormat="1" x14ac:dyDescent="0.25">
      <c r="A2741" s="22" t="s">
        <v>8</v>
      </c>
      <c r="B2741" s="18" t="str">
        <f>"115635"</f>
        <v>115635</v>
      </c>
      <c r="C2741" s="19" t="s">
        <v>2733</v>
      </c>
      <c r="D2741" s="19" t="s">
        <v>18173</v>
      </c>
      <c r="E2741" s="19" t="s">
        <v>31839</v>
      </c>
      <c r="F2741" s="19" t="s">
        <v>35984</v>
      </c>
      <c r="G2741" s="18" t="str">
        <f>"31634"</f>
        <v>31634</v>
      </c>
      <c r="H2741" s="19" t="s">
        <v>36202</v>
      </c>
      <c r="I2741" s="20">
        <v>20.138000000000002</v>
      </c>
      <c r="J2741" s="44" t="s">
        <v>8</v>
      </c>
      <c r="K2741" s="23" t="s">
        <v>8</v>
      </c>
      <c r="L2741" s="23" t="s">
        <v>8</v>
      </c>
      <c r="M2741" s="23" t="s">
        <v>8</v>
      </c>
    </row>
    <row r="2742" spans="1:13" s="21" customFormat="1" x14ac:dyDescent="0.25">
      <c r="A2742" s="22" t="s">
        <v>8</v>
      </c>
      <c r="B2742" s="18" t="str">
        <f>"115636"</f>
        <v>115636</v>
      </c>
      <c r="C2742" s="19" t="s">
        <v>2734</v>
      </c>
      <c r="D2742" s="19" t="s">
        <v>18174</v>
      </c>
      <c r="E2742" s="19" t="s">
        <v>31733</v>
      </c>
      <c r="F2742" s="19" t="s">
        <v>35984</v>
      </c>
      <c r="G2742" s="18" t="str">
        <f>"31216"</f>
        <v>31216</v>
      </c>
      <c r="H2742" s="19" t="s">
        <v>36028</v>
      </c>
      <c r="I2742" s="20">
        <v>19.776</v>
      </c>
      <c r="J2742" s="44" t="s">
        <v>8</v>
      </c>
      <c r="K2742" s="23" t="s">
        <v>8</v>
      </c>
      <c r="L2742" s="23" t="s">
        <v>8</v>
      </c>
      <c r="M2742" s="23" t="s">
        <v>8</v>
      </c>
    </row>
    <row r="2743" spans="1:13" s="21" customFormat="1" x14ac:dyDescent="0.25">
      <c r="A2743" s="22" t="s">
        <v>8</v>
      </c>
      <c r="B2743" s="18" t="str">
        <f>"115638"</f>
        <v>115638</v>
      </c>
      <c r="C2743" s="19" t="s">
        <v>2735</v>
      </c>
      <c r="D2743" s="19" t="s">
        <v>18175</v>
      </c>
      <c r="E2743" s="19" t="s">
        <v>30812</v>
      </c>
      <c r="F2743" s="19" t="s">
        <v>35984</v>
      </c>
      <c r="G2743" s="18" t="str">
        <f>"30117"</f>
        <v>30117</v>
      </c>
      <c r="H2743" s="19" t="s">
        <v>32334</v>
      </c>
      <c r="I2743" s="20">
        <v>23.012</v>
      </c>
      <c r="J2743" s="44" t="s">
        <v>8</v>
      </c>
      <c r="K2743" s="23" t="s">
        <v>8</v>
      </c>
      <c r="L2743" s="23" t="s">
        <v>8</v>
      </c>
      <c r="M2743" s="23" t="s">
        <v>8</v>
      </c>
    </row>
    <row r="2744" spans="1:13" s="21" customFormat="1" x14ac:dyDescent="0.25">
      <c r="A2744" s="22" t="s">
        <v>8</v>
      </c>
      <c r="B2744" s="18" t="str">
        <f>"115640"</f>
        <v>115640</v>
      </c>
      <c r="C2744" s="19" t="s">
        <v>2736</v>
      </c>
      <c r="D2744" s="19" t="s">
        <v>18176</v>
      </c>
      <c r="E2744" s="19" t="s">
        <v>31719</v>
      </c>
      <c r="F2744" s="19" t="s">
        <v>35984</v>
      </c>
      <c r="G2744" s="18" t="str">
        <f>"31419"</f>
        <v>31419</v>
      </c>
      <c r="H2744" s="19" t="s">
        <v>33903</v>
      </c>
      <c r="I2744" s="20">
        <v>22.189</v>
      </c>
      <c r="J2744" s="44" t="s">
        <v>8</v>
      </c>
      <c r="K2744" s="23" t="s">
        <v>8</v>
      </c>
      <c r="L2744" s="23" t="s">
        <v>8</v>
      </c>
      <c r="M2744" s="23" t="s">
        <v>8</v>
      </c>
    </row>
    <row r="2745" spans="1:13" s="21" customFormat="1" x14ac:dyDescent="0.25">
      <c r="A2745" s="22" t="s">
        <v>8</v>
      </c>
      <c r="B2745" s="18" t="str">
        <f>"115641"</f>
        <v>115641</v>
      </c>
      <c r="C2745" s="19" t="s">
        <v>2737</v>
      </c>
      <c r="D2745" s="19" t="s">
        <v>18177</v>
      </c>
      <c r="E2745" s="19" t="s">
        <v>31719</v>
      </c>
      <c r="F2745" s="19" t="s">
        <v>35984</v>
      </c>
      <c r="G2745" s="18" t="str">
        <f>"31406"</f>
        <v>31406</v>
      </c>
      <c r="H2745" s="19" t="s">
        <v>33903</v>
      </c>
      <c r="I2745" s="20">
        <v>16.974</v>
      </c>
      <c r="J2745" s="44" t="s">
        <v>8</v>
      </c>
      <c r="K2745" s="23" t="s">
        <v>8</v>
      </c>
      <c r="L2745" s="23" t="s">
        <v>8</v>
      </c>
      <c r="M2745" s="23" t="s">
        <v>8</v>
      </c>
    </row>
    <row r="2746" spans="1:13" s="21" customFormat="1" x14ac:dyDescent="0.25">
      <c r="A2746" s="22" t="s">
        <v>8</v>
      </c>
      <c r="B2746" s="18" t="str">
        <f>"115642"</f>
        <v>115642</v>
      </c>
      <c r="C2746" s="19" t="s">
        <v>2738</v>
      </c>
      <c r="D2746" s="19" t="s">
        <v>18178</v>
      </c>
      <c r="E2746" s="19" t="s">
        <v>31763</v>
      </c>
      <c r="F2746" s="19" t="s">
        <v>35984</v>
      </c>
      <c r="G2746" s="18" t="str">
        <f>"30439"</f>
        <v>30439</v>
      </c>
      <c r="H2746" s="19" t="s">
        <v>34331</v>
      </c>
      <c r="I2746" s="20">
        <v>19.024000000000001</v>
      </c>
      <c r="J2746" s="44" t="s">
        <v>8</v>
      </c>
      <c r="K2746" s="23" t="s">
        <v>8</v>
      </c>
      <c r="L2746" s="23" t="s">
        <v>8</v>
      </c>
      <c r="M2746" s="23" t="s">
        <v>8</v>
      </c>
    </row>
    <row r="2747" spans="1:13" s="21" customFormat="1" x14ac:dyDescent="0.25">
      <c r="A2747" s="22" t="s">
        <v>8</v>
      </c>
      <c r="B2747" s="18" t="str">
        <f>"115643"</f>
        <v>115643</v>
      </c>
      <c r="C2747" s="19" t="s">
        <v>2739</v>
      </c>
      <c r="D2747" s="19" t="s">
        <v>18179</v>
      </c>
      <c r="E2747" s="19" t="s">
        <v>31840</v>
      </c>
      <c r="F2747" s="19" t="s">
        <v>35984</v>
      </c>
      <c r="G2747" s="18" t="str">
        <f>"30078"</f>
        <v>30078</v>
      </c>
      <c r="H2747" s="19" t="s">
        <v>36168</v>
      </c>
      <c r="I2747" s="20">
        <v>18.157</v>
      </c>
      <c r="J2747" s="44" t="s">
        <v>8</v>
      </c>
      <c r="K2747" s="23" t="s">
        <v>8</v>
      </c>
      <c r="L2747" s="23" t="s">
        <v>8</v>
      </c>
      <c r="M2747" s="23" t="s">
        <v>8</v>
      </c>
    </row>
    <row r="2748" spans="1:13" s="21" customFormat="1" x14ac:dyDescent="0.25">
      <c r="A2748" s="22" t="s">
        <v>8</v>
      </c>
      <c r="B2748" s="18" t="str">
        <f>"115644"</f>
        <v>115644</v>
      </c>
      <c r="C2748" s="19" t="s">
        <v>2740</v>
      </c>
      <c r="D2748" s="19" t="s">
        <v>18180</v>
      </c>
      <c r="E2748" s="19" t="s">
        <v>31841</v>
      </c>
      <c r="F2748" s="19" t="s">
        <v>35984</v>
      </c>
      <c r="G2748" s="18" t="str">
        <f>"30816"</f>
        <v>30816</v>
      </c>
      <c r="H2748" s="19" t="s">
        <v>35398</v>
      </c>
      <c r="I2748" s="20">
        <v>21.766999999999999</v>
      </c>
      <c r="J2748" s="44" t="s">
        <v>8</v>
      </c>
      <c r="K2748" s="23" t="s">
        <v>8</v>
      </c>
      <c r="L2748" s="23" t="s">
        <v>8</v>
      </c>
      <c r="M2748" s="23" t="s">
        <v>8</v>
      </c>
    </row>
    <row r="2749" spans="1:13" s="21" customFormat="1" x14ac:dyDescent="0.25">
      <c r="A2749" s="22" t="s">
        <v>8</v>
      </c>
      <c r="B2749" s="18" t="str">
        <f>"115645"</f>
        <v>115645</v>
      </c>
      <c r="C2749" s="19" t="s">
        <v>2741</v>
      </c>
      <c r="D2749" s="19" t="s">
        <v>18181</v>
      </c>
      <c r="E2749" s="19" t="s">
        <v>31746</v>
      </c>
      <c r="F2749" s="19" t="s">
        <v>35984</v>
      </c>
      <c r="G2749" s="18" t="str">
        <f>"30046"</f>
        <v>30046</v>
      </c>
      <c r="H2749" s="19" t="s">
        <v>36168</v>
      </c>
      <c r="I2749" s="20">
        <v>21.503</v>
      </c>
      <c r="J2749" s="44" t="s">
        <v>8</v>
      </c>
      <c r="K2749" s="23" t="s">
        <v>8</v>
      </c>
      <c r="L2749" s="23" t="s">
        <v>8</v>
      </c>
      <c r="M2749" s="23" t="s">
        <v>8</v>
      </c>
    </row>
    <row r="2750" spans="1:13" s="21" customFormat="1" x14ac:dyDescent="0.25">
      <c r="A2750" s="22" t="s">
        <v>8</v>
      </c>
      <c r="B2750" s="18" t="str">
        <f>"115647"</f>
        <v>115647</v>
      </c>
      <c r="C2750" s="19" t="s">
        <v>2742</v>
      </c>
      <c r="D2750" s="19" t="s">
        <v>18182</v>
      </c>
      <c r="E2750" s="19" t="s">
        <v>30853</v>
      </c>
      <c r="F2750" s="19" t="s">
        <v>35984</v>
      </c>
      <c r="G2750" s="18" t="str">
        <f>"30034"</f>
        <v>30034</v>
      </c>
      <c r="H2750" s="19" t="s">
        <v>31954</v>
      </c>
      <c r="I2750" s="20">
        <v>19.655000000000001</v>
      </c>
      <c r="J2750" s="44" t="s">
        <v>8</v>
      </c>
      <c r="K2750" s="23" t="s">
        <v>8</v>
      </c>
      <c r="L2750" s="23" t="s">
        <v>8</v>
      </c>
      <c r="M2750" s="23" t="s">
        <v>8</v>
      </c>
    </row>
    <row r="2751" spans="1:13" s="21" customFormat="1" x14ac:dyDescent="0.25">
      <c r="A2751" s="22" t="s">
        <v>8</v>
      </c>
      <c r="B2751" s="18" t="str">
        <f>"115649"</f>
        <v>115649</v>
      </c>
      <c r="C2751" s="19" t="s">
        <v>2743</v>
      </c>
      <c r="D2751" s="19" t="s">
        <v>18183</v>
      </c>
      <c r="E2751" s="19" t="s">
        <v>31783</v>
      </c>
      <c r="F2751" s="19" t="s">
        <v>35984</v>
      </c>
      <c r="G2751" s="18" t="str">
        <f>"31061"</f>
        <v>31061</v>
      </c>
      <c r="H2751" s="19" t="s">
        <v>31758</v>
      </c>
      <c r="I2751" s="20">
        <v>17.350999999999999</v>
      </c>
      <c r="J2751" s="44" t="s">
        <v>8</v>
      </c>
      <c r="K2751" s="23" t="s">
        <v>8</v>
      </c>
      <c r="L2751" s="23" t="s">
        <v>8</v>
      </c>
      <c r="M2751" s="23" t="s">
        <v>8</v>
      </c>
    </row>
    <row r="2752" spans="1:13" s="21" customFormat="1" x14ac:dyDescent="0.25">
      <c r="A2752" s="22" t="s">
        <v>8</v>
      </c>
      <c r="B2752" s="18" t="str">
        <f>"115651"</f>
        <v>115651</v>
      </c>
      <c r="C2752" s="19" t="s">
        <v>2744</v>
      </c>
      <c r="D2752" s="19" t="s">
        <v>18184</v>
      </c>
      <c r="E2752" s="19" t="s">
        <v>31842</v>
      </c>
      <c r="F2752" s="19" t="s">
        <v>35984</v>
      </c>
      <c r="G2752" s="18" t="str">
        <f>"31030"</f>
        <v>31030</v>
      </c>
      <c r="H2752" s="19" t="s">
        <v>36203</v>
      </c>
      <c r="I2752" s="20">
        <v>19.888999999999999</v>
      </c>
      <c r="J2752" s="44" t="s">
        <v>8</v>
      </c>
      <c r="K2752" s="23" t="s">
        <v>8</v>
      </c>
      <c r="L2752" s="23" t="s">
        <v>8</v>
      </c>
      <c r="M2752" s="23" t="s">
        <v>8</v>
      </c>
    </row>
    <row r="2753" spans="1:13" s="21" customFormat="1" x14ac:dyDescent="0.25">
      <c r="A2753" s="22" t="s">
        <v>8</v>
      </c>
      <c r="B2753" s="18" t="str">
        <f>"115652"</f>
        <v>115652</v>
      </c>
      <c r="C2753" s="19" t="s">
        <v>2745</v>
      </c>
      <c r="D2753" s="19" t="s">
        <v>18185</v>
      </c>
      <c r="E2753" s="19" t="s">
        <v>31733</v>
      </c>
      <c r="F2753" s="19" t="s">
        <v>35984</v>
      </c>
      <c r="G2753" s="18" t="str">
        <f>"31206"</f>
        <v>31206</v>
      </c>
      <c r="H2753" s="19" t="s">
        <v>36028</v>
      </c>
      <c r="I2753" s="20">
        <v>20.593</v>
      </c>
      <c r="J2753" s="44" t="s">
        <v>8</v>
      </c>
      <c r="K2753" s="23" t="s">
        <v>8</v>
      </c>
      <c r="L2753" s="23" t="s">
        <v>8</v>
      </c>
      <c r="M2753" s="23" t="s">
        <v>8</v>
      </c>
    </row>
    <row r="2754" spans="1:13" s="21" customFormat="1" x14ac:dyDescent="0.25">
      <c r="A2754" s="22" t="s">
        <v>8</v>
      </c>
      <c r="B2754" s="18" t="str">
        <f>"115654"</f>
        <v>115654</v>
      </c>
      <c r="C2754" s="19" t="s">
        <v>2746</v>
      </c>
      <c r="D2754" s="19" t="s">
        <v>18186</v>
      </c>
      <c r="E2754" s="19" t="s">
        <v>31694</v>
      </c>
      <c r="F2754" s="19" t="s">
        <v>35984</v>
      </c>
      <c r="G2754" s="18" t="str">
        <f>"31750"</f>
        <v>31750</v>
      </c>
      <c r="H2754" s="19" t="s">
        <v>36150</v>
      </c>
      <c r="I2754" s="20">
        <v>21.198</v>
      </c>
      <c r="J2754" s="44" t="s">
        <v>8</v>
      </c>
      <c r="K2754" s="23" t="s">
        <v>8</v>
      </c>
      <c r="L2754" s="23" t="s">
        <v>8</v>
      </c>
      <c r="M2754" s="23" t="s">
        <v>8</v>
      </c>
    </row>
    <row r="2755" spans="1:13" s="21" customFormat="1" x14ac:dyDescent="0.25">
      <c r="A2755" s="22" t="s">
        <v>8</v>
      </c>
      <c r="B2755" s="18" t="str">
        <f>"115655"</f>
        <v>115655</v>
      </c>
      <c r="C2755" s="19" t="s">
        <v>2747</v>
      </c>
      <c r="D2755" s="19" t="s">
        <v>18187</v>
      </c>
      <c r="E2755" s="19" t="s">
        <v>31697</v>
      </c>
      <c r="F2755" s="19" t="s">
        <v>35984</v>
      </c>
      <c r="G2755" s="18" t="str">
        <f>"31620"</f>
        <v>31620</v>
      </c>
      <c r="H2755" s="19" t="s">
        <v>33420</v>
      </c>
      <c r="I2755" s="20">
        <v>20.004999999999999</v>
      </c>
      <c r="J2755" s="44" t="s">
        <v>8</v>
      </c>
      <c r="K2755" s="23" t="s">
        <v>8</v>
      </c>
      <c r="L2755" s="23" t="s">
        <v>8</v>
      </c>
      <c r="M2755" s="23" t="s">
        <v>8</v>
      </c>
    </row>
    <row r="2756" spans="1:13" s="21" customFormat="1" x14ac:dyDescent="0.25">
      <c r="A2756" s="22" t="s">
        <v>8</v>
      </c>
      <c r="B2756" s="18" t="str">
        <f>"115656"</f>
        <v>115656</v>
      </c>
      <c r="C2756" s="19" t="s">
        <v>2748</v>
      </c>
      <c r="D2756" s="19" t="s">
        <v>18188</v>
      </c>
      <c r="E2756" s="19" t="s">
        <v>31733</v>
      </c>
      <c r="F2756" s="19" t="s">
        <v>35984</v>
      </c>
      <c r="G2756" s="18" t="str">
        <f>"31217"</f>
        <v>31217</v>
      </c>
      <c r="H2756" s="19" t="s">
        <v>36028</v>
      </c>
      <c r="I2756" s="20">
        <v>19.010000000000002</v>
      </c>
      <c r="J2756" s="44" t="s">
        <v>8</v>
      </c>
      <c r="K2756" s="23" t="s">
        <v>8</v>
      </c>
      <c r="L2756" s="23" t="s">
        <v>8</v>
      </c>
      <c r="M2756" s="23" t="s">
        <v>8</v>
      </c>
    </row>
    <row r="2757" spans="1:13" s="21" customFormat="1" x14ac:dyDescent="0.25">
      <c r="A2757" s="22" t="s">
        <v>8</v>
      </c>
      <c r="B2757" s="18" t="str">
        <f>"115657"</f>
        <v>115657</v>
      </c>
      <c r="C2757" s="19" t="s">
        <v>2749</v>
      </c>
      <c r="D2757" s="19" t="s">
        <v>18189</v>
      </c>
      <c r="E2757" s="19" t="s">
        <v>31807</v>
      </c>
      <c r="F2757" s="19" t="s">
        <v>35984</v>
      </c>
      <c r="G2757" s="18" t="str">
        <f>"31093"</f>
        <v>31093</v>
      </c>
      <c r="H2757" s="19" t="s">
        <v>33493</v>
      </c>
      <c r="I2757" s="20">
        <v>20.010000000000002</v>
      </c>
      <c r="J2757" s="44" t="s">
        <v>8</v>
      </c>
      <c r="K2757" s="23" t="s">
        <v>8</v>
      </c>
      <c r="L2757" s="23" t="s">
        <v>8</v>
      </c>
      <c r="M2757" s="23" t="s">
        <v>8</v>
      </c>
    </row>
    <row r="2758" spans="1:13" s="21" customFormat="1" x14ac:dyDescent="0.25">
      <c r="A2758" s="22" t="s">
        <v>8</v>
      </c>
      <c r="B2758" s="18" t="str">
        <f>"115658"</f>
        <v>115658</v>
      </c>
      <c r="C2758" s="19" t="s">
        <v>2750</v>
      </c>
      <c r="D2758" s="19" t="s">
        <v>18190</v>
      </c>
      <c r="E2758" s="19" t="s">
        <v>30817</v>
      </c>
      <c r="F2758" s="19" t="s">
        <v>35984</v>
      </c>
      <c r="G2758" s="18" t="str">
        <f>"30222"</f>
        <v>30222</v>
      </c>
      <c r="H2758" s="19" t="s">
        <v>36195</v>
      </c>
      <c r="I2758" s="20">
        <v>19.187999999999999</v>
      </c>
      <c r="J2758" s="44" t="s">
        <v>8</v>
      </c>
      <c r="K2758" s="23" t="s">
        <v>8</v>
      </c>
      <c r="L2758" s="23" t="s">
        <v>8</v>
      </c>
      <c r="M2758" s="23" t="s">
        <v>8</v>
      </c>
    </row>
    <row r="2759" spans="1:13" s="21" customFormat="1" x14ac:dyDescent="0.25">
      <c r="A2759" s="22" t="s">
        <v>8</v>
      </c>
      <c r="B2759" s="18" t="str">
        <f>"115659"</f>
        <v>115659</v>
      </c>
      <c r="C2759" s="19" t="s">
        <v>2751</v>
      </c>
      <c r="D2759" s="19" t="s">
        <v>18191</v>
      </c>
      <c r="E2759" s="19" t="s">
        <v>31746</v>
      </c>
      <c r="F2759" s="19" t="s">
        <v>35984</v>
      </c>
      <c r="G2759" s="18" t="str">
        <f>"30045"</f>
        <v>30045</v>
      </c>
      <c r="H2759" s="19" t="s">
        <v>36168</v>
      </c>
      <c r="I2759" s="20">
        <v>18.888999999999999</v>
      </c>
      <c r="J2759" s="44" t="s">
        <v>8</v>
      </c>
      <c r="K2759" s="23" t="s">
        <v>8</v>
      </c>
      <c r="L2759" s="23" t="s">
        <v>8</v>
      </c>
      <c r="M2759" s="23" t="s">
        <v>8</v>
      </c>
    </row>
    <row r="2760" spans="1:13" s="21" customFormat="1" x14ac:dyDescent="0.25">
      <c r="A2760" s="22" t="s">
        <v>8</v>
      </c>
      <c r="B2760" s="18" t="str">
        <f>"115660"</f>
        <v>115660</v>
      </c>
      <c r="C2760" s="19" t="s">
        <v>2752</v>
      </c>
      <c r="D2760" s="19" t="s">
        <v>18192</v>
      </c>
      <c r="E2760" s="19" t="s">
        <v>31718</v>
      </c>
      <c r="F2760" s="19" t="s">
        <v>35984</v>
      </c>
      <c r="G2760" s="18" t="str">
        <f>"30064"</f>
        <v>30064</v>
      </c>
      <c r="H2760" s="19" t="s">
        <v>36158</v>
      </c>
      <c r="I2760" s="20">
        <v>22.577999999999999</v>
      </c>
      <c r="J2760" s="44" t="s">
        <v>8</v>
      </c>
      <c r="K2760" s="23" t="s">
        <v>8</v>
      </c>
      <c r="L2760" s="23" t="s">
        <v>8</v>
      </c>
      <c r="M2760" s="23" t="s">
        <v>8</v>
      </c>
    </row>
    <row r="2761" spans="1:13" s="21" customFormat="1" x14ac:dyDescent="0.25">
      <c r="A2761" s="22" t="s">
        <v>8</v>
      </c>
      <c r="B2761" s="18" t="str">
        <f>"115663"</f>
        <v>115663</v>
      </c>
      <c r="C2761" s="19" t="s">
        <v>2753</v>
      </c>
      <c r="D2761" s="19" t="s">
        <v>18193</v>
      </c>
      <c r="E2761" s="19" t="s">
        <v>31744</v>
      </c>
      <c r="F2761" s="19" t="s">
        <v>35984</v>
      </c>
      <c r="G2761" s="18" t="str">
        <f>"30720"</f>
        <v>30720</v>
      </c>
      <c r="H2761" s="19" t="s">
        <v>36165</v>
      </c>
      <c r="I2761" s="20">
        <v>18.062999999999999</v>
      </c>
      <c r="J2761" s="44" t="s">
        <v>8</v>
      </c>
      <c r="K2761" s="23" t="s">
        <v>8</v>
      </c>
      <c r="L2761" s="23" t="s">
        <v>8</v>
      </c>
      <c r="M2761" s="23" t="s">
        <v>8</v>
      </c>
    </row>
    <row r="2762" spans="1:13" s="21" customFormat="1" x14ac:dyDescent="0.25">
      <c r="A2762" s="22" t="s">
        <v>8</v>
      </c>
      <c r="B2762" s="18" t="str">
        <f>"115665"</f>
        <v>115665</v>
      </c>
      <c r="C2762" s="19" t="s">
        <v>2754</v>
      </c>
      <c r="D2762" s="19" t="s">
        <v>18194</v>
      </c>
      <c r="E2762" s="19" t="s">
        <v>31843</v>
      </c>
      <c r="F2762" s="19" t="s">
        <v>35984</v>
      </c>
      <c r="G2762" s="18" t="str">
        <f>"31316"</f>
        <v>31316</v>
      </c>
      <c r="H2762" s="19" t="s">
        <v>36204</v>
      </c>
      <c r="I2762" s="20">
        <v>19.797999999999998</v>
      </c>
      <c r="J2762" s="44" t="s">
        <v>8</v>
      </c>
      <c r="K2762" s="23" t="s">
        <v>8</v>
      </c>
      <c r="L2762" s="23" t="s">
        <v>8</v>
      </c>
      <c r="M2762" s="23" t="s">
        <v>8</v>
      </c>
    </row>
    <row r="2763" spans="1:13" s="21" customFormat="1" x14ac:dyDescent="0.25">
      <c r="A2763" s="22" t="s">
        <v>8</v>
      </c>
      <c r="B2763" s="18" t="str">
        <f>"115667"</f>
        <v>115667</v>
      </c>
      <c r="C2763" s="19" t="s">
        <v>2755</v>
      </c>
      <c r="D2763" s="19" t="s">
        <v>18195</v>
      </c>
      <c r="E2763" s="19" t="s">
        <v>31699</v>
      </c>
      <c r="F2763" s="19" t="s">
        <v>35984</v>
      </c>
      <c r="G2763" s="18" t="str">
        <f>"31768"</f>
        <v>31768</v>
      </c>
      <c r="H2763" s="19" t="s">
        <v>31712</v>
      </c>
      <c r="I2763" s="20">
        <v>21.056999999999999</v>
      </c>
      <c r="J2763" s="44" t="s">
        <v>8</v>
      </c>
      <c r="K2763" s="23" t="s">
        <v>8</v>
      </c>
      <c r="L2763" s="23" t="s">
        <v>8</v>
      </c>
      <c r="M2763" s="23" t="s">
        <v>8</v>
      </c>
    </row>
    <row r="2764" spans="1:13" s="21" customFormat="1" x14ac:dyDescent="0.25">
      <c r="A2764" s="22" t="s">
        <v>8</v>
      </c>
      <c r="B2764" s="18" t="str">
        <f>"115668"</f>
        <v>115668</v>
      </c>
      <c r="C2764" s="19" t="s">
        <v>2756</v>
      </c>
      <c r="D2764" s="19" t="s">
        <v>18196</v>
      </c>
      <c r="E2764" s="19" t="s">
        <v>31699</v>
      </c>
      <c r="F2764" s="19" t="s">
        <v>35984</v>
      </c>
      <c r="G2764" s="18" t="str">
        <f>"31768"</f>
        <v>31768</v>
      </c>
      <c r="H2764" s="19" t="s">
        <v>31712</v>
      </c>
      <c r="I2764" s="20">
        <v>20.132999999999999</v>
      </c>
      <c r="J2764" s="44" t="s">
        <v>8</v>
      </c>
      <c r="K2764" s="23" t="s">
        <v>8</v>
      </c>
      <c r="L2764" s="23" t="s">
        <v>8</v>
      </c>
      <c r="M2764" s="23" t="s">
        <v>8</v>
      </c>
    </row>
    <row r="2765" spans="1:13" s="21" customFormat="1" x14ac:dyDescent="0.25">
      <c r="A2765" s="22" t="s">
        <v>8</v>
      </c>
      <c r="B2765" s="18" t="str">
        <f>"115670"</f>
        <v>115670</v>
      </c>
      <c r="C2765" s="19" t="s">
        <v>2757</v>
      </c>
      <c r="D2765" s="19" t="s">
        <v>18197</v>
      </c>
      <c r="E2765" s="19" t="s">
        <v>31781</v>
      </c>
      <c r="F2765" s="19" t="s">
        <v>35984</v>
      </c>
      <c r="G2765" s="18" t="str">
        <f>"30012"</f>
        <v>30012</v>
      </c>
      <c r="H2765" s="19" t="s">
        <v>35942</v>
      </c>
      <c r="I2765" s="20">
        <v>19.167999999999999</v>
      </c>
      <c r="J2765" s="44" t="s">
        <v>8</v>
      </c>
      <c r="K2765" s="23" t="s">
        <v>8</v>
      </c>
      <c r="L2765" s="23" t="s">
        <v>8</v>
      </c>
      <c r="M2765" s="23" t="s">
        <v>8</v>
      </c>
    </row>
    <row r="2766" spans="1:13" s="21" customFormat="1" x14ac:dyDescent="0.25">
      <c r="A2766" s="22" t="s">
        <v>8</v>
      </c>
      <c r="B2766" s="18" t="str">
        <f>"115671"</f>
        <v>115671</v>
      </c>
      <c r="C2766" s="19" t="s">
        <v>2758</v>
      </c>
      <c r="D2766" s="19" t="s">
        <v>18198</v>
      </c>
      <c r="E2766" s="19" t="s">
        <v>31844</v>
      </c>
      <c r="F2766" s="19" t="s">
        <v>35984</v>
      </c>
      <c r="G2766" s="18" t="str">
        <f>"31002"</f>
        <v>31002</v>
      </c>
      <c r="H2766" s="19" t="s">
        <v>36152</v>
      </c>
      <c r="I2766" s="20">
        <v>19.600000000000001</v>
      </c>
      <c r="J2766" s="44" t="s">
        <v>8</v>
      </c>
      <c r="K2766" s="23" t="s">
        <v>8</v>
      </c>
      <c r="L2766" s="23" t="s">
        <v>8</v>
      </c>
      <c r="M2766" s="23" t="s">
        <v>8</v>
      </c>
    </row>
    <row r="2767" spans="1:13" s="21" customFormat="1" x14ac:dyDescent="0.25">
      <c r="A2767" s="22" t="s">
        <v>8</v>
      </c>
      <c r="B2767" s="18" t="str">
        <f>"115672"</f>
        <v>115672</v>
      </c>
      <c r="C2767" s="19" t="s">
        <v>2759</v>
      </c>
      <c r="D2767" s="19" t="s">
        <v>18199</v>
      </c>
      <c r="E2767" s="19" t="s">
        <v>31714</v>
      </c>
      <c r="F2767" s="19" t="s">
        <v>35984</v>
      </c>
      <c r="G2767" s="18" t="str">
        <f>"30904"</f>
        <v>30904</v>
      </c>
      <c r="H2767" s="19" t="s">
        <v>31178</v>
      </c>
      <c r="I2767" s="20">
        <v>22.35</v>
      </c>
      <c r="J2767" s="44" t="s">
        <v>8</v>
      </c>
      <c r="K2767" s="23" t="s">
        <v>8</v>
      </c>
      <c r="L2767" s="23" t="s">
        <v>8</v>
      </c>
      <c r="M2767" s="23" t="s">
        <v>8</v>
      </c>
    </row>
    <row r="2768" spans="1:13" s="21" customFormat="1" x14ac:dyDescent="0.25">
      <c r="A2768" s="22" t="s">
        <v>8</v>
      </c>
      <c r="B2768" s="18" t="str">
        <f>"115673"</f>
        <v>115673</v>
      </c>
      <c r="C2768" s="19" t="s">
        <v>2760</v>
      </c>
      <c r="D2768" s="19" t="s">
        <v>18200</v>
      </c>
      <c r="E2768" s="19" t="s">
        <v>31845</v>
      </c>
      <c r="F2768" s="19" t="s">
        <v>35984</v>
      </c>
      <c r="G2768" s="18" t="str">
        <f>"30281"</f>
        <v>30281</v>
      </c>
      <c r="H2768" s="19" t="s">
        <v>32041</v>
      </c>
      <c r="I2768" s="20">
        <v>26.096</v>
      </c>
      <c r="J2768" s="44" t="s">
        <v>8</v>
      </c>
      <c r="K2768" s="23" t="s">
        <v>8</v>
      </c>
      <c r="L2768" s="23" t="s">
        <v>8</v>
      </c>
      <c r="M2768" s="23" t="s">
        <v>8</v>
      </c>
    </row>
    <row r="2769" spans="1:13" s="21" customFormat="1" x14ac:dyDescent="0.25">
      <c r="A2769" s="22" t="s">
        <v>8</v>
      </c>
      <c r="B2769" s="18" t="str">
        <f>"115674"</f>
        <v>115674</v>
      </c>
      <c r="C2769" s="19" t="s">
        <v>2761</v>
      </c>
      <c r="D2769" s="19" t="s">
        <v>18201</v>
      </c>
      <c r="E2769" s="19" t="s">
        <v>31709</v>
      </c>
      <c r="F2769" s="19" t="s">
        <v>35984</v>
      </c>
      <c r="G2769" s="18" t="str">
        <f>"30308"</f>
        <v>30308</v>
      </c>
      <c r="H2769" s="19" t="s">
        <v>32194</v>
      </c>
      <c r="I2769" s="20">
        <v>17.564</v>
      </c>
      <c r="J2769" s="44" t="s">
        <v>8</v>
      </c>
      <c r="K2769" s="23" t="s">
        <v>8</v>
      </c>
      <c r="L2769" s="23" t="s">
        <v>8</v>
      </c>
      <c r="M2769" s="23" t="s">
        <v>8</v>
      </c>
    </row>
    <row r="2770" spans="1:13" s="21" customFormat="1" x14ac:dyDescent="0.25">
      <c r="A2770" s="22" t="s">
        <v>8</v>
      </c>
      <c r="B2770" s="18" t="str">
        <f>"115675"</f>
        <v>115675</v>
      </c>
      <c r="C2770" s="19" t="s">
        <v>2762</v>
      </c>
      <c r="D2770" s="19" t="s">
        <v>18202</v>
      </c>
      <c r="E2770" s="19" t="s">
        <v>30986</v>
      </c>
      <c r="F2770" s="19" t="s">
        <v>35984</v>
      </c>
      <c r="G2770" s="18" t="str">
        <f>"31064"</f>
        <v>31064</v>
      </c>
      <c r="H2770" s="19" t="s">
        <v>30854</v>
      </c>
      <c r="I2770" s="20">
        <v>18.32</v>
      </c>
      <c r="J2770" s="44" t="s">
        <v>8</v>
      </c>
      <c r="K2770" s="23" t="s">
        <v>8</v>
      </c>
      <c r="L2770" s="23" t="s">
        <v>8</v>
      </c>
      <c r="M2770" s="23" t="s">
        <v>8</v>
      </c>
    </row>
    <row r="2771" spans="1:13" s="21" customFormat="1" x14ac:dyDescent="0.25">
      <c r="A2771" s="22" t="s">
        <v>8</v>
      </c>
      <c r="B2771" s="18" t="str">
        <f>"115676"</f>
        <v>115676</v>
      </c>
      <c r="C2771" s="19" t="s">
        <v>2763</v>
      </c>
      <c r="D2771" s="19" t="s">
        <v>18203</v>
      </c>
      <c r="E2771" s="19" t="s">
        <v>31764</v>
      </c>
      <c r="F2771" s="19" t="s">
        <v>35984</v>
      </c>
      <c r="G2771" s="18" t="str">
        <f>"31794"</f>
        <v>31794</v>
      </c>
      <c r="H2771" s="19" t="s">
        <v>36175</v>
      </c>
      <c r="I2771" s="20">
        <v>20.177</v>
      </c>
      <c r="J2771" s="44" t="s">
        <v>8</v>
      </c>
      <c r="K2771" s="23" t="s">
        <v>8</v>
      </c>
      <c r="L2771" s="23" t="s">
        <v>8</v>
      </c>
      <c r="M2771" s="23" t="s">
        <v>8</v>
      </c>
    </row>
    <row r="2772" spans="1:13" s="21" customFormat="1" x14ac:dyDescent="0.25">
      <c r="A2772" s="22" t="s">
        <v>8</v>
      </c>
      <c r="B2772" s="18" t="str">
        <f>"115677"</f>
        <v>115677</v>
      </c>
      <c r="C2772" s="19" t="s">
        <v>2764</v>
      </c>
      <c r="D2772" s="19" t="s">
        <v>18204</v>
      </c>
      <c r="E2772" s="19" t="s">
        <v>30854</v>
      </c>
      <c r="F2772" s="19" t="s">
        <v>35984</v>
      </c>
      <c r="G2772" s="18" t="str">
        <f>"30143"</f>
        <v>30143</v>
      </c>
      <c r="H2772" s="19" t="s">
        <v>35058</v>
      </c>
      <c r="I2772" s="20">
        <v>21.847000000000001</v>
      </c>
      <c r="J2772" s="44" t="s">
        <v>8</v>
      </c>
      <c r="K2772" s="23" t="s">
        <v>8</v>
      </c>
      <c r="L2772" s="23" t="s">
        <v>8</v>
      </c>
      <c r="M2772" s="23" t="s">
        <v>8</v>
      </c>
    </row>
    <row r="2773" spans="1:13" s="21" customFormat="1" x14ac:dyDescent="0.25">
      <c r="A2773" s="22" t="s">
        <v>8</v>
      </c>
      <c r="B2773" s="18" t="str">
        <f>"115679"</f>
        <v>115679</v>
      </c>
      <c r="C2773" s="19" t="s">
        <v>2765</v>
      </c>
      <c r="D2773" s="19" t="s">
        <v>18205</v>
      </c>
      <c r="E2773" s="19" t="s">
        <v>31846</v>
      </c>
      <c r="F2773" s="19" t="s">
        <v>35984</v>
      </c>
      <c r="G2773" s="18" t="str">
        <f>"30477"</f>
        <v>30477</v>
      </c>
      <c r="H2773" s="19" t="s">
        <v>32391</v>
      </c>
      <c r="I2773" s="20">
        <v>18.974</v>
      </c>
      <c r="J2773" s="44" t="s">
        <v>8</v>
      </c>
      <c r="K2773" s="23" t="s">
        <v>8</v>
      </c>
      <c r="L2773" s="23" t="s">
        <v>8</v>
      </c>
      <c r="M2773" s="23" t="s">
        <v>8</v>
      </c>
    </row>
    <row r="2774" spans="1:13" s="21" customFormat="1" x14ac:dyDescent="0.25">
      <c r="A2774" s="22" t="s">
        <v>8</v>
      </c>
      <c r="B2774" s="18" t="str">
        <f>"115680"</f>
        <v>115680</v>
      </c>
      <c r="C2774" s="19" t="s">
        <v>2766</v>
      </c>
      <c r="D2774" s="19" t="s">
        <v>18206</v>
      </c>
      <c r="E2774" s="19" t="s">
        <v>31733</v>
      </c>
      <c r="F2774" s="19" t="s">
        <v>35984</v>
      </c>
      <c r="G2774" s="18" t="str">
        <f>"31210"</f>
        <v>31210</v>
      </c>
      <c r="H2774" s="19" t="s">
        <v>36028</v>
      </c>
      <c r="I2774" s="20">
        <v>18.364999999999998</v>
      </c>
      <c r="J2774" s="44" t="s">
        <v>8</v>
      </c>
      <c r="K2774" s="23" t="s">
        <v>8</v>
      </c>
      <c r="L2774" s="23" t="s">
        <v>8</v>
      </c>
      <c r="M2774" s="23" t="s">
        <v>8</v>
      </c>
    </row>
    <row r="2775" spans="1:13" s="21" customFormat="1" x14ac:dyDescent="0.25">
      <c r="A2775" s="22" t="s">
        <v>8</v>
      </c>
      <c r="B2775" s="18" t="str">
        <f>"115681"</f>
        <v>115681</v>
      </c>
      <c r="C2775" s="19" t="s">
        <v>2767</v>
      </c>
      <c r="D2775" s="19" t="s">
        <v>18207</v>
      </c>
      <c r="E2775" s="19" t="s">
        <v>31696</v>
      </c>
      <c r="F2775" s="19" t="s">
        <v>35984</v>
      </c>
      <c r="G2775" s="18" t="str">
        <f>"30434"</f>
        <v>30434</v>
      </c>
      <c r="H2775" s="19" t="s">
        <v>32391</v>
      </c>
      <c r="I2775" s="20">
        <v>17.585999999999999</v>
      </c>
      <c r="J2775" s="44" t="s">
        <v>8</v>
      </c>
      <c r="K2775" s="23" t="s">
        <v>8</v>
      </c>
      <c r="L2775" s="23" t="s">
        <v>8</v>
      </c>
      <c r="M2775" s="23" t="s">
        <v>8</v>
      </c>
    </row>
    <row r="2776" spans="1:13" s="21" customFormat="1" x14ac:dyDescent="0.25">
      <c r="A2776" s="22" t="s">
        <v>8</v>
      </c>
      <c r="B2776" s="18" t="str">
        <f>"115682"</f>
        <v>115682</v>
      </c>
      <c r="C2776" s="19" t="s">
        <v>2768</v>
      </c>
      <c r="D2776" s="19" t="s">
        <v>18208</v>
      </c>
      <c r="E2776" s="19" t="s">
        <v>31709</v>
      </c>
      <c r="F2776" s="19" t="s">
        <v>35984</v>
      </c>
      <c r="G2776" s="18" t="str">
        <f>"30329"</f>
        <v>30329</v>
      </c>
      <c r="H2776" s="19" t="s">
        <v>31954</v>
      </c>
      <c r="I2776" s="20">
        <v>17.434000000000001</v>
      </c>
      <c r="J2776" s="44" t="s">
        <v>8</v>
      </c>
      <c r="K2776" s="23" t="s">
        <v>8</v>
      </c>
      <c r="L2776" s="23" t="s">
        <v>8</v>
      </c>
      <c r="M2776" s="23" t="s">
        <v>8</v>
      </c>
    </row>
    <row r="2777" spans="1:13" s="21" customFormat="1" x14ac:dyDescent="0.25">
      <c r="A2777" s="22" t="s">
        <v>8</v>
      </c>
      <c r="B2777" s="18" t="str">
        <f>"115683"</f>
        <v>115683</v>
      </c>
      <c r="C2777" s="19" t="s">
        <v>2769</v>
      </c>
      <c r="D2777" s="19" t="s">
        <v>17896</v>
      </c>
      <c r="E2777" s="19" t="s">
        <v>31708</v>
      </c>
      <c r="F2777" s="19" t="s">
        <v>35984</v>
      </c>
      <c r="G2777" s="18" t="str">
        <f>"30540"</f>
        <v>30540</v>
      </c>
      <c r="H2777" s="19" t="s">
        <v>35875</v>
      </c>
      <c r="I2777" s="20">
        <v>18.091000000000001</v>
      </c>
      <c r="J2777" s="44" t="s">
        <v>8</v>
      </c>
      <c r="K2777" s="23" t="s">
        <v>8</v>
      </c>
      <c r="L2777" s="23" t="s">
        <v>8</v>
      </c>
      <c r="M2777" s="23" t="s">
        <v>8</v>
      </c>
    </row>
    <row r="2778" spans="1:13" s="21" customFormat="1" x14ac:dyDescent="0.25">
      <c r="A2778" s="22" t="s">
        <v>8</v>
      </c>
      <c r="B2778" s="18" t="str">
        <f>"115684"</f>
        <v>115684</v>
      </c>
      <c r="C2778" s="19" t="s">
        <v>2770</v>
      </c>
      <c r="D2778" s="19" t="s">
        <v>18209</v>
      </c>
      <c r="E2778" s="19" t="s">
        <v>31847</v>
      </c>
      <c r="F2778" s="19" t="s">
        <v>35984</v>
      </c>
      <c r="G2778" s="18" t="str">
        <f>"31558"</f>
        <v>31558</v>
      </c>
      <c r="H2778" s="19" t="s">
        <v>30910</v>
      </c>
      <c r="I2778" s="20">
        <v>16.675999999999998</v>
      </c>
      <c r="J2778" s="44" t="s">
        <v>8</v>
      </c>
      <c r="K2778" s="23" t="s">
        <v>8</v>
      </c>
      <c r="L2778" s="23" t="s">
        <v>8</v>
      </c>
      <c r="M2778" s="23" t="s">
        <v>8</v>
      </c>
    </row>
    <row r="2779" spans="1:13" s="21" customFormat="1" x14ac:dyDescent="0.25">
      <c r="A2779" s="22" t="s">
        <v>8</v>
      </c>
      <c r="B2779" s="18" t="str">
        <f>"115685"</f>
        <v>115685</v>
      </c>
      <c r="C2779" s="19" t="s">
        <v>2771</v>
      </c>
      <c r="D2779" s="19" t="s">
        <v>18210</v>
      </c>
      <c r="E2779" s="19" t="s">
        <v>31690</v>
      </c>
      <c r="F2779" s="19" t="s">
        <v>35984</v>
      </c>
      <c r="G2779" s="18" t="str">
        <f>"30635"</f>
        <v>30635</v>
      </c>
      <c r="H2779" s="19" t="s">
        <v>36148</v>
      </c>
      <c r="I2779" s="20">
        <v>20.687999999999999</v>
      </c>
      <c r="J2779" s="44" t="s">
        <v>8</v>
      </c>
      <c r="K2779" s="23" t="s">
        <v>8</v>
      </c>
      <c r="L2779" s="23" t="s">
        <v>8</v>
      </c>
      <c r="M2779" s="23" t="s">
        <v>8</v>
      </c>
    </row>
    <row r="2780" spans="1:13" s="21" customFormat="1" x14ac:dyDescent="0.25">
      <c r="A2780" s="22" t="s">
        <v>8</v>
      </c>
      <c r="B2780" s="18" t="str">
        <f>"115686"</f>
        <v>115686</v>
      </c>
      <c r="C2780" s="19" t="s">
        <v>2772</v>
      </c>
      <c r="D2780" s="19" t="s">
        <v>18211</v>
      </c>
      <c r="E2780" s="19" t="s">
        <v>31690</v>
      </c>
      <c r="F2780" s="19" t="s">
        <v>35984</v>
      </c>
      <c r="G2780" s="18" t="str">
        <f>"30635"</f>
        <v>30635</v>
      </c>
      <c r="H2780" s="19" t="s">
        <v>36148</v>
      </c>
      <c r="I2780" s="20">
        <v>19.126000000000001</v>
      </c>
      <c r="J2780" s="44" t="s">
        <v>8</v>
      </c>
      <c r="K2780" s="23" t="s">
        <v>8</v>
      </c>
      <c r="L2780" s="23" t="s">
        <v>8</v>
      </c>
      <c r="M2780" s="23" t="s">
        <v>8</v>
      </c>
    </row>
    <row r="2781" spans="1:13" s="21" customFormat="1" x14ac:dyDescent="0.25">
      <c r="A2781" s="22" t="s">
        <v>8</v>
      </c>
      <c r="B2781" s="18" t="str">
        <f>"115687"</f>
        <v>115687</v>
      </c>
      <c r="C2781" s="19" t="s">
        <v>2773</v>
      </c>
      <c r="D2781" s="19" t="s">
        <v>18212</v>
      </c>
      <c r="E2781" s="19" t="s">
        <v>31537</v>
      </c>
      <c r="F2781" s="19" t="s">
        <v>35984</v>
      </c>
      <c r="G2781" s="18" t="str">
        <f>"30506"</f>
        <v>30506</v>
      </c>
      <c r="H2781" s="19" t="s">
        <v>36156</v>
      </c>
      <c r="I2781" s="20">
        <v>21.611999999999998</v>
      </c>
      <c r="J2781" s="44" t="s">
        <v>8</v>
      </c>
      <c r="K2781" s="23" t="s">
        <v>8</v>
      </c>
      <c r="L2781" s="23" t="s">
        <v>8</v>
      </c>
      <c r="M2781" s="23" t="s">
        <v>8</v>
      </c>
    </row>
    <row r="2782" spans="1:13" s="21" customFormat="1" x14ac:dyDescent="0.25">
      <c r="A2782" s="22" t="s">
        <v>8</v>
      </c>
      <c r="B2782" s="18" t="str">
        <f>"115688"</f>
        <v>115688</v>
      </c>
      <c r="C2782" s="19" t="s">
        <v>2774</v>
      </c>
      <c r="D2782" s="19" t="s">
        <v>18213</v>
      </c>
      <c r="E2782" s="19" t="s">
        <v>31848</v>
      </c>
      <c r="F2782" s="19" t="s">
        <v>35984</v>
      </c>
      <c r="G2782" s="18" t="str">
        <f>"30525"</f>
        <v>30525</v>
      </c>
      <c r="H2782" s="19" t="s">
        <v>36205</v>
      </c>
      <c r="I2782" s="20">
        <v>20.359000000000002</v>
      </c>
      <c r="J2782" s="44" t="s">
        <v>8</v>
      </c>
      <c r="K2782" s="23" t="s">
        <v>8</v>
      </c>
      <c r="L2782" s="23" t="s">
        <v>8</v>
      </c>
      <c r="M2782" s="23" t="s">
        <v>8</v>
      </c>
    </row>
    <row r="2783" spans="1:13" s="21" customFormat="1" x14ac:dyDescent="0.25">
      <c r="A2783" s="22" t="s">
        <v>8</v>
      </c>
      <c r="B2783" s="18" t="str">
        <f>"115689"</f>
        <v>115689</v>
      </c>
      <c r="C2783" s="19" t="s">
        <v>2775</v>
      </c>
      <c r="D2783" s="19" t="s">
        <v>18214</v>
      </c>
      <c r="E2783" s="19" t="s">
        <v>31705</v>
      </c>
      <c r="F2783" s="19" t="s">
        <v>35984</v>
      </c>
      <c r="G2783" s="18" t="str">
        <f>"30533"</f>
        <v>30533</v>
      </c>
      <c r="H2783" s="19" t="s">
        <v>36154</v>
      </c>
      <c r="I2783" s="20">
        <v>20.8</v>
      </c>
      <c r="J2783" s="44" t="s">
        <v>8</v>
      </c>
      <c r="K2783" s="23" t="s">
        <v>8</v>
      </c>
      <c r="L2783" s="23" t="s">
        <v>8</v>
      </c>
      <c r="M2783" s="23" t="s">
        <v>8</v>
      </c>
    </row>
    <row r="2784" spans="1:13" s="21" customFormat="1" x14ac:dyDescent="0.25">
      <c r="A2784" s="22" t="s">
        <v>8</v>
      </c>
      <c r="B2784" s="18" t="str">
        <f>"115690"</f>
        <v>115690</v>
      </c>
      <c r="C2784" s="19" t="s">
        <v>2776</v>
      </c>
      <c r="D2784" s="19" t="s">
        <v>18215</v>
      </c>
      <c r="E2784" s="19" t="s">
        <v>31849</v>
      </c>
      <c r="F2784" s="19" t="s">
        <v>35984</v>
      </c>
      <c r="G2784" s="18" t="str">
        <f>"30024"</f>
        <v>30024</v>
      </c>
      <c r="H2784" s="19" t="s">
        <v>36168</v>
      </c>
      <c r="I2784" s="20">
        <v>17.981000000000002</v>
      </c>
      <c r="J2784" s="44" t="s">
        <v>8</v>
      </c>
      <c r="K2784" s="23" t="s">
        <v>8</v>
      </c>
      <c r="L2784" s="23" t="s">
        <v>8</v>
      </c>
      <c r="M2784" s="23" t="s">
        <v>8</v>
      </c>
    </row>
    <row r="2785" spans="1:13" s="21" customFormat="1" x14ac:dyDescent="0.25">
      <c r="A2785" s="22" t="s">
        <v>8</v>
      </c>
      <c r="B2785" s="18" t="str">
        <f>"115692"</f>
        <v>115692</v>
      </c>
      <c r="C2785" s="19" t="s">
        <v>2777</v>
      </c>
      <c r="D2785" s="19" t="s">
        <v>18216</v>
      </c>
      <c r="E2785" s="19" t="s">
        <v>31733</v>
      </c>
      <c r="F2785" s="19" t="s">
        <v>35984</v>
      </c>
      <c r="G2785" s="18" t="str">
        <f>"31204"</f>
        <v>31204</v>
      </c>
      <c r="H2785" s="19" t="s">
        <v>36028</v>
      </c>
      <c r="I2785" s="20">
        <v>19.245999999999999</v>
      </c>
      <c r="J2785" s="44" t="s">
        <v>8</v>
      </c>
      <c r="K2785" s="23" t="s">
        <v>8</v>
      </c>
      <c r="L2785" s="23" t="s">
        <v>8</v>
      </c>
      <c r="M2785" s="23" t="s">
        <v>8</v>
      </c>
    </row>
    <row r="2786" spans="1:13" s="21" customFormat="1" x14ac:dyDescent="0.25">
      <c r="A2786" s="22" t="s">
        <v>8</v>
      </c>
      <c r="B2786" s="18" t="str">
        <f>"115693"</f>
        <v>115693</v>
      </c>
      <c r="C2786" s="19" t="s">
        <v>2778</v>
      </c>
      <c r="D2786" s="19" t="s">
        <v>18217</v>
      </c>
      <c r="E2786" s="19" t="s">
        <v>31850</v>
      </c>
      <c r="F2786" s="19" t="s">
        <v>35984</v>
      </c>
      <c r="G2786" s="18" t="str">
        <f>"30258"</f>
        <v>30258</v>
      </c>
      <c r="H2786" s="19" t="s">
        <v>36033</v>
      </c>
      <c r="I2786" s="20">
        <v>19.114000000000001</v>
      </c>
      <c r="J2786" s="44" t="s">
        <v>8</v>
      </c>
      <c r="K2786" s="23" t="s">
        <v>8</v>
      </c>
      <c r="L2786" s="23" t="s">
        <v>8</v>
      </c>
      <c r="M2786" s="23" t="s">
        <v>8</v>
      </c>
    </row>
    <row r="2787" spans="1:13" s="21" customFormat="1" x14ac:dyDescent="0.25">
      <c r="A2787" s="22" t="s">
        <v>8</v>
      </c>
      <c r="B2787" s="18" t="str">
        <f>"115694"</f>
        <v>115694</v>
      </c>
      <c r="C2787" s="19" t="s">
        <v>2779</v>
      </c>
      <c r="D2787" s="19" t="s">
        <v>18218</v>
      </c>
      <c r="E2787" s="19" t="s">
        <v>31812</v>
      </c>
      <c r="F2787" s="19" t="s">
        <v>35984</v>
      </c>
      <c r="G2787" s="18" t="str">
        <f>"30087"</f>
        <v>30087</v>
      </c>
      <c r="H2787" s="19" t="s">
        <v>31954</v>
      </c>
      <c r="I2787" s="20">
        <v>17.411999999999999</v>
      </c>
      <c r="J2787" s="44" t="s">
        <v>8</v>
      </c>
      <c r="K2787" s="23" t="s">
        <v>8</v>
      </c>
      <c r="L2787" s="23" t="s">
        <v>8</v>
      </c>
      <c r="M2787" s="23" t="s">
        <v>8</v>
      </c>
    </row>
    <row r="2788" spans="1:13" s="21" customFormat="1" x14ac:dyDescent="0.25">
      <c r="A2788" s="22" t="s">
        <v>8</v>
      </c>
      <c r="B2788" s="18" t="str">
        <f>"115695"</f>
        <v>115695</v>
      </c>
      <c r="C2788" s="19" t="s">
        <v>2780</v>
      </c>
      <c r="D2788" s="19" t="s">
        <v>18219</v>
      </c>
      <c r="E2788" s="19" t="s">
        <v>31851</v>
      </c>
      <c r="F2788" s="19" t="s">
        <v>35984</v>
      </c>
      <c r="G2788" s="18" t="str">
        <f>"30512"</f>
        <v>30512</v>
      </c>
      <c r="H2788" s="19" t="s">
        <v>33554</v>
      </c>
      <c r="I2788" s="20">
        <v>15.708</v>
      </c>
      <c r="J2788" s="44" t="s">
        <v>8</v>
      </c>
      <c r="K2788" s="23" t="s">
        <v>8</v>
      </c>
      <c r="L2788" s="23" t="s">
        <v>8</v>
      </c>
      <c r="M2788" s="23" t="s">
        <v>8</v>
      </c>
    </row>
    <row r="2789" spans="1:13" s="21" customFormat="1" x14ac:dyDescent="0.25">
      <c r="A2789" s="22" t="s">
        <v>8</v>
      </c>
      <c r="B2789" s="18" t="str">
        <f>"115696"</f>
        <v>115696</v>
      </c>
      <c r="C2789" s="19" t="s">
        <v>2781</v>
      </c>
      <c r="D2789" s="19" t="s">
        <v>18220</v>
      </c>
      <c r="E2789" s="19" t="s">
        <v>31852</v>
      </c>
      <c r="F2789" s="19" t="s">
        <v>35984</v>
      </c>
      <c r="G2789" s="18" t="str">
        <f>"39851"</f>
        <v>39851</v>
      </c>
      <c r="H2789" s="19" t="s">
        <v>36030</v>
      </c>
      <c r="I2789" s="20">
        <v>21.015999999999998</v>
      </c>
      <c r="J2789" s="44" t="s">
        <v>8</v>
      </c>
      <c r="K2789" s="23" t="s">
        <v>8</v>
      </c>
      <c r="L2789" s="23" t="s">
        <v>8</v>
      </c>
      <c r="M2789" s="23" t="s">
        <v>8</v>
      </c>
    </row>
    <row r="2790" spans="1:13" s="21" customFormat="1" x14ac:dyDescent="0.25">
      <c r="A2790" s="22" t="s">
        <v>8</v>
      </c>
      <c r="B2790" s="18" t="str">
        <f>"115697"</f>
        <v>115697</v>
      </c>
      <c r="C2790" s="19" t="s">
        <v>2782</v>
      </c>
      <c r="D2790" s="19" t="s">
        <v>18221</v>
      </c>
      <c r="E2790" s="19" t="s">
        <v>31709</v>
      </c>
      <c r="F2790" s="19" t="s">
        <v>35984</v>
      </c>
      <c r="G2790" s="18" t="str">
        <f>"30329"</f>
        <v>30329</v>
      </c>
      <c r="H2790" s="19" t="s">
        <v>31954</v>
      </c>
      <c r="I2790" s="20">
        <v>20.024000000000001</v>
      </c>
      <c r="J2790" s="44" t="s">
        <v>8</v>
      </c>
      <c r="K2790" s="23" t="s">
        <v>8</v>
      </c>
      <c r="L2790" s="23" t="s">
        <v>8</v>
      </c>
      <c r="M2790" s="23" t="s">
        <v>8</v>
      </c>
    </row>
    <row r="2791" spans="1:13" s="21" customFormat="1" x14ac:dyDescent="0.25">
      <c r="A2791" s="22" t="s">
        <v>8</v>
      </c>
      <c r="B2791" s="18" t="str">
        <f>"115700"</f>
        <v>115700</v>
      </c>
      <c r="C2791" s="19" t="s">
        <v>2783</v>
      </c>
      <c r="D2791" s="19" t="s">
        <v>18222</v>
      </c>
      <c r="E2791" s="19" t="s">
        <v>31853</v>
      </c>
      <c r="F2791" s="19" t="s">
        <v>35984</v>
      </c>
      <c r="G2791" s="18" t="str">
        <f>"30442"</f>
        <v>30442</v>
      </c>
      <c r="H2791" s="19" t="s">
        <v>36206</v>
      </c>
      <c r="I2791" s="20">
        <v>19.919</v>
      </c>
      <c r="J2791" s="44" t="s">
        <v>8</v>
      </c>
      <c r="K2791" s="23" t="s">
        <v>8</v>
      </c>
      <c r="L2791" s="23" t="s">
        <v>8</v>
      </c>
      <c r="M2791" s="23" t="s">
        <v>8</v>
      </c>
    </row>
    <row r="2792" spans="1:13" s="21" customFormat="1" x14ac:dyDescent="0.25">
      <c r="A2792" s="22" t="s">
        <v>8</v>
      </c>
      <c r="B2792" s="18" t="str">
        <f>"115701"</f>
        <v>115701</v>
      </c>
      <c r="C2792" s="19" t="s">
        <v>2784</v>
      </c>
      <c r="D2792" s="19" t="s">
        <v>18223</v>
      </c>
      <c r="E2792" s="19" t="s">
        <v>31854</v>
      </c>
      <c r="F2792" s="19" t="s">
        <v>35984</v>
      </c>
      <c r="G2792" s="18" t="str">
        <f>"30546"</f>
        <v>30546</v>
      </c>
      <c r="H2792" s="19" t="s">
        <v>36207</v>
      </c>
      <c r="I2792" s="20">
        <v>18.001999999999999</v>
      </c>
      <c r="J2792" s="44" t="s">
        <v>8</v>
      </c>
      <c r="K2792" s="23" t="s">
        <v>8</v>
      </c>
      <c r="L2792" s="23" t="s">
        <v>8</v>
      </c>
      <c r="M2792" s="23" t="s">
        <v>8</v>
      </c>
    </row>
    <row r="2793" spans="1:13" s="21" customFormat="1" x14ac:dyDescent="0.25">
      <c r="A2793" s="22" t="s">
        <v>8</v>
      </c>
      <c r="B2793" s="18" t="str">
        <f>"115702"</f>
        <v>115702</v>
      </c>
      <c r="C2793" s="19" t="s">
        <v>2785</v>
      </c>
      <c r="D2793" s="19" t="s">
        <v>17882</v>
      </c>
      <c r="E2793" s="19" t="s">
        <v>31695</v>
      </c>
      <c r="F2793" s="19" t="s">
        <v>35984</v>
      </c>
      <c r="G2793" s="18" t="str">
        <f>"31082"</f>
        <v>31082</v>
      </c>
      <c r="H2793" s="19" t="s">
        <v>31500</v>
      </c>
      <c r="I2793" s="20">
        <v>19.292000000000002</v>
      </c>
      <c r="J2793" s="44" t="s">
        <v>8</v>
      </c>
      <c r="K2793" s="23" t="s">
        <v>8</v>
      </c>
      <c r="L2793" s="23" t="s">
        <v>8</v>
      </c>
      <c r="M2793" s="23" t="s">
        <v>8</v>
      </c>
    </row>
    <row r="2794" spans="1:13" s="21" customFormat="1" x14ac:dyDescent="0.25">
      <c r="A2794" s="22" t="s">
        <v>8</v>
      </c>
      <c r="B2794" s="18" t="str">
        <f>"115703"</f>
        <v>115703</v>
      </c>
      <c r="C2794" s="19" t="s">
        <v>2786</v>
      </c>
      <c r="D2794" s="19" t="s">
        <v>18224</v>
      </c>
      <c r="E2794" s="19" t="s">
        <v>31078</v>
      </c>
      <c r="F2794" s="19" t="s">
        <v>35984</v>
      </c>
      <c r="G2794" s="18" t="str">
        <f>"30428"</f>
        <v>30428</v>
      </c>
      <c r="H2794" s="19" t="s">
        <v>34776</v>
      </c>
      <c r="I2794" s="20">
        <v>18.207999999999998</v>
      </c>
      <c r="J2794" s="44" t="s">
        <v>8</v>
      </c>
      <c r="K2794" s="23" t="s">
        <v>8</v>
      </c>
      <c r="L2794" s="23" t="s">
        <v>8</v>
      </c>
      <c r="M2794" s="23" t="s">
        <v>8</v>
      </c>
    </row>
    <row r="2795" spans="1:13" s="21" customFormat="1" x14ac:dyDescent="0.25">
      <c r="A2795" s="22" t="s">
        <v>8</v>
      </c>
      <c r="B2795" s="18" t="str">
        <f>"115704"</f>
        <v>115704</v>
      </c>
      <c r="C2795" s="19" t="s">
        <v>2787</v>
      </c>
      <c r="D2795" s="19" t="s">
        <v>17887</v>
      </c>
      <c r="E2795" s="19" t="s">
        <v>31700</v>
      </c>
      <c r="F2795" s="19" t="s">
        <v>35984</v>
      </c>
      <c r="G2795" s="18" t="str">
        <f>"30401"</f>
        <v>30401</v>
      </c>
      <c r="H2795" s="19" t="s">
        <v>36152</v>
      </c>
      <c r="I2795" s="20">
        <v>18.056999999999999</v>
      </c>
      <c r="J2795" s="44" t="s">
        <v>8</v>
      </c>
      <c r="K2795" s="23" t="s">
        <v>8</v>
      </c>
      <c r="L2795" s="23" t="s">
        <v>8</v>
      </c>
      <c r="M2795" s="23" t="s">
        <v>8</v>
      </c>
    </row>
    <row r="2796" spans="1:13" s="21" customFormat="1" x14ac:dyDescent="0.25">
      <c r="A2796" s="22" t="s">
        <v>8</v>
      </c>
      <c r="B2796" s="18" t="str">
        <f>"115705"</f>
        <v>115705</v>
      </c>
      <c r="C2796" s="19" t="s">
        <v>2788</v>
      </c>
      <c r="D2796" s="19" t="s">
        <v>18225</v>
      </c>
      <c r="E2796" s="19" t="s">
        <v>31855</v>
      </c>
      <c r="F2796" s="19" t="s">
        <v>35984</v>
      </c>
      <c r="G2796" s="18" t="str">
        <f>"30475"</f>
        <v>30475</v>
      </c>
      <c r="H2796" s="19" t="s">
        <v>36171</v>
      </c>
      <c r="I2796" s="20">
        <v>20.157</v>
      </c>
      <c r="J2796" s="44" t="s">
        <v>8</v>
      </c>
      <c r="K2796" s="23" t="s">
        <v>8</v>
      </c>
      <c r="L2796" s="23" t="s">
        <v>8</v>
      </c>
      <c r="M2796" s="23" t="s">
        <v>8</v>
      </c>
    </row>
    <row r="2797" spans="1:13" s="21" customFormat="1" x14ac:dyDescent="0.25">
      <c r="A2797" s="22" t="s">
        <v>8</v>
      </c>
      <c r="B2797" s="18" t="str">
        <f>"115706"</f>
        <v>115706</v>
      </c>
      <c r="C2797" s="19" t="s">
        <v>2789</v>
      </c>
      <c r="D2797" s="19" t="s">
        <v>18226</v>
      </c>
      <c r="E2797" s="19" t="s">
        <v>31856</v>
      </c>
      <c r="F2797" s="19" t="s">
        <v>35984</v>
      </c>
      <c r="G2797" s="18" t="str">
        <f>"30175"</f>
        <v>30175</v>
      </c>
      <c r="H2797" s="19" t="s">
        <v>35058</v>
      </c>
      <c r="I2797" s="20">
        <v>20.728999999999999</v>
      </c>
      <c r="J2797" s="44" t="s">
        <v>8</v>
      </c>
      <c r="K2797" s="23" t="s">
        <v>8</v>
      </c>
      <c r="L2797" s="23" t="s">
        <v>8</v>
      </c>
      <c r="M2797" s="23" t="s">
        <v>8</v>
      </c>
    </row>
    <row r="2798" spans="1:13" s="21" customFormat="1" x14ac:dyDescent="0.25">
      <c r="A2798" s="22" t="s">
        <v>8</v>
      </c>
      <c r="B2798" s="18" t="str">
        <f>"115707"</f>
        <v>115707</v>
      </c>
      <c r="C2798" s="19" t="s">
        <v>2790</v>
      </c>
      <c r="D2798" s="19" t="s">
        <v>18227</v>
      </c>
      <c r="E2798" s="19" t="s">
        <v>31555</v>
      </c>
      <c r="F2798" s="19" t="s">
        <v>35984</v>
      </c>
      <c r="G2798" s="18" t="str">
        <f>"31635"</f>
        <v>31635</v>
      </c>
      <c r="H2798" s="19" t="s">
        <v>36208</v>
      </c>
      <c r="I2798" s="20">
        <v>19.757999999999999</v>
      </c>
      <c r="J2798" s="44" t="s">
        <v>8</v>
      </c>
      <c r="K2798" s="23" t="s">
        <v>8</v>
      </c>
      <c r="L2798" s="23" t="s">
        <v>8</v>
      </c>
      <c r="M2798" s="23" t="s">
        <v>8</v>
      </c>
    </row>
    <row r="2799" spans="1:13" s="21" customFormat="1" x14ac:dyDescent="0.25">
      <c r="A2799" s="22" t="s">
        <v>8</v>
      </c>
      <c r="B2799" s="18" t="str">
        <f>"115708"</f>
        <v>115708</v>
      </c>
      <c r="C2799" s="19" t="s">
        <v>2791</v>
      </c>
      <c r="D2799" s="19" t="s">
        <v>18228</v>
      </c>
      <c r="E2799" s="19" t="s">
        <v>31842</v>
      </c>
      <c r="F2799" s="19" t="s">
        <v>35984</v>
      </c>
      <c r="G2799" s="18" t="str">
        <f>"31030"</f>
        <v>31030</v>
      </c>
      <c r="H2799" s="19" t="s">
        <v>36203</v>
      </c>
      <c r="I2799" s="20">
        <v>22.498000000000001</v>
      </c>
      <c r="J2799" s="44" t="s">
        <v>8</v>
      </c>
      <c r="K2799" s="23" t="s">
        <v>8</v>
      </c>
      <c r="L2799" s="23" t="s">
        <v>8</v>
      </c>
      <c r="M2799" s="23" t="s">
        <v>8</v>
      </c>
    </row>
    <row r="2800" spans="1:13" s="21" customFormat="1" x14ac:dyDescent="0.25">
      <c r="A2800" s="22" t="s">
        <v>8</v>
      </c>
      <c r="B2800" s="18" t="str">
        <f>"115709"</f>
        <v>115709</v>
      </c>
      <c r="C2800" s="19" t="s">
        <v>2792</v>
      </c>
      <c r="D2800" s="19" t="s">
        <v>18229</v>
      </c>
      <c r="E2800" s="19" t="s">
        <v>31730</v>
      </c>
      <c r="F2800" s="19" t="s">
        <v>35984</v>
      </c>
      <c r="G2800" s="18" t="str">
        <f>"30240"</f>
        <v>30240</v>
      </c>
      <c r="H2800" s="19" t="s">
        <v>36161</v>
      </c>
      <c r="I2800" s="20">
        <v>17.202000000000002</v>
      </c>
      <c r="J2800" s="44" t="s">
        <v>8</v>
      </c>
      <c r="K2800" s="23" t="s">
        <v>8</v>
      </c>
      <c r="L2800" s="23" t="s">
        <v>8</v>
      </c>
      <c r="M2800" s="23" t="s">
        <v>8</v>
      </c>
    </row>
    <row r="2801" spans="1:13" s="21" customFormat="1" x14ac:dyDescent="0.25">
      <c r="A2801" s="22" t="s">
        <v>8</v>
      </c>
      <c r="B2801" s="18" t="str">
        <f>"115710"</f>
        <v>115710</v>
      </c>
      <c r="C2801" s="19" t="s">
        <v>2793</v>
      </c>
      <c r="D2801" s="19" t="s">
        <v>18230</v>
      </c>
      <c r="E2801" s="19" t="s">
        <v>31691</v>
      </c>
      <c r="F2801" s="19" t="s">
        <v>35984</v>
      </c>
      <c r="G2801" s="18" t="str">
        <f>"30529"</f>
        <v>30529</v>
      </c>
      <c r="H2801" s="19" t="s">
        <v>30816</v>
      </c>
      <c r="I2801" s="20">
        <v>21.132000000000001</v>
      </c>
      <c r="J2801" s="44" t="s">
        <v>8</v>
      </c>
      <c r="K2801" s="23" t="s">
        <v>8</v>
      </c>
      <c r="L2801" s="23" t="s">
        <v>8</v>
      </c>
      <c r="M2801" s="23" t="s">
        <v>8</v>
      </c>
    </row>
    <row r="2802" spans="1:13" s="21" customFormat="1" x14ac:dyDescent="0.25">
      <c r="A2802" s="22" t="s">
        <v>8</v>
      </c>
      <c r="B2802" s="18" t="str">
        <f>"115711"</f>
        <v>115711</v>
      </c>
      <c r="C2802" s="19" t="s">
        <v>2794</v>
      </c>
      <c r="D2802" s="19" t="s">
        <v>18231</v>
      </c>
      <c r="E2802" s="19" t="s">
        <v>31704</v>
      </c>
      <c r="F2802" s="19" t="s">
        <v>35984</v>
      </c>
      <c r="G2802" s="18" t="str">
        <f>"39819"</f>
        <v>39819</v>
      </c>
      <c r="H2802" s="19" t="s">
        <v>30853</v>
      </c>
      <c r="I2802" s="20">
        <v>17.891999999999999</v>
      </c>
      <c r="J2802" s="44" t="s">
        <v>8</v>
      </c>
      <c r="K2802" s="23" t="s">
        <v>8</v>
      </c>
      <c r="L2802" s="23" t="s">
        <v>8</v>
      </c>
      <c r="M2802" s="23" t="s">
        <v>8</v>
      </c>
    </row>
    <row r="2803" spans="1:13" s="21" customFormat="1" x14ac:dyDescent="0.25">
      <c r="A2803" s="22" t="s">
        <v>8</v>
      </c>
      <c r="B2803" s="18" t="str">
        <f>"115712"</f>
        <v>115712</v>
      </c>
      <c r="C2803" s="19" t="s">
        <v>2795</v>
      </c>
      <c r="D2803" s="19" t="s">
        <v>18232</v>
      </c>
      <c r="E2803" s="19" t="s">
        <v>31707</v>
      </c>
      <c r="F2803" s="19" t="s">
        <v>35984</v>
      </c>
      <c r="G2803" s="18" t="str">
        <f>"39845"</f>
        <v>39845</v>
      </c>
      <c r="H2803" s="19" t="s">
        <v>31595</v>
      </c>
      <c r="I2803" s="20">
        <v>18.684000000000001</v>
      </c>
      <c r="J2803" s="44" t="s">
        <v>8</v>
      </c>
      <c r="K2803" s="23" t="s">
        <v>8</v>
      </c>
      <c r="L2803" s="23" t="s">
        <v>8</v>
      </c>
      <c r="M2803" s="23" t="s">
        <v>8</v>
      </c>
    </row>
    <row r="2804" spans="1:13" s="21" customFormat="1" x14ac:dyDescent="0.25">
      <c r="A2804" s="22" t="s">
        <v>8</v>
      </c>
      <c r="B2804" s="18" t="str">
        <f>"115713"</f>
        <v>115713</v>
      </c>
      <c r="C2804" s="19" t="s">
        <v>2796</v>
      </c>
      <c r="D2804" s="19" t="s">
        <v>18233</v>
      </c>
      <c r="E2804" s="19" t="s">
        <v>31828</v>
      </c>
      <c r="F2804" s="19" t="s">
        <v>35984</v>
      </c>
      <c r="G2804" s="18" t="str">
        <f>"31774"</f>
        <v>31774</v>
      </c>
      <c r="H2804" s="19" t="s">
        <v>36196</v>
      </c>
      <c r="I2804" s="20">
        <v>17.268000000000001</v>
      </c>
      <c r="J2804" s="44" t="s">
        <v>8</v>
      </c>
      <c r="K2804" s="23" t="s">
        <v>8</v>
      </c>
      <c r="L2804" s="23" t="s">
        <v>8</v>
      </c>
      <c r="M2804" s="23" t="s">
        <v>8</v>
      </c>
    </row>
    <row r="2805" spans="1:13" s="21" customFormat="1" x14ac:dyDescent="0.25">
      <c r="A2805" s="22" t="s">
        <v>8</v>
      </c>
      <c r="B2805" s="18" t="str">
        <f>"115714"</f>
        <v>115714</v>
      </c>
      <c r="C2805" s="19" t="s">
        <v>2797</v>
      </c>
      <c r="D2805" s="19" t="s">
        <v>18234</v>
      </c>
      <c r="E2805" s="19" t="s">
        <v>31691</v>
      </c>
      <c r="F2805" s="19" t="s">
        <v>35984</v>
      </c>
      <c r="G2805" s="18" t="str">
        <f>"30529"</f>
        <v>30529</v>
      </c>
      <c r="H2805" s="19" t="s">
        <v>30816</v>
      </c>
      <c r="I2805" s="20">
        <v>18.619</v>
      </c>
      <c r="J2805" s="44" t="s">
        <v>8</v>
      </c>
      <c r="K2805" s="23" t="s">
        <v>8</v>
      </c>
      <c r="L2805" s="23" t="s">
        <v>8</v>
      </c>
      <c r="M2805" s="23" t="s">
        <v>8</v>
      </c>
    </row>
    <row r="2806" spans="1:13" s="21" customFormat="1" x14ac:dyDescent="0.25">
      <c r="A2806" s="22" t="s">
        <v>8</v>
      </c>
      <c r="B2806" s="18" t="str">
        <f>"115715"</f>
        <v>115715</v>
      </c>
      <c r="C2806" s="19" t="s">
        <v>2798</v>
      </c>
      <c r="D2806" s="19" t="s">
        <v>18235</v>
      </c>
      <c r="E2806" s="19" t="s">
        <v>31719</v>
      </c>
      <c r="F2806" s="19" t="s">
        <v>35984</v>
      </c>
      <c r="G2806" s="18" t="str">
        <f>"31411"</f>
        <v>31411</v>
      </c>
      <c r="H2806" s="19" t="s">
        <v>33903</v>
      </c>
      <c r="I2806" s="20">
        <v>17.541</v>
      </c>
      <c r="J2806" s="44" t="s">
        <v>8</v>
      </c>
      <c r="K2806" s="23" t="s">
        <v>8</v>
      </c>
      <c r="L2806" s="23" t="s">
        <v>8</v>
      </c>
      <c r="M2806" s="23" t="s">
        <v>8</v>
      </c>
    </row>
    <row r="2807" spans="1:13" s="21" customFormat="1" x14ac:dyDescent="0.25">
      <c r="A2807" s="22" t="s">
        <v>8</v>
      </c>
      <c r="B2807" s="18" t="str">
        <f>"115716"</f>
        <v>115716</v>
      </c>
      <c r="C2807" s="19" t="s">
        <v>2799</v>
      </c>
      <c r="D2807" s="19" t="s">
        <v>18236</v>
      </c>
      <c r="E2807" s="19" t="s">
        <v>31715</v>
      </c>
      <c r="F2807" s="19" t="s">
        <v>35984</v>
      </c>
      <c r="G2807" s="18" t="str">
        <f>"31904"</f>
        <v>31904</v>
      </c>
      <c r="H2807" s="19" t="s">
        <v>36157</v>
      </c>
      <c r="I2807" s="20">
        <v>20.981999999999999</v>
      </c>
      <c r="J2807" s="44" t="s">
        <v>8</v>
      </c>
      <c r="K2807" s="23" t="s">
        <v>8</v>
      </c>
      <c r="L2807" s="23" t="s">
        <v>8</v>
      </c>
      <c r="M2807" s="23" t="s">
        <v>8</v>
      </c>
    </row>
    <row r="2808" spans="1:13" s="21" customFormat="1" x14ac:dyDescent="0.25">
      <c r="A2808" s="22" t="s">
        <v>8</v>
      </c>
      <c r="B2808" s="18" t="str">
        <f>"115717"</f>
        <v>115717</v>
      </c>
      <c r="C2808" s="19" t="s">
        <v>2800</v>
      </c>
      <c r="D2808" s="19" t="s">
        <v>18237</v>
      </c>
      <c r="E2808" s="19" t="s">
        <v>31709</v>
      </c>
      <c r="F2808" s="19" t="s">
        <v>35984</v>
      </c>
      <c r="G2808" s="18" t="str">
        <f>"30310"</f>
        <v>30310</v>
      </c>
      <c r="H2808" s="19" t="s">
        <v>32194</v>
      </c>
      <c r="I2808" s="20">
        <v>20.256</v>
      </c>
      <c r="J2808" s="44" t="s">
        <v>8</v>
      </c>
      <c r="K2808" s="23" t="s">
        <v>8</v>
      </c>
      <c r="L2808" s="23" t="s">
        <v>8</v>
      </c>
      <c r="M2808" s="23" t="s">
        <v>8</v>
      </c>
    </row>
    <row r="2809" spans="1:13" s="21" customFormat="1" x14ac:dyDescent="0.25">
      <c r="A2809" s="22" t="s">
        <v>8</v>
      </c>
      <c r="B2809" s="18" t="str">
        <f>"115718"</f>
        <v>115718</v>
      </c>
      <c r="C2809" s="19" t="s">
        <v>2801</v>
      </c>
      <c r="D2809" s="19" t="s">
        <v>18238</v>
      </c>
      <c r="E2809" s="19" t="s">
        <v>31817</v>
      </c>
      <c r="F2809" s="19" t="s">
        <v>35984</v>
      </c>
      <c r="G2809" s="18" t="str">
        <f>"31522"</f>
        <v>31522</v>
      </c>
      <c r="H2809" s="19" t="s">
        <v>36185</v>
      </c>
      <c r="I2809" s="20">
        <v>18.68</v>
      </c>
      <c r="J2809" s="44" t="s">
        <v>8</v>
      </c>
      <c r="K2809" s="23" t="s">
        <v>8</v>
      </c>
      <c r="L2809" s="23" t="s">
        <v>8</v>
      </c>
      <c r="M2809" s="23" t="s">
        <v>8</v>
      </c>
    </row>
    <row r="2810" spans="1:13" s="21" customFormat="1" x14ac:dyDescent="0.25">
      <c r="A2810" s="22" t="s">
        <v>8</v>
      </c>
      <c r="B2810" s="18" t="str">
        <f>"115719"</f>
        <v>115719</v>
      </c>
      <c r="C2810" s="19" t="s">
        <v>2802</v>
      </c>
      <c r="D2810" s="19" t="s">
        <v>18239</v>
      </c>
      <c r="E2810" s="19" t="s">
        <v>31732</v>
      </c>
      <c r="F2810" s="19" t="s">
        <v>35984</v>
      </c>
      <c r="G2810" s="18" t="str">
        <f>"30165"</f>
        <v>30165</v>
      </c>
      <c r="H2810" s="19" t="s">
        <v>35420</v>
      </c>
      <c r="I2810" s="20">
        <v>19.638999999999999</v>
      </c>
      <c r="J2810" s="44" t="s">
        <v>8</v>
      </c>
      <c r="K2810" s="23" t="s">
        <v>8</v>
      </c>
      <c r="L2810" s="23" t="s">
        <v>8</v>
      </c>
      <c r="M2810" s="23" t="s">
        <v>8</v>
      </c>
    </row>
    <row r="2811" spans="1:13" s="21" customFormat="1" x14ac:dyDescent="0.25">
      <c r="A2811" s="22" t="s">
        <v>8</v>
      </c>
      <c r="B2811" s="18" t="str">
        <f>"115720"</f>
        <v>115720</v>
      </c>
      <c r="C2811" s="19" t="s">
        <v>2803</v>
      </c>
      <c r="D2811" s="19" t="s">
        <v>18240</v>
      </c>
      <c r="E2811" s="19" t="s">
        <v>31732</v>
      </c>
      <c r="F2811" s="19" t="s">
        <v>35984</v>
      </c>
      <c r="G2811" s="18" t="str">
        <f>"30161"</f>
        <v>30161</v>
      </c>
      <c r="H2811" s="19" t="s">
        <v>35420</v>
      </c>
      <c r="I2811" s="20">
        <v>19.335999999999999</v>
      </c>
      <c r="J2811" s="44" t="s">
        <v>8</v>
      </c>
      <c r="K2811" s="23" t="s">
        <v>8</v>
      </c>
      <c r="L2811" s="23" t="s">
        <v>8</v>
      </c>
      <c r="M2811" s="23" t="s">
        <v>8</v>
      </c>
    </row>
    <row r="2812" spans="1:13" s="21" customFormat="1" x14ac:dyDescent="0.25">
      <c r="A2812" s="22" t="s">
        <v>8</v>
      </c>
      <c r="B2812" s="18" t="str">
        <f>"115721"</f>
        <v>115721</v>
      </c>
      <c r="C2812" s="19" t="s">
        <v>2804</v>
      </c>
      <c r="D2812" s="19" t="s">
        <v>18241</v>
      </c>
      <c r="E2812" s="19" t="s">
        <v>31794</v>
      </c>
      <c r="F2812" s="19" t="s">
        <v>35984</v>
      </c>
      <c r="G2812" s="18" t="str">
        <f>"31520"</f>
        <v>31520</v>
      </c>
      <c r="H2812" s="19" t="s">
        <v>36185</v>
      </c>
      <c r="I2812" s="20">
        <v>19.303999999999998</v>
      </c>
      <c r="J2812" s="44" t="s">
        <v>8</v>
      </c>
      <c r="K2812" s="23" t="s">
        <v>8</v>
      </c>
      <c r="L2812" s="23" t="s">
        <v>8</v>
      </c>
      <c r="M2812" s="23" t="s">
        <v>8</v>
      </c>
    </row>
    <row r="2813" spans="1:13" s="21" customFormat="1" x14ac:dyDescent="0.25">
      <c r="A2813" s="22" t="s">
        <v>8</v>
      </c>
      <c r="B2813" s="18" t="str">
        <f>"115722"</f>
        <v>115722</v>
      </c>
      <c r="C2813" s="19" t="s">
        <v>2805</v>
      </c>
      <c r="D2813" s="19" t="s">
        <v>18242</v>
      </c>
      <c r="E2813" s="19" t="s">
        <v>31720</v>
      </c>
      <c r="F2813" s="19" t="s">
        <v>35984</v>
      </c>
      <c r="G2813" s="18" t="str">
        <f>"30263"</f>
        <v>30263</v>
      </c>
      <c r="H2813" s="19" t="s">
        <v>34682</v>
      </c>
      <c r="I2813" s="20">
        <v>21.95</v>
      </c>
      <c r="J2813" s="44" t="s">
        <v>8</v>
      </c>
      <c r="K2813" s="23" t="s">
        <v>8</v>
      </c>
      <c r="L2813" s="23" t="s">
        <v>8</v>
      </c>
      <c r="M2813" s="23" t="s">
        <v>8</v>
      </c>
    </row>
    <row r="2814" spans="1:13" s="21" customFormat="1" x14ac:dyDescent="0.25">
      <c r="A2814" s="22" t="s">
        <v>8</v>
      </c>
      <c r="B2814" s="18" t="str">
        <f>"115723"</f>
        <v>115723</v>
      </c>
      <c r="C2814" s="19" t="s">
        <v>2806</v>
      </c>
      <c r="D2814" s="19" t="s">
        <v>18243</v>
      </c>
      <c r="E2814" s="19" t="s">
        <v>31849</v>
      </c>
      <c r="F2814" s="19" t="s">
        <v>35984</v>
      </c>
      <c r="G2814" s="18" t="str">
        <f>"30024"</f>
        <v>30024</v>
      </c>
      <c r="H2814" s="19" t="s">
        <v>36168</v>
      </c>
      <c r="I2814" s="20">
        <v>19.399999999999999</v>
      </c>
      <c r="J2814" s="44" t="s">
        <v>8</v>
      </c>
      <c r="K2814" s="23" t="s">
        <v>8</v>
      </c>
      <c r="L2814" s="23" t="s">
        <v>8</v>
      </c>
      <c r="M2814" s="23" t="s">
        <v>8</v>
      </c>
    </row>
    <row r="2815" spans="1:13" s="21" customFormat="1" x14ac:dyDescent="0.25">
      <c r="A2815" s="22" t="s">
        <v>8</v>
      </c>
      <c r="B2815" s="18" t="str">
        <f>"115724"</f>
        <v>115724</v>
      </c>
      <c r="C2815" s="19" t="s">
        <v>2807</v>
      </c>
      <c r="D2815" s="19" t="s">
        <v>18244</v>
      </c>
      <c r="E2815" s="19" t="s">
        <v>31705</v>
      </c>
      <c r="F2815" s="19" t="s">
        <v>35984</v>
      </c>
      <c r="G2815" s="18" t="str">
        <f>"30533"</f>
        <v>30533</v>
      </c>
      <c r="H2815" s="19" t="s">
        <v>36154</v>
      </c>
      <c r="I2815" s="20">
        <v>20.890999999999998</v>
      </c>
      <c r="J2815" s="44" t="s">
        <v>8</v>
      </c>
      <c r="K2815" s="23" t="s">
        <v>8</v>
      </c>
      <c r="L2815" s="23" t="s">
        <v>8</v>
      </c>
      <c r="M2815" s="23" t="s">
        <v>8</v>
      </c>
    </row>
    <row r="2816" spans="1:13" s="21" customFormat="1" x14ac:dyDescent="0.25">
      <c r="A2816" s="22" t="s">
        <v>8</v>
      </c>
      <c r="B2816" s="18" t="str">
        <f>"115725"</f>
        <v>115725</v>
      </c>
      <c r="C2816" s="19" t="s">
        <v>2808</v>
      </c>
      <c r="D2816" s="19" t="s">
        <v>18245</v>
      </c>
      <c r="E2816" s="19" t="s">
        <v>31714</v>
      </c>
      <c r="F2816" s="19" t="s">
        <v>35984</v>
      </c>
      <c r="G2816" s="18" t="str">
        <f>"30907"</f>
        <v>30907</v>
      </c>
      <c r="H2816" s="19" t="s">
        <v>32076</v>
      </c>
      <c r="I2816" s="20">
        <v>20.689</v>
      </c>
      <c r="J2816" s="44" t="s">
        <v>8</v>
      </c>
      <c r="K2816" s="23" t="s">
        <v>8</v>
      </c>
      <c r="L2816" s="23" t="s">
        <v>8</v>
      </c>
      <c r="M2816" s="23" t="s">
        <v>8</v>
      </c>
    </row>
    <row r="2817" spans="1:13" s="21" customFormat="1" x14ac:dyDescent="0.25">
      <c r="A2817" s="22" t="s">
        <v>8</v>
      </c>
      <c r="B2817" s="18" t="str">
        <f>"115726"</f>
        <v>115726</v>
      </c>
      <c r="C2817" s="19" t="s">
        <v>2809</v>
      </c>
      <c r="D2817" s="19" t="s">
        <v>18246</v>
      </c>
      <c r="E2817" s="19" t="s">
        <v>31855</v>
      </c>
      <c r="F2817" s="19" t="s">
        <v>35984</v>
      </c>
      <c r="G2817" s="18" t="str">
        <f>"30474"</f>
        <v>30474</v>
      </c>
      <c r="H2817" s="19" t="s">
        <v>36171</v>
      </c>
      <c r="I2817" s="20">
        <v>17.524999999999999</v>
      </c>
      <c r="J2817" s="44" t="s">
        <v>8</v>
      </c>
      <c r="K2817" s="23" t="s">
        <v>8</v>
      </c>
      <c r="L2817" s="23" t="s">
        <v>8</v>
      </c>
      <c r="M2817" s="23" t="s">
        <v>8</v>
      </c>
    </row>
    <row r="2818" spans="1:13" s="21" customFormat="1" x14ac:dyDescent="0.25">
      <c r="A2818" s="22" t="s">
        <v>8</v>
      </c>
      <c r="B2818" s="18" t="str">
        <f>"115771"</f>
        <v>115771</v>
      </c>
      <c r="C2818" s="19" t="s">
        <v>2810</v>
      </c>
      <c r="D2818" s="19" t="s">
        <v>18247</v>
      </c>
      <c r="E2818" s="19" t="s">
        <v>31840</v>
      </c>
      <c r="F2818" s="19" t="s">
        <v>35984</v>
      </c>
      <c r="G2818" s="18" t="str">
        <f>"30078"</f>
        <v>30078</v>
      </c>
      <c r="H2818" s="19" t="s">
        <v>36168</v>
      </c>
      <c r="I2818" s="20">
        <v>21.475999999999999</v>
      </c>
      <c r="J2818" s="44" t="s">
        <v>8</v>
      </c>
      <c r="K2818" s="23" t="s">
        <v>8</v>
      </c>
      <c r="L2818" s="23" t="s">
        <v>8</v>
      </c>
      <c r="M2818" s="23" t="s">
        <v>8</v>
      </c>
    </row>
    <row r="2819" spans="1:13" s="21" customFormat="1" x14ac:dyDescent="0.25">
      <c r="A2819" s="22" t="s">
        <v>8</v>
      </c>
      <c r="B2819" s="18" t="str">
        <f>"125002"</f>
        <v>125002</v>
      </c>
      <c r="C2819" s="19" t="s">
        <v>2811</v>
      </c>
      <c r="D2819" s="19" t="s">
        <v>18248</v>
      </c>
      <c r="E2819" s="19" t="s">
        <v>31857</v>
      </c>
      <c r="F2819" s="19" t="s">
        <v>35985</v>
      </c>
      <c r="G2819" s="18" t="str">
        <f>"96720"</f>
        <v>96720</v>
      </c>
      <c r="H2819" s="19" t="s">
        <v>36209</v>
      </c>
      <c r="I2819" s="20">
        <v>17.657</v>
      </c>
      <c r="J2819" s="44" t="s">
        <v>8</v>
      </c>
      <c r="K2819" s="23" t="s">
        <v>8</v>
      </c>
      <c r="L2819" s="23" t="s">
        <v>8</v>
      </c>
      <c r="M2819" s="23" t="s">
        <v>8</v>
      </c>
    </row>
    <row r="2820" spans="1:13" s="21" customFormat="1" x14ac:dyDescent="0.25">
      <c r="A2820" s="22" t="s">
        <v>8</v>
      </c>
      <c r="B2820" s="18" t="str">
        <f>"125004"</f>
        <v>125004</v>
      </c>
      <c r="C2820" s="19" t="s">
        <v>2812</v>
      </c>
      <c r="D2820" s="19" t="s">
        <v>18249</v>
      </c>
      <c r="E2820" s="19" t="s">
        <v>31858</v>
      </c>
      <c r="F2820" s="19" t="s">
        <v>35985</v>
      </c>
      <c r="G2820" s="18" t="str">
        <f>"96766"</f>
        <v>96766</v>
      </c>
      <c r="H2820" s="19" t="s">
        <v>36210</v>
      </c>
      <c r="I2820" s="20">
        <v>17.352</v>
      </c>
      <c r="J2820" s="44" t="s">
        <v>8</v>
      </c>
      <c r="K2820" s="23" t="s">
        <v>8</v>
      </c>
      <c r="L2820" s="23" t="s">
        <v>8</v>
      </c>
      <c r="M2820" s="23" t="s">
        <v>8</v>
      </c>
    </row>
    <row r="2821" spans="1:13" s="21" customFormat="1" x14ac:dyDescent="0.25">
      <c r="A2821" s="22" t="s">
        <v>8</v>
      </c>
      <c r="B2821" s="18" t="str">
        <f>"125005"</f>
        <v>125005</v>
      </c>
      <c r="C2821" s="19" t="s">
        <v>2813</v>
      </c>
      <c r="D2821" s="19" t="s">
        <v>18250</v>
      </c>
      <c r="E2821" s="19" t="s">
        <v>31859</v>
      </c>
      <c r="F2821" s="19" t="s">
        <v>35985</v>
      </c>
      <c r="G2821" s="18" t="str">
        <f>"96826"</f>
        <v>96826</v>
      </c>
      <c r="H2821" s="19" t="s">
        <v>31859</v>
      </c>
      <c r="I2821" s="20">
        <v>18.832999999999998</v>
      </c>
      <c r="J2821" s="44" t="s">
        <v>8</v>
      </c>
      <c r="K2821" s="23" t="s">
        <v>8</v>
      </c>
      <c r="L2821" s="23" t="s">
        <v>8</v>
      </c>
      <c r="M2821" s="23" t="s">
        <v>8</v>
      </c>
    </row>
    <row r="2822" spans="1:13" s="21" customFormat="1" x14ac:dyDescent="0.25">
      <c r="A2822" s="22" t="s">
        <v>8</v>
      </c>
      <c r="B2822" s="18" t="str">
        <f>"125007"</f>
        <v>125007</v>
      </c>
      <c r="C2822" s="19" t="s">
        <v>2814</v>
      </c>
      <c r="D2822" s="19" t="s">
        <v>18251</v>
      </c>
      <c r="E2822" s="19" t="s">
        <v>31860</v>
      </c>
      <c r="F2822" s="19" t="s">
        <v>35985</v>
      </c>
      <c r="G2822" s="18" t="str">
        <f>"96732"</f>
        <v>96732</v>
      </c>
      <c r="H2822" s="19" t="s">
        <v>36211</v>
      </c>
      <c r="I2822" s="20">
        <v>14.577999999999999</v>
      </c>
      <c r="J2822" s="44" t="s">
        <v>8</v>
      </c>
      <c r="K2822" s="23" t="s">
        <v>8</v>
      </c>
      <c r="L2822" s="23" t="s">
        <v>8</v>
      </c>
      <c r="M2822" s="23" t="s">
        <v>8</v>
      </c>
    </row>
    <row r="2823" spans="1:13" s="21" customFormat="1" x14ac:dyDescent="0.25">
      <c r="A2823" s="22" t="s">
        <v>8</v>
      </c>
      <c r="B2823" s="18" t="str">
        <f>"125009"</f>
        <v>125009</v>
      </c>
      <c r="C2823" s="19" t="s">
        <v>2815</v>
      </c>
      <c r="D2823" s="19" t="s">
        <v>18252</v>
      </c>
      <c r="E2823" s="19" t="s">
        <v>31859</v>
      </c>
      <c r="F2823" s="19" t="s">
        <v>35985</v>
      </c>
      <c r="G2823" s="18" t="str">
        <f>"96817"</f>
        <v>96817</v>
      </c>
      <c r="H2823" s="19" t="s">
        <v>31859</v>
      </c>
      <c r="I2823" s="20">
        <v>18.803999999999998</v>
      </c>
      <c r="J2823" s="44" t="s">
        <v>8</v>
      </c>
      <c r="K2823" s="23" t="s">
        <v>8</v>
      </c>
      <c r="L2823" s="23" t="s">
        <v>8</v>
      </c>
      <c r="M2823" s="23" t="s">
        <v>8</v>
      </c>
    </row>
    <row r="2824" spans="1:13" s="21" customFormat="1" x14ac:dyDescent="0.25">
      <c r="A2824" s="22" t="s">
        <v>8</v>
      </c>
      <c r="B2824" s="18" t="str">
        <f>"125010"</f>
        <v>125010</v>
      </c>
      <c r="C2824" s="19" t="s">
        <v>2816</v>
      </c>
      <c r="D2824" s="19" t="s">
        <v>18253</v>
      </c>
      <c r="E2824" s="19" t="s">
        <v>31859</v>
      </c>
      <c r="F2824" s="19" t="s">
        <v>35985</v>
      </c>
      <c r="G2824" s="18" t="str">
        <f>"96816"</f>
        <v>96816</v>
      </c>
      <c r="H2824" s="19" t="s">
        <v>31859</v>
      </c>
      <c r="I2824" s="20">
        <v>20.350999999999999</v>
      </c>
      <c r="J2824" s="44" t="s">
        <v>8</v>
      </c>
      <c r="K2824" s="23" t="s">
        <v>8</v>
      </c>
      <c r="L2824" s="23" t="s">
        <v>8</v>
      </c>
      <c r="M2824" s="23" t="s">
        <v>8</v>
      </c>
    </row>
    <row r="2825" spans="1:13" s="21" customFormat="1" x14ac:dyDescent="0.25">
      <c r="A2825" s="22" t="s">
        <v>8</v>
      </c>
      <c r="B2825" s="18" t="str">
        <f>"125011"</f>
        <v>125011</v>
      </c>
      <c r="C2825" s="19" t="s">
        <v>2817</v>
      </c>
      <c r="D2825" s="19" t="s">
        <v>18254</v>
      </c>
      <c r="E2825" s="19" t="s">
        <v>31859</v>
      </c>
      <c r="F2825" s="19" t="s">
        <v>35985</v>
      </c>
      <c r="G2825" s="18" t="str">
        <f>"96822"</f>
        <v>96822</v>
      </c>
      <c r="H2825" s="19" t="s">
        <v>31859</v>
      </c>
      <c r="I2825" s="20">
        <v>15.428000000000001</v>
      </c>
      <c r="J2825" s="44" t="s">
        <v>8</v>
      </c>
      <c r="K2825" s="23" t="s">
        <v>8</v>
      </c>
      <c r="L2825" s="23" t="s">
        <v>8</v>
      </c>
      <c r="M2825" s="23" t="s">
        <v>8</v>
      </c>
    </row>
    <row r="2826" spans="1:13" s="21" customFormat="1" x14ac:dyDescent="0.25">
      <c r="A2826" s="22" t="s">
        <v>8</v>
      </c>
      <c r="B2826" s="18" t="str">
        <f>"125013"</f>
        <v>125013</v>
      </c>
      <c r="C2826" s="19" t="s">
        <v>2818</v>
      </c>
      <c r="D2826" s="19" t="s">
        <v>18255</v>
      </c>
      <c r="E2826" s="19" t="s">
        <v>31859</v>
      </c>
      <c r="F2826" s="19" t="s">
        <v>35985</v>
      </c>
      <c r="G2826" s="18" t="str">
        <f>"96816"</f>
        <v>96816</v>
      </c>
      <c r="H2826" s="19" t="s">
        <v>31859</v>
      </c>
      <c r="I2826" s="20">
        <v>15.358000000000001</v>
      </c>
      <c r="J2826" s="44" t="s">
        <v>8</v>
      </c>
      <c r="K2826" s="23" t="s">
        <v>8</v>
      </c>
      <c r="L2826" s="23" t="s">
        <v>8</v>
      </c>
      <c r="M2826" s="23" t="s">
        <v>8</v>
      </c>
    </row>
    <row r="2827" spans="1:13" s="21" customFormat="1" x14ac:dyDescent="0.25">
      <c r="A2827" s="22" t="s">
        <v>8</v>
      </c>
      <c r="B2827" s="18" t="str">
        <f>"125014"</f>
        <v>125014</v>
      </c>
      <c r="C2827" s="19" t="s">
        <v>2819</v>
      </c>
      <c r="D2827" s="19" t="s">
        <v>18256</v>
      </c>
      <c r="E2827" s="19" t="s">
        <v>31859</v>
      </c>
      <c r="F2827" s="19" t="s">
        <v>35985</v>
      </c>
      <c r="G2827" s="18" t="str">
        <f>"96822"</f>
        <v>96822</v>
      </c>
      <c r="H2827" s="19" t="s">
        <v>31859</v>
      </c>
      <c r="I2827" s="20">
        <v>17.959</v>
      </c>
      <c r="J2827" s="44" t="s">
        <v>8</v>
      </c>
      <c r="K2827" s="23" t="s">
        <v>8</v>
      </c>
      <c r="L2827" s="23" t="s">
        <v>8</v>
      </c>
      <c r="M2827" s="23" t="s">
        <v>8</v>
      </c>
    </row>
    <row r="2828" spans="1:13" s="21" customFormat="1" x14ac:dyDescent="0.25">
      <c r="A2828" s="22" t="s">
        <v>8</v>
      </c>
      <c r="B2828" s="18" t="str">
        <f>"125015"</f>
        <v>125015</v>
      </c>
      <c r="C2828" s="19" t="s">
        <v>2820</v>
      </c>
      <c r="D2828" s="19" t="s">
        <v>18257</v>
      </c>
      <c r="E2828" s="19" t="s">
        <v>31861</v>
      </c>
      <c r="F2828" s="19" t="s">
        <v>35985</v>
      </c>
      <c r="G2828" s="18" t="str">
        <f>"96786"</f>
        <v>96786</v>
      </c>
      <c r="H2828" s="19" t="s">
        <v>31859</v>
      </c>
      <c r="I2828" s="20">
        <v>18.405000000000001</v>
      </c>
      <c r="J2828" s="44" t="s">
        <v>8</v>
      </c>
      <c r="K2828" s="23" t="s">
        <v>8</v>
      </c>
      <c r="L2828" s="23" t="s">
        <v>8</v>
      </c>
      <c r="M2828" s="23" t="s">
        <v>8</v>
      </c>
    </row>
    <row r="2829" spans="1:13" s="21" customFormat="1" x14ac:dyDescent="0.25">
      <c r="A2829" s="22" t="s">
        <v>8</v>
      </c>
      <c r="B2829" s="18" t="str">
        <f>"125019"</f>
        <v>125019</v>
      </c>
      <c r="C2829" s="19" t="s">
        <v>2821</v>
      </c>
      <c r="D2829" s="19" t="s">
        <v>18258</v>
      </c>
      <c r="E2829" s="19" t="s">
        <v>31859</v>
      </c>
      <c r="F2829" s="19" t="s">
        <v>35985</v>
      </c>
      <c r="G2829" s="18" t="str">
        <f>"96817"</f>
        <v>96817</v>
      </c>
      <c r="H2829" s="19" t="s">
        <v>31859</v>
      </c>
      <c r="I2829" s="20">
        <v>17.268999999999998</v>
      </c>
      <c r="J2829" s="44" t="s">
        <v>8</v>
      </c>
      <c r="K2829" s="23" t="s">
        <v>8</v>
      </c>
      <c r="L2829" s="23" t="s">
        <v>8</v>
      </c>
      <c r="M2829" s="23" t="s">
        <v>8</v>
      </c>
    </row>
    <row r="2830" spans="1:13" s="21" customFormat="1" x14ac:dyDescent="0.25">
      <c r="A2830" s="22" t="s">
        <v>8</v>
      </c>
      <c r="B2830" s="18" t="str">
        <f>"125020"</f>
        <v>125020</v>
      </c>
      <c r="C2830" s="19" t="s">
        <v>2822</v>
      </c>
      <c r="D2830" s="19" t="s">
        <v>18259</v>
      </c>
      <c r="E2830" s="19" t="s">
        <v>31859</v>
      </c>
      <c r="F2830" s="19" t="s">
        <v>35985</v>
      </c>
      <c r="G2830" s="18" t="str">
        <f>"96819"</f>
        <v>96819</v>
      </c>
      <c r="H2830" s="19" t="s">
        <v>31859</v>
      </c>
      <c r="I2830" s="20">
        <v>18.655999999999999</v>
      </c>
      <c r="J2830" s="44" t="s">
        <v>8</v>
      </c>
      <c r="K2830" s="23" t="s">
        <v>8</v>
      </c>
      <c r="L2830" s="23" t="s">
        <v>8</v>
      </c>
      <c r="M2830" s="23" t="s">
        <v>8</v>
      </c>
    </row>
    <row r="2831" spans="1:13" s="21" customFormat="1" x14ac:dyDescent="0.25">
      <c r="A2831" s="22" t="s">
        <v>8</v>
      </c>
      <c r="B2831" s="18" t="str">
        <f>"125024"</f>
        <v>125024</v>
      </c>
      <c r="C2831" s="19" t="s">
        <v>2823</v>
      </c>
      <c r="D2831" s="19" t="s">
        <v>18260</v>
      </c>
      <c r="E2831" s="19" t="s">
        <v>31859</v>
      </c>
      <c r="F2831" s="19" t="s">
        <v>35985</v>
      </c>
      <c r="G2831" s="18" t="str">
        <f>"96817"</f>
        <v>96817</v>
      </c>
      <c r="H2831" s="19" t="s">
        <v>31859</v>
      </c>
      <c r="I2831" s="20">
        <v>19.105</v>
      </c>
      <c r="J2831" s="44" t="s">
        <v>8</v>
      </c>
      <c r="K2831" s="23" t="s">
        <v>8</v>
      </c>
      <c r="L2831" s="23" t="s">
        <v>8</v>
      </c>
      <c r="M2831" s="23" t="s">
        <v>8</v>
      </c>
    </row>
    <row r="2832" spans="1:13" s="21" customFormat="1" x14ac:dyDescent="0.25">
      <c r="A2832" s="22" t="s">
        <v>8</v>
      </c>
      <c r="B2832" s="18" t="str">
        <f>"125026"</f>
        <v>125026</v>
      </c>
      <c r="C2832" s="19" t="s">
        <v>2824</v>
      </c>
      <c r="D2832" s="19" t="s">
        <v>18261</v>
      </c>
      <c r="E2832" s="19" t="s">
        <v>31859</v>
      </c>
      <c r="F2832" s="19" t="s">
        <v>35985</v>
      </c>
      <c r="G2832" s="18" t="str">
        <f>"96817"</f>
        <v>96817</v>
      </c>
      <c r="H2832" s="19" t="s">
        <v>31859</v>
      </c>
      <c r="I2832" s="20">
        <v>16.917000000000002</v>
      </c>
      <c r="J2832" s="44" t="s">
        <v>8</v>
      </c>
      <c r="K2832" s="23" t="s">
        <v>8</v>
      </c>
      <c r="L2832" s="23" t="s">
        <v>8</v>
      </c>
      <c r="M2832" s="23" t="s">
        <v>8</v>
      </c>
    </row>
    <row r="2833" spans="1:13" s="21" customFormat="1" x14ac:dyDescent="0.25">
      <c r="A2833" s="22" t="s">
        <v>8</v>
      </c>
      <c r="B2833" s="18" t="str">
        <f>"125027"</f>
        <v>125027</v>
      </c>
      <c r="C2833" s="19" t="s">
        <v>2825</v>
      </c>
      <c r="D2833" s="19" t="s">
        <v>18262</v>
      </c>
      <c r="E2833" s="19" t="s">
        <v>31862</v>
      </c>
      <c r="F2833" s="19" t="s">
        <v>35985</v>
      </c>
      <c r="G2833" s="18" t="str">
        <f>"96750"</f>
        <v>96750</v>
      </c>
      <c r="H2833" s="19" t="s">
        <v>36209</v>
      </c>
      <c r="I2833" s="20">
        <v>18.881</v>
      </c>
      <c r="J2833" s="44" t="s">
        <v>8</v>
      </c>
      <c r="K2833" s="23" t="s">
        <v>8</v>
      </c>
      <c r="L2833" s="23" t="s">
        <v>8</v>
      </c>
      <c r="M2833" s="23" t="s">
        <v>8</v>
      </c>
    </row>
    <row r="2834" spans="1:13" s="21" customFormat="1" x14ac:dyDescent="0.25">
      <c r="A2834" s="22" t="s">
        <v>8</v>
      </c>
      <c r="B2834" s="18" t="str">
        <f>"125029"</f>
        <v>125029</v>
      </c>
      <c r="C2834" s="19" t="s">
        <v>2826</v>
      </c>
      <c r="D2834" s="19" t="s">
        <v>18263</v>
      </c>
      <c r="E2834" s="19" t="s">
        <v>31863</v>
      </c>
      <c r="F2834" s="19" t="s">
        <v>35985</v>
      </c>
      <c r="G2834" s="18" t="str">
        <f>"96746"</f>
        <v>96746</v>
      </c>
      <c r="H2834" s="19" t="s">
        <v>36210</v>
      </c>
      <c r="I2834" s="20">
        <v>18.896000000000001</v>
      </c>
      <c r="J2834" s="44" t="s">
        <v>8</v>
      </c>
      <c r="K2834" s="23" t="s">
        <v>8</v>
      </c>
      <c r="L2834" s="23" t="s">
        <v>8</v>
      </c>
      <c r="M2834" s="23" t="s">
        <v>8</v>
      </c>
    </row>
    <row r="2835" spans="1:13" s="21" customFormat="1" x14ac:dyDescent="0.25">
      <c r="A2835" s="22" t="s">
        <v>8</v>
      </c>
      <c r="B2835" s="18" t="str">
        <f>"125033"</f>
        <v>125033</v>
      </c>
      <c r="C2835" s="19" t="s">
        <v>2827</v>
      </c>
      <c r="D2835" s="19" t="s">
        <v>18264</v>
      </c>
      <c r="E2835" s="19" t="s">
        <v>31864</v>
      </c>
      <c r="F2835" s="19" t="s">
        <v>35985</v>
      </c>
      <c r="G2835" s="18" t="str">
        <f>"96744"</f>
        <v>96744</v>
      </c>
      <c r="H2835" s="19" t="s">
        <v>31859</v>
      </c>
      <c r="I2835" s="20">
        <v>19.654</v>
      </c>
      <c r="J2835" s="44" t="s">
        <v>8</v>
      </c>
      <c r="K2835" s="23" t="s">
        <v>8</v>
      </c>
      <c r="L2835" s="23" t="s">
        <v>8</v>
      </c>
      <c r="M2835" s="23" t="s">
        <v>8</v>
      </c>
    </row>
    <row r="2836" spans="1:13" s="21" customFormat="1" x14ac:dyDescent="0.25">
      <c r="A2836" s="22" t="s">
        <v>8</v>
      </c>
      <c r="B2836" s="18" t="str">
        <f>"125037"</f>
        <v>125037</v>
      </c>
      <c r="C2836" s="19" t="s">
        <v>2828</v>
      </c>
      <c r="D2836" s="19" t="s">
        <v>18265</v>
      </c>
      <c r="E2836" s="19" t="s">
        <v>31859</v>
      </c>
      <c r="F2836" s="19" t="s">
        <v>35985</v>
      </c>
      <c r="G2836" s="18" t="str">
        <f>"96813"</f>
        <v>96813</v>
      </c>
      <c r="H2836" s="19" t="s">
        <v>31859</v>
      </c>
      <c r="I2836" s="20">
        <v>17.318000000000001</v>
      </c>
      <c r="J2836" s="44" t="s">
        <v>8</v>
      </c>
      <c r="K2836" s="23" t="s">
        <v>8</v>
      </c>
      <c r="L2836" s="23" t="s">
        <v>8</v>
      </c>
      <c r="M2836" s="23" t="s">
        <v>8</v>
      </c>
    </row>
    <row r="2837" spans="1:13" s="21" customFormat="1" x14ac:dyDescent="0.25">
      <c r="A2837" s="22" t="s">
        <v>8</v>
      </c>
      <c r="B2837" s="18" t="str">
        <f>"125038"</f>
        <v>125038</v>
      </c>
      <c r="C2837" s="19" t="s">
        <v>2829</v>
      </c>
      <c r="D2837" s="19" t="s">
        <v>18266</v>
      </c>
      <c r="E2837" s="19" t="s">
        <v>31864</v>
      </c>
      <c r="F2837" s="19" t="s">
        <v>35985</v>
      </c>
      <c r="G2837" s="18" t="str">
        <f>"96744"</f>
        <v>96744</v>
      </c>
      <c r="H2837" s="19" t="s">
        <v>31859</v>
      </c>
      <c r="I2837" s="20">
        <v>20.536999999999999</v>
      </c>
      <c r="J2837" s="44" t="s">
        <v>8</v>
      </c>
      <c r="K2837" s="23" t="s">
        <v>8</v>
      </c>
      <c r="L2837" s="23" t="s">
        <v>8</v>
      </c>
      <c r="M2837" s="23" t="s">
        <v>8</v>
      </c>
    </row>
    <row r="2838" spans="1:13" s="21" customFormat="1" x14ac:dyDescent="0.25">
      <c r="A2838" s="22" t="s">
        <v>8</v>
      </c>
      <c r="B2838" s="18" t="str">
        <f>"125040"</f>
        <v>125040</v>
      </c>
      <c r="C2838" s="19" t="s">
        <v>2830</v>
      </c>
      <c r="D2838" s="19" t="s">
        <v>18267</v>
      </c>
      <c r="E2838" s="19" t="s">
        <v>31857</v>
      </c>
      <c r="F2838" s="19" t="s">
        <v>35985</v>
      </c>
      <c r="G2838" s="18" t="str">
        <f>"96720"</f>
        <v>96720</v>
      </c>
      <c r="H2838" s="19" t="s">
        <v>36209</v>
      </c>
      <c r="I2838" s="20">
        <v>13.737</v>
      </c>
      <c r="J2838" s="44" t="s">
        <v>8</v>
      </c>
      <c r="K2838" s="23" t="s">
        <v>8</v>
      </c>
      <c r="L2838" s="23" t="s">
        <v>8</v>
      </c>
      <c r="M2838" s="23" t="s">
        <v>8</v>
      </c>
    </row>
    <row r="2839" spans="1:13" s="21" customFormat="1" x14ac:dyDescent="0.25">
      <c r="A2839" s="22" t="s">
        <v>8</v>
      </c>
      <c r="B2839" s="18" t="str">
        <f>"125041"</f>
        <v>125041</v>
      </c>
      <c r="C2839" s="19" t="s">
        <v>2831</v>
      </c>
      <c r="D2839" s="19" t="s">
        <v>18268</v>
      </c>
      <c r="E2839" s="19" t="s">
        <v>31859</v>
      </c>
      <c r="F2839" s="19" t="s">
        <v>35985</v>
      </c>
      <c r="G2839" s="18" t="str">
        <f>"96817"</f>
        <v>96817</v>
      </c>
      <c r="H2839" s="19" t="s">
        <v>31859</v>
      </c>
      <c r="I2839" s="20">
        <v>18.722999999999999</v>
      </c>
      <c r="J2839" s="44" t="s">
        <v>8</v>
      </c>
      <c r="K2839" s="23" t="s">
        <v>8</v>
      </c>
      <c r="L2839" s="23" t="s">
        <v>8</v>
      </c>
      <c r="M2839" s="23" t="s">
        <v>8</v>
      </c>
    </row>
    <row r="2840" spans="1:13" s="21" customFormat="1" x14ac:dyDescent="0.25">
      <c r="A2840" s="22" t="s">
        <v>8</v>
      </c>
      <c r="B2840" s="18" t="str">
        <f>"125042"</f>
        <v>125042</v>
      </c>
      <c r="C2840" s="19" t="s">
        <v>2832</v>
      </c>
      <c r="D2840" s="19" t="s">
        <v>18269</v>
      </c>
      <c r="E2840" s="19" t="s">
        <v>31859</v>
      </c>
      <c r="F2840" s="19" t="s">
        <v>35985</v>
      </c>
      <c r="G2840" s="18" t="str">
        <f>"96826"</f>
        <v>96826</v>
      </c>
      <c r="H2840" s="19" t="s">
        <v>31859</v>
      </c>
      <c r="I2840" s="20">
        <v>16.271999999999998</v>
      </c>
      <c r="J2840" s="44" t="s">
        <v>8</v>
      </c>
      <c r="K2840" s="23" t="s">
        <v>8</v>
      </c>
      <c r="L2840" s="23" t="s">
        <v>8</v>
      </c>
      <c r="M2840" s="23" t="s">
        <v>8</v>
      </c>
    </row>
    <row r="2841" spans="1:13" s="21" customFormat="1" x14ac:dyDescent="0.25">
      <c r="A2841" s="22" t="s">
        <v>8</v>
      </c>
      <c r="B2841" s="18" t="str">
        <f>"125043"</f>
        <v>125043</v>
      </c>
      <c r="C2841" s="19" t="s">
        <v>2833</v>
      </c>
      <c r="D2841" s="19" t="s">
        <v>18270</v>
      </c>
      <c r="E2841" s="19" t="s">
        <v>31865</v>
      </c>
      <c r="F2841" s="19" t="s">
        <v>35985</v>
      </c>
      <c r="G2841" s="18" t="str">
        <f>"96782"</f>
        <v>96782</v>
      </c>
      <c r="H2841" s="19" t="s">
        <v>31859</v>
      </c>
      <c r="I2841" s="20">
        <v>18.884</v>
      </c>
      <c r="J2841" s="44" t="s">
        <v>8</v>
      </c>
      <c r="K2841" s="23" t="s">
        <v>8</v>
      </c>
      <c r="L2841" s="23" t="s">
        <v>8</v>
      </c>
      <c r="M2841" s="23" t="s">
        <v>8</v>
      </c>
    </row>
    <row r="2842" spans="1:13" s="21" customFormat="1" x14ac:dyDescent="0.25">
      <c r="A2842" s="22" t="s">
        <v>8</v>
      </c>
      <c r="B2842" s="18" t="str">
        <f>"125045"</f>
        <v>125045</v>
      </c>
      <c r="C2842" s="19" t="s">
        <v>2834</v>
      </c>
      <c r="D2842" s="19" t="s">
        <v>18271</v>
      </c>
      <c r="E2842" s="19" t="s">
        <v>31857</v>
      </c>
      <c r="F2842" s="19" t="s">
        <v>35985</v>
      </c>
      <c r="G2842" s="18" t="str">
        <f>"96720"</f>
        <v>96720</v>
      </c>
      <c r="H2842" s="19" t="s">
        <v>36209</v>
      </c>
      <c r="I2842" s="20">
        <v>17.295999999999999</v>
      </c>
      <c r="J2842" s="44" t="s">
        <v>8</v>
      </c>
      <c r="K2842" s="23" t="s">
        <v>8</v>
      </c>
      <c r="L2842" s="23" t="s">
        <v>8</v>
      </c>
      <c r="M2842" s="23" t="s">
        <v>8</v>
      </c>
    </row>
    <row r="2843" spans="1:13" s="21" customFormat="1" x14ac:dyDescent="0.25">
      <c r="A2843" s="22" t="s">
        <v>8</v>
      </c>
      <c r="B2843" s="18" t="str">
        <f>"125046"</f>
        <v>125046</v>
      </c>
      <c r="C2843" s="19" t="s">
        <v>2835</v>
      </c>
      <c r="D2843" s="19" t="s">
        <v>18272</v>
      </c>
      <c r="E2843" s="19" t="s">
        <v>31866</v>
      </c>
      <c r="F2843" s="19" t="s">
        <v>35985</v>
      </c>
      <c r="G2843" s="18" t="str">
        <f>"96792"</f>
        <v>96792</v>
      </c>
      <c r="H2843" s="19" t="s">
        <v>31859</v>
      </c>
      <c r="I2843" s="20">
        <v>15.726000000000001</v>
      </c>
      <c r="J2843" s="44" t="s">
        <v>8</v>
      </c>
      <c r="K2843" s="23" t="s">
        <v>8</v>
      </c>
      <c r="L2843" s="23" t="s">
        <v>8</v>
      </c>
      <c r="M2843" s="23" t="s">
        <v>8</v>
      </c>
    </row>
    <row r="2844" spans="1:13" s="21" customFormat="1" x14ac:dyDescent="0.25">
      <c r="A2844" s="22" t="s">
        <v>8</v>
      </c>
      <c r="B2844" s="18" t="str">
        <f>"125047"</f>
        <v>125047</v>
      </c>
      <c r="C2844" s="19" t="s">
        <v>2836</v>
      </c>
      <c r="D2844" s="19" t="s">
        <v>18273</v>
      </c>
      <c r="E2844" s="19" t="s">
        <v>31859</v>
      </c>
      <c r="F2844" s="19" t="s">
        <v>35985</v>
      </c>
      <c r="G2844" s="18" t="str">
        <f>"96826"</f>
        <v>96826</v>
      </c>
      <c r="H2844" s="19" t="s">
        <v>31859</v>
      </c>
      <c r="I2844" s="20">
        <v>16.742000000000001</v>
      </c>
      <c r="J2844" s="44" t="s">
        <v>8</v>
      </c>
      <c r="K2844" s="23" t="s">
        <v>8</v>
      </c>
      <c r="L2844" s="23" t="s">
        <v>8</v>
      </c>
      <c r="M2844" s="23" t="s">
        <v>8</v>
      </c>
    </row>
    <row r="2845" spans="1:13" s="21" customFormat="1" x14ac:dyDescent="0.25">
      <c r="A2845" s="22" t="s">
        <v>8</v>
      </c>
      <c r="B2845" s="18" t="str">
        <f>"125048"</f>
        <v>125048</v>
      </c>
      <c r="C2845" s="19" t="s">
        <v>2837</v>
      </c>
      <c r="D2845" s="19" t="s">
        <v>18274</v>
      </c>
      <c r="E2845" s="19" t="s">
        <v>31864</v>
      </c>
      <c r="F2845" s="19" t="s">
        <v>35985</v>
      </c>
      <c r="G2845" s="18" t="str">
        <f>"96744"</f>
        <v>96744</v>
      </c>
      <c r="H2845" s="19" t="s">
        <v>31859</v>
      </c>
      <c r="I2845" s="20">
        <v>18.265000000000001</v>
      </c>
      <c r="J2845" s="44" t="s">
        <v>8</v>
      </c>
      <c r="K2845" s="23" t="s">
        <v>8</v>
      </c>
      <c r="L2845" s="23" t="s">
        <v>8</v>
      </c>
      <c r="M2845" s="23" t="s">
        <v>8</v>
      </c>
    </row>
    <row r="2846" spans="1:13" s="21" customFormat="1" x14ac:dyDescent="0.25">
      <c r="A2846" s="22" t="s">
        <v>8</v>
      </c>
      <c r="B2846" s="18" t="str">
        <f>"125050"</f>
        <v>125050</v>
      </c>
      <c r="C2846" s="19" t="s">
        <v>2838</v>
      </c>
      <c r="D2846" s="19" t="s">
        <v>18275</v>
      </c>
      <c r="E2846" s="19" t="s">
        <v>31859</v>
      </c>
      <c r="F2846" s="19" t="s">
        <v>35985</v>
      </c>
      <c r="G2846" s="18" t="str">
        <f>"96821"</f>
        <v>96821</v>
      </c>
      <c r="H2846" s="19" t="s">
        <v>31859</v>
      </c>
      <c r="I2846" s="20">
        <v>17.539000000000001</v>
      </c>
      <c r="J2846" s="44" t="s">
        <v>8</v>
      </c>
      <c r="K2846" s="23" t="s">
        <v>8</v>
      </c>
      <c r="L2846" s="23" t="s">
        <v>8</v>
      </c>
      <c r="M2846" s="23" t="s">
        <v>8</v>
      </c>
    </row>
    <row r="2847" spans="1:13" s="21" customFormat="1" x14ac:dyDescent="0.25">
      <c r="A2847" s="22" t="s">
        <v>8</v>
      </c>
      <c r="B2847" s="18" t="str">
        <f>"125051"</f>
        <v>125051</v>
      </c>
      <c r="C2847" s="19" t="s">
        <v>2839</v>
      </c>
      <c r="D2847" s="19" t="s">
        <v>18276</v>
      </c>
      <c r="E2847" s="19" t="s">
        <v>31867</v>
      </c>
      <c r="F2847" s="19" t="s">
        <v>35985</v>
      </c>
      <c r="G2847" s="18" t="str">
        <f>"96707"</f>
        <v>96707</v>
      </c>
      <c r="H2847" s="19" t="s">
        <v>31859</v>
      </c>
      <c r="I2847" s="20">
        <v>17.300999999999998</v>
      </c>
      <c r="J2847" s="44" t="s">
        <v>8</v>
      </c>
      <c r="K2847" s="23" t="s">
        <v>8</v>
      </c>
      <c r="L2847" s="23" t="s">
        <v>8</v>
      </c>
      <c r="M2847" s="23" t="s">
        <v>8</v>
      </c>
    </row>
    <row r="2848" spans="1:13" s="21" customFormat="1" x14ac:dyDescent="0.25">
      <c r="A2848" s="22" t="s">
        <v>8</v>
      </c>
      <c r="B2848" s="18" t="str">
        <f>"125052"</f>
        <v>125052</v>
      </c>
      <c r="C2848" s="19" t="s">
        <v>2840</v>
      </c>
      <c r="D2848" s="19" t="s">
        <v>18277</v>
      </c>
      <c r="E2848" s="19" t="s">
        <v>31868</v>
      </c>
      <c r="F2848" s="19" t="s">
        <v>35985</v>
      </c>
      <c r="G2848" s="18" t="str">
        <f>"96740"</f>
        <v>96740</v>
      </c>
      <c r="H2848" s="19" t="s">
        <v>36209</v>
      </c>
      <c r="I2848" s="20">
        <v>15.202</v>
      </c>
      <c r="J2848" s="44" t="s">
        <v>8</v>
      </c>
      <c r="K2848" s="23" t="s">
        <v>8</v>
      </c>
      <c r="L2848" s="23" t="s">
        <v>8</v>
      </c>
      <c r="M2848" s="23" t="s">
        <v>8</v>
      </c>
    </row>
    <row r="2849" spans="1:13" s="21" customFormat="1" x14ac:dyDescent="0.25">
      <c r="A2849" s="22" t="s">
        <v>8</v>
      </c>
      <c r="B2849" s="18" t="str">
        <f>"125055"</f>
        <v>125055</v>
      </c>
      <c r="C2849" s="19" t="s">
        <v>2841</v>
      </c>
      <c r="D2849" s="19" t="s">
        <v>18278</v>
      </c>
      <c r="E2849" s="19" t="s">
        <v>31859</v>
      </c>
      <c r="F2849" s="19" t="s">
        <v>35985</v>
      </c>
      <c r="G2849" s="18" t="str">
        <f>"96821"</f>
        <v>96821</v>
      </c>
      <c r="H2849" s="19" t="s">
        <v>31859</v>
      </c>
      <c r="I2849" s="20">
        <v>18.565000000000001</v>
      </c>
      <c r="J2849" s="44" t="s">
        <v>8</v>
      </c>
      <c r="K2849" s="23" t="s">
        <v>8</v>
      </c>
      <c r="L2849" s="23" t="s">
        <v>8</v>
      </c>
      <c r="M2849" s="23" t="s">
        <v>8</v>
      </c>
    </row>
    <row r="2850" spans="1:13" s="21" customFormat="1" x14ac:dyDescent="0.25">
      <c r="A2850" s="22" t="s">
        <v>8</v>
      </c>
      <c r="B2850" s="18" t="str">
        <f>"125056"</f>
        <v>125056</v>
      </c>
      <c r="C2850" s="19" t="s">
        <v>2842</v>
      </c>
      <c r="D2850" s="19" t="s">
        <v>18279</v>
      </c>
      <c r="E2850" s="19" t="s">
        <v>31869</v>
      </c>
      <c r="F2850" s="19" t="s">
        <v>35985</v>
      </c>
      <c r="G2850" s="18" t="str">
        <f>"96793"</f>
        <v>96793</v>
      </c>
      <c r="H2850" s="19" t="s">
        <v>36211</v>
      </c>
      <c r="I2850" s="20">
        <v>18.856999999999999</v>
      </c>
      <c r="J2850" s="44" t="s">
        <v>8</v>
      </c>
      <c r="K2850" s="23" t="s">
        <v>8</v>
      </c>
      <c r="L2850" s="23" t="s">
        <v>8</v>
      </c>
      <c r="M2850" s="23" t="s">
        <v>8</v>
      </c>
    </row>
    <row r="2851" spans="1:13" s="21" customFormat="1" x14ac:dyDescent="0.25">
      <c r="A2851" s="22" t="s">
        <v>8</v>
      </c>
      <c r="B2851" s="18" t="str">
        <f>"125058"</f>
        <v>125058</v>
      </c>
      <c r="C2851" s="19" t="s">
        <v>2843</v>
      </c>
      <c r="D2851" s="19" t="s">
        <v>18280</v>
      </c>
      <c r="E2851" s="19" t="s">
        <v>31857</v>
      </c>
      <c r="F2851" s="19" t="s">
        <v>35985</v>
      </c>
      <c r="G2851" s="18" t="str">
        <f>"96720"</f>
        <v>96720</v>
      </c>
      <c r="H2851" s="19" t="s">
        <v>36209</v>
      </c>
      <c r="I2851" s="20">
        <v>17.228999999999999</v>
      </c>
      <c r="J2851" s="44" t="s">
        <v>8</v>
      </c>
      <c r="K2851" s="23" t="s">
        <v>8</v>
      </c>
      <c r="L2851" s="23" t="s">
        <v>8</v>
      </c>
      <c r="M2851" s="23" t="s">
        <v>8</v>
      </c>
    </row>
    <row r="2852" spans="1:13" s="21" customFormat="1" x14ac:dyDescent="0.25">
      <c r="A2852" s="22" t="s">
        <v>8</v>
      </c>
      <c r="B2852" s="18" t="str">
        <f>"125059"</f>
        <v>125059</v>
      </c>
      <c r="C2852" s="19" t="s">
        <v>2844</v>
      </c>
      <c r="D2852" s="19" t="s">
        <v>18281</v>
      </c>
      <c r="E2852" s="19" t="s">
        <v>31859</v>
      </c>
      <c r="F2852" s="19" t="s">
        <v>35985</v>
      </c>
      <c r="G2852" s="18" t="str">
        <f>"96816"</f>
        <v>96816</v>
      </c>
      <c r="H2852" s="19" t="s">
        <v>31859</v>
      </c>
      <c r="I2852" s="20">
        <v>16.033999999999999</v>
      </c>
      <c r="J2852" s="44" t="s">
        <v>8</v>
      </c>
      <c r="K2852" s="23" t="s">
        <v>8</v>
      </c>
      <c r="L2852" s="23" t="s">
        <v>8</v>
      </c>
      <c r="M2852" s="23" t="s">
        <v>8</v>
      </c>
    </row>
    <row r="2853" spans="1:13" s="21" customFormat="1" x14ac:dyDescent="0.25">
      <c r="A2853" s="22" t="s">
        <v>8</v>
      </c>
      <c r="B2853" s="18" t="str">
        <f>"125060"</f>
        <v>125060</v>
      </c>
      <c r="C2853" s="19" t="s">
        <v>2845</v>
      </c>
      <c r="D2853" s="19" t="s">
        <v>18282</v>
      </c>
      <c r="E2853" s="19" t="s">
        <v>31859</v>
      </c>
      <c r="F2853" s="19" t="s">
        <v>35985</v>
      </c>
      <c r="G2853" s="18" t="str">
        <f>"96819"</f>
        <v>96819</v>
      </c>
      <c r="H2853" s="19" t="s">
        <v>31859</v>
      </c>
      <c r="I2853" s="20">
        <v>18.091000000000001</v>
      </c>
      <c r="J2853" s="44" t="s">
        <v>8</v>
      </c>
      <c r="K2853" s="23" t="s">
        <v>8</v>
      </c>
      <c r="L2853" s="23" t="s">
        <v>8</v>
      </c>
      <c r="M2853" s="23" t="s">
        <v>8</v>
      </c>
    </row>
    <row r="2854" spans="1:13" s="21" customFormat="1" x14ac:dyDescent="0.25">
      <c r="A2854" s="22" t="s">
        <v>8</v>
      </c>
      <c r="B2854" s="18" t="str">
        <f>"125061"</f>
        <v>125061</v>
      </c>
      <c r="C2854" s="19" t="s">
        <v>2846</v>
      </c>
      <c r="D2854" s="19" t="s">
        <v>18283</v>
      </c>
      <c r="E2854" s="19" t="s">
        <v>31870</v>
      </c>
      <c r="F2854" s="19" t="s">
        <v>35985</v>
      </c>
      <c r="G2854" s="18" t="str">
        <f>"96796"</f>
        <v>96796</v>
      </c>
      <c r="H2854" s="19" t="s">
        <v>36210</v>
      </c>
      <c r="I2854" s="20">
        <v>20.648</v>
      </c>
      <c r="J2854" s="44" t="s">
        <v>8</v>
      </c>
      <c r="K2854" s="23" t="s">
        <v>8</v>
      </c>
      <c r="L2854" s="23" t="s">
        <v>8</v>
      </c>
      <c r="M2854" s="23" t="s">
        <v>8</v>
      </c>
    </row>
    <row r="2855" spans="1:13" s="21" customFormat="1" x14ac:dyDescent="0.25">
      <c r="A2855" s="22" t="s">
        <v>8</v>
      </c>
      <c r="B2855" s="18" t="str">
        <f>"125062"</f>
        <v>125062</v>
      </c>
      <c r="C2855" s="19" t="s">
        <v>2847</v>
      </c>
      <c r="D2855" s="19" t="s">
        <v>18284</v>
      </c>
      <c r="E2855" s="19" t="s">
        <v>31871</v>
      </c>
      <c r="F2855" s="19" t="s">
        <v>35985</v>
      </c>
      <c r="G2855" s="18" t="str">
        <f>"96756"</f>
        <v>96756</v>
      </c>
      <c r="H2855" s="19" t="s">
        <v>36210</v>
      </c>
      <c r="I2855" s="20">
        <v>18.116</v>
      </c>
      <c r="J2855" s="44" t="s">
        <v>8</v>
      </c>
      <c r="K2855" s="23" t="s">
        <v>8</v>
      </c>
      <c r="L2855" s="23" t="s">
        <v>8</v>
      </c>
      <c r="M2855" s="23" t="s">
        <v>8</v>
      </c>
    </row>
    <row r="2856" spans="1:13" s="21" customFormat="1" x14ac:dyDescent="0.25">
      <c r="A2856" s="22" t="s">
        <v>8</v>
      </c>
      <c r="B2856" s="18" t="str">
        <f>"125063"</f>
        <v>125063</v>
      </c>
      <c r="C2856" s="19" t="s">
        <v>2848</v>
      </c>
      <c r="D2856" s="19" t="s">
        <v>18285</v>
      </c>
      <c r="E2856" s="19" t="s">
        <v>31859</v>
      </c>
      <c r="F2856" s="19" t="s">
        <v>35985</v>
      </c>
      <c r="G2856" s="18" t="str">
        <f>"96817"</f>
        <v>96817</v>
      </c>
      <c r="H2856" s="19" t="s">
        <v>31859</v>
      </c>
      <c r="I2856" s="20">
        <v>18.169</v>
      </c>
      <c r="J2856" s="44" t="s">
        <v>8</v>
      </c>
      <c r="K2856" s="23" t="s">
        <v>8</v>
      </c>
      <c r="L2856" s="23" t="s">
        <v>8</v>
      </c>
      <c r="M2856" s="23" t="s">
        <v>8</v>
      </c>
    </row>
    <row r="2857" spans="1:13" s="21" customFormat="1" x14ac:dyDescent="0.25">
      <c r="A2857" s="22" t="s">
        <v>8</v>
      </c>
      <c r="B2857" s="18" t="str">
        <f>"125064"</f>
        <v>125064</v>
      </c>
      <c r="C2857" s="19" t="s">
        <v>2849</v>
      </c>
      <c r="D2857" s="19" t="s">
        <v>18286</v>
      </c>
      <c r="E2857" s="19" t="s">
        <v>31872</v>
      </c>
      <c r="F2857" s="19" t="s">
        <v>35985</v>
      </c>
      <c r="G2857" s="18" t="str">
        <f>"96817"</f>
        <v>96817</v>
      </c>
      <c r="H2857" s="19" t="s">
        <v>31859</v>
      </c>
      <c r="I2857" s="20">
        <v>15.226000000000001</v>
      </c>
      <c r="J2857" s="44" t="s">
        <v>8</v>
      </c>
      <c r="K2857" s="23" t="s">
        <v>8</v>
      </c>
      <c r="L2857" s="23" t="s">
        <v>8</v>
      </c>
      <c r="M2857" s="23" t="s">
        <v>8</v>
      </c>
    </row>
    <row r="2858" spans="1:13" s="21" customFormat="1" x14ac:dyDescent="0.25">
      <c r="A2858" s="22" t="s">
        <v>8</v>
      </c>
      <c r="B2858" s="18" t="str">
        <f>"135006"</f>
        <v>135006</v>
      </c>
      <c r="C2858" s="19" t="s">
        <v>2850</v>
      </c>
      <c r="D2858" s="19" t="s">
        <v>18287</v>
      </c>
      <c r="E2858" s="19" t="s">
        <v>31007</v>
      </c>
      <c r="F2858" s="19" t="s">
        <v>35986</v>
      </c>
      <c r="G2858" s="18" t="str">
        <f>"83647"</f>
        <v>83647</v>
      </c>
      <c r="H2858" s="19" t="s">
        <v>30825</v>
      </c>
      <c r="I2858" s="20">
        <v>19.245000000000001</v>
      </c>
      <c r="J2858" s="44" t="s">
        <v>8</v>
      </c>
      <c r="K2858" s="23" t="s">
        <v>8</v>
      </c>
      <c r="L2858" s="23" t="s">
        <v>8</v>
      </c>
      <c r="M2858" s="23" t="s">
        <v>8</v>
      </c>
    </row>
    <row r="2859" spans="1:13" s="21" customFormat="1" x14ac:dyDescent="0.25">
      <c r="A2859" s="22" t="s">
        <v>8</v>
      </c>
      <c r="B2859" s="18" t="str">
        <f>"135007"</f>
        <v>135007</v>
      </c>
      <c r="C2859" s="19" t="s">
        <v>2851</v>
      </c>
      <c r="D2859" s="19" t="s">
        <v>18288</v>
      </c>
      <c r="E2859" s="19" t="s">
        <v>31873</v>
      </c>
      <c r="F2859" s="19" t="s">
        <v>35986</v>
      </c>
      <c r="G2859" s="18" t="str">
        <f>"83221"</f>
        <v>83221</v>
      </c>
      <c r="H2859" s="19" t="s">
        <v>32922</v>
      </c>
      <c r="I2859" s="20">
        <v>17.111000000000001</v>
      </c>
      <c r="J2859" s="44" t="s">
        <v>8</v>
      </c>
      <c r="K2859" s="23" t="s">
        <v>8</v>
      </c>
      <c r="L2859" s="23" t="s">
        <v>8</v>
      </c>
      <c r="M2859" s="23" t="s">
        <v>8</v>
      </c>
    </row>
    <row r="2860" spans="1:13" s="21" customFormat="1" x14ac:dyDescent="0.25">
      <c r="A2860" s="22" t="s">
        <v>8</v>
      </c>
      <c r="B2860" s="18" t="str">
        <f>"135010"</f>
        <v>135010</v>
      </c>
      <c r="C2860" s="19" t="s">
        <v>2852</v>
      </c>
      <c r="D2860" s="19" t="s">
        <v>18289</v>
      </c>
      <c r="E2860" s="19" t="s">
        <v>31874</v>
      </c>
      <c r="F2860" s="19" t="s">
        <v>35986</v>
      </c>
      <c r="G2860" s="18" t="str">
        <f>"83672"</f>
        <v>83672</v>
      </c>
      <c r="H2860" s="19" t="s">
        <v>31500</v>
      </c>
      <c r="I2860" s="20">
        <v>18.085000000000001</v>
      </c>
      <c r="J2860" s="44" t="s">
        <v>8</v>
      </c>
      <c r="K2860" s="23" t="s">
        <v>8</v>
      </c>
      <c r="L2860" s="23" t="s">
        <v>8</v>
      </c>
      <c r="M2860" s="23" t="s">
        <v>8</v>
      </c>
    </row>
    <row r="2861" spans="1:13" s="21" customFormat="1" x14ac:dyDescent="0.25">
      <c r="A2861" s="22" t="s">
        <v>8</v>
      </c>
      <c r="B2861" s="18" t="str">
        <f>"135011"</f>
        <v>135011</v>
      </c>
      <c r="C2861" s="19" t="s">
        <v>2853</v>
      </c>
      <c r="D2861" s="19" t="s">
        <v>18290</v>
      </c>
      <c r="E2861" s="19" t="s">
        <v>31875</v>
      </c>
      <c r="F2861" s="19" t="s">
        <v>35986</v>
      </c>
      <c r="G2861" s="18" t="str">
        <f>"83201"</f>
        <v>83201</v>
      </c>
      <c r="H2861" s="19" t="s">
        <v>36212</v>
      </c>
      <c r="I2861" s="20">
        <v>17.739000000000001</v>
      </c>
      <c r="J2861" s="44" t="s">
        <v>8</v>
      </c>
      <c r="K2861" s="23" t="s">
        <v>8</v>
      </c>
      <c r="L2861" s="23" t="s">
        <v>8</v>
      </c>
      <c r="M2861" s="23" t="s">
        <v>8</v>
      </c>
    </row>
    <row r="2862" spans="1:13" s="21" customFormat="1" x14ac:dyDescent="0.25">
      <c r="A2862" s="22" t="s">
        <v>8</v>
      </c>
      <c r="B2862" s="18" t="str">
        <f>"135014"</f>
        <v>135014</v>
      </c>
      <c r="C2862" s="19" t="s">
        <v>2854</v>
      </c>
      <c r="D2862" s="19" t="s">
        <v>18291</v>
      </c>
      <c r="E2862" s="19" t="s">
        <v>31876</v>
      </c>
      <c r="F2862" s="19" t="s">
        <v>35986</v>
      </c>
      <c r="G2862" s="18" t="str">
        <f>"83605"</f>
        <v>83605</v>
      </c>
      <c r="H2862" s="19" t="s">
        <v>36213</v>
      </c>
      <c r="I2862" s="20">
        <v>18.908999999999999</v>
      </c>
      <c r="J2862" s="44" t="s">
        <v>8</v>
      </c>
      <c r="K2862" s="23" t="s">
        <v>8</v>
      </c>
      <c r="L2862" s="23" t="s">
        <v>8</v>
      </c>
      <c r="M2862" s="23" t="s">
        <v>8</v>
      </c>
    </row>
    <row r="2863" spans="1:13" s="21" customFormat="1" x14ac:dyDescent="0.25">
      <c r="A2863" s="22" t="s">
        <v>8</v>
      </c>
      <c r="B2863" s="18" t="str">
        <f>"135015"</f>
        <v>135015</v>
      </c>
      <c r="C2863" s="19" t="s">
        <v>2855</v>
      </c>
      <c r="D2863" s="19" t="s">
        <v>18292</v>
      </c>
      <c r="E2863" s="19" t="s">
        <v>31877</v>
      </c>
      <c r="F2863" s="19" t="s">
        <v>35986</v>
      </c>
      <c r="G2863" s="18" t="str">
        <f>"83661"</f>
        <v>83661</v>
      </c>
      <c r="H2863" s="19" t="s">
        <v>31877</v>
      </c>
      <c r="I2863" s="20">
        <v>21.277999999999999</v>
      </c>
      <c r="J2863" s="44" t="s">
        <v>8</v>
      </c>
      <c r="K2863" s="23" t="s">
        <v>8</v>
      </c>
      <c r="L2863" s="23" t="s">
        <v>8</v>
      </c>
      <c r="M2863" s="23" t="s">
        <v>8</v>
      </c>
    </row>
    <row r="2864" spans="1:13" s="21" customFormat="1" x14ac:dyDescent="0.25">
      <c r="A2864" s="22" t="s">
        <v>8</v>
      </c>
      <c r="B2864" s="18" t="str">
        <f>"135018"</f>
        <v>135018</v>
      </c>
      <c r="C2864" s="19" t="s">
        <v>2856</v>
      </c>
      <c r="D2864" s="19" t="s">
        <v>18293</v>
      </c>
      <c r="E2864" s="19" t="s">
        <v>31875</v>
      </c>
      <c r="F2864" s="19" t="s">
        <v>35986</v>
      </c>
      <c r="G2864" s="18" t="str">
        <f>"83201"</f>
        <v>83201</v>
      </c>
      <c r="H2864" s="19" t="s">
        <v>36212</v>
      </c>
      <c r="I2864" s="20">
        <v>19.817</v>
      </c>
      <c r="J2864" s="44" t="s">
        <v>8</v>
      </c>
      <c r="K2864" s="23" t="s">
        <v>8</v>
      </c>
      <c r="L2864" s="23" t="s">
        <v>8</v>
      </c>
      <c r="M2864" s="23" t="s">
        <v>8</v>
      </c>
    </row>
    <row r="2865" spans="1:13" s="21" customFormat="1" x14ac:dyDescent="0.25">
      <c r="A2865" s="22" t="s">
        <v>8</v>
      </c>
      <c r="B2865" s="18" t="str">
        <f>"135019"</f>
        <v>135019</v>
      </c>
      <c r="C2865" s="19" t="s">
        <v>2857</v>
      </c>
      <c r="D2865" s="19" t="s">
        <v>18294</v>
      </c>
      <c r="E2865" s="19" t="s">
        <v>31878</v>
      </c>
      <c r="F2865" s="19" t="s">
        <v>35986</v>
      </c>
      <c r="G2865" s="18" t="str">
        <f>"83651"</f>
        <v>83651</v>
      </c>
      <c r="H2865" s="19" t="s">
        <v>36213</v>
      </c>
      <c r="I2865" s="20">
        <v>16.378</v>
      </c>
      <c r="J2865" s="44" t="s">
        <v>8</v>
      </c>
      <c r="K2865" s="23" t="s">
        <v>8</v>
      </c>
      <c r="L2865" s="23" t="s">
        <v>8</v>
      </c>
      <c r="M2865" s="23" t="s">
        <v>8</v>
      </c>
    </row>
    <row r="2866" spans="1:13" s="21" customFormat="1" x14ac:dyDescent="0.25">
      <c r="A2866" s="22" t="s">
        <v>8</v>
      </c>
      <c r="B2866" s="18" t="str">
        <f>"135020"</f>
        <v>135020</v>
      </c>
      <c r="C2866" s="19" t="s">
        <v>2858</v>
      </c>
      <c r="D2866" s="19" t="s">
        <v>18295</v>
      </c>
      <c r="E2866" s="19" t="s">
        <v>31879</v>
      </c>
      <c r="F2866" s="19" t="s">
        <v>35986</v>
      </c>
      <c r="G2866" s="18" t="str">
        <f>"83617"</f>
        <v>83617</v>
      </c>
      <c r="H2866" s="19" t="s">
        <v>36214</v>
      </c>
      <c r="I2866" s="20">
        <v>16.675999999999998</v>
      </c>
      <c r="J2866" s="44" t="s">
        <v>8</v>
      </c>
      <c r="K2866" s="23" t="s">
        <v>8</v>
      </c>
      <c r="L2866" s="23" t="s">
        <v>8</v>
      </c>
      <c r="M2866" s="23" t="s">
        <v>8</v>
      </c>
    </row>
    <row r="2867" spans="1:13" s="21" customFormat="1" x14ac:dyDescent="0.25">
      <c r="A2867" s="22" t="s">
        <v>8</v>
      </c>
      <c r="B2867" s="18" t="str">
        <f>"135021"</f>
        <v>135021</v>
      </c>
      <c r="C2867" s="19" t="s">
        <v>2859</v>
      </c>
      <c r="D2867" s="19" t="s">
        <v>18296</v>
      </c>
      <c r="E2867" s="19" t="s">
        <v>31880</v>
      </c>
      <c r="F2867" s="19" t="s">
        <v>35986</v>
      </c>
      <c r="G2867" s="18" t="str">
        <f>"83501"</f>
        <v>83501</v>
      </c>
      <c r="H2867" s="19" t="s">
        <v>36215</v>
      </c>
      <c r="I2867" s="20">
        <v>16.869</v>
      </c>
      <c r="J2867" s="44" t="s">
        <v>8</v>
      </c>
      <c r="K2867" s="23" t="s">
        <v>8</v>
      </c>
      <c r="L2867" s="23" t="s">
        <v>8</v>
      </c>
      <c r="M2867" s="23" t="s">
        <v>8</v>
      </c>
    </row>
    <row r="2868" spans="1:13" s="21" customFormat="1" x14ac:dyDescent="0.25">
      <c r="A2868" s="22" t="s">
        <v>8</v>
      </c>
      <c r="B2868" s="18" t="str">
        <f>"135038"</f>
        <v>135038</v>
      </c>
      <c r="C2868" s="19" t="s">
        <v>2860</v>
      </c>
      <c r="D2868" s="19" t="s">
        <v>18297</v>
      </c>
      <c r="E2868" s="19" t="s">
        <v>31881</v>
      </c>
      <c r="F2868" s="19" t="s">
        <v>35986</v>
      </c>
      <c r="G2868" s="18" t="str">
        <f>"83706"</f>
        <v>83706</v>
      </c>
      <c r="H2868" s="19" t="s">
        <v>33466</v>
      </c>
      <c r="I2868" s="20">
        <v>17.103999999999999</v>
      </c>
      <c r="J2868" s="44" t="s">
        <v>8</v>
      </c>
      <c r="K2868" s="23" t="s">
        <v>8</v>
      </c>
      <c r="L2868" s="23" t="s">
        <v>8</v>
      </c>
      <c r="M2868" s="23" t="s">
        <v>8</v>
      </c>
    </row>
    <row r="2869" spans="1:13" s="21" customFormat="1" x14ac:dyDescent="0.25">
      <c r="A2869" s="22" t="s">
        <v>8</v>
      </c>
      <c r="B2869" s="18" t="str">
        <f>"135042"</f>
        <v>135042</v>
      </c>
      <c r="C2869" s="19" t="s">
        <v>2861</v>
      </c>
      <c r="D2869" s="19" t="s">
        <v>18298</v>
      </c>
      <c r="E2869" s="19" t="s">
        <v>31882</v>
      </c>
      <c r="F2869" s="19" t="s">
        <v>35986</v>
      </c>
      <c r="G2869" s="18" t="str">
        <f>"83814"</f>
        <v>83814</v>
      </c>
      <c r="H2869" s="19" t="s">
        <v>36216</v>
      </c>
      <c r="I2869" s="20">
        <v>20.492999999999999</v>
      </c>
      <c r="J2869" s="44" t="s">
        <v>8</v>
      </c>
      <c r="K2869" s="23" t="s">
        <v>8</v>
      </c>
      <c r="L2869" s="23" t="s">
        <v>8</v>
      </c>
      <c r="M2869" s="23" t="s">
        <v>8</v>
      </c>
    </row>
    <row r="2870" spans="1:13" s="21" customFormat="1" x14ac:dyDescent="0.25">
      <c r="A2870" s="22" t="s">
        <v>8</v>
      </c>
      <c r="B2870" s="18" t="str">
        <f>"135048"</f>
        <v>135048</v>
      </c>
      <c r="C2870" s="19" t="s">
        <v>2862</v>
      </c>
      <c r="D2870" s="19" t="s">
        <v>18299</v>
      </c>
      <c r="E2870" s="19" t="s">
        <v>31883</v>
      </c>
      <c r="F2870" s="19" t="s">
        <v>35986</v>
      </c>
      <c r="G2870" s="18" t="str">
        <f>"83544"</f>
        <v>83544</v>
      </c>
      <c r="H2870" s="19" t="s">
        <v>31551</v>
      </c>
      <c r="I2870" s="20">
        <v>20.382000000000001</v>
      </c>
      <c r="J2870" s="44" t="s">
        <v>8</v>
      </c>
      <c r="K2870" s="23" t="s">
        <v>8</v>
      </c>
      <c r="L2870" s="23" t="s">
        <v>8</v>
      </c>
      <c r="M2870" s="23" t="s">
        <v>8</v>
      </c>
    </row>
    <row r="2871" spans="1:13" s="21" customFormat="1" x14ac:dyDescent="0.25">
      <c r="A2871" s="22" t="s">
        <v>8</v>
      </c>
      <c r="B2871" s="18" t="str">
        <f>"135051"</f>
        <v>135051</v>
      </c>
      <c r="C2871" s="19" t="s">
        <v>2863</v>
      </c>
      <c r="D2871" s="19" t="s">
        <v>18300</v>
      </c>
      <c r="E2871" s="19" t="s">
        <v>31876</v>
      </c>
      <c r="F2871" s="19" t="s">
        <v>35986</v>
      </c>
      <c r="G2871" s="18" t="str">
        <f>"83605"</f>
        <v>83605</v>
      </c>
      <c r="H2871" s="19" t="s">
        <v>36213</v>
      </c>
      <c r="I2871" s="20">
        <v>20.295000000000002</v>
      </c>
      <c r="J2871" s="44" t="s">
        <v>8</v>
      </c>
      <c r="K2871" s="23" t="s">
        <v>8</v>
      </c>
      <c r="L2871" s="23" t="s">
        <v>8</v>
      </c>
      <c r="M2871" s="23" t="s">
        <v>8</v>
      </c>
    </row>
    <row r="2872" spans="1:13" s="21" customFormat="1" x14ac:dyDescent="0.25">
      <c r="A2872" s="22" t="s">
        <v>8</v>
      </c>
      <c r="B2872" s="18" t="str">
        <f>"135052"</f>
        <v>135052</v>
      </c>
      <c r="C2872" s="19" t="s">
        <v>2864</v>
      </c>
      <c r="D2872" s="19" t="s">
        <v>18301</v>
      </c>
      <c r="E2872" s="19" t="s">
        <v>31882</v>
      </c>
      <c r="F2872" s="19" t="s">
        <v>35986</v>
      </c>
      <c r="G2872" s="18" t="str">
        <f>"83814"</f>
        <v>83814</v>
      </c>
      <c r="H2872" s="19" t="s">
        <v>36216</v>
      </c>
      <c r="I2872" s="20">
        <v>17.209</v>
      </c>
      <c r="J2872" s="44" t="s">
        <v>8</v>
      </c>
      <c r="K2872" s="23" t="s">
        <v>8</v>
      </c>
      <c r="L2872" s="23" t="s">
        <v>8</v>
      </c>
      <c r="M2872" s="23" t="s">
        <v>8</v>
      </c>
    </row>
    <row r="2873" spans="1:13" s="21" customFormat="1" x14ac:dyDescent="0.25">
      <c r="A2873" s="22" t="s">
        <v>8</v>
      </c>
      <c r="B2873" s="18" t="str">
        <f>"135053"</f>
        <v>135053</v>
      </c>
      <c r="C2873" s="19" t="s">
        <v>2865</v>
      </c>
      <c r="D2873" s="19" t="s">
        <v>18302</v>
      </c>
      <c r="E2873" s="19" t="s">
        <v>31882</v>
      </c>
      <c r="F2873" s="19" t="s">
        <v>35986</v>
      </c>
      <c r="G2873" s="18" t="str">
        <f>"83814"</f>
        <v>83814</v>
      </c>
      <c r="H2873" s="19" t="s">
        <v>36216</v>
      </c>
      <c r="I2873" s="20">
        <v>18.619</v>
      </c>
      <c r="J2873" s="44" t="s">
        <v>8</v>
      </c>
      <c r="K2873" s="23" t="s">
        <v>8</v>
      </c>
      <c r="L2873" s="23" t="s">
        <v>8</v>
      </c>
      <c r="M2873" s="23" t="s">
        <v>8</v>
      </c>
    </row>
    <row r="2874" spans="1:13" s="21" customFormat="1" x14ac:dyDescent="0.25">
      <c r="A2874" s="22" t="s">
        <v>8</v>
      </c>
      <c r="B2874" s="18" t="str">
        <f>"135055"</f>
        <v>135055</v>
      </c>
      <c r="C2874" s="19" t="s">
        <v>2866</v>
      </c>
      <c r="D2874" s="19" t="s">
        <v>18303</v>
      </c>
      <c r="E2874" s="19" t="s">
        <v>31884</v>
      </c>
      <c r="F2874" s="19" t="s">
        <v>35986</v>
      </c>
      <c r="G2874" s="18" t="str">
        <f>"83864"</f>
        <v>83864</v>
      </c>
      <c r="H2874" s="19" t="s">
        <v>36217</v>
      </c>
      <c r="I2874" s="20">
        <v>20.643999999999998</v>
      </c>
      <c r="J2874" s="44" t="s">
        <v>8</v>
      </c>
      <c r="K2874" s="23" t="s">
        <v>8</v>
      </c>
      <c r="L2874" s="23" t="s">
        <v>8</v>
      </c>
      <c r="M2874" s="23" t="s">
        <v>8</v>
      </c>
    </row>
    <row r="2875" spans="1:13" s="21" customFormat="1" x14ac:dyDescent="0.25">
      <c r="A2875" s="22" t="s">
        <v>8</v>
      </c>
      <c r="B2875" s="18" t="str">
        <f>"135056"</f>
        <v>135056</v>
      </c>
      <c r="C2875" s="19" t="s">
        <v>2867</v>
      </c>
      <c r="D2875" s="19" t="s">
        <v>18304</v>
      </c>
      <c r="E2875" s="19" t="s">
        <v>31885</v>
      </c>
      <c r="F2875" s="19" t="s">
        <v>35986</v>
      </c>
      <c r="G2875" s="18" t="str">
        <f>"83352"</f>
        <v>83352</v>
      </c>
      <c r="H2875" s="19" t="s">
        <v>31995</v>
      </c>
      <c r="I2875" s="20">
        <v>19.588999999999999</v>
      </c>
      <c r="J2875" s="44" t="s">
        <v>8</v>
      </c>
      <c r="K2875" s="23" t="s">
        <v>8</v>
      </c>
      <c r="L2875" s="23" t="s">
        <v>8</v>
      </c>
      <c r="M2875" s="23" t="s">
        <v>8</v>
      </c>
    </row>
    <row r="2876" spans="1:13" s="21" customFormat="1" x14ac:dyDescent="0.25">
      <c r="A2876" s="22" t="s">
        <v>8</v>
      </c>
      <c r="B2876" s="18" t="str">
        <f>"135058"</f>
        <v>135058</v>
      </c>
      <c r="C2876" s="19" t="s">
        <v>2868</v>
      </c>
      <c r="D2876" s="19" t="s">
        <v>18305</v>
      </c>
      <c r="E2876" s="19" t="s">
        <v>31886</v>
      </c>
      <c r="F2876" s="19" t="s">
        <v>35986</v>
      </c>
      <c r="G2876" s="18" t="str">
        <f>"83867"</f>
        <v>83867</v>
      </c>
      <c r="H2876" s="19" t="s">
        <v>31885</v>
      </c>
      <c r="I2876" s="20">
        <v>18.097000000000001</v>
      </c>
      <c r="J2876" s="44" t="s">
        <v>8</v>
      </c>
      <c r="K2876" s="23" t="s">
        <v>8</v>
      </c>
      <c r="L2876" s="23" t="s">
        <v>8</v>
      </c>
      <c r="M2876" s="23" t="s">
        <v>8</v>
      </c>
    </row>
    <row r="2877" spans="1:13" s="21" customFormat="1" x14ac:dyDescent="0.25">
      <c r="A2877" s="22" t="s">
        <v>8</v>
      </c>
      <c r="B2877" s="18" t="str">
        <f>"135059"</f>
        <v>135059</v>
      </c>
      <c r="C2877" s="19" t="s">
        <v>2869</v>
      </c>
      <c r="D2877" s="19" t="s">
        <v>18306</v>
      </c>
      <c r="E2877" s="19" t="s">
        <v>31887</v>
      </c>
      <c r="F2877" s="19" t="s">
        <v>35986</v>
      </c>
      <c r="G2877" s="18" t="str">
        <f>"83263"</f>
        <v>83263</v>
      </c>
      <c r="H2877" s="19" t="s">
        <v>5</v>
      </c>
      <c r="I2877" s="20">
        <v>17.943999999999999</v>
      </c>
      <c r="J2877" s="44" t="s">
        <v>8</v>
      </c>
      <c r="K2877" s="23" t="s">
        <v>8</v>
      </c>
      <c r="L2877" s="23" t="s">
        <v>8</v>
      </c>
      <c r="M2877" s="23" t="s">
        <v>8</v>
      </c>
    </row>
    <row r="2878" spans="1:13" s="21" customFormat="1" x14ac:dyDescent="0.25">
      <c r="A2878" s="22" t="s">
        <v>8</v>
      </c>
      <c r="B2878" s="18" t="str">
        <f>"135064"</f>
        <v>135064</v>
      </c>
      <c r="C2878" s="19" t="s">
        <v>2870</v>
      </c>
      <c r="D2878" s="19" t="s">
        <v>18307</v>
      </c>
      <c r="E2878" s="19" t="s">
        <v>31888</v>
      </c>
      <c r="F2878" s="19" t="s">
        <v>35986</v>
      </c>
      <c r="G2878" s="18" t="str">
        <f>"83350"</f>
        <v>83350</v>
      </c>
      <c r="H2878" s="19" t="s">
        <v>36218</v>
      </c>
      <c r="I2878" s="20">
        <v>16.893000000000001</v>
      </c>
      <c r="J2878" s="44" t="s">
        <v>8</v>
      </c>
      <c r="K2878" s="23" t="s">
        <v>8</v>
      </c>
      <c r="L2878" s="23" t="s">
        <v>8</v>
      </c>
      <c r="M2878" s="23" t="s">
        <v>8</v>
      </c>
    </row>
    <row r="2879" spans="1:13" s="21" customFormat="1" x14ac:dyDescent="0.25">
      <c r="A2879" s="22" t="s">
        <v>8</v>
      </c>
      <c r="B2879" s="18" t="str">
        <f>"135065"</f>
        <v>135065</v>
      </c>
      <c r="C2879" s="19" t="s">
        <v>2871</v>
      </c>
      <c r="D2879" s="19" t="s">
        <v>18308</v>
      </c>
      <c r="E2879" s="19" t="s">
        <v>31889</v>
      </c>
      <c r="F2879" s="19" t="s">
        <v>35986</v>
      </c>
      <c r="G2879" s="18" t="str">
        <f>"83837"</f>
        <v>83837</v>
      </c>
      <c r="H2879" s="19" t="s">
        <v>31885</v>
      </c>
      <c r="I2879" s="20">
        <v>17.469000000000001</v>
      </c>
      <c r="J2879" s="44" t="s">
        <v>8</v>
      </c>
      <c r="K2879" s="23" t="s">
        <v>8</v>
      </c>
      <c r="L2879" s="23" t="s">
        <v>8</v>
      </c>
      <c r="M2879" s="23" t="s">
        <v>8</v>
      </c>
    </row>
    <row r="2880" spans="1:13" s="21" customFormat="1" x14ac:dyDescent="0.25">
      <c r="A2880" s="22" t="s">
        <v>8</v>
      </c>
      <c r="B2880" s="18" t="str">
        <f>"135067"</f>
        <v>135067</v>
      </c>
      <c r="C2880" s="19" t="s">
        <v>2872</v>
      </c>
      <c r="D2880" s="19" t="s">
        <v>18309</v>
      </c>
      <c r="E2880" s="19" t="s">
        <v>31890</v>
      </c>
      <c r="F2880" s="19" t="s">
        <v>35986</v>
      </c>
      <c r="G2880" s="18" t="str">
        <f>"83843"</f>
        <v>83843</v>
      </c>
      <c r="H2880" s="19" t="s">
        <v>36219</v>
      </c>
      <c r="I2880" s="20">
        <v>18.518999999999998</v>
      </c>
      <c r="J2880" s="44" t="s">
        <v>8</v>
      </c>
      <c r="K2880" s="23" t="s">
        <v>8</v>
      </c>
      <c r="L2880" s="23" t="s">
        <v>8</v>
      </c>
      <c r="M2880" s="23" t="s">
        <v>8</v>
      </c>
    </row>
    <row r="2881" spans="1:13" s="21" customFormat="1" x14ac:dyDescent="0.25">
      <c r="A2881" s="22" t="s">
        <v>8</v>
      </c>
      <c r="B2881" s="18" t="str">
        <f>"135068"</f>
        <v>135068</v>
      </c>
      <c r="C2881" s="19" t="s">
        <v>2873</v>
      </c>
      <c r="D2881" s="19" t="s">
        <v>18310</v>
      </c>
      <c r="E2881" s="19" t="s">
        <v>31891</v>
      </c>
      <c r="F2881" s="19" t="s">
        <v>35986</v>
      </c>
      <c r="G2881" s="18" t="str">
        <f>"83318"</f>
        <v>83318</v>
      </c>
      <c r="H2881" s="19" t="s">
        <v>36220</v>
      </c>
      <c r="I2881" s="20">
        <v>17.87</v>
      </c>
      <c r="J2881" s="44" t="s">
        <v>8</v>
      </c>
      <c r="K2881" s="23" t="s">
        <v>8</v>
      </c>
      <c r="L2881" s="23" t="s">
        <v>8</v>
      </c>
      <c r="M2881" s="23" t="s">
        <v>8</v>
      </c>
    </row>
    <row r="2882" spans="1:13" s="21" customFormat="1" x14ac:dyDescent="0.25">
      <c r="A2882" s="22" t="s">
        <v>8</v>
      </c>
      <c r="B2882" s="18" t="str">
        <f>"135069"</f>
        <v>135069</v>
      </c>
      <c r="C2882" s="19" t="s">
        <v>2874</v>
      </c>
      <c r="D2882" s="19" t="s">
        <v>18311</v>
      </c>
      <c r="E2882" s="19" t="s">
        <v>31892</v>
      </c>
      <c r="F2882" s="19" t="s">
        <v>35986</v>
      </c>
      <c r="G2882" s="18" t="str">
        <f>"83313"</f>
        <v>83313</v>
      </c>
      <c r="H2882" s="19" t="s">
        <v>35482</v>
      </c>
      <c r="I2882" s="20">
        <v>17.989000000000001</v>
      </c>
      <c r="J2882" s="44" t="s">
        <v>8</v>
      </c>
      <c r="K2882" s="23" t="s">
        <v>8</v>
      </c>
      <c r="L2882" s="23" t="s">
        <v>8</v>
      </c>
      <c r="M2882" s="23" t="s">
        <v>8</v>
      </c>
    </row>
    <row r="2883" spans="1:13" s="21" customFormat="1" x14ac:dyDescent="0.25">
      <c r="A2883" s="22" t="s">
        <v>8</v>
      </c>
      <c r="B2883" s="18" t="str">
        <f>"135070"</f>
        <v>135070</v>
      </c>
      <c r="C2883" s="19" t="s">
        <v>2875</v>
      </c>
      <c r="D2883" s="19" t="s">
        <v>18312</v>
      </c>
      <c r="E2883" s="19" t="s">
        <v>31893</v>
      </c>
      <c r="F2883" s="19" t="s">
        <v>35986</v>
      </c>
      <c r="G2883" s="18" t="str">
        <f>"83254"</f>
        <v>83254</v>
      </c>
      <c r="H2883" s="19" t="s">
        <v>36221</v>
      </c>
      <c r="I2883" s="20">
        <v>18.794</v>
      </c>
      <c r="J2883" s="44" t="s">
        <v>8</v>
      </c>
      <c r="K2883" s="23" t="s">
        <v>8</v>
      </c>
      <c r="L2883" s="23" t="s">
        <v>8</v>
      </c>
      <c r="M2883" s="23" t="s">
        <v>8</v>
      </c>
    </row>
    <row r="2884" spans="1:13" s="21" customFormat="1" x14ac:dyDescent="0.25">
      <c r="A2884" s="22" t="s">
        <v>8</v>
      </c>
      <c r="B2884" s="18" t="str">
        <f>"135071"</f>
        <v>135071</v>
      </c>
      <c r="C2884" s="19" t="s">
        <v>2876</v>
      </c>
      <c r="D2884" s="19" t="s">
        <v>18313</v>
      </c>
      <c r="E2884" s="19" t="s">
        <v>31875</v>
      </c>
      <c r="F2884" s="19" t="s">
        <v>35986</v>
      </c>
      <c r="G2884" s="18" t="str">
        <f>"83201"</f>
        <v>83201</v>
      </c>
      <c r="H2884" s="19" t="s">
        <v>36212</v>
      </c>
      <c r="I2884" s="20">
        <v>19.975999999999999</v>
      </c>
      <c r="J2884" s="44" t="s">
        <v>8</v>
      </c>
      <c r="K2884" s="23" t="s">
        <v>8</v>
      </c>
      <c r="L2884" s="23" t="s">
        <v>8</v>
      </c>
      <c r="M2884" s="23" t="s">
        <v>8</v>
      </c>
    </row>
    <row r="2885" spans="1:13" s="21" customFormat="1" x14ac:dyDescent="0.25">
      <c r="A2885" s="22" t="s">
        <v>8</v>
      </c>
      <c r="B2885" s="18" t="str">
        <f>"135075"</f>
        <v>135075</v>
      </c>
      <c r="C2885" s="19" t="s">
        <v>2877</v>
      </c>
      <c r="D2885" s="19" t="s">
        <v>18314</v>
      </c>
      <c r="E2885" s="19" t="s">
        <v>31894</v>
      </c>
      <c r="F2885" s="19" t="s">
        <v>35986</v>
      </c>
      <c r="G2885" s="18" t="str">
        <f>"83861"</f>
        <v>83861</v>
      </c>
      <c r="H2885" s="19" t="s">
        <v>36222</v>
      </c>
      <c r="I2885" s="20">
        <v>18.045999999999999</v>
      </c>
      <c r="J2885" s="44" t="s">
        <v>8</v>
      </c>
      <c r="K2885" s="23" t="s">
        <v>8</v>
      </c>
      <c r="L2885" s="23" t="s">
        <v>8</v>
      </c>
      <c r="M2885" s="23" t="s">
        <v>8</v>
      </c>
    </row>
    <row r="2886" spans="1:13" s="21" customFormat="1" x14ac:dyDescent="0.25">
      <c r="A2886" s="22" t="s">
        <v>8</v>
      </c>
      <c r="B2886" s="18" t="str">
        <f>"135076"</f>
        <v>135076</v>
      </c>
      <c r="C2886" s="19" t="s">
        <v>2878</v>
      </c>
      <c r="D2886" s="19" t="s">
        <v>18315</v>
      </c>
      <c r="E2886" s="19" t="s">
        <v>31878</v>
      </c>
      <c r="F2886" s="19" t="s">
        <v>35986</v>
      </c>
      <c r="G2886" s="18" t="str">
        <f>"83651"</f>
        <v>83651</v>
      </c>
      <c r="H2886" s="19" t="s">
        <v>36213</v>
      </c>
      <c r="I2886" s="20">
        <v>17.013000000000002</v>
      </c>
      <c r="J2886" s="44" t="s">
        <v>8</v>
      </c>
      <c r="K2886" s="23" t="s">
        <v>8</v>
      </c>
      <c r="L2886" s="23" t="s">
        <v>8</v>
      </c>
      <c r="M2886" s="23" t="s">
        <v>8</v>
      </c>
    </row>
    <row r="2887" spans="1:13" s="21" customFormat="1" x14ac:dyDescent="0.25">
      <c r="A2887" s="22" t="s">
        <v>8</v>
      </c>
      <c r="B2887" s="18" t="str">
        <f>"135077"</f>
        <v>135077</v>
      </c>
      <c r="C2887" s="19" t="s">
        <v>2879</v>
      </c>
      <c r="D2887" s="19" t="s">
        <v>18316</v>
      </c>
      <c r="E2887" s="19" t="s">
        <v>31881</v>
      </c>
      <c r="F2887" s="19" t="s">
        <v>35986</v>
      </c>
      <c r="G2887" s="18" t="str">
        <f>"83705"</f>
        <v>83705</v>
      </c>
      <c r="H2887" s="19" t="s">
        <v>33466</v>
      </c>
      <c r="I2887" s="20">
        <v>15.757999999999999</v>
      </c>
      <c r="J2887" s="44" t="s">
        <v>8</v>
      </c>
      <c r="K2887" s="23" t="s">
        <v>8</v>
      </c>
      <c r="L2887" s="23" t="s">
        <v>8</v>
      </c>
      <c r="M2887" s="23" t="s">
        <v>8</v>
      </c>
    </row>
    <row r="2888" spans="1:13" s="21" customFormat="1" x14ac:dyDescent="0.25">
      <c r="A2888" s="22" t="s">
        <v>8</v>
      </c>
      <c r="B2888" s="18" t="str">
        <f>"135079"</f>
        <v>135079</v>
      </c>
      <c r="C2888" s="19" t="s">
        <v>2880</v>
      </c>
      <c r="D2888" s="19" t="s">
        <v>18317</v>
      </c>
      <c r="E2888" s="19" t="s">
        <v>31881</v>
      </c>
      <c r="F2888" s="19" t="s">
        <v>35986</v>
      </c>
      <c r="G2888" s="18" t="str">
        <f>"83704"</f>
        <v>83704</v>
      </c>
      <c r="H2888" s="19" t="s">
        <v>33466</v>
      </c>
      <c r="I2888" s="20">
        <v>15.651</v>
      </c>
      <c r="J2888" s="44" t="s">
        <v>8</v>
      </c>
      <c r="K2888" s="23" t="s">
        <v>8</v>
      </c>
      <c r="L2888" s="23" t="s">
        <v>8</v>
      </c>
      <c r="M2888" s="23" t="s">
        <v>8</v>
      </c>
    </row>
    <row r="2889" spans="1:13" s="21" customFormat="1" x14ac:dyDescent="0.25">
      <c r="A2889" s="22" t="s">
        <v>8</v>
      </c>
      <c r="B2889" s="18" t="str">
        <f>"135080"</f>
        <v>135080</v>
      </c>
      <c r="C2889" s="19" t="s">
        <v>2881</v>
      </c>
      <c r="D2889" s="19" t="s">
        <v>18318</v>
      </c>
      <c r="E2889" s="19" t="s">
        <v>31895</v>
      </c>
      <c r="F2889" s="19" t="s">
        <v>35986</v>
      </c>
      <c r="G2889" s="18" t="str">
        <f>"83530"</f>
        <v>83530</v>
      </c>
      <c r="H2889" s="19" t="s">
        <v>36223</v>
      </c>
      <c r="I2889" s="20">
        <v>20.785</v>
      </c>
      <c r="J2889" s="44" t="s">
        <v>8</v>
      </c>
      <c r="K2889" s="23" t="s">
        <v>8</v>
      </c>
      <c r="L2889" s="23" t="s">
        <v>8</v>
      </c>
      <c r="M2889" s="23" t="s">
        <v>8</v>
      </c>
    </row>
    <row r="2890" spans="1:13" s="21" customFormat="1" x14ac:dyDescent="0.25">
      <c r="A2890" s="22" t="s">
        <v>8</v>
      </c>
      <c r="B2890" s="18" t="str">
        <f>"135081"</f>
        <v>135081</v>
      </c>
      <c r="C2890" s="19" t="s">
        <v>2882</v>
      </c>
      <c r="D2890" s="19" t="s">
        <v>18319</v>
      </c>
      <c r="E2890" s="19" t="s">
        <v>31891</v>
      </c>
      <c r="F2890" s="19" t="s">
        <v>35986</v>
      </c>
      <c r="G2890" s="18" t="str">
        <f>"83318"</f>
        <v>83318</v>
      </c>
      <c r="H2890" s="19" t="s">
        <v>36220</v>
      </c>
      <c r="I2890" s="20">
        <v>18.672999999999998</v>
      </c>
      <c r="J2890" s="44" t="s">
        <v>8</v>
      </c>
      <c r="K2890" s="23" t="s">
        <v>8</v>
      </c>
      <c r="L2890" s="23" t="s">
        <v>8</v>
      </c>
      <c r="M2890" s="23" t="s">
        <v>8</v>
      </c>
    </row>
    <row r="2891" spans="1:13" s="21" customFormat="1" x14ac:dyDescent="0.25">
      <c r="A2891" s="22" t="s">
        <v>8</v>
      </c>
      <c r="B2891" s="18" t="str">
        <f>"135082"</f>
        <v>135082</v>
      </c>
      <c r="C2891" s="19" t="s">
        <v>2883</v>
      </c>
      <c r="D2891" s="19" t="s">
        <v>18320</v>
      </c>
      <c r="E2891" s="19" t="s">
        <v>31896</v>
      </c>
      <c r="F2891" s="19" t="s">
        <v>35986</v>
      </c>
      <c r="G2891" s="18" t="str">
        <f>"83638"</f>
        <v>83638</v>
      </c>
      <c r="H2891" s="19" t="s">
        <v>30836</v>
      </c>
      <c r="I2891" s="20">
        <v>17.751000000000001</v>
      </c>
      <c r="J2891" s="44" t="s">
        <v>8</v>
      </c>
      <c r="K2891" s="23" t="s">
        <v>8</v>
      </c>
      <c r="L2891" s="23" t="s">
        <v>8</v>
      </c>
      <c r="M2891" s="23" t="s">
        <v>8</v>
      </c>
    </row>
    <row r="2892" spans="1:13" s="21" customFormat="1" x14ac:dyDescent="0.25">
      <c r="A2892" s="22" t="s">
        <v>8</v>
      </c>
      <c r="B2892" s="18" t="str">
        <f>"135084"</f>
        <v>135084</v>
      </c>
      <c r="C2892" s="19" t="s">
        <v>2884</v>
      </c>
      <c r="D2892" s="19" t="s">
        <v>18321</v>
      </c>
      <c r="E2892" s="19" t="s">
        <v>31897</v>
      </c>
      <c r="F2892" s="19" t="s">
        <v>35986</v>
      </c>
      <c r="G2892" s="18" t="str">
        <f>"83341"</f>
        <v>83341</v>
      </c>
      <c r="H2892" s="19" t="s">
        <v>31902</v>
      </c>
      <c r="I2892" s="20">
        <v>18.552</v>
      </c>
      <c r="J2892" s="44" t="s">
        <v>8</v>
      </c>
      <c r="K2892" s="23" t="s">
        <v>8</v>
      </c>
      <c r="L2892" s="23" t="s">
        <v>8</v>
      </c>
      <c r="M2892" s="23" t="s">
        <v>8</v>
      </c>
    </row>
    <row r="2893" spans="1:13" s="21" customFormat="1" x14ac:dyDescent="0.25">
      <c r="A2893" s="22" t="s">
        <v>8</v>
      </c>
      <c r="B2893" s="18" t="str">
        <f>"135085"</f>
        <v>135085</v>
      </c>
      <c r="C2893" s="19" t="s">
        <v>2885</v>
      </c>
      <c r="D2893" s="19" t="s">
        <v>18322</v>
      </c>
      <c r="E2893" s="19" t="s">
        <v>31881</v>
      </c>
      <c r="F2893" s="19" t="s">
        <v>35986</v>
      </c>
      <c r="G2893" s="18" t="str">
        <f>"83703"</f>
        <v>83703</v>
      </c>
      <c r="H2893" s="19" t="s">
        <v>33466</v>
      </c>
      <c r="I2893" s="20">
        <v>18.846</v>
      </c>
      <c r="J2893" s="44" t="s">
        <v>8</v>
      </c>
      <c r="K2893" s="23" t="s">
        <v>8</v>
      </c>
      <c r="L2893" s="23" t="s">
        <v>8</v>
      </c>
      <c r="M2893" s="23" t="s">
        <v>8</v>
      </c>
    </row>
    <row r="2894" spans="1:13" s="21" customFormat="1" x14ac:dyDescent="0.25">
      <c r="A2894" s="22" t="s">
        <v>8</v>
      </c>
      <c r="B2894" s="18" t="str">
        <f>"135087"</f>
        <v>135087</v>
      </c>
      <c r="C2894" s="19" t="s">
        <v>2886</v>
      </c>
      <c r="D2894" s="19" t="s">
        <v>18323</v>
      </c>
      <c r="E2894" s="19" t="s">
        <v>31898</v>
      </c>
      <c r="F2894" s="19" t="s">
        <v>35986</v>
      </c>
      <c r="G2894" s="18" t="str">
        <f>"83628"</f>
        <v>83628</v>
      </c>
      <c r="H2894" s="19" t="s">
        <v>36224</v>
      </c>
      <c r="I2894" s="20">
        <v>17.783999999999999</v>
      </c>
      <c r="J2894" s="44" t="s">
        <v>8</v>
      </c>
      <c r="K2894" s="23" t="s">
        <v>8</v>
      </c>
      <c r="L2894" s="23" t="s">
        <v>8</v>
      </c>
      <c r="M2894" s="23" t="s">
        <v>8</v>
      </c>
    </row>
    <row r="2895" spans="1:13" s="21" customFormat="1" x14ac:dyDescent="0.25">
      <c r="A2895" s="22" t="s">
        <v>8</v>
      </c>
      <c r="B2895" s="18" t="str">
        <f>"135089"</f>
        <v>135089</v>
      </c>
      <c r="C2895" s="19" t="s">
        <v>2887</v>
      </c>
      <c r="D2895" s="19" t="s">
        <v>18324</v>
      </c>
      <c r="E2895" s="19" t="s">
        <v>31899</v>
      </c>
      <c r="F2895" s="19" t="s">
        <v>35986</v>
      </c>
      <c r="G2895" s="18" t="str">
        <f>"83316"</f>
        <v>83316</v>
      </c>
      <c r="H2895" s="19" t="s">
        <v>31902</v>
      </c>
      <c r="I2895" s="20">
        <v>22.553000000000001</v>
      </c>
      <c r="J2895" s="44" t="s">
        <v>8</v>
      </c>
      <c r="K2895" s="23" t="s">
        <v>8</v>
      </c>
      <c r="L2895" s="23" t="s">
        <v>8</v>
      </c>
      <c r="M2895" s="23" t="s">
        <v>8</v>
      </c>
    </row>
    <row r="2896" spans="1:13" s="21" customFormat="1" x14ac:dyDescent="0.25">
      <c r="A2896" s="22" t="s">
        <v>8</v>
      </c>
      <c r="B2896" s="18" t="str">
        <f>"135090"</f>
        <v>135090</v>
      </c>
      <c r="C2896" s="19" t="s">
        <v>2888</v>
      </c>
      <c r="D2896" s="19" t="s">
        <v>18325</v>
      </c>
      <c r="E2896" s="19" t="s">
        <v>31881</v>
      </c>
      <c r="F2896" s="19" t="s">
        <v>35986</v>
      </c>
      <c r="G2896" s="18" t="str">
        <f>"83712"</f>
        <v>83712</v>
      </c>
      <c r="H2896" s="19" t="s">
        <v>33466</v>
      </c>
      <c r="I2896" s="20">
        <v>17.518000000000001</v>
      </c>
      <c r="J2896" s="44" t="s">
        <v>8</v>
      </c>
      <c r="K2896" s="23" t="s">
        <v>8</v>
      </c>
      <c r="L2896" s="23" t="s">
        <v>8</v>
      </c>
      <c r="M2896" s="23" t="s">
        <v>8</v>
      </c>
    </row>
    <row r="2897" spans="1:13" s="21" customFormat="1" x14ac:dyDescent="0.25">
      <c r="A2897" s="22" t="s">
        <v>8</v>
      </c>
      <c r="B2897" s="18" t="str">
        <f>"135091"</f>
        <v>135091</v>
      </c>
      <c r="C2897" s="19" t="s">
        <v>2889</v>
      </c>
      <c r="D2897" s="19" t="s">
        <v>18326</v>
      </c>
      <c r="E2897" s="19" t="s">
        <v>31900</v>
      </c>
      <c r="F2897" s="19" t="s">
        <v>35986</v>
      </c>
      <c r="G2897" s="18" t="str">
        <f>"83406"</f>
        <v>83406</v>
      </c>
      <c r="H2897" s="19" t="s">
        <v>36225</v>
      </c>
      <c r="I2897" s="20">
        <v>16.988</v>
      </c>
      <c r="J2897" s="44" t="s">
        <v>8</v>
      </c>
      <c r="K2897" s="23" t="s">
        <v>8</v>
      </c>
      <c r="L2897" s="23" t="s">
        <v>8</v>
      </c>
      <c r="M2897" s="23" t="s">
        <v>8</v>
      </c>
    </row>
    <row r="2898" spans="1:13" s="21" customFormat="1" x14ac:dyDescent="0.25">
      <c r="A2898" s="22" t="s">
        <v>8</v>
      </c>
      <c r="B2898" s="18" t="str">
        <f>"135092"</f>
        <v>135092</v>
      </c>
      <c r="C2898" s="19" t="s">
        <v>2890</v>
      </c>
      <c r="D2898" s="19" t="s">
        <v>18327</v>
      </c>
      <c r="E2898" s="19" t="s">
        <v>31900</v>
      </c>
      <c r="F2898" s="19" t="s">
        <v>35986</v>
      </c>
      <c r="G2898" s="18" t="str">
        <f>"83401"</f>
        <v>83401</v>
      </c>
      <c r="H2898" s="19" t="s">
        <v>36225</v>
      </c>
      <c r="I2898" s="20">
        <v>17.995999999999999</v>
      </c>
      <c r="J2898" s="44" t="s">
        <v>8</v>
      </c>
      <c r="K2898" s="23" t="s">
        <v>8</v>
      </c>
      <c r="L2898" s="23" t="s">
        <v>8</v>
      </c>
      <c r="M2898" s="23" t="s">
        <v>8</v>
      </c>
    </row>
    <row r="2899" spans="1:13" s="21" customFormat="1" x14ac:dyDescent="0.25">
      <c r="A2899" s="22" t="s">
        <v>8</v>
      </c>
      <c r="B2899" s="18" t="str">
        <f>"135093"</f>
        <v>135093</v>
      </c>
      <c r="C2899" s="19" t="s">
        <v>2891</v>
      </c>
      <c r="D2899" s="19" t="s">
        <v>18328</v>
      </c>
      <c r="E2899" s="19" t="s">
        <v>31890</v>
      </c>
      <c r="F2899" s="19" t="s">
        <v>35986</v>
      </c>
      <c r="G2899" s="18" t="str">
        <f>"83843"</f>
        <v>83843</v>
      </c>
      <c r="H2899" s="19" t="s">
        <v>36219</v>
      </c>
      <c r="I2899" s="20">
        <v>17.472999999999999</v>
      </c>
      <c r="J2899" s="44" t="s">
        <v>8</v>
      </c>
      <c r="K2899" s="23" t="s">
        <v>8</v>
      </c>
      <c r="L2899" s="23" t="s">
        <v>8</v>
      </c>
      <c r="M2899" s="23" t="s">
        <v>8</v>
      </c>
    </row>
    <row r="2900" spans="1:13" s="21" customFormat="1" x14ac:dyDescent="0.25">
      <c r="A2900" s="22" t="s">
        <v>8</v>
      </c>
      <c r="B2900" s="18" t="str">
        <f>"135094"</f>
        <v>135094</v>
      </c>
      <c r="C2900" s="19" t="s">
        <v>2892</v>
      </c>
      <c r="D2900" s="19" t="s">
        <v>18329</v>
      </c>
      <c r="E2900" s="19" t="s">
        <v>31878</v>
      </c>
      <c r="F2900" s="19" t="s">
        <v>35986</v>
      </c>
      <c r="G2900" s="18" t="str">
        <f>"83686"</f>
        <v>83686</v>
      </c>
      <c r="H2900" s="19" t="s">
        <v>36213</v>
      </c>
      <c r="I2900" s="20">
        <v>18.942</v>
      </c>
      <c r="J2900" s="44" t="s">
        <v>8</v>
      </c>
      <c r="K2900" s="23" t="s">
        <v>8</v>
      </c>
      <c r="L2900" s="23" t="s">
        <v>8</v>
      </c>
      <c r="M2900" s="23" t="s">
        <v>8</v>
      </c>
    </row>
    <row r="2901" spans="1:13" s="21" customFormat="1" x14ac:dyDescent="0.25">
      <c r="A2901" s="22" t="s">
        <v>8</v>
      </c>
      <c r="B2901" s="18" t="str">
        <f>"135095"</f>
        <v>135095</v>
      </c>
      <c r="C2901" s="19" t="s">
        <v>2893</v>
      </c>
      <c r="D2901" s="19" t="s">
        <v>18330</v>
      </c>
      <c r="E2901" s="19" t="s">
        <v>31879</v>
      </c>
      <c r="F2901" s="19" t="s">
        <v>35986</v>
      </c>
      <c r="G2901" s="18" t="str">
        <f>"83617"</f>
        <v>83617</v>
      </c>
      <c r="H2901" s="19" t="s">
        <v>36214</v>
      </c>
      <c r="I2901" s="20">
        <v>19.751000000000001</v>
      </c>
      <c r="J2901" s="44" t="s">
        <v>8</v>
      </c>
      <c r="K2901" s="23" t="s">
        <v>8</v>
      </c>
      <c r="L2901" s="23" t="s">
        <v>8</v>
      </c>
      <c r="M2901" s="23" t="s">
        <v>8</v>
      </c>
    </row>
    <row r="2902" spans="1:13" s="21" customFormat="1" x14ac:dyDescent="0.25">
      <c r="A2902" s="22" t="s">
        <v>8</v>
      </c>
      <c r="B2902" s="18" t="str">
        <f>"135097"</f>
        <v>135097</v>
      </c>
      <c r="C2902" s="19" t="s">
        <v>2894</v>
      </c>
      <c r="D2902" s="19" t="s">
        <v>18331</v>
      </c>
      <c r="E2902" s="19" t="s">
        <v>31901</v>
      </c>
      <c r="F2902" s="19" t="s">
        <v>35986</v>
      </c>
      <c r="G2902" s="18" t="str">
        <f>"83420"</f>
        <v>83420</v>
      </c>
      <c r="H2902" s="19" t="s">
        <v>31175</v>
      </c>
      <c r="I2902" s="20">
        <v>17.928000000000001</v>
      </c>
      <c r="J2902" s="44" t="s">
        <v>8</v>
      </c>
      <c r="K2902" s="23" t="s">
        <v>8</v>
      </c>
      <c r="L2902" s="23" t="s">
        <v>8</v>
      </c>
      <c r="M2902" s="23" t="s">
        <v>8</v>
      </c>
    </row>
    <row r="2903" spans="1:13" s="21" customFormat="1" x14ac:dyDescent="0.25">
      <c r="A2903" s="22" t="s">
        <v>8</v>
      </c>
      <c r="B2903" s="18" t="str">
        <f>"135098"</f>
        <v>135098</v>
      </c>
      <c r="C2903" s="19" t="s">
        <v>2895</v>
      </c>
      <c r="D2903" s="19" t="s">
        <v>18332</v>
      </c>
      <c r="E2903" s="19" t="s">
        <v>31881</v>
      </c>
      <c r="F2903" s="19" t="s">
        <v>35986</v>
      </c>
      <c r="G2903" s="18" t="str">
        <f>"83704"</f>
        <v>83704</v>
      </c>
      <c r="H2903" s="19" t="s">
        <v>33466</v>
      </c>
      <c r="I2903" s="20">
        <v>15.592000000000001</v>
      </c>
      <c r="J2903" s="44" t="s">
        <v>8</v>
      </c>
      <c r="K2903" s="23" t="s">
        <v>8</v>
      </c>
      <c r="L2903" s="23" t="s">
        <v>8</v>
      </c>
      <c r="M2903" s="23" t="s">
        <v>8</v>
      </c>
    </row>
    <row r="2904" spans="1:13" s="21" customFormat="1" x14ac:dyDescent="0.25">
      <c r="A2904" s="22" t="s">
        <v>8</v>
      </c>
      <c r="B2904" s="18" t="str">
        <f>"135102"</f>
        <v>135102</v>
      </c>
      <c r="C2904" s="19" t="s">
        <v>2896</v>
      </c>
      <c r="D2904" s="19" t="s">
        <v>18333</v>
      </c>
      <c r="E2904" s="19" t="s">
        <v>31878</v>
      </c>
      <c r="F2904" s="19" t="s">
        <v>35986</v>
      </c>
      <c r="G2904" s="18" t="str">
        <f>"83686"</f>
        <v>83686</v>
      </c>
      <c r="H2904" s="19" t="s">
        <v>36213</v>
      </c>
      <c r="I2904" s="20">
        <v>16.433</v>
      </c>
      <c r="J2904" s="44" t="s">
        <v>8</v>
      </c>
      <c r="K2904" s="23" t="s">
        <v>8</v>
      </c>
      <c r="L2904" s="23" t="s">
        <v>8</v>
      </c>
      <c r="M2904" s="23" t="s">
        <v>8</v>
      </c>
    </row>
    <row r="2905" spans="1:13" s="21" customFormat="1" x14ac:dyDescent="0.25">
      <c r="A2905" s="22" t="s">
        <v>8</v>
      </c>
      <c r="B2905" s="18" t="str">
        <f>"135103"</f>
        <v>135103</v>
      </c>
      <c r="C2905" s="19" t="s">
        <v>2897</v>
      </c>
      <c r="D2905" s="19" t="s">
        <v>18334</v>
      </c>
      <c r="E2905" s="19" t="s">
        <v>31880</v>
      </c>
      <c r="F2905" s="19" t="s">
        <v>35986</v>
      </c>
      <c r="G2905" s="18" t="str">
        <f>"83501"</f>
        <v>83501</v>
      </c>
      <c r="H2905" s="19" t="s">
        <v>36215</v>
      </c>
      <c r="I2905" s="20">
        <v>18.43</v>
      </c>
      <c r="J2905" s="44" t="s">
        <v>8</v>
      </c>
      <c r="K2905" s="23" t="s">
        <v>8</v>
      </c>
      <c r="L2905" s="23" t="s">
        <v>8</v>
      </c>
      <c r="M2905" s="23" t="s">
        <v>8</v>
      </c>
    </row>
    <row r="2906" spans="1:13" s="21" customFormat="1" x14ac:dyDescent="0.25">
      <c r="A2906" s="22" t="s">
        <v>8</v>
      </c>
      <c r="B2906" s="18" t="str">
        <f>"135104"</f>
        <v>135104</v>
      </c>
      <c r="C2906" s="19" t="s">
        <v>2898</v>
      </c>
      <c r="D2906" s="19" t="s">
        <v>18335</v>
      </c>
      <c r="E2906" s="19" t="s">
        <v>31902</v>
      </c>
      <c r="F2906" s="19" t="s">
        <v>35986</v>
      </c>
      <c r="G2906" s="18" t="str">
        <f>"83301"</f>
        <v>83301</v>
      </c>
      <c r="H2906" s="19" t="s">
        <v>31902</v>
      </c>
      <c r="I2906" s="20">
        <v>15.071</v>
      </c>
      <c r="J2906" s="44" t="s">
        <v>8</v>
      </c>
      <c r="K2906" s="23" t="s">
        <v>8</v>
      </c>
      <c r="L2906" s="23" t="s">
        <v>8</v>
      </c>
      <c r="M2906" s="23" t="s">
        <v>8</v>
      </c>
    </row>
    <row r="2907" spans="1:13" s="21" customFormat="1" x14ac:dyDescent="0.25">
      <c r="A2907" s="22" t="s">
        <v>8</v>
      </c>
      <c r="B2907" s="18" t="str">
        <f>"135105"</f>
        <v>135105</v>
      </c>
      <c r="C2907" s="19" t="s">
        <v>2899</v>
      </c>
      <c r="D2907" s="19" t="s">
        <v>18336</v>
      </c>
      <c r="E2907" s="19" t="s">
        <v>31903</v>
      </c>
      <c r="F2907" s="19" t="s">
        <v>35986</v>
      </c>
      <c r="G2907" s="18" t="str">
        <f>"83440"</f>
        <v>83440</v>
      </c>
      <c r="H2907" s="19" t="s">
        <v>30899</v>
      </c>
      <c r="I2907" s="20">
        <v>17.445</v>
      </c>
      <c r="J2907" s="44" t="s">
        <v>8</v>
      </c>
      <c r="K2907" s="23" t="s">
        <v>8</v>
      </c>
      <c r="L2907" s="23" t="s">
        <v>8</v>
      </c>
      <c r="M2907" s="23" t="s">
        <v>8</v>
      </c>
    </row>
    <row r="2908" spans="1:13" s="21" customFormat="1" x14ac:dyDescent="0.25">
      <c r="A2908" s="22" t="s">
        <v>8</v>
      </c>
      <c r="B2908" s="18" t="str">
        <f>"135106"</f>
        <v>135106</v>
      </c>
      <c r="C2908" s="19" t="s">
        <v>2900</v>
      </c>
      <c r="D2908" s="19" t="s">
        <v>18337</v>
      </c>
      <c r="E2908" s="19" t="s">
        <v>31902</v>
      </c>
      <c r="F2908" s="19" t="s">
        <v>35986</v>
      </c>
      <c r="G2908" s="18" t="str">
        <f>"83301"</f>
        <v>83301</v>
      </c>
      <c r="H2908" s="19" t="s">
        <v>31902</v>
      </c>
      <c r="I2908" s="20">
        <v>17.318000000000001</v>
      </c>
      <c r="J2908" s="44" t="s">
        <v>8</v>
      </c>
      <c r="K2908" s="23" t="s">
        <v>8</v>
      </c>
      <c r="L2908" s="23" t="s">
        <v>8</v>
      </c>
      <c r="M2908" s="23" t="s">
        <v>8</v>
      </c>
    </row>
    <row r="2909" spans="1:13" s="21" customFormat="1" x14ac:dyDescent="0.25">
      <c r="A2909" s="22" t="s">
        <v>8</v>
      </c>
      <c r="B2909" s="18" t="str">
        <f>"135110"</f>
        <v>135110</v>
      </c>
      <c r="C2909" s="19" t="s">
        <v>2901</v>
      </c>
      <c r="D2909" s="19" t="s">
        <v>18338</v>
      </c>
      <c r="E2909" s="19" t="s">
        <v>31878</v>
      </c>
      <c r="F2909" s="19" t="s">
        <v>35986</v>
      </c>
      <c r="G2909" s="18" t="str">
        <f>"83651"</f>
        <v>83651</v>
      </c>
      <c r="H2909" s="19" t="s">
        <v>36213</v>
      </c>
      <c r="I2909" s="20">
        <v>18.509</v>
      </c>
      <c r="J2909" s="44" t="s">
        <v>8</v>
      </c>
      <c r="K2909" s="23" t="s">
        <v>8</v>
      </c>
      <c r="L2909" s="23" t="s">
        <v>8</v>
      </c>
      <c r="M2909" s="23" t="s">
        <v>8</v>
      </c>
    </row>
    <row r="2910" spans="1:13" s="21" customFormat="1" x14ac:dyDescent="0.25">
      <c r="A2910" s="22" t="s">
        <v>8</v>
      </c>
      <c r="B2910" s="18" t="str">
        <f>"135113"</f>
        <v>135113</v>
      </c>
      <c r="C2910" s="19" t="s">
        <v>2902</v>
      </c>
      <c r="D2910" s="19" t="s">
        <v>18339</v>
      </c>
      <c r="E2910" s="19" t="s">
        <v>31902</v>
      </c>
      <c r="F2910" s="19" t="s">
        <v>35986</v>
      </c>
      <c r="G2910" s="18" t="str">
        <f>"83301"</f>
        <v>83301</v>
      </c>
      <c r="H2910" s="19" t="s">
        <v>31902</v>
      </c>
      <c r="I2910" s="20">
        <v>20.199000000000002</v>
      </c>
      <c r="J2910" s="44" t="s">
        <v>8</v>
      </c>
      <c r="K2910" s="23" t="s">
        <v>8</v>
      </c>
      <c r="L2910" s="23" t="s">
        <v>8</v>
      </c>
      <c r="M2910" s="23" t="s">
        <v>8</v>
      </c>
    </row>
    <row r="2911" spans="1:13" s="21" customFormat="1" x14ac:dyDescent="0.25">
      <c r="A2911" s="22" t="s">
        <v>8</v>
      </c>
      <c r="B2911" s="18" t="str">
        <f>"135114"</f>
        <v>135114</v>
      </c>
      <c r="C2911" s="19" t="s">
        <v>2903</v>
      </c>
      <c r="D2911" s="19" t="s">
        <v>18340</v>
      </c>
      <c r="E2911" s="19" t="s">
        <v>31881</v>
      </c>
      <c r="F2911" s="19" t="s">
        <v>35986</v>
      </c>
      <c r="G2911" s="18" t="str">
        <f>"83702"</f>
        <v>83702</v>
      </c>
      <c r="H2911" s="19" t="s">
        <v>33466</v>
      </c>
      <c r="I2911" s="20">
        <v>16.306999999999999</v>
      </c>
      <c r="J2911" s="44" t="s">
        <v>8</v>
      </c>
      <c r="K2911" s="23" t="s">
        <v>8</v>
      </c>
      <c r="L2911" s="23" t="s">
        <v>8</v>
      </c>
      <c r="M2911" s="23" t="s">
        <v>8</v>
      </c>
    </row>
    <row r="2912" spans="1:13" s="21" customFormat="1" x14ac:dyDescent="0.25">
      <c r="A2912" s="22" t="s">
        <v>8</v>
      </c>
      <c r="B2912" s="18" t="str">
        <f>"135115"</f>
        <v>135115</v>
      </c>
      <c r="C2912" s="19" t="s">
        <v>2904</v>
      </c>
      <c r="D2912" s="19" t="s">
        <v>18341</v>
      </c>
      <c r="E2912" s="19" t="s">
        <v>31900</v>
      </c>
      <c r="F2912" s="19" t="s">
        <v>35986</v>
      </c>
      <c r="G2912" s="18" t="str">
        <f>"83403"</f>
        <v>83403</v>
      </c>
      <c r="H2912" s="19" t="s">
        <v>36225</v>
      </c>
      <c r="I2912" s="20">
        <v>16.824999999999999</v>
      </c>
      <c r="J2912" s="44" t="s">
        <v>8</v>
      </c>
      <c r="K2912" s="23" t="s">
        <v>8</v>
      </c>
      <c r="L2912" s="23" t="s">
        <v>8</v>
      </c>
      <c r="M2912" s="23" t="s">
        <v>8</v>
      </c>
    </row>
    <row r="2913" spans="1:13" s="21" customFormat="1" x14ac:dyDescent="0.25">
      <c r="A2913" s="22" t="s">
        <v>8</v>
      </c>
      <c r="B2913" s="18" t="str">
        <f>"135116"</f>
        <v>135116</v>
      </c>
      <c r="C2913" s="19" t="s">
        <v>2905</v>
      </c>
      <c r="D2913" s="19" t="s">
        <v>18342</v>
      </c>
      <c r="E2913" s="19" t="s">
        <v>31880</v>
      </c>
      <c r="F2913" s="19" t="s">
        <v>35986</v>
      </c>
      <c r="G2913" s="18" t="str">
        <f>"83501"</f>
        <v>83501</v>
      </c>
      <c r="H2913" s="19" t="s">
        <v>36215</v>
      </c>
      <c r="I2913" s="20">
        <v>20.2</v>
      </c>
      <c r="J2913" s="44" t="s">
        <v>8</v>
      </c>
      <c r="K2913" s="23" t="s">
        <v>8</v>
      </c>
      <c r="L2913" s="23" t="s">
        <v>8</v>
      </c>
      <c r="M2913" s="23" t="s">
        <v>8</v>
      </c>
    </row>
    <row r="2914" spans="1:13" s="21" customFormat="1" x14ac:dyDescent="0.25">
      <c r="A2914" s="22" t="s">
        <v>8</v>
      </c>
      <c r="B2914" s="18" t="str">
        <f>"135119"</f>
        <v>135119</v>
      </c>
      <c r="C2914" s="19" t="s">
        <v>2906</v>
      </c>
      <c r="D2914" s="19" t="s">
        <v>18343</v>
      </c>
      <c r="E2914" s="19" t="s">
        <v>31881</v>
      </c>
      <c r="F2914" s="19" t="s">
        <v>35986</v>
      </c>
      <c r="G2914" s="18" t="str">
        <f>"83706"</f>
        <v>83706</v>
      </c>
      <c r="H2914" s="19" t="s">
        <v>33466</v>
      </c>
      <c r="I2914" s="20">
        <v>18.971</v>
      </c>
      <c r="J2914" s="44" t="s">
        <v>8</v>
      </c>
      <c r="K2914" s="23" t="s">
        <v>8</v>
      </c>
      <c r="L2914" s="23" t="s">
        <v>8</v>
      </c>
      <c r="M2914" s="23" t="s">
        <v>8</v>
      </c>
    </row>
    <row r="2915" spans="1:13" s="21" customFormat="1" x14ac:dyDescent="0.25">
      <c r="A2915" s="22" t="s">
        <v>8</v>
      </c>
      <c r="B2915" s="18" t="str">
        <f>"135122"</f>
        <v>135122</v>
      </c>
      <c r="C2915" s="19" t="s">
        <v>2907</v>
      </c>
      <c r="D2915" s="19" t="s">
        <v>18344</v>
      </c>
      <c r="E2915" s="19" t="s">
        <v>31904</v>
      </c>
      <c r="F2915" s="19" t="s">
        <v>35986</v>
      </c>
      <c r="G2915" s="18" t="str">
        <f>"83815"</f>
        <v>83815</v>
      </c>
      <c r="H2915" s="19" t="s">
        <v>36216</v>
      </c>
      <c r="I2915" s="20">
        <v>13.992000000000001</v>
      </c>
      <c r="J2915" s="44" t="s">
        <v>8</v>
      </c>
      <c r="K2915" s="23" t="s">
        <v>8</v>
      </c>
      <c r="L2915" s="23" t="s">
        <v>8</v>
      </c>
      <c r="M2915" s="23" t="s">
        <v>8</v>
      </c>
    </row>
    <row r="2916" spans="1:13" s="21" customFormat="1" x14ac:dyDescent="0.25">
      <c r="A2916" s="22" t="s">
        <v>8</v>
      </c>
      <c r="B2916" s="18" t="str">
        <f>"135123"</f>
        <v>135123</v>
      </c>
      <c r="C2916" s="19" t="s">
        <v>2908</v>
      </c>
      <c r="D2916" s="19" t="s">
        <v>18345</v>
      </c>
      <c r="E2916" s="19" t="s">
        <v>31881</v>
      </c>
      <c r="F2916" s="19" t="s">
        <v>35986</v>
      </c>
      <c r="G2916" s="18" t="str">
        <f>"83704"</f>
        <v>83704</v>
      </c>
      <c r="H2916" s="19" t="s">
        <v>33466</v>
      </c>
      <c r="I2916" s="20">
        <v>17.125</v>
      </c>
      <c r="J2916" s="44" t="s">
        <v>8</v>
      </c>
      <c r="K2916" s="23" t="s">
        <v>8</v>
      </c>
      <c r="L2916" s="23" t="s">
        <v>8</v>
      </c>
      <c r="M2916" s="23" t="s">
        <v>8</v>
      </c>
    </row>
    <row r="2917" spans="1:13" s="21" customFormat="1" x14ac:dyDescent="0.25">
      <c r="A2917" s="22" t="s">
        <v>8</v>
      </c>
      <c r="B2917" s="18" t="str">
        <f>"135125"</f>
        <v>135125</v>
      </c>
      <c r="C2917" s="19" t="s">
        <v>2909</v>
      </c>
      <c r="D2917" s="19" t="s">
        <v>18346</v>
      </c>
      <c r="E2917" s="19" t="s">
        <v>31905</v>
      </c>
      <c r="F2917" s="19" t="s">
        <v>35986</v>
      </c>
      <c r="G2917" s="18" t="str">
        <f>"83642"</f>
        <v>83642</v>
      </c>
      <c r="H2917" s="19" t="s">
        <v>33466</v>
      </c>
      <c r="I2917" s="20">
        <v>19.283000000000001</v>
      </c>
      <c r="J2917" s="44" t="s">
        <v>8</v>
      </c>
      <c r="K2917" s="23" t="s">
        <v>8</v>
      </c>
      <c r="L2917" s="23" t="s">
        <v>8</v>
      </c>
      <c r="M2917" s="23" t="s">
        <v>8</v>
      </c>
    </row>
    <row r="2918" spans="1:13" s="21" customFormat="1" x14ac:dyDescent="0.25">
      <c r="A2918" s="22" t="s">
        <v>8</v>
      </c>
      <c r="B2918" s="18" t="str">
        <f>"135127"</f>
        <v>135127</v>
      </c>
      <c r="C2918" s="19" t="s">
        <v>2910</v>
      </c>
      <c r="D2918" s="19" t="s">
        <v>18347</v>
      </c>
      <c r="E2918" s="19" t="s">
        <v>31884</v>
      </c>
      <c r="F2918" s="19" t="s">
        <v>35986</v>
      </c>
      <c r="G2918" s="18" t="str">
        <f>"83864"</f>
        <v>83864</v>
      </c>
      <c r="H2918" s="19" t="s">
        <v>36217</v>
      </c>
      <c r="I2918" s="20">
        <v>18.463999999999999</v>
      </c>
      <c r="J2918" s="44" t="s">
        <v>8</v>
      </c>
      <c r="K2918" s="23" t="s">
        <v>8</v>
      </c>
      <c r="L2918" s="23" t="s">
        <v>8</v>
      </c>
      <c r="M2918" s="23" t="s">
        <v>8</v>
      </c>
    </row>
    <row r="2919" spans="1:13" s="21" customFormat="1" x14ac:dyDescent="0.25">
      <c r="A2919" s="22" t="s">
        <v>8</v>
      </c>
      <c r="B2919" s="18" t="str">
        <f>"135128"</f>
        <v>135128</v>
      </c>
      <c r="C2919" s="19" t="s">
        <v>2911</v>
      </c>
      <c r="D2919" s="19" t="s">
        <v>18348</v>
      </c>
      <c r="E2919" s="19" t="s">
        <v>31880</v>
      </c>
      <c r="F2919" s="19" t="s">
        <v>35986</v>
      </c>
      <c r="G2919" s="18" t="str">
        <f>"83501"</f>
        <v>83501</v>
      </c>
      <c r="H2919" s="19" t="s">
        <v>36215</v>
      </c>
      <c r="I2919" s="20">
        <v>16.457999999999998</v>
      </c>
      <c r="J2919" s="44" t="s">
        <v>8</v>
      </c>
      <c r="K2919" s="23" t="s">
        <v>8</v>
      </c>
      <c r="L2919" s="23" t="s">
        <v>8</v>
      </c>
      <c r="M2919" s="23" t="s">
        <v>8</v>
      </c>
    </row>
    <row r="2920" spans="1:13" s="21" customFormat="1" x14ac:dyDescent="0.25">
      <c r="A2920" s="22" t="s">
        <v>8</v>
      </c>
      <c r="B2920" s="18" t="str">
        <f>"135129"</f>
        <v>135129</v>
      </c>
      <c r="C2920" s="19" t="s">
        <v>2912</v>
      </c>
      <c r="D2920" s="19" t="s">
        <v>18349</v>
      </c>
      <c r="E2920" s="19" t="s">
        <v>31906</v>
      </c>
      <c r="F2920" s="19" t="s">
        <v>35986</v>
      </c>
      <c r="G2920" s="18" t="str">
        <f>"83467"</f>
        <v>83467</v>
      </c>
      <c r="H2920" s="19" t="s">
        <v>36226</v>
      </c>
      <c r="I2920" s="20">
        <v>17.741</v>
      </c>
      <c r="J2920" s="44" t="s">
        <v>8</v>
      </c>
      <c r="K2920" s="23" t="s">
        <v>8</v>
      </c>
      <c r="L2920" s="23" t="s">
        <v>8</v>
      </c>
      <c r="M2920" s="23" t="s">
        <v>8</v>
      </c>
    </row>
    <row r="2921" spans="1:13" s="21" customFormat="1" x14ac:dyDescent="0.25">
      <c r="A2921" s="22" t="s">
        <v>8</v>
      </c>
      <c r="B2921" s="18" t="str">
        <f>"135130"</f>
        <v>135130</v>
      </c>
      <c r="C2921" s="19" t="s">
        <v>2913</v>
      </c>
      <c r="D2921" s="19" t="s">
        <v>18350</v>
      </c>
      <c r="E2921" s="19" t="s">
        <v>31905</v>
      </c>
      <c r="F2921" s="19" t="s">
        <v>35986</v>
      </c>
      <c r="G2921" s="18" t="str">
        <f>"83642"</f>
        <v>83642</v>
      </c>
      <c r="H2921" s="19" t="s">
        <v>33466</v>
      </c>
      <c r="I2921" s="20">
        <v>16.663</v>
      </c>
      <c r="J2921" s="44" t="s">
        <v>8</v>
      </c>
      <c r="K2921" s="23" t="s">
        <v>8</v>
      </c>
      <c r="L2921" s="23" t="s">
        <v>8</v>
      </c>
      <c r="M2921" s="23" t="s">
        <v>8</v>
      </c>
    </row>
    <row r="2922" spans="1:13" s="21" customFormat="1" x14ac:dyDescent="0.25">
      <c r="A2922" s="22" t="s">
        <v>8</v>
      </c>
      <c r="B2922" s="18" t="str">
        <f>"135131"</f>
        <v>135131</v>
      </c>
      <c r="C2922" s="19" t="s">
        <v>2914</v>
      </c>
      <c r="D2922" s="19" t="s">
        <v>18351</v>
      </c>
      <c r="E2922" s="19" t="s">
        <v>31881</v>
      </c>
      <c r="F2922" s="19" t="s">
        <v>35986</v>
      </c>
      <c r="G2922" s="18" t="str">
        <f>"83707"</f>
        <v>83707</v>
      </c>
      <c r="H2922" s="19" t="s">
        <v>33466</v>
      </c>
      <c r="I2922" s="20">
        <v>18.143000000000001</v>
      </c>
      <c r="J2922" s="44" t="s">
        <v>8</v>
      </c>
      <c r="K2922" s="23" t="s">
        <v>8</v>
      </c>
      <c r="L2922" s="23" t="s">
        <v>8</v>
      </c>
      <c r="M2922" s="23" t="s">
        <v>8</v>
      </c>
    </row>
    <row r="2923" spans="1:13" s="21" customFormat="1" x14ac:dyDescent="0.25">
      <c r="A2923" s="22" t="s">
        <v>8</v>
      </c>
      <c r="B2923" s="18" t="str">
        <f>"135132"</f>
        <v>135132</v>
      </c>
      <c r="C2923" s="19" t="s">
        <v>2915</v>
      </c>
      <c r="D2923" s="19" t="s">
        <v>18352</v>
      </c>
      <c r="E2923" s="19" t="s">
        <v>31875</v>
      </c>
      <c r="F2923" s="19" t="s">
        <v>35986</v>
      </c>
      <c r="G2923" s="18" t="str">
        <f>"83201"</f>
        <v>83201</v>
      </c>
      <c r="H2923" s="19" t="s">
        <v>36212</v>
      </c>
      <c r="I2923" s="20">
        <v>18.314</v>
      </c>
      <c r="J2923" s="44" t="s">
        <v>8</v>
      </c>
      <c r="K2923" s="23" t="s">
        <v>8</v>
      </c>
      <c r="L2923" s="23" t="s">
        <v>8</v>
      </c>
      <c r="M2923" s="23" t="s">
        <v>8</v>
      </c>
    </row>
    <row r="2924" spans="1:13" s="21" customFormat="1" x14ac:dyDescent="0.25">
      <c r="A2924" s="22" t="s">
        <v>8</v>
      </c>
      <c r="B2924" s="18" t="str">
        <f>"135133"</f>
        <v>135133</v>
      </c>
      <c r="C2924" s="19" t="s">
        <v>2916</v>
      </c>
      <c r="D2924" s="19" t="s">
        <v>18353</v>
      </c>
      <c r="E2924" s="19" t="s">
        <v>31880</v>
      </c>
      <c r="F2924" s="19" t="s">
        <v>35986</v>
      </c>
      <c r="G2924" s="18" t="str">
        <f>"83501"</f>
        <v>83501</v>
      </c>
      <c r="H2924" s="19" t="s">
        <v>36215</v>
      </c>
      <c r="I2924" s="20">
        <v>17.239999999999998</v>
      </c>
      <c r="J2924" s="44" t="s">
        <v>8</v>
      </c>
      <c r="K2924" s="23" t="s">
        <v>8</v>
      </c>
      <c r="L2924" s="23" t="s">
        <v>8</v>
      </c>
      <c r="M2924" s="23" t="s">
        <v>8</v>
      </c>
    </row>
    <row r="2925" spans="1:13" s="21" customFormat="1" x14ac:dyDescent="0.25">
      <c r="A2925" s="22" t="s">
        <v>8</v>
      </c>
      <c r="B2925" s="18" t="str">
        <f>"135134"</f>
        <v>135134</v>
      </c>
      <c r="C2925" s="19" t="s">
        <v>2917</v>
      </c>
      <c r="D2925" s="19" t="s">
        <v>18354</v>
      </c>
      <c r="E2925" s="19" t="s">
        <v>31907</v>
      </c>
      <c r="F2925" s="19" t="s">
        <v>35986</v>
      </c>
      <c r="G2925" s="18" t="str">
        <f>"83330"</f>
        <v>83330</v>
      </c>
      <c r="H2925" s="19" t="s">
        <v>31907</v>
      </c>
      <c r="I2925" s="20">
        <v>17.350000000000001</v>
      </c>
      <c r="J2925" s="44" t="s">
        <v>8</v>
      </c>
      <c r="K2925" s="23" t="s">
        <v>8</v>
      </c>
      <c r="L2925" s="23" t="s">
        <v>8</v>
      </c>
      <c r="M2925" s="23" t="s">
        <v>8</v>
      </c>
    </row>
    <row r="2926" spans="1:13" s="21" customFormat="1" x14ac:dyDescent="0.25">
      <c r="A2926" s="22" t="s">
        <v>8</v>
      </c>
      <c r="B2926" s="18" t="str">
        <f>"135135"</f>
        <v>135135</v>
      </c>
      <c r="C2926" s="19" t="s">
        <v>2918</v>
      </c>
      <c r="D2926" s="19" t="s">
        <v>18355</v>
      </c>
      <c r="E2926" s="19" t="s">
        <v>31908</v>
      </c>
      <c r="F2926" s="19" t="s">
        <v>35986</v>
      </c>
      <c r="G2926" s="18" t="str">
        <f>"83854"</f>
        <v>83854</v>
      </c>
      <c r="H2926" s="19" t="s">
        <v>36216</v>
      </c>
      <c r="I2926" s="20">
        <v>17.696999999999999</v>
      </c>
      <c r="J2926" s="44" t="s">
        <v>8</v>
      </c>
      <c r="K2926" s="23" t="s">
        <v>8</v>
      </c>
      <c r="L2926" s="23" t="s">
        <v>8</v>
      </c>
      <c r="M2926" s="23" t="s">
        <v>8</v>
      </c>
    </row>
    <row r="2927" spans="1:13" s="21" customFormat="1" x14ac:dyDescent="0.25">
      <c r="A2927" s="22" t="s">
        <v>8</v>
      </c>
      <c r="B2927" s="18" t="str">
        <f>"135136"</f>
        <v>135136</v>
      </c>
      <c r="C2927" s="19" t="s">
        <v>2919</v>
      </c>
      <c r="D2927" s="19" t="s">
        <v>18356</v>
      </c>
      <c r="E2927" s="19" t="s">
        <v>31875</v>
      </c>
      <c r="F2927" s="19" t="s">
        <v>35986</v>
      </c>
      <c r="G2927" s="18" t="str">
        <f>"83202"</f>
        <v>83202</v>
      </c>
      <c r="H2927" s="19" t="s">
        <v>36212</v>
      </c>
      <c r="I2927" s="20">
        <v>16.556999999999999</v>
      </c>
      <c r="J2927" s="44" t="s">
        <v>8</v>
      </c>
      <c r="K2927" s="23" t="s">
        <v>8</v>
      </c>
      <c r="L2927" s="23" t="s">
        <v>8</v>
      </c>
      <c r="M2927" s="23" t="s">
        <v>8</v>
      </c>
    </row>
    <row r="2928" spans="1:13" s="21" customFormat="1" x14ac:dyDescent="0.25">
      <c r="A2928" s="22" t="s">
        <v>8</v>
      </c>
      <c r="B2928" s="18" t="str">
        <f>"135137"</f>
        <v>135137</v>
      </c>
      <c r="C2928" s="19" t="s">
        <v>2920</v>
      </c>
      <c r="D2928" s="19" t="s">
        <v>18357</v>
      </c>
      <c r="E2928" s="19" t="s">
        <v>31909</v>
      </c>
      <c r="F2928" s="19" t="s">
        <v>35986</v>
      </c>
      <c r="G2928" s="18" t="str">
        <f>"83406"</f>
        <v>83406</v>
      </c>
      <c r="H2928" s="19" t="s">
        <v>36225</v>
      </c>
      <c r="I2928" s="20">
        <v>15.855</v>
      </c>
      <c r="J2928" s="44" t="s">
        <v>8</v>
      </c>
      <c r="K2928" s="23" t="s">
        <v>8</v>
      </c>
      <c r="L2928" s="23" t="s">
        <v>8</v>
      </c>
      <c r="M2928" s="23" t="s">
        <v>8</v>
      </c>
    </row>
    <row r="2929" spans="1:13" s="21" customFormat="1" x14ac:dyDescent="0.25">
      <c r="A2929" s="22" t="s">
        <v>8</v>
      </c>
      <c r="B2929" s="18" t="str">
        <f>"135138"</f>
        <v>135138</v>
      </c>
      <c r="C2929" s="19" t="s">
        <v>2921</v>
      </c>
      <c r="D2929" s="19" t="s">
        <v>18358</v>
      </c>
      <c r="E2929" s="19" t="s">
        <v>31900</v>
      </c>
      <c r="F2929" s="19" t="s">
        <v>35986</v>
      </c>
      <c r="G2929" s="18" t="str">
        <f>"83404"</f>
        <v>83404</v>
      </c>
      <c r="H2929" s="19" t="s">
        <v>36225</v>
      </c>
      <c r="I2929" s="20">
        <v>17.215</v>
      </c>
      <c r="J2929" s="44" t="s">
        <v>8</v>
      </c>
      <c r="K2929" s="23" t="s">
        <v>8</v>
      </c>
      <c r="L2929" s="23" t="s">
        <v>8</v>
      </c>
      <c r="M2929" s="23" t="s">
        <v>8</v>
      </c>
    </row>
    <row r="2930" spans="1:13" s="21" customFormat="1" x14ac:dyDescent="0.25">
      <c r="A2930" s="22" t="s">
        <v>8</v>
      </c>
      <c r="B2930" s="18" t="str">
        <f>"135139"</f>
        <v>135139</v>
      </c>
      <c r="C2930" s="19" t="s">
        <v>2922</v>
      </c>
      <c r="D2930" s="19" t="s">
        <v>18359</v>
      </c>
      <c r="E2930" s="19" t="s">
        <v>31881</v>
      </c>
      <c r="F2930" s="19" t="s">
        <v>35986</v>
      </c>
      <c r="G2930" s="18" t="str">
        <f>"83706"</f>
        <v>83706</v>
      </c>
      <c r="H2930" s="19" t="s">
        <v>33466</v>
      </c>
      <c r="I2930" s="20">
        <v>18.756</v>
      </c>
      <c r="J2930" s="44" t="s">
        <v>8</v>
      </c>
      <c r="K2930" s="23" t="s">
        <v>8</v>
      </c>
      <c r="L2930" s="23" t="s">
        <v>8</v>
      </c>
      <c r="M2930" s="23" t="s">
        <v>8</v>
      </c>
    </row>
    <row r="2931" spans="1:13" s="21" customFormat="1" x14ac:dyDescent="0.25">
      <c r="A2931" s="22" t="s">
        <v>8</v>
      </c>
      <c r="B2931" s="18" t="str">
        <f>"135140"</f>
        <v>135140</v>
      </c>
      <c r="C2931" s="19" t="s">
        <v>2923</v>
      </c>
      <c r="D2931" s="19" t="s">
        <v>18360</v>
      </c>
      <c r="E2931" s="19" t="s">
        <v>31903</v>
      </c>
      <c r="F2931" s="19" t="s">
        <v>35986</v>
      </c>
      <c r="G2931" s="18" t="str">
        <f>"83440"</f>
        <v>83440</v>
      </c>
      <c r="H2931" s="19" t="s">
        <v>30899</v>
      </c>
      <c r="I2931" s="20">
        <v>15.994</v>
      </c>
      <c r="J2931" s="44" t="s">
        <v>8</v>
      </c>
      <c r="K2931" s="23" t="s">
        <v>8</v>
      </c>
      <c r="L2931" s="23" t="s">
        <v>8</v>
      </c>
      <c r="M2931" s="23" t="s">
        <v>8</v>
      </c>
    </row>
    <row r="2932" spans="1:13" s="21" customFormat="1" x14ac:dyDescent="0.25">
      <c r="A2932" s="22" t="s">
        <v>8</v>
      </c>
      <c r="B2932" s="18" t="s">
        <v>15182</v>
      </c>
      <c r="C2932" s="19" t="s">
        <v>2924</v>
      </c>
      <c r="D2932" s="19" t="s">
        <v>18361</v>
      </c>
      <c r="E2932" s="19" t="s">
        <v>31910</v>
      </c>
      <c r="F2932" s="19" t="s">
        <v>35987</v>
      </c>
      <c r="G2932" s="18" t="str">
        <f>"62565"</f>
        <v>62565</v>
      </c>
      <c r="H2932" s="19" t="s">
        <v>33565</v>
      </c>
      <c r="I2932" s="20">
        <v>19.896999999999998</v>
      </c>
      <c r="J2932" s="44" t="s">
        <v>8</v>
      </c>
      <c r="K2932" s="23" t="s">
        <v>8</v>
      </c>
      <c r="L2932" s="23" t="s">
        <v>8</v>
      </c>
      <c r="M2932" s="23" t="s">
        <v>8</v>
      </c>
    </row>
    <row r="2933" spans="1:13" s="21" customFormat="1" x14ac:dyDescent="0.25">
      <c r="A2933" s="22" t="s">
        <v>8</v>
      </c>
      <c r="B2933" s="18" t="s">
        <v>15183</v>
      </c>
      <c r="C2933" s="19" t="s">
        <v>2925</v>
      </c>
      <c r="D2933" s="19" t="s">
        <v>18362</v>
      </c>
      <c r="E2933" s="19" t="s">
        <v>31911</v>
      </c>
      <c r="F2933" s="19" t="s">
        <v>35987</v>
      </c>
      <c r="G2933" s="18" t="str">
        <f>"61455"</f>
        <v>61455</v>
      </c>
      <c r="H2933" s="19" t="s">
        <v>31779</v>
      </c>
      <c r="I2933" s="20">
        <v>18.611000000000001</v>
      </c>
      <c r="J2933" s="44" t="s">
        <v>8</v>
      </c>
      <c r="K2933" s="23" t="s">
        <v>8</v>
      </c>
      <c r="L2933" s="23" t="s">
        <v>8</v>
      </c>
      <c r="M2933" s="23" t="s">
        <v>8</v>
      </c>
    </row>
    <row r="2934" spans="1:13" s="21" customFormat="1" x14ac:dyDescent="0.25">
      <c r="A2934" s="22" t="s">
        <v>8</v>
      </c>
      <c r="B2934" s="18" t="s">
        <v>15184</v>
      </c>
      <c r="C2934" s="19" t="s">
        <v>2926</v>
      </c>
      <c r="D2934" s="19" t="s">
        <v>18363</v>
      </c>
      <c r="E2934" s="19" t="s">
        <v>30817</v>
      </c>
      <c r="F2934" s="19" t="s">
        <v>35987</v>
      </c>
      <c r="G2934" s="18" t="str">
        <f>"62246"</f>
        <v>62246</v>
      </c>
      <c r="H2934" s="19" t="s">
        <v>36227</v>
      </c>
      <c r="I2934" s="20">
        <v>19.274000000000001</v>
      </c>
      <c r="J2934" s="44" t="s">
        <v>8</v>
      </c>
      <c r="K2934" s="23" t="s">
        <v>8</v>
      </c>
      <c r="L2934" s="23" t="s">
        <v>8</v>
      </c>
      <c r="M2934" s="23" t="s">
        <v>8</v>
      </c>
    </row>
    <row r="2935" spans="1:13" s="21" customFormat="1" x14ac:dyDescent="0.25">
      <c r="A2935" s="22" t="s">
        <v>8</v>
      </c>
      <c r="B2935" s="18" t="s">
        <v>15185</v>
      </c>
      <c r="C2935" s="19" t="s">
        <v>2927</v>
      </c>
      <c r="D2935" s="19" t="s">
        <v>18364</v>
      </c>
      <c r="E2935" s="19" t="s">
        <v>31247</v>
      </c>
      <c r="F2935" s="19" t="s">
        <v>35987</v>
      </c>
      <c r="G2935" s="18" t="str">
        <f>"61362"</f>
        <v>61362</v>
      </c>
      <c r="H2935" s="19" t="s">
        <v>36228</v>
      </c>
      <c r="I2935" s="20">
        <v>19.91</v>
      </c>
      <c r="J2935" s="44" t="s">
        <v>8</v>
      </c>
      <c r="K2935" s="23" t="s">
        <v>8</v>
      </c>
      <c r="L2935" s="23" t="s">
        <v>8</v>
      </c>
      <c r="M2935" s="23" t="s">
        <v>8</v>
      </c>
    </row>
    <row r="2936" spans="1:13" s="21" customFormat="1" x14ac:dyDescent="0.25">
      <c r="A2936" s="22" t="s">
        <v>8</v>
      </c>
      <c r="B2936" s="18" t="s">
        <v>15186</v>
      </c>
      <c r="C2936" s="19" t="s">
        <v>2928</v>
      </c>
      <c r="D2936" s="19" t="s">
        <v>18365</v>
      </c>
      <c r="E2936" s="19" t="s">
        <v>31912</v>
      </c>
      <c r="F2936" s="19" t="s">
        <v>35987</v>
      </c>
      <c r="G2936" s="18" t="str">
        <f>"62450"</f>
        <v>62450</v>
      </c>
      <c r="H2936" s="19" t="s">
        <v>31785</v>
      </c>
      <c r="I2936" s="20">
        <v>18.204999999999998</v>
      </c>
      <c r="J2936" s="44" t="s">
        <v>8</v>
      </c>
      <c r="K2936" s="23" t="s">
        <v>8</v>
      </c>
      <c r="L2936" s="23" t="s">
        <v>8</v>
      </c>
      <c r="M2936" s="23" t="s">
        <v>8</v>
      </c>
    </row>
    <row r="2937" spans="1:13" s="21" customFormat="1" x14ac:dyDescent="0.25">
      <c r="A2937" s="22" t="s">
        <v>8</v>
      </c>
      <c r="B2937" s="18" t="s">
        <v>15187</v>
      </c>
      <c r="C2937" s="19" t="s">
        <v>2929</v>
      </c>
      <c r="D2937" s="19" t="s">
        <v>18366</v>
      </c>
      <c r="E2937" s="19" t="s">
        <v>31913</v>
      </c>
      <c r="F2937" s="19" t="s">
        <v>35987</v>
      </c>
      <c r="G2937" s="18" t="str">
        <f>"61764"</f>
        <v>61764</v>
      </c>
      <c r="H2937" s="19" t="s">
        <v>33740</v>
      </c>
      <c r="I2937" s="20">
        <v>18.829999999999998</v>
      </c>
      <c r="J2937" s="44" t="s">
        <v>8</v>
      </c>
      <c r="K2937" s="23" t="s">
        <v>8</v>
      </c>
      <c r="L2937" s="23" t="s">
        <v>8</v>
      </c>
      <c r="M2937" s="23" t="s">
        <v>8</v>
      </c>
    </row>
    <row r="2938" spans="1:13" s="21" customFormat="1" x14ac:dyDescent="0.25">
      <c r="A2938" s="22" t="s">
        <v>8</v>
      </c>
      <c r="B2938" s="18" t="s">
        <v>15188</v>
      </c>
      <c r="C2938" s="19" t="s">
        <v>2930</v>
      </c>
      <c r="D2938" s="19" t="s">
        <v>18367</v>
      </c>
      <c r="E2938" s="19" t="s">
        <v>31073</v>
      </c>
      <c r="F2938" s="19" t="s">
        <v>35987</v>
      </c>
      <c r="G2938" s="18" t="str">
        <f>"62946"</f>
        <v>62946</v>
      </c>
      <c r="H2938" s="19" t="s">
        <v>33206</v>
      </c>
      <c r="I2938" s="20">
        <v>19.335000000000001</v>
      </c>
      <c r="J2938" s="44" t="s">
        <v>8</v>
      </c>
      <c r="K2938" s="23" t="s">
        <v>8</v>
      </c>
      <c r="L2938" s="23" t="s">
        <v>8</v>
      </c>
      <c r="M2938" s="23" t="s">
        <v>8</v>
      </c>
    </row>
    <row r="2939" spans="1:13" s="21" customFormat="1" x14ac:dyDescent="0.25">
      <c r="A2939" s="22" t="s">
        <v>8</v>
      </c>
      <c r="B2939" s="18" t="s">
        <v>15189</v>
      </c>
      <c r="C2939" s="19" t="s">
        <v>2931</v>
      </c>
      <c r="D2939" s="19" t="s">
        <v>18368</v>
      </c>
      <c r="E2939" s="19" t="s">
        <v>31914</v>
      </c>
      <c r="F2939" s="19" t="s">
        <v>35987</v>
      </c>
      <c r="G2939" s="18" t="str">
        <f>"61354"</f>
        <v>61354</v>
      </c>
      <c r="H2939" s="19" t="s">
        <v>31983</v>
      </c>
      <c r="I2939" s="20">
        <v>21.751999999999999</v>
      </c>
      <c r="J2939" s="44" t="s">
        <v>8</v>
      </c>
      <c r="K2939" s="23" t="s">
        <v>8</v>
      </c>
      <c r="L2939" s="23" t="s">
        <v>8</v>
      </c>
      <c r="M2939" s="23" t="s">
        <v>8</v>
      </c>
    </row>
    <row r="2940" spans="1:13" s="21" customFormat="1" x14ac:dyDescent="0.25">
      <c r="A2940" s="22" t="s">
        <v>8</v>
      </c>
      <c r="B2940" s="18" t="str">
        <f>"145000"</f>
        <v>145000</v>
      </c>
      <c r="C2940" s="19" t="s">
        <v>2932</v>
      </c>
      <c r="D2940" s="19" t="s">
        <v>18369</v>
      </c>
      <c r="E2940" s="19" t="s">
        <v>31500</v>
      </c>
      <c r="F2940" s="19" t="s">
        <v>35987</v>
      </c>
      <c r="G2940" s="18" t="str">
        <f>"61571"</f>
        <v>61571</v>
      </c>
      <c r="H2940" s="19" t="s">
        <v>35147</v>
      </c>
      <c r="I2940" s="20">
        <v>18.024999999999999</v>
      </c>
      <c r="J2940" s="44" t="s">
        <v>8</v>
      </c>
      <c r="K2940" s="23" t="s">
        <v>8</v>
      </c>
      <c r="L2940" s="23" t="s">
        <v>8</v>
      </c>
      <c r="M2940" s="23" t="s">
        <v>8</v>
      </c>
    </row>
    <row r="2941" spans="1:13" s="21" customFormat="1" x14ac:dyDescent="0.25">
      <c r="A2941" s="22" t="s">
        <v>8</v>
      </c>
      <c r="B2941" s="18" t="str">
        <f>"145004"</f>
        <v>145004</v>
      </c>
      <c r="C2941" s="19" t="s">
        <v>2933</v>
      </c>
      <c r="D2941" s="19" t="s">
        <v>18370</v>
      </c>
      <c r="E2941" s="19" t="s">
        <v>31915</v>
      </c>
      <c r="F2941" s="19" t="s">
        <v>35987</v>
      </c>
      <c r="G2941" s="18" t="str">
        <f>"60123"</f>
        <v>60123</v>
      </c>
      <c r="H2941" s="19" t="s">
        <v>34788</v>
      </c>
      <c r="I2941" s="20">
        <v>19.184999999999999</v>
      </c>
      <c r="J2941" s="44" t="s">
        <v>8</v>
      </c>
      <c r="K2941" s="23" t="s">
        <v>8</v>
      </c>
      <c r="L2941" s="23" t="s">
        <v>8</v>
      </c>
      <c r="M2941" s="23" t="s">
        <v>8</v>
      </c>
    </row>
    <row r="2942" spans="1:13" s="21" customFormat="1" x14ac:dyDescent="0.25">
      <c r="A2942" s="22" t="s">
        <v>8</v>
      </c>
      <c r="B2942" s="18" t="str">
        <f>"145006"</f>
        <v>145006</v>
      </c>
      <c r="C2942" s="19" t="s">
        <v>2934</v>
      </c>
      <c r="D2942" s="19" t="s">
        <v>18371</v>
      </c>
      <c r="E2942" s="19" t="s">
        <v>31333</v>
      </c>
      <c r="F2942" s="19" t="s">
        <v>35987</v>
      </c>
      <c r="G2942" s="18" t="str">
        <f>"60505"</f>
        <v>60505</v>
      </c>
      <c r="H2942" s="19" t="s">
        <v>34788</v>
      </c>
      <c r="I2942" s="20">
        <v>19.369</v>
      </c>
      <c r="J2942" s="44" t="s">
        <v>8</v>
      </c>
      <c r="K2942" s="23" t="s">
        <v>8</v>
      </c>
      <c r="L2942" s="23" t="s">
        <v>8</v>
      </c>
      <c r="M2942" s="23" t="s">
        <v>8</v>
      </c>
    </row>
    <row r="2943" spans="1:13" s="21" customFormat="1" x14ac:dyDescent="0.25">
      <c r="A2943" s="22" t="s">
        <v>8</v>
      </c>
      <c r="B2943" s="18" t="str">
        <f>"145008"</f>
        <v>145008</v>
      </c>
      <c r="C2943" s="19" t="s">
        <v>2935</v>
      </c>
      <c r="D2943" s="19" t="s">
        <v>18372</v>
      </c>
      <c r="E2943" s="19" t="s">
        <v>31916</v>
      </c>
      <c r="F2943" s="19" t="s">
        <v>35987</v>
      </c>
      <c r="G2943" s="18" t="str">
        <f>"62832"</f>
        <v>62832</v>
      </c>
      <c r="H2943" s="19" t="s">
        <v>31503</v>
      </c>
      <c r="I2943" s="20">
        <v>17.481999999999999</v>
      </c>
      <c r="J2943" s="44" t="s">
        <v>8</v>
      </c>
      <c r="K2943" s="23" t="s">
        <v>8</v>
      </c>
      <c r="L2943" s="23" t="s">
        <v>8</v>
      </c>
      <c r="M2943" s="23" t="s">
        <v>8</v>
      </c>
    </row>
    <row r="2944" spans="1:13" s="21" customFormat="1" x14ac:dyDescent="0.25">
      <c r="A2944" s="22" t="s">
        <v>8</v>
      </c>
      <c r="B2944" s="18" t="str">
        <f>"145011"</f>
        <v>145011</v>
      </c>
      <c r="C2944" s="19" t="s">
        <v>2936</v>
      </c>
      <c r="D2944" s="19" t="s">
        <v>18373</v>
      </c>
      <c r="E2944" s="19" t="s">
        <v>31917</v>
      </c>
      <c r="F2944" s="19" t="s">
        <v>35987</v>
      </c>
      <c r="G2944" s="18" t="str">
        <f>"60202"</f>
        <v>60202</v>
      </c>
      <c r="H2944" s="19" t="s">
        <v>33420</v>
      </c>
      <c r="I2944" s="20">
        <v>22.629000000000001</v>
      </c>
      <c r="J2944" s="44" t="s">
        <v>8</v>
      </c>
      <c r="K2944" s="23" t="s">
        <v>8</v>
      </c>
      <c r="L2944" s="23" t="s">
        <v>8</v>
      </c>
      <c r="M2944" s="23" t="s">
        <v>8</v>
      </c>
    </row>
    <row r="2945" spans="1:13" s="21" customFormat="1" x14ac:dyDescent="0.25">
      <c r="A2945" s="22" t="s">
        <v>8</v>
      </c>
      <c r="B2945" s="18" t="str">
        <f>"145012"</f>
        <v>145012</v>
      </c>
      <c r="C2945" s="19" t="s">
        <v>2937</v>
      </c>
      <c r="D2945" s="19" t="s">
        <v>18374</v>
      </c>
      <c r="E2945" s="19" t="s">
        <v>31918</v>
      </c>
      <c r="F2945" s="19" t="s">
        <v>35987</v>
      </c>
      <c r="G2945" s="18" t="str">
        <f>"61401"</f>
        <v>61401</v>
      </c>
      <c r="H2945" s="19" t="s">
        <v>32252</v>
      </c>
      <c r="I2945" s="20">
        <v>18.652000000000001</v>
      </c>
      <c r="J2945" s="44" t="s">
        <v>8</v>
      </c>
      <c r="K2945" s="23" t="s">
        <v>8</v>
      </c>
      <c r="L2945" s="23" t="s">
        <v>8</v>
      </c>
      <c r="M2945" s="23" t="s">
        <v>8</v>
      </c>
    </row>
    <row r="2946" spans="1:13" s="21" customFormat="1" x14ac:dyDescent="0.25">
      <c r="A2946" s="22" t="s">
        <v>8</v>
      </c>
      <c r="B2946" s="18" t="str">
        <f>"145016"</f>
        <v>145016</v>
      </c>
      <c r="C2946" s="19" t="s">
        <v>2938</v>
      </c>
      <c r="D2946" s="19" t="s">
        <v>18375</v>
      </c>
      <c r="E2946" s="19" t="s">
        <v>31919</v>
      </c>
      <c r="F2946" s="19" t="s">
        <v>35987</v>
      </c>
      <c r="G2946" s="18" t="str">
        <f>"61701"</f>
        <v>61701</v>
      </c>
      <c r="H2946" s="19" t="s">
        <v>35924</v>
      </c>
      <c r="I2946" s="20">
        <v>16.623999999999999</v>
      </c>
      <c r="J2946" s="44" t="s">
        <v>8</v>
      </c>
      <c r="K2946" s="23" t="s">
        <v>8</v>
      </c>
      <c r="L2946" s="23" t="s">
        <v>8</v>
      </c>
      <c r="M2946" s="23" t="s">
        <v>8</v>
      </c>
    </row>
    <row r="2947" spans="1:13" s="21" customFormat="1" x14ac:dyDescent="0.25">
      <c r="A2947" s="22" t="s">
        <v>8</v>
      </c>
      <c r="B2947" s="18" t="str">
        <f>"145021"</f>
        <v>145021</v>
      </c>
      <c r="C2947" s="19" t="s">
        <v>2939</v>
      </c>
      <c r="D2947" s="19" t="s">
        <v>18376</v>
      </c>
      <c r="E2947" s="19" t="s">
        <v>31911</v>
      </c>
      <c r="F2947" s="19" t="s">
        <v>35987</v>
      </c>
      <c r="G2947" s="18" t="str">
        <f>"61455"</f>
        <v>61455</v>
      </c>
      <c r="H2947" s="19" t="s">
        <v>31779</v>
      </c>
      <c r="I2947" s="20">
        <v>20.105</v>
      </c>
      <c r="J2947" s="44" t="s">
        <v>8</v>
      </c>
      <c r="K2947" s="23" t="s">
        <v>8</v>
      </c>
      <c r="L2947" s="23" t="s">
        <v>8</v>
      </c>
      <c r="M2947" s="23" t="s">
        <v>8</v>
      </c>
    </row>
    <row r="2948" spans="1:13" s="21" customFormat="1" x14ac:dyDescent="0.25">
      <c r="A2948" s="22" t="s">
        <v>8</v>
      </c>
      <c r="B2948" s="18" t="str">
        <f>"145024"</f>
        <v>145024</v>
      </c>
      <c r="C2948" s="19" t="s">
        <v>2940</v>
      </c>
      <c r="D2948" s="19" t="s">
        <v>18377</v>
      </c>
      <c r="E2948" s="19" t="s">
        <v>31920</v>
      </c>
      <c r="F2948" s="19" t="s">
        <v>35987</v>
      </c>
      <c r="G2948" s="18" t="str">
        <f>"61054"</f>
        <v>61054</v>
      </c>
      <c r="H2948" s="19" t="s">
        <v>36229</v>
      </c>
      <c r="I2948" s="20">
        <v>19.433</v>
      </c>
      <c r="J2948" s="44" t="s">
        <v>8</v>
      </c>
      <c r="K2948" s="23" t="s">
        <v>8</v>
      </c>
      <c r="L2948" s="23" t="s">
        <v>8</v>
      </c>
      <c r="M2948" s="23" t="s">
        <v>8</v>
      </c>
    </row>
    <row r="2949" spans="1:13" s="21" customFormat="1" x14ac:dyDescent="0.25">
      <c r="A2949" s="22" t="s">
        <v>8</v>
      </c>
      <c r="B2949" s="18" t="str">
        <f>"145026"</f>
        <v>145026</v>
      </c>
      <c r="C2949" s="19" t="s">
        <v>2941</v>
      </c>
      <c r="D2949" s="19" t="s">
        <v>18378</v>
      </c>
      <c r="E2949" s="19" t="s">
        <v>31917</v>
      </c>
      <c r="F2949" s="19" t="s">
        <v>35987</v>
      </c>
      <c r="G2949" s="18" t="str">
        <f>"60201"</f>
        <v>60201</v>
      </c>
      <c r="H2949" s="19" t="s">
        <v>33420</v>
      </c>
      <c r="I2949" s="20">
        <v>18.978000000000002</v>
      </c>
      <c r="J2949" s="44" t="s">
        <v>8</v>
      </c>
      <c r="K2949" s="23" t="s">
        <v>8</v>
      </c>
      <c r="L2949" s="23" t="s">
        <v>8</v>
      </c>
      <c r="M2949" s="23" t="s">
        <v>8</v>
      </c>
    </row>
    <row r="2950" spans="1:13" s="21" customFormat="1" x14ac:dyDescent="0.25">
      <c r="A2950" s="22" t="s">
        <v>8</v>
      </c>
      <c r="B2950" s="18" t="str">
        <f>"145027"</f>
        <v>145027</v>
      </c>
      <c r="C2950" s="19" t="s">
        <v>2942</v>
      </c>
      <c r="D2950" s="19" t="s">
        <v>18379</v>
      </c>
      <c r="E2950" s="19" t="s">
        <v>31921</v>
      </c>
      <c r="F2950" s="19" t="s">
        <v>35987</v>
      </c>
      <c r="G2950" s="18" t="str">
        <f>"61265"</f>
        <v>61265</v>
      </c>
      <c r="H2950" s="19" t="s">
        <v>31981</v>
      </c>
      <c r="I2950" s="20">
        <v>19.245000000000001</v>
      </c>
      <c r="J2950" s="44" t="s">
        <v>8</v>
      </c>
      <c r="K2950" s="23" t="s">
        <v>8</v>
      </c>
      <c r="L2950" s="23" t="s">
        <v>8</v>
      </c>
      <c r="M2950" s="23" t="s">
        <v>8</v>
      </c>
    </row>
    <row r="2951" spans="1:13" s="21" customFormat="1" x14ac:dyDescent="0.25">
      <c r="A2951" s="22" t="s">
        <v>8</v>
      </c>
      <c r="B2951" s="18" t="str">
        <f>"145029"</f>
        <v>145029</v>
      </c>
      <c r="C2951" s="19" t="s">
        <v>2943</v>
      </c>
      <c r="D2951" s="19" t="s">
        <v>18380</v>
      </c>
      <c r="E2951" s="19" t="s">
        <v>31922</v>
      </c>
      <c r="F2951" s="19" t="s">
        <v>35987</v>
      </c>
      <c r="G2951" s="18" t="str">
        <f>"60435"</f>
        <v>60435</v>
      </c>
      <c r="H2951" s="19" t="s">
        <v>36230</v>
      </c>
      <c r="I2951" s="20">
        <v>22.707999999999998</v>
      </c>
      <c r="J2951" s="44" t="s">
        <v>8</v>
      </c>
      <c r="K2951" s="23" t="s">
        <v>8</v>
      </c>
      <c r="L2951" s="23" t="s">
        <v>8</v>
      </c>
      <c r="M2951" s="23" t="s">
        <v>8</v>
      </c>
    </row>
    <row r="2952" spans="1:13" s="21" customFormat="1" x14ac:dyDescent="0.25">
      <c r="A2952" s="22" t="s">
        <v>8</v>
      </c>
      <c r="B2952" s="18" t="str">
        <f>"145031"</f>
        <v>145031</v>
      </c>
      <c r="C2952" s="19" t="s">
        <v>2944</v>
      </c>
      <c r="D2952" s="19" t="s">
        <v>18381</v>
      </c>
      <c r="E2952" s="19" t="s">
        <v>31923</v>
      </c>
      <c r="F2952" s="19" t="s">
        <v>35987</v>
      </c>
      <c r="G2952" s="18" t="str">
        <f>"61761"</f>
        <v>61761</v>
      </c>
      <c r="H2952" s="19" t="s">
        <v>35924</v>
      </c>
      <c r="I2952" s="20">
        <v>17.835000000000001</v>
      </c>
      <c r="J2952" s="44" t="s">
        <v>8</v>
      </c>
      <c r="K2952" s="23" t="s">
        <v>8</v>
      </c>
      <c r="L2952" s="23" t="s">
        <v>8</v>
      </c>
      <c r="M2952" s="23" t="s">
        <v>8</v>
      </c>
    </row>
    <row r="2953" spans="1:13" s="21" customFormat="1" x14ac:dyDescent="0.25">
      <c r="A2953" s="22" t="s">
        <v>8</v>
      </c>
      <c r="B2953" s="18" t="str">
        <f>"145038"</f>
        <v>145038</v>
      </c>
      <c r="C2953" s="19" t="s">
        <v>2945</v>
      </c>
      <c r="D2953" s="19" t="s">
        <v>18382</v>
      </c>
      <c r="E2953" s="19" t="s">
        <v>30853</v>
      </c>
      <c r="F2953" s="19" t="s">
        <v>35987</v>
      </c>
      <c r="G2953" s="18" t="str">
        <f>"62526"</f>
        <v>62526</v>
      </c>
      <c r="H2953" s="19" t="s">
        <v>31733</v>
      </c>
      <c r="I2953" s="20">
        <v>18.704000000000001</v>
      </c>
      <c r="J2953" s="44" t="s">
        <v>8</v>
      </c>
      <c r="K2953" s="23" t="s">
        <v>8</v>
      </c>
      <c r="L2953" s="23" t="s">
        <v>8</v>
      </c>
      <c r="M2953" s="23" t="s">
        <v>8</v>
      </c>
    </row>
    <row r="2954" spans="1:13" s="21" customFormat="1" x14ac:dyDescent="0.25">
      <c r="A2954" s="22" t="s">
        <v>8</v>
      </c>
      <c r="B2954" s="18" t="str">
        <f>"145039"</f>
        <v>145039</v>
      </c>
      <c r="C2954" s="19" t="s">
        <v>2946</v>
      </c>
      <c r="D2954" s="19" t="s">
        <v>18383</v>
      </c>
      <c r="E2954" s="19" t="s">
        <v>30954</v>
      </c>
      <c r="F2954" s="19" t="s">
        <v>35987</v>
      </c>
      <c r="G2954" s="18" t="str">
        <f>"61614"</f>
        <v>61614</v>
      </c>
      <c r="H2954" s="19" t="s">
        <v>30954</v>
      </c>
      <c r="I2954" s="20">
        <v>19.498000000000001</v>
      </c>
      <c r="J2954" s="44" t="s">
        <v>8</v>
      </c>
      <c r="K2954" s="23" t="s">
        <v>8</v>
      </c>
      <c r="L2954" s="23" t="s">
        <v>8</v>
      </c>
      <c r="M2954" s="23" t="s">
        <v>8</v>
      </c>
    </row>
    <row r="2955" spans="1:13" s="21" customFormat="1" x14ac:dyDescent="0.25">
      <c r="A2955" s="22" t="s">
        <v>8</v>
      </c>
      <c r="B2955" s="18" t="str">
        <f>"145043"</f>
        <v>145043</v>
      </c>
      <c r="C2955" s="19" t="s">
        <v>2947</v>
      </c>
      <c r="D2955" s="19" t="s">
        <v>18384</v>
      </c>
      <c r="E2955" s="19" t="s">
        <v>31924</v>
      </c>
      <c r="F2955" s="19" t="s">
        <v>35987</v>
      </c>
      <c r="G2955" s="18" t="str">
        <f>"60901"</f>
        <v>60901</v>
      </c>
      <c r="H2955" s="19" t="s">
        <v>31924</v>
      </c>
      <c r="I2955" s="20">
        <v>19.22</v>
      </c>
      <c r="J2955" s="44" t="s">
        <v>8</v>
      </c>
      <c r="K2955" s="23" t="s">
        <v>8</v>
      </c>
      <c r="L2955" s="23" t="s">
        <v>8</v>
      </c>
      <c r="M2955" s="23" t="s">
        <v>8</v>
      </c>
    </row>
    <row r="2956" spans="1:13" s="21" customFormat="1" x14ac:dyDescent="0.25">
      <c r="A2956" s="22" t="s">
        <v>8</v>
      </c>
      <c r="B2956" s="18" t="str">
        <f>"145044"</f>
        <v>145044</v>
      </c>
      <c r="C2956" s="19" t="s">
        <v>2948</v>
      </c>
      <c r="D2956" s="19" t="s">
        <v>18385</v>
      </c>
      <c r="E2956" s="19" t="s">
        <v>31914</v>
      </c>
      <c r="F2956" s="19" t="s">
        <v>35987</v>
      </c>
      <c r="G2956" s="18" t="str">
        <f>"61354"</f>
        <v>61354</v>
      </c>
      <c r="H2956" s="19" t="s">
        <v>31983</v>
      </c>
      <c r="I2956" s="20">
        <v>19.962</v>
      </c>
      <c r="J2956" s="44" t="s">
        <v>8</v>
      </c>
      <c r="K2956" s="23" t="s">
        <v>8</v>
      </c>
      <c r="L2956" s="23" t="s">
        <v>8</v>
      </c>
      <c r="M2956" s="23" t="s">
        <v>8</v>
      </c>
    </row>
    <row r="2957" spans="1:13" s="21" customFormat="1" x14ac:dyDescent="0.25">
      <c r="A2957" s="22" t="s">
        <v>8</v>
      </c>
      <c r="B2957" s="18" t="str">
        <f>"145045"</f>
        <v>145045</v>
      </c>
      <c r="C2957" s="19" t="s">
        <v>2949</v>
      </c>
      <c r="D2957" s="19" t="s">
        <v>18386</v>
      </c>
      <c r="E2957" s="19" t="s">
        <v>31925</v>
      </c>
      <c r="F2957" s="19" t="s">
        <v>35987</v>
      </c>
      <c r="G2957" s="18" t="str">
        <f>"60540"</f>
        <v>60540</v>
      </c>
      <c r="H2957" s="19" t="s">
        <v>36231</v>
      </c>
      <c r="I2957" s="20">
        <v>19.946999999999999</v>
      </c>
      <c r="J2957" s="44" t="s">
        <v>8</v>
      </c>
      <c r="K2957" s="23" t="s">
        <v>8</v>
      </c>
      <c r="L2957" s="23" t="s">
        <v>8</v>
      </c>
      <c r="M2957" s="23" t="s">
        <v>8</v>
      </c>
    </row>
    <row r="2958" spans="1:13" s="21" customFormat="1" x14ac:dyDescent="0.25">
      <c r="A2958" s="22" t="s">
        <v>8</v>
      </c>
      <c r="B2958" s="18" t="str">
        <f>"145050"</f>
        <v>145050</v>
      </c>
      <c r="C2958" s="19" t="s">
        <v>2950</v>
      </c>
      <c r="D2958" s="19" t="s">
        <v>18387</v>
      </c>
      <c r="E2958" s="19" t="s">
        <v>31926</v>
      </c>
      <c r="F2958" s="19" t="s">
        <v>35987</v>
      </c>
      <c r="G2958" s="18" t="str">
        <f>"60187"</f>
        <v>60187</v>
      </c>
      <c r="H2958" s="19" t="s">
        <v>36231</v>
      </c>
      <c r="I2958" s="20">
        <v>17.504000000000001</v>
      </c>
      <c r="J2958" s="44" t="s">
        <v>8</v>
      </c>
      <c r="K2958" s="23" t="s">
        <v>8</v>
      </c>
      <c r="L2958" s="23" t="s">
        <v>8</v>
      </c>
      <c r="M2958" s="23" t="s">
        <v>8</v>
      </c>
    </row>
    <row r="2959" spans="1:13" s="21" customFormat="1" x14ac:dyDescent="0.25">
      <c r="A2959" s="22" t="s">
        <v>8</v>
      </c>
      <c r="B2959" s="18" t="str">
        <f>"145058"</f>
        <v>145058</v>
      </c>
      <c r="C2959" s="19" t="s">
        <v>2951</v>
      </c>
      <c r="D2959" s="19" t="s">
        <v>18388</v>
      </c>
      <c r="E2959" s="19" t="s">
        <v>31927</v>
      </c>
      <c r="F2959" s="19" t="s">
        <v>35987</v>
      </c>
      <c r="G2959" s="18" t="str">
        <f>"61523"</f>
        <v>61523</v>
      </c>
      <c r="H2959" s="19" t="s">
        <v>30954</v>
      </c>
      <c r="I2959" s="20">
        <v>17.29</v>
      </c>
      <c r="J2959" s="44" t="s">
        <v>8</v>
      </c>
      <c r="K2959" s="23" t="s">
        <v>8</v>
      </c>
      <c r="L2959" s="23" t="s">
        <v>8</v>
      </c>
      <c r="M2959" s="23" t="s">
        <v>8</v>
      </c>
    </row>
    <row r="2960" spans="1:13" s="21" customFormat="1" x14ac:dyDescent="0.25">
      <c r="A2960" s="22" t="s">
        <v>8</v>
      </c>
      <c r="B2960" s="18" t="str">
        <f>"145062"</f>
        <v>145062</v>
      </c>
      <c r="C2960" s="19" t="s">
        <v>2952</v>
      </c>
      <c r="D2960" s="19" t="s">
        <v>18389</v>
      </c>
      <c r="E2960" s="19" t="s">
        <v>31928</v>
      </c>
      <c r="F2960" s="19" t="s">
        <v>35987</v>
      </c>
      <c r="G2960" s="18" t="str">
        <f>"61364"</f>
        <v>61364</v>
      </c>
      <c r="H2960" s="19" t="s">
        <v>31983</v>
      </c>
      <c r="I2960" s="20">
        <v>14.585000000000001</v>
      </c>
      <c r="J2960" s="44" t="s">
        <v>8</v>
      </c>
      <c r="K2960" s="23" t="s">
        <v>8</v>
      </c>
      <c r="L2960" s="23" t="s">
        <v>8</v>
      </c>
      <c r="M2960" s="23" t="s">
        <v>8</v>
      </c>
    </row>
    <row r="2961" spans="1:13" s="21" customFormat="1" x14ac:dyDescent="0.25">
      <c r="A2961" s="22" t="s">
        <v>8</v>
      </c>
      <c r="B2961" s="18" t="str">
        <f>"145070"</f>
        <v>145070</v>
      </c>
      <c r="C2961" s="19" t="s">
        <v>2953</v>
      </c>
      <c r="D2961" s="19" t="s">
        <v>18390</v>
      </c>
      <c r="E2961" s="19" t="s">
        <v>31929</v>
      </c>
      <c r="F2961" s="19" t="s">
        <v>35987</v>
      </c>
      <c r="G2961" s="18" t="str">
        <f>"60402"</f>
        <v>60402</v>
      </c>
      <c r="H2961" s="19" t="s">
        <v>33420</v>
      </c>
      <c r="I2961" s="20">
        <v>21.152000000000001</v>
      </c>
      <c r="J2961" s="44" t="s">
        <v>8</v>
      </c>
      <c r="K2961" s="23" t="s">
        <v>8</v>
      </c>
      <c r="L2961" s="23" t="s">
        <v>8</v>
      </c>
      <c r="M2961" s="23" t="s">
        <v>8</v>
      </c>
    </row>
    <row r="2962" spans="1:13" s="21" customFormat="1" x14ac:dyDescent="0.25">
      <c r="A2962" s="22" t="s">
        <v>8</v>
      </c>
      <c r="B2962" s="18" t="str">
        <f>"145087"</f>
        <v>145087</v>
      </c>
      <c r="C2962" s="19" t="s">
        <v>2954</v>
      </c>
      <c r="D2962" s="19" t="s">
        <v>18391</v>
      </c>
      <c r="E2962" s="19" t="s">
        <v>31930</v>
      </c>
      <c r="F2962" s="19" t="s">
        <v>35987</v>
      </c>
      <c r="G2962" s="18" t="str">
        <f>"60453"</f>
        <v>60453</v>
      </c>
      <c r="H2962" s="19" t="s">
        <v>33420</v>
      </c>
      <c r="I2962" s="20">
        <v>16.564</v>
      </c>
      <c r="J2962" s="44" t="s">
        <v>8</v>
      </c>
      <c r="K2962" s="23" t="s">
        <v>8</v>
      </c>
      <c r="L2962" s="23" t="s">
        <v>8</v>
      </c>
      <c r="M2962" s="23" t="s">
        <v>8</v>
      </c>
    </row>
    <row r="2963" spans="1:13" s="21" customFormat="1" x14ac:dyDescent="0.25">
      <c r="A2963" s="22" t="s">
        <v>8</v>
      </c>
      <c r="B2963" s="18" t="str">
        <f>"145102"</f>
        <v>145102</v>
      </c>
      <c r="C2963" s="19" t="s">
        <v>2955</v>
      </c>
      <c r="D2963" s="19" t="s">
        <v>18392</v>
      </c>
      <c r="E2963" s="19" t="s">
        <v>31931</v>
      </c>
      <c r="F2963" s="19" t="s">
        <v>35987</v>
      </c>
      <c r="G2963" s="18" t="str">
        <f>"62226"</f>
        <v>62226</v>
      </c>
      <c r="H2963" s="19" t="s">
        <v>33662</v>
      </c>
      <c r="I2963" s="20">
        <v>16.274000000000001</v>
      </c>
      <c r="J2963" s="44" t="s">
        <v>8</v>
      </c>
      <c r="K2963" s="23" t="s">
        <v>8</v>
      </c>
      <c r="L2963" s="23" t="s">
        <v>8</v>
      </c>
      <c r="M2963" s="23" t="s">
        <v>8</v>
      </c>
    </row>
    <row r="2964" spans="1:13" s="21" customFormat="1" x14ac:dyDescent="0.25">
      <c r="A2964" s="22" t="s">
        <v>8</v>
      </c>
      <c r="B2964" s="18" t="str">
        <f>"145111"</f>
        <v>145111</v>
      </c>
      <c r="C2964" s="19" t="s">
        <v>2956</v>
      </c>
      <c r="D2964" s="19" t="s">
        <v>18393</v>
      </c>
      <c r="E2964" s="19" t="s">
        <v>31932</v>
      </c>
      <c r="F2964" s="19" t="s">
        <v>35987</v>
      </c>
      <c r="G2964" s="18" t="str">
        <f>"60126"</f>
        <v>60126</v>
      </c>
      <c r="H2964" s="19" t="s">
        <v>36231</v>
      </c>
      <c r="I2964" s="20">
        <v>18.882999999999999</v>
      </c>
      <c r="J2964" s="44" t="s">
        <v>8</v>
      </c>
      <c r="K2964" s="23" t="s">
        <v>8</v>
      </c>
      <c r="L2964" s="23" t="s">
        <v>8</v>
      </c>
      <c r="M2964" s="23" t="s">
        <v>8</v>
      </c>
    </row>
    <row r="2965" spans="1:13" s="21" customFormat="1" x14ac:dyDescent="0.25">
      <c r="A2965" s="22" t="s">
        <v>8</v>
      </c>
      <c r="B2965" s="18" t="str">
        <f>"145121"</f>
        <v>145121</v>
      </c>
      <c r="C2965" s="19" t="s">
        <v>2957</v>
      </c>
      <c r="D2965" s="19" t="s">
        <v>18394</v>
      </c>
      <c r="E2965" s="19" t="s">
        <v>31933</v>
      </c>
      <c r="F2965" s="19" t="s">
        <v>35987</v>
      </c>
      <c r="G2965" s="18" t="str">
        <f>"62002"</f>
        <v>62002</v>
      </c>
      <c r="H2965" s="19" t="s">
        <v>30899</v>
      </c>
      <c r="I2965" s="20">
        <v>20.323</v>
      </c>
      <c r="J2965" s="44" t="s">
        <v>8</v>
      </c>
      <c r="K2965" s="23" t="s">
        <v>8</v>
      </c>
      <c r="L2965" s="23" t="s">
        <v>8</v>
      </c>
      <c r="M2965" s="23" t="s">
        <v>8</v>
      </c>
    </row>
    <row r="2966" spans="1:13" s="21" customFormat="1" x14ac:dyDescent="0.25">
      <c r="A2966" s="22" t="s">
        <v>8</v>
      </c>
      <c r="B2966" s="18" t="str">
        <f>"145122"</f>
        <v>145122</v>
      </c>
      <c r="C2966" s="19" t="s">
        <v>2958</v>
      </c>
      <c r="D2966" s="19" t="s">
        <v>18395</v>
      </c>
      <c r="E2966" s="19" t="s">
        <v>31917</v>
      </c>
      <c r="F2966" s="19" t="s">
        <v>35987</v>
      </c>
      <c r="G2966" s="18" t="str">
        <f>"60202"</f>
        <v>60202</v>
      </c>
      <c r="H2966" s="19" t="s">
        <v>33420</v>
      </c>
      <c r="I2966" s="20">
        <v>22.507999999999999</v>
      </c>
      <c r="J2966" s="44" t="s">
        <v>8</v>
      </c>
      <c r="K2966" s="23" t="s">
        <v>8</v>
      </c>
      <c r="L2966" s="23" t="s">
        <v>8</v>
      </c>
      <c r="M2966" s="23" t="s">
        <v>8</v>
      </c>
    </row>
    <row r="2967" spans="1:13" s="21" customFormat="1" x14ac:dyDescent="0.25">
      <c r="A2967" s="22" t="s">
        <v>8</v>
      </c>
      <c r="B2967" s="18" t="str">
        <f>"145126"</f>
        <v>145126</v>
      </c>
      <c r="C2967" s="19" t="s">
        <v>2959</v>
      </c>
      <c r="D2967" s="19" t="s">
        <v>18396</v>
      </c>
      <c r="E2967" s="19" t="s">
        <v>31934</v>
      </c>
      <c r="F2967" s="19" t="s">
        <v>35987</v>
      </c>
      <c r="G2967" s="18" t="str">
        <f>"60657"</f>
        <v>60657</v>
      </c>
      <c r="H2967" s="19" t="s">
        <v>33420</v>
      </c>
      <c r="I2967" s="20">
        <v>22.023</v>
      </c>
      <c r="J2967" s="44" t="s">
        <v>8</v>
      </c>
      <c r="K2967" s="23" t="s">
        <v>8</v>
      </c>
      <c r="L2967" s="23" t="s">
        <v>8</v>
      </c>
      <c r="M2967" s="23" t="s">
        <v>8</v>
      </c>
    </row>
    <row r="2968" spans="1:13" s="21" customFormat="1" x14ac:dyDescent="0.25">
      <c r="A2968" s="22" t="s">
        <v>8</v>
      </c>
      <c r="B2968" s="18" t="str">
        <f>"145135"</f>
        <v>145135</v>
      </c>
      <c r="C2968" s="19" t="s">
        <v>2960</v>
      </c>
      <c r="D2968" s="19" t="s">
        <v>18397</v>
      </c>
      <c r="E2968" s="19" t="s">
        <v>31912</v>
      </c>
      <c r="F2968" s="19" t="s">
        <v>35987</v>
      </c>
      <c r="G2968" s="18" t="str">
        <f>"62450"</f>
        <v>62450</v>
      </c>
      <c r="H2968" s="19" t="s">
        <v>31785</v>
      </c>
      <c r="I2968" s="20">
        <v>20.983000000000001</v>
      </c>
      <c r="J2968" s="44" t="s">
        <v>8</v>
      </c>
      <c r="K2968" s="23" t="s">
        <v>8</v>
      </c>
      <c r="L2968" s="23" t="s">
        <v>8</v>
      </c>
      <c r="M2968" s="23" t="s">
        <v>8</v>
      </c>
    </row>
    <row r="2969" spans="1:13" s="21" customFormat="1" x14ac:dyDescent="0.25">
      <c r="A2969" s="22" t="s">
        <v>8</v>
      </c>
      <c r="B2969" s="18" t="str">
        <f>"145136"</f>
        <v>145136</v>
      </c>
      <c r="C2969" s="19" t="s">
        <v>2961</v>
      </c>
      <c r="D2969" s="19" t="s">
        <v>18398</v>
      </c>
      <c r="E2969" s="19" t="s">
        <v>30926</v>
      </c>
      <c r="F2969" s="19" t="s">
        <v>35987</v>
      </c>
      <c r="G2969" s="18" t="str">
        <f>"62615"</f>
        <v>62615</v>
      </c>
      <c r="H2969" s="19" t="s">
        <v>36232</v>
      </c>
      <c r="I2969" s="20">
        <v>20.155000000000001</v>
      </c>
      <c r="J2969" s="44" t="s">
        <v>8</v>
      </c>
      <c r="K2969" s="23" t="s">
        <v>8</v>
      </c>
      <c r="L2969" s="23" t="s">
        <v>8</v>
      </c>
      <c r="M2969" s="23" t="s">
        <v>8</v>
      </c>
    </row>
    <row r="2970" spans="1:13" s="21" customFormat="1" x14ac:dyDescent="0.25">
      <c r="A2970" s="22" t="s">
        <v>8</v>
      </c>
      <c r="B2970" s="18" t="str">
        <f>"145142"</f>
        <v>145142</v>
      </c>
      <c r="C2970" s="19" t="s">
        <v>2962</v>
      </c>
      <c r="D2970" s="19" t="s">
        <v>18399</v>
      </c>
      <c r="E2970" s="19" t="s">
        <v>31935</v>
      </c>
      <c r="F2970" s="19" t="s">
        <v>35987</v>
      </c>
      <c r="G2970" s="18" t="str">
        <f>"61108"</f>
        <v>61108</v>
      </c>
      <c r="H2970" s="19" t="s">
        <v>36233</v>
      </c>
      <c r="I2970" s="20">
        <v>22.039000000000001</v>
      </c>
      <c r="J2970" s="44" t="s">
        <v>8</v>
      </c>
      <c r="K2970" s="23" t="s">
        <v>8</v>
      </c>
      <c r="L2970" s="23" t="s">
        <v>8</v>
      </c>
      <c r="M2970" s="23" t="s">
        <v>8</v>
      </c>
    </row>
    <row r="2971" spans="1:13" s="21" customFormat="1" x14ac:dyDescent="0.25">
      <c r="A2971" s="22" t="s">
        <v>8</v>
      </c>
      <c r="B2971" s="18" t="str">
        <f>"145151"</f>
        <v>145151</v>
      </c>
      <c r="C2971" s="19" t="s">
        <v>2963</v>
      </c>
      <c r="D2971" s="19" t="s">
        <v>18400</v>
      </c>
      <c r="E2971" s="19" t="s">
        <v>31936</v>
      </c>
      <c r="F2971" s="19" t="s">
        <v>35987</v>
      </c>
      <c r="G2971" s="18" t="str">
        <f>"61342"</f>
        <v>61342</v>
      </c>
      <c r="H2971" s="19" t="s">
        <v>31983</v>
      </c>
      <c r="I2971" s="20">
        <v>18.832999999999998</v>
      </c>
      <c r="J2971" s="44" t="s">
        <v>8</v>
      </c>
      <c r="K2971" s="23" t="s">
        <v>8</v>
      </c>
      <c r="L2971" s="23" t="s">
        <v>8</v>
      </c>
      <c r="M2971" s="23" t="s">
        <v>8</v>
      </c>
    </row>
    <row r="2972" spans="1:13" s="21" customFormat="1" x14ac:dyDescent="0.25">
      <c r="A2972" s="22" t="s">
        <v>8</v>
      </c>
      <c r="B2972" s="18" t="str">
        <f>"145160"</f>
        <v>145160</v>
      </c>
      <c r="C2972" s="19" t="s">
        <v>2964</v>
      </c>
      <c r="D2972" s="19" t="s">
        <v>18401</v>
      </c>
      <c r="E2972" s="19" t="s">
        <v>31717</v>
      </c>
      <c r="F2972" s="19" t="s">
        <v>35987</v>
      </c>
      <c r="G2972" s="18" t="str">
        <f>"62702"</f>
        <v>62702</v>
      </c>
      <c r="H2972" s="19" t="s">
        <v>36232</v>
      </c>
      <c r="I2972" s="20">
        <v>18.382000000000001</v>
      </c>
      <c r="J2972" s="44" t="s">
        <v>8</v>
      </c>
      <c r="K2972" s="23" t="s">
        <v>8</v>
      </c>
      <c r="L2972" s="23" t="s">
        <v>8</v>
      </c>
      <c r="M2972" s="23" t="s">
        <v>8</v>
      </c>
    </row>
    <row r="2973" spans="1:13" s="21" customFormat="1" x14ac:dyDescent="0.25">
      <c r="A2973" s="22" t="s">
        <v>8</v>
      </c>
      <c r="B2973" s="18" t="str">
        <f>"145171"</f>
        <v>145171</v>
      </c>
      <c r="C2973" s="19" t="s">
        <v>2965</v>
      </c>
      <c r="D2973" s="19" t="s">
        <v>18402</v>
      </c>
      <c r="E2973" s="19" t="s">
        <v>31937</v>
      </c>
      <c r="F2973" s="19" t="s">
        <v>35987</v>
      </c>
      <c r="G2973" s="18" t="str">
        <f>"60062"</f>
        <v>60062</v>
      </c>
      <c r="H2973" s="19" t="s">
        <v>33420</v>
      </c>
      <c r="I2973" s="20">
        <v>18.695</v>
      </c>
      <c r="J2973" s="44" t="s">
        <v>8</v>
      </c>
      <c r="K2973" s="23" t="s">
        <v>8</v>
      </c>
      <c r="L2973" s="23" t="s">
        <v>8</v>
      </c>
      <c r="M2973" s="23" t="s">
        <v>8</v>
      </c>
    </row>
    <row r="2974" spans="1:13" s="21" customFormat="1" x14ac:dyDescent="0.25">
      <c r="A2974" s="22" t="s">
        <v>8</v>
      </c>
      <c r="B2974" s="18" t="str">
        <f>"145173"</f>
        <v>145173</v>
      </c>
      <c r="C2974" s="19" t="s">
        <v>2966</v>
      </c>
      <c r="D2974" s="19" t="s">
        <v>18403</v>
      </c>
      <c r="E2974" s="19" t="s">
        <v>31938</v>
      </c>
      <c r="F2974" s="19" t="s">
        <v>35987</v>
      </c>
      <c r="G2974" s="18" t="str">
        <f>"60426"</f>
        <v>60426</v>
      </c>
      <c r="H2974" s="19" t="s">
        <v>33420</v>
      </c>
      <c r="I2974" s="20">
        <v>19.193000000000001</v>
      </c>
      <c r="J2974" s="44" t="s">
        <v>8</v>
      </c>
      <c r="K2974" s="23" t="s">
        <v>8</v>
      </c>
      <c r="L2974" s="23" t="s">
        <v>8</v>
      </c>
      <c r="M2974" s="23" t="s">
        <v>8</v>
      </c>
    </row>
    <row r="2975" spans="1:13" s="21" customFormat="1" x14ac:dyDescent="0.25">
      <c r="A2975" s="22" t="s">
        <v>8</v>
      </c>
      <c r="B2975" s="18" t="str">
        <f>"145183"</f>
        <v>145183</v>
      </c>
      <c r="C2975" s="19" t="s">
        <v>2967</v>
      </c>
      <c r="D2975" s="19" t="s">
        <v>18404</v>
      </c>
      <c r="E2975" s="19" t="s">
        <v>30981</v>
      </c>
      <c r="F2975" s="19" t="s">
        <v>35987</v>
      </c>
      <c r="G2975" s="18" t="str">
        <f>"61832"</f>
        <v>61832</v>
      </c>
      <c r="H2975" s="19" t="s">
        <v>34509</v>
      </c>
      <c r="I2975" s="20">
        <v>17.085999999999999</v>
      </c>
      <c r="J2975" s="44" t="s">
        <v>8</v>
      </c>
      <c r="K2975" s="23" t="s">
        <v>8</v>
      </c>
      <c r="L2975" s="23" t="s">
        <v>8</v>
      </c>
      <c r="M2975" s="23" t="s">
        <v>8</v>
      </c>
    </row>
    <row r="2976" spans="1:13" s="21" customFormat="1" x14ac:dyDescent="0.25">
      <c r="A2976" s="22" t="s">
        <v>8</v>
      </c>
      <c r="B2976" s="18" t="str">
        <f>"145190"</f>
        <v>145190</v>
      </c>
      <c r="C2976" s="19" t="s">
        <v>2968</v>
      </c>
      <c r="D2976" s="19" t="s">
        <v>18405</v>
      </c>
      <c r="E2976" s="19" t="s">
        <v>31939</v>
      </c>
      <c r="F2976" s="19" t="s">
        <v>35987</v>
      </c>
      <c r="G2976" s="18" t="str">
        <f>"61820"</f>
        <v>61820</v>
      </c>
      <c r="H2976" s="19" t="s">
        <v>31939</v>
      </c>
      <c r="I2976" s="20">
        <v>24.638000000000002</v>
      </c>
      <c r="J2976" s="44" t="s">
        <v>8</v>
      </c>
      <c r="K2976" s="23" t="s">
        <v>8</v>
      </c>
      <c r="L2976" s="23" t="s">
        <v>8</v>
      </c>
      <c r="M2976" s="23" t="s">
        <v>8</v>
      </c>
    </row>
    <row r="2977" spans="1:13" s="21" customFormat="1" x14ac:dyDescent="0.25">
      <c r="A2977" s="22" t="s">
        <v>8</v>
      </c>
      <c r="B2977" s="18" t="str">
        <f>"145197"</f>
        <v>145197</v>
      </c>
      <c r="C2977" s="19" t="s">
        <v>2969</v>
      </c>
      <c r="D2977" s="19" t="s">
        <v>18406</v>
      </c>
      <c r="E2977" s="19" t="s">
        <v>31930</v>
      </c>
      <c r="F2977" s="19" t="s">
        <v>35987</v>
      </c>
      <c r="G2977" s="18" t="str">
        <f>"60453"</f>
        <v>60453</v>
      </c>
      <c r="H2977" s="19" t="s">
        <v>33420</v>
      </c>
      <c r="I2977" s="20">
        <v>19.422999999999998</v>
      </c>
      <c r="J2977" s="44" t="s">
        <v>8</v>
      </c>
      <c r="K2977" s="23" t="s">
        <v>8</v>
      </c>
      <c r="L2977" s="23" t="s">
        <v>8</v>
      </c>
      <c r="M2977" s="23" t="s">
        <v>8</v>
      </c>
    </row>
    <row r="2978" spans="1:13" s="21" customFormat="1" x14ac:dyDescent="0.25">
      <c r="A2978" s="22" t="s">
        <v>8</v>
      </c>
      <c r="B2978" s="18" t="str">
        <f>"145198"</f>
        <v>145198</v>
      </c>
      <c r="C2978" s="19" t="s">
        <v>2970</v>
      </c>
      <c r="D2978" s="19" t="s">
        <v>18407</v>
      </c>
      <c r="E2978" s="19" t="s">
        <v>31940</v>
      </c>
      <c r="F2978" s="19" t="s">
        <v>35987</v>
      </c>
      <c r="G2978" s="18" t="str">
        <f>"60053"</f>
        <v>60053</v>
      </c>
      <c r="H2978" s="19" t="s">
        <v>33420</v>
      </c>
      <c r="I2978" s="20">
        <v>20.303000000000001</v>
      </c>
      <c r="J2978" s="44" t="s">
        <v>8</v>
      </c>
      <c r="K2978" s="23" t="s">
        <v>8</v>
      </c>
      <c r="L2978" s="23" t="s">
        <v>8</v>
      </c>
      <c r="M2978" s="23" t="s">
        <v>8</v>
      </c>
    </row>
    <row r="2979" spans="1:13" s="21" customFormat="1" x14ac:dyDescent="0.25">
      <c r="A2979" s="22" t="s">
        <v>8</v>
      </c>
      <c r="B2979" s="18" t="str">
        <f>"145199"</f>
        <v>145199</v>
      </c>
      <c r="C2979" s="19" t="s">
        <v>2971</v>
      </c>
      <c r="D2979" s="19" t="s">
        <v>18408</v>
      </c>
      <c r="E2979" s="19" t="s">
        <v>31941</v>
      </c>
      <c r="F2979" s="19" t="s">
        <v>35987</v>
      </c>
      <c r="G2979" s="18" t="str">
        <f>"60005"</f>
        <v>60005</v>
      </c>
      <c r="H2979" s="19" t="s">
        <v>33420</v>
      </c>
      <c r="I2979" s="20">
        <v>16.72</v>
      </c>
      <c r="J2979" s="44" t="s">
        <v>8</v>
      </c>
      <c r="K2979" s="23" t="s">
        <v>8</v>
      </c>
      <c r="L2979" s="23" t="s">
        <v>8</v>
      </c>
      <c r="M2979" s="23" t="s">
        <v>8</v>
      </c>
    </row>
    <row r="2980" spans="1:13" s="21" customFormat="1" x14ac:dyDescent="0.25">
      <c r="A2980" s="22" t="s">
        <v>8</v>
      </c>
      <c r="B2980" s="18" t="str">
        <f>"145200"</f>
        <v>145200</v>
      </c>
      <c r="C2980" s="19" t="s">
        <v>2972</v>
      </c>
      <c r="D2980" s="19" t="s">
        <v>18409</v>
      </c>
      <c r="E2980" s="19" t="s">
        <v>31942</v>
      </c>
      <c r="F2980" s="19" t="s">
        <v>35987</v>
      </c>
      <c r="G2980" s="18" t="str">
        <f>"61031"</f>
        <v>61031</v>
      </c>
      <c r="H2980" s="19" t="s">
        <v>33138</v>
      </c>
      <c r="I2980" s="20">
        <v>17.667000000000002</v>
      </c>
      <c r="J2980" s="44" t="s">
        <v>8</v>
      </c>
      <c r="K2980" s="23" t="s">
        <v>8</v>
      </c>
      <c r="L2980" s="23" t="s">
        <v>8</v>
      </c>
      <c r="M2980" s="23" t="s">
        <v>8</v>
      </c>
    </row>
    <row r="2981" spans="1:13" s="21" customFormat="1" x14ac:dyDescent="0.25">
      <c r="A2981" s="22" t="s">
        <v>8</v>
      </c>
      <c r="B2981" s="18" t="str">
        <f>"145208"</f>
        <v>145208</v>
      </c>
      <c r="C2981" s="19" t="s">
        <v>2973</v>
      </c>
      <c r="D2981" s="19" t="s">
        <v>18410</v>
      </c>
      <c r="E2981" s="19" t="s">
        <v>31943</v>
      </c>
      <c r="F2981" s="19" t="s">
        <v>35987</v>
      </c>
      <c r="G2981" s="18" t="str">
        <f>"60455"</f>
        <v>60455</v>
      </c>
      <c r="H2981" s="19" t="s">
        <v>33420</v>
      </c>
      <c r="I2981" s="20">
        <v>19.972000000000001</v>
      </c>
      <c r="J2981" s="44" t="s">
        <v>8</v>
      </c>
      <c r="K2981" s="23" t="s">
        <v>8</v>
      </c>
      <c r="L2981" s="23" t="s">
        <v>8</v>
      </c>
      <c r="M2981" s="23" t="s">
        <v>8</v>
      </c>
    </row>
    <row r="2982" spans="1:13" s="21" customFormat="1" x14ac:dyDescent="0.25">
      <c r="A2982" s="22" t="s">
        <v>8</v>
      </c>
      <c r="B2982" s="18" t="str">
        <f>"145211"</f>
        <v>145211</v>
      </c>
      <c r="C2982" s="19" t="s">
        <v>2974</v>
      </c>
      <c r="D2982" s="19" t="s">
        <v>18411</v>
      </c>
      <c r="E2982" s="19" t="s">
        <v>31294</v>
      </c>
      <c r="F2982" s="19" t="s">
        <v>35987</v>
      </c>
      <c r="G2982" s="18" t="str">
        <f>"60459"</f>
        <v>60459</v>
      </c>
      <c r="H2982" s="19" t="s">
        <v>33420</v>
      </c>
      <c r="I2982" s="20">
        <v>19.809999999999999</v>
      </c>
      <c r="J2982" s="44" t="s">
        <v>8</v>
      </c>
      <c r="K2982" s="23" t="s">
        <v>8</v>
      </c>
      <c r="L2982" s="23" t="s">
        <v>8</v>
      </c>
      <c r="M2982" s="23" t="s">
        <v>8</v>
      </c>
    </row>
    <row r="2983" spans="1:13" s="21" customFormat="1" x14ac:dyDescent="0.25">
      <c r="A2983" s="22" t="s">
        <v>8</v>
      </c>
      <c r="B2983" s="18" t="str">
        <f>"145213"</f>
        <v>145213</v>
      </c>
      <c r="C2983" s="19" t="s">
        <v>2975</v>
      </c>
      <c r="D2983" s="19" t="s">
        <v>18412</v>
      </c>
      <c r="E2983" s="19" t="s">
        <v>31926</v>
      </c>
      <c r="F2983" s="19" t="s">
        <v>35987</v>
      </c>
      <c r="G2983" s="18" t="str">
        <f>"60187"</f>
        <v>60187</v>
      </c>
      <c r="H2983" s="19" t="s">
        <v>36231</v>
      </c>
      <c r="I2983" s="20">
        <v>20.401</v>
      </c>
      <c r="J2983" s="44" t="s">
        <v>8</v>
      </c>
      <c r="K2983" s="23" t="s">
        <v>8</v>
      </c>
      <c r="L2983" s="23" t="s">
        <v>8</v>
      </c>
      <c r="M2983" s="23" t="s">
        <v>8</v>
      </c>
    </row>
    <row r="2984" spans="1:13" s="21" customFormat="1" x14ac:dyDescent="0.25">
      <c r="A2984" s="22" t="s">
        <v>8</v>
      </c>
      <c r="B2984" s="18" t="str">
        <f>"145216"</f>
        <v>145216</v>
      </c>
      <c r="C2984" s="19" t="s">
        <v>2976</v>
      </c>
      <c r="D2984" s="19" t="s">
        <v>18413</v>
      </c>
      <c r="E2984" s="19" t="s">
        <v>31944</v>
      </c>
      <c r="F2984" s="19" t="s">
        <v>35987</v>
      </c>
      <c r="G2984" s="18" t="str">
        <f>"60045"</f>
        <v>60045</v>
      </c>
      <c r="H2984" s="19" t="s">
        <v>36096</v>
      </c>
      <c r="I2984" s="20">
        <v>19.555</v>
      </c>
      <c r="J2984" s="44" t="s">
        <v>8</v>
      </c>
      <c r="K2984" s="23" t="s">
        <v>8</v>
      </c>
      <c r="L2984" s="23" t="s">
        <v>8</v>
      </c>
      <c r="M2984" s="23" t="s">
        <v>8</v>
      </c>
    </row>
    <row r="2985" spans="1:13" s="21" customFormat="1" x14ac:dyDescent="0.25">
      <c r="A2985" s="22" t="s">
        <v>8</v>
      </c>
      <c r="B2985" s="18" t="str">
        <f>"145219"</f>
        <v>145219</v>
      </c>
      <c r="C2985" s="19" t="s">
        <v>2977</v>
      </c>
      <c r="D2985" s="19" t="s">
        <v>18414</v>
      </c>
      <c r="E2985" s="19" t="s">
        <v>31945</v>
      </c>
      <c r="F2985" s="19" t="s">
        <v>35987</v>
      </c>
      <c r="G2985" s="18" t="str">
        <f>"60559"</f>
        <v>60559</v>
      </c>
      <c r="H2985" s="19" t="s">
        <v>36231</v>
      </c>
      <c r="I2985" s="20">
        <v>18.22</v>
      </c>
      <c r="J2985" s="44" t="s">
        <v>8</v>
      </c>
      <c r="K2985" s="23" t="s">
        <v>8</v>
      </c>
      <c r="L2985" s="23" t="s">
        <v>8</v>
      </c>
      <c r="M2985" s="23" t="s">
        <v>8</v>
      </c>
    </row>
    <row r="2986" spans="1:13" s="21" customFormat="1" x14ac:dyDescent="0.25">
      <c r="A2986" s="22" t="s">
        <v>8</v>
      </c>
      <c r="B2986" s="18" t="str">
        <f>"145220"</f>
        <v>145220</v>
      </c>
      <c r="C2986" s="19" t="s">
        <v>2978</v>
      </c>
      <c r="D2986" s="19" t="s">
        <v>18415</v>
      </c>
      <c r="E2986" s="19" t="s">
        <v>31946</v>
      </c>
      <c r="F2986" s="19" t="s">
        <v>35987</v>
      </c>
      <c r="G2986" s="18" t="str">
        <f>"60429"</f>
        <v>60429</v>
      </c>
      <c r="H2986" s="19" t="s">
        <v>33420</v>
      </c>
      <c r="I2986" s="20">
        <v>19.416</v>
      </c>
      <c r="J2986" s="44" t="s">
        <v>8</v>
      </c>
      <c r="K2986" s="23" t="s">
        <v>8</v>
      </c>
      <c r="L2986" s="23" t="s">
        <v>8</v>
      </c>
      <c r="M2986" s="23" t="s">
        <v>8</v>
      </c>
    </row>
    <row r="2987" spans="1:13" s="21" customFormat="1" x14ac:dyDescent="0.25">
      <c r="A2987" s="22" t="s">
        <v>8</v>
      </c>
      <c r="B2987" s="18" t="str">
        <f>"145221"</f>
        <v>145221</v>
      </c>
      <c r="C2987" s="19" t="s">
        <v>2979</v>
      </c>
      <c r="D2987" s="19" t="s">
        <v>18416</v>
      </c>
      <c r="E2987" s="19" t="s">
        <v>31922</v>
      </c>
      <c r="F2987" s="19" t="s">
        <v>35987</v>
      </c>
      <c r="G2987" s="18" t="str">
        <f>"60435"</f>
        <v>60435</v>
      </c>
      <c r="H2987" s="19" t="s">
        <v>36230</v>
      </c>
      <c r="I2987" s="20">
        <v>21.466999999999999</v>
      </c>
      <c r="J2987" s="44" t="s">
        <v>8</v>
      </c>
      <c r="K2987" s="23" t="s">
        <v>8</v>
      </c>
      <c r="L2987" s="23" t="s">
        <v>8</v>
      </c>
      <c r="M2987" s="23" t="s">
        <v>8</v>
      </c>
    </row>
    <row r="2988" spans="1:13" s="21" customFormat="1" x14ac:dyDescent="0.25">
      <c r="A2988" s="22" t="s">
        <v>8</v>
      </c>
      <c r="B2988" s="18" t="str">
        <f>"145222"</f>
        <v>145222</v>
      </c>
      <c r="C2988" s="19" t="s">
        <v>2980</v>
      </c>
      <c r="D2988" s="19" t="s">
        <v>18417</v>
      </c>
      <c r="E2988" s="19" t="s">
        <v>31766</v>
      </c>
      <c r="F2988" s="19" t="s">
        <v>35987</v>
      </c>
      <c r="G2988" s="18" t="str">
        <f>"60098"</f>
        <v>60098</v>
      </c>
      <c r="H2988" s="19" t="s">
        <v>32006</v>
      </c>
      <c r="I2988" s="20">
        <v>16.553000000000001</v>
      </c>
      <c r="J2988" s="44" t="s">
        <v>8</v>
      </c>
      <c r="K2988" s="23" t="s">
        <v>8</v>
      </c>
      <c r="L2988" s="23" t="s">
        <v>8</v>
      </c>
      <c r="M2988" s="23" t="s">
        <v>8</v>
      </c>
    </row>
    <row r="2989" spans="1:13" s="21" customFormat="1" x14ac:dyDescent="0.25">
      <c r="A2989" s="22" t="s">
        <v>8</v>
      </c>
      <c r="B2989" s="18" t="str">
        <f>"145225"</f>
        <v>145225</v>
      </c>
      <c r="C2989" s="19" t="s">
        <v>2981</v>
      </c>
      <c r="D2989" s="19" t="s">
        <v>18418</v>
      </c>
      <c r="E2989" s="19" t="s">
        <v>31717</v>
      </c>
      <c r="F2989" s="19" t="s">
        <v>35987</v>
      </c>
      <c r="G2989" s="18" t="str">
        <f>"62702"</f>
        <v>62702</v>
      </c>
      <c r="H2989" s="19" t="s">
        <v>36232</v>
      </c>
      <c r="I2989" s="20">
        <v>10.569000000000001</v>
      </c>
      <c r="J2989" s="44" t="s">
        <v>8</v>
      </c>
      <c r="K2989" s="23" t="s">
        <v>8</v>
      </c>
      <c r="L2989" s="23" t="s">
        <v>8</v>
      </c>
      <c r="M2989" s="23" t="s">
        <v>8</v>
      </c>
    </row>
    <row r="2990" spans="1:13" s="21" customFormat="1" x14ac:dyDescent="0.25">
      <c r="A2990" s="22" t="s">
        <v>8</v>
      </c>
      <c r="B2990" s="18" t="str">
        <f>"145229"</f>
        <v>145229</v>
      </c>
      <c r="C2990" s="19" t="s">
        <v>2982</v>
      </c>
      <c r="D2990" s="19" t="s">
        <v>18419</v>
      </c>
      <c r="E2990" s="19" t="s">
        <v>31717</v>
      </c>
      <c r="F2990" s="19" t="s">
        <v>35987</v>
      </c>
      <c r="G2990" s="18" t="str">
        <f>"62702"</f>
        <v>62702</v>
      </c>
      <c r="H2990" s="19" t="s">
        <v>36232</v>
      </c>
      <c r="I2990" s="20">
        <v>18.579000000000001</v>
      </c>
      <c r="J2990" s="44" t="s">
        <v>8</v>
      </c>
      <c r="K2990" s="23" t="s">
        <v>8</v>
      </c>
      <c r="L2990" s="23" t="s">
        <v>8</v>
      </c>
      <c r="M2990" s="23" t="s">
        <v>8</v>
      </c>
    </row>
    <row r="2991" spans="1:13" s="21" customFormat="1" x14ac:dyDescent="0.25">
      <c r="A2991" s="22" t="s">
        <v>8</v>
      </c>
      <c r="B2991" s="18" t="str">
        <f>"145234"</f>
        <v>145234</v>
      </c>
      <c r="C2991" s="19" t="s">
        <v>2983</v>
      </c>
      <c r="D2991" s="19" t="s">
        <v>18420</v>
      </c>
      <c r="E2991" s="19" t="s">
        <v>31947</v>
      </c>
      <c r="F2991" s="19" t="s">
        <v>35987</v>
      </c>
      <c r="G2991" s="18" t="str">
        <f>"61032"</f>
        <v>61032</v>
      </c>
      <c r="H2991" s="19" t="s">
        <v>33297</v>
      </c>
      <c r="I2991" s="20">
        <v>19.521000000000001</v>
      </c>
      <c r="J2991" s="44" t="s">
        <v>8</v>
      </c>
      <c r="K2991" s="23" t="s">
        <v>8</v>
      </c>
      <c r="L2991" s="23" t="s">
        <v>8</v>
      </c>
      <c r="M2991" s="23" t="s">
        <v>8</v>
      </c>
    </row>
    <row r="2992" spans="1:13" s="21" customFormat="1" x14ac:dyDescent="0.25">
      <c r="A2992" s="22" t="s">
        <v>8</v>
      </c>
      <c r="B2992" s="18" t="str">
        <f>"145235"</f>
        <v>145235</v>
      </c>
      <c r="C2992" s="19" t="s">
        <v>2984</v>
      </c>
      <c r="D2992" s="19" t="s">
        <v>18421</v>
      </c>
      <c r="E2992" s="19" t="s">
        <v>31934</v>
      </c>
      <c r="F2992" s="19" t="s">
        <v>35987</v>
      </c>
      <c r="G2992" s="18" t="str">
        <f>"60626"</f>
        <v>60626</v>
      </c>
      <c r="H2992" s="19" t="s">
        <v>33420</v>
      </c>
      <c r="I2992" s="20">
        <v>18.323</v>
      </c>
      <c r="J2992" s="44" t="s">
        <v>8</v>
      </c>
      <c r="K2992" s="23" t="s">
        <v>8</v>
      </c>
      <c r="L2992" s="23" t="s">
        <v>8</v>
      </c>
      <c r="M2992" s="23" t="s">
        <v>8</v>
      </c>
    </row>
    <row r="2993" spans="1:13" s="21" customFormat="1" x14ac:dyDescent="0.25">
      <c r="A2993" s="22" t="s">
        <v>8</v>
      </c>
      <c r="B2993" s="18" t="str">
        <f>"145237"</f>
        <v>145237</v>
      </c>
      <c r="C2993" s="19" t="s">
        <v>2985</v>
      </c>
      <c r="D2993" s="19" t="s">
        <v>18422</v>
      </c>
      <c r="E2993" s="19" t="s">
        <v>31948</v>
      </c>
      <c r="F2993" s="19" t="s">
        <v>35987</v>
      </c>
      <c r="G2993" s="18" t="str">
        <f>"60714"</f>
        <v>60714</v>
      </c>
      <c r="H2993" s="19" t="s">
        <v>33420</v>
      </c>
      <c r="I2993" s="20">
        <v>21.358000000000001</v>
      </c>
      <c r="J2993" s="44" t="s">
        <v>8</v>
      </c>
      <c r="K2993" s="23" t="s">
        <v>8</v>
      </c>
      <c r="L2993" s="23" t="s">
        <v>8</v>
      </c>
      <c r="M2993" s="23" t="s">
        <v>8</v>
      </c>
    </row>
    <row r="2994" spans="1:13" s="21" customFormat="1" x14ac:dyDescent="0.25">
      <c r="A2994" s="22" t="s">
        <v>8</v>
      </c>
      <c r="B2994" s="18" t="str">
        <f>"145239"</f>
        <v>145239</v>
      </c>
      <c r="C2994" s="19" t="s">
        <v>2986</v>
      </c>
      <c r="D2994" s="19" t="s">
        <v>18423</v>
      </c>
      <c r="E2994" s="19" t="s">
        <v>31949</v>
      </c>
      <c r="F2994" s="19" t="s">
        <v>35987</v>
      </c>
      <c r="G2994" s="18" t="str">
        <f>"61614"</f>
        <v>61614</v>
      </c>
      <c r="H2994" s="19" t="s">
        <v>30954</v>
      </c>
      <c r="I2994" s="20">
        <v>19.648</v>
      </c>
      <c r="J2994" s="44" t="s">
        <v>8</v>
      </c>
      <c r="K2994" s="23" t="s">
        <v>8</v>
      </c>
      <c r="L2994" s="23" t="s">
        <v>8</v>
      </c>
      <c r="M2994" s="23" t="s">
        <v>8</v>
      </c>
    </row>
    <row r="2995" spans="1:13" s="21" customFormat="1" x14ac:dyDescent="0.25">
      <c r="A2995" s="22" t="s">
        <v>8</v>
      </c>
      <c r="B2995" s="18" t="str">
        <f>"145241"</f>
        <v>145241</v>
      </c>
      <c r="C2995" s="19" t="s">
        <v>2987</v>
      </c>
      <c r="D2995" s="19" t="s">
        <v>18424</v>
      </c>
      <c r="E2995" s="19" t="s">
        <v>31931</v>
      </c>
      <c r="F2995" s="19" t="s">
        <v>35987</v>
      </c>
      <c r="G2995" s="18" t="str">
        <f>"62220"</f>
        <v>62220</v>
      </c>
      <c r="H2995" s="19" t="s">
        <v>33662</v>
      </c>
      <c r="I2995" s="20">
        <v>19.670000000000002</v>
      </c>
      <c r="J2995" s="44" t="s">
        <v>8</v>
      </c>
      <c r="K2995" s="23" t="s">
        <v>8</v>
      </c>
      <c r="L2995" s="23" t="s">
        <v>8</v>
      </c>
      <c r="M2995" s="23" t="s">
        <v>8</v>
      </c>
    </row>
    <row r="2996" spans="1:13" s="21" customFormat="1" x14ac:dyDescent="0.25">
      <c r="A2996" s="22" t="s">
        <v>8</v>
      </c>
      <c r="B2996" s="18" t="str">
        <f>"145243"</f>
        <v>145243</v>
      </c>
      <c r="C2996" s="19" t="s">
        <v>2988</v>
      </c>
      <c r="D2996" s="19" t="s">
        <v>18425</v>
      </c>
      <c r="E2996" s="19" t="s">
        <v>30981</v>
      </c>
      <c r="F2996" s="19" t="s">
        <v>35987</v>
      </c>
      <c r="G2996" s="18" t="str">
        <f>"61832"</f>
        <v>61832</v>
      </c>
      <c r="H2996" s="19" t="s">
        <v>34509</v>
      </c>
      <c r="I2996" s="20">
        <v>18.417000000000002</v>
      </c>
      <c r="J2996" s="44" t="s">
        <v>8</v>
      </c>
      <c r="K2996" s="23" t="s">
        <v>8</v>
      </c>
      <c r="L2996" s="23" t="s">
        <v>8</v>
      </c>
      <c r="M2996" s="23" t="s">
        <v>8</v>
      </c>
    </row>
    <row r="2997" spans="1:13" s="21" customFormat="1" x14ac:dyDescent="0.25">
      <c r="A2997" s="22" t="s">
        <v>8</v>
      </c>
      <c r="B2997" s="18" t="str">
        <f>"145244"</f>
        <v>145244</v>
      </c>
      <c r="C2997" s="19" t="s">
        <v>2989</v>
      </c>
      <c r="D2997" s="19" t="s">
        <v>18426</v>
      </c>
      <c r="E2997" s="19" t="s">
        <v>31934</v>
      </c>
      <c r="F2997" s="19" t="s">
        <v>35987</v>
      </c>
      <c r="G2997" s="18" t="str">
        <f>"60626"</f>
        <v>60626</v>
      </c>
      <c r="H2997" s="19" t="s">
        <v>33420</v>
      </c>
      <c r="I2997" s="20">
        <v>21.094000000000001</v>
      </c>
      <c r="J2997" s="44" t="s">
        <v>8</v>
      </c>
      <c r="K2997" s="23" t="s">
        <v>8</v>
      </c>
      <c r="L2997" s="23" t="s">
        <v>8</v>
      </c>
      <c r="M2997" s="23" t="s">
        <v>8</v>
      </c>
    </row>
    <row r="2998" spans="1:13" s="21" customFormat="1" x14ac:dyDescent="0.25">
      <c r="A2998" s="22" t="s">
        <v>8</v>
      </c>
      <c r="B2998" s="18" t="str">
        <f>"145246"</f>
        <v>145246</v>
      </c>
      <c r="C2998" s="19" t="s">
        <v>2990</v>
      </c>
      <c r="D2998" s="19" t="s">
        <v>18427</v>
      </c>
      <c r="E2998" s="19" t="s">
        <v>31950</v>
      </c>
      <c r="F2998" s="19" t="s">
        <v>35987</v>
      </c>
      <c r="G2998" s="18" t="str">
        <f>"60521"</f>
        <v>60521</v>
      </c>
      <c r="H2998" s="19" t="s">
        <v>36231</v>
      </c>
      <c r="I2998" s="20">
        <v>18.623000000000001</v>
      </c>
      <c r="J2998" s="44" t="s">
        <v>8</v>
      </c>
      <c r="K2998" s="23" t="s">
        <v>8</v>
      </c>
      <c r="L2998" s="23" t="s">
        <v>8</v>
      </c>
      <c r="M2998" s="23" t="s">
        <v>8</v>
      </c>
    </row>
    <row r="2999" spans="1:13" s="21" customFormat="1" x14ac:dyDescent="0.25">
      <c r="A2999" s="22" t="s">
        <v>8</v>
      </c>
      <c r="B2999" s="18" t="str">
        <f>"145247"</f>
        <v>145247</v>
      </c>
      <c r="C2999" s="19" t="s">
        <v>2991</v>
      </c>
      <c r="D2999" s="19" t="s">
        <v>18428</v>
      </c>
      <c r="E2999" s="19" t="s">
        <v>31038</v>
      </c>
      <c r="F2999" s="19" t="s">
        <v>35987</v>
      </c>
      <c r="G2999" s="18" t="str">
        <f>"62881"</f>
        <v>62881</v>
      </c>
      <c r="H2999" s="19" t="s">
        <v>30850</v>
      </c>
      <c r="I2999" s="20">
        <v>19.234000000000002</v>
      </c>
      <c r="J2999" s="44" t="s">
        <v>8</v>
      </c>
      <c r="K2999" s="23" t="s">
        <v>8</v>
      </c>
      <c r="L2999" s="23" t="s">
        <v>8</v>
      </c>
      <c r="M2999" s="23" t="s">
        <v>8</v>
      </c>
    </row>
    <row r="3000" spans="1:13" s="21" customFormat="1" x14ac:dyDescent="0.25">
      <c r="A3000" s="22" t="s">
        <v>8</v>
      </c>
      <c r="B3000" s="18" t="str">
        <f>"145248"</f>
        <v>145248</v>
      </c>
      <c r="C3000" s="19" t="s">
        <v>2992</v>
      </c>
      <c r="D3000" s="19" t="s">
        <v>18429</v>
      </c>
      <c r="E3000" s="19" t="s">
        <v>31951</v>
      </c>
      <c r="F3000" s="19" t="s">
        <v>35987</v>
      </c>
      <c r="G3000" s="18" t="str">
        <f>"61550"</f>
        <v>61550</v>
      </c>
      <c r="H3000" s="19" t="s">
        <v>35147</v>
      </c>
      <c r="I3000" s="20">
        <v>18.414000000000001</v>
      </c>
      <c r="J3000" s="44" t="s">
        <v>8</v>
      </c>
      <c r="K3000" s="23" t="s">
        <v>8</v>
      </c>
      <c r="L3000" s="23" t="s">
        <v>8</v>
      </c>
      <c r="M3000" s="23" t="s">
        <v>8</v>
      </c>
    </row>
    <row r="3001" spans="1:13" s="21" customFormat="1" x14ac:dyDescent="0.25">
      <c r="A3001" s="22" t="s">
        <v>8</v>
      </c>
      <c r="B3001" s="18" t="str">
        <f>"145256"</f>
        <v>145256</v>
      </c>
      <c r="C3001" s="19" t="s">
        <v>2993</v>
      </c>
      <c r="D3001" s="19" t="s">
        <v>18430</v>
      </c>
      <c r="E3001" s="19" t="s">
        <v>31952</v>
      </c>
      <c r="F3001" s="19" t="s">
        <v>35987</v>
      </c>
      <c r="G3001" s="18" t="str">
        <f>"62401"</f>
        <v>62401</v>
      </c>
      <c r="H3001" s="19" t="s">
        <v>31952</v>
      </c>
      <c r="I3001" s="20">
        <v>15.859</v>
      </c>
      <c r="J3001" s="44" t="s">
        <v>8</v>
      </c>
      <c r="K3001" s="23" t="s">
        <v>8</v>
      </c>
      <c r="L3001" s="23" t="s">
        <v>8</v>
      </c>
      <c r="M3001" s="23" t="s">
        <v>8</v>
      </c>
    </row>
    <row r="3002" spans="1:13" s="21" customFormat="1" x14ac:dyDescent="0.25">
      <c r="A3002" s="22" t="s">
        <v>8</v>
      </c>
      <c r="B3002" s="18" t="str">
        <f>"145257"</f>
        <v>145257</v>
      </c>
      <c r="C3002" s="19" t="s">
        <v>2994</v>
      </c>
      <c r="D3002" s="19" t="s">
        <v>18431</v>
      </c>
      <c r="E3002" s="19" t="s">
        <v>31953</v>
      </c>
      <c r="F3002" s="19" t="s">
        <v>35987</v>
      </c>
      <c r="G3002" s="18" t="str">
        <f>"60014"</f>
        <v>60014</v>
      </c>
      <c r="H3002" s="19" t="s">
        <v>32006</v>
      </c>
      <c r="I3002" s="20">
        <v>19.550999999999998</v>
      </c>
      <c r="J3002" s="44" t="s">
        <v>8</v>
      </c>
      <c r="K3002" s="23" t="s">
        <v>8</v>
      </c>
      <c r="L3002" s="23" t="s">
        <v>8</v>
      </c>
      <c r="M3002" s="23" t="s">
        <v>8</v>
      </c>
    </row>
    <row r="3003" spans="1:13" s="21" customFormat="1" x14ac:dyDescent="0.25">
      <c r="A3003" s="22" t="s">
        <v>8</v>
      </c>
      <c r="B3003" s="18" t="str">
        <f>"145259"</f>
        <v>145259</v>
      </c>
      <c r="C3003" s="19" t="s">
        <v>2995</v>
      </c>
      <c r="D3003" s="19" t="s">
        <v>18432</v>
      </c>
      <c r="E3003" s="19" t="s">
        <v>31935</v>
      </c>
      <c r="F3003" s="19" t="s">
        <v>35987</v>
      </c>
      <c r="G3003" s="18" t="str">
        <f>"61107"</f>
        <v>61107</v>
      </c>
      <c r="H3003" s="19" t="s">
        <v>36233</v>
      </c>
      <c r="I3003" s="20">
        <v>19.600999999999999</v>
      </c>
      <c r="J3003" s="44" t="s">
        <v>8</v>
      </c>
      <c r="K3003" s="23" t="s">
        <v>8</v>
      </c>
      <c r="L3003" s="23" t="s">
        <v>8</v>
      </c>
      <c r="M3003" s="23" t="s">
        <v>8</v>
      </c>
    </row>
    <row r="3004" spans="1:13" s="21" customFormat="1" x14ac:dyDescent="0.25">
      <c r="A3004" s="22" t="s">
        <v>8</v>
      </c>
      <c r="B3004" s="18" t="str">
        <f>"145261"</f>
        <v>145261</v>
      </c>
      <c r="C3004" s="19" t="s">
        <v>2996</v>
      </c>
      <c r="D3004" s="19" t="s">
        <v>18433</v>
      </c>
      <c r="E3004" s="19" t="s">
        <v>31954</v>
      </c>
      <c r="F3004" s="19" t="s">
        <v>35987</v>
      </c>
      <c r="G3004" s="18" t="str">
        <f>"60115"</f>
        <v>60115</v>
      </c>
      <c r="H3004" s="19" t="s">
        <v>31954</v>
      </c>
      <c r="I3004" s="20">
        <v>20.356999999999999</v>
      </c>
      <c r="J3004" s="44" t="s">
        <v>8</v>
      </c>
      <c r="K3004" s="23" t="s">
        <v>8</v>
      </c>
      <c r="L3004" s="23" t="s">
        <v>8</v>
      </c>
      <c r="M3004" s="23" t="s">
        <v>8</v>
      </c>
    </row>
    <row r="3005" spans="1:13" s="21" customFormat="1" x14ac:dyDescent="0.25">
      <c r="A3005" s="22" t="s">
        <v>8</v>
      </c>
      <c r="B3005" s="18" t="str">
        <f>"145266"</f>
        <v>145266</v>
      </c>
      <c r="C3005" s="19" t="s">
        <v>2997</v>
      </c>
      <c r="D3005" s="19" t="s">
        <v>18434</v>
      </c>
      <c r="E3005" s="19" t="s">
        <v>31955</v>
      </c>
      <c r="F3005" s="19" t="s">
        <v>35987</v>
      </c>
      <c r="G3005" s="18" t="str">
        <f>"61611"</f>
        <v>61611</v>
      </c>
      <c r="H3005" s="19" t="s">
        <v>35147</v>
      </c>
      <c r="I3005" s="20">
        <v>20.721</v>
      </c>
      <c r="J3005" s="44" t="s">
        <v>8</v>
      </c>
      <c r="K3005" s="23" t="s">
        <v>8</v>
      </c>
      <c r="L3005" s="23" t="s">
        <v>8</v>
      </c>
      <c r="M3005" s="23" t="s">
        <v>8</v>
      </c>
    </row>
    <row r="3006" spans="1:13" s="21" customFormat="1" x14ac:dyDescent="0.25">
      <c r="A3006" s="22" t="s">
        <v>8</v>
      </c>
      <c r="B3006" s="18" t="str">
        <f>"145267"</f>
        <v>145267</v>
      </c>
      <c r="C3006" s="19" t="s">
        <v>2998</v>
      </c>
      <c r="D3006" s="19" t="s">
        <v>18435</v>
      </c>
      <c r="E3006" s="19" t="s">
        <v>31956</v>
      </c>
      <c r="F3006" s="19" t="s">
        <v>35987</v>
      </c>
      <c r="G3006" s="18" t="str">
        <f>"62557"</f>
        <v>62557</v>
      </c>
      <c r="H3006" s="19" t="s">
        <v>36234</v>
      </c>
      <c r="I3006" s="20">
        <v>20.350000000000001</v>
      </c>
      <c r="J3006" s="44" t="s">
        <v>8</v>
      </c>
      <c r="K3006" s="23" t="s">
        <v>8</v>
      </c>
      <c r="L3006" s="23" t="s">
        <v>8</v>
      </c>
      <c r="M3006" s="23" t="s">
        <v>8</v>
      </c>
    </row>
    <row r="3007" spans="1:13" s="21" customFormat="1" x14ac:dyDescent="0.25">
      <c r="A3007" s="22" t="s">
        <v>8</v>
      </c>
      <c r="B3007" s="18" t="str">
        <f>"145268"</f>
        <v>145268</v>
      </c>
      <c r="C3007" s="19" t="s">
        <v>2999</v>
      </c>
      <c r="D3007" s="19" t="s">
        <v>18436</v>
      </c>
      <c r="E3007" s="19" t="s">
        <v>31957</v>
      </c>
      <c r="F3007" s="19" t="s">
        <v>35987</v>
      </c>
      <c r="G3007" s="18" t="str">
        <f>"60025"</f>
        <v>60025</v>
      </c>
      <c r="H3007" s="19" t="s">
        <v>33420</v>
      </c>
      <c r="I3007" s="20">
        <v>18.577999999999999</v>
      </c>
      <c r="J3007" s="44" t="s">
        <v>8</v>
      </c>
      <c r="K3007" s="23" t="s">
        <v>8</v>
      </c>
      <c r="L3007" s="23" t="s">
        <v>8</v>
      </c>
      <c r="M3007" s="23" t="s">
        <v>8</v>
      </c>
    </row>
    <row r="3008" spans="1:13" s="21" customFormat="1" x14ac:dyDescent="0.25">
      <c r="A3008" s="22" t="s">
        <v>8</v>
      </c>
      <c r="B3008" s="18" t="str">
        <f>"145269"</f>
        <v>145269</v>
      </c>
      <c r="C3008" s="19" t="s">
        <v>3000</v>
      </c>
      <c r="D3008" s="19" t="s">
        <v>18437</v>
      </c>
      <c r="E3008" s="19" t="s">
        <v>31958</v>
      </c>
      <c r="F3008" s="19" t="s">
        <v>35987</v>
      </c>
      <c r="G3008" s="18" t="str">
        <f>"61244"</f>
        <v>61244</v>
      </c>
      <c r="H3008" s="19" t="s">
        <v>31981</v>
      </c>
      <c r="I3008" s="20">
        <v>15.305999999999999</v>
      </c>
      <c r="J3008" s="44" t="s">
        <v>8</v>
      </c>
      <c r="K3008" s="23" t="s">
        <v>8</v>
      </c>
      <c r="L3008" s="23" t="s">
        <v>8</v>
      </c>
      <c r="M3008" s="23" t="s">
        <v>8</v>
      </c>
    </row>
    <row r="3009" spans="1:13" s="21" customFormat="1" x14ac:dyDescent="0.25">
      <c r="A3009" s="22" t="s">
        <v>8</v>
      </c>
      <c r="B3009" s="18" t="str">
        <f>"145271"</f>
        <v>145271</v>
      </c>
      <c r="C3009" s="19" t="s">
        <v>3001</v>
      </c>
      <c r="D3009" s="19" t="s">
        <v>18438</v>
      </c>
      <c r="E3009" s="19" t="s">
        <v>31463</v>
      </c>
      <c r="F3009" s="19" t="s">
        <v>35987</v>
      </c>
      <c r="G3009" s="18" t="str">
        <f>"62056"</f>
        <v>62056</v>
      </c>
      <c r="H3009" s="19" t="s">
        <v>30833</v>
      </c>
      <c r="I3009" s="20">
        <v>17.423999999999999</v>
      </c>
      <c r="J3009" s="44" t="s">
        <v>8</v>
      </c>
      <c r="K3009" s="23" t="s">
        <v>8</v>
      </c>
      <c r="L3009" s="23" t="s">
        <v>8</v>
      </c>
      <c r="M3009" s="23" t="s">
        <v>8</v>
      </c>
    </row>
    <row r="3010" spans="1:13" s="21" customFormat="1" x14ac:dyDescent="0.25">
      <c r="A3010" s="22" t="s">
        <v>8</v>
      </c>
      <c r="B3010" s="18" t="str">
        <f>"145273"</f>
        <v>145273</v>
      </c>
      <c r="C3010" s="19" t="s">
        <v>3002</v>
      </c>
      <c r="D3010" s="19" t="s">
        <v>18439</v>
      </c>
      <c r="E3010" s="19" t="s">
        <v>30912</v>
      </c>
      <c r="F3010" s="19" t="s">
        <v>35987</v>
      </c>
      <c r="G3010" s="18" t="str">
        <f>"62650"</f>
        <v>62650</v>
      </c>
      <c r="H3010" s="19" t="s">
        <v>33505</v>
      </c>
      <c r="I3010" s="20">
        <v>17.57</v>
      </c>
      <c r="J3010" s="44" t="s">
        <v>8</v>
      </c>
      <c r="K3010" s="23" t="s">
        <v>8</v>
      </c>
      <c r="L3010" s="23" t="s">
        <v>8</v>
      </c>
      <c r="M3010" s="23" t="s">
        <v>8</v>
      </c>
    </row>
    <row r="3011" spans="1:13" s="21" customFormat="1" x14ac:dyDescent="0.25">
      <c r="A3011" s="22" t="s">
        <v>8</v>
      </c>
      <c r="B3011" s="18" t="str">
        <f>"145275"</f>
        <v>145275</v>
      </c>
      <c r="C3011" s="19" t="s">
        <v>3003</v>
      </c>
      <c r="D3011" s="19" t="s">
        <v>18440</v>
      </c>
      <c r="E3011" s="19" t="s">
        <v>31959</v>
      </c>
      <c r="F3011" s="19" t="s">
        <v>35987</v>
      </c>
      <c r="G3011" s="18" t="str">
        <f>"61554"</f>
        <v>61554</v>
      </c>
      <c r="H3011" s="19" t="s">
        <v>35147</v>
      </c>
      <c r="I3011" s="20">
        <v>19.657</v>
      </c>
      <c r="J3011" s="44" t="s">
        <v>8</v>
      </c>
      <c r="K3011" s="23" t="s">
        <v>8</v>
      </c>
      <c r="L3011" s="23" t="s">
        <v>8</v>
      </c>
      <c r="M3011" s="23" t="s">
        <v>8</v>
      </c>
    </row>
    <row r="3012" spans="1:13" s="21" customFormat="1" x14ac:dyDescent="0.25">
      <c r="A3012" s="22" t="s">
        <v>8</v>
      </c>
      <c r="B3012" s="18" t="str">
        <f>"145278"</f>
        <v>145278</v>
      </c>
      <c r="C3012" s="19" t="s">
        <v>3004</v>
      </c>
      <c r="D3012" s="19" t="s">
        <v>18441</v>
      </c>
      <c r="E3012" s="19" t="s">
        <v>31347</v>
      </c>
      <c r="F3012" s="19" t="s">
        <v>35987</v>
      </c>
      <c r="G3012" s="18" t="str">
        <f>"61081"</f>
        <v>61081</v>
      </c>
      <c r="H3012" s="19" t="s">
        <v>36235</v>
      </c>
      <c r="I3012" s="20">
        <v>20.981000000000002</v>
      </c>
      <c r="J3012" s="44" t="s">
        <v>8</v>
      </c>
      <c r="K3012" s="23" t="s">
        <v>8</v>
      </c>
      <c r="L3012" s="23" t="s">
        <v>8</v>
      </c>
      <c r="M3012" s="23" t="s">
        <v>8</v>
      </c>
    </row>
    <row r="3013" spans="1:13" s="21" customFormat="1" x14ac:dyDescent="0.25">
      <c r="A3013" s="22" t="s">
        <v>8</v>
      </c>
      <c r="B3013" s="18" t="str">
        <f>"145285"</f>
        <v>145285</v>
      </c>
      <c r="C3013" s="19" t="s">
        <v>3005</v>
      </c>
      <c r="D3013" s="19" t="s">
        <v>18442</v>
      </c>
      <c r="E3013" s="19" t="s">
        <v>31934</v>
      </c>
      <c r="F3013" s="19" t="s">
        <v>35987</v>
      </c>
      <c r="G3013" s="18" t="str">
        <f>"60645"</f>
        <v>60645</v>
      </c>
      <c r="H3013" s="19" t="s">
        <v>33420</v>
      </c>
      <c r="I3013" s="20">
        <v>19.768000000000001</v>
      </c>
      <c r="J3013" s="44" t="s">
        <v>8</v>
      </c>
      <c r="K3013" s="23" t="s">
        <v>8</v>
      </c>
      <c r="L3013" s="23" t="s">
        <v>8</v>
      </c>
      <c r="M3013" s="23" t="s">
        <v>8</v>
      </c>
    </row>
    <row r="3014" spans="1:13" s="21" customFormat="1" x14ac:dyDescent="0.25">
      <c r="A3014" s="22" t="s">
        <v>8</v>
      </c>
      <c r="B3014" s="18" t="str">
        <f>"145286"</f>
        <v>145286</v>
      </c>
      <c r="C3014" s="19" t="s">
        <v>3006</v>
      </c>
      <c r="D3014" s="19" t="s">
        <v>18443</v>
      </c>
      <c r="E3014" s="19" t="s">
        <v>31960</v>
      </c>
      <c r="F3014" s="19" t="s">
        <v>35987</v>
      </c>
      <c r="G3014" s="18" t="str">
        <f>"62088"</f>
        <v>62088</v>
      </c>
      <c r="H3014" s="19" t="s">
        <v>36236</v>
      </c>
      <c r="I3014" s="20">
        <v>17.189</v>
      </c>
      <c r="J3014" s="44" t="s">
        <v>8</v>
      </c>
      <c r="K3014" s="23" t="s">
        <v>8</v>
      </c>
      <c r="L3014" s="23" t="s">
        <v>8</v>
      </c>
      <c r="M3014" s="23" t="s">
        <v>8</v>
      </c>
    </row>
    <row r="3015" spans="1:13" s="21" customFormat="1" x14ac:dyDescent="0.25">
      <c r="A3015" s="22" t="s">
        <v>8</v>
      </c>
      <c r="B3015" s="18" t="str">
        <f>"145289"</f>
        <v>145289</v>
      </c>
      <c r="C3015" s="19" t="s">
        <v>3007</v>
      </c>
      <c r="D3015" s="19" t="s">
        <v>18444</v>
      </c>
      <c r="E3015" s="19" t="s">
        <v>31931</v>
      </c>
      <c r="F3015" s="19" t="s">
        <v>35987</v>
      </c>
      <c r="G3015" s="18" t="str">
        <f>"62223"</f>
        <v>62223</v>
      </c>
      <c r="H3015" s="19" t="s">
        <v>33662</v>
      </c>
      <c r="I3015" s="20">
        <v>17.431999999999999</v>
      </c>
      <c r="J3015" s="44" t="s">
        <v>8</v>
      </c>
      <c r="K3015" s="23" t="s">
        <v>8</v>
      </c>
      <c r="L3015" s="23" t="s">
        <v>8</v>
      </c>
      <c r="M3015" s="23" t="s">
        <v>8</v>
      </c>
    </row>
    <row r="3016" spans="1:13" s="21" customFormat="1" x14ac:dyDescent="0.25">
      <c r="A3016" s="22" t="s">
        <v>8</v>
      </c>
      <c r="B3016" s="18" t="str">
        <f>"145290"</f>
        <v>145290</v>
      </c>
      <c r="C3016" s="19" t="s">
        <v>3008</v>
      </c>
      <c r="D3016" s="19" t="s">
        <v>18445</v>
      </c>
      <c r="E3016" s="19" t="s">
        <v>31931</v>
      </c>
      <c r="F3016" s="19" t="s">
        <v>35987</v>
      </c>
      <c r="G3016" s="18" t="str">
        <f>"62226"</f>
        <v>62226</v>
      </c>
      <c r="H3016" s="19" t="s">
        <v>33662</v>
      </c>
      <c r="I3016" s="20">
        <v>18.658000000000001</v>
      </c>
      <c r="J3016" s="44" t="s">
        <v>8</v>
      </c>
      <c r="K3016" s="23" t="s">
        <v>8</v>
      </c>
      <c r="L3016" s="23" t="s">
        <v>8</v>
      </c>
      <c r="M3016" s="23" t="s">
        <v>8</v>
      </c>
    </row>
    <row r="3017" spans="1:13" s="21" customFormat="1" x14ac:dyDescent="0.25">
      <c r="A3017" s="22" t="s">
        <v>8</v>
      </c>
      <c r="B3017" s="18" t="str">
        <f>"145294"</f>
        <v>145294</v>
      </c>
      <c r="C3017" s="19" t="s">
        <v>3009</v>
      </c>
      <c r="D3017" s="19" t="s">
        <v>18446</v>
      </c>
      <c r="E3017" s="19" t="s">
        <v>30912</v>
      </c>
      <c r="F3017" s="19" t="s">
        <v>35987</v>
      </c>
      <c r="G3017" s="18" t="str">
        <f>"62650"</f>
        <v>62650</v>
      </c>
      <c r="H3017" s="19" t="s">
        <v>33505</v>
      </c>
      <c r="I3017" s="20">
        <v>18.245999999999999</v>
      </c>
      <c r="J3017" s="44" t="s">
        <v>8</v>
      </c>
      <c r="K3017" s="23" t="s">
        <v>8</v>
      </c>
      <c r="L3017" s="23" t="s">
        <v>8</v>
      </c>
      <c r="M3017" s="23" t="s">
        <v>8</v>
      </c>
    </row>
    <row r="3018" spans="1:13" s="21" customFormat="1" x14ac:dyDescent="0.25">
      <c r="A3018" s="22" t="s">
        <v>8</v>
      </c>
      <c r="B3018" s="18" t="str">
        <f>"145295"</f>
        <v>145295</v>
      </c>
      <c r="C3018" s="19" t="s">
        <v>3010</v>
      </c>
      <c r="D3018" s="19" t="s">
        <v>18447</v>
      </c>
      <c r="E3018" s="19" t="s">
        <v>31961</v>
      </c>
      <c r="F3018" s="19" t="s">
        <v>35987</v>
      </c>
      <c r="G3018" s="18" t="str">
        <f>"61341"</f>
        <v>61341</v>
      </c>
      <c r="H3018" s="19" t="s">
        <v>31983</v>
      </c>
      <c r="I3018" s="20">
        <v>19.605</v>
      </c>
      <c r="J3018" s="44" t="s">
        <v>8</v>
      </c>
      <c r="K3018" s="23" t="s">
        <v>8</v>
      </c>
      <c r="L3018" s="23" t="s">
        <v>8</v>
      </c>
      <c r="M3018" s="23" t="s">
        <v>8</v>
      </c>
    </row>
    <row r="3019" spans="1:13" s="21" customFormat="1" x14ac:dyDescent="0.25">
      <c r="A3019" s="22" t="s">
        <v>8</v>
      </c>
      <c r="B3019" s="18" t="str">
        <f>"145304"</f>
        <v>145304</v>
      </c>
      <c r="C3019" s="19" t="s">
        <v>3011</v>
      </c>
      <c r="D3019" s="19" t="s">
        <v>18448</v>
      </c>
      <c r="E3019" s="19" t="s">
        <v>11054</v>
      </c>
      <c r="F3019" s="19" t="s">
        <v>35987</v>
      </c>
      <c r="G3019" s="18" t="str">
        <f>"60015"</f>
        <v>60015</v>
      </c>
      <c r="H3019" s="19" t="s">
        <v>36096</v>
      </c>
      <c r="I3019" s="20">
        <v>20.541</v>
      </c>
      <c r="J3019" s="44" t="s">
        <v>8</v>
      </c>
      <c r="K3019" s="23" t="s">
        <v>8</v>
      </c>
      <c r="L3019" s="23" t="s">
        <v>8</v>
      </c>
      <c r="M3019" s="23" t="s">
        <v>8</v>
      </c>
    </row>
    <row r="3020" spans="1:13" s="21" customFormat="1" x14ac:dyDescent="0.25">
      <c r="A3020" s="22" t="s">
        <v>8</v>
      </c>
      <c r="B3020" s="18" t="str">
        <f>"145307"</f>
        <v>145307</v>
      </c>
      <c r="C3020" s="19" t="s">
        <v>3012</v>
      </c>
      <c r="D3020" s="19" t="s">
        <v>18449</v>
      </c>
      <c r="E3020" s="19" t="s">
        <v>31962</v>
      </c>
      <c r="F3020" s="19" t="s">
        <v>35987</v>
      </c>
      <c r="G3020" s="18" t="str">
        <f>"60526"</f>
        <v>60526</v>
      </c>
      <c r="H3020" s="19" t="s">
        <v>33420</v>
      </c>
      <c r="I3020" s="20">
        <v>20.971</v>
      </c>
      <c r="J3020" s="44" t="s">
        <v>8</v>
      </c>
      <c r="K3020" s="23" t="s">
        <v>8</v>
      </c>
      <c r="L3020" s="23" t="s">
        <v>8</v>
      </c>
      <c r="M3020" s="23" t="s">
        <v>8</v>
      </c>
    </row>
    <row r="3021" spans="1:13" s="21" customFormat="1" x14ac:dyDescent="0.25">
      <c r="A3021" s="22" t="s">
        <v>8</v>
      </c>
      <c r="B3021" s="18" t="str">
        <f>"145308"</f>
        <v>145308</v>
      </c>
      <c r="C3021" s="19" t="s">
        <v>3013</v>
      </c>
      <c r="D3021" s="19" t="s">
        <v>18450</v>
      </c>
      <c r="E3021" s="19" t="s">
        <v>31915</v>
      </c>
      <c r="F3021" s="19" t="s">
        <v>35987</v>
      </c>
      <c r="G3021" s="18" t="str">
        <f>"60123"</f>
        <v>60123</v>
      </c>
      <c r="H3021" s="19" t="s">
        <v>34788</v>
      </c>
      <c r="I3021" s="20">
        <v>21.4</v>
      </c>
      <c r="J3021" s="44" t="s">
        <v>8</v>
      </c>
      <c r="K3021" s="23" t="s">
        <v>8</v>
      </c>
      <c r="L3021" s="23" t="s">
        <v>8</v>
      </c>
      <c r="M3021" s="23" t="s">
        <v>8</v>
      </c>
    </row>
    <row r="3022" spans="1:13" s="21" customFormat="1" x14ac:dyDescent="0.25">
      <c r="A3022" s="22" t="s">
        <v>8</v>
      </c>
      <c r="B3022" s="18" t="str">
        <f>"145309"</f>
        <v>145309</v>
      </c>
      <c r="C3022" s="19" t="s">
        <v>3014</v>
      </c>
      <c r="D3022" s="19" t="s">
        <v>18451</v>
      </c>
      <c r="E3022" s="19" t="s">
        <v>31963</v>
      </c>
      <c r="F3022" s="19" t="s">
        <v>35987</v>
      </c>
      <c r="G3022" s="18" t="str">
        <f>"62278"</f>
        <v>62278</v>
      </c>
      <c r="H3022" s="19" t="s">
        <v>33068</v>
      </c>
      <c r="I3022" s="20">
        <v>19.666</v>
      </c>
      <c r="J3022" s="44" t="s">
        <v>8</v>
      </c>
      <c r="K3022" s="23" t="s">
        <v>8</v>
      </c>
      <c r="L3022" s="23" t="s">
        <v>8</v>
      </c>
      <c r="M3022" s="23" t="s">
        <v>8</v>
      </c>
    </row>
    <row r="3023" spans="1:13" s="21" customFormat="1" x14ac:dyDescent="0.25">
      <c r="A3023" s="22" t="s">
        <v>8</v>
      </c>
      <c r="B3023" s="18" t="str">
        <f>"145312"</f>
        <v>145312</v>
      </c>
      <c r="C3023" s="19" t="s">
        <v>3015</v>
      </c>
      <c r="D3023" s="19" t="s">
        <v>18452</v>
      </c>
      <c r="E3023" s="19" t="s">
        <v>31964</v>
      </c>
      <c r="F3023" s="19" t="s">
        <v>35987</v>
      </c>
      <c r="G3023" s="18" t="str">
        <f>"61008"</f>
        <v>61008</v>
      </c>
      <c r="H3023" s="19" t="s">
        <v>32513</v>
      </c>
      <c r="I3023" s="20">
        <v>18.164000000000001</v>
      </c>
      <c r="J3023" s="44" t="s">
        <v>8</v>
      </c>
      <c r="K3023" s="23" t="s">
        <v>8</v>
      </c>
      <c r="L3023" s="23" t="s">
        <v>8</v>
      </c>
      <c r="M3023" s="23" t="s">
        <v>8</v>
      </c>
    </row>
    <row r="3024" spans="1:13" s="21" customFormat="1" x14ac:dyDescent="0.25">
      <c r="A3024" s="22" t="s">
        <v>8</v>
      </c>
      <c r="B3024" s="18" t="str">
        <f>"145314"</f>
        <v>145314</v>
      </c>
      <c r="C3024" s="19" t="s">
        <v>3016</v>
      </c>
      <c r="D3024" s="19" t="s">
        <v>18453</v>
      </c>
      <c r="E3024" s="19" t="s">
        <v>31933</v>
      </c>
      <c r="F3024" s="19" t="s">
        <v>35987</v>
      </c>
      <c r="G3024" s="18" t="str">
        <f>"62002"</f>
        <v>62002</v>
      </c>
      <c r="H3024" s="19" t="s">
        <v>30899</v>
      </c>
      <c r="I3024" s="20">
        <v>22.332999999999998</v>
      </c>
      <c r="J3024" s="44" t="s">
        <v>8</v>
      </c>
      <c r="K3024" s="23" t="s">
        <v>8</v>
      </c>
      <c r="L3024" s="23" t="s">
        <v>8</v>
      </c>
      <c r="M3024" s="23" t="s">
        <v>8</v>
      </c>
    </row>
    <row r="3025" spans="1:13" s="21" customFormat="1" x14ac:dyDescent="0.25">
      <c r="A3025" s="22" t="s">
        <v>8</v>
      </c>
      <c r="B3025" s="18" t="str">
        <f>"145316"</f>
        <v>145316</v>
      </c>
      <c r="C3025" s="19" t="s">
        <v>3017</v>
      </c>
      <c r="D3025" s="19" t="s">
        <v>18454</v>
      </c>
      <c r="E3025" s="19" t="s">
        <v>31489</v>
      </c>
      <c r="F3025" s="19" t="s">
        <v>35987</v>
      </c>
      <c r="G3025" s="18" t="str">
        <f>"60481"</f>
        <v>60481</v>
      </c>
      <c r="H3025" s="19" t="s">
        <v>36230</v>
      </c>
      <c r="I3025" s="20">
        <v>18.709</v>
      </c>
      <c r="J3025" s="44" t="s">
        <v>8</v>
      </c>
      <c r="K3025" s="23" t="s">
        <v>8</v>
      </c>
      <c r="L3025" s="23" t="s">
        <v>8</v>
      </c>
      <c r="M3025" s="23" t="s">
        <v>8</v>
      </c>
    </row>
    <row r="3026" spans="1:13" s="21" customFormat="1" x14ac:dyDescent="0.25">
      <c r="A3026" s="22" t="s">
        <v>8</v>
      </c>
      <c r="B3026" s="18" t="str">
        <f>"145319"</f>
        <v>145319</v>
      </c>
      <c r="C3026" s="19" t="s">
        <v>3018</v>
      </c>
      <c r="D3026" s="19" t="s">
        <v>18455</v>
      </c>
      <c r="E3026" s="19" t="s">
        <v>31965</v>
      </c>
      <c r="F3026" s="19" t="s">
        <v>35987</v>
      </c>
      <c r="G3026" s="18" t="str">
        <f>"61738"</f>
        <v>61738</v>
      </c>
      <c r="H3026" s="19" t="s">
        <v>36237</v>
      </c>
      <c r="I3026" s="20">
        <v>17.38</v>
      </c>
      <c r="J3026" s="44" t="s">
        <v>8</v>
      </c>
      <c r="K3026" s="23" t="s">
        <v>8</v>
      </c>
      <c r="L3026" s="23" t="s">
        <v>8</v>
      </c>
      <c r="M3026" s="23" t="s">
        <v>8</v>
      </c>
    </row>
    <row r="3027" spans="1:13" s="21" customFormat="1" x14ac:dyDescent="0.25">
      <c r="A3027" s="22" t="s">
        <v>8</v>
      </c>
      <c r="B3027" s="18" t="str">
        <f>"145323"</f>
        <v>145323</v>
      </c>
      <c r="C3027" s="19" t="s">
        <v>3019</v>
      </c>
      <c r="D3027" s="19" t="s">
        <v>18456</v>
      </c>
      <c r="E3027" s="19" t="s">
        <v>31966</v>
      </c>
      <c r="F3027" s="19" t="s">
        <v>35987</v>
      </c>
      <c r="G3027" s="18" t="str">
        <f>"62917"</f>
        <v>62917</v>
      </c>
      <c r="H3027" s="19" t="s">
        <v>33206</v>
      </c>
      <c r="I3027" s="20">
        <v>20.263999999999999</v>
      </c>
      <c r="J3027" s="44" t="s">
        <v>8</v>
      </c>
      <c r="K3027" s="23" t="s">
        <v>8</v>
      </c>
      <c r="L3027" s="23" t="s">
        <v>8</v>
      </c>
      <c r="M3027" s="23" t="s">
        <v>8</v>
      </c>
    </row>
    <row r="3028" spans="1:13" s="21" customFormat="1" x14ac:dyDescent="0.25">
      <c r="A3028" s="22" t="s">
        <v>8</v>
      </c>
      <c r="B3028" s="18" t="str">
        <f>"145324"</f>
        <v>145324</v>
      </c>
      <c r="C3028" s="19" t="s">
        <v>3020</v>
      </c>
      <c r="D3028" s="19" t="s">
        <v>18457</v>
      </c>
      <c r="E3028" s="19" t="s">
        <v>31967</v>
      </c>
      <c r="F3028" s="19" t="s">
        <v>35987</v>
      </c>
      <c r="G3028" s="18" t="str">
        <f>"60068"</f>
        <v>60068</v>
      </c>
      <c r="H3028" s="19" t="s">
        <v>33420</v>
      </c>
      <c r="I3028" s="20">
        <v>15.744999999999999</v>
      </c>
      <c r="J3028" s="44" t="s">
        <v>8</v>
      </c>
      <c r="K3028" s="23" t="s">
        <v>8</v>
      </c>
      <c r="L3028" s="23" t="s">
        <v>8</v>
      </c>
      <c r="M3028" s="23" t="s">
        <v>8</v>
      </c>
    </row>
    <row r="3029" spans="1:13" s="21" customFormat="1" x14ac:dyDescent="0.25">
      <c r="A3029" s="22" t="s">
        <v>8</v>
      </c>
      <c r="B3029" s="18" t="str">
        <f>"145329"</f>
        <v>145329</v>
      </c>
      <c r="C3029" s="19" t="s">
        <v>3021</v>
      </c>
      <c r="D3029" s="19" t="s">
        <v>18458</v>
      </c>
      <c r="E3029" s="19" t="s">
        <v>31968</v>
      </c>
      <c r="F3029" s="19" t="s">
        <v>35987</v>
      </c>
      <c r="G3029" s="18" t="str">
        <f>"60634"</f>
        <v>60634</v>
      </c>
      <c r="H3029" s="19" t="s">
        <v>33420</v>
      </c>
      <c r="I3029" s="20">
        <v>21.131</v>
      </c>
      <c r="J3029" s="44" t="s">
        <v>8</v>
      </c>
      <c r="K3029" s="23" t="s">
        <v>8</v>
      </c>
      <c r="L3029" s="23" t="s">
        <v>8</v>
      </c>
      <c r="M3029" s="23" t="s">
        <v>8</v>
      </c>
    </row>
    <row r="3030" spans="1:13" s="21" customFormat="1" x14ac:dyDescent="0.25">
      <c r="A3030" s="22" t="s">
        <v>8</v>
      </c>
      <c r="B3030" s="18" t="str">
        <f>"145333"</f>
        <v>145333</v>
      </c>
      <c r="C3030" s="19" t="s">
        <v>3022</v>
      </c>
      <c r="D3030" s="19" t="s">
        <v>18459</v>
      </c>
      <c r="E3030" s="19" t="s">
        <v>31969</v>
      </c>
      <c r="F3030" s="19" t="s">
        <v>35987</v>
      </c>
      <c r="G3030" s="18" t="str">
        <f>"60108"</f>
        <v>60108</v>
      </c>
      <c r="H3030" s="19" t="s">
        <v>36231</v>
      </c>
      <c r="I3030" s="20">
        <v>20.966999999999999</v>
      </c>
      <c r="J3030" s="44" t="s">
        <v>8</v>
      </c>
      <c r="K3030" s="23" t="s">
        <v>8</v>
      </c>
      <c r="L3030" s="23" t="s">
        <v>8</v>
      </c>
      <c r="M3030" s="23" t="s">
        <v>8</v>
      </c>
    </row>
    <row r="3031" spans="1:13" s="21" customFormat="1" x14ac:dyDescent="0.25">
      <c r="A3031" s="22" t="s">
        <v>8</v>
      </c>
      <c r="B3031" s="18" t="str">
        <f>"145334"</f>
        <v>145334</v>
      </c>
      <c r="C3031" s="19" t="s">
        <v>3023</v>
      </c>
      <c r="D3031" s="19" t="s">
        <v>18460</v>
      </c>
      <c r="E3031" s="19" t="s">
        <v>31970</v>
      </c>
      <c r="F3031" s="19" t="s">
        <v>35987</v>
      </c>
      <c r="G3031" s="18" t="str">
        <f>"60016"</f>
        <v>60016</v>
      </c>
      <c r="H3031" s="19" t="s">
        <v>33420</v>
      </c>
      <c r="I3031" s="20">
        <v>18.93</v>
      </c>
      <c r="J3031" s="44" t="s">
        <v>8</v>
      </c>
      <c r="K3031" s="23" t="s">
        <v>8</v>
      </c>
      <c r="L3031" s="23" t="s">
        <v>8</v>
      </c>
      <c r="M3031" s="23" t="s">
        <v>8</v>
      </c>
    </row>
    <row r="3032" spans="1:13" s="21" customFormat="1" x14ac:dyDescent="0.25">
      <c r="A3032" s="22" t="s">
        <v>8</v>
      </c>
      <c r="B3032" s="18" t="str">
        <f>"145336"</f>
        <v>145336</v>
      </c>
      <c r="C3032" s="19" t="s">
        <v>3024</v>
      </c>
      <c r="D3032" s="19" t="s">
        <v>18461</v>
      </c>
      <c r="E3032" s="19" t="s">
        <v>31934</v>
      </c>
      <c r="F3032" s="19" t="s">
        <v>35987</v>
      </c>
      <c r="G3032" s="18" t="str">
        <f>"60610"</f>
        <v>60610</v>
      </c>
      <c r="H3032" s="19" t="s">
        <v>33420</v>
      </c>
      <c r="I3032" s="20">
        <v>19.119</v>
      </c>
      <c r="J3032" s="44" t="s">
        <v>8</v>
      </c>
      <c r="K3032" s="23" t="s">
        <v>8</v>
      </c>
      <c r="L3032" s="23" t="s">
        <v>8</v>
      </c>
      <c r="M3032" s="23" t="s">
        <v>8</v>
      </c>
    </row>
    <row r="3033" spans="1:13" s="21" customFormat="1" x14ac:dyDescent="0.25">
      <c r="A3033" s="22" t="s">
        <v>8</v>
      </c>
      <c r="B3033" s="18" t="str">
        <f>"145337"</f>
        <v>145337</v>
      </c>
      <c r="C3033" s="19" t="s">
        <v>3025</v>
      </c>
      <c r="D3033" s="19" t="s">
        <v>18462</v>
      </c>
      <c r="E3033" s="19" t="s">
        <v>31934</v>
      </c>
      <c r="F3033" s="19" t="s">
        <v>35987</v>
      </c>
      <c r="G3033" s="18" t="str">
        <f>"60616"</f>
        <v>60616</v>
      </c>
      <c r="H3033" s="19" t="s">
        <v>33420</v>
      </c>
      <c r="I3033" s="20">
        <v>17.605</v>
      </c>
      <c r="J3033" s="44" t="s">
        <v>8</v>
      </c>
      <c r="K3033" s="23" t="s">
        <v>8</v>
      </c>
      <c r="L3033" s="23" t="s">
        <v>8</v>
      </c>
      <c r="M3033" s="23" t="s">
        <v>8</v>
      </c>
    </row>
    <row r="3034" spans="1:13" s="21" customFormat="1" x14ac:dyDescent="0.25">
      <c r="A3034" s="22" t="s">
        <v>8</v>
      </c>
      <c r="B3034" s="18" t="str">
        <f>"145338"</f>
        <v>145338</v>
      </c>
      <c r="C3034" s="19" t="s">
        <v>3026</v>
      </c>
      <c r="D3034" s="19" t="s">
        <v>18463</v>
      </c>
      <c r="E3034" s="19" t="s">
        <v>31945</v>
      </c>
      <c r="F3034" s="19" t="s">
        <v>35987</v>
      </c>
      <c r="G3034" s="18" t="str">
        <f>"60559"</f>
        <v>60559</v>
      </c>
      <c r="H3034" s="19" t="s">
        <v>36231</v>
      </c>
      <c r="I3034" s="20">
        <v>18.843</v>
      </c>
      <c r="J3034" s="44" t="s">
        <v>8</v>
      </c>
      <c r="K3034" s="23" t="s">
        <v>8</v>
      </c>
      <c r="L3034" s="23" t="s">
        <v>8</v>
      </c>
      <c r="M3034" s="23" t="s">
        <v>8</v>
      </c>
    </row>
    <row r="3035" spans="1:13" s="21" customFormat="1" x14ac:dyDescent="0.25">
      <c r="A3035" s="22" t="s">
        <v>8</v>
      </c>
      <c r="B3035" s="18" t="str">
        <f>"145339"</f>
        <v>145339</v>
      </c>
      <c r="C3035" s="19" t="s">
        <v>3027</v>
      </c>
      <c r="D3035" s="19" t="s">
        <v>18464</v>
      </c>
      <c r="E3035" s="19" t="s">
        <v>31932</v>
      </c>
      <c r="F3035" s="19" t="s">
        <v>35987</v>
      </c>
      <c r="G3035" s="18" t="str">
        <f>"60126"</f>
        <v>60126</v>
      </c>
      <c r="H3035" s="19" t="s">
        <v>36231</v>
      </c>
      <c r="I3035" s="20">
        <v>19.593</v>
      </c>
      <c r="J3035" s="44" t="s">
        <v>8</v>
      </c>
      <c r="K3035" s="23" t="s">
        <v>8</v>
      </c>
      <c r="L3035" s="23" t="s">
        <v>8</v>
      </c>
      <c r="M3035" s="23" t="s">
        <v>8</v>
      </c>
    </row>
    <row r="3036" spans="1:13" s="21" customFormat="1" x14ac:dyDescent="0.25">
      <c r="A3036" s="22" t="s">
        <v>8</v>
      </c>
      <c r="B3036" s="18" t="str">
        <f>"145341"</f>
        <v>145341</v>
      </c>
      <c r="C3036" s="19" t="s">
        <v>3028</v>
      </c>
      <c r="D3036" s="19" t="s">
        <v>18465</v>
      </c>
      <c r="E3036" s="19" t="s">
        <v>31971</v>
      </c>
      <c r="F3036" s="19" t="s">
        <v>35987</v>
      </c>
      <c r="G3036" s="18" t="str">
        <f>"60194"</f>
        <v>60194</v>
      </c>
      <c r="H3036" s="19" t="s">
        <v>33420</v>
      </c>
      <c r="I3036" s="20">
        <v>15.006</v>
      </c>
      <c r="J3036" s="44" t="s">
        <v>8</v>
      </c>
      <c r="K3036" s="23" t="s">
        <v>8</v>
      </c>
      <c r="L3036" s="23" t="s">
        <v>8</v>
      </c>
      <c r="M3036" s="23" t="s">
        <v>8</v>
      </c>
    </row>
    <row r="3037" spans="1:13" s="21" customFormat="1" x14ac:dyDescent="0.25">
      <c r="A3037" s="22" t="s">
        <v>8</v>
      </c>
      <c r="B3037" s="18" t="str">
        <f>"145343"</f>
        <v>145343</v>
      </c>
      <c r="C3037" s="19" t="s">
        <v>3029</v>
      </c>
      <c r="D3037" s="19" t="s">
        <v>18466</v>
      </c>
      <c r="E3037" s="19" t="s">
        <v>31934</v>
      </c>
      <c r="F3037" s="19" t="s">
        <v>35987</v>
      </c>
      <c r="G3037" s="18" t="str">
        <f>"60625"</f>
        <v>60625</v>
      </c>
      <c r="H3037" s="19" t="s">
        <v>33420</v>
      </c>
      <c r="I3037" s="20">
        <v>20.417000000000002</v>
      </c>
      <c r="J3037" s="44" t="s">
        <v>8</v>
      </c>
      <c r="K3037" s="23" t="s">
        <v>8</v>
      </c>
      <c r="L3037" s="23" t="s">
        <v>8</v>
      </c>
      <c r="M3037" s="23" t="s">
        <v>8</v>
      </c>
    </row>
    <row r="3038" spans="1:13" s="21" customFormat="1" x14ac:dyDescent="0.25">
      <c r="A3038" s="22" t="s">
        <v>8</v>
      </c>
      <c r="B3038" s="18" t="str">
        <f>"145344"</f>
        <v>145344</v>
      </c>
      <c r="C3038" s="19" t="s">
        <v>3030</v>
      </c>
      <c r="D3038" s="19" t="s">
        <v>18467</v>
      </c>
      <c r="E3038" s="19" t="s">
        <v>31972</v>
      </c>
      <c r="F3038" s="19" t="s">
        <v>35987</v>
      </c>
      <c r="G3038" s="18" t="str">
        <f>"60048"</f>
        <v>60048</v>
      </c>
      <c r="H3038" s="19" t="s">
        <v>36096</v>
      </c>
      <c r="I3038" s="20">
        <v>18.631</v>
      </c>
      <c r="J3038" s="44" t="s">
        <v>8</v>
      </c>
      <c r="K3038" s="23" t="s">
        <v>8</v>
      </c>
      <c r="L3038" s="23" t="s">
        <v>8</v>
      </c>
      <c r="M3038" s="23" t="s">
        <v>8</v>
      </c>
    </row>
    <row r="3039" spans="1:13" s="21" customFormat="1" x14ac:dyDescent="0.25">
      <c r="A3039" s="22" t="s">
        <v>8</v>
      </c>
      <c r="B3039" s="18" t="str">
        <f>"145347"</f>
        <v>145347</v>
      </c>
      <c r="C3039" s="19" t="s">
        <v>3031</v>
      </c>
      <c r="D3039" s="19" t="s">
        <v>18468</v>
      </c>
      <c r="E3039" s="19" t="s">
        <v>31973</v>
      </c>
      <c r="F3039" s="19" t="s">
        <v>35987</v>
      </c>
      <c r="G3039" s="18" t="str">
        <f>"60938"</f>
        <v>60938</v>
      </c>
      <c r="H3039" s="19" t="s">
        <v>36238</v>
      </c>
      <c r="I3039" s="20">
        <v>21.468</v>
      </c>
      <c r="J3039" s="44" t="s">
        <v>8</v>
      </c>
      <c r="K3039" s="23" t="s">
        <v>8</v>
      </c>
      <c r="L3039" s="23" t="s">
        <v>8</v>
      </c>
      <c r="M3039" s="23" t="s">
        <v>8</v>
      </c>
    </row>
    <row r="3040" spans="1:13" s="21" customFormat="1" x14ac:dyDescent="0.25">
      <c r="A3040" s="22" t="s">
        <v>8</v>
      </c>
      <c r="B3040" s="18" t="str">
        <f>"145350"</f>
        <v>145350</v>
      </c>
      <c r="C3040" s="19" t="s">
        <v>3032</v>
      </c>
      <c r="D3040" s="19" t="s">
        <v>18469</v>
      </c>
      <c r="E3040" s="19" t="s">
        <v>11297</v>
      </c>
      <c r="F3040" s="19" t="s">
        <v>35987</v>
      </c>
      <c r="G3040" s="18" t="str">
        <f>"60008"</f>
        <v>60008</v>
      </c>
      <c r="H3040" s="19" t="s">
        <v>33420</v>
      </c>
      <c r="I3040" s="20">
        <v>20.402999999999999</v>
      </c>
      <c r="J3040" s="44" t="s">
        <v>8</v>
      </c>
      <c r="K3040" s="23" t="s">
        <v>8</v>
      </c>
      <c r="L3040" s="23" t="s">
        <v>8</v>
      </c>
      <c r="M3040" s="23" t="s">
        <v>8</v>
      </c>
    </row>
    <row r="3041" spans="1:13" s="21" customFormat="1" x14ac:dyDescent="0.25">
      <c r="A3041" s="22" t="s">
        <v>8</v>
      </c>
      <c r="B3041" s="18" t="str">
        <f>"145358"</f>
        <v>145358</v>
      </c>
      <c r="C3041" s="19" t="s">
        <v>3033</v>
      </c>
      <c r="D3041" s="19" t="s">
        <v>18470</v>
      </c>
      <c r="E3041" s="19" t="s">
        <v>31925</v>
      </c>
      <c r="F3041" s="19" t="s">
        <v>35987</v>
      </c>
      <c r="G3041" s="18" t="str">
        <f>"60563"</f>
        <v>60563</v>
      </c>
      <c r="H3041" s="19" t="s">
        <v>36231</v>
      </c>
      <c r="I3041" s="20">
        <v>17.942</v>
      </c>
      <c r="J3041" s="44" t="s">
        <v>8</v>
      </c>
      <c r="K3041" s="23" t="s">
        <v>8</v>
      </c>
      <c r="L3041" s="23" t="s">
        <v>8</v>
      </c>
      <c r="M3041" s="23" t="s">
        <v>8</v>
      </c>
    </row>
    <row r="3042" spans="1:13" s="21" customFormat="1" x14ac:dyDescent="0.25">
      <c r="A3042" s="22" t="s">
        <v>8</v>
      </c>
      <c r="B3042" s="18" t="str">
        <f>"145363"</f>
        <v>145363</v>
      </c>
      <c r="C3042" s="19" t="s">
        <v>3034</v>
      </c>
      <c r="D3042" s="19" t="s">
        <v>18471</v>
      </c>
      <c r="E3042" s="19" t="s">
        <v>31930</v>
      </c>
      <c r="F3042" s="19" t="s">
        <v>35987</v>
      </c>
      <c r="G3042" s="18" t="str">
        <f>"60453"</f>
        <v>60453</v>
      </c>
      <c r="H3042" s="19" t="s">
        <v>33420</v>
      </c>
      <c r="I3042" s="20">
        <v>23.808</v>
      </c>
      <c r="J3042" s="44" t="s">
        <v>8</v>
      </c>
      <c r="K3042" s="23" t="s">
        <v>8</v>
      </c>
      <c r="L3042" s="23" t="s">
        <v>8</v>
      </c>
      <c r="M3042" s="23" t="s">
        <v>8</v>
      </c>
    </row>
    <row r="3043" spans="1:13" s="21" customFormat="1" x14ac:dyDescent="0.25">
      <c r="A3043" s="22" t="s">
        <v>8</v>
      </c>
      <c r="B3043" s="18" t="str">
        <f>"145364"</f>
        <v>145364</v>
      </c>
      <c r="C3043" s="19" t="s">
        <v>3035</v>
      </c>
      <c r="D3043" s="19" t="s">
        <v>18472</v>
      </c>
      <c r="E3043" s="19" t="s">
        <v>31974</v>
      </c>
      <c r="F3043" s="19" t="s">
        <v>35987</v>
      </c>
      <c r="G3043" s="18" t="str">
        <f>"61802"</f>
        <v>61802</v>
      </c>
      <c r="H3043" s="19" t="s">
        <v>31939</v>
      </c>
      <c r="I3043" s="20">
        <v>20.806999999999999</v>
      </c>
      <c r="J3043" s="44" t="s">
        <v>8</v>
      </c>
      <c r="K3043" s="23" t="s">
        <v>8</v>
      </c>
      <c r="L3043" s="23" t="s">
        <v>8</v>
      </c>
      <c r="M3043" s="23" t="s">
        <v>8</v>
      </c>
    </row>
    <row r="3044" spans="1:13" s="21" customFormat="1" x14ac:dyDescent="0.25">
      <c r="A3044" s="22" t="s">
        <v>8</v>
      </c>
      <c r="B3044" s="18" t="str">
        <f>"145367"</f>
        <v>145367</v>
      </c>
      <c r="C3044" s="19" t="s">
        <v>3036</v>
      </c>
      <c r="D3044" s="19" t="s">
        <v>18473</v>
      </c>
      <c r="E3044" s="19" t="s">
        <v>31975</v>
      </c>
      <c r="F3044" s="19" t="s">
        <v>35987</v>
      </c>
      <c r="G3044" s="18" t="str">
        <f>"62033"</f>
        <v>62033</v>
      </c>
      <c r="H3044" s="19" t="s">
        <v>36236</v>
      </c>
      <c r="I3044" s="20">
        <v>17.507000000000001</v>
      </c>
      <c r="J3044" s="44" t="s">
        <v>8</v>
      </c>
      <c r="K3044" s="23" t="s">
        <v>8</v>
      </c>
      <c r="L3044" s="23" t="s">
        <v>8</v>
      </c>
      <c r="M3044" s="23" t="s">
        <v>8</v>
      </c>
    </row>
    <row r="3045" spans="1:13" s="21" customFormat="1" x14ac:dyDescent="0.25">
      <c r="A3045" s="22" t="s">
        <v>8</v>
      </c>
      <c r="B3045" s="18" t="str">
        <f>"145370"</f>
        <v>145370</v>
      </c>
      <c r="C3045" s="19" t="s">
        <v>3037</v>
      </c>
      <c r="D3045" s="19" t="s">
        <v>18474</v>
      </c>
      <c r="E3045" s="19" t="s">
        <v>31976</v>
      </c>
      <c r="F3045" s="19" t="s">
        <v>35987</v>
      </c>
      <c r="G3045" s="18" t="str">
        <f>"61951"</f>
        <v>61951</v>
      </c>
      <c r="H3045" s="19" t="s">
        <v>31699</v>
      </c>
      <c r="I3045" s="20">
        <v>19.172999999999998</v>
      </c>
      <c r="J3045" s="44" t="s">
        <v>8</v>
      </c>
      <c r="K3045" s="23" t="s">
        <v>8</v>
      </c>
      <c r="L3045" s="23" t="s">
        <v>8</v>
      </c>
      <c r="M3045" s="23" t="s">
        <v>8</v>
      </c>
    </row>
    <row r="3046" spans="1:13" s="21" customFormat="1" x14ac:dyDescent="0.25">
      <c r="A3046" s="22" t="s">
        <v>8</v>
      </c>
      <c r="B3046" s="18" t="str">
        <f>"145371"</f>
        <v>145371</v>
      </c>
      <c r="C3046" s="19" t="s">
        <v>3038</v>
      </c>
      <c r="D3046" s="19" t="s">
        <v>18475</v>
      </c>
      <c r="E3046" s="19" t="s">
        <v>31919</v>
      </c>
      <c r="F3046" s="19" t="s">
        <v>35987</v>
      </c>
      <c r="G3046" s="18" t="str">
        <f>"61701"</f>
        <v>61701</v>
      </c>
      <c r="H3046" s="19" t="s">
        <v>35924</v>
      </c>
      <c r="I3046" s="20">
        <v>19.786000000000001</v>
      </c>
      <c r="J3046" s="44" t="s">
        <v>8</v>
      </c>
      <c r="K3046" s="23" t="s">
        <v>8</v>
      </c>
      <c r="L3046" s="23" t="s">
        <v>8</v>
      </c>
      <c r="M3046" s="23" t="s">
        <v>8</v>
      </c>
    </row>
    <row r="3047" spans="1:13" s="21" customFormat="1" x14ac:dyDescent="0.25">
      <c r="A3047" s="22" t="s">
        <v>8</v>
      </c>
      <c r="B3047" s="18" t="str">
        <f>"145372"</f>
        <v>145372</v>
      </c>
      <c r="C3047" s="19" t="s">
        <v>3039</v>
      </c>
      <c r="D3047" s="19" t="s">
        <v>18476</v>
      </c>
      <c r="E3047" s="19" t="s">
        <v>31922</v>
      </c>
      <c r="F3047" s="19" t="s">
        <v>35987</v>
      </c>
      <c r="G3047" s="18" t="str">
        <f>"60435"</f>
        <v>60435</v>
      </c>
      <c r="H3047" s="19" t="s">
        <v>36230</v>
      </c>
      <c r="I3047" s="20">
        <v>19.266999999999999</v>
      </c>
      <c r="J3047" s="44" t="s">
        <v>8</v>
      </c>
      <c r="K3047" s="23" t="s">
        <v>8</v>
      </c>
      <c r="L3047" s="23" t="s">
        <v>8</v>
      </c>
      <c r="M3047" s="23" t="s">
        <v>8</v>
      </c>
    </row>
    <row r="3048" spans="1:13" s="21" customFormat="1" x14ac:dyDescent="0.25">
      <c r="A3048" s="22" t="s">
        <v>8</v>
      </c>
      <c r="B3048" s="18" t="str">
        <f>"145376"</f>
        <v>145376</v>
      </c>
      <c r="C3048" s="19" t="s">
        <v>3040</v>
      </c>
      <c r="D3048" s="19" t="s">
        <v>18477</v>
      </c>
      <c r="E3048" s="19" t="s">
        <v>31977</v>
      </c>
      <c r="F3048" s="19" t="s">
        <v>35987</v>
      </c>
      <c r="G3048" s="18" t="str">
        <f>"62863"</f>
        <v>62863</v>
      </c>
      <c r="H3048" s="19" t="s">
        <v>32203</v>
      </c>
      <c r="I3048" s="20">
        <v>17.981999999999999</v>
      </c>
      <c r="J3048" s="44" t="s">
        <v>8</v>
      </c>
      <c r="K3048" s="23" t="s">
        <v>8</v>
      </c>
      <c r="L3048" s="23" t="s">
        <v>8</v>
      </c>
      <c r="M3048" s="23" t="s">
        <v>8</v>
      </c>
    </row>
    <row r="3049" spans="1:13" s="21" customFormat="1" x14ac:dyDescent="0.25">
      <c r="A3049" s="22" t="s">
        <v>8</v>
      </c>
      <c r="B3049" s="18" t="str">
        <f>"145379"</f>
        <v>145379</v>
      </c>
      <c r="C3049" s="19" t="s">
        <v>3041</v>
      </c>
      <c r="D3049" s="19" t="s">
        <v>18478</v>
      </c>
      <c r="E3049" s="19" t="s">
        <v>31969</v>
      </c>
      <c r="F3049" s="19" t="s">
        <v>35987</v>
      </c>
      <c r="G3049" s="18" t="str">
        <f>"60108"</f>
        <v>60108</v>
      </c>
      <c r="H3049" s="19" t="s">
        <v>36231</v>
      </c>
      <c r="I3049" s="20">
        <v>21.491</v>
      </c>
      <c r="J3049" s="44" t="s">
        <v>8</v>
      </c>
      <c r="K3049" s="23" t="s">
        <v>8</v>
      </c>
      <c r="L3049" s="23" t="s">
        <v>8</v>
      </c>
      <c r="M3049" s="23" t="s">
        <v>8</v>
      </c>
    </row>
    <row r="3050" spans="1:13" s="21" customFormat="1" x14ac:dyDescent="0.25">
      <c r="A3050" s="22" t="s">
        <v>8</v>
      </c>
      <c r="B3050" s="18" t="str">
        <f>"145380"</f>
        <v>145380</v>
      </c>
      <c r="C3050" s="19" t="s">
        <v>3042</v>
      </c>
      <c r="D3050" s="19" t="s">
        <v>18479</v>
      </c>
      <c r="E3050" s="19" t="s">
        <v>31978</v>
      </c>
      <c r="F3050" s="19" t="s">
        <v>35987</v>
      </c>
      <c r="G3050" s="18" t="str">
        <f>"62411"</f>
        <v>62411</v>
      </c>
      <c r="H3050" s="19" t="s">
        <v>31952</v>
      </c>
      <c r="I3050" s="20">
        <v>16.016999999999999</v>
      </c>
      <c r="J3050" s="44" t="s">
        <v>8</v>
      </c>
      <c r="K3050" s="23" t="s">
        <v>8</v>
      </c>
      <c r="L3050" s="23" t="s">
        <v>8</v>
      </c>
      <c r="M3050" s="23" t="s">
        <v>8</v>
      </c>
    </row>
    <row r="3051" spans="1:13" s="21" customFormat="1" x14ac:dyDescent="0.25">
      <c r="A3051" s="22" t="s">
        <v>8</v>
      </c>
      <c r="B3051" s="18" t="str">
        <f>"145381"</f>
        <v>145381</v>
      </c>
      <c r="C3051" s="19" t="s">
        <v>3043</v>
      </c>
      <c r="D3051" s="19" t="s">
        <v>18480</v>
      </c>
      <c r="E3051" s="19" t="s">
        <v>31974</v>
      </c>
      <c r="F3051" s="19" t="s">
        <v>35987</v>
      </c>
      <c r="G3051" s="18" t="str">
        <f>"61801"</f>
        <v>61801</v>
      </c>
      <c r="H3051" s="19" t="s">
        <v>31939</v>
      </c>
      <c r="I3051" s="20">
        <v>18.318999999999999</v>
      </c>
      <c r="J3051" s="44" t="s">
        <v>8</v>
      </c>
      <c r="K3051" s="23" t="s">
        <v>8</v>
      </c>
      <c r="L3051" s="23" t="s">
        <v>8</v>
      </c>
      <c r="M3051" s="23" t="s">
        <v>8</v>
      </c>
    </row>
    <row r="3052" spans="1:13" s="21" customFormat="1" x14ac:dyDescent="0.25">
      <c r="A3052" s="22" t="s">
        <v>8</v>
      </c>
      <c r="B3052" s="18" t="str">
        <f>"145382"</f>
        <v>145382</v>
      </c>
      <c r="C3052" s="19" t="s">
        <v>3044</v>
      </c>
      <c r="D3052" s="19" t="s">
        <v>18481</v>
      </c>
      <c r="E3052" s="19" t="s">
        <v>31970</v>
      </c>
      <c r="F3052" s="19" t="s">
        <v>35987</v>
      </c>
      <c r="G3052" s="18" t="str">
        <f>"60018"</f>
        <v>60018</v>
      </c>
      <c r="H3052" s="19" t="s">
        <v>33420</v>
      </c>
      <c r="I3052" s="20">
        <v>18.407</v>
      </c>
      <c r="J3052" s="44" t="s">
        <v>8</v>
      </c>
      <c r="K3052" s="23" t="s">
        <v>8</v>
      </c>
      <c r="L3052" s="23" t="s">
        <v>8</v>
      </c>
      <c r="M3052" s="23" t="s">
        <v>8</v>
      </c>
    </row>
    <row r="3053" spans="1:13" s="21" customFormat="1" x14ac:dyDescent="0.25">
      <c r="A3053" s="22" t="s">
        <v>8</v>
      </c>
      <c r="B3053" s="18" t="str">
        <f>"145384"</f>
        <v>145384</v>
      </c>
      <c r="C3053" s="19" t="s">
        <v>3045</v>
      </c>
      <c r="D3053" s="19" t="s">
        <v>18482</v>
      </c>
      <c r="E3053" s="19" t="s">
        <v>31979</v>
      </c>
      <c r="F3053" s="19" t="s">
        <v>35987</v>
      </c>
      <c r="G3053" s="18" t="str">
        <f>"62034"</f>
        <v>62034</v>
      </c>
      <c r="H3053" s="19" t="s">
        <v>30899</v>
      </c>
      <c r="I3053" s="20">
        <v>22.85</v>
      </c>
      <c r="J3053" s="44" t="s">
        <v>8</v>
      </c>
      <c r="K3053" s="23" t="s">
        <v>8</v>
      </c>
      <c r="L3053" s="23" t="s">
        <v>8</v>
      </c>
      <c r="M3053" s="23" t="s">
        <v>8</v>
      </c>
    </row>
    <row r="3054" spans="1:13" s="21" customFormat="1" x14ac:dyDescent="0.25">
      <c r="A3054" s="22" t="s">
        <v>8</v>
      </c>
      <c r="B3054" s="18" t="str">
        <f>"145386"</f>
        <v>145386</v>
      </c>
      <c r="C3054" s="19" t="s">
        <v>3046</v>
      </c>
      <c r="D3054" s="19" t="s">
        <v>18483</v>
      </c>
      <c r="E3054" s="19" t="s">
        <v>31980</v>
      </c>
      <c r="F3054" s="19" t="s">
        <v>35987</v>
      </c>
      <c r="G3054" s="18" t="str">
        <f>"62960"</f>
        <v>62960</v>
      </c>
      <c r="H3054" s="19" t="s">
        <v>36239</v>
      </c>
      <c r="I3054" s="20">
        <v>19.646999999999998</v>
      </c>
      <c r="J3054" s="44" t="s">
        <v>8</v>
      </c>
      <c r="K3054" s="23" t="s">
        <v>8</v>
      </c>
      <c r="L3054" s="23" t="s">
        <v>8</v>
      </c>
      <c r="M3054" s="23" t="s">
        <v>8</v>
      </c>
    </row>
    <row r="3055" spans="1:13" s="21" customFormat="1" x14ac:dyDescent="0.25">
      <c r="A3055" s="22" t="s">
        <v>8</v>
      </c>
      <c r="B3055" s="18" t="str">
        <f>"145387"</f>
        <v>145387</v>
      </c>
      <c r="C3055" s="19" t="s">
        <v>3047</v>
      </c>
      <c r="D3055" s="19" t="s">
        <v>18484</v>
      </c>
      <c r="E3055" s="19" t="s">
        <v>31981</v>
      </c>
      <c r="F3055" s="19" t="s">
        <v>35987</v>
      </c>
      <c r="G3055" s="18" t="str">
        <f>"61201"</f>
        <v>61201</v>
      </c>
      <c r="H3055" s="19" t="s">
        <v>31981</v>
      </c>
      <c r="I3055" s="20">
        <v>19.606000000000002</v>
      </c>
      <c r="J3055" s="44" t="s">
        <v>8</v>
      </c>
      <c r="K3055" s="23" t="s">
        <v>8</v>
      </c>
      <c r="L3055" s="23" t="s">
        <v>8</v>
      </c>
      <c r="M3055" s="23" t="s">
        <v>8</v>
      </c>
    </row>
    <row r="3056" spans="1:13" s="21" customFormat="1" x14ac:dyDescent="0.25">
      <c r="A3056" s="22" t="s">
        <v>8</v>
      </c>
      <c r="B3056" s="18" t="str">
        <f>"145388"</f>
        <v>145388</v>
      </c>
      <c r="C3056" s="19" t="s">
        <v>3048</v>
      </c>
      <c r="D3056" s="19" t="s">
        <v>18485</v>
      </c>
      <c r="E3056" s="19" t="s">
        <v>31912</v>
      </c>
      <c r="F3056" s="19" t="s">
        <v>35987</v>
      </c>
      <c r="G3056" s="18" t="str">
        <f>"62450"</f>
        <v>62450</v>
      </c>
      <c r="H3056" s="19" t="s">
        <v>31785</v>
      </c>
      <c r="I3056" s="20">
        <v>20.146999999999998</v>
      </c>
      <c r="J3056" s="44" t="s">
        <v>8</v>
      </c>
      <c r="K3056" s="23" t="s">
        <v>8</v>
      </c>
      <c r="L3056" s="23" t="s">
        <v>8</v>
      </c>
      <c r="M3056" s="23" t="s">
        <v>8</v>
      </c>
    </row>
    <row r="3057" spans="1:13" s="21" customFormat="1" x14ac:dyDescent="0.25">
      <c r="A3057" s="22" t="s">
        <v>8</v>
      </c>
      <c r="B3057" s="18" t="str">
        <f>"145389"</f>
        <v>145389</v>
      </c>
      <c r="C3057" s="19" t="s">
        <v>3049</v>
      </c>
      <c r="D3057" s="19" t="s">
        <v>18486</v>
      </c>
      <c r="E3057" s="19" t="s">
        <v>31982</v>
      </c>
      <c r="F3057" s="19" t="s">
        <v>35987</v>
      </c>
      <c r="G3057" s="18" t="str">
        <f>"60970"</f>
        <v>60970</v>
      </c>
      <c r="H3057" s="19" t="s">
        <v>36238</v>
      </c>
      <c r="I3057" s="20">
        <v>20.736999999999998</v>
      </c>
      <c r="J3057" s="44" t="s">
        <v>8</v>
      </c>
      <c r="K3057" s="23" t="s">
        <v>8</v>
      </c>
      <c r="L3057" s="23" t="s">
        <v>8</v>
      </c>
      <c r="M3057" s="23" t="s">
        <v>8</v>
      </c>
    </row>
    <row r="3058" spans="1:13" s="21" customFormat="1" x14ac:dyDescent="0.25">
      <c r="A3058" s="22" t="s">
        <v>8</v>
      </c>
      <c r="B3058" s="18" t="str">
        <f>"145394"</f>
        <v>145394</v>
      </c>
      <c r="C3058" s="19" t="s">
        <v>3050</v>
      </c>
      <c r="D3058" s="19" t="s">
        <v>18487</v>
      </c>
      <c r="E3058" s="19" t="s">
        <v>31983</v>
      </c>
      <c r="F3058" s="19" t="s">
        <v>35987</v>
      </c>
      <c r="G3058" s="18" t="str">
        <f>"61301"</f>
        <v>61301</v>
      </c>
      <c r="H3058" s="19" t="s">
        <v>31983</v>
      </c>
      <c r="I3058" s="20">
        <v>18.073</v>
      </c>
      <c r="J3058" s="44" t="s">
        <v>8</v>
      </c>
      <c r="K3058" s="23" t="s">
        <v>8</v>
      </c>
      <c r="L3058" s="23" t="s">
        <v>8</v>
      </c>
      <c r="M3058" s="23" t="s">
        <v>8</v>
      </c>
    </row>
    <row r="3059" spans="1:13" s="21" customFormat="1" x14ac:dyDescent="0.25">
      <c r="A3059" s="22" t="s">
        <v>8</v>
      </c>
      <c r="B3059" s="18" t="str">
        <f>"145400"</f>
        <v>145400</v>
      </c>
      <c r="C3059" s="19" t="s">
        <v>194</v>
      </c>
      <c r="D3059" s="19" t="s">
        <v>18488</v>
      </c>
      <c r="E3059" s="19" t="s">
        <v>31919</v>
      </c>
      <c r="F3059" s="19" t="s">
        <v>35987</v>
      </c>
      <c r="G3059" s="18" t="str">
        <f>"61701"</f>
        <v>61701</v>
      </c>
      <c r="H3059" s="19" t="s">
        <v>35924</v>
      </c>
      <c r="I3059" s="20">
        <v>18.033999999999999</v>
      </c>
      <c r="J3059" s="44" t="s">
        <v>8</v>
      </c>
      <c r="K3059" s="23" t="s">
        <v>8</v>
      </c>
      <c r="L3059" s="23" t="s">
        <v>8</v>
      </c>
      <c r="M3059" s="23" t="s">
        <v>8</v>
      </c>
    </row>
    <row r="3060" spans="1:13" s="21" customFormat="1" x14ac:dyDescent="0.25">
      <c r="A3060" s="22" t="s">
        <v>8</v>
      </c>
      <c r="B3060" s="18" t="str">
        <f>"145403"</f>
        <v>145403</v>
      </c>
      <c r="C3060" s="19" t="s">
        <v>3051</v>
      </c>
      <c r="D3060" s="19" t="s">
        <v>18489</v>
      </c>
      <c r="E3060" s="19" t="s">
        <v>31984</v>
      </c>
      <c r="F3060" s="19" t="s">
        <v>35987</v>
      </c>
      <c r="G3060" s="18" t="str">
        <f>"60169"</f>
        <v>60169</v>
      </c>
      <c r="H3060" s="19" t="s">
        <v>33420</v>
      </c>
      <c r="I3060" s="20">
        <v>18.402000000000001</v>
      </c>
      <c r="J3060" s="44" t="s">
        <v>8</v>
      </c>
      <c r="K3060" s="23" t="s">
        <v>8</v>
      </c>
      <c r="L3060" s="23" t="s">
        <v>8</v>
      </c>
      <c r="M3060" s="23" t="s">
        <v>8</v>
      </c>
    </row>
    <row r="3061" spans="1:13" s="21" customFormat="1" x14ac:dyDescent="0.25">
      <c r="A3061" s="22" t="s">
        <v>8</v>
      </c>
      <c r="B3061" s="18" t="str">
        <f>"145404"</f>
        <v>145404</v>
      </c>
      <c r="C3061" s="19" t="s">
        <v>3052</v>
      </c>
      <c r="D3061" s="19" t="s">
        <v>15997</v>
      </c>
      <c r="E3061" s="19" t="s">
        <v>31445</v>
      </c>
      <c r="F3061" s="19" t="s">
        <v>35987</v>
      </c>
      <c r="G3061" s="18" t="str">
        <f>"61531"</f>
        <v>61531</v>
      </c>
      <c r="H3061" s="19" t="s">
        <v>32194</v>
      </c>
      <c r="I3061" s="20">
        <v>18.806000000000001</v>
      </c>
      <c r="J3061" s="44" t="s">
        <v>8</v>
      </c>
      <c r="K3061" s="23" t="s">
        <v>8</v>
      </c>
      <c r="L3061" s="23" t="s">
        <v>8</v>
      </c>
      <c r="M3061" s="23" t="s">
        <v>8</v>
      </c>
    </row>
    <row r="3062" spans="1:13" s="21" customFormat="1" x14ac:dyDescent="0.25">
      <c r="A3062" s="22" t="s">
        <v>8</v>
      </c>
      <c r="B3062" s="18" t="str">
        <f>"145405"</f>
        <v>145405</v>
      </c>
      <c r="C3062" s="19" t="s">
        <v>3053</v>
      </c>
      <c r="D3062" s="19" t="s">
        <v>18490</v>
      </c>
      <c r="E3062" s="19" t="s">
        <v>31945</v>
      </c>
      <c r="F3062" s="19" t="s">
        <v>35987</v>
      </c>
      <c r="G3062" s="18" t="str">
        <f>"60559"</f>
        <v>60559</v>
      </c>
      <c r="H3062" s="19" t="s">
        <v>36231</v>
      </c>
      <c r="I3062" s="20">
        <v>19.952999999999999</v>
      </c>
      <c r="J3062" s="44" t="s">
        <v>8</v>
      </c>
      <c r="K3062" s="23" t="s">
        <v>8</v>
      </c>
      <c r="L3062" s="23" t="s">
        <v>8</v>
      </c>
      <c r="M3062" s="23" t="s">
        <v>8</v>
      </c>
    </row>
    <row r="3063" spans="1:13" s="21" customFormat="1" x14ac:dyDescent="0.25">
      <c r="A3063" s="22" t="s">
        <v>8</v>
      </c>
      <c r="B3063" s="18" t="str">
        <f>"145406"</f>
        <v>145406</v>
      </c>
      <c r="C3063" s="19" t="s">
        <v>3054</v>
      </c>
      <c r="D3063" s="19" t="s">
        <v>18491</v>
      </c>
      <c r="E3063" s="19" t="s">
        <v>31756</v>
      </c>
      <c r="F3063" s="19" t="s">
        <v>35987</v>
      </c>
      <c r="G3063" s="18" t="str">
        <f>"62286"</f>
        <v>62286</v>
      </c>
      <c r="H3063" s="19" t="s">
        <v>33068</v>
      </c>
      <c r="I3063" s="20">
        <v>17.937999999999999</v>
      </c>
      <c r="J3063" s="44" t="s">
        <v>8</v>
      </c>
      <c r="K3063" s="23" t="s">
        <v>8</v>
      </c>
      <c r="L3063" s="23" t="s">
        <v>8</v>
      </c>
      <c r="M3063" s="23" t="s">
        <v>8</v>
      </c>
    </row>
    <row r="3064" spans="1:13" s="21" customFormat="1" x14ac:dyDescent="0.25">
      <c r="A3064" s="22" t="s">
        <v>8</v>
      </c>
      <c r="B3064" s="18" t="str">
        <f>"145409"</f>
        <v>145409</v>
      </c>
      <c r="C3064" s="19" t="s">
        <v>3055</v>
      </c>
      <c r="D3064" s="19" t="s">
        <v>18492</v>
      </c>
      <c r="E3064" s="19" t="s">
        <v>31985</v>
      </c>
      <c r="F3064" s="19" t="s">
        <v>35987</v>
      </c>
      <c r="G3064" s="18" t="str">
        <f>"60510"</f>
        <v>60510</v>
      </c>
      <c r="H3064" s="19" t="s">
        <v>34788</v>
      </c>
      <c r="I3064" s="20">
        <v>18.87</v>
      </c>
      <c r="J3064" s="44" t="s">
        <v>8</v>
      </c>
      <c r="K3064" s="23" t="s">
        <v>8</v>
      </c>
      <c r="L3064" s="23" t="s">
        <v>8</v>
      </c>
      <c r="M3064" s="23" t="s">
        <v>8</v>
      </c>
    </row>
    <row r="3065" spans="1:13" s="21" customFormat="1" x14ac:dyDescent="0.25">
      <c r="A3065" s="22" t="s">
        <v>8</v>
      </c>
      <c r="B3065" s="18" t="str">
        <f>"145410"</f>
        <v>145410</v>
      </c>
      <c r="C3065" s="19" t="s">
        <v>3056</v>
      </c>
      <c r="D3065" s="19" t="s">
        <v>18493</v>
      </c>
      <c r="E3065" s="19" t="s">
        <v>31986</v>
      </c>
      <c r="F3065" s="19" t="s">
        <v>35987</v>
      </c>
      <c r="G3065" s="18" t="str">
        <f>"62230"</f>
        <v>62230</v>
      </c>
      <c r="H3065" s="19" t="s">
        <v>31081</v>
      </c>
      <c r="I3065" s="20">
        <v>17.959</v>
      </c>
      <c r="J3065" s="44" t="s">
        <v>8</v>
      </c>
      <c r="K3065" s="23" t="s">
        <v>8</v>
      </c>
      <c r="L3065" s="23" t="s">
        <v>8</v>
      </c>
      <c r="M3065" s="23" t="s">
        <v>8</v>
      </c>
    </row>
    <row r="3066" spans="1:13" s="21" customFormat="1" x14ac:dyDescent="0.25">
      <c r="A3066" s="22" t="s">
        <v>8</v>
      </c>
      <c r="B3066" s="18" t="str">
        <f>"145411"</f>
        <v>145411</v>
      </c>
      <c r="C3066" s="19" t="s">
        <v>3057</v>
      </c>
      <c r="D3066" s="19" t="s">
        <v>18494</v>
      </c>
      <c r="E3066" s="19" t="s">
        <v>31956</v>
      </c>
      <c r="F3066" s="19" t="s">
        <v>35987</v>
      </c>
      <c r="G3066" s="18" t="str">
        <f>"62557"</f>
        <v>62557</v>
      </c>
      <c r="H3066" s="19" t="s">
        <v>36234</v>
      </c>
      <c r="I3066" s="20">
        <v>22.876000000000001</v>
      </c>
      <c r="J3066" s="44" t="s">
        <v>8</v>
      </c>
      <c r="K3066" s="23" t="s">
        <v>8</v>
      </c>
      <c r="L3066" s="23" t="s">
        <v>8</v>
      </c>
      <c r="M3066" s="23" t="s">
        <v>8</v>
      </c>
    </row>
    <row r="3067" spans="1:13" s="21" customFormat="1" x14ac:dyDescent="0.25">
      <c r="A3067" s="22" t="s">
        <v>8</v>
      </c>
      <c r="B3067" s="18" t="str">
        <f>"145413"</f>
        <v>145413</v>
      </c>
      <c r="C3067" s="19" t="s">
        <v>3058</v>
      </c>
      <c r="D3067" s="19" t="s">
        <v>18495</v>
      </c>
      <c r="E3067" s="19" t="s">
        <v>31987</v>
      </c>
      <c r="F3067" s="19" t="s">
        <v>35987</v>
      </c>
      <c r="G3067" s="18" t="str">
        <f>"61369"</f>
        <v>61369</v>
      </c>
      <c r="H3067" s="19" t="s">
        <v>31063</v>
      </c>
      <c r="I3067" s="20">
        <v>16.536999999999999</v>
      </c>
      <c r="J3067" s="44" t="s">
        <v>8</v>
      </c>
      <c r="K3067" s="23" t="s">
        <v>8</v>
      </c>
      <c r="L3067" s="23" t="s">
        <v>8</v>
      </c>
      <c r="M3067" s="23" t="s">
        <v>8</v>
      </c>
    </row>
    <row r="3068" spans="1:13" s="21" customFormat="1" x14ac:dyDescent="0.25">
      <c r="A3068" s="22" t="s">
        <v>8</v>
      </c>
      <c r="B3068" s="18" t="str">
        <f>"145414"</f>
        <v>145414</v>
      </c>
      <c r="C3068" s="19" t="s">
        <v>3059</v>
      </c>
      <c r="D3068" s="19" t="s">
        <v>18496</v>
      </c>
      <c r="E3068" s="19" t="s">
        <v>31988</v>
      </c>
      <c r="F3068" s="19" t="s">
        <v>35987</v>
      </c>
      <c r="G3068" s="18" t="str">
        <f>"60550"</f>
        <v>60550</v>
      </c>
      <c r="H3068" s="19" t="s">
        <v>31954</v>
      </c>
      <c r="I3068" s="20">
        <v>17.308</v>
      </c>
      <c r="J3068" s="44" t="s">
        <v>8</v>
      </c>
      <c r="K3068" s="23" t="s">
        <v>8</v>
      </c>
      <c r="L3068" s="23" t="s">
        <v>8</v>
      </c>
      <c r="M3068" s="23" t="s">
        <v>8</v>
      </c>
    </row>
    <row r="3069" spans="1:13" s="21" customFormat="1" x14ac:dyDescent="0.25">
      <c r="A3069" s="22" t="s">
        <v>8</v>
      </c>
      <c r="B3069" s="18" t="str">
        <f>"145415"</f>
        <v>145415</v>
      </c>
      <c r="C3069" s="19" t="s">
        <v>3060</v>
      </c>
      <c r="D3069" s="19" t="s">
        <v>18497</v>
      </c>
      <c r="E3069" s="19" t="s">
        <v>31934</v>
      </c>
      <c r="F3069" s="19" t="s">
        <v>35987</v>
      </c>
      <c r="G3069" s="18" t="str">
        <f>"60641"</f>
        <v>60641</v>
      </c>
      <c r="H3069" s="19" t="s">
        <v>33420</v>
      </c>
      <c r="I3069" s="20">
        <v>19.169</v>
      </c>
      <c r="J3069" s="44" t="s">
        <v>8</v>
      </c>
      <c r="K3069" s="23" t="s">
        <v>8</v>
      </c>
      <c r="L3069" s="23" t="s">
        <v>8</v>
      </c>
      <c r="M3069" s="23" t="s">
        <v>8</v>
      </c>
    </row>
    <row r="3070" spans="1:13" s="21" customFormat="1" x14ac:dyDescent="0.25">
      <c r="A3070" s="22" t="s">
        <v>8</v>
      </c>
      <c r="B3070" s="18" t="str">
        <f>"145416"</f>
        <v>145416</v>
      </c>
      <c r="C3070" s="19" t="s">
        <v>3061</v>
      </c>
      <c r="D3070" s="19" t="s">
        <v>18498</v>
      </c>
      <c r="E3070" s="19" t="s">
        <v>31989</v>
      </c>
      <c r="F3070" s="19" t="s">
        <v>35987</v>
      </c>
      <c r="G3070" s="18" t="str">
        <f>"62420"</f>
        <v>62420</v>
      </c>
      <c r="H3070" s="19" t="s">
        <v>33967</v>
      </c>
      <c r="I3070" s="20">
        <v>18.779</v>
      </c>
      <c r="J3070" s="44" t="s">
        <v>8</v>
      </c>
      <c r="K3070" s="23" t="s">
        <v>8</v>
      </c>
      <c r="L3070" s="23" t="s">
        <v>8</v>
      </c>
      <c r="M3070" s="23" t="s">
        <v>8</v>
      </c>
    </row>
    <row r="3071" spans="1:13" s="21" customFormat="1" x14ac:dyDescent="0.25">
      <c r="A3071" s="22" t="s">
        <v>8</v>
      </c>
      <c r="B3071" s="18" t="str">
        <f>"145417"</f>
        <v>145417</v>
      </c>
      <c r="C3071" s="19" t="s">
        <v>3062</v>
      </c>
      <c r="D3071" s="19" t="s">
        <v>18499</v>
      </c>
      <c r="E3071" s="19" t="s">
        <v>31746</v>
      </c>
      <c r="F3071" s="19" t="s">
        <v>35987</v>
      </c>
      <c r="G3071" s="18" t="str">
        <f>"62439"</f>
        <v>62439</v>
      </c>
      <c r="H3071" s="19" t="s">
        <v>32568</v>
      </c>
      <c r="I3071" s="20">
        <v>20.978999999999999</v>
      </c>
      <c r="J3071" s="44" t="s">
        <v>8</v>
      </c>
      <c r="K3071" s="23" t="s">
        <v>8</v>
      </c>
      <c r="L3071" s="23" t="s">
        <v>8</v>
      </c>
      <c r="M3071" s="23" t="s">
        <v>8</v>
      </c>
    </row>
    <row r="3072" spans="1:13" s="21" customFormat="1" x14ac:dyDescent="0.25">
      <c r="A3072" s="22" t="s">
        <v>8</v>
      </c>
      <c r="B3072" s="18" t="str">
        <f>"145418"</f>
        <v>145418</v>
      </c>
      <c r="C3072" s="19" t="s">
        <v>3063</v>
      </c>
      <c r="D3072" s="19" t="s">
        <v>18500</v>
      </c>
      <c r="E3072" s="19" t="s">
        <v>31990</v>
      </c>
      <c r="F3072" s="19" t="s">
        <v>35987</v>
      </c>
      <c r="G3072" s="18" t="str">
        <f>"61443"</f>
        <v>61443</v>
      </c>
      <c r="H3072" s="19" t="s">
        <v>32041</v>
      </c>
      <c r="I3072" s="20">
        <v>18.710999999999999</v>
      </c>
      <c r="J3072" s="44" t="s">
        <v>8</v>
      </c>
      <c r="K3072" s="23" t="s">
        <v>8</v>
      </c>
      <c r="L3072" s="23" t="s">
        <v>8</v>
      </c>
      <c r="M3072" s="23" t="s">
        <v>8</v>
      </c>
    </row>
    <row r="3073" spans="1:13" s="21" customFormat="1" x14ac:dyDescent="0.25">
      <c r="A3073" s="22" t="s">
        <v>8</v>
      </c>
      <c r="B3073" s="18" t="str">
        <f>"145419"</f>
        <v>145419</v>
      </c>
      <c r="C3073" s="19" t="s">
        <v>3064</v>
      </c>
      <c r="D3073" s="19" t="s">
        <v>18501</v>
      </c>
      <c r="E3073" s="19" t="s">
        <v>31991</v>
      </c>
      <c r="F3073" s="19" t="s">
        <v>35987</v>
      </c>
      <c r="G3073" s="18" t="str">
        <f>"60707"</f>
        <v>60707</v>
      </c>
      <c r="H3073" s="19" t="s">
        <v>33420</v>
      </c>
      <c r="I3073" s="20">
        <v>17.599</v>
      </c>
      <c r="J3073" s="44" t="s">
        <v>8</v>
      </c>
      <c r="K3073" s="23" t="s">
        <v>8</v>
      </c>
      <c r="L3073" s="23" t="s">
        <v>8</v>
      </c>
      <c r="M3073" s="23" t="s">
        <v>8</v>
      </c>
    </row>
    <row r="3074" spans="1:13" s="21" customFormat="1" x14ac:dyDescent="0.25">
      <c r="A3074" s="22" t="s">
        <v>8</v>
      </c>
      <c r="B3074" s="18" t="str">
        <f>"145420"</f>
        <v>145420</v>
      </c>
      <c r="C3074" s="19" t="s">
        <v>3065</v>
      </c>
      <c r="D3074" s="19" t="s">
        <v>18502</v>
      </c>
      <c r="E3074" s="19" t="s">
        <v>31992</v>
      </c>
      <c r="F3074" s="19" t="s">
        <v>35987</v>
      </c>
      <c r="G3074" s="18" t="str">
        <f>"60106"</f>
        <v>60106</v>
      </c>
      <c r="H3074" s="19" t="s">
        <v>36231</v>
      </c>
      <c r="I3074" s="20">
        <v>21.06</v>
      </c>
      <c r="J3074" s="44" t="s">
        <v>8</v>
      </c>
      <c r="K3074" s="23" t="s">
        <v>8</v>
      </c>
      <c r="L3074" s="23" t="s">
        <v>8</v>
      </c>
      <c r="M3074" s="23" t="s">
        <v>8</v>
      </c>
    </row>
    <row r="3075" spans="1:13" s="21" customFormat="1" x14ac:dyDescent="0.25">
      <c r="A3075" s="22" t="s">
        <v>8</v>
      </c>
      <c r="B3075" s="18" t="str">
        <f>"145422"</f>
        <v>145422</v>
      </c>
      <c r="C3075" s="19" t="s">
        <v>3066</v>
      </c>
      <c r="D3075" s="19" t="s">
        <v>18503</v>
      </c>
      <c r="E3075" s="19" t="s">
        <v>30853</v>
      </c>
      <c r="F3075" s="19" t="s">
        <v>35987</v>
      </c>
      <c r="G3075" s="18" t="str">
        <f>"62521"</f>
        <v>62521</v>
      </c>
      <c r="H3075" s="19" t="s">
        <v>31733</v>
      </c>
      <c r="I3075" s="20">
        <v>16.498999999999999</v>
      </c>
      <c r="J3075" s="44" t="s">
        <v>8</v>
      </c>
      <c r="K3075" s="23" t="s">
        <v>8</v>
      </c>
      <c r="L3075" s="23" t="s">
        <v>8</v>
      </c>
      <c r="M3075" s="23" t="s">
        <v>8</v>
      </c>
    </row>
    <row r="3076" spans="1:13" s="21" customFormat="1" x14ac:dyDescent="0.25">
      <c r="A3076" s="22" t="s">
        <v>8</v>
      </c>
      <c r="B3076" s="18" t="str">
        <f>"145424"</f>
        <v>145424</v>
      </c>
      <c r="C3076" s="19" t="s">
        <v>3067</v>
      </c>
      <c r="D3076" s="19" t="s">
        <v>18504</v>
      </c>
      <c r="E3076" s="19" t="s">
        <v>31993</v>
      </c>
      <c r="F3076" s="19" t="s">
        <v>35987</v>
      </c>
      <c r="G3076" s="18" t="str">
        <f>"60471"</f>
        <v>60471</v>
      </c>
      <c r="H3076" s="19" t="s">
        <v>33420</v>
      </c>
      <c r="I3076" s="20">
        <v>16.899999999999999</v>
      </c>
      <c r="J3076" s="44" t="s">
        <v>8</v>
      </c>
      <c r="K3076" s="23" t="s">
        <v>8</v>
      </c>
      <c r="L3076" s="23" t="s">
        <v>8</v>
      </c>
      <c r="M3076" s="23" t="s">
        <v>8</v>
      </c>
    </row>
    <row r="3077" spans="1:13" s="21" customFormat="1" x14ac:dyDescent="0.25">
      <c r="A3077" s="22" t="s">
        <v>8</v>
      </c>
      <c r="B3077" s="18" t="str">
        <f>"145426"</f>
        <v>145426</v>
      </c>
      <c r="C3077" s="19" t="s">
        <v>3068</v>
      </c>
      <c r="D3077" s="19" t="s">
        <v>18505</v>
      </c>
      <c r="E3077" s="19" t="s">
        <v>31994</v>
      </c>
      <c r="F3077" s="19" t="s">
        <v>35987</v>
      </c>
      <c r="G3077" s="18" t="str">
        <f>"61350"</f>
        <v>61350</v>
      </c>
      <c r="H3077" s="19" t="s">
        <v>31983</v>
      </c>
      <c r="I3077" s="20">
        <v>19.221</v>
      </c>
      <c r="J3077" s="44" t="s">
        <v>8</v>
      </c>
      <c r="K3077" s="23" t="s">
        <v>8</v>
      </c>
      <c r="L3077" s="23" t="s">
        <v>8</v>
      </c>
      <c r="M3077" s="23" t="s">
        <v>8</v>
      </c>
    </row>
    <row r="3078" spans="1:13" s="21" customFormat="1" x14ac:dyDescent="0.25">
      <c r="A3078" s="22" t="s">
        <v>8</v>
      </c>
      <c r="B3078" s="18" t="str">
        <f>"145427"</f>
        <v>145427</v>
      </c>
      <c r="C3078" s="19" t="s">
        <v>3069</v>
      </c>
      <c r="D3078" s="19" t="s">
        <v>18506</v>
      </c>
      <c r="E3078" s="19" t="s">
        <v>31933</v>
      </c>
      <c r="F3078" s="19" t="s">
        <v>35987</v>
      </c>
      <c r="G3078" s="18" t="str">
        <f>"62002"</f>
        <v>62002</v>
      </c>
      <c r="H3078" s="19" t="s">
        <v>30899</v>
      </c>
      <c r="I3078" s="20">
        <v>18.829999999999998</v>
      </c>
      <c r="J3078" s="44" t="s">
        <v>8</v>
      </c>
      <c r="K3078" s="23" t="s">
        <v>8</v>
      </c>
      <c r="L3078" s="23" t="s">
        <v>8</v>
      </c>
      <c r="M3078" s="23" t="s">
        <v>8</v>
      </c>
    </row>
    <row r="3079" spans="1:13" s="21" customFormat="1" x14ac:dyDescent="0.25">
      <c r="A3079" s="22" t="s">
        <v>8</v>
      </c>
      <c r="B3079" s="18" t="str">
        <f>"145429"</f>
        <v>145429</v>
      </c>
      <c r="C3079" s="19" t="s">
        <v>3070</v>
      </c>
      <c r="D3079" s="19" t="s">
        <v>18507</v>
      </c>
      <c r="E3079" s="19" t="s">
        <v>31934</v>
      </c>
      <c r="F3079" s="19" t="s">
        <v>35987</v>
      </c>
      <c r="G3079" s="18" t="str">
        <f>"60621"</f>
        <v>60621</v>
      </c>
      <c r="H3079" s="19" t="s">
        <v>33420</v>
      </c>
      <c r="I3079" s="20">
        <v>22.062999999999999</v>
      </c>
      <c r="J3079" s="44" t="s">
        <v>8</v>
      </c>
      <c r="K3079" s="23" t="s">
        <v>8</v>
      </c>
      <c r="L3079" s="23" t="s">
        <v>8</v>
      </c>
      <c r="M3079" s="23" t="s">
        <v>8</v>
      </c>
    </row>
    <row r="3080" spans="1:13" s="21" customFormat="1" x14ac:dyDescent="0.25">
      <c r="A3080" s="22" t="s">
        <v>8</v>
      </c>
      <c r="B3080" s="18" t="str">
        <f>"145430"</f>
        <v>145430</v>
      </c>
      <c r="C3080" s="19" t="s">
        <v>3071</v>
      </c>
      <c r="D3080" s="19" t="s">
        <v>18508</v>
      </c>
      <c r="E3080" s="19" t="s">
        <v>31995</v>
      </c>
      <c r="F3080" s="19" t="s">
        <v>35987</v>
      </c>
      <c r="G3080" s="18" t="str">
        <f>"62656"</f>
        <v>62656</v>
      </c>
      <c r="H3080" s="19" t="s">
        <v>32373</v>
      </c>
      <c r="I3080" s="20">
        <v>16.738</v>
      </c>
      <c r="J3080" s="44" t="s">
        <v>8</v>
      </c>
      <c r="K3080" s="23" t="s">
        <v>8</v>
      </c>
      <c r="L3080" s="23" t="s">
        <v>8</v>
      </c>
      <c r="M3080" s="23" t="s">
        <v>8</v>
      </c>
    </row>
    <row r="3081" spans="1:13" s="21" customFormat="1" x14ac:dyDescent="0.25">
      <c r="A3081" s="22" t="s">
        <v>8</v>
      </c>
      <c r="B3081" s="18" t="str">
        <f>"145431"</f>
        <v>145431</v>
      </c>
      <c r="C3081" s="19" t="s">
        <v>3072</v>
      </c>
      <c r="D3081" s="19" t="s">
        <v>18509</v>
      </c>
      <c r="E3081" s="19" t="s">
        <v>31100</v>
      </c>
      <c r="F3081" s="19" t="s">
        <v>35987</v>
      </c>
      <c r="G3081" s="18" t="str">
        <f>"61530"</f>
        <v>61530</v>
      </c>
      <c r="H3081" s="19" t="s">
        <v>36237</v>
      </c>
      <c r="I3081" s="20">
        <v>18.861000000000001</v>
      </c>
      <c r="J3081" s="44" t="s">
        <v>8</v>
      </c>
      <c r="K3081" s="23" t="s">
        <v>8</v>
      </c>
      <c r="L3081" s="23" t="s">
        <v>8</v>
      </c>
      <c r="M3081" s="23" t="s">
        <v>8</v>
      </c>
    </row>
    <row r="3082" spans="1:13" s="21" customFormat="1" x14ac:dyDescent="0.25">
      <c r="A3082" s="22" t="s">
        <v>8</v>
      </c>
      <c r="B3082" s="18" t="str">
        <f>"145433"</f>
        <v>145433</v>
      </c>
      <c r="C3082" s="19" t="s">
        <v>3073</v>
      </c>
      <c r="D3082" s="19" t="s">
        <v>18510</v>
      </c>
      <c r="E3082" s="19" t="s">
        <v>31996</v>
      </c>
      <c r="F3082" s="19" t="s">
        <v>35987</v>
      </c>
      <c r="G3082" s="18" t="str">
        <f>"60174"</f>
        <v>60174</v>
      </c>
      <c r="H3082" s="19" t="s">
        <v>34788</v>
      </c>
      <c r="I3082" s="20">
        <v>17.54</v>
      </c>
      <c r="J3082" s="44" t="s">
        <v>8</v>
      </c>
      <c r="K3082" s="23" t="s">
        <v>8</v>
      </c>
      <c r="L3082" s="23" t="s">
        <v>8</v>
      </c>
      <c r="M3082" s="23" t="s">
        <v>8</v>
      </c>
    </row>
    <row r="3083" spans="1:13" s="21" customFormat="1" x14ac:dyDescent="0.25">
      <c r="A3083" s="22" t="s">
        <v>8</v>
      </c>
      <c r="B3083" s="18" t="str">
        <f>"145434"</f>
        <v>145434</v>
      </c>
      <c r="C3083" s="19" t="s">
        <v>3074</v>
      </c>
      <c r="D3083" s="19" t="s">
        <v>18511</v>
      </c>
      <c r="E3083" s="19" t="s">
        <v>31997</v>
      </c>
      <c r="F3083" s="19" t="s">
        <v>35987</v>
      </c>
      <c r="G3083" s="18" t="str">
        <f>"60044"</f>
        <v>60044</v>
      </c>
      <c r="H3083" s="19" t="s">
        <v>36096</v>
      </c>
      <c r="I3083" s="20">
        <v>16.696999999999999</v>
      </c>
      <c r="J3083" s="44" t="s">
        <v>8</v>
      </c>
      <c r="K3083" s="23" t="s">
        <v>8</v>
      </c>
      <c r="L3083" s="23" t="s">
        <v>8</v>
      </c>
      <c r="M3083" s="23" t="s">
        <v>8</v>
      </c>
    </row>
    <row r="3084" spans="1:13" s="21" customFormat="1" x14ac:dyDescent="0.25">
      <c r="A3084" s="22" t="s">
        <v>8</v>
      </c>
      <c r="B3084" s="18" t="str">
        <f>"145436"</f>
        <v>145436</v>
      </c>
      <c r="C3084" s="19" t="s">
        <v>3075</v>
      </c>
      <c r="D3084" s="19" t="s">
        <v>18512</v>
      </c>
      <c r="E3084" s="19" t="s">
        <v>31951</v>
      </c>
      <c r="F3084" s="19" t="s">
        <v>35987</v>
      </c>
      <c r="G3084" s="18" t="str">
        <f>"61550"</f>
        <v>61550</v>
      </c>
      <c r="H3084" s="19" t="s">
        <v>35147</v>
      </c>
      <c r="I3084" s="20">
        <v>16.04</v>
      </c>
      <c r="J3084" s="44" t="s">
        <v>8</v>
      </c>
      <c r="K3084" s="23" t="s">
        <v>8</v>
      </c>
      <c r="L3084" s="23" t="s">
        <v>8</v>
      </c>
      <c r="M3084" s="23" t="s">
        <v>8</v>
      </c>
    </row>
    <row r="3085" spans="1:13" s="21" customFormat="1" x14ac:dyDescent="0.25">
      <c r="A3085" s="22" t="s">
        <v>8</v>
      </c>
      <c r="B3085" s="18" t="str">
        <f>"145437"</f>
        <v>145437</v>
      </c>
      <c r="C3085" s="19" t="s">
        <v>3076</v>
      </c>
      <c r="D3085" s="19" t="s">
        <v>18513</v>
      </c>
      <c r="E3085" s="19" t="s">
        <v>31998</v>
      </c>
      <c r="F3085" s="19" t="s">
        <v>35987</v>
      </c>
      <c r="G3085" s="18" t="str">
        <f>"61356"</f>
        <v>61356</v>
      </c>
      <c r="H3085" s="19" t="s">
        <v>36228</v>
      </c>
      <c r="I3085" s="20">
        <v>18.751999999999999</v>
      </c>
      <c r="J3085" s="44" t="s">
        <v>8</v>
      </c>
      <c r="K3085" s="23" t="s">
        <v>8</v>
      </c>
      <c r="L3085" s="23" t="s">
        <v>8</v>
      </c>
      <c r="M3085" s="23" t="s">
        <v>8</v>
      </c>
    </row>
    <row r="3086" spans="1:13" s="21" customFormat="1" x14ac:dyDescent="0.25">
      <c r="A3086" s="22" t="s">
        <v>8</v>
      </c>
      <c r="B3086" s="18" t="str">
        <f>"145438"</f>
        <v>145438</v>
      </c>
      <c r="C3086" s="19" t="s">
        <v>3077</v>
      </c>
      <c r="D3086" s="19" t="s">
        <v>18514</v>
      </c>
      <c r="E3086" s="19" t="s">
        <v>30896</v>
      </c>
      <c r="F3086" s="19" t="s">
        <v>35987</v>
      </c>
      <c r="G3086" s="18" t="str">
        <f>"62234"</f>
        <v>62234</v>
      </c>
      <c r="H3086" s="19" t="s">
        <v>30899</v>
      </c>
      <c r="I3086" s="20">
        <v>21.260999999999999</v>
      </c>
      <c r="J3086" s="44" t="s">
        <v>8</v>
      </c>
      <c r="K3086" s="23" t="s">
        <v>8</v>
      </c>
      <c r="L3086" s="23" t="s">
        <v>8</v>
      </c>
      <c r="M3086" s="23" t="s">
        <v>8</v>
      </c>
    </row>
    <row r="3087" spans="1:13" s="21" customFormat="1" x14ac:dyDescent="0.25">
      <c r="A3087" s="22" t="s">
        <v>8</v>
      </c>
      <c r="B3087" s="18" t="str">
        <f>"145439"</f>
        <v>145439</v>
      </c>
      <c r="C3087" s="19" t="s">
        <v>3078</v>
      </c>
      <c r="D3087" s="19" t="s">
        <v>18515</v>
      </c>
      <c r="E3087" s="19" t="s">
        <v>31999</v>
      </c>
      <c r="F3087" s="19" t="s">
        <v>35987</v>
      </c>
      <c r="G3087" s="18" t="str">
        <f>"61874"</f>
        <v>61874</v>
      </c>
      <c r="H3087" s="19" t="s">
        <v>31939</v>
      </c>
      <c r="I3087" s="20">
        <v>18.332999999999998</v>
      </c>
      <c r="J3087" s="44" t="s">
        <v>8</v>
      </c>
      <c r="K3087" s="23" t="s">
        <v>8</v>
      </c>
      <c r="L3087" s="23" t="s">
        <v>8</v>
      </c>
      <c r="M3087" s="23" t="s">
        <v>8</v>
      </c>
    </row>
    <row r="3088" spans="1:13" s="21" customFormat="1" x14ac:dyDescent="0.25">
      <c r="A3088" s="22" t="s">
        <v>8</v>
      </c>
      <c r="B3088" s="18" t="str">
        <f>"145440"</f>
        <v>145440</v>
      </c>
      <c r="C3088" s="19" t="s">
        <v>3079</v>
      </c>
      <c r="D3088" s="19" t="s">
        <v>18516</v>
      </c>
      <c r="E3088" s="19" t="s">
        <v>32000</v>
      </c>
      <c r="F3088" s="19" t="s">
        <v>35987</v>
      </c>
      <c r="G3088" s="18" t="str">
        <f>"61010"</f>
        <v>61010</v>
      </c>
      <c r="H3088" s="19" t="s">
        <v>36229</v>
      </c>
      <c r="I3088" s="20">
        <v>19.780999999999999</v>
      </c>
      <c r="J3088" s="44" t="s">
        <v>8</v>
      </c>
      <c r="K3088" s="23" t="s">
        <v>8</v>
      </c>
      <c r="L3088" s="23" t="s">
        <v>8</v>
      </c>
      <c r="M3088" s="23" t="s">
        <v>8</v>
      </c>
    </row>
    <row r="3089" spans="1:13" s="21" customFormat="1" x14ac:dyDescent="0.25">
      <c r="A3089" s="22" t="s">
        <v>8</v>
      </c>
      <c r="B3089" s="18" t="str">
        <f>"145441"</f>
        <v>145441</v>
      </c>
      <c r="C3089" s="19" t="s">
        <v>3080</v>
      </c>
      <c r="D3089" s="19" t="s">
        <v>18517</v>
      </c>
      <c r="E3089" s="19" t="s">
        <v>31910</v>
      </c>
      <c r="F3089" s="19" t="s">
        <v>35987</v>
      </c>
      <c r="G3089" s="18" t="str">
        <f>"62565"</f>
        <v>62565</v>
      </c>
      <c r="H3089" s="19" t="s">
        <v>33565</v>
      </c>
      <c r="I3089" s="20">
        <v>15.973000000000001</v>
      </c>
      <c r="J3089" s="44" t="s">
        <v>8</v>
      </c>
      <c r="K3089" s="23" t="s">
        <v>8</v>
      </c>
      <c r="L3089" s="23" t="s">
        <v>8</v>
      </c>
      <c r="M3089" s="23" t="s">
        <v>8</v>
      </c>
    </row>
    <row r="3090" spans="1:13" s="21" customFormat="1" x14ac:dyDescent="0.25">
      <c r="A3090" s="22" t="s">
        <v>8</v>
      </c>
      <c r="B3090" s="18" t="str">
        <f>"145442"</f>
        <v>145442</v>
      </c>
      <c r="C3090" s="19" t="s">
        <v>3081</v>
      </c>
      <c r="D3090" s="19" t="s">
        <v>18518</v>
      </c>
      <c r="E3090" s="19" t="s">
        <v>32001</v>
      </c>
      <c r="F3090" s="19" t="s">
        <v>35987</v>
      </c>
      <c r="G3090" s="18" t="str">
        <f>"61483"</f>
        <v>61483</v>
      </c>
      <c r="H3090" s="19" t="s">
        <v>36240</v>
      </c>
      <c r="I3090" s="20">
        <v>19.722000000000001</v>
      </c>
      <c r="J3090" s="44" t="s">
        <v>8</v>
      </c>
      <c r="K3090" s="23" t="s">
        <v>8</v>
      </c>
      <c r="L3090" s="23" t="s">
        <v>8</v>
      </c>
      <c r="M3090" s="23" t="s">
        <v>8</v>
      </c>
    </row>
    <row r="3091" spans="1:13" s="21" customFormat="1" x14ac:dyDescent="0.25">
      <c r="A3091" s="22" t="s">
        <v>8</v>
      </c>
      <c r="B3091" s="18" t="str">
        <f>"145443"</f>
        <v>145443</v>
      </c>
      <c r="C3091" s="19" t="s">
        <v>3082</v>
      </c>
      <c r="D3091" s="19" t="s">
        <v>18519</v>
      </c>
      <c r="E3091" s="19" t="s">
        <v>32002</v>
      </c>
      <c r="F3091" s="19" t="s">
        <v>35987</v>
      </c>
      <c r="G3091" s="18" t="str">
        <f>"60099"</f>
        <v>60099</v>
      </c>
      <c r="H3091" s="19" t="s">
        <v>36096</v>
      </c>
      <c r="I3091" s="20">
        <v>19.193999999999999</v>
      </c>
      <c r="J3091" s="44" t="s">
        <v>8</v>
      </c>
      <c r="K3091" s="23" t="s">
        <v>8</v>
      </c>
      <c r="L3091" s="23" t="s">
        <v>8</v>
      </c>
      <c r="M3091" s="23" t="s">
        <v>8</v>
      </c>
    </row>
    <row r="3092" spans="1:13" s="21" customFormat="1" x14ac:dyDescent="0.25">
      <c r="A3092" s="22" t="s">
        <v>8</v>
      </c>
      <c r="B3092" s="18" t="str">
        <f>"145445"</f>
        <v>145445</v>
      </c>
      <c r="C3092" s="19" t="s">
        <v>3083</v>
      </c>
      <c r="D3092" s="19" t="s">
        <v>18520</v>
      </c>
      <c r="E3092" s="19" t="s">
        <v>32003</v>
      </c>
      <c r="F3092" s="19" t="s">
        <v>35987</v>
      </c>
      <c r="G3092" s="18" t="str">
        <f>"62298"</f>
        <v>62298</v>
      </c>
      <c r="H3092" s="19" t="s">
        <v>31711</v>
      </c>
      <c r="I3092" s="20">
        <v>17.39</v>
      </c>
      <c r="J3092" s="44" t="s">
        <v>8</v>
      </c>
      <c r="K3092" s="23" t="s">
        <v>8</v>
      </c>
      <c r="L3092" s="23" t="s">
        <v>8</v>
      </c>
      <c r="M3092" s="23" t="s">
        <v>8</v>
      </c>
    </row>
    <row r="3093" spans="1:13" s="21" customFormat="1" x14ac:dyDescent="0.25">
      <c r="A3093" s="22" t="s">
        <v>8</v>
      </c>
      <c r="B3093" s="18" t="str">
        <f>"145446"</f>
        <v>145446</v>
      </c>
      <c r="C3093" s="19" t="s">
        <v>3084</v>
      </c>
      <c r="D3093" s="19" t="s">
        <v>18521</v>
      </c>
      <c r="E3093" s="19" t="s">
        <v>31918</v>
      </c>
      <c r="F3093" s="19" t="s">
        <v>35987</v>
      </c>
      <c r="G3093" s="18" t="str">
        <f>"61401"</f>
        <v>61401</v>
      </c>
      <c r="H3093" s="19" t="s">
        <v>32252</v>
      </c>
      <c r="I3093" s="20">
        <v>19.605</v>
      </c>
      <c r="J3093" s="44" t="s">
        <v>8</v>
      </c>
      <c r="K3093" s="23" t="s">
        <v>8</v>
      </c>
      <c r="L3093" s="23" t="s">
        <v>8</v>
      </c>
      <c r="M3093" s="23" t="s">
        <v>8</v>
      </c>
    </row>
    <row r="3094" spans="1:13" s="21" customFormat="1" x14ac:dyDescent="0.25">
      <c r="A3094" s="22" t="s">
        <v>8</v>
      </c>
      <c r="B3094" s="18" t="str">
        <f>"145447"</f>
        <v>145447</v>
      </c>
      <c r="C3094" s="19" t="s">
        <v>3085</v>
      </c>
      <c r="D3094" s="19" t="s">
        <v>18522</v>
      </c>
      <c r="E3094" s="19" t="s">
        <v>31915</v>
      </c>
      <c r="F3094" s="19" t="s">
        <v>35987</v>
      </c>
      <c r="G3094" s="18" t="str">
        <f>"60120"</f>
        <v>60120</v>
      </c>
      <c r="H3094" s="19" t="s">
        <v>34788</v>
      </c>
      <c r="I3094" s="20">
        <v>17.661999999999999</v>
      </c>
      <c r="J3094" s="44" t="s">
        <v>8</v>
      </c>
      <c r="K3094" s="23" t="s">
        <v>8</v>
      </c>
      <c r="L3094" s="23" t="s">
        <v>8</v>
      </c>
      <c r="M3094" s="23" t="s">
        <v>8</v>
      </c>
    </row>
    <row r="3095" spans="1:13" s="21" customFormat="1" x14ac:dyDescent="0.25">
      <c r="A3095" s="22" t="s">
        <v>8</v>
      </c>
      <c r="B3095" s="18" t="str">
        <f>"145449"</f>
        <v>145449</v>
      </c>
      <c r="C3095" s="19" t="s">
        <v>3086</v>
      </c>
      <c r="D3095" s="19" t="s">
        <v>18523</v>
      </c>
      <c r="E3095" s="19" t="s">
        <v>32004</v>
      </c>
      <c r="F3095" s="19" t="s">
        <v>35987</v>
      </c>
      <c r="G3095" s="18" t="str">
        <f>"60957"</f>
        <v>60957</v>
      </c>
      <c r="H3095" s="19" t="s">
        <v>36241</v>
      </c>
      <c r="I3095" s="20">
        <v>19.132999999999999</v>
      </c>
      <c r="J3095" s="44" t="s">
        <v>8</v>
      </c>
      <c r="K3095" s="23" t="s">
        <v>8</v>
      </c>
      <c r="L3095" s="23" t="s">
        <v>8</v>
      </c>
      <c r="M3095" s="23" t="s">
        <v>8</v>
      </c>
    </row>
    <row r="3096" spans="1:13" s="21" customFormat="1" x14ac:dyDescent="0.25">
      <c r="A3096" s="22" t="s">
        <v>8</v>
      </c>
      <c r="B3096" s="18" t="str">
        <f>"145450"</f>
        <v>145450</v>
      </c>
      <c r="C3096" s="19" t="s">
        <v>3087</v>
      </c>
      <c r="D3096" s="19" t="s">
        <v>18524</v>
      </c>
      <c r="E3096" s="19" t="s">
        <v>31934</v>
      </c>
      <c r="F3096" s="19" t="s">
        <v>35987</v>
      </c>
      <c r="G3096" s="18" t="str">
        <f>"60640"</f>
        <v>60640</v>
      </c>
      <c r="H3096" s="19" t="s">
        <v>33420</v>
      </c>
      <c r="I3096" s="20">
        <v>19.196000000000002</v>
      </c>
      <c r="J3096" s="44" t="s">
        <v>8</v>
      </c>
      <c r="K3096" s="23" t="s">
        <v>8</v>
      </c>
      <c r="L3096" s="23" t="s">
        <v>8</v>
      </c>
      <c r="M3096" s="23" t="s">
        <v>8</v>
      </c>
    </row>
    <row r="3097" spans="1:13" s="21" customFormat="1" x14ac:dyDescent="0.25">
      <c r="A3097" s="22" t="s">
        <v>8</v>
      </c>
      <c r="B3097" s="18" t="str">
        <f>"145452"</f>
        <v>145452</v>
      </c>
      <c r="C3097" s="19" t="s">
        <v>3088</v>
      </c>
      <c r="D3097" s="19" t="s">
        <v>18525</v>
      </c>
      <c r="E3097" s="19" t="s">
        <v>32005</v>
      </c>
      <c r="F3097" s="19" t="s">
        <v>35987</v>
      </c>
      <c r="G3097" s="18" t="str">
        <f>"60420"</f>
        <v>60420</v>
      </c>
      <c r="H3097" s="19" t="s">
        <v>33740</v>
      </c>
      <c r="I3097" s="20">
        <v>18.475999999999999</v>
      </c>
      <c r="J3097" s="44" t="s">
        <v>8</v>
      </c>
      <c r="K3097" s="23" t="s">
        <v>8</v>
      </c>
      <c r="L3097" s="23" t="s">
        <v>8</v>
      </c>
      <c r="M3097" s="23" t="s">
        <v>8</v>
      </c>
    </row>
    <row r="3098" spans="1:13" s="21" customFormat="1" x14ac:dyDescent="0.25">
      <c r="A3098" s="22" t="s">
        <v>8</v>
      </c>
      <c r="B3098" s="18" t="str">
        <f>"145453"</f>
        <v>145453</v>
      </c>
      <c r="C3098" s="19" t="s">
        <v>3089</v>
      </c>
      <c r="D3098" s="19" t="s">
        <v>18526</v>
      </c>
      <c r="E3098" s="19" t="s">
        <v>32006</v>
      </c>
      <c r="F3098" s="19" t="s">
        <v>35987</v>
      </c>
      <c r="G3098" s="18" t="str">
        <f>"60050"</f>
        <v>60050</v>
      </c>
      <c r="H3098" s="19" t="s">
        <v>32006</v>
      </c>
      <c r="I3098" s="20">
        <v>16.207999999999998</v>
      </c>
      <c r="J3098" s="44" t="s">
        <v>8</v>
      </c>
      <c r="K3098" s="23" t="s">
        <v>8</v>
      </c>
      <c r="L3098" s="23" t="s">
        <v>8</v>
      </c>
      <c r="M3098" s="23" t="s">
        <v>8</v>
      </c>
    </row>
    <row r="3099" spans="1:13" s="21" customFormat="1" x14ac:dyDescent="0.25">
      <c r="A3099" s="22" t="s">
        <v>8</v>
      </c>
      <c r="B3099" s="18" t="str">
        <f>"145454"</f>
        <v>145454</v>
      </c>
      <c r="C3099" s="19" t="s">
        <v>3090</v>
      </c>
      <c r="D3099" s="19" t="s">
        <v>18527</v>
      </c>
      <c r="E3099" s="19" t="s">
        <v>32007</v>
      </c>
      <c r="F3099" s="19" t="s">
        <v>35987</v>
      </c>
      <c r="G3099" s="18" t="str">
        <f>"62626"</f>
        <v>62626</v>
      </c>
      <c r="H3099" s="19" t="s">
        <v>36236</v>
      </c>
      <c r="I3099" s="20">
        <v>18.893999999999998</v>
      </c>
      <c r="J3099" s="44" t="s">
        <v>8</v>
      </c>
      <c r="K3099" s="23" t="s">
        <v>8</v>
      </c>
      <c r="L3099" s="23" t="s">
        <v>8</v>
      </c>
      <c r="M3099" s="23" t="s">
        <v>8</v>
      </c>
    </row>
    <row r="3100" spans="1:13" s="21" customFormat="1" x14ac:dyDescent="0.25">
      <c r="A3100" s="22" t="s">
        <v>8</v>
      </c>
      <c r="B3100" s="18" t="str">
        <f>"145456"</f>
        <v>145456</v>
      </c>
      <c r="C3100" s="19" t="s">
        <v>3091</v>
      </c>
      <c r="D3100" s="19" t="s">
        <v>18528</v>
      </c>
      <c r="E3100" s="19" t="s">
        <v>32007</v>
      </c>
      <c r="F3100" s="19" t="s">
        <v>35987</v>
      </c>
      <c r="G3100" s="18" t="str">
        <f>"62626"</f>
        <v>62626</v>
      </c>
      <c r="H3100" s="19" t="s">
        <v>36236</v>
      </c>
      <c r="I3100" s="20">
        <v>19.882999999999999</v>
      </c>
      <c r="J3100" s="44" t="s">
        <v>8</v>
      </c>
      <c r="K3100" s="23" t="s">
        <v>8</v>
      </c>
      <c r="L3100" s="23" t="s">
        <v>8</v>
      </c>
      <c r="M3100" s="23" t="s">
        <v>8</v>
      </c>
    </row>
    <row r="3101" spans="1:13" s="21" customFormat="1" x14ac:dyDescent="0.25">
      <c r="A3101" s="22" t="s">
        <v>8</v>
      </c>
      <c r="B3101" s="18" t="str">
        <f>"145457"</f>
        <v>145457</v>
      </c>
      <c r="C3101" s="19" t="s">
        <v>3092</v>
      </c>
      <c r="D3101" s="19" t="s">
        <v>18529</v>
      </c>
      <c r="E3101" s="19" t="s">
        <v>31311</v>
      </c>
      <c r="F3101" s="19" t="s">
        <v>35987</v>
      </c>
      <c r="G3101" s="18" t="str">
        <f>"62301"</f>
        <v>62301</v>
      </c>
      <c r="H3101" s="19" t="s">
        <v>33467</v>
      </c>
      <c r="I3101" s="20">
        <v>17.422999999999998</v>
      </c>
      <c r="J3101" s="44" t="s">
        <v>8</v>
      </c>
      <c r="K3101" s="23" t="s">
        <v>8</v>
      </c>
      <c r="L3101" s="23" t="s">
        <v>8</v>
      </c>
      <c r="M3101" s="23" t="s">
        <v>8</v>
      </c>
    </row>
    <row r="3102" spans="1:13" s="21" customFormat="1" x14ac:dyDescent="0.25">
      <c r="A3102" s="22" t="s">
        <v>8</v>
      </c>
      <c r="B3102" s="18" t="str">
        <f>"145458"</f>
        <v>145458</v>
      </c>
      <c r="C3102" s="19" t="s">
        <v>3093</v>
      </c>
      <c r="D3102" s="19" t="s">
        <v>18530</v>
      </c>
      <c r="E3102" s="19" t="s">
        <v>32008</v>
      </c>
      <c r="F3102" s="19" t="s">
        <v>35987</v>
      </c>
      <c r="G3102" s="18" t="str">
        <f>"60521"</f>
        <v>60521</v>
      </c>
      <c r="H3102" s="19" t="s">
        <v>36231</v>
      </c>
      <c r="I3102" s="20">
        <v>16.577000000000002</v>
      </c>
      <c r="J3102" s="44" t="s">
        <v>8</v>
      </c>
      <c r="K3102" s="23" t="s">
        <v>8</v>
      </c>
      <c r="L3102" s="23" t="s">
        <v>8</v>
      </c>
      <c r="M3102" s="23" t="s">
        <v>8</v>
      </c>
    </row>
    <row r="3103" spans="1:13" s="21" customFormat="1" x14ac:dyDescent="0.25">
      <c r="A3103" s="22" t="s">
        <v>8</v>
      </c>
      <c r="B3103" s="18" t="str">
        <f>"145460"</f>
        <v>145460</v>
      </c>
      <c r="C3103" s="19" t="s">
        <v>3094</v>
      </c>
      <c r="D3103" s="19" t="s">
        <v>18531</v>
      </c>
      <c r="E3103" s="19" t="s">
        <v>31972</v>
      </c>
      <c r="F3103" s="19" t="s">
        <v>35987</v>
      </c>
      <c r="G3103" s="18" t="str">
        <f>"60048"</f>
        <v>60048</v>
      </c>
      <c r="H3103" s="19" t="s">
        <v>36096</v>
      </c>
      <c r="I3103" s="20">
        <v>20.977</v>
      </c>
      <c r="J3103" s="44" t="s">
        <v>8</v>
      </c>
      <c r="K3103" s="23" t="s">
        <v>8</v>
      </c>
      <c r="L3103" s="23" t="s">
        <v>8</v>
      </c>
      <c r="M3103" s="23" t="s">
        <v>8</v>
      </c>
    </row>
    <row r="3104" spans="1:13" s="21" customFormat="1" x14ac:dyDescent="0.25">
      <c r="A3104" s="22" t="s">
        <v>8</v>
      </c>
      <c r="B3104" s="18" t="str">
        <f>"145464"</f>
        <v>145464</v>
      </c>
      <c r="C3104" s="19" t="s">
        <v>3095</v>
      </c>
      <c r="D3104" s="19" t="s">
        <v>18532</v>
      </c>
      <c r="E3104" s="19" t="s">
        <v>32009</v>
      </c>
      <c r="F3104" s="19" t="s">
        <v>35987</v>
      </c>
      <c r="G3104" s="18" t="str">
        <f>"61254"</f>
        <v>61254</v>
      </c>
      <c r="H3104" s="19" t="s">
        <v>32041</v>
      </c>
      <c r="I3104" s="20">
        <v>18.795999999999999</v>
      </c>
      <c r="J3104" s="44" t="s">
        <v>8</v>
      </c>
      <c r="K3104" s="23" t="s">
        <v>8</v>
      </c>
      <c r="L3104" s="23" t="s">
        <v>8</v>
      </c>
      <c r="M3104" s="23" t="s">
        <v>8</v>
      </c>
    </row>
    <row r="3105" spans="1:13" s="21" customFormat="1" x14ac:dyDescent="0.25">
      <c r="A3105" s="22" t="s">
        <v>8</v>
      </c>
      <c r="B3105" s="18" t="str">
        <f>"145465"</f>
        <v>145465</v>
      </c>
      <c r="C3105" s="19" t="s">
        <v>3096</v>
      </c>
      <c r="D3105" s="19" t="s">
        <v>18533</v>
      </c>
      <c r="E3105" s="19" t="s">
        <v>32010</v>
      </c>
      <c r="F3105" s="19" t="s">
        <v>35987</v>
      </c>
      <c r="G3105" s="18" t="str">
        <f>"62052"</f>
        <v>62052</v>
      </c>
      <c r="H3105" s="19" t="s">
        <v>36242</v>
      </c>
      <c r="I3105" s="20">
        <v>20.960999999999999</v>
      </c>
      <c r="J3105" s="44" t="s">
        <v>8</v>
      </c>
      <c r="K3105" s="23" t="s">
        <v>8</v>
      </c>
      <c r="L3105" s="23" t="s">
        <v>8</v>
      </c>
      <c r="M3105" s="23" t="s">
        <v>8</v>
      </c>
    </row>
    <row r="3106" spans="1:13" s="21" customFormat="1" x14ac:dyDescent="0.25">
      <c r="A3106" s="22" t="s">
        <v>8</v>
      </c>
      <c r="B3106" s="18" t="str">
        <f>"145466"</f>
        <v>145466</v>
      </c>
      <c r="C3106" s="19" t="s">
        <v>3097</v>
      </c>
      <c r="D3106" s="19" t="s">
        <v>18534</v>
      </c>
      <c r="E3106" s="19" t="s">
        <v>31050</v>
      </c>
      <c r="F3106" s="19" t="s">
        <v>35987</v>
      </c>
      <c r="G3106" s="18" t="str">
        <f>"61944"</f>
        <v>61944</v>
      </c>
      <c r="H3106" s="19" t="s">
        <v>33797</v>
      </c>
      <c r="I3106" s="20">
        <v>18.312999999999999</v>
      </c>
      <c r="J3106" s="44" t="s">
        <v>8</v>
      </c>
      <c r="K3106" s="23" t="s">
        <v>8</v>
      </c>
      <c r="L3106" s="23" t="s">
        <v>8</v>
      </c>
      <c r="M3106" s="23" t="s">
        <v>8</v>
      </c>
    </row>
    <row r="3107" spans="1:13" s="21" customFormat="1" x14ac:dyDescent="0.25">
      <c r="A3107" s="22" t="s">
        <v>8</v>
      </c>
      <c r="B3107" s="18" t="str">
        <f>"145468"</f>
        <v>145468</v>
      </c>
      <c r="C3107" s="19" t="s">
        <v>3098</v>
      </c>
      <c r="D3107" s="19" t="s">
        <v>18535</v>
      </c>
      <c r="E3107" s="19" t="s">
        <v>32011</v>
      </c>
      <c r="F3107" s="19" t="s">
        <v>35987</v>
      </c>
      <c r="G3107" s="18" t="str">
        <f>"60076"</f>
        <v>60076</v>
      </c>
      <c r="H3107" s="19" t="s">
        <v>33420</v>
      </c>
      <c r="I3107" s="20">
        <v>22.361000000000001</v>
      </c>
      <c r="J3107" s="44" t="s">
        <v>8</v>
      </c>
      <c r="K3107" s="23" t="s">
        <v>8</v>
      </c>
      <c r="L3107" s="23" t="s">
        <v>8</v>
      </c>
      <c r="M3107" s="23" t="s">
        <v>8</v>
      </c>
    </row>
    <row r="3108" spans="1:13" s="21" customFormat="1" x14ac:dyDescent="0.25">
      <c r="A3108" s="22" t="s">
        <v>8</v>
      </c>
      <c r="B3108" s="18" t="str">
        <f>"145469"</f>
        <v>145469</v>
      </c>
      <c r="C3108" s="19" t="s">
        <v>3099</v>
      </c>
      <c r="D3108" s="19" t="s">
        <v>18536</v>
      </c>
      <c r="E3108" s="19" t="s">
        <v>31050</v>
      </c>
      <c r="F3108" s="19" t="s">
        <v>35987</v>
      </c>
      <c r="G3108" s="18" t="str">
        <f>"61944"</f>
        <v>61944</v>
      </c>
      <c r="H3108" s="19" t="s">
        <v>33797</v>
      </c>
      <c r="I3108" s="20">
        <v>17.221</v>
      </c>
      <c r="J3108" s="44" t="s">
        <v>8</v>
      </c>
      <c r="K3108" s="23" t="s">
        <v>8</v>
      </c>
      <c r="L3108" s="23" t="s">
        <v>8</v>
      </c>
      <c r="M3108" s="23" t="s">
        <v>8</v>
      </c>
    </row>
    <row r="3109" spans="1:13" s="21" customFormat="1" x14ac:dyDescent="0.25">
      <c r="A3109" s="22" t="s">
        <v>8</v>
      </c>
      <c r="B3109" s="18" t="str">
        <f>"145470"</f>
        <v>145470</v>
      </c>
      <c r="C3109" s="19" t="s">
        <v>3100</v>
      </c>
      <c r="D3109" s="19" t="s">
        <v>18537</v>
      </c>
      <c r="E3109" s="19" t="s">
        <v>32012</v>
      </c>
      <c r="F3109" s="19" t="s">
        <v>35987</v>
      </c>
      <c r="G3109" s="18" t="str">
        <f>"60942"</f>
        <v>60942</v>
      </c>
      <c r="H3109" s="19" t="s">
        <v>34509</v>
      </c>
      <c r="I3109" s="20">
        <v>16.039000000000001</v>
      </c>
      <c r="J3109" s="44" t="s">
        <v>8</v>
      </c>
      <c r="K3109" s="23" t="s">
        <v>8</v>
      </c>
      <c r="L3109" s="23" t="s">
        <v>8</v>
      </c>
      <c r="M3109" s="23" t="s">
        <v>8</v>
      </c>
    </row>
    <row r="3110" spans="1:13" s="21" customFormat="1" x14ac:dyDescent="0.25">
      <c r="A3110" s="22" t="s">
        <v>8</v>
      </c>
      <c r="B3110" s="18" t="str">
        <f>"145471"</f>
        <v>145471</v>
      </c>
      <c r="C3110" s="19" t="s">
        <v>3101</v>
      </c>
      <c r="D3110" s="19" t="s">
        <v>18538</v>
      </c>
      <c r="E3110" s="19" t="s">
        <v>30804</v>
      </c>
      <c r="F3110" s="19" t="s">
        <v>35987</v>
      </c>
      <c r="G3110" s="18" t="str">
        <f>"62341"</f>
        <v>62341</v>
      </c>
      <c r="H3110" s="19" t="s">
        <v>33144</v>
      </c>
      <c r="I3110" s="20">
        <v>18.507000000000001</v>
      </c>
      <c r="J3110" s="44" t="s">
        <v>8</v>
      </c>
      <c r="K3110" s="23" t="s">
        <v>8</v>
      </c>
      <c r="L3110" s="23" t="s">
        <v>8</v>
      </c>
      <c r="M3110" s="23" t="s">
        <v>8</v>
      </c>
    </row>
    <row r="3111" spans="1:13" s="21" customFormat="1" x14ac:dyDescent="0.25">
      <c r="A3111" s="22" t="s">
        <v>8</v>
      </c>
      <c r="B3111" s="18" t="str">
        <f>"145473"</f>
        <v>145473</v>
      </c>
      <c r="C3111" s="19" t="s">
        <v>3102</v>
      </c>
      <c r="D3111" s="19" t="s">
        <v>18539</v>
      </c>
      <c r="E3111" s="19" t="s">
        <v>31333</v>
      </c>
      <c r="F3111" s="19" t="s">
        <v>35987</v>
      </c>
      <c r="G3111" s="18" t="str">
        <f>"60506"</f>
        <v>60506</v>
      </c>
      <c r="H3111" s="19" t="s">
        <v>34788</v>
      </c>
      <c r="I3111" s="20">
        <v>19.593</v>
      </c>
      <c r="J3111" s="44" t="s">
        <v>8</v>
      </c>
      <c r="K3111" s="23" t="s">
        <v>8</v>
      </c>
      <c r="L3111" s="23" t="s">
        <v>8</v>
      </c>
      <c r="M3111" s="23" t="s">
        <v>8</v>
      </c>
    </row>
    <row r="3112" spans="1:13" s="21" customFormat="1" x14ac:dyDescent="0.25">
      <c r="A3112" s="22" t="s">
        <v>8</v>
      </c>
      <c r="B3112" s="18" t="str">
        <f>"145475"</f>
        <v>145475</v>
      </c>
      <c r="C3112" s="19" t="s">
        <v>3103</v>
      </c>
      <c r="D3112" s="19" t="s">
        <v>18540</v>
      </c>
      <c r="E3112" s="19" t="s">
        <v>31396</v>
      </c>
      <c r="F3112" s="19" t="s">
        <v>35987</v>
      </c>
      <c r="G3112" s="18" t="str">
        <f>"62233"</f>
        <v>62233</v>
      </c>
      <c r="H3112" s="19" t="s">
        <v>33068</v>
      </c>
      <c r="I3112" s="20">
        <v>19.381</v>
      </c>
      <c r="J3112" s="44" t="s">
        <v>8</v>
      </c>
      <c r="K3112" s="23" t="s">
        <v>8</v>
      </c>
      <c r="L3112" s="23" t="s">
        <v>8</v>
      </c>
      <c r="M3112" s="23" t="s">
        <v>8</v>
      </c>
    </row>
    <row r="3113" spans="1:13" s="21" customFormat="1" x14ac:dyDescent="0.25">
      <c r="A3113" s="22" t="s">
        <v>8</v>
      </c>
      <c r="B3113" s="18" t="str">
        <f>"145476"</f>
        <v>145476</v>
      </c>
      <c r="C3113" s="19" t="s">
        <v>3104</v>
      </c>
      <c r="D3113" s="19" t="s">
        <v>18541</v>
      </c>
      <c r="E3113" s="19" t="s">
        <v>32013</v>
      </c>
      <c r="F3113" s="19" t="s">
        <v>35987</v>
      </c>
      <c r="G3113" s="18" t="str">
        <f>"61061"</f>
        <v>61061</v>
      </c>
      <c r="H3113" s="19" t="s">
        <v>36229</v>
      </c>
      <c r="I3113" s="20">
        <v>18.289000000000001</v>
      </c>
      <c r="J3113" s="44" t="s">
        <v>8</v>
      </c>
      <c r="K3113" s="23" t="s">
        <v>8</v>
      </c>
      <c r="L3113" s="23" t="s">
        <v>8</v>
      </c>
      <c r="M3113" s="23" t="s">
        <v>8</v>
      </c>
    </row>
    <row r="3114" spans="1:13" s="21" customFormat="1" x14ac:dyDescent="0.25">
      <c r="A3114" s="22" t="s">
        <v>8</v>
      </c>
      <c r="B3114" s="18" t="str">
        <f>"145478"</f>
        <v>145478</v>
      </c>
      <c r="C3114" s="19" t="s">
        <v>3105</v>
      </c>
      <c r="D3114" s="19" t="s">
        <v>18542</v>
      </c>
      <c r="E3114" s="19" t="s">
        <v>32014</v>
      </c>
      <c r="F3114" s="19" t="s">
        <v>35987</v>
      </c>
      <c r="G3114" s="18" t="str">
        <f>"62075"</f>
        <v>62075</v>
      </c>
      <c r="H3114" s="19" t="s">
        <v>30833</v>
      </c>
      <c r="I3114" s="20">
        <v>18.835999999999999</v>
      </c>
      <c r="J3114" s="44" t="s">
        <v>8</v>
      </c>
      <c r="K3114" s="23" t="s">
        <v>8</v>
      </c>
      <c r="L3114" s="23" t="s">
        <v>8</v>
      </c>
      <c r="M3114" s="23" t="s">
        <v>8</v>
      </c>
    </row>
    <row r="3115" spans="1:13" s="21" customFormat="1" x14ac:dyDescent="0.25">
      <c r="A3115" s="22" t="s">
        <v>8</v>
      </c>
      <c r="B3115" s="18" t="str">
        <f>"145479"</f>
        <v>145479</v>
      </c>
      <c r="C3115" s="19" t="s">
        <v>3106</v>
      </c>
      <c r="D3115" s="19" t="s">
        <v>18543</v>
      </c>
      <c r="E3115" s="19" t="s">
        <v>31934</v>
      </c>
      <c r="F3115" s="19" t="s">
        <v>35987</v>
      </c>
      <c r="G3115" s="18" t="str">
        <f>"60626"</f>
        <v>60626</v>
      </c>
      <c r="H3115" s="19" t="s">
        <v>33420</v>
      </c>
      <c r="I3115" s="20">
        <v>18.445</v>
      </c>
      <c r="J3115" s="44" t="s">
        <v>8</v>
      </c>
      <c r="K3115" s="23" t="s">
        <v>8</v>
      </c>
      <c r="L3115" s="23" t="s">
        <v>8</v>
      </c>
      <c r="M3115" s="23" t="s">
        <v>8</v>
      </c>
    </row>
    <row r="3116" spans="1:13" s="21" customFormat="1" x14ac:dyDescent="0.25">
      <c r="A3116" s="22" t="s">
        <v>8</v>
      </c>
      <c r="B3116" s="18" t="str">
        <f>"145480"</f>
        <v>145480</v>
      </c>
      <c r="C3116" s="19" t="s">
        <v>3107</v>
      </c>
      <c r="D3116" s="19" t="s">
        <v>18544</v>
      </c>
      <c r="E3116" s="19" t="s">
        <v>32015</v>
      </c>
      <c r="F3116" s="19" t="s">
        <v>35987</v>
      </c>
      <c r="G3116" s="18" t="str">
        <f>"61938"</f>
        <v>61938</v>
      </c>
      <c r="H3116" s="19" t="s">
        <v>36243</v>
      </c>
      <c r="I3116" s="20">
        <v>20.062000000000001</v>
      </c>
      <c r="J3116" s="44" t="s">
        <v>8</v>
      </c>
      <c r="K3116" s="23" t="s">
        <v>8</v>
      </c>
      <c r="L3116" s="23" t="s">
        <v>8</v>
      </c>
      <c r="M3116" s="23" t="s">
        <v>8</v>
      </c>
    </row>
    <row r="3117" spans="1:13" s="21" customFormat="1" x14ac:dyDescent="0.25">
      <c r="A3117" s="22" t="s">
        <v>8</v>
      </c>
      <c r="B3117" s="18" t="str">
        <f>"145482"</f>
        <v>145482</v>
      </c>
      <c r="C3117" s="19" t="s">
        <v>3108</v>
      </c>
      <c r="D3117" s="19" t="s">
        <v>18545</v>
      </c>
      <c r="E3117" s="19" t="s">
        <v>31934</v>
      </c>
      <c r="F3117" s="19" t="s">
        <v>35987</v>
      </c>
      <c r="G3117" s="18" t="str">
        <f>"60660"</f>
        <v>60660</v>
      </c>
      <c r="H3117" s="19" t="s">
        <v>33420</v>
      </c>
      <c r="I3117" s="20">
        <v>19.547999999999998</v>
      </c>
      <c r="J3117" s="44" t="s">
        <v>8</v>
      </c>
      <c r="K3117" s="23" t="s">
        <v>8</v>
      </c>
      <c r="L3117" s="23" t="s">
        <v>8</v>
      </c>
      <c r="M3117" s="23" t="s">
        <v>8</v>
      </c>
    </row>
    <row r="3118" spans="1:13" s="21" customFormat="1" x14ac:dyDescent="0.25">
      <c r="A3118" s="22" t="s">
        <v>8</v>
      </c>
      <c r="B3118" s="18" t="str">
        <f>"145483"</f>
        <v>145483</v>
      </c>
      <c r="C3118" s="19" t="s">
        <v>3109</v>
      </c>
      <c r="D3118" s="19" t="s">
        <v>18546</v>
      </c>
      <c r="E3118" s="19" t="s">
        <v>32016</v>
      </c>
      <c r="F3118" s="19" t="s">
        <v>35987</v>
      </c>
      <c r="G3118" s="18" t="str">
        <f>"62049"</f>
        <v>62049</v>
      </c>
      <c r="H3118" s="19" t="s">
        <v>30833</v>
      </c>
      <c r="I3118" s="20">
        <v>18.34</v>
      </c>
      <c r="J3118" s="44" t="s">
        <v>8</v>
      </c>
      <c r="K3118" s="23" t="s">
        <v>8</v>
      </c>
      <c r="L3118" s="23" t="s">
        <v>8</v>
      </c>
      <c r="M3118" s="23" t="s">
        <v>8</v>
      </c>
    </row>
    <row r="3119" spans="1:13" s="21" customFormat="1" x14ac:dyDescent="0.25">
      <c r="A3119" s="22" t="s">
        <v>8</v>
      </c>
      <c r="B3119" s="18" t="str">
        <f>"145484"</f>
        <v>145484</v>
      </c>
      <c r="C3119" s="19" t="s">
        <v>3110</v>
      </c>
      <c r="D3119" s="19" t="s">
        <v>18547</v>
      </c>
      <c r="E3119" s="19" t="s">
        <v>31934</v>
      </c>
      <c r="F3119" s="19" t="s">
        <v>35987</v>
      </c>
      <c r="G3119" s="18" t="str">
        <f>"60645"</f>
        <v>60645</v>
      </c>
      <c r="H3119" s="19" t="s">
        <v>33420</v>
      </c>
      <c r="I3119" s="20">
        <v>20.084</v>
      </c>
      <c r="J3119" s="44" t="s">
        <v>8</v>
      </c>
      <c r="K3119" s="23" t="s">
        <v>8</v>
      </c>
      <c r="L3119" s="23" t="s">
        <v>8</v>
      </c>
      <c r="M3119" s="23" t="s">
        <v>8</v>
      </c>
    </row>
    <row r="3120" spans="1:13" s="21" customFormat="1" x14ac:dyDescent="0.25">
      <c r="A3120" s="22" t="s">
        <v>8</v>
      </c>
      <c r="B3120" s="18" t="str">
        <f>"145486"</f>
        <v>145486</v>
      </c>
      <c r="C3120" s="19" t="s">
        <v>3111</v>
      </c>
      <c r="D3120" s="19" t="s">
        <v>18548</v>
      </c>
      <c r="E3120" s="19" t="s">
        <v>31247</v>
      </c>
      <c r="F3120" s="19" t="s">
        <v>35987</v>
      </c>
      <c r="G3120" s="18" t="str">
        <f>"61362"</f>
        <v>61362</v>
      </c>
      <c r="H3120" s="19" t="s">
        <v>36228</v>
      </c>
      <c r="I3120" s="20">
        <v>20.119</v>
      </c>
      <c r="J3120" s="44" t="s">
        <v>8</v>
      </c>
      <c r="K3120" s="23" t="s">
        <v>8</v>
      </c>
      <c r="L3120" s="23" t="s">
        <v>8</v>
      </c>
      <c r="M3120" s="23" t="s">
        <v>8</v>
      </c>
    </row>
    <row r="3121" spans="1:13" s="21" customFormat="1" x14ac:dyDescent="0.25">
      <c r="A3121" s="22" t="s">
        <v>8</v>
      </c>
      <c r="B3121" s="18" t="str">
        <f>"145488"</f>
        <v>145488</v>
      </c>
      <c r="C3121" s="19" t="s">
        <v>3112</v>
      </c>
      <c r="D3121" s="19" t="s">
        <v>18549</v>
      </c>
      <c r="E3121" s="19" t="s">
        <v>32017</v>
      </c>
      <c r="F3121" s="19" t="s">
        <v>35987</v>
      </c>
      <c r="G3121" s="18" t="str">
        <f>"62681"</f>
        <v>62681</v>
      </c>
      <c r="H3121" s="19" t="s">
        <v>33783</v>
      </c>
      <c r="I3121" s="20">
        <v>20.716999999999999</v>
      </c>
      <c r="J3121" s="44" t="s">
        <v>8</v>
      </c>
      <c r="K3121" s="23" t="s">
        <v>8</v>
      </c>
      <c r="L3121" s="23" t="s">
        <v>8</v>
      </c>
      <c r="M3121" s="23" t="s">
        <v>8</v>
      </c>
    </row>
    <row r="3122" spans="1:13" s="21" customFormat="1" x14ac:dyDescent="0.25">
      <c r="A3122" s="22" t="s">
        <v>8</v>
      </c>
      <c r="B3122" s="18" t="str">
        <f>"145489"</f>
        <v>145489</v>
      </c>
      <c r="C3122" s="19" t="s">
        <v>3113</v>
      </c>
      <c r="D3122" s="19" t="s">
        <v>18550</v>
      </c>
      <c r="E3122" s="19" t="s">
        <v>32018</v>
      </c>
      <c r="F3122" s="19" t="s">
        <v>35987</v>
      </c>
      <c r="G3122" s="18" t="str">
        <f>"60959"</f>
        <v>60959</v>
      </c>
      <c r="H3122" s="19" t="s">
        <v>36241</v>
      </c>
      <c r="I3122" s="20">
        <v>19.384</v>
      </c>
      <c r="J3122" s="44" t="s">
        <v>8</v>
      </c>
      <c r="K3122" s="23" t="s">
        <v>8</v>
      </c>
      <c r="L3122" s="23" t="s">
        <v>8</v>
      </c>
      <c r="M3122" s="23" t="s">
        <v>8</v>
      </c>
    </row>
    <row r="3123" spans="1:13" s="21" customFormat="1" x14ac:dyDescent="0.25">
      <c r="A3123" s="22" t="s">
        <v>8</v>
      </c>
      <c r="B3123" s="18" t="str">
        <f>"145494"</f>
        <v>145494</v>
      </c>
      <c r="C3123" s="19" t="s">
        <v>3114</v>
      </c>
      <c r="D3123" s="19" t="s">
        <v>18551</v>
      </c>
      <c r="E3123" s="19" t="s">
        <v>31923</v>
      </c>
      <c r="F3123" s="19" t="s">
        <v>35987</v>
      </c>
      <c r="G3123" s="18" t="str">
        <f>"61761"</f>
        <v>61761</v>
      </c>
      <c r="H3123" s="19" t="s">
        <v>35924</v>
      </c>
      <c r="I3123" s="20">
        <v>17.152999999999999</v>
      </c>
      <c r="J3123" s="44" t="s">
        <v>8</v>
      </c>
      <c r="K3123" s="23" t="s">
        <v>8</v>
      </c>
      <c r="L3123" s="23" t="s">
        <v>8</v>
      </c>
      <c r="M3123" s="23" t="s">
        <v>8</v>
      </c>
    </row>
    <row r="3124" spans="1:13" s="21" customFormat="1" x14ac:dyDescent="0.25">
      <c r="A3124" s="22" t="s">
        <v>8</v>
      </c>
      <c r="B3124" s="18" t="str">
        <f>"145495"</f>
        <v>145495</v>
      </c>
      <c r="C3124" s="19" t="s">
        <v>3115</v>
      </c>
      <c r="D3124" s="19" t="s">
        <v>18552</v>
      </c>
      <c r="E3124" s="19" t="s">
        <v>32019</v>
      </c>
      <c r="F3124" s="19" t="s">
        <v>35987</v>
      </c>
      <c r="G3124" s="18" t="str">
        <f>"61024"</f>
        <v>61024</v>
      </c>
      <c r="H3124" s="19" t="s">
        <v>36233</v>
      </c>
      <c r="I3124" s="20">
        <v>17.308</v>
      </c>
      <c r="J3124" s="44" t="s">
        <v>8</v>
      </c>
      <c r="K3124" s="23" t="s">
        <v>8</v>
      </c>
      <c r="L3124" s="23" t="s">
        <v>8</v>
      </c>
      <c r="M3124" s="23" t="s">
        <v>8</v>
      </c>
    </row>
    <row r="3125" spans="1:13" s="21" customFormat="1" x14ac:dyDescent="0.25">
      <c r="A3125" s="22" t="s">
        <v>8</v>
      </c>
      <c r="B3125" s="18" t="str">
        <f>"145497"</f>
        <v>145497</v>
      </c>
      <c r="C3125" s="19" t="s">
        <v>3116</v>
      </c>
      <c r="D3125" s="19" t="s">
        <v>18553</v>
      </c>
      <c r="E3125" s="19" t="s">
        <v>31396</v>
      </c>
      <c r="F3125" s="19" t="s">
        <v>35987</v>
      </c>
      <c r="G3125" s="18" t="str">
        <f>"62233"</f>
        <v>62233</v>
      </c>
      <c r="H3125" s="19" t="s">
        <v>33068</v>
      </c>
      <c r="I3125" s="20">
        <v>23.442</v>
      </c>
      <c r="J3125" s="44" t="s">
        <v>8</v>
      </c>
      <c r="K3125" s="23" t="s">
        <v>8</v>
      </c>
      <c r="L3125" s="23" t="s">
        <v>8</v>
      </c>
      <c r="M3125" s="23" t="s">
        <v>8</v>
      </c>
    </row>
    <row r="3126" spans="1:13" s="21" customFormat="1" x14ac:dyDescent="0.25">
      <c r="A3126" s="22" t="s">
        <v>8</v>
      </c>
      <c r="B3126" s="18" t="str">
        <f>"145500"</f>
        <v>145500</v>
      </c>
      <c r="C3126" s="19" t="s">
        <v>3117</v>
      </c>
      <c r="D3126" s="19" t="s">
        <v>18554</v>
      </c>
      <c r="E3126" s="19" t="s">
        <v>32016</v>
      </c>
      <c r="F3126" s="19" t="s">
        <v>35987</v>
      </c>
      <c r="G3126" s="18" t="str">
        <f>"62049"</f>
        <v>62049</v>
      </c>
      <c r="H3126" s="19" t="s">
        <v>30833</v>
      </c>
      <c r="I3126" s="20">
        <v>19.640999999999998</v>
      </c>
      <c r="J3126" s="44" t="s">
        <v>8</v>
      </c>
      <c r="K3126" s="23" t="s">
        <v>8</v>
      </c>
      <c r="L3126" s="23" t="s">
        <v>8</v>
      </c>
      <c r="M3126" s="23" t="s">
        <v>8</v>
      </c>
    </row>
    <row r="3127" spans="1:13" s="21" customFormat="1" x14ac:dyDescent="0.25">
      <c r="A3127" s="22" t="s">
        <v>8</v>
      </c>
      <c r="B3127" s="18" t="str">
        <f>"145502"</f>
        <v>145502</v>
      </c>
      <c r="C3127" s="19" t="s">
        <v>3118</v>
      </c>
      <c r="D3127" s="19" t="s">
        <v>18555</v>
      </c>
      <c r="E3127" s="19" t="s">
        <v>32020</v>
      </c>
      <c r="F3127" s="19" t="s">
        <v>35987</v>
      </c>
      <c r="G3127" s="18" t="str">
        <f>"62568"</f>
        <v>62568</v>
      </c>
      <c r="H3127" s="19" t="s">
        <v>36234</v>
      </c>
      <c r="I3127" s="20">
        <v>19.439</v>
      </c>
      <c r="J3127" s="44" t="s">
        <v>8</v>
      </c>
      <c r="K3127" s="23" t="s">
        <v>8</v>
      </c>
      <c r="L3127" s="23" t="s">
        <v>8</v>
      </c>
      <c r="M3127" s="23" t="s">
        <v>8</v>
      </c>
    </row>
    <row r="3128" spans="1:13" s="21" customFormat="1" x14ac:dyDescent="0.25">
      <c r="A3128" s="22" t="s">
        <v>8</v>
      </c>
      <c r="B3128" s="18" t="str">
        <f>"145503"</f>
        <v>145503</v>
      </c>
      <c r="C3128" s="19" t="s">
        <v>3119</v>
      </c>
      <c r="D3128" s="19" t="s">
        <v>18556</v>
      </c>
      <c r="E3128" s="19" t="s">
        <v>32015</v>
      </c>
      <c r="F3128" s="19" t="s">
        <v>35987</v>
      </c>
      <c r="G3128" s="18" t="str">
        <f>"61938"</f>
        <v>61938</v>
      </c>
      <c r="H3128" s="19" t="s">
        <v>36243</v>
      </c>
      <c r="I3128" s="20">
        <v>19.428000000000001</v>
      </c>
      <c r="J3128" s="44" t="s">
        <v>8</v>
      </c>
      <c r="K3128" s="23" t="s">
        <v>8</v>
      </c>
      <c r="L3128" s="23" t="s">
        <v>8</v>
      </c>
      <c r="M3128" s="23" t="s">
        <v>8</v>
      </c>
    </row>
    <row r="3129" spans="1:13" s="21" customFormat="1" x14ac:dyDescent="0.25">
      <c r="A3129" s="22" t="s">
        <v>8</v>
      </c>
      <c r="B3129" s="18" t="str">
        <f>"145507"</f>
        <v>145507</v>
      </c>
      <c r="C3129" s="19" t="s">
        <v>3120</v>
      </c>
      <c r="D3129" s="19" t="s">
        <v>18557</v>
      </c>
      <c r="E3129" s="19" t="s">
        <v>31934</v>
      </c>
      <c r="F3129" s="19" t="s">
        <v>35987</v>
      </c>
      <c r="G3129" s="18" t="str">
        <f>"60626"</f>
        <v>60626</v>
      </c>
      <c r="H3129" s="19" t="s">
        <v>33420</v>
      </c>
      <c r="I3129" s="20">
        <v>21.827999999999999</v>
      </c>
      <c r="J3129" s="44" t="s">
        <v>8</v>
      </c>
      <c r="K3129" s="23" t="s">
        <v>8</v>
      </c>
      <c r="L3129" s="23" t="s">
        <v>8</v>
      </c>
      <c r="M3129" s="23" t="s">
        <v>8</v>
      </c>
    </row>
    <row r="3130" spans="1:13" s="21" customFormat="1" x14ac:dyDescent="0.25">
      <c r="A3130" s="22" t="s">
        <v>8</v>
      </c>
      <c r="B3130" s="18" t="str">
        <f>"145508"</f>
        <v>145508</v>
      </c>
      <c r="C3130" s="19" t="s">
        <v>3121</v>
      </c>
      <c r="D3130" s="19" t="s">
        <v>18558</v>
      </c>
      <c r="E3130" s="19" t="s">
        <v>31280</v>
      </c>
      <c r="F3130" s="19" t="s">
        <v>35987</v>
      </c>
      <c r="G3130" s="18" t="str">
        <f>"62249"</f>
        <v>62249</v>
      </c>
      <c r="H3130" s="19" t="s">
        <v>30899</v>
      </c>
      <c r="I3130" s="20">
        <v>22.141999999999999</v>
      </c>
      <c r="J3130" s="44" t="s">
        <v>8</v>
      </c>
      <c r="K3130" s="23" t="s">
        <v>8</v>
      </c>
      <c r="L3130" s="23" t="s">
        <v>8</v>
      </c>
      <c r="M3130" s="23" t="s">
        <v>8</v>
      </c>
    </row>
    <row r="3131" spans="1:13" s="21" customFormat="1" x14ac:dyDescent="0.25">
      <c r="A3131" s="22" t="s">
        <v>8</v>
      </c>
      <c r="B3131" s="18" t="str">
        <f>"145510"</f>
        <v>145510</v>
      </c>
      <c r="C3131" s="19" t="s">
        <v>3122</v>
      </c>
      <c r="D3131" s="19" t="s">
        <v>18559</v>
      </c>
      <c r="E3131" s="19" t="s">
        <v>31934</v>
      </c>
      <c r="F3131" s="19" t="s">
        <v>35987</v>
      </c>
      <c r="G3131" s="18" t="str">
        <f>"60614"</f>
        <v>60614</v>
      </c>
      <c r="H3131" s="19" t="s">
        <v>33420</v>
      </c>
      <c r="I3131" s="20">
        <v>19.318000000000001</v>
      </c>
      <c r="J3131" s="44" t="s">
        <v>8</v>
      </c>
      <c r="K3131" s="23" t="s">
        <v>8</v>
      </c>
      <c r="L3131" s="23" t="s">
        <v>8</v>
      </c>
      <c r="M3131" s="23" t="s">
        <v>8</v>
      </c>
    </row>
    <row r="3132" spans="1:13" s="21" customFormat="1" x14ac:dyDescent="0.25">
      <c r="A3132" s="22" t="s">
        <v>8</v>
      </c>
      <c r="B3132" s="18" t="str">
        <f>"145511"</f>
        <v>145511</v>
      </c>
      <c r="C3132" s="19" t="s">
        <v>3123</v>
      </c>
      <c r="D3132" s="19" t="s">
        <v>18560</v>
      </c>
      <c r="E3132" s="19" t="s">
        <v>32021</v>
      </c>
      <c r="F3132" s="19" t="s">
        <v>35987</v>
      </c>
      <c r="G3132" s="18" t="str">
        <f>"60148"</f>
        <v>60148</v>
      </c>
      <c r="H3132" s="19" t="s">
        <v>36231</v>
      </c>
      <c r="I3132" s="20">
        <v>16.606000000000002</v>
      </c>
      <c r="J3132" s="44" t="s">
        <v>8</v>
      </c>
      <c r="K3132" s="23" t="s">
        <v>8</v>
      </c>
      <c r="L3132" s="23" t="s">
        <v>8</v>
      </c>
      <c r="M3132" s="23" t="s">
        <v>8</v>
      </c>
    </row>
    <row r="3133" spans="1:13" s="21" customFormat="1" x14ac:dyDescent="0.25">
      <c r="A3133" s="22" t="s">
        <v>8</v>
      </c>
      <c r="B3133" s="18" t="str">
        <f>"145514"</f>
        <v>145514</v>
      </c>
      <c r="C3133" s="19" t="s">
        <v>3124</v>
      </c>
      <c r="D3133" s="19" t="s">
        <v>18561</v>
      </c>
      <c r="E3133" s="19" t="s">
        <v>31952</v>
      </c>
      <c r="F3133" s="19" t="s">
        <v>35987</v>
      </c>
      <c r="G3133" s="18" t="str">
        <f>"62401"</f>
        <v>62401</v>
      </c>
      <c r="H3133" s="19" t="s">
        <v>31952</v>
      </c>
      <c r="I3133" s="20">
        <v>21.327999999999999</v>
      </c>
      <c r="J3133" s="44" t="s">
        <v>8</v>
      </c>
      <c r="K3133" s="23" t="s">
        <v>8</v>
      </c>
      <c r="L3133" s="23" t="s">
        <v>8</v>
      </c>
      <c r="M3133" s="23" t="s">
        <v>8</v>
      </c>
    </row>
    <row r="3134" spans="1:13" s="21" customFormat="1" x14ac:dyDescent="0.25">
      <c r="A3134" s="22" t="s">
        <v>8</v>
      </c>
      <c r="B3134" s="18" t="str">
        <f>"145515"</f>
        <v>145515</v>
      </c>
      <c r="C3134" s="19" t="s">
        <v>3125</v>
      </c>
      <c r="D3134" s="19" t="s">
        <v>18562</v>
      </c>
      <c r="E3134" s="19" t="s">
        <v>32022</v>
      </c>
      <c r="F3134" s="19" t="s">
        <v>35987</v>
      </c>
      <c r="G3134" s="18" t="str">
        <f>"62243"</f>
        <v>62243</v>
      </c>
      <c r="H3134" s="19" t="s">
        <v>33662</v>
      </c>
      <c r="I3134" s="20">
        <v>18.007999999999999</v>
      </c>
      <c r="J3134" s="44" t="s">
        <v>8</v>
      </c>
      <c r="K3134" s="23" t="s">
        <v>8</v>
      </c>
      <c r="L3134" s="23" t="s">
        <v>8</v>
      </c>
      <c r="M3134" s="23" t="s">
        <v>8</v>
      </c>
    </row>
    <row r="3135" spans="1:13" s="21" customFormat="1" x14ac:dyDescent="0.25">
      <c r="A3135" s="22" t="s">
        <v>8</v>
      </c>
      <c r="B3135" s="18" t="str">
        <f>"145517"</f>
        <v>145517</v>
      </c>
      <c r="C3135" s="19" t="s">
        <v>3126</v>
      </c>
      <c r="D3135" s="19" t="s">
        <v>18563</v>
      </c>
      <c r="E3135" s="19" t="s">
        <v>32023</v>
      </c>
      <c r="F3135" s="19" t="s">
        <v>35987</v>
      </c>
      <c r="G3135" s="18" t="str">
        <f>"62864"</f>
        <v>62864</v>
      </c>
      <c r="H3135" s="19" t="s">
        <v>32391</v>
      </c>
      <c r="I3135" s="20">
        <v>21.36</v>
      </c>
      <c r="J3135" s="44" t="s">
        <v>8</v>
      </c>
      <c r="K3135" s="23" t="s">
        <v>8</v>
      </c>
      <c r="L3135" s="23" t="s">
        <v>8</v>
      </c>
      <c r="M3135" s="23" t="s">
        <v>8</v>
      </c>
    </row>
    <row r="3136" spans="1:13" s="21" customFormat="1" x14ac:dyDescent="0.25">
      <c r="A3136" s="22" t="s">
        <v>8</v>
      </c>
      <c r="B3136" s="18" t="str">
        <f>"145518"</f>
        <v>145518</v>
      </c>
      <c r="C3136" s="19" t="s">
        <v>3127</v>
      </c>
      <c r="D3136" s="19" t="s">
        <v>18564</v>
      </c>
      <c r="E3136" s="19" t="s">
        <v>32024</v>
      </c>
      <c r="F3136" s="19" t="s">
        <v>35987</v>
      </c>
      <c r="G3136" s="18" t="str">
        <f>"62258"</f>
        <v>62258</v>
      </c>
      <c r="H3136" s="19" t="s">
        <v>33662</v>
      </c>
      <c r="I3136" s="20">
        <v>19.687999999999999</v>
      </c>
      <c r="J3136" s="44" t="s">
        <v>8</v>
      </c>
      <c r="K3136" s="23" t="s">
        <v>8</v>
      </c>
      <c r="L3136" s="23" t="s">
        <v>8</v>
      </c>
      <c r="M3136" s="23" t="s">
        <v>8</v>
      </c>
    </row>
    <row r="3137" spans="1:13" s="21" customFormat="1" x14ac:dyDescent="0.25">
      <c r="A3137" s="22" t="s">
        <v>8</v>
      </c>
      <c r="B3137" s="18" t="str">
        <f>"145519"</f>
        <v>145519</v>
      </c>
      <c r="C3137" s="19" t="s">
        <v>3128</v>
      </c>
      <c r="D3137" s="19" t="s">
        <v>18565</v>
      </c>
      <c r="E3137" s="19" t="s">
        <v>31068</v>
      </c>
      <c r="F3137" s="19" t="s">
        <v>35987</v>
      </c>
      <c r="G3137" s="18" t="str">
        <f>"62092"</f>
        <v>62092</v>
      </c>
      <c r="H3137" s="19" t="s">
        <v>32455</v>
      </c>
      <c r="I3137" s="20">
        <v>19.913</v>
      </c>
      <c r="J3137" s="44" t="s">
        <v>8</v>
      </c>
      <c r="K3137" s="23" t="s">
        <v>8</v>
      </c>
      <c r="L3137" s="23" t="s">
        <v>8</v>
      </c>
      <c r="M3137" s="23" t="s">
        <v>8</v>
      </c>
    </row>
    <row r="3138" spans="1:13" s="21" customFormat="1" x14ac:dyDescent="0.25">
      <c r="A3138" s="22" t="s">
        <v>8</v>
      </c>
      <c r="B3138" s="18" t="str">
        <f>"145522"</f>
        <v>145522</v>
      </c>
      <c r="C3138" s="19" t="s">
        <v>3129</v>
      </c>
      <c r="D3138" s="19" t="s">
        <v>18566</v>
      </c>
      <c r="E3138" s="19" t="s">
        <v>32021</v>
      </c>
      <c r="F3138" s="19" t="s">
        <v>35987</v>
      </c>
      <c r="G3138" s="18" t="str">
        <f>"60148"</f>
        <v>60148</v>
      </c>
      <c r="H3138" s="19" t="s">
        <v>36231</v>
      </c>
      <c r="I3138" s="20">
        <v>17.739000000000001</v>
      </c>
      <c r="J3138" s="44" t="s">
        <v>8</v>
      </c>
      <c r="K3138" s="23" t="s">
        <v>8</v>
      </c>
      <c r="L3138" s="23" t="s">
        <v>8</v>
      </c>
      <c r="M3138" s="23" t="s">
        <v>8</v>
      </c>
    </row>
    <row r="3139" spans="1:13" s="21" customFormat="1" x14ac:dyDescent="0.25">
      <c r="A3139" s="22" t="s">
        <v>8</v>
      </c>
      <c r="B3139" s="18" t="str">
        <f>"145523"</f>
        <v>145523</v>
      </c>
      <c r="C3139" s="19" t="s">
        <v>3130</v>
      </c>
      <c r="D3139" s="19" t="s">
        <v>18567</v>
      </c>
      <c r="E3139" s="19" t="s">
        <v>32025</v>
      </c>
      <c r="F3139" s="19" t="s">
        <v>35987</v>
      </c>
      <c r="G3139" s="18" t="str">
        <f>"61310"</f>
        <v>61310</v>
      </c>
      <c r="H3139" s="19" t="s">
        <v>33138</v>
      </c>
      <c r="I3139" s="20">
        <v>16.658000000000001</v>
      </c>
      <c r="J3139" s="44" t="s">
        <v>8</v>
      </c>
      <c r="K3139" s="23" t="s">
        <v>8</v>
      </c>
      <c r="L3139" s="23" t="s">
        <v>8</v>
      </c>
      <c r="M3139" s="23" t="s">
        <v>8</v>
      </c>
    </row>
    <row r="3140" spans="1:13" s="21" customFormat="1" x14ac:dyDescent="0.25">
      <c r="A3140" s="22" t="s">
        <v>8</v>
      </c>
      <c r="B3140" s="18" t="str">
        <f>"145524"</f>
        <v>145524</v>
      </c>
      <c r="C3140" s="19" t="s">
        <v>3131</v>
      </c>
      <c r="D3140" s="19" t="s">
        <v>18568</v>
      </c>
      <c r="E3140" s="19" t="s">
        <v>31955</v>
      </c>
      <c r="F3140" s="19" t="s">
        <v>35987</v>
      </c>
      <c r="G3140" s="18" t="str">
        <f>"61611"</f>
        <v>61611</v>
      </c>
      <c r="H3140" s="19" t="s">
        <v>35147</v>
      </c>
      <c r="I3140" s="20">
        <v>19.753</v>
      </c>
      <c r="J3140" s="44" t="s">
        <v>8</v>
      </c>
      <c r="K3140" s="23" t="s">
        <v>8</v>
      </c>
      <c r="L3140" s="23" t="s">
        <v>8</v>
      </c>
      <c r="M3140" s="23" t="s">
        <v>8</v>
      </c>
    </row>
    <row r="3141" spans="1:13" s="21" customFormat="1" x14ac:dyDescent="0.25">
      <c r="A3141" s="22" t="s">
        <v>8</v>
      </c>
      <c r="B3141" s="18" t="str">
        <f>"145526"</f>
        <v>145526</v>
      </c>
      <c r="C3141" s="19" t="s">
        <v>3132</v>
      </c>
      <c r="D3141" s="19" t="s">
        <v>18569</v>
      </c>
      <c r="E3141" s="19" t="s">
        <v>32026</v>
      </c>
      <c r="F3141" s="19" t="s">
        <v>35987</v>
      </c>
      <c r="G3141" s="18" t="str">
        <f>"60160"</f>
        <v>60160</v>
      </c>
      <c r="H3141" s="19" t="s">
        <v>33420</v>
      </c>
      <c r="I3141" s="20">
        <v>16.79</v>
      </c>
      <c r="J3141" s="44" t="s">
        <v>8</v>
      </c>
      <c r="K3141" s="23" t="s">
        <v>8</v>
      </c>
      <c r="L3141" s="23" t="s">
        <v>8</v>
      </c>
      <c r="M3141" s="23" t="s">
        <v>8</v>
      </c>
    </row>
    <row r="3142" spans="1:13" s="21" customFormat="1" x14ac:dyDescent="0.25">
      <c r="A3142" s="22" t="s">
        <v>8</v>
      </c>
      <c r="B3142" s="18" t="str">
        <f>"145527"</f>
        <v>145527</v>
      </c>
      <c r="C3142" s="19" t="s">
        <v>3133</v>
      </c>
      <c r="D3142" s="19" t="s">
        <v>18570</v>
      </c>
      <c r="E3142" s="19" t="s">
        <v>31937</v>
      </c>
      <c r="F3142" s="19" t="s">
        <v>35987</v>
      </c>
      <c r="G3142" s="18" t="str">
        <f>"60062"</f>
        <v>60062</v>
      </c>
      <c r="H3142" s="19" t="s">
        <v>33420</v>
      </c>
      <c r="I3142" s="20">
        <v>18.43</v>
      </c>
      <c r="J3142" s="44" t="s">
        <v>8</v>
      </c>
      <c r="K3142" s="23" t="s">
        <v>8</v>
      </c>
      <c r="L3142" s="23" t="s">
        <v>8</v>
      </c>
      <c r="M3142" s="23" t="s">
        <v>8</v>
      </c>
    </row>
    <row r="3143" spans="1:13" s="21" customFormat="1" x14ac:dyDescent="0.25">
      <c r="A3143" s="22" t="s">
        <v>8</v>
      </c>
      <c r="B3143" s="18" t="str">
        <f>"145532"</f>
        <v>145532</v>
      </c>
      <c r="C3143" s="19" t="s">
        <v>3134</v>
      </c>
      <c r="D3143" s="19" t="s">
        <v>18571</v>
      </c>
      <c r="E3143" s="19" t="s">
        <v>31934</v>
      </c>
      <c r="F3143" s="19" t="s">
        <v>35987</v>
      </c>
      <c r="G3143" s="18" t="str">
        <f>"60626"</f>
        <v>60626</v>
      </c>
      <c r="H3143" s="19" t="s">
        <v>33420</v>
      </c>
      <c r="I3143" s="20">
        <v>19.271000000000001</v>
      </c>
      <c r="J3143" s="44" t="s">
        <v>8</v>
      </c>
      <c r="K3143" s="23" t="s">
        <v>8</v>
      </c>
      <c r="L3143" s="23" t="s">
        <v>8</v>
      </c>
      <c r="M3143" s="23" t="s">
        <v>8</v>
      </c>
    </row>
    <row r="3144" spans="1:13" s="21" customFormat="1" x14ac:dyDescent="0.25">
      <c r="A3144" s="22" t="s">
        <v>8</v>
      </c>
      <c r="B3144" s="18" t="str">
        <f>"145536"</f>
        <v>145536</v>
      </c>
      <c r="C3144" s="19" t="s">
        <v>3135</v>
      </c>
      <c r="D3144" s="19" t="s">
        <v>18572</v>
      </c>
      <c r="E3144" s="19" t="s">
        <v>32027</v>
      </c>
      <c r="F3144" s="19" t="s">
        <v>35987</v>
      </c>
      <c r="G3144" s="18" t="str">
        <f>"60914"</f>
        <v>60914</v>
      </c>
      <c r="H3144" s="19" t="s">
        <v>31924</v>
      </c>
      <c r="I3144" s="20">
        <v>21.614999999999998</v>
      </c>
      <c r="J3144" s="44" t="s">
        <v>8</v>
      </c>
      <c r="K3144" s="23" t="s">
        <v>8</v>
      </c>
      <c r="L3144" s="23" t="s">
        <v>8</v>
      </c>
      <c r="M3144" s="23" t="s">
        <v>8</v>
      </c>
    </row>
    <row r="3145" spans="1:13" s="21" customFormat="1" x14ac:dyDescent="0.25">
      <c r="A3145" s="22" t="s">
        <v>8</v>
      </c>
      <c r="B3145" s="18" t="str">
        <f>"145538"</f>
        <v>145538</v>
      </c>
      <c r="C3145" s="19" t="s">
        <v>3136</v>
      </c>
      <c r="D3145" s="19" t="s">
        <v>18573</v>
      </c>
      <c r="E3145" s="19" t="s">
        <v>32028</v>
      </c>
      <c r="F3145" s="19" t="s">
        <v>35987</v>
      </c>
      <c r="G3145" s="18" t="str">
        <f>"60401"</f>
        <v>60401</v>
      </c>
      <c r="H3145" s="19" t="s">
        <v>36230</v>
      </c>
      <c r="I3145" s="20">
        <v>24.623999999999999</v>
      </c>
      <c r="J3145" s="44" t="s">
        <v>8</v>
      </c>
      <c r="K3145" s="23" t="s">
        <v>8</v>
      </c>
      <c r="L3145" s="23" t="s">
        <v>8</v>
      </c>
      <c r="M3145" s="23" t="s">
        <v>8</v>
      </c>
    </row>
    <row r="3146" spans="1:13" s="21" customFormat="1" x14ac:dyDescent="0.25">
      <c r="A3146" s="22" t="s">
        <v>8</v>
      </c>
      <c r="B3146" s="18" t="str">
        <f>"145539"</f>
        <v>145539</v>
      </c>
      <c r="C3146" s="19" t="s">
        <v>3137</v>
      </c>
      <c r="D3146" s="19" t="s">
        <v>18574</v>
      </c>
      <c r="E3146" s="19" t="s">
        <v>32020</v>
      </c>
      <c r="F3146" s="19" t="s">
        <v>35987</v>
      </c>
      <c r="G3146" s="18" t="str">
        <f>"62568"</f>
        <v>62568</v>
      </c>
      <c r="H3146" s="19" t="s">
        <v>36234</v>
      </c>
      <c r="I3146" s="20">
        <v>19.625</v>
      </c>
      <c r="J3146" s="44" t="s">
        <v>8</v>
      </c>
      <c r="K3146" s="23" t="s">
        <v>8</v>
      </c>
      <c r="L3146" s="23" t="s">
        <v>8</v>
      </c>
      <c r="M3146" s="23" t="s">
        <v>8</v>
      </c>
    </row>
    <row r="3147" spans="1:13" s="21" customFormat="1" x14ac:dyDescent="0.25">
      <c r="A3147" s="22" t="s">
        <v>8</v>
      </c>
      <c r="B3147" s="18" t="str">
        <f>"145541"</f>
        <v>145541</v>
      </c>
      <c r="C3147" s="19" t="s">
        <v>3138</v>
      </c>
      <c r="D3147" s="19" t="s">
        <v>18575</v>
      </c>
      <c r="E3147" s="19" t="s">
        <v>31934</v>
      </c>
      <c r="F3147" s="19" t="s">
        <v>35987</v>
      </c>
      <c r="G3147" s="18" t="str">
        <f>"60622"</f>
        <v>60622</v>
      </c>
      <c r="H3147" s="19" t="s">
        <v>33420</v>
      </c>
      <c r="I3147" s="20">
        <v>21.59</v>
      </c>
      <c r="J3147" s="44" t="s">
        <v>8</v>
      </c>
      <c r="K3147" s="23" t="s">
        <v>8</v>
      </c>
      <c r="L3147" s="23" t="s">
        <v>8</v>
      </c>
      <c r="M3147" s="23" t="s">
        <v>8</v>
      </c>
    </row>
    <row r="3148" spans="1:13" s="21" customFormat="1" x14ac:dyDescent="0.25">
      <c r="A3148" s="22" t="s">
        <v>8</v>
      </c>
      <c r="B3148" s="18" t="str">
        <f>"145546"</f>
        <v>145546</v>
      </c>
      <c r="C3148" s="19" t="s">
        <v>3139</v>
      </c>
      <c r="D3148" s="19" t="s">
        <v>18576</v>
      </c>
      <c r="E3148" s="19" t="s">
        <v>32029</v>
      </c>
      <c r="F3148" s="19" t="s">
        <v>35987</v>
      </c>
      <c r="G3148" s="18" t="str">
        <f>"62549"</f>
        <v>62549</v>
      </c>
      <c r="H3148" s="19" t="s">
        <v>31733</v>
      </c>
      <c r="I3148" s="20">
        <v>17.327000000000002</v>
      </c>
      <c r="J3148" s="44" t="s">
        <v>8</v>
      </c>
      <c r="K3148" s="23" t="s">
        <v>8</v>
      </c>
      <c r="L3148" s="23" t="s">
        <v>8</v>
      </c>
      <c r="M3148" s="23" t="s">
        <v>8</v>
      </c>
    </row>
    <row r="3149" spans="1:13" s="21" customFormat="1" x14ac:dyDescent="0.25">
      <c r="A3149" s="22" t="s">
        <v>8</v>
      </c>
      <c r="B3149" s="18" t="str">
        <f>"145547"</f>
        <v>145547</v>
      </c>
      <c r="C3149" s="19" t="s">
        <v>3140</v>
      </c>
      <c r="D3149" s="19" t="s">
        <v>18577</v>
      </c>
      <c r="E3149" s="19" t="s">
        <v>31954</v>
      </c>
      <c r="F3149" s="19" t="s">
        <v>35987</v>
      </c>
      <c r="G3149" s="18" t="str">
        <f>"60115"</f>
        <v>60115</v>
      </c>
      <c r="H3149" s="19" t="s">
        <v>31954</v>
      </c>
      <c r="I3149" s="20">
        <v>18.981000000000002</v>
      </c>
      <c r="J3149" s="44" t="s">
        <v>8</v>
      </c>
      <c r="K3149" s="23" t="s">
        <v>8</v>
      </c>
      <c r="L3149" s="23" t="s">
        <v>8</v>
      </c>
      <c r="M3149" s="23" t="s">
        <v>8</v>
      </c>
    </row>
    <row r="3150" spans="1:13" s="21" customFormat="1" x14ac:dyDescent="0.25">
      <c r="A3150" s="22" t="s">
        <v>8</v>
      </c>
      <c r="B3150" s="18" t="str">
        <f>"145548"</f>
        <v>145548</v>
      </c>
      <c r="C3150" s="19" t="s">
        <v>3141</v>
      </c>
      <c r="D3150" s="19" t="s">
        <v>18578</v>
      </c>
      <c r="E3150" s="19" t="s">
        <v>31934</v>
      </c>
      <c r="F3150" s="19" t="s">
        <v>35987</v>
      </c>
      <c r="G3150" s="18" t="str">
        <f>"60634"</f>
        <v>60634</v>
      </c>
      <c r="H3150" s="19" t="s">
        <v>33420</v>
      </c>
      <c r="I3150" s="20">
        <v>16.297000000000001</v>
      </c>
      <c r="J3150" s="44" t="s">
        <v>8</v>
      </c>
      <c r="K3150" s="23" t="s">
        <v>8</v>
      </c>
      <c r="L3150" s="23" t="s">
        <v>8</v>
      </c>
      <c r="M3150" s="23" t="s">
        <v>8</v>
      </c>
    </row>
    <row r="3151" spans="1:13" s="21" customFormat="1" x14ac:dyDescent="0.25">
      <c r="A3151" s="22" t="s">
        <v>8</v>
      </c>
      <c r="B3151" s="18" t="str">
        <f>"145549"</f>
        <v>145549</v>
      </c>
      <c r="C3151" s="19" t="s">
        <v>3142</v>
      </c>
      <c r="D3151" s="19" t="s">
        <v>18579</v>
      </c>
      <c r="E3151" s="19" t="s">
        <v>31934</v>
      </c>
      <c r="F3151" s="19" t="s">
        <v>35987</v>
      </c>
      <c r="G3151" s="18" t="str">
        <f>"60643"</f>
        <v>60643</v>
      </c>
      <c r="H3151" s="19" t="s">
        <v>33420</v>
      </c>
      <c r="I3151" s="20">
        <v>22.794</v>
      </c>
      <c r="J3151" s="44" t="s">
        <v>8</v>
      </c>
      <c r="K3151" s="23" t="s">
        <v>8</v>
      </c>
      <c r="L3151" s="23" t="s">
        <v>8</v>
      </c>
      <c r="M3151" s="23" t="s">
        <v>8</v>
      </c>
    </row>
    <row r="3152" spans="1:13" s="21" customFormat="1" x14ac:dyDescent="0.25">
      <c r="A3152" s="22" t="s">
        <v>8</v>
      </c>
      <c r="B3152" s="18" t="str">
        <f>"145552"</f>
        <v>145552</v>
      </c>
      <c r="C3152" s="19" t="s">
        <v>3143</v>
      </c>
      <c r="D3152" s="19" t="s">
        <v>18580</v>
      </c>
      <c r="E3152" s="19" t="s">
        <v>31103</v>
      </c>
      <c r="F3152" s="19" t="s">
        <v>35987</v>
      </c>
      <c r="G3152" s="18" t="str">
        <f>"62837"</f>
        <v>62837</v>
      </c>
      <c r="H3152" s="19" t="s">
        <v>33280</v>
      </c>
      <c r="I3152" s="20">
        <v>18.884</v>
      </c>
      <c r="J3152" s="44" t="s">
        <v>8</v>
      </c>
      <c r="K3152" s="23" t="s">
        <v>8</v>
      </c>
      <c r="L3152" s="23" t="s">
        <v>8</v>
      </c>
      <c r="M3152" s="23" t="s">
        <v>8</v>
      </c>
    </row>
    <row r="3153" spans="1:13" s="21" customFormat="1" x14ac:dyDescent="0.25">
      <c r="A3153" s="22" t="s">
        <v>8</v>
      </c>
      <c r="B3153" s="18" t="str">
        <f>"145555"</f>
        <v>145555</v>
      </c>
      <c r="C3153" s="19" t="s">
        <v>3144</v>
      </c>
      <c r="D3153" s="19" t="s">
        <v>18581</v>
      </c>
      <c r="E3153" s="19" t="s">
        <v>32030</v>
      </c>
      <c r="F3153" s="19" t="s">
        <v>35987</v>
      </c>
      <c r="G3153" s="18" t="str">
        <f>"62025"</f>
        <v>62025</v>
      </c>
      <c r="H3153" s="19" t="s">
        <v>30899</v>
      </c>
      <c r="I3153" s="20">
        <v>21.295000000000002</v>
      </c>
      <c r="J3153" s="44" t="s">
        <v>8</v>
      </c>
      <c r="K3153" s="23" t="s">
        <v>8</v>
      </c>
      <c r="L3153" s="23" t="s">
        <v>8</v>
      </c>
      <c r="M3153" s="23" t="s">
        <v>8</v>
      </c>
    </row>
    <row r="3154" spans="1:13" s="21" customFormat="1" x14ac:dyDescent="0.25">
      <c r="A3154" s="22" t="s">
        <v>8</v>
      </c>
      <c r="B3154" s="18" t="str">
        <f>"145556"</f>
        <v>145556</v>
      </c>
      <c r="C3154" s="19" t="s">
        <v>3145</v>
      </c>
      <c r="D3154" s="19" t="s">
        <v>18582</v>
      </c>
      <c r="E3154" s="19" t="s">
        <v>32031</v>
      </c>
      <c r="F3154" s="19" t="s">
        <v>35987</v>
      </c>
      <c r="G3154" s="18" t="str">
        <f>"61277"</f>
        <v>61277</v>
      </c>
      <c r="H3154" s="19" t="s">
        <v>36235</v>
      </c>
      <c r="I3154" s="20">
        <v>18.010000000000002</v>
      </c>
      <c r="J3154" s="44" t="s">
        <v>8</v>
      </c>
      <c r="K3154" s="23" t="s">
        <v>8</v>
      </c>
      <c r="L3154" s="23" t="s">
        <v>8</v>
      </c>
      <c r="M3154" s="23" t="s">
        <v>8</v>
      </c>
    </row>
    <row r="3155" spans="1:13" s="21" customFormat="1" x14ac:dyDescent="0.25">
      <c r="A3155" s="22" t="s">
        <v>8</v>
      </c>
      <c r="B3155" s="18" t="str">
        <f>"145557"</f>
        <v>145557</v>
      </c>
      <c r="C3155" s="19" t="s">
        <v>3146</v>
      </c>
      <c r="D3155" s="19" t="s">
        <v>18583</v>
      </c>
      <c r="E3155" s="19" t="s">
        <v>32032</v>
      </c>
      <c r="F3155" s="19" t="s">
        <v>35987</v>
      </c>
      <c r="G3155" s="18" t="str">
        <f>"60010"</f>
        <v>60010</v>
      </c>
      <c r="H3155" s="19" t="s">
        <v>36096</v>
      </c>
      <c r="I3155" s="20">
        <v>19.431999999999999</v>
      </c>
      <c r="J3155" s="44" t="s">
        <v>8</v>
      </c>
      <c r="K3155" s="23" t="s">
        <v>8</v>
      </c>
      <c r="L3155" s="23" t="s">
        <v>8</v>
      </c>
      <c r="M3155" s="23" t="s">
        <v>8</v>
      </c>
    </row>
    <row r="3156" spans="1:13" s="21" customFormat="1" x14ac:dyDescent="0.25">
      <c r="A3156" s="22" t="s">
        <v>8</v>
      </c>
      <c r="B3156" s="18" t="str">
        <f>"145562"</f>
        <v>145562</v>
      </c>
      <c r="C3156" s="19" t="s">
        <v>3147</v>
      </c>
      <c r="D3156" s="19" t="s">
        <v>18584</v>
      </c>
      <c r="E3156" s="19" t="s">
        <v>32033</v>
      </c>
      <c r="F3156" s="19" t="s">
        <v>35987</v>
      </c>
      <c r="G3156" s="18" t="str">
        <f>"62040"</f>
        <v>62040</v>
      </c>
      <c r="H3156" s="19" t="s">
        <v>30899</v>
      </c>
      <c r="I3156" s="20">
        <v>22.552</v>
      </c>
      <c r="J3156" s="44" t="s">
        <v>8</v>
      </c>
      <c r="K3156" s="23" t="s">
        <v>8</v>
      </c>
      <c r="L3156" s="23" t="s">
        <v>8</v>
      </c>
      <c r="M3156" s="23" t="s">
        <v>8</v>
      </c>
    </row>
    <row r="3157" spans="1:13" s="21" customFormat="1" x14ac:dyDescent="0.25">
      <c r="A3157" s="22" t="s">
        <v>8</v>
      </c>
      <c r="B3157" s="18" t="str">
        <f>"145563"</f>
        <v>145563</v>
      </c>
      <c r="C3157" s="19" t="s">
        <v>3148</v>
      </c>
      <c r="D3157" s="19" t="s">
        <v>18585</v>
      </c>
      <c r="E3157" s="19" t="s">
        <v>31935</v>
      </c>
      <c r="F3157" s="19" t="s">
        <v>35987</v>
      </c>
      <c r="G3157" s="18" t="str">
        <f>"61107"</f>
        <v>61107</v>
      </c>
      <c r="H3157" s="19" t="s">
        <v>36233</v>
      </c>
      <c r="I3157" s="20">
        <v>17.852</v>
      </c>
      <c r="J3157" s="44" t="s">
        <v>8</v>
      </c>
      <c r="K3157" s="23" t="s">
        <v>8</v>
      </c>
      <c r="L3157" s="23" t="s">
        <v>8</v>
      </c>
      <c r="M3157" s="23" t="s">
        <v>8</v>
      </c>
    </row>
    <row r="3158" spans="1:13" s="21" customFormat="1" x14ac:dyDescent="0.25">
      <c r="A3158" s="22" t="s">
        <v>8</v>
      </c>
      <c r="B3158" s="18" t="str">
        <f>"145564"</f>
        <v>145564</v>
      </c>
      <c r="C3158" s="19" t="s">
        <v>3149</v>
      </c>
      <c r="D3158" s="19" t="s">
        <v>18586</v>
      </c>
      <c r="E3158" s="19" t="s">
        <v>31981</v>
      </c>
      <c r="F3158" s="19" t="s">
        <v>35987</v>
      </c>
      <c r="G3158" s="18" t="str">
        <f>"61201"</f>
        <v>61201</v>
      </c>
      <c r="H3158" s="19" t="s">
        <v>31981</v>
      </c>
      <c r="I3158" s="20">
        <v>17.884</v>
      </c>
      <c r="J3158" s="44" t="s">
        <v>8</v>
      </c>
      <c r="K3158" s="23" t="s">
        <v>8</v>
      </c>
      <c r="L3158" s="23" t="s">
        <v>8</v>
      </c>
      <c r="M3158" s="23" t="s">
        <v>8</v>
      </c>
    </row>
    <row r="3159" spans="1:13" s="21" customFormat="1" x14ac:dyDescent="0.25">
      <c r="A3159" s="22" t="s">
        <v>8</v>
      </c>
      <c r="B3159" s="18" t="str">
        <f>"145566"</f>
        <v>145566</v>
      </c>
      <c r="C3159" s="19" t="s">
        <v>3150</v>
      </c>
      <c r="D3159" s="19" t="s">
        <v>18587</v>
      </c>
      <c r="E3159" s="19" t="s">
        <v>31933</v>
      </c>
      <c r="F3159" s="19" t="s">
        <v>35987</v>
      </c>
      <c r="G3159" s="18" t="str">
        <f>"62002"</f>
        <v>62002</v>
      </c>
      <c r="H3159" s="19" t="s">
        <v>30899</v>
      </c>
      <c r="I3159" s="20">
        <v>20.164000000000001</v>
      </c>
      <c r="J3159" s="44" t="s">
        <v>8</v>
      </c>
      <c r="K3159" s="23" t="s">
        <v>8</v>
      </c>
      <c r="L3159" s="23" t="s">
        <v>8</v>
      </c>
      <c r="M3159" s="23" t="s">
        <v>8</v>
      </c>
    </row>
    <row r="3160" spans="1:13" s="21" customFormat="1" x14ac:dyDescent="0.25">
      <c r="A3160" s="22" t="s">
        <v>8</v>
      </c>
      <c r="B3160" s="18" t="str">
        <f>"145567"</f>
        <v>145567</v>
      </c>
      <c r="C3160" s="19" t="s">
        <v>3151</v>
      </c>
      <c r="D3160" s="19" t="s">
        <v>18588</v>
      </c>
      <c r="E3160" s="19" t="s">
        <v>32034</v>
      </c>
      <c r="F3160" s="19" t="s">
        <v>35987</v>
      </c>
      <c r="G3160" s="18" t="str">
        <f>"61410"</f>
        <v>61410</v>
      </c>
      <c r="H3160" s="19" t="s">
        <v>32252</v>
      </c>
      <c r="I3160" s="20">
        <v>17.734999999999999</v>
      </c>
      <c r="J3160" s="44" t="s">
        <v>8</v>
      </c>
      <c r="K3160" s="23" t="s">
        <v>8</v>
      </c>
      <c r="L3160" s="23" t="s">
        <v>8</v>
      </c>
      <c r="M3160" s="23" t="s">
        <v>8</v>
      </c>
    </row>
    <row r="3161" spans="1:13" s="21" customFormat="1" x14ac:dyDescent="0.25">
      <c r="A3161" s="22" t="s">
        <v>8</v>
      </c>
      <c r="B3161" s="18" t="str">
        <f>"145568"</f>
        <v>145568</v>
      </c>
      <c r="C3161" s="19" t="s">
        <v>3152</v>
      </c>
      <c r="D3161" s="19" t="s">
        <v>18589</v>
      </c>
      <c r="E3161" s="19" t="s">
        <v>31934</v>
      </c>
      <c r="F3161" s="19" t="s">
        <v>35987</v>
      </c>
      <c r="G3161" s="18" t="str">
        <f>"60657"</f>
        <v>60657</v>
      </c>
      <c r="H3161" s="19" t="s">
        <v>33420</v>
      </c>
      <c r="I3161" s="20">
        <v>20.847999999999999</v>
      </c>
      <c r="J3161" s="44" t="s">
        <v>8</v>
      </c>
      <c r="K3161" s="23" t="s">
        <v>8</v>
      </c>
      <c r="L3161" s="23" t="s">
        <v>8</v>
      </c>
      <c r="M3161" s="23" t="s">
        <v>8</v>
      </c>
    </row>
    <row r="3162" spans="1:13" s="21" customFormat="1" x14ac:dyDescent="0.25">
      <c r="A3162" s="22" t="s">
        <v>8</v>
      </c>
      <c r="B3162" s="18" t="str">
        <f>"145571"</f>
        <v>145571</v>
      </c>
      <c r="C3162" s="19" t="s">
        <v>3153</v>
      </c>
      <c r="D3162" s="19" t="s">
        <v>18590</v>
      </c>
      <c r="E3162" s="19" t="s">
        <v>32035</v>
      </c>
      <c r="F3162" s="19" t="s">
        <v>35987</v>
      </c>
      <c r="G3162" s="18" t="str">
        <f>"62254"</f>
        <v>62254</v>
      </c>
      <c r="H3162" s="19" t="s">
        <v>33662</v>
      </c>
      <c r="I3162" s="20">
        <v>18.763999999999999</v>
      </c>
      <c r="J3162" s="44" t="s">
        <v>8</v>
      </c>
      <c r="K3162" s="23" t="s">
        <v>8</v>
      </c>
      <c r="L3162" s="23" t="s">
        <v>8</v>
      </c>
      <c r="M3162" s="23" t="s">
        <v>8</v>
      </c>
    </row>
    <row r="3163" spans="1:13" s="21" customFormat="1" x14ac:dyDescent="0.25">
      <c r="A3163" s="22" t="s">
        <v>8</v>
      </c>
      <c r="B3163" s="18" t="str">
        <f>"145572"</f>
        <v>145572</v>
      </c>
      <c r="C3163" s="19" t="s">
        <v>3154</v>
      </c>
      <c r="D3163" s="19" t="s">
        <v>18591</v>
      </c>
      <c r="E3163" s="19" t="s">
        <v>31791</v>
      </c>
      <c r="F3163" s="19" t="s">
        <v>35987</v>
      </c>
      <c r="G3163" s="18" t="str">
        <f>"61520"</f>
        <v>61520</v>
      </c>
      <c r="H3163" s="19" t="s">
        <v>32194</v>
      </c>
      <c r="I3163" s="20">
        <v>17.899999999999999</v>
      </c>
      <c r="J3163" s="44" t="s">
        <v>8</v>
      </c>
      <c r="K3163" s="23" t="s">
        <v>8</v>
      </c>
      <c r="L3163" s="23" t="s">
        <v>8</v>
      </c>
      <c r="M3163" s="23" t="s">
        <v>8</v>
      </c>
    </row>
    <row r="3164" spans="1:13" s="21" customFormat="1" x14ac:dyDescent="0.25">
      <c r="A3164" s="22" t="s">
        <v>8</v>
      </c>
      <c r="B3164" s="18" t="str">
        <f>"145573"</f>
        <v>145573</v>
      </c>
      <c r="C3164" s="19" t="s">
        <v>3155</v>
      </c>
      <c r="D3164" s="19" t="s">
        <v>18592</v>
      </c>
      <c r="E3164" s="19" t="s">
        <v>31934</v>
      </c>
      <c r="F3164" s="19" t="s">
        <v>35987</v>
      </c>
      <c r="G3164" s="18" t="str">
        <f>"60625"</f>
        <v>60625</v>
      </c>
      <c r="H3164" s="19" t="s">
        <v>33420</v>
      </c>
      <c r="I3164" s="20">
        <v>23.312999999999999</v>
      </c>
      <c r="J3164" s="44" t="s">
        <v>8</v>
      </c>
      <c r="K3164" s="23" t="s">
        <v>8</v>
      </c>
      <c r="L3164" s="23" t="s">
        <v>8</v>
      </c>
      <c r="M3164" s="23" t="s">
        <v>8</v>
      </c>
    </row>
    <row r="3165" spans="1:13" s="21" customFormat="1" x14ac:dyDescent="0.25">
      <c r="A3165" s="22" t="s">
        <v>8</v>
      </c>
      <c r="B3165" s="18" t="str">
        <f>"145579"</f>
        <v>145579</v>
      </c>
      <c r="C3165" s="19" t="s">
        <v>3156</v>
      </c>
      <c r="D3165" s="19" t="s">
        <v>18593</v>
      </c>
      <c r="E3165" s="19" t="s">
        <v>30954</v>
      </c>
      <c r="F3165" s="19" t="s">
        <v>35987</v>
      </c>
      <c r="G3165" s="18" t="str">
        <f>"61614"</f>
        <v>61614</v>
      </c>
      <c r="H3165" s="19" t="s">
        <v>30954</v>
      </c>
      <c r="I3165" s="20">
        <v>18.687000000000001</v>
      </c>
      <c r="J3165" s="44" t="s">
        <v>8</v>
      </c>
      <c r="K3165" s="23" t="s">
        <v>8</v>
      </c>
      <c r="L3165" s="23" t="s">
        <v>8</v>
      </c>
      <c r="M3165" s="23" t="s">
        <v>8</v>
      </c>
    </row>
    <row r="3166" spans="1:13" s="21" customFormat="1" x14ac:dyDescent="0.25">
      <c r="A3166" s="22" t="s">
        <v>8</v>
      </c>
      <c r="B3166" s="18" t="str">
        <f>"145580"</f>
        <v>145580</v>
      </c>
      <c r="C3166" s="19" t="s">
        <v>3157</v>
      </c>
      <c r="D3166" s="19" t="s">
        <v>18365</v>
      </c>
      <c r="E3166" s="19" t="s">
        <v>31912</v>
      </c>
      <c r="F3166" s="19" t="s">
        <v>35987</v>
      </c>
      <c r="G3166" s="18" t="str">
        <f>"62450"</f>
        <v>62450</v>
      </c>
      <c r="H3166" s="19" t="s">
        <v>31785</v>
      </c>
      <c r="I3166" s="20">
        <v>19.585999999999999</v>
      </c>
      <c r="J3166" s="44" t="s">
        <v>8</v>
      </c>
      <c r="K3166" s="23" t="s">
        <v>8</v>
      </c>
      <c r="L3166" s="23" t="s">
        <v>8</v>
      </c>
      <c r="M3166" s="23" t="s">
        <v>8</v>
      </c>
    </row>
    <row r="3167" spans="1:13" s="21" customFormat="1" x14ac:dyDescent="0.25">
      <c r="A3167" s="22" t="s">
        <v>8</v>
      </c>
      <c r="B3167" s="18" t="str">
        <f>"145581"</f>
        <v>145581</v>
      </c>
      <c r="C3167" s="19" t="s">
        <v>3158</v>
      </c>
      <c r="D3167" s="19" t="s">
        <v>18594</v>
      </c>
      <c r="E3167" s="19" t="s">
        <v>32036</v>
      </c>
      <c r="F3167" s="19" t="s">
        <v>35987</v>
      </c>
      <c r="G3167" s="18" t="str">
        <f>"62206"</f>
        <v>62206</v>
      </c>
      <c r="H3167" s="19" t="s">
        <v>33662</v>
      </c>
      <c r="I3167" s="20">
        <v>21.056999999999999</v>
      </c>
      <c r="J3167" s="44" t="s">
        <v>8</v>
      </c>
      <c r="K3167" s="23" t="s">
        <v>8</v>
      </c>
      <c r="L3167" s="23" t="s">
        <v>8</v>
      </c>
      <c r="M3167" s="23" t="s">
        <v>8</v>
      </c>
    </row>
    <row r="3168" spans="1:13" s="21" customFormat="1" x14ac:dyDescent="0.25">
      <c r="A3168" s="22" t="s">
        <v>8</v>
      </c>
      <c r="B3168" s="18" t="str">
        <f>"145582"</f>
        <v>145582</v>
      </c>
      <c r="C3168" s="19" t="s">
        <v>3159</v>
      </c>
      <c r="D3168" s="19" t="s">
        <v>18595</v>
      </c>
      <c r="E3168" s="19" t="s">
        <v>31925</v>
      </c>
      <c r="F3168" s="19" t="s">
        <v>35987</v>
      </c>
      <c r="G3168" s="18" t="str">
        <f>"60565"</f>
        <v>60565</v>
      </c>
      <c r="H3168" s="19" t="s">
        <v>36231</v>
      </c>
      <c r="I3168" s="20">
        <v>23.027000000000001</v>
      </c>
      <c r="J3168" s="44" t="s">
        <v>8</v>
      </c>
      <c r="K3168" s="23" t="s">
        <v>8</v>
      </c>
      <c r="L3168" s="23" t="s">
        <v>8</v>
      </c>
      <c r="M3168" s="23" t="s">
        <v>8</v>
      </c>
    </row>
    <row r="3169" spans="1:13" s="21" customFormat="1" x14ac:dyDescent="0.25">
      <c r="A3169" s="22" t="s">
        <v>8</v>
      </c>
      <c r="B3169" s="18" t="str">
        <f>"145583"</f>
        <v>145583</v>
      </c>
      <c r="C3169" s="19" t="s">
        <v>3160</v>
      </c>
      <c r="D3169" s="19" t="s">
        <v>18596</v>
      </c>
      <c r="E3169" s="19" t="s">
        <v>243</v>
      </c>
      <c r="F3169" s="19" t="s">
        <v>35987</v>
      </c>
      <c r="G3169" s="18" t="str">
        <f>"60304"</f>
        <v>60304</v>
      </c>
      <c r="H3169" s="19" t="s">
        <v>33420</v>
      </c>
      <c r="I3169" s="20">
        <v>19.379000000000001</v>
      </c>
      <c r="J3169" s="44" t="s">
        <v>8</v>
      </c>
      <c r="K3169" s="23" t="s">
        <v>8</v>
      </c>
      <c r="L3169" s="23" t="s">
        <v>8</v>
      </c>
      <c r="M3169" s="23" t="s">
        <v>8</v>
      </c>
    </row>
    <row r="3170" spans="1:13" s="21" customFormat="1" x14ac:dyDescent="0.25">
      <c r="A3170" s="22" t="s">
        <v>8</v>
      </c>
      <c r="B3170" s="18" t="str">
        <f>"145584"</f>
        <v>145584</v>
      </c>
      <c r="C3170" s="19" t="s">
        <v>3161</v>
      </c>
      <c r="D3170" s="19" t="s">
        <v>18597</v>
      </c>
      <c r="E3170" s="19" t="s">
        <v>32015</v>
      </c>
      <c r="F3170" s="19" t="s">
        <v>35987</v>
      </c>
      <c r="G3170" s="18" t="str">
        <f>"61938"</f>
        <v>61938</v>
      </c>
      <c r="H3170" s="19" t="s">
        <v>36243</v>
      </c>
      <c r="I3170" s="20">
        <v>21.806999999999999</v>
      </c>
      <c r="J3170" s="44" t="s">
        <v>8</v>
      </c>
      <c r="K3170" s="23" t="s">
        <v>8</v>
      </c>
      <c r="L3170" s="23" t="s">
        <v>8</v>
      </c>
      <c r="M3170" s="23" t="s">
        <v>8</v>
      </c>
    </row>
    <row r="3171" spans="1:13" s="21" customFormat="1" x14ac:dyDescent="0.25">
      <c r="A3171" s="22" t="s">
        <v>8</v>
      </c>
      <c r="B3171" s="18" t="str">
        <f>"145585"</f>
        <v>145585</v>
      </c>
      <c r="C3171" s="19" t="s">
        <v>3162</v>
      </c>
      <c r="D3171" s="19" t="s">
        <v>18598</v>
      </c>
      <c r="E3171" s="19" t="s">
        <v>32037</v>
      </c>
      <c r="F3171" s="19" t="s">
        <v>35987</v>
      </c>
      <c r="G3171" s="18" t="str">
        <f>"62232"</f>
        <v>62232</v>
      </c>
      <c r="H3171" s="19" t="s">
        <v>33662</v>
      </c>
      <c r="I3171" s="20">
        <v>25.052</v>
      </c>
      <c r="J3171" s="44" t="s">
        <v>8</v>
      </c>
      <c r="K3171" s="23" t="s">
        <v>8</v>
      </c>
      <c r="L3171" s="23" t="s">
        <v>8</v>
      </c>
      <c r="M3171" s="23" t="s">
        <v>8</v>
      </c>
    </row>
    <row r="3172" spans="1:13" s="21" customFormat="1" x14ac:dyDescent="0.25">
      <c r="A3172" s="22" t="s">
        <v>8</v>
      </c>
      <c r="B3172" s="18" t="str">
        <f>"145590"</f>
        <v>145590</v>
      </c>
      <c r="C3172" s="19" t="s">
        <v>3163</v>
      </c>
      <c r="D3172" s="19" t="s">
        <v>18599</v>
      </c>
      <c r="E3172" s="19" t="s">
        <v>31919</v>
      </c>
      <c r="F3172" s="19" t="s">
        <v>35987</v>
      </c>
      <c r="G3172" s="18" t="str">
        <f>"61701"</f>
        <v>61701</v>
      </c>
      <c r="H3172" s="19" t="s">
        <v>35924</v>
      </c>
      <c r="I3172" s="20">
        <v>16.526</v>
      </c>
      <c r="J3172" s="44" t="s">
        <v>8</v>
      </c>
      <c r="K3172" s="23" t="s">
        <v>8</v>
      </c>
      <c r="L3172" s="23" t="s">
        <v>8</v>
      </c>
      <c r="M3172" s="23" t="s">
        <v>8</v>
      </c>
    </row>
    <row r="3173" spans="1:13" s="21" customFormat="1" x14ac:dyDescent="0.25">
      <c r="A3173" s="22" t="s">
        <v>8</v>
      </c>
      <c r="B3173" s="18" t="str">
        <f>"145591"</f>
        <v>145591</v>
      </c>
      <c r="C3173" s="19" t="s">
        <v>3164</v>
      </c>
      <c r="D3173" s="19" t="s">
        <v>18600</v>
      </c>
      <c r="E3173" s="19" t="s">
        <v>31934</v>
      </c>
      <c r="F3173" s="19" t="s">
        <v>35987</v>
      </c>
      <c r="G3173" s="18" t="str">
        <f>"60640"</f>
        <v>60640</v>
      </c>
      <c r="H3173" s="19" t="s">
        <v>33420</v>
      </c>
      <c r="I3173" s="20">
        <v>18.259</v>
      </c>
      <c r="J3173" s="44" t="s">
        <v>8</v>
      </c>
      <c r="K3173" s="23" t="s">
        <v>8</v>
      </c>
      <c r="L3173" s="23" t="s">
        <v>8</v>
      </c>
      <c r="M3173" s="23" t="s">
        <v>8</v>
      </c>
    </row>
    <row r="3174" spans="1:13" s="21" customFormat="1" x14ac:dyDescent="0.25">
      <c r="A3174" s="22" t="s">
        <v>8</v>
      </c>
      <c r="B3174" s="18" t="str">
        <f>"145593"</f>
        <v>145593</v>
      </c>
      <c r="C3174" s="19" t="s">
        <v>3165</v>
      </c>
      <c r="D3174" s="19" t="s">
        <v>18601</v>
      </c>
      <c r="E3174" s="19" t="s">
        <v>31972</v>
      </c>
      <c r="F3174" s="19" t="s">
        <v>35987</v>
      </c>
      <c r="G3174" s="18" t="str">
        <f>"60048"</f>
        <v>60048</v>
      </c>
      <c r="H3174" s="19" t="s">
        <v>36096</v>
      </c>
      <c r="I3174" s="20">
        <v>18.253</v>
      </c>
      <c r="J3174" s="44" t="s">
        <v>8</v>
      </c>
      <c r="K3174" s="23" t="s">
        <v>8</v>
      </c>
      <c r="L3174" s="23" t="s">
        <v>8</v>
      </c>
      <c r="M3174" s="23" t="s">
        <v>8</v>
      </c>
    </row>
    <row r="3175" spans="1:13" s="21" customFormat="1" x14ac:dyDescent="0.25">
      <c r="A3175" s="22" t="s">
        <v>8</v>
      </c>
      <c r="B3175" s="18" t="str">
        <f>"145596"</f>
        <v>145596</v>
      </c>
      <c r="C3175" s="19" t="s">
        <v>3166</v>
      </c>
      <c r="D3175" s="19" t="s">
        <v>18602</v>
      </c>
      <c r="E3175" s="19" t="s">
        <v>32038</v>
      </c>
      <c r="F3175" s="19" t="s">
        <v>35987</v>
      </c>
      <c r="G3175" s="18" t="str">
        <f>"61548"</f>
        <v>61548</v>
      </c>
      <c r="H3175" s="19" t="s">
        <v>36237</v>
      </c>
      <c r="I3175" s="20">
        <v>18.91</v>
      </c>
      <c r="J3175" s="44" t="s">
        <v>8</v>
      </c>
      <c r="K3175" s="23" t="s">
        <v>8</v>
      </c>
      <c r="L3175" s="23" t="s">
        <v>8</v>
      </c>
      <c r="M3175" s="23" t="s">
        <v>8</v>
      </c>
    </row>
    <row r="3176" spans="1:13" s="21" customFormat="1" x14ac:dyDescent="0.25">
      <c r="A3176" s="22" t="s">
        <v>8</v>
      </c>
      <c r="B3176" s="18" t="str">
        <f>"145597"</f>
        <v>145597</v>
      </c>
      <c r="C3176" s="19" t="s">
        <v>3167</v>
      </c>
      <c r="D3176" s="19" t="s">
        <v>18603</v>
      </c>
      <c r="E3176" s="19" t="s">
        <v>31959</v>
      </c>
      <c r="F3176" s="19" t="s">
        <v>35987</v>
      </c>
      <c r="G3176" s="18" t="str">
        <f>"61554"</f>
        <v>61554</v>
      </c>
      <c r="H3176" s="19" t="s">
        <v>35147</v>
      </c>
      <c r="I3176" s="20">
        <v>21.15</v>
      </c>
      <c r="J3176" s="44" t="s">
        <v>8</v>
      </c>
      <c r="K3176" s="23" t="s">
        <v>8</v>
      </c>
      <c r="L3176" s="23" t="s">
        <v>8</v>
      </c>
      <c r="M3176" s="23" t="s">
        <v>8</v>
      </c>
    </row>
    <row r="3177" spans="1:13" s="21" customFormat="1" x14ac:dyDescent="0.25">
      <c r="A3177" s="22" t="s">
        <v>8</v>
      </c>
      <c r="B3177" s="18" t="str">
        <f>"145598"</f>
        <v>145598</v>
      </c>
      <c r="C3177" s="19" t="s">
        <v>3168</v>
      </c>
      <c r="D3177" s="19" t="s">
        <v>18604</v>
      </c>
      <c r="E3177" s="19" t="s">
        <v>31918</v>
      </c>
      <c r="F3177" s="19" t="s">
        <v>35987</v>
      </c>
      <c r="G3177" s="18" t="str">
        <f>"61401"</f>
        <v>61401</v>
      </c>
      <c r="H3177" s="19" t="s">
        <v>32252</v>
      </c>
      <c r="I3177" s="20">
        <v>18.715</v>
      </c>
      <c r="J3177" s="44" t="s">
        <v>8</v>
      </c>
      <c r="K3177" s="23" t="s">
        <v>8</v>
      </c>
      <c r="L3177" s="23" t="s">
        <v>8</v>
      </c>
      <c r="M3177" s="23" t="s">
        <v>8</v>
      </c>
    </row>
    <row r="3178" spans="1:13" s="21" customFormat="1" x14ac:dyDescent="0.25">
      <c r="A3178" s="22" t="s">
        <v>8</v>
      </c>
      <c r="B3178" s="18" t="str">
        <f>"145599"</f>
        <v>145599</v>
      </c>
      <c r="C3178" s="19" t="s">
        <v>3169</v>
      </c>
      <c r="D3178" s="19" t="s">
        <v>18605</v>
      </c>
      <c r="E3178" s="19" t="s">
        <v>31946</v>
      </c>
      <c r="F3178" s="19" t="s">
        <v>35987</v>
      </c>
      <c r="G3178" s="18" t="str">
        <f>"60429"</f>
        <v>60429</v>
      </c>
      <c r="H3178" s="19" t="s">
        <v>33420</v>
      </c>
      <c r="I3178" s="20">
        <v>17.667999999999999</v>
      </c>
      <c r="J3178" s="44" t="s">
        <v>8</v>
      </c>
      <c r="K3178" s="23" t="s">
        <v>8</v>
      </c>
      <c r="L3178" s="23" t="s">
        <v>8</v>
      </c>
      <c r="M3178" s="23" t="s">
        <v>8</v>
      </c>
    </row>
    <row r="3179" spans="1:13" s="21" customFormat="1" x14ac:dyDescent="0.25">
      <c r="A3179" s="22" t="s">
        <v>8</v>
      </c>
      <c r="B3179" s="18" t="str">
        <f>"145600"</f>
        <v>145600</v>
      </c>
      <c r="C3179" s="19" t="s">
        <v>3170</v>
      </c>
      <c r="D3179" s="19" t="s">
        <v>18606</v>
      </c>
      <c r="E3179" s="19" t="s">
        <v>31791</v>
      </c>
      <c r="F3179" s="19" t="s">
        <v>35987</v>
      </c>
      <c r="G3179" s="18" t="str">
        <f>"61520"</f>
        <v>61520</v>
      </c>
      <c r="H3179" s="19" t="s">
        <v>32194</v>
      </c>
      <c r="I3179" s="20">
        <v>17.797999999999998</v>
      </c>
      <c r="J3179" s="44" t="s">
        <v>8</v>
      </c>
      <c r="K3179" s="23" t="s">
        <v>8</v>
      </c>
      <c r="L3179" s="23" t="s">
        <v>8</v>
      </c>
      <c r="M3179" s="23" t="s">
        <v>8</v>
      </c>
    </row>
    <row r="3180" spans="1:13" s="21" customFormat="1" x14ac:dyDescent="0.25">
      <c r="A3180" s="22" t="s">
        <v>8</v>
      </c>
      <c r="B3180" s="18" t="str">
        <f>"145601"</f>
        <v>145601</v>
      </c>
      <c r="C3180" s="19" t="s">
        <v>3171</v>
      </c>
      <c r="D3180" s="19" t="s">
        <v>18607</v>
      </c>
      <c r="E3180" s="19" t="s">
        <v>32039</v>
      </c>
      <c r="F3180" s="19" t="s">
        <v>35987</v>
      </c>
      <c r="G3180" s="18" t="str">
        <f>"62216"</f>
        <v>62216</v>
      </c>
      <c r="H3180" s="19" t="s">
        <v>31081</v>
      </c>
      <c r="I3180" s="20">
        <v>19.367999999999999</v>
      </c>
      <c r="J3180" s="44" t="s">
        <v>8</v>
      </c>
      <c r="K3180" s="23" t="s">
        <v>8</v>
      </c>
      <c r="L3180" s="23" t="s">
        <v>8</v>
      </c>
      <c r="M3180" s="23" t="s">
        <v>8</v>
      </c>
    </row>
    <row r="3181" spans="1:13" s="21" customFormat="1" x14ac:dyDescent="0.25">
      <c r="A3181" s="22" t="s">
        <v>8</v>
      </c>
      <c r="B3181" s="18" t="str">
        <f>"145602"</f>
        <v>145602</v>
      </c>
      <c r="C3181" s="19" t="s">
        <v>3172</v>
      </c>
      <c r="D3181" s="19" t="s">
        <v>18608</v>
      </c>
      <c r="E3181" s="19" t="s">
        <v>32040</v>
      </c>
      <c r="F3181" s="19" t="s">
        <v>35987</v>
      </c>
      <c r="G3181" s="18" t="str">
        <f>"60046"</f>
        <v>60046</v>
      </c>
      <c r="H3181" s="19" t="s">
        <v>36096</v>
      </c>
      <c r="I3181" s="20">
        <v>17.489000000000001</v>
      </c>
      <c r="J3181" s="44" t="s">
        <v>8</v>
      </c>
      <c r="K3181" s="23" t="s">
        <v>8</v>
      </c>
      <c r="L3181" s="23" t="s">
        <v>8</v>
      </c>
      <c r="M3181" s="23" t="s">
        <v>8</v>
      </c>
    </row>
    <row r="3182" spans="1:13" s="21" customFormat="1" x14ac:dyDescent="0.25">
      <c r="A3182" s="22" t="s">
        <v>8</v>
      </c>
      <c r="B3182" s="18" t="str">
        <f>"145603"</f>
        <v>145603</v>
      </c>
      <c r="C3182" s="19" t="s">
        <v>3173</v>
      </c>
      <c r="D3182" s="19" t="s">
        <v>18609</v>
      </c>
      <c r="E3182" s="19" t="s">
        <v>32004</v>
      </c>
      <c r="F3182" s="19" t="s">
        <v>35987</v>
      </c>
      <c r="G3182" s="18" t="str">
        <f>"60957"</f>
        <v>60957</v>
      </c>
      <c r="H3182" s="19" t="s">
        <v>36241</v>
      </c>
      <c r="I3182" s="20">
        <v>19.274000000000001</v>
      </c>
      <c r="J3182" s="44" t="s">
        <v>8</v>
      </c>
      <c r="K3182" s="23" t="s">
        <v>8</v>
      </c>
      <c r="L3182" s="23" t="s">
        <v>8</v>
      </c>
      <c r="M3182" s="23" t="s">
        <v>8</v>
      </c>
    </row>
    <row r="3183" spans="1:13" s="21" customFormat="1" x14ac:dyDescent="0.25">
      <c r="A3183" s="22" t="s">
        <v>8</v>
      </c>
      <c r="B3183" s="18" t="str">
        <f>"145604"</f>
        <v>145604</v>
      </c>
      <c r="C3183" s="19" t="s">
        <v>3174</v>
      </c>
      <c r="D3183" s="19" t="s">
        <v>18610</v>
      </c>
      <c r="E3183" s="19" t="s">
        <v>32041</v>
      </c>
      <c r="F3183" s="19" t="s">
        <v>35987</v>
      </c>
      <c r="G3183" s="18" t="str">
        <f>"61537"</f>
        <v>61537</v>
      </c>
      <c r="H3183" s="19" t="s">
        <v>31063</v>
      </c>
      <c r="I3183" s="20">
        <v>17.818999999999999</v>
      </c>
      <c r="J3183" s="44" t="s">
        <v>8</v>
      </c>
      <c r="K3183" s="23" t="s">
        <v>8</v>
      </c>
      <c r="L3183" s="23" t="s">
        <v>8</v>
      </c>
      <c r="M3183" s="23" t="s">
        <v>8</v>
      </c>
    </row>
    <row r="3184" spans="1:13" s="21" customFormat="1" x14ac:dyDescent="0.25">
      <c r="A3184" s="22" t="s">
        <v>8</v>
      </c>
      <c r="B3184" s="18" t="str">
        <f>"145606"</f>
        <v>145606</v>
      </c>
      <c r="C3184" s="19" t="s">
        <v>3175</v>
      </c>
      <c r="D3184" s="19" t="s">
        <v>18611</v>
      </c>
      <c r="E3184" s="19" t="s">
        <v>32042</v>
      </c>
      <c r="F3184" s="19" t="s">
        <v>35987</v>
      </c>
      <c r="G3184" s="18" t="str">
        <f>"60188"</f>
        <v>60188</v>
      </c>
      <c r="H3184" s="19" t="s">
        <v>36231</v>
      </c>
      <c r="I3184" s="20">
        <v>20.841999999999999</v>
      </c>
      <c r="J3184" s="44" t="s">
        <v>8</v>
      </c>
      <c r="K3184" s="23" t="s">
        <v>8</v>
      </c>
      <c r="L3184" s="23" t="s">
        <v>8</v>
      </c>
      <c r="M3184" s="23" t="s">
        <v>8</v>
      </c>
    </row>
    <row r="3185" spans="1:13" s="21" customFormat="1" x14ac:dyDescent="0.25">
      <c r="A3185" s="22" t="s">
        <v>8</v>
      </c>
      <c r="B3185" s="18" t="str">
        <f>"145607"</f>
        <v>145607</v>
      </c>
      <c r="C3185" s="19" t="s">
        <v>3176</v>
      </c>
      <c r="D3185" s="19" t="s">
        <v>18612</v>
      </c>
      <c r="E3185" s="19" t="s">
        <v>32043</v>
      </c>
      <c r="F3185" s="19" t="s">
        <v>35987</v>
      </c>
      <c r="G3185" s="18" t="str">
        <f>"60463"</f>
        <v>60463</v>
      </c>
      <c r="H3185" s="19" t="s">
        <v>33420</v>
      </c>
      <c r="I3185" s="20">
        <v>16.943999999999999</v>
      </c>
      <c r="J3185" s="44" t="s">
        <v>8</v>
      </c>
      <c r="K3185" s="23" t="s">
        <v>8</v>
      </c>
      <c r="L3185" s="23" t="s">
        <v>8</v>
      </c>
      <c r="M3185" s="23" t="s">
        <v>8</v>
      </c>
    </row>
    <row r="3186" spans="1:13" s="21" customFormat="1" x14ac:dyDescent="0.25">
      <c r="A3186" s="22" t="s">
        <v>8</v>
      </c>
      <c r="B3186" s="18" t="str">
        <f>"145608"</f>
        <v>145608</v>
      </c>
      <c r="C3186" s="19" t="s">
        <v>3177</v>
      </c>
      <c r="D3186" s="19" t="s">
        <v>18613</v>
      </c>
      <c r="E3186" s="19" t="s">
        <v>32044</v>
      </c>
      <c r="F3186" s="19" t="s">
        <v>35987</v>
      </c>
      <c r="G3186" s="18" t="str">
        <f>"60473"</f>
        <v>60473</v>
      </c>
      <c r="H3186" s="19" t="s">
        <v>33420</v>
      </c>
      <c r="I3186" s="20">
        <v>24.033999999999999</v>
      </c>
      <c r="J3186" s="44" t="s">
        <v>8</v>
      </c>
      <c r="K3186" s="23" t="s">
        <v>8</v>
      </c>
      <c r="L3186" s="23" t="s">
        <v>8</v>
      </c>
      <c r="M3186" s="23" t="s">
        <v>8</v>
      </c>
    </row>
    <row r="3187" spans="1:13" s="21" customFormat="1" x14ac:dyDescent="0.25">
      <c r="A3187" s="22" t="s">
        <v>8</v>
      </c>
      <c r="B3187" s="18" t="str">
        <f>"145609"</f>
        <v>145609</v>
      </c>
      <c r="C3187" s="19" t="s">
        <v>3178</v>
      </c>
      <c r="D3187" s="19" t="s">
        <v>18614</v>
      </c>
      <c r="E3187" s="19" t="s">
        <v>32045</v>
      </c>
      <c r="F3187" s="19" t="s">
        <v>35987</v>
      </c>
      <c r="G3187" s="18" t="str">
        <f>"60560"</f>
        <v>60560</v>
      </c>
      <c r="H3187" s="19" t="s">
        <v>31642</v>
      </c>
      <c r="I3187" s="20">
        <v>18.626999999999999</v>
      </c>
      <c r="J3187" s="44" t="s">
        <v>8</v>
      </c>
      <c r="K3187" s="23" t="s">
        <v>8</v>
      </c>
      <c r="L3187" s="23" t="s">
        <v>8</v>
      </c>
      <c r="M3187" s="23" t="s">
        <v>8</v>
      </c>
    </row>
    <row r="3188" spans="1:13" s="21" customFormat="1" x14ac:dyDescent="0.25">
      <c r="A3188" s="22" t="s">
        <v>8</v>
      </c>
      <c r="B3188" s="18" t="str">
        <f>"145610"</f>
        <v>145610</v>
      </c>
      <c r="C3188" s="19" t="s">
        <v>3179</v>
      </c>
      <c r="D3188" s="19" t="s">
        <v>18615</v>
      </c>
      <c r="E3188" s="19" t="s">
        <v>31919</v>
      </c>
      <c r="F3188" s="19" t="s">
        <v>35987</v>
      </c>
      <c r="G3188" s="18" t="str">
        <f>"61701"</f>
        <v>61701</v>
      </c>
      <c r="H3188" s="19" t="s">
        <v>35924</v>
      </c>
      <c r="I3188" s="20">
        <v>18.629000000000001</v>
      </c>
      <c r="J3188" s="44" t="s">
        <v>8</v>
      </c>
      <c r="K3188" s="23" t="s">
        <v>8</v>
      </c>
      <c r="L3188" s="23" t="s">
        <v>8</v>
      </c>
      <c r="M3188" s="23" t="s">
        <v>8</v>
      </c>
    </row>
    <row r="3189" spans="1:13" s="21" customFormat="1" x14ac:dyDescent="0.25">
      <c r="A3189" s="22" t="s">
        <v>8</v>
      </c>
      <c r="B3189" s="18" t="str">
        <f>"145611"</f>
        <v>145611</v>
      </c>
      <c r="C3189" s="19" t="s">
        <v>3180</v>
      </c>
      <c r="D3189" s="19" t="s">
        <v>18616</v>
      </c>
      <c r="E3189" s="19" t="s">
        <v>32046</v>
      </c>
      <c r="F3189" s="19" t="s">
        <v>35987</v>
      </c>
      <c r="G3189" s="18" t="str">
        <f>"60417"</f>
        <v>60417</v>
      </c>
      <c r="H3189" s="19" t="s">
        <v>36230</v>
      </c>
      <c r="I3189" s="20">
        <v>21.6</v>
      </c>
      <c r="J3189" s="44" t="s">
        <v>8</v>
      </c>
      <c r="K3189" s="23" t="s">
        <v>8</v>
      </c>
      <c r="L3189" s="23" t="s">
        <v>8</v>
      </c>
      <c r="M3189" s="23" t="s">
        <v>8</v>
      </c>
    </row>
    <row r="3190" spans="1:13" s="21" customFormat="1" x14ac:dyDescent="0.25">
      <c r="A3190" s="22" t="s">
        <v>8</v>
      </c>
      <c r="B3190" s="18" t="str">
        <f>"145612"</f>
        <v>145612</v>
      </c>
      <c r="C3190" s="19" t="s">
        <v>3181</v>
      </c>
      <c r="D3190" s="19" t="s">
        <v>18617</v>
      </c>
      <c r="E3190" s="19" t="s">
        <v>31953</v>
      </c>
      <c r="F3190" s="19" t="s">
        <v>35987</v>
      </c>
      <c r="G3190" s="18" t="str">
        <f>"60012"</f>
        <v>60012</v>
      </c>
      <c r="H3190" s="19" t="s">
        <v>32006</v>
      </c>
      <c r="I3190" s="20">
        <v>18.210999999999999</v>
      </c>
      <c r="J3190" s="44" t="s">
        <v>8</v>
      </c>
      <c r="K3190" s="23" t="s">
        <v>8</v>
      </c>
      <c r="L3190" s="23" t="s">
        <v>8</v>
      </c>
      <c r="M3190" s="23" t="s">
        <v>8</v>
      </c>
    </row>
    <row r="3191" spans="1:13" s="21" customFormat="1" x14ac:dyDescent="0.25">
      <c r="A3191" s="22" t="s">
        <v>8</v>
      </c>
      <c r="B3191" s="18" t="str">
        <f>"145613"</f>
        <v>145613</v>
      </c>
      <c r="C3191" s="19" t="s">
        <v>3182</v>
      </c>
      <c r="D3191" s="19" t="s">
        <v>18618</v>
      </c>
      <c r="E3191" s="19" t="s">
        <v>32036</v>
      </c>
      <c r="F3191" s="19" t="s">
        <v>35987</v>
      </c>
      <c r="G3191" s="18" t="str">
        <f>"62206"</f>
        <v>62206</v>
      </c>
      <c r="H3191" s="19" t="s">
        <v>33662</v>
      </c>
      <c r="I3191" s="20">
        <v>19.224</v>
      </c>
      <c r="J3191" s="44" t="s">
        <v>8</v>
      </c>
      <c r="K3191" s="23" t="s">
        <v>8</v>
      </c>
      <c r="L3191" s="23" t="s">
        <v>8</v>
      </c>
      <c r="M3191" s="23" t="s">
        <v>8</v>
      </c>
    </row>
    <row r="3192" spans="1:13" s="21" customFormat="1" x14ac:dyDescent="0.25">
      <c r="A3192" s="22" t="s">
        <v>8</v>
      </c>
      <c r="B3192" s="18" t="str">
        <f>"145614"</f>
        <v>145614</v>
      </c>
      <c r="C3192" s="19" t="s">
        <v>3183</v>
      </c>
      <c r="D3192" s="19" t="s">
        <v>18619</v>
      </c>
      <c r="E3192" s="19" t="s">
        <v>32047</v>
      </c>
      <c r="F3192" s="19" t="s">
        <v>35987</v>
      </c>
      <c r="G3192" s="18" t="str">
        <f>"60521"</f>
        <v>60521</v>
      </c>
      <c r="H3192" s="19" t="s">
        <v>36231</v>
      </c>
      <c r="I3192" s="20">
        <v>20.116</v>
      </c>
      <c r="J3192" s="44" t="s">
        <v>8</v>
      </c>
      <c r="K3192" s="23" t="s">
        <v>8</v>
      </c>
      <c r="L3192" s="23" t="s">
        <v>8</v>
      </c>
      <c r="M3192" s="23" t="s">
        <v>8</v>
      </c>
    </row>
    <row r="3193" spans="1:13" s="21" customFormat="1" x14ac:dyDescent="0.25">
      <c r="A3193" s="22" t="s">
        <v>8</v>
      </c>
      <c r="B3193" s="18" t="str">
        <f>"145615"</f>
        <v>145615</v>
      </c>
      <c r="C3193" s="19" t="s">
        <v>3184</v>
      </c>
      <c r="D3193" s="19" t="s">
        <v>18620</v>
      </c>
      <c r="E3193" s="19" t="s">
        <v>31347</v>
      </c>
      <c r="F3193" s="19" t="s">
        <v>35987</v>
      </c>
      <c r="G3193" s="18" t="str">
        <f>"61081"</f>
        <v>61081</v>
      </c>
      <c r="H3193" s="19" t="s">
        <v>36235</v>
      </c>
      <c r="I3193" s="20">
        <v>22.28</v>
      </c>
      <c r="J3193" s="44" t="s">
        <v>8</v>
      </c>
      <c r="K3193" s="23" t="s">
        <v>8</v>
      </c>
      <c r="L3193" s="23" t="s">
        <v>8</v>
      </c>
      <c r="M3193" s="23" t="s">
        <v>8</v>
      </c>
    </row>
    <row r="3194" spans="1:13" s="21" customFormat="1" x14ac:dyDescent="0.25">
      <c r="A3194" s="22" t="s">
        <v>8</v>
      </c>
      <c r="B3194" s="18" t="str">
        <f>"145616"</f>
        <v>145616</v>
      </c>
      <c r="C3194" s="19" t="s">
        <v>3185</v>
      </c>
      <c r="D3194" s="19" t="s">
        <v>18621</v>
      </c>
      <c r="E3194" s="19" t="s">
        <v>32048</v>
      </c>
      <c r="F3194" s="19" t="s">
        <v>35987</v>
      </c>
      <c r="G3194" s="18" t="str">
        <f>"62664"</f>
        <v>62664</v>
      </c>
      <c r="H3194" s="19" t="s">
        <v>34550</v>
      </c>
      <c r="I3194" s="20">
        <v>19.343</v>
      </c>
      <c r="J3194" s="44" t="s">
        <v>8</v>
      </c>
      <c r="K3194" s="23" t="s">
        <v>8</v>
      </c>
      <c r="L3194" s="23" t="s">
        <v>8</v>
      </c>
      <c r="M3194" s="23" t="s">
        <v>8</v>
      </c>
    </row>
    <row r="3195" spans="1:13" s="21" customFormat="1" x14ac:dyDescent="0.25">
      <c r="A3195" s="22" t="s">
        <v>8</v>
      </c>
      <c r="B3195" s="18" t="str">
        <f>"145618"</f>
        <v>145618</v>
      </c>
      <c r="C3195" s="19" t="s">
        <v>3186</v>
      </c>
      <c r="D3195" s="19" t="s">
        <v>18622</v>
      </c>
      <c r="E3195" s="19" t="s">
        <v>31922</v>
      </c>
      <c r="F3195" s="19" t="s">
        <v>35987</v>
      </c>
      <c r="G3195" s="18" t="str">
        <f>"60433"</f>
        <v>60433</v>
      </c>
      <c r="H3195" s="19" t="s">
        <v>36230</v>
      </c>
      <c r="I3195" s="20">
        <v>20.771000000000001</v>
      </c>
      <c r="J3195" s="44" t="s">
        <v>8</v>
      </c>
      <c r="K3195" s="23" t="s">
        <v>8</v>
      </c>
      <c r="L3195" s="23" t="s">
        <v>8</v>
      </c>
      <c r="M3195" s="23" t="s">
        <v>8</v>
      </c>
    </row>
    <row r="3196" spans="1:13" s="21" customFormat="1" x14ac:dyDescent="0.25">
      <c r="A3196" s="22" t="s">
        <v>8</v>
      </c>
      <c r="B3196" s="18" t="str">
        <f>"145619"</f>
        <v>145619</v>
      </c>
      <c r="C3196" s="19" t="s">
        <v>3187</v>
      </c>
      <c r="D3196" s="19" t="s">
        <v>18623</v>
      </c>
      <c r="E3196" s="19" t="s">
        <v>31918</v>
      </c>
      <c r="F3196" s="19" t="s">
        <v>35987</v>
      </c>
      <c r="G3196" s="18" t="str">
        <f>"61401"</f>
        <v>61401</v>
      </c>
      <c r="H3196" s="19" t="s">
        <v>32252</v>
      </c>
      <c r="I3196" s="20">
        <v>20.041</v>
      </c>
      <c r="J3196" s="44" t="s">
        <v>8</v>
      </c>
      <c r="K3196" s="23" t="s">
        <v>8</v>
      </c>
      <c r="L3196" s="23" t="s">
        <v>8</v>
      </c>
      <c r="M3196" s="23" t="s">
        <v>8</v>
      </c>
    </row>
    <row r="3197" spans="1:13" s="21" customFormat="1" x14ac:dyDescent="0.25">
      <c r="A3197" s="22" t="s">
        <v>8</v>
      </c>
      <c r="B3197" s="18" t="str">
        <f>"145620"</f>
        <v>145620</v>
      </c>
      <c r="C3197" s="19" t="s">
        <v>3188</v>
      </c>
      <c r="D3197" s="19" t="s">
        <v>18624</v>
      </c>
      <c r="E3197" s="19" t="s">
        <v>32049</v>
      </c>
      <c r="F3197" s="19" t="s">
        <v>35987</v>
      </c>
      <c r="G3197" s="18" t="str">
        <f>"62220"</f>
        <v>62220</v>
      </c>
      <c r="H3197" s="19" t="s">
        <v>33662</v>
      </c>
      <c r="I3197" s="20">
        <v>26.553000000000001</v>
      </c>
      <c r="J3197" s="44" t="s">
        <v>8</v>
      </c>
      <c r="K3197" s="23" t="s">
        <v>8</v>
      </c>
      <c r="L3197" s="23" t="s">
        <v>8</v>
      </c>
      <c r="M3197" s="23" t="s">
        <v>8</v>
      </c>
    </row>
    <row r="3198" spans="1:13" s="21" customFormat="1" x14ac:dyDescent="0.25">
      <c r="A3198" s="22" t="s">
        <v>8</v>
      </c>
      <c r="B3198" s="18" t="str">
        <f>"145621"</f>
        <v>145621</v>
      </c>
      <c r="C3198" s="19" t="s">
        <v>3189</v>
      </c>
      <c r="D3198" s="19" t="s">
        <v>18625</v>
      </c>
      <c r="E3198" s="19" t="s">
        <v>32050</v>
      </c>
      <c r="F3198" s="19" t="s">
        <v>35987</v>
      </c>
      <c r="G3198" s="18" t="str">
        <f>"60085"</f>
        <v>60085</v>
      </c>
      <c r="H3198" s="19" t="s">
        <v>36096</v>
      </c>
      <c r="I3198" s="20">
        <v>23.041</v>
      </c>
      <c r="J3198" s="44" t="s">
        <v>8</v>
      </c>
      <c r="K3198" s="23" t="s">
        <v>8</v>
      </c>
      <c r="L3198" s="23" t="s">
        <v>8</v>
      </c>
      <c r="M3198" s="23" t="s">
        <v>8</v>
      </c>
    </row>
    <row r="3199" spans="1:13" s="21" customFormat="1" x14ac:dyDescent="0.25">
      <c r="A3199" s="22" t="s">
        <v>8</v>
      </c>
      <c r="B3199" s="18" t="str">
        <f>"145623"</f>
        <v>145623</v>
      </c>
      <c r="C3199" s="19" t="s">
        <v>3190</v>
      </c>
      <c r="D3199" s="19" t="s">
        <v>18626</v>
      </c>
      <c r="E3199" s="19" t="s">
        <v>32051</v>
      </c>
      <c r="F3199" s="19" t="s">
        <v>35987</v>
      </c>
      <c r="G3199" s="18" t="str">
        <f>"60450"</f>
        <v>60450</v>
      </c>
      <c r="H3199" s="19" t="s">
        <v>35400</v>
      </c>
      <c r="I3199" s="20">
        <v>16.920999999999999</v>
      </c>
      <c r="J3199" s="44" t="s">
        <v>8</v>
      </c>
      <c r="K3199" s="23" t="s">
        <v>8</v>
      </c>
      <c r="L3199" s="23" t="s">
        <v>8</v>
      </c>
      <c r="M3199" s="23" t="s">
        <v>8</v>
      </c>
    </row>
    <row r="3200" spans="1:13" s="21" customFormat="1" x14ac:dyDescent="0.25">
      <c r="A3200" s="22" t="s">
        <v>8</v>
      </c>
      <c r="B3200" s="18" t="str">
        <f>"145624"</f>
        <v>145624</v>
      </c>
      <c r="C3200" s="19" t="s">
        <v>3191</v>
      </c>
      <c r="D3200" s="19" t="s">
        <v>18627</v>
      </c>
      <c r="E3200" s="19" t="s">
        <v>32052</v>
      </c>
      <c r="F3200" s="19" t="s">
        <v>35987</v>
      </c>
      <c r="G3200" s="18" t="str">
        <f>"62839"</f>
        <v>62839</v>
      </c>
      <c r="H3200" s="19" t="s">
        <v>36030</v>
      </c>
      <c r="I3200" s="20">
        <v>23.638999999999999</v>
      </c>
      <c r="J3200" s="44" t="s">
        <v>8</v>
      </c>
      <c r="K3200" s="23" t="s">
        <v>8</v>
      </c>
      <c r="L3200" s="23" t="s">
        <v>8</v>
      </c>
      <c r="M3200" s="23" t="s">
        <v>8</v>
      </c>
    </row>
    <row r="3201" spans="1:13" s="21" customFormat="1" x14ac:dyDescent="0.25">
      <c r="A3201" s="22" t="s">
        <v>8</v>
      </c>
      <c r="B3201" s="18" t="str">
        <f>"145625"</f>
        <v>145625</v>
      </c>
      <c r="C3201" s="19" t="s">
        <v>3192</v>
      </c>
      <c r="D3201" s="19" t="s">
        <v>18628</v>
      </c>
      <c r="E3201" s="19" t="s">
        <v>31934</v>
      </c>
      <c r="F3201" s="19" t="s">
        <v>35987</v>
      </c>
      <c r="G3201" s="18" t="str">
        <f>"60608"</f>
        <v>60608</v>
      </c>
      <c r="H3201" s="19" t="s">
        <v>33420</v>
      </c>
      <c r="I3201" s="20">
        <v>20.808</v>
      </c>
      <c r="J3201" s="44" t="s">
        <v>8</v>
      </c>
      <c r="K3201" s="23" t="s">
        <v>8</v>
      </c>
      <c r="L3201" s="23" t="s">
        <v>8</v>
      </c>
      <c r="M3201" s="23" t="s">
        <v>8</v>
      </c>
    </row>
    <row r="3202" spans="1:13" s="21" customFormat="1" x14ac:dyDescent="0.25">
      <c r="A3202" s="22" t="s">
        <v>8</v>
      </c>
      <c r="B3202" s="18" t="str">
        <f>"145626"</f>
        <v>145626</v>
      </c>
      <c r="C3202" s="19" t="s">
        <v>3193</v>
      </c>
      <c r="D3202" s="19" t="s">
        <v>18629</v>
      </c>
      <c r="E3202" s="19" t="s">
        <v>31970</v>
      </c>
      <c r="F3202" s="19" t="s">
        <v>35987</v>
      </c>
      <c r="G3202" s="18" t="str">
        <f>"60018"</f>
        <v>60018</v>
      </c>
      <c r="H3202" s="19" t="s">
        <v>33420</v>
      </c>
      <c r="I3202" s="20">
        <v>23.838000000000001</v>
      </c>
      <c r="J3202" s="44" t="s">
        <v>8</v>
      </c>
      <c r="K3202" s="23" t="s">
        <v>8</v>
      </c>
      <c r="L3202" s="23" t="s">
        <v>8</v>
      </c>
      <c r="M3202" s="23" t="s">
        <v>8</v>
      </c>
    </row>
    <row r="3203" spans="1:13" s="21" customFormat="1" x14ac:dyDescent="0.25">
      <c r="A3203" s="22" t="s">
        <v>8</v>
      </c>
      <c r="B3203" s="18" t="str">
        <f>"145628"</f>
        <v>145628</v>
      </c>
      <c r="C3203" s="19" t="s">
        <v>3194</v>
      </c>
      <c r="D3203" s="19" t="s">
        <v>18630</v>
      </c>
      <c r="E3203" s="19" t="s">
        <v>31952</v>
      </c>
      <c r="F3203" s="19" t="s">
        <v>35987</v>
      </c>
      <c r="G3203" s="18" t="str">
        <f>"62401"</f>
        <v>62401</v>
      </c>
      <c r="H3203" s="19" t="s">
        <v>31952</v>
      </c>
      <c r="I3203" s="20">
        <v>19.853000000000002</v>
      </c>
      <c r="J3203" s="44" t="s">
        <v>8</v>
      </c>
      <c r="K3203" s="23" t="s">
        <v>8</v>
      </c>
      <c r="L3203" s="23" t="s">
        <v>8</v>
      </c>
      <c r="M3203" s="23" t="s">
        <v>8</v>
      </c>
    </row>
    <row r="3204" spans="1:13" s="21" customFormat="1" x14ac:dyDescent="0.25">
      <c r="A3204" s="22" t="s">
        <v>8</v>
      </c>
      <c r="B3204" s="18" t="str">
        <f>"145629"</f>
        <v>145629</v>
      </c>
      <c r="C3204" s="19" t="s">
        <v>3195</v>
      </c>
      <c r="D3204" s="19" t="s">
        <v>18631</v>
      </c>
      <c r="E3204" s="19" t="s">
        <v>32053</v>
      </c>
      <c r="F3204" s="19" t="s">
        <v>35987</v>
      </c>
      <c r="G3204" s="18" t="str">
        <f>"60411"</f>
        <v>60411</v>
      </c>
      <c r="H3204" s="19" t="s">
        <v>33420</v>
      </c>
      <c r="I3204" s="20">
        <v>22.661000000000001</v>
      </c>
      <c r="J3204" s="44" t="s">
        <v>8</v>
      </c>
      <c r="K3204" s="23" t="s">
        <v>8</v>
      </c>
      <c r="L3204" s="23" t="s">
        <v>8</v>
      </c>
      <c r="M3204" s="23" t="s">
        <v>8</v>
      </c>
    </row>
    <row r="3205" spans="1:13" s="21" customFormat="1" x14ac:dyDescent="0.25">
      <c r="A3205" s="22" t="s">
        <v>8</v>
      </c>
      <c r="B3205" s="18" t="str">
        <f>"145630"</f>
        <v>145630</v>
      </c>
      <c r="C3205" s="19" t="s">
        <v>3196</v>
      </c>
      <c r="D3205" s="19" t="s">
        <v>18632</v>
      </c>
      <c r="E3205" s="19" t="s">
        <v>31948</v>
      </c>
      <c r="F3205" s="19" t="s">
        <v>35987</v>
      </c>
      <c r="G3205" s="18" t="str">
        <f>"60714"</f>
        <v>60714</v>
      </c>
      <c r="H3205" s="19" t="s">
        <v>33420</v>
      </c>
      <c r="I3205" s="20">
        <v>20.106000000000002</v>
      </c>
      <c r="J3205" s="44" t="s">
        <v>8</v>
      </c>
      <c r="K3205" s="23" t="s">
        <v>8</v>
      </c>
      <c r="L3205" s="23" t="s">
        <v>8</v>
      </c>
      <c r="M3205" s="23" t="s">
        <v>8</v>
      </c>
    </row>
    <row r="3206" spans="1:13" s="21" customFormat="1" x14ac:dyDescent="0.25">
      <c r="A3206" s="22" t="s">
        <v>8</v>
      </c>
      <c r="B3206" s="18" t="str">
        <f>"145631"</f>
        <v>145631</v>
      </c>
      <c r="C3206" s="19" t="s">
        <v>3197</v>
      </c>
      <c r="D3206" s="19" t="s">
        <v>18633</v>
      </c>
      <c r="E3206" s="19" t="s">
        <v>31259</v>
      </c>
      <c r="F3206" s="19" t="s">
        <v>35987</v>
      </c>
      <c r="G3206" s="18" t="str">
        <f>"61942"</f>
        <v>61942</v>
      </c>
      <c r="H3206" s="19" t="s">
        <v>30966</v>
      </c>
      <c r="I3206" s="20">
        <v>20.260999999999999</v>
      </c>
      <c r="J3206" s="44" t="s">
        <v>8</v>
      </c>
      <c r="K3206" s="23" t="s">
        <v>8</v>
      </c>
      <c r="L3206" s="23" t="s">
        <v>8</v>
      </c>
      <c r="M3206" s="23" t="s">
        <v>8</v>
      </c>
    </row>
    <row r="3207" spans="1:13" s="21" customFormat="1" x14ac:dyDescent="0.25">
      <c r="A3207" s="22" t="s">
        <v>8</v>
      </c>
      <c r="B3207" s="18" t="str">
        <f>"145632"</f>
        <v>145632</v>
      </c>
      <c r="C3207" s="19" t="s">
        <v>3198</v>
      </c>
      <c r="D3207" s="19" t="s">
        <v>18634</v>
      </c>
      <c r="E3207" s="19" t="s">
        <v>31934</v>
      </c>
      <c r="F3207" s="19" t="s">
        <v>35987</v>
      </c>
      <c r="G3207" s="18" t="str">
        <f>"60616"</f>
        <v>60616</v>
      </c>
      <c r="H3207" s="19" t="s">
        <v>33420</v>
      </c>
      <c r="I3207" s="20">
        <v>24.393000000000001</v>
      </c>
      <c r="J3207" s="44" t="s">
        <v>8</v>
      </c>
      <c r="K3207" s="23" t="s">
        <v>8</v>
      </c>
      <c r="L3207" s="23" t="s">
        <v>8</v>
      </c>
      <c r="M3207" s="23" t="s">
        <v>8</v>
      </c>
    </row>
    <row r="3208" spans="1:13" s="21" customFormat="1" x14ac:dyDescent="0.25">
      <c r="A3208" s="22" t="s">
        <v>8</v>
      </c>
      <c r="B3208" s="18" t="str">
        <f>"145634"</f>
        <v>145634</v>
      </c>
      <c r="C3208" s="19" t="s">
        <v>3199</v>
      </c>
      <c r="D3208" s="19" t="s">
        <v>18635</v>
      </c>
      <c r="E3208" s="19" t="s">
        <v>31934</v>
      </c>
      <c r="F3208" s="19" t="s">
        <v>35987</v>
      </c>
      <c r="G3208" s="18" t="str">
        <f>"60659"</f>
        <v>60659</v>
      </c>
      <c r="H3208" s="19" t="s">
        <v>33420</v>
      </c>
      <c r="I3208" s="20">
        <v>17.04</v>
      </c>
      <c r="J3208" s="44" t="s">
        <v>8</v>
      </c>
      <c r="K3208" s="23" t="s">
        <v>8</v>
      </c>
      <c r="L3208" s="23" t="s">
        <v>8</v>
      </c>
      <c r="M3208" s="23" t="s">
        <v>8</v>
      </c>
    </row>
    <row r="3209" spans="1:13" s="21" customFormat="1" x14ac:dyDescent="0.25">
      <c r="A3209" s="22" t="s">
        <v>8</v>
      </c>
      <c r="B3209" s="18" t="str">
        <f>"145636"</f>
        <v>145636</v>
      </c>
      <c r="C3209" s="19" t="s">
        <v>3200</v>
      </c>
      <c r="D3209" s="19" t="s">
        <v>18636</v>
      </c>
      <c r="E3209" s="19" t="s">
        <v>31091</v>
      </c>
      <c r="F3209" s="19" t="s">
        <v>35987</v>
      </c>
      <c r="G3209" s="18" t="str">
        <f>"61920"</f>
        <v>61920</v>
      </c>
      <c r="H3209" s="19" t="s">
        <v>36243</v>
      </c>
      <c r="I3209" s="20">
        <v>20.669</v>
      </c>
      <c r="J3209" s="44" t="s">
        <v>8</v>
      </c>
      <c r="K3209" s="23" t="s">
        <v>8</v>
      </c>
      <c r="L3209" s="23" t="s">
        <v>8</v>
      </c>
      <c r="M3209" s="23" t="s">
        <v>8</v>
      </c>
    </row>
    <row r="3210" spans="1:13" s="21" customFormat="1" x14ac:dyDescent="0.25">
      <c r="A3210" s="22" t="s">
        <v>8</v>
      </c>
      <c r="B3210" s="18" t="str">
        <f>"145637"</f>
        <v>145637</v>
      </c>
      <c r="C3210" s="19" t="s">
        <v>3201</v>
      </c>
      <c r="D3210" s="19" t="s">
        <v>18637</v>
      </c>
      <c r="E3210" s="19" t="s">
        <v>31934</v>
      </c>
      <c r="F3210" s="19" t="s">
        <v>35987</v>
      </c>
      <c r="G3210" s="18" t="str">
        <f>"60641"</f>
        <v>60641</v>
      </c>
      <c r="H3210" s="19" t="s">
        <v>33420</v>
      </c>
      <c r="I3210" s="20">
        <v>21.053000000000001</v>
      </c>
      <c r="J3210" s="44" t="s">
        <v>8</v>
      </c>
      <c r="K3210" s="23" t="s">
        <v>8</v>
      </c>
      <c r="L3210" s="23" t="s">
        <v>8</v>
      </c>
      <c r="M3210" s="23" t="s">
        <v>8</v>
      </c>
    </row>
    <row r="3211" spans="1:13" s="21" customFormat="1" x14ac:dyDescent="0.25">
      <c r="A3211" s="22" t="s">
        <v>8</v>
      </c>
      <c r="B3211" s="18" t="str">
        <f>"145638"</f>
        <v>145638</v>
      </c>
      <c r="C3211" s="19" t="s">
        <v>3202</v>
      </c>
      <c r="D3211" s="19" t="s">
        <v>18638</v>
      </c>
      <c r="E3211" s="19" t="s">
        <v>31969</v>
      </c>
      <c r="F3211" s="19" t="s">
        <v>35987</v>
      </c>
      <c r="G3211" s="18" t="str">
        <f>"60108"</f>
        <v>60108</v>
      </c>
      <c r="H3211" s="19" t="s">
        <v>36231</v>
      </c>
      <c r="I3211" s="20">
        <v>21.684000000000001</v>
      </c>
      <c r="J3211" s="44" t="s">
        <v>8</v>
      </c>
      <c r="K3211" s="23" t="s">
        <v>8</v>
      </c>
      <c r="L3211" s="23" t="s">
        <v>8</v>
      </c>
      <c r="M3211" s="23" t="s">
        <v>8</v>
      </c>
    </row>
    <row r="3212" spans="1:13" s="21" customFormat="1" x14ac:dyDescent="0.25">
      <c r="A3212" s="22" t="s">
        <v>8</v>
      </c>
      <c r="B3212" s="18" t="str">
        <f>"145639"</f>
        <v>145639</v>
      </c>
      <c r="C3212" s="19" t="s">
        <v>3203</v>
      </c>
      <c r="D3212" s="19" t="s">
        <v>18639</v>
      </c>
      <c r="E3212" s="19" t="s">
        <v>32054</v>
      </c>
      <c r="F3212" s="19" t="s">
        <v>35987</v>
      </c>
      <c r="G3212" s="18" t="str">
        <f>"60415"</f>
        <v>60415</v>
      </c>
      <c r="H3212" s="19" t="s">
        <v>33420</v>
      </c>
      <c r="I3212" s="20">
        <v>20.581</v>
      </c>
      <c r="J3212" s="44" t="s">
        <v>8</v>
      </c>
      <c r="K3212" s="23" t="s">
        <v>8</v>
      </c>
      <c r="L3212" s="23" t="s">
        <v>8</v>
      </c>
      <c r="M3212" s="23" t="s">
        <v>8</v>
      </c>
    </row>
    <row r="3213" spans="1:13" s="21" customFormat="1" x14ac:dyDescent="0.25">
      <c r="A3213" s="22" t="s">
        <v>8</v>
      </c>
      <c r="B3213" s="18" t="str">
        <f>"145640"</f>
        <v>145640</v>
      </c>
      <c r="C3213" s="19" t="s">
        <v>3204</v>
      </c>
      <c r="D3213" s="19" t="s">
        <v>18640</v>
      </c>
      <c r="E3213" s="19" t="s">
        <v>31941</v>
      </c>
      <c r="F3213" s="19" t="s">
        <v>35987</v>
      </c>
      <c r="G3213" s="18" t="str">
        <f>"60005"</f>
        <v>60005</v>
      </c>
      <c r="H3213" s="19" t="s">
        <v>33420</v>
      </c>
      <c r="I3213" s="20">
        <v>20.97</v>
      </c>
      <c r="J3213" s="44" t="s">
        <v>8</v>
      </c>
      <c r="K3213" s="23" t="s">
        <v>8</v>
      </c>
      <c r="L3213" s="23" t="s">
        <v>8</v>
      </c>
      <c r="M3213" s="23" t="s">
        <v>8</v>
      </c>
    </row>
    <row r="3214" spans="1:13" s="21" customFormat="1" x14ac:dyDescent="0.25">
      <c r="A3214" s="22" t="s">
        <v>8</v>
      </c>
      <c r="B3214" s="18" t="str">
        <f>"145643"</f>
        <v>145643</v>
      </c>
      <c r="C3214" s="19" t="s">
        <v>3205</v>
      </c>
      <c r="D3214" s="19" t="s">
        <v>18641</v>
      </c>
      <c r="E3214" s="19" t="s">
        <v>31311</v>
      </c>
      <c r="F3214" s="19" t="s">
        <v>35987</v>
      </c>
      <c r="G3214" s="18" t="str">
        <f>"62301"</f>
        <v>62301</v>
      </c>
      <c r="H3214" s="19" t="s">
        <v>33467</v>
      </c>
      <c r="I3214" s="20">
        <v>17.981999999999999</v>
      </c>
      <c r="J3214" s="44" t="s">
        <v>8</v>
      </c>
      <c r="K3214" s="23" t="s">
        <v>8</v>
      </c>
      <c r="L3214" s="23" t="s">
        <v>8</v>
      </c>
      <c r="M3214" s="23" t="s">
        <v>8</v>
      </c>
    </row>
    <row r="3215" spans="1:13" s="21" customFormat="1" x14ac:dyDescent="0.25">
      <c r="A3215" s="22" t="s">
        <v>8</v>
      </c>
      <c r="B3215" s="18" t="str">
        <f>"145646"</f>
        <v>145646</v>
      </c>
      <c r="C3215" s="19" t="s">
        <v>3206</v>
      </c>
      <c r="D3215" s="19" t="s">
        <v>18642</v>
      </c>
      <c r="E3215" s="19" t="s">
        <v>31955</v>
      </c>
      <c r="F3215" s="19" t="s">
        <v>35987</v>
      </c>
      <c r="G3215" s="18" t="str">
        <f>"61611"</f>
        <v>61611</v>
      </c>
      <c r="H3215" s="19" t="s">
        <v>35147</v>
      </c>
      <c r="I3215" s="20">
        <v>23.920999999999999</v>
      </c>
      <c r="J3215" s="44" t="s">
        <v>8</v>
      </c>
      <c r="K3215" s="23" t="s">
        <v>8</v>
      </c>
      <c r="L3215" s="23" t="s">
        <v>8</v>
      </c>
      <c r="M3215" s="23" t="s">
        <v>8</v>
      </c>
    </row>
    <row r="3216" spans="1:13" s="21" customFormat="1" x14ac:dyDescent="0.25">
      <c r="A3216" s="22" t="s">
        <v>8</v>
      </c>
      <c r="B3216" s="18" t="str">
        <f>"145647"</f>
        <v>145647</v>
      </c>
      <c r="C3216" s="19" t="s">
        <v>3207</v>
      </c>
      <c r="D3216" s="19" t="s">
        <v>18643</v>
      </c>
      <c r="E3216" s="19" t="s">
        <v>30954</v>
      </c>
      <c r="F3216" s="19" t="s">
        <v>35987</v>
      </c>
      <c r="G3216" s="18" t="str">
        <f>"61614"</f>
        <v>61614</v>
      </c>
      <c r="H3216" s="19" t="s">
        <v>30954</v>
      </c>
      <c r="I3216" s="20">
        <v>20.065000000000001</v>
      </c>
      <c r="J3216" s="44" t="s">
        <v>8</v>
      </c>
      <c r="K3216" s="23" t="s">
        <v>8</v>
      </c>
      <c r="L3216" s="23" t="s">
        <v>8</v>
      </c>
      <c r="M3216" s="23" t="s">
        <v>8</v>
      </c>
    </row>
    <row r="3217" spans="1:13" s="21" customFormat="1" x14ac:dyDescent="0.25">
      <c r="A3217" s="22" t="s">
        <v>8</v>
      </c>
      <c r="B3217" s="18" t="str">
        <f>"145648"</f>
        <v>145648</v>
      </c>
      <c r="C3217" s="19" t="s">
        <v>3208</v>
      </c>
      <c r="D3217" s="19" t="s">
        <v>18644</v>
      </c>
      <c r="E3217" s="19" t="s">
        <v>31934</v>
      </c>
      <c r="F3217" s="19" t="s">
        <v>35987</v>
      </c>
      <c r="G3217" s="18" t="str">
        <f>"60639"</f>
        <v>60639</v>
      </c>
      <c r="H3217" s="19" t="s">
        <v>33420</v>
      </c>
      <c r="I3217" s="20">
        <v>17.664000000000001</v>
      </c>
      <c r="J3217" s="44" t="s">
        <v>8</v>
      </c>
      <c r="K3217" s="23" t="s">
        <v>8</v>
      </c>
      <c r="L3217" s="23" t="s">
        <v>8</v>
      </c>
      <c r="M3217" s="23" t="s">
        <v>8</v>
      </c>
    </row>
    <row r="3218" spans="1:13" s="21" customFormat="1" x14ac:dyDescent="0.25">
      <c r="A3218" s="22" t="s">
        <v>8</v>
      </c>
      <c r="B3218" s="18" t="str">
        <f>"145649"</f>
        <v>145649</v>
      </c>
      <c r="C3218" s="19" t="s">
        <v>3209</v>
      </c>
      <c r="D3218" s="19" t="s">
        <v>18645</v>
      </c>
      <c r="E3218" s="19" t="s">
        <v>32055</v>
      </c>
      <c r="F3218" s="19" t="s">
        <v>35987</v>
      </c>
      <c r="G3218" s="18" t="str">
        <f>"62870"</f>
        <v>62870</v>
      </c>
      <c r="H3218" s="19" t="s">
        <v>30850</v>
      </c>
      <c r="I3218" s="20">
        <v>22.507000000000001</v>
      </c>
      <c r="J3218" s="44" t="s">
        <v>8</v>
      </c>
      <c r="K3218" s="23" t="s">
        <v>8</v>
      </c>
      <c r="L3218" s="23" t="s">
        <v>8</v>
      </c>
      <c r="M3218" s="23" t="s">
        <v>8</v>
      </c>
    </row>
    <row r="3219" spans="1:13" s="21" customFormat="1" x14ac:dyDescent="0.25">
      <c r="A3219" s="22" t="s">
        <v>8</v>
      </c>
      <c r="B3219" s="18" t="str">
        <f>"145650"</f>
        <v>145650</v>
      </c>
      <c r="C3219" s="19" t="s">
        <v>3210</v>
      </c>
      <c r="D3219" s="19" t="s">
        <v>18646</v>
      </c>
      <c r="E3219" s="19" t="s">
        <v>32056</v>
      </c>
      <c r="F3219" s="19" t="s">
        <v>35987</v>
      </c>
      <c r="G3219" s="18" t="str">
        <f>"60465"</f>
        <v>60465</v>
      </c>
      <c r="H3219" s="19" t="s">
        <v>33420</v>
      </c>
      <c r="I3219" s="20">
        <v>20.998999999999999</v>
      </c>
      <c r="J3219" s="44" t="s">
        <v>8</v>
      </c>
      <c r="K3219" s="23" t="s">
        <v>8</v>
      </c>
      <c r="L3219" s="23" t="s">
        <v>8</v>
      </c>
      <c r="M3219" s="23" t="s">
        <v>8</v>
      </c>
    </row>
    <row r="3220" spans="1:13" s="21" customFormat="1" x14ac:dyDescent="0.25">
      <c r="A3220" s="22" t="s">
        <v>8</v>
      </c>
      <c r="B3220" s="18" t="str">
        <f>"145651"</f>
        <v>145651</v>
      </c>
      <c r="C3220" s="19" t="s">
        <v>3211</v>
      </c>
      <c r="D3220" s="19" t="s">
        <v>18647</v>
      </c>
      <c r="E3220" s="19" t="s">
        <v>31933</v>
      </c>
      <c r="F3220" s="19" t="s">
        <v>35987</v>
      </c>
      <c r="G3220" s="18" t="str">
        <f>"62002"</f>
        <v>62002</v>
      </c>
      <c r="H3220" s="19" t="s">
        <v>30899</v>
      </c>
      <c r="I3220" s="20">
        <v>20.416</v>
      </c>
      <c r="J3220" s="44" t="s">
        <v>8</v>
      </c>
      <c r="K3220" s="23" t="s">
        <v>8</v>
      </c>
      <c r="L3220" s="23" t="s">
        <v>8</v>
      </c>
      <c r="M3220" s="23" t="s">
        <v>8</v>
      </c>
    </row>
    <row r="3221" spans="1:13" s="21" customFormat="1" x14ac:dyDescent="0.25">
      <c r="A3221" s="22" t="s">
        <v>8</v>
      </c>
      <c r="B3221" s="18" t="str">
        <f>"145652"</f>
        <v>145652</v>
      </c>
      <c r="C3221" s="19" t="s">
        <v>3212</v>
      </c>
      <c r="D3221" s="19" t="s">
        <v>18648</v>
      </c>
      <c r="E3221" s="19" t="s">
        <v>31766</v>
      </c>
      <c r="F3221" s="19" t="s">
        <v>35987</v>
      </c>
      <c r="G3221" s="18" t="str">
        <f>"60098"</f>
        <v>60098</v>
      </c>
      <c r="H3221" s="19" t="s">
        <v>32006</v>
      </c>
      <c r="I3221" s="20">
        <v>17.300999999999998</v>
      </c>
      <c r="J3221" s="44" t="s">
        <v>8</v>
      </c>
      <c r="K3221" s="23" t="s">
        <v>8</v>
      </c>
      <c r="L3221" s="23" t="s">
        <v>8</v>
      </c>
      <c r="M3221" s="23" t="s">
        <v>8</v>
      </c>
    </row>
    <row r="3222" spans="1:13" s="21" customFormat="1" x14ac:dyDescent="0.25">
      <c r="A3222" s="22" t="s">
        <v>8</v>
      </c>
      <c r="B3222" s="18" t="str">
        <f>"145654"</f>
        <v>145654</v>
      </c>
      <c r="C3222" s="19" t="s">
        <v>3213</v>
      </c>
      <c r="D3222" s="19" t="s">
        <v>18649</v>
      </c>
      <c r="E3222" s="19" t="s">
        <v>31934</v>
      </c>
      <c r="F3222" s="19" t="s">
        <v>35987</v>
      </c>
      <c r="G3222" s="18" t="str">
        <f>"60614"</f>
        <v>60614</v>
      </c>
      <c r="H3222" s="19" t="s">
        <v>33420</v>
      </c>
      <c r="I3222" s="20">
        <v>18.661999999999999</v>
      </c>
      <c r="J3222" s="44" t="s">
        <v>8</v>
      </c>
      <c r="K3222" s="23" t="s">
        <v>8</v>
      </c>
      <c r="L3222" s="23" t="s">
        <v>8</v>
      </c>
      <c r="M3222" s="23" t="s">
        <v>8</v>
      </c>
    </row>
    <row r="3223" spans="1:13" s="21" customFormat="1" x14ac:dyDescent="0.25">
      <c r="A3223" s="22" t="s">
        <v>8</v>
      </c>
      <c r="B3223" s="18" t="str">
        <f>"145655"</f>
        <v>145655</v>
      </c>
      <c r="C3223" s="19" t="s">
        <v>3214</v>
      </c>
      <c r="D3223" s="19" t="s">
        <v>18650</v>
      </c>
      <c r="E3223" s="19" t="s">
        <v>32057</v>
      </c>
      <c r="F3223" s="19" t="s">
        <v>35987</v>
      </c>
      <c r="G3223" s="18" t="str">
        <f>"62095"</f>
        <v>62095</v>
      </c>
      <c r="H3223" s="19" t="s">
        <v>30899</v>
      </c>
      <c r="I3223" s="20">
        <v>18.849</v>
      </c>
      <c r="J3223" s="44" t="s">
        <v>8</v>
      </c>
      <c r="K3223" s="23" t="s">
        <v>8</v>
      </c>
      <c r="L3223" s="23" t="s">
        <v>8</v>
      </c>
      <c r="M3223" s="23" t="s">
        <v>8</v>
      </c>
    </row>
    <row r="3224" spans="1:13" s="21" customFormat="1" x14ac:dyDescent="0.25">
      <c r="A3224" s="22" t="s">
        <v>8</v>
      </c>
      <c r="B3224" s="18" t="str">
        <f>"145656"</f>
        <v>145656</v>
      </c>
      <c r="C3224" s="19" t="s">
        <v>3215</v>
      </c>
      <c r="D3224" s="19" t="s">
        <v>18651</v>
      </c>
      <c r="E3224" s="19" t="s">
        <v>32058</v>
      </c>
      <c r="F3224" s="19" t="s">
        <v>35987</v>
      </c>
      <c r="G3224" s="18" t="str">
        <f>"62035"</f>
        <v>62035</v>
      </c>
      <c r="H3224" s="19" t="s">
        <v>30899</v>
      </c>
      <c r="I3224" s="20">
        <v>20.489000000000001</v>
      </c>
      <c r="J3224" s="44" t="s">
        <v>8</v>
      </c>
      <c r="K3224" s="23" t="s">
        <v>8</v>
      </c>
      <c r="L3224" s="23" t="s">
        <v>8</v>
      </c>
      <c r="M3224" s="23" t="s">
        <v>8</v>
      </c>
    </row>
    <row r="3225" spans="1:13" s="21" customFormat="1" x14ac:dyDescent="0.25">
      <c r="A3225" s="22" t="s">
        <v>8</v>
      </c>
      <c r="B3225" s="18" t="str">
        <f>"145657"</f>
        <v>145657</v>
      </c>
      <c r="C3225" s="19" t="s">
        <v>3216</v>
      </c>
      <c r="D3225" s="19" t="s">
        <v>18652</v>
      </c>
      <c r="E3225" s="19" t="s">
        <v>32059</v>
      </c>
      <c r="F3225" s="19" t="s">
        <v>35987</v>
      </c>
      <c r="G3225" s="18" t="str">
        <f>"60515"</f>
        <v>60515</v>
      </c>
      <c r="H3225" s="19" t="s">
        <v>36231</v>
      </c>
      <c r="I3225" s="20">
        <v>20.786999999999999</v>
      </c>
      <c r="J3225" s="44" t="s">
        <v>8</v>
      </c>
      <c r="K3225" s="23" t="s">
        <v>8</v>
      </c>
      <c r="L3225" s="23" t="s">
        <v>8</v>
      </c>
      <c r="M3225" s="23" t="s">
        <v>8</v>
      </c>
    </row>
    <row r="3226" spans="1:13" s="21" customFormat="1" x14ac:dyDescent="0.25">
      <c r="A3226" s="22" t="s">
        <v>8</v>
      </c>
      <c r="B3226" s="18" t="str">
        <f>"145658"</f>
        <v>145658</v>
      </c>
      <c r="C3226" s="19" t="s">
        <v>3217</v>
      </c>
      <c r="D3226" s="19" t="s">
        <v>18653</v>
      </c>
      <c r="E3226" s="19" t="s">
        <v>32060</v>
      </c>
      <c r="F3226" s="19" t="s">
        <v>35987</v>
      </c>
      <c r="G3226" s="18" t="str">
        <f>"60067"</f>
        <v>60067</v>
      </c>
      <c r="H3226" s="19" t="s">
        <v>33420</v>
      </c>
      <c r="I3226" s="20">
        <v>19.058</v>
      </c>
      <c r="J3226" s="44" t="s">
        <v>8</v>
      </c>
      <c r="K3226" s="23" t="s">
        <v>8</v>
      </c>
      <c r="L3226" s="23" t="s">
        <v>8</v>
      </c>
      <c r="M3226" s="23" t="s">
        <v>8</v>
      </c>
    </row>
    <row r="3227" spans="1:13" s="21" customFormat="1" x14ac:dyDescent="0.25">
      <c r="A3227" s="22" t="s">
        <v>8</v>
      </c>
      <c r="B3227" s="18" t="str">
        <f>"145659"</f>
        <v>145659</v>
      </c>
      <c r="C3227" s="19" t="s">
        <v>3218</v>
      </c>
      <c r="D3227" s="19" t="s">
        <v>18654</v>
      </c>
      <c r="E3227" s="19" t="s">
        <v>31934</v>
      </c>
      <c r="F3227" s="19" t="s">
        <v>35987</v>
      </c>
      <c r="G3227" s="18" t="str">
        <f>"60626"</f>
        <v>60626</v>
      </c>
      <c r="H3227" s="19" t="s">
        <v>33420</v>
      </c>
      <c r="I3227" s="20">
        <v>18.788</v>
      </c>
      <c r="J3227" s="44" t="s">
        <v>8</v>
      </c>
      <c r="K3227" s="23" t="s">
        <v>8</v>
      </c>
      <c r="L3227" s="23" t="s">
        <v>8</v>
      </c>
      <c r="M3227" s="23" t="s">
        <v>8</v>
      </c>
    </row>
    <row r="3228" spans="1:13" s="21" customFormat="1" x14ac:dyDescent="0.25">
      <c r="A3228" s="22" t="s">
        <v>8</v>
      </c>
      <c r="B3228" s="18" t="str">
        <f>"145660"</f>
        <v>145660</v>
      </c>
      <c r="C3228" s="19" t="s">
        <v>3219</v>
      </c>
      <c r="D3228" s="19" t="s">
        <v>18655</v>
      </c>
      <c r="E3228" s="19" t="s">
        <v>32061</v>
      </c>
      <c r="F3228" s="19" t="s">
        <v>35987</v>
      </c>
      <c r="G3228" s="18" t="str">
        <f>"60154"</f>
        <v>60154</v>
      </c>
      <c r="H3228" s="19" t="s">
        <v>33420</v>
      </c>
      <c r="I3228" s="20">
        <v>17.645</v>
      </c>
      <c r="J3228" s="44" t="s">
        <v>8</v>
      </c>
      <c r="K3228" s="23" t="s">
        <v>8</v>
      </c>
      <c r="L3228" s="23" t="s">
        <v>8</v>
      </c>
      <c r="M3228" s="23" t="s">
        <v>8</v>
      </c>
    </row>
    <row r="3229" spans="1:13" s="21" customFormat="1" x14ac:dyDescent="0.25">
      <c r="A3229" s="22" t="s">
        <v>8</v>
      </c>
      <c r="B3229" s="18" t="str">
        <f>"145661"</f>
        <v>145661</v>
      </c>
      <c r="C3229" s="19" t="s">
        <v>3220</v>
      </c>
      <c r="D3229" s="19" t="s">
        <v>18656</v>
      </c>
      <c r="E3229" s="19" t="s">
        <v>31934</v>
      </c>
      <c r="F3229" s="19" t="s">
        <v>35987</v>
      </c>
      <c r="G3229" s="18" t="str">
        <f>"60644"</f>
        <v>60644</v>
      </c>
      <c r="H3229" s="19" t="s">
        <v>33420</v>
      </c>
      <c r="I3229" s="20">
        <v>17.959</v>
      </c>
      <c r="J3229" s="44" t="s">
        <v>8</v>
      </c>
      <c r="K3229" s="23" t="s">
        <v>8</v>
      </c>
      <c r="L3229" s="23" t="s">
        <v>8</v>
      </c>
      <c r="M3229" s="23" t="s">
        <v>8</v>
      </c>
    </row>
    <row r="3230" spans="1:13" s="21" customFormat="1" x14ac:dyDescent="0.25">
      <c r="A3230" s="22" t="s">
        <v>8</v>
      </c>
      <c r="B3230" s="18" t="str">
        <f>"145662"</f>
        <v>145662</v>
      </c>
      <c r="C3230" s="19" t="s">
        <v>3221</v>
      </c>
      <c r="D3230" s="19" t="s">
        <v>18657</v>
      </c>
      <c r="E3230" s="19" t="s">
        <v>31948</v>
      </c>
      <c r="F3230" s="19" t="s">
        <v>35987</v>
      </c>
      <c r="G3230" s="18" t="str">
        <f>"60714"</f>
        <v>60714</v>
      </c>
      <c r="H3230" s="19" t="s">
        <v>33420</v>
      </c>
      <c r="I3230" s="20">
        <v>18.094999999999999</v>
      </c>
      <c r="J3230" s="44" t="s">
        <v>8</v>
      </c>
      <c r="K3230" s="23" t="s">
        <v>8</v>
      </c>
      <c r="L3230" s="23" t="s">
        <v>8</v>
      </c>
      <c r="M3230" s="23" t="s">
        <v>8</v>
      </c>
    </row>
    <row r="3231" spans="1:13" s="21" customFormat="1" x14ac:dyDescent="0.25">
      <c r="A3231" s="22" t="s">
        <v>8</v>
      </c>
      <c r="B3231" s="18" t="str">
        <f>"145663"</f>
        <v>145663</v>
      </c>
      <c r="C3231" s="19" t="s">
        <v>3222</v>
      </c>
      <c r="D3231" s="19" t="s">
        <v>18658</v>
      </c>
      <c r="E3231" s="19" t="s">
        <v>31333</v>
      </c>
      <c r="F3231" s="19" t="s">
        <v>35987</v>
      </c>
      <c r="G3231" s="18" t="str">
        <f>"60506"</f>
        <v>60506</v>
      </c>
      <c r="H3231" s="19" t="s">
        <v>34788</v>
      </c>
      <c r="I3231" s="20">
        <v>18.536000000000001</v>
      </c>
      <c r="J3231" s="44" t="s">
        <v>8</v>
      </c>
      <c r="K3231" s="23" t="s">
        <v>8</v>
      </c>
      <c r="L3231" s="23" t="s">
        <v>8</v>
      </c>
      <c r="M3231" s="23" t="s">
        <v>8</v>
      </c>
    </row>
    <row r="3232" spans="1:13" s="21" customFormat="1" x14ac:dyDescent="0.25">
      <c r="A3232" s="22" t="s">
        <v>8</v>
      </c>
      <c r="B3232" s="18" t="str">
        <f>"145664"</f>
        <v>145664</v>
      </c>
      <c r="C3232" s="19" t="s">
        <v>3223</v>
      </c>
      <c r="D3232" s="19" t="s">
        <v>18659</v>
      </c>
      <c r="E3232" s="19" t="s">
        <v>32062</v>
      </c>
      <c r="F3232" s="19" t="s">
        <v>35987</v>
      </c>
      <c r="G3232" s="18" t="str">
        <f>"62896"</f>
        <v>62896</v>
      </c>
      <c r="H3232" s="19" t="s">
        <v>5</v>
      </c>
      <c r="I3232" s="20">
        <v>18.597000000000001</v>
      </c>
      <c r="J3232" s="44" t="s">
        <v>8</v>
      </c>
      <c r="K3232" s="23" t="s">
        <v>8</v>
      </c>
      <c r="L3232" s="23" t="s">
        <v>8</v>
      </c>
      <c r="M3232" s="23" t="s">
        <v>8</v>
      </c>
    </row>
    <row r="3233" spans="1:13" s="21" customFormat="1" x14ac:dyDescent="0.25">
      <c r="A3233" s="22" t="s">
        <v>8</v>
      </c>
      <c r="B3233" s="18" t="str">
        <f>"145665"</f>
        <v>145665</v>
      </c>
      <c r="C3233" s="19" t="s">
        <v>3224</v>
      </c>
      <c r="D3233" s="19" t="s">
        <v>18660</v>
      </c>
      <c r="E3233" s="19" t="s">
        <v>32002</v>
      </c>
      <c r="F3233" s="19" t="s">
        <v>35987</v>
      </c>
      <c r="G3233" s="18" t="str">
        <f>"60099"</f>
        <v>60099</v>
      </c>
      <c r="H3233" s="19" t="s">
        <v>36096</v>
      </c>
      <c r="I3233" s="20">
        <v>15.289</v>
      </c>
      <c r="J3233" s="44" t="s">
        <v>8</v>
      </c>
      <c r="K3233" s="23" t="s">
        <v>8</v>
      </c>
      <c r="L3233" s="23" t="s">
        <v>8</v>
      </c>
      <c r="M3233" s="23" t="s">
        <v>8</v>
      </c>
    </row>
    <row r="3234" spans="1:13" s="21" customFormat="1" x14ac:dyDescent="0.25">
      <c r="A3234" s="22" t="s">
        <v>8</v>
      </c>
      <c r="B3234" s="18" t="str">
        <f>"145666"</f>
        <v>145666</v>
      </c>
      <c r="C3234" s="19" t="s">
        <v>3225</v>
      </c>
      <c r="D3234" s="19" t="s">
        <v>18661</v>
      </c>
      <c r="E3234" s="19" t="s">
        <v>32063</v>
      </c>
      <c r="F3234" s="19" t="s">
        <v>35987</v>
      </c>
      <c r="G3234" s="18" t="str">
        <f>"62801"</f>
        <v>62801</v>
      </c>
      <c r="H3234" s="19" t="s">
        <v>30850</v>
      </c>
      <c r="I3234" s="20">
        <v>24.274999999999999</v>
      </c>
      <c r="J3234" s="44" t="s">
        <v>8</v>
      </c>
      <c r="K3234" s="23" t="s">
        <v>8</v>
      </c>
      <c r="L3234" s="23" t="s">
        <v>8</v>
      </c>
      <c r="M3234" s="23" t="s">
        <v>8</v>
      </c>
    </row>
    <row r="3235" spans="1:13" s="21" customFormat="1" x14ac:dyDescent="0.25">
      <c r="A3235" s="22" t="s">
        <v>8</v>
      </c>
      <c r="B3235" s="18" t="str">
        <f>"145667"</f>
        <v>145667</v>
      </c>
      <c r="C3235" s="19" t="s">
        <v>3226</v>
      </c>
      <c r="D3235" s="19" t="s">
        <v>18662</v>
      </c>
      <c r="E3235" s="19" t="s">
        <v>31967</v>
      </c>
      <c r="F3235" s="19" t="s">
        <v>35987</v>
      </c>
      <c r="G3235" s="18" t="str">
        <f>"60068"</f>
        <v>60068</v>
      </c>
      <c r="H3235" s="19" t="s">
        <v>33420</v>
      </c>
      <c r="I3235" s="20">
        <v>16.436</v>
      </c>
      <c r="J3235" s="44" t="s">
        <v>8</v>
      </c>
      <c r="K3235" s="23" t="s">
        <v>8</v>
      </c>
      <c r="L3235" s="23" t="s">
        <v>8</v>
      </c>
      <c r="M3235" s="23" t="s">
        <v>8</v>
      </c>
    </row>
    <row r="3236" spans="1:13" s="21" customFormat="1" x14ac:dyDescent="0.25">
      <c r="A3236" s="22" t="s">
        <v>8</v>
      </c>
      <c r="B3236" s="18" t="str">
        <f>"145668"</f>
        <v>145668</v>
      </c>
      <c r="C3236" s="19" t="s">
        <v>3227</v>
      </c>
      <c r="D3236" s="19" t="s">
        <v>18663</v>
      </c>
      <c r="E3236" s="19" t="s">
        <v>31931</v>
      </c>
      <c r="F3236" s="19" t="s">
        <v>35987</v>
      </c>
      <c r="G3236" s="18" t="str">
        <f>"62226"</f>
        <v>62226</v>
      </c>
      <c r="H3236" s="19" t="s">
        <v>33662</v>
      </c>
      <c r="I3236" s="20">
        <v>19.765000000000001</v>
      </c>
      <c r="J3236" s="44" t="s">
        <v>8</v>
      </c>
      <c r="K3236" s="23" t="s">
        <v>8</v>
      </c>
      <c r="L3236" s="23" t="s">
        <v>8</v>
      </c>
      <c r="M3236" s="23" t="s">
        <v>8</v>
      </c>
    </row>
    <row r="3237" spans="1:13" s="21" customFormat="1" x14ac:dyDescent="0.25">
      <c r="A3237" s="22" t="s">
        <v>8</v>
      </c>
      <c r="B3237" s="18" t="str">
        <f>"145669"</f>
        <v>145669</v>
      </c>
      <c r="C3237" s="19" t="s">
        <v>3228</v>
      </c>
      <c r="D3237" s="19" t="s">
        <v>18664</v>
      </c>
      <c r="E3237" s="19" t="s">
        <v>32050</v>
      </c>
      <c r="F3237" s="19" t="s">
        <v>35987</v>
      </c>
      <c r="G3237" s="18" t="str">
        <f>"60085"</f>
        <v>60085</v>
      </c>
      <c r="H3237" s="19" t="s">
        <v>36096</v>
      </c>
      <c r="I3237" s="20">
        <v>15.621</v>
      </c>
      <c r="J3237" s="44" t="s">
        <v>8</v>
      </c>
      <c r="K3237" s="23" t="s">
        <v>8</v>
      </c>
      <c r="L3237" s="23" t="s">
        <v>8</v>
      </c>
      <c r="M3237" s="23" t="s">
        <v>8</v>
      </c>
    </row>
    <row r="3238" spans="1:13" s="21" customFormat="1" x14ac:dyDescent="0.25">
      <c r="A3238" s="22" t="s">
        <v>8</v>
      </c>
      <c r="B3238" s="18" t="str">
        <f>"145670"</f>
        <v>145670</v>
      </c>
      <c r="C3238" s="19" t="s">
        <v>3229</v>
      </c>
      <c r="D3238" s="19" t="s">
        <v>18665</v>
      </c>
      <c r="E3238" s="19" t="s">
        <v>31934</v>
      </c>
      <c r="F3238" s="19" t="s">
        <v>35987</v>
      </c>
      <c r="G3238" s="18" t="str">
        <f>"60626"</f>
        <v>60626</v>
      </c>
      <c r="H3238" s="19" t="s">
        <v>33420</v>
      </c>
      <c r="I3238" s="20">
        <v>24.654</v>
      </c>
      <c r="J3238" s="44" t="s">
        <v>8</v>
      </c>
      <c r="K3238" s="23" t="s">
        <v>8</v>
      </c>
      <c r="L3238" s="23" t="s">
        <v>8</v>
      </c>
      <c r="M3238" s="23" t="s">
        <v>8</v>
      </c>
    </row>
    <row r="3239" spans="1:13" s="21" customFormat="1" x14ac:dyDescent="0.25">
      <c r="A3239" s="22" t="s">
        <v>8</v>
      </c>
      <c r="B3239" s="18" t="str">
        <f>"145671"</f>
        <v>145671</v>
      </c>
      <c r="C3239" s="19" t="s">
        <v>3230</v>
      </c>
      <c r="D3239" s="19" t="s">
        <v>18666</v>
      </c>
      <c r="E3239" s="19" t="s">
        <v>32044</v>
      </c>
      <c r="F3239" s="19" t="s">
        <v>35987</v>
      </c>
      <c r="G3239" s="18" t="str">
        <f>"60473"</f>
        <v>60473</v>
      </c>
      <c r="H3239" s="19" t="s">
        <v>33420</v>
      </c>
      <c r="I3239" s="20">
        <v>24.116</v>
      </c>
      <c r="J3239" s="44" t="s">
        <v>8</v>
      </c>
      <c r="K3239" s="23" t="s">
        <v>8</v>
      </c>
      <c r="L3239" s="23" t="s">
        <v>8</v>
      </c>
      <c r="M3239" s="23" t="s">
        <v>8</v>
      </c>
    </row>
    <row r="3240" spans="1:13" s="21" customFormat="1" x14ac:dyDescent="0.25">
      <c r="A3240" s="22" t="s">
        <v>8</v>
      </c>
      <c r="B3240" s="18" t="str">
        <f>"145673"</f>
        <v>145673</v>
      </c>
      <c r="C3240" s="19" t="s">
        <v>3231</v>
      </c>
      <c r="D3240" s="19" t="s">
        <v>18667</v>
      </c>
      <c r="E3240" s="19" t="s">
        <v>31100</v>
      </c>
      <c r="F3240" s="19" t="s">
        <v>35987</v>
      </c>
      <c r="G3240" s="18" t="str">
        <f>"61530"</f>
        <v>61530</v>
      </c>
      <c r="H3240" s="19" t="s">
        <v>36237</v>
      </c>
      <c r="I3240" s="20">
        <v>19.529</v>
      </c>
      <c r="J3240" s="44" t="s">
        <v>8</v>
      </c>
      <c r="K3240" s="23" t="s">
        <v>8</v>
      </c>
      <c r="L3240" s="23" t="s">
        <v>8</v>
      </c>
      <c r="M3240" s="23" t="s">
        <v>8</v>
      </c>
    </row>
    <row r="3241" spans="1:13" s="21" customFormat="1" x14ac:dyDescent="0.25">
      <c r="A3241" s="22" t="s">
        <v>8</v>
      </c>
      <c r="B3241" s="18" t="str">
        <f>"145674"</f>
        <v>145674</v>
      </c>
      <c r="C3241" s="19" t="s">
        <v>3232</v>
      </c>
      <c r="D3241" s="19" t="s">
        <v>18668</v>
      </c>
      <c r="E3241" s="19" t="s">
        <v>32064</v>
      </c>
      <c r="F3241" s="19" t="s">
        <v>35987</v>
      </c>
      <c r="G3241" s="18" t="str">
        <f>"61752"</f>
        <v>61752</v>
      </c>
      <c r="H3241" s="19" t="s">
        <v>35924</v>
      </c>
      <c r="I3241" s="20">
        <v>20.582999999999998</v>
      </c>
      <c r="J3241" s="44" t="s">
        <v>8</v>
      </c>
      <c r="K3241" s="23" t="s">
        <v>8</v>
      </c>
      <c r="L3241" s="23" t="s">
        <v>8</v>
      </c>
      <c r="M3241" s="23" t="s">
        <v>8</v>
      </c>
    </row>
    <row r="3242" spans="1:13" s="21" customFormat="1" x14ac:dyDescent="0.25">
      <c r="A3242" s="22" t="s">
        <v>8</v>
      </c>
      <c r="B3242" s="18" t="str">
        <f>"145678"</f>
        <v>145678</v>
      </c>
      <c r="C3242" s="19" t="s">
        <v>3233</v>
      </c>
      <c r="D3242" s="19" t="s">
        <v>18669</v>
      </c>
      <c r="E3242" s="19" t="s">
        <v>31971</v>
      </c>
      <c r="F3242" s="19" t="s">
        <v>35987</v>
      </c>
      <c r="G3242" s="18" t="str">
        <f>"60193"</f>
        <v>60193</v>
      </c>
      <c r="H3242" s="19" t="s">
        <v>33420</v>
      </c>
      <c r="I3242" s="20">
        <v>16.323</v>
      </c>
      <c r="J3242" s="44" t="s">
        <v>8</v>
      </c>
      <c r="K3242" s="23" t="s">
        <v>8</v>
      </c>
      <c r="L3242" s="23" t="s">
        <v>8</v>
      </c>
      <c r="M3242" s="23" t="s">
        <v>8</v>
      </c>
    </row>
    <row r="3243" spans="1:13" s="21" customFormat="1" x14ac:dyDescent="0.25">
      <c r="A3243" s="22" t="s">
        <v>8</v>
      </c>
      <c r="B3243" s="18" t="str">
        <f>"145679"</f>
        <v>145679</v>
      </c>
      <c r="C3243" s="19" t="s">
        <v>3234</v>
      </c>
      <c r="D3243" s="19" t="s">
        <v>18670</v>
      </c>
      <c r="E3243" s="19" t="s">
        <v>31934</v>
      </c>
      <c r="F3243" s="19" t="s">
        <v>35987</v>
      </c>
      <c r="G3243" s="18" t="str">
        <f>"60613"</f>
        <v>60613</v>
      </c>
      <c r="H3243" s="19" t="s">
        <v>33420</v>
      </c>
      <c r="I3243" s="20">
        <v>15.069000000000001</v>
      </c>
      <c r="J3243" s="44" t="s">
        <v>8</v>
      </c>
      <c r="K3243" s="23" t="s">
        <v>8</v>
      </c>
      <c r="L3243" s="23" t="s">
        <v>8</v>
      </c>
      <c r="M3243" s="23" t="s">
        <v>8</v>
      </c>
    </row>
    <row r="3244" spans="1:13" s="21" customFormat="1" x14ac:dyDescent="0.25">
      <c r="A3244" s="22" t="s">
        <v>8</v>
      </c>
      <c r="B3244" s="18" t="str">
        <f>"145680"</f>
        <v>145680</v>
      </c>
      <c r="C3244" s="19" t="s">
        <v>3235</v>
      </c>
      <c r="D3244" s="19" t="s">
        <v>18671</v>
      </c>
      <c r="E3244" s="19" t="s">
        <v>31921</v>
      </c>
      <c r="F3244" s="19" t="s">
        <v>35987</v>
      </c>
      <c r="G3244" s="18" t="str">
        <f>"61265"</f>
        <v>61265</v>
      </c>
      <c r="H3244" s="19" t="s">
        <v>31981</v>
      </c>
      <c r="I3244" s="20">
        <v>19.634</v>
      </c>
      <c r="J3244" s="44" t="s">
        <v>8</v>
      </c>
      <c r="K3244" s="23" t="s">
        <v>8</v>
      </c>
      <c r="L3244" s="23" t="s">
        <v>8</v>
      </c>
      <c r="M3244" s="23" t="s">
        <v>8</v>
      </c>
    </row>
    <row r="3245" spans="1:13" s="21" customFormat="1" x14ac:dyDescent="0.25">
      <c r="A3245" s="22" t="s">
        <v>8</v>
      </c>
      <c r="B3245" s="18" t="str">
        <f>"145681"</f>
        <v>145681</v>
      </c>
      <c r="C3245" s="19" t="s">
        <v>3236</v>
      </c>
      <c r="D3245" s="19" t="s">
        <v>18672</v>
      </c>
      <c r="E3245" s="19" t="s">
        <v>32043</v>
      </c>
      <c r="F3245" s="19" t="s">
        <v>35987</v>
      </c>
      <c r="G3245" s="18" t="str">
        <f>"60463"</f>
        <v>60463</v>
      </c>
      <c r="H3245" s="19" t="s">
        <v>33420</v>
      </c>
      <c r="I3245" s="20">
        <v>21.651</v>
      </c>
      <c r="J3245" s="44" t="s">
        <v>8</v>
      </c>
      <c r="K3245" s="23" t="s">
        <v>8</v>
      </c>
      <c r="L3245" s="23" t="s">
        <v>8</v>
      </c>
      <c r="M3245" s="23" t="s">
        <v>8</v>
      </c>
    </row>
    <row r="3246" spans="1:13" s="21" customFormat="1" x14ac:dyDescent="0.25">
      <c r="A3246" s="22" t="s">
        <v>8</v>
      </c>
      <c r="B3246" s="18" t="str">
        <f>"145683"</f>
        <v>145683</v>
      </c>
      <c r="C3246" s="19" t="s">
        <v>3237</v>
      </c>
      <c r="D3246" s="19" t="s">
        <v>18673</v>
      </c>
      <c r="E3246" s="19" t="s">
        <v>31957</v>
      </c>
      <c r="F3246" s="19" t="s">
        <v>35987</v>
      </c>
      <c r="G3246" s="18" t="str">
        <f>"60025"</f>
        <v>60025</v>
      </c>
      <c r="H3246" s="19" t="s">
        <v>33420</v>
      </c>
      <c r="I3246" s="20">
        <v>18.196000000000002</v>
      </c>
      <c r="J3246" s="44" t="s">
        <v>8</v>
      </c>
      <c r="K3246" s="23" t="s">
        <v>8</v>
      </c>
      <c r="L3246" s="23" t="s">
        <v>8</v>
      </c>
      <c r="M3246" s="23" t="s">
        <v>8</v>
      </c>
    </row>
    <row r="3247" spans="1:13" s="21" customFormat="1" x14ac:dyDescent="0.25">
      <c r="A3247" s="22" t="s">
        <v>8</v>
      </c>
      <c r="B3247" s="18" t="str">
        <f>"145684"</f>
        <v>145684</v>
      </c>
      <c r="C3247" s="19" t="s">
        <v>3238</v>
      </c>
      <c r="D3247" s="19" t="s">
        <v>18674</v>
      </c>
      <c r="E3247" s="19" t="s">
        <v>32065</v>
      </c>
      <c r="F3247" s="19" t="s">
        <v>35987</v>
      </c>
      <c r="G3247" s="18" t="str">
        <f>"60430"</f>
        <v>60430</v>
      </c>
      <c r="H3247" s="19" t="s">
        <v>33420</v>
      </c>
      <c r="I3247" s="20">
        <v>22.49</v>
      </c>
      <c r="J3247" s="44" t="s">
        <v>8</v>
      </c>
      <c r="K3247" s="23" t="s">
        <v>8</v>
      </c>
      <c r="L3247" s="23" t="s">
        <v>8</v>
      </c>
      <c r="M3247" s="23" t="s">
        <v>8</v>
      </c>
    </row>
    <row r="3248" spans="1:13" s="21" customFormat="1" x14ac:dyDescent="0.25">
      <c r="A3248" s="22" t="s">
        <v>8</v>
      </c>
      <c r="B3248" s="18" t="str">
        <f>"145685"</f>
        <v>145685</v>
      </c>
      <c r="C3248" s="19" t="s">
        <v>3239</v>
      </c>
      <c r="D3248" s="19" t="s">
        <v>18675</v>
      </c>
      <c r="E3248" s="19" t="s">
        <v>32023</v>
      </c>
      <c r="F3248" s="19" t="s">
        <v>35987</v>
      </c>
      <c r="G3248" s="18" t="str">
        <f>"62864"</f>
        <v>62864</v>
      </c>
      <c r="H3248" s="19" t="s">
        <v>32391</v>
      </c>
      <c r="I3248" s="20">
        <v>23.111999999999998</v>
      </c>
      <c r="J3248" s="44" t="s">
        <v>8</v>
      </c>
      <c r="K3248" s="23" t="s">
        <v>8</v>
      </c>
      <c r="L3248" s="23" t="s">
        <v>8</v>
      </c>
      <c r="M3248" s="23" t="s">
        <v>8</v>
      </c>
    </row>
    <row r="3249" spans="1:13" s="21" customFormat="1" x14ac:dyDescent="0.25">
      <c r="A3249" s="22" t="s">
        <v>8</v>
      </c>
      <c r="B3249" s="18" t="str">
        <f>"145686"</f>
        <v>145686</v>
      </c>
      <c r="C3249" s="19" t="s">
        <v>3240</v>
      </c>
      <c r="D3249" s="19" t="s">
        <v>18676</v>
      </c>
      <c r="E3249" s="19" t="s">
        <v>31951</v>
      </c>
      <c r="F3249" s="19" t="s">
        <v>35987</v>
      </c>
      <c r="G3249" s="18" t="str">
        <f>"61550"</f>
        <v>61550</v>
      </c>
      <c r="H3249" s="19" t="s">
        <v>35147</v>
      </c>
      <c r="I3249" s="20">
        <v>20.375</v>
      </c>
      <c r="J3249" s="44" t="s">
        <v>8</v>
      </c>
      <c r="K3249" s="23" t="s">
        <v>8</v>
      </c>
      <c r="L3249" s="23" t="s">
        <v>8</v>
      </c>
      <c r="M3249" s="23" t="s">
        <v>8</v>
      </c>
    </row>
    <row r="3250" spans="1:13" s="21" customFormat="1" x14ac:dyDescent="0.25">
      <c r="A3250" s="22" t="s">
        <v>8</v>
      </c>
      <c r="B3250" s="18" t="str">
        <f>"145688"</f>
        <v>145688</v>
      </c>
      <c r="C3250" s="19" t="s">
        <v>3241</v>
      </c>
      <c r="D3250" s="19" t="s">
        <v>18677</v>
      </c>
      <c r="E3250" s="19" t="s">
        <v>31934</v>
      </c>
      <c r="F3250" s="19" t="s">
        <v>35987</v>
      </c>
      <c r="G3250" s="18" t="str">
        <f>"60621"</f>
        <v>60621</v>
      </c>
      <c r="H3250" s="19" t="s">
        <v>33420</v>
      </c>
      <c r="I3250" s="20">
        <v>18.239000000000001</v>
      </c>
      <c r="J3250" s="44" t="s">
        <v>8</v>
      </c>
      <c r="K3250" s="23" t="s">
        <v>8</v>
      </c>
      <c r="L3250" s="23" t="s">
        <v>8</v>
      </c>
      <c r="M3250" s="23" t="s">
        <v>8</v>
      </c>
    </row>
    <row r="3251" spans="1:13" s="21" customFormat="1" x14ac:dyDescent="0.25">
      <c r="A3251" s="22" t="s">
        <v>8</v>
      </c>
      <c r="B3251" s="18" t="str">
        <f>"145689"</f>
        <v>145689</v>
      </c>
      <c r="C3251" s="19" t="s">
        <v>3242</v>
      </c>
      <c r="D3251" s="19" t="s">
        <v>18678</v>
      </c>
      <c r="E3251" s="19" t="s">
        <v>32066</v>
      </c>
      <c r="F3251" s="19" t="s">
        <v>35987</v>
      </c>
      <c r="G3251" s="18" t="str">
        <f>"60007"</f>
        <v>60007</v>
      </c>
      <c r="H3251" s="19" t="s">
        <v>33420</v>
      </c>
      <c r="I3251" s="20">
        <v>17.914000000000001</v>
      </c>
      <c r="J3251" s="44" t="s">
        <v>8</v>
      </c>
      <c r="K3251" s="23" t="s">
        <v>8</v>
      </c>
      <c r="L3251" s="23" t="s">
        <v>8</v>
      </c>
      <c r="M3251" s="23" t="s">
        <v>8</v>
      </c>
    </row>
    <row r="3252" spans="1:13" s="21" customFormat="1" x14ac:dyDescent="0.25">
      <c r="A3252" s="22" t="s">
        <v>8</v>
      </c>
      <c r="B3252" s="18" t="str">
        <f>"145690"</f>
        <v>145690</v>
      </c>
      <c r="C3252" s="19" t="s">
        <v>3243</v>
      </c>
      <c r="D3252" s="19" t="s">
        <v>18679</v>
      </c>
      <c r="E3252" s="19" t="s">
        <v>31918</v>
      </c>
      <c r="F3252" s="19" t="s">
        <v>35987</v>
      </c>
      <c r="G3252" s="18" t="str">
        <f>"61401"</f>
        <v>61401</v>
      </c>
      <c r="H3252" s="19" t="s">
        <v>32252</v>
      </c>
      <c r="I3252" s="20">
        <v>21.123000000000001</v>
      </c>
      <c r="J3252" s="44" t="s">
        <v>8</v>
      </c>
      <c r="K3252" s="23" t="s">
        <v>8</v>
      </c>
      <c r="L3252" s="23" t="s">
        <v>8</v>
      </c>
      <c r="M3252" s="23" t="s">
        <v>8</v>
      </c>
    </row>
    <row r="3253" spans="1:13" s="21" customFormat="1" x14ac:dyDescent="0.25">
      <c r="A3253" s="22" t="s">
        <v>8</v>
      </c>
      <c r="B3253" s="18" t="str">
        <f>"145691"</f>
        <v>145691</v>
      </c>
      <c r="C3253" s="19" t="s">
        <v>3244</v>
      </c>
      <c r="D3253" s="19" t="s">
        <v>18680</v>
      </c>
      <c r="E3253" s="19" t="s">
        <v>31959</v>
      </c>
      <c r="F3253" s="19" t="s">
        <v>35987</v>
      </c>
      <c r="G3253" s="18" t="str">
        <f>"61554"</f>
        <v>61554</v>
      </c>
      <c r="H3253" s="19" t="s">
        <v>35147</v>
      </c>
      <c r="I3253" s="20">
        <v>25.728999999999999</v>
      </c>
      <c r="J3253" s="44" t="s">
        <v>8</v>
      </c>
      <c r="K3253" s="23" t="s">
        <v>8</v>
      </c>
      <c r="L3253" s="23" t="s">
        <v>8</v>
      </c>
      <c r="M3253" s="23" t="s">
        <v>8</v>
      </c>
    </row>
    <row r="3254" spans="1:13" s="21" customFormat="1" x14ac:dyDescent="0.25">
      <c r="A3254" s="22" t="s">
        <v>8</v>
      </c>
      <c r="B3254" s="18" t="str">
        <f>"145692"</f>
        <v>145692</v>
      </c>
      <c r="C3254" s="19" t="s">
        <v>3245</v>
      </c>
      <c r="D3254" s="19" t="s">
        <v>18681</v>
      </c>
      <c r="E3254" s="19" t="s">
        <v>32052</v>
      </c>
      <c r="F3254" s="19" t="s">
        <v>35987</v>
      </c>
      <c r="G3254" s="18" t="str">
        <f>"62839"</f>
        <v>62839</v>
      </c>
      <c r="H3254" s="19" t="s">
        <v>36030</v>
      </c>
      <c r="I3254" s="20">
        <v>20.698</v>
      </c>
      <c r="J3254" s="44" t="s">
        <v>8</v>
      </c>
      <c r="K3254" s="23" t="s">
        <v>8</v>
      </c>
      <c r="L3254" s="23" t="s">
        <v>8</v>
      </c>
      <c r="M3254" s="23" t="s">
        <v>8</v>
      </c>
    </row>
    <row r="3255" spans="1:13" s="21" customFormat="1" x14ac:dyDescent="0.25">
      <c r="A3255" s="22" t="s">
        <v>8</v>
      </c>
      <c r="B3255" s="18" t="str">
        <f>"145694"</f>
        <v>145694</v>
      </c>
      <c r="C3255" s="19" t="s">
        <v>3246</v>
      </c>
      <c r="D3255" s="19" t="s">
        <v>18682</v>
      </c>
      <c r="E3255" s="19" t="s">
        <v>31922</v>
      </c>
      <c r="F3255" s="19" t="s">
        <v>35987</v>
      </c>
      <c r="G3255" s="18" t="str">
        <f>"60435"</f>
        <v>60435</v>
      </c>
      <c r="H3255" s="19" t="s">
        <v>36230</v>
      </c>
      <c r="I3255" s="20">
        <v>21.326000000000001</v>
      </c>
      <c r="J3255" s="44" t="s">
        <v>8</v>
      </c>
      <c r="K3255" s="23" t="s">
        <v>8</v>
      </c>
      <c r="L3255" s="23" t="s">
        <v>8</v>
      </c>
      <c r="M3255" s="23" t="s">
        <v>8</v>
      </c>
    </row>
    <row r="3256" spans="1:13" s="21" customFormat="1" x14ac:dyDescent="0.25">
      <c r="A3256" s="22" t="s">
        <v>8</v>
      </c>
      <c r="B3256" s="18" t="str">
        <f>"145696"</f>
        <v>145696</v>
      </c>
      <c r="C3256" s="19" t="s">
        <v>3247</v>
      </c>
      <c r="D3256" s="19" t="s">
        <v>18683</v>
      </c>
      <c r="E3256" s="19" t="s">
        <v>31948</v>
      </c>
      <c r="F3256" s="19" t="s">
        <v>35987</v>
      </c>
      <c r="G3256" s="18" t="str">
        <f>"60714"</f>
        <v>60714</v>
      </c>
      <c r="H3256" s="19" t="s">
        <v>33420</v>
      </c>
      <c r="I3256" s="20">
        <v>18.088000000000001</v>
      </c>
      <c r="J3256" s="44" t="s">
        <v>8</v>
      </c>
      <c r="K3256" s="23" t="s">
        <v>8</v>
      </c>
      <c r="L3256" s="23" t="s">
        <v>8</v>
      </c>
      <c r="M3256" s="23" t="s">
        <v>8</v>
      </c>
    </row>
    <row r="3257" spans="1:13" s="21" customFormat="1" x14ac:dyDescent="0.25">
      <c r="A3257" s="22" t="s">
        <v>8</v>
      </c>
      <c r="B3257" s="18" t="str">
        <f>"145697"</f>
        <v>145697</v>
      </c>
      <c r="C3257" s="19" t="s">
        <v>3248</v>
      </c>
      <c r="D3257" s="19" t="s">
        <v>18684</v>
      </c>
      <c r="E3257" s="19" t="s">
        <v>32067</v>
      </c>
      <c r="F3257" s="19" t="s">
        <v>35987</v>
      </c>
      <c r="G3257" s="18" t="str">
        <f>"61448"</f>
        <v>61448</v>
      </c>
      <c r="H3257" s="19" t="s">
        <v>32252</v>
      </c>
      <c r="I3257" s="20">
        <v>17.638000000000002</v>
      </c>
      <c r="J3257" s="44" t="s">
        <v>8</v>
      </c>
      <c r="K3257" s="23" t="s">
        <v>8</v>
      </c>
      <c r="L3257" s="23" t="s">
        <v>8</v>
      </c>
      <c r="M3257" s="23" t="s">
        <v>8</v>
      </c>
    </row>
    <row r="3258" spans="1:13" s="21" customFormat="1" x14ac:dyDescent="0.25">
      <c r="A3258" s="22" t="s">
        <v>8</v>
      </c>
      <c r="B3258" s="18" t="str">
        <f>"145699"</f>
        <v>145699</v>
      </c>
      <c r="C3258" s="19" t="s">
        <v>3249</v>
      </c>
      <c r="D3258" s="19" t="s">
        <v>18685</v>
      </c>
      <c r="E3258" s="19" t="s">
        <v>31915</v>
      </c>
      <c r="F3258" s="19" t="s">
        <v>35987</v>
      </c>
      <c r="G3258" s="18" t="str">
        <f>"60123"</f>
        <v>60123</v>
      </c>
      <c r="H3258" s="19" t="s">
        <v>34788</v>
      </c>
      <c r="I3258" s="20">
        <v>16.832999999999998</v>
      </c>
      <c r="J3258" s="44" t="s">
        <v>8</v>
      </c>
      <c r="K3258" s="23" t="s">
        <v>8</v>
      </c>
      <c r="L3258" s="23" t="s">
        <v>8</v>
      </c>
      <c r="M3258" s="23" t="s">
        <v>8</v>
      </c>
    </row>
    <row r="3259" spans="1:13" s="21" customFormat="1" x14ac:dyDescent="0.25">
      <c r="A3259" s="22" t="s">
        <v>8</v>
      </c>
      <c r="B3259" s="18" t="str">
        <f>"145700"</f>
        <v>145700</v>
      </c>
      <c r="C3259" s="19" t="s">
        <v>3250</v>
      </c>
      <c r="D3259" s="19" t="s">
        <v>18686</v>
      </c>
      <c r="E3259" s="19" t="s">
        <v>32054</v>
      </c>
      <c r="F3259" s="19" t="s">
        <v>35987</v>
      </c>
      <c r="G3259" s="18" t="str">
        <f>"60415"</f>
        <v>60415</v>
      </c>
      <c r="H3259" s="19" t="s">
        <v>33420</v>
      </c>
      <c r="I3259" s="20">
        <v>23.093</v>
      </c>
      <c r="J3259" s="44" t="s">
        <v>8</v>
      </c>
      <c r="K3259" s="23" t="s">
        <v>8</v>
      </c>
      <c r="L3259" s="23" t="s">
        <v>8</v>
      </c>
      <c r="M3259" s="23" t="s">
        <v>8</v>
      </c>
    </row>
    <row r="3260" spans="1:13" s="21" customFormat="1" x14ac:dyDescent="0.25">
      <c r="A3260" s="22" t="s">
        <v>8</v>
      </c>
      <c r="B3260" s="18" t="str">
        <f>"145701"</f>
        <v>145701</v>
      </c>
      <c r="C3260" s="19" t="s">
        <v>3251</v>
      </c>
      <c r="D3260" s="19" t="s">
        <v>18687</v>
      </c>
      <c r="E3260" s="19" t="s">
        <v>32068</v>
      </c>
      <c r="F3260" s="19" t="s">
        <v>35987</v>
      </c>
      <c r="G3260" s="18" t="str">
        <f>"60107"</f>
        <v>60107</v>
      </c>
      <c r="H3260" s="19" t="s">
        <v>33420</v>
      </c>
      <c r="I3260" s="20">
        <v>15.44</v>
      </c>
      <c r="J3260" s="44" t="s">
        <v>8</v>
      </c>
      <c r="K3260" s="23" t="s">
        <v>8</v>
      </c>
      <c r="L3260" s="23" t="s">
        <v>8</v>
      </c>
      <c r="M3260" s="23" t="s">
        <v>8</v>
      </c>
    </row>
    <row r="3261" spans="1:13" s="21" customFormat="1" x14ac:dyDescent="0.25">
      <c r="A3261" s="22" t="s">
        <v>8</v>
      </c>
      <c r="B3261" s="18" t="str">
        <f>"145702"</f>
        <v>145702</v>
      </c>
      <c r="C3261" s="19" t="s">
        <v>3252</v>
      </c>
      <c r="D3261" s="19" t="s">
        <v>18688</v>
      </c>
      <c r="E3261" s="19" t="s">
        <v>32069</v>
      </c>
      <c r="F3261" s="19" t="s">
        <v>35987</v>
      </c>
      <c r="G3261" s="18" t="str">
        <f>"61080"</f>
        <v>61080</v>
      </c>
      <c r="H3261" s="19" t="s">
        <v>36233</v>
      </c>
      <c r="I3261" s="20">
        <v>17.135999999999999</v>
      </c>
      <c r="J3261" s="44" t="s">
        <v>8</v>
      </c>
      <c r="K3261" s="23" t="s">
        <v>8</v>
      </c>
      <c r="L3261" s="23" t="s">
        <v>8</v>
      </c>
      <c r="M3261" s="23" t="s">
        <v>8</v>
      </c>
    </row>
    <row r="3262" spans="1:13" s="21" customFormat="1" x14ac:dyDescent="0.25">
      <c r="A3262" s="22" t="s">
        <v>8</v>
      </c>
      <c r="B3262" s="18" t="str">
        <f>"145703"</f>
        <v>145703</v>
      </c>
      <c r="C3262" s="19" t="s">
        <v>3253</v>
      </c>
      <c r="D3262" s="19" t="s">
        <v>18689</v>
      </c>
      <c r="E3262" s="19" t="s">
        <v>32070</v>
      </c>
      <c r="F3262" s="19" t="s">
        <v>35987</v>
      </c>
      <c r="G3262" s="18" t="str">
        <f>"61282"</f>
        <v>61282</v>
      </c>
      <c r="H3262" s="19" t="s">
        <v>31981</v>
      </c>
      <c r="I3262" s="20">
        <v>19.832999999999998</v>
      </c>
      <c r="J3262" s="44" t="s">
        <v>8</v>
      </c>
      <c r="K3262" s="23" t="s">
        <v>8</v>
      </c>
      <c r="L3262" s="23" t="s">
        <v>8</v>
      </c>
      <c r="M3262" s="23" t="s">
        <v>8</v>
      </c>
    </row>
    <row r="3263" spans="1:13" s="21" customFormat="1" x14ac:dyDescent="0.25">
      <c r="A3263" s="22" t="s">
        <v>8</v>
      </c>
      <c r="B3263" s="18" t="str">
        <f>"145704"</f>
        <v>145704</v>
      </c>
      <c r="C3263" s="19" t="s">
        <v>3254</v>
      </c>
      <c r="D3263" s="19" t="s">
        <v>18690</v>
      </c>
      <c r="E3263" s="19" t="s">
        <v>30859</v>
      </c>
      <c r="F3263" s="19" t="s">
        <v>35987</v>
      </c>
      <c r="G3263" s="18" t="str">
        <f>"61561"</f>
        <v>61561</v>
      </c>
      <c r="H3263" s="19" t="s">
        <v>36237</v>
      </c>
      <c r="I3263" s="20">
        <v>19.026</v>
      </c>
      <c r="J3263" s="44" t="s">
        <v>8</v>
      </c>
      <c r="K3263" s="23" t="s">
        <v>8</v>
      </c>
      <c r="L3263" s="23" t="s">
        <v>8</v>
      </c>
      <c r="M3263" s="23" t="s">
        <v>8</v>
      </c>
    </row>
    <row r="3264" spans="1:13" s="21" customFormat="1" x14ac:dyDescent="0.25">
      <c r="A3264" s="22" t="s">
        <v>8</v>
      </c>
      <c r="B3264" s="18" t="str">
        <f>"145705"</f>
        <v>145705</v>
      </c>
      <c r="C3264" s="19" t="s">
        <v>3255</v>
      </c>
      <c r="D3264" s="19" t="s">
        <v>18691</v>
      </c>
      <c r="E3264" s="19" t="s">
        <v>32071</v>
      </c>
      <c r="F3264" s="19" t="s">
        <v>35987</v>
      </c>
      <c r="G3264" s="18" t="str">
        <f>"62205"</f>
        <v>62205</v>
      </c>
      <c r="H3264" s="19" t="s">
        <v>33662</v>
      </c>
      <c r="I3264" s="20">
        <v>20.102</v>
      </c>
      <c r="J3264" s="44" t="s">
        <v>8</v>
      </c>
      <c r="K3264" s="23" t="s">
        <v>8</v>
      </c>
      <c r="L3264" s="23" t="s">
        <v>8</v>
      </c>
      <c r="M3264" s="23" t="s">
        <v>8</v>
      </c>
    </row>
    <row r="3265" spans="1:13" s="21" customFormat="1" x14ac:dyDescent="0.25">
      <c r="A3265" s="22" t="s">
        <v>8</v>
      </c>
      <c r="B3265" s="18" t="str">
        <f>"145706"</f>
        <v>145706</v>
      </c>
      <c r="C3265" s="19" t="s">
        <v>3256</v>
      </c>
      <c r="D3265" s="19" t="s">
        <v>18692</v>
      </c>
      <c r="E3265" s="19" t="s">
        <v>4</v>
      </c>
      <c r="F3265" s="19" t="s">
        <v>35987</v>
      </c>
      <c r="G3265" s="18" t="str">
        <f>"60015"</f>
        <v>60015</v>
      </c>
      <c r="H3265" s="19" t="s">
        <v>36096</v>
      </c>
      <c r="I3265" s="20">
        <v>20.311</v>
      </c>
      <c r="J3265" s="44" t="s">
        <v>8</v>
      </c>
      <c r="K3265" s="23" t="s">
        <v>8</v>
      </c>
      <c r="L3265" s="23" t="s">
        <v>8</v>
      </c>
      <c r="M3265" s="23" t="s">
        <v>8</v>
      </c>
    </row>
    <row r="3266" spans="1:13" s="21" customFormat="1" x14ac:dyDescent="0.25">
      <c r="A3266" s="22" t="s">
        <v>8</v>
      </c>
      <c r="B3266" s="18" t="str">
        <f>"145708"</f>
        <v>145708</v>
      </c>
      <c r="C3266" s="19" t="s">
        <v>3257</v>
      </c>
      <c r="D3266" s="19" t="s">
        <v>18693</v>
      </c>
      <c r="E3266" s="19" t="s">
        <v>32072</v>
      </c>
      <c r="F3266" s="19" t="s">
        <v>35987</v>
      </c>
      <c r="G3266" s="18" t="str">
        <f>"61847"</f>
        <v>61847</v>
      </c>
      <c r="H3266" s="19" t="s">
        <v>31939</v>
      </c>
      <c r="I3266" s="20">
        <v>17.844000000000001</v>
      </c>
      <c r="J3266" s="44" t="s">
        <v>8</v>
      </c>
      <c r="K3266" s="23" t="s">
        <v>8</v>
      </c>
      <c r="L3266" s="23" t="s">
        <v>8</v>
      </c>
      <c r="M3266" s="23" t="s">
        <v>8</v>
      </c>
    </row>
    <row r="3267" spans="1:13" s="21" customFormat="1" x14ac:dyDescent="0.25">
      <c r="A3267" s="22" t="s">
        <v>8</v>
      </c>
      <c r="B3267" s="18" t="str">
        <f>"145710"</f>
        <v>145710</v>
      </c>
      <c r="C3267" s="19" t="s">
        <v>3258</v>
      </c>
      <c r="D3267" s="19" t="s">
        <v>18694</v>
      </c>
      <c r="E3267" s="19" t="s">
        <v>32073</v>
      </c>
      <c r="F3267" s="19" t="s">
        <v>35987</v>
      </c>
      <c r="G3267" s="18" t="str">
        <f>"60440"</f>
        <v>60440</v>
      </c>
      <c r="H3267" s="19" t="s">
        <v>36230</v>
      </c>
      <c r="I3267" s="20">
        <v>20.02</v>
      </c>
      <c r="J3267" s="44" t="s">
        <v>8</v>
      </c>
      <c r="K3267" s="23" t="s">
        <v>8</v>
      </c>
      <c r="L3267" s="23" t="s">
        <v>8</v>
      </c>
      <c r="M3267" s="23" t="s">
        <v>8</v>
      </c>
    </row>
    <row r="3268" spans="1:13" s="21" customFormat="1" x14ac:dyDescent="0.25">
      <c r="A3268" s="22" t="s">
        <v>8</v>
      </c>
      <c r="B3268" s="18" t="str">
        <f>"145711"</f>
        <v>145711</v>
      </c>
      <c r="C3268" s="19" t="s">
        <v>3259</v>
      </c>
      <c r="D3268" s="19" t="s">
        <v>18695</v>
      </c>
      <c r="E3268" s="19" t="s">
        <v>31932</v>
      </c>
      <c r="F3268" s="19" t="s">
        <v>35987</v>
      </c>
      <c r="G3268" s="18" t="str">
        <f>"60126"</f>
        <v>60126</v>
      </c>
      <c r="H3268" s="19" t="s">
        <v>36231</v>
      </c>
      <c r="I3268" s="20">
        <v>20.797000000000001</v>
      </c>
      <c r="J3268" s="44" t="s">
        <v>8</v>
      </c>
      <c r="K3268" s="23" t="s">
        <v>8</v>
      </c>
      <c r="L3268" s="23" t="s">
        <v>8</v>
      </c>
      <c r="M3268" s="23" t="s">
        <v>8</v>
      </c>
    </row>
    <row r="3269" spans="1:13" s="21" customFormat="1" x14ac:dyDescent="0.25">
      <c r="A3269" s="22" t="s">
        <v>8</v>
      </c>
      <c r="B3269" s="18" t="str">
        <f>"145712"</f>
        <v>145712</v>
      </c>
      <c r="C3269" s="19" t="s">
        <v>3260</v>
      </c>
      <c r="D3269" s="19" t="s">
        <v>18696</v>
      </c>
      <c r="E3269" s="19" t="s">
        <v>32074</v>
      </c>
      <c r="F3269" s="19" t="s">
        <v>35987</v>
      </c>
      <c r="G3269" s="18" t="str">
        <f>"60548"</f>
        <v>60548</v>
      </c>
      <c r="H3269" s="19" t="s">
        <v>31954</v>
      </c>
      <c r="I3269" s="20">
        <v>17.704999999999998</v>
      </c>
      <c r="J3269" s="44" t="s">
        <v>8</v>
      </c>
      <c r="K3269" s="23" t="s">
        <v>8</v>
      </c>
      <c r="L3269" s="23" t="s">
        <v>8</v>
      </c>
      <c r="M3269" s="23" t="s">
        <v>8</v>
      </c>
    </row>
    <row r="3270" spans="1:13" s="21" customFormat="1" x14ac:dyDescent="0.25">
      <c r="A3270" s="22" t="s">
        <v>8</v>
      </c>
      <c r="B3270" s="18" t="str">
        <f>"145713"</f>
        <v>145713</v>
      </c>
      <c r="C3270" s="19" t="s">
        <v>3261</v>
      </c>
      <c r="D3270" s="19" t="s">
        <v>18697</v>
      </c>
      <c r="E3270" s="19" t="s">
        <v>32075</v>
      </c>
      <c r="F3270" s="19" t="s">
        <v>35987</v>
      </c>
      <c r="G3270" s="18" t="str">
        <f>"60954"</f>
        <v>60954</v>
      </c>
      <c r="H3270" s="19" t="s">
        <v>31924</v>
      </c>
      <c r="I3270" s="20">
        <v>21.907</v>
      </c>
      <c r="J3270" s="44" t="s">
        <v>8</v>
      </c>
      <c r="K3270" s="23" t="s">
        <v>8</v>
      </c>
      <c r="L3270" s="23" t="s">
        <v>8</v>
      </c>
      <c r="M3270" s="23" t="s">
        <v>8</v>
      </c>
    </row>
    <row r="3271" spans="1:13" s="21" customFormat="1" x14ac:dyDescent="0.25">
      <c r="A3271" s="22" t="s">
        <v>8</v>
      </c>
      <c r="B3271" s="18" t="str">
        <f>"145714"</f>
        <v>145714</v>
      </c>
      <c r="C3271" s="19" t="s">
        <v>3262</v>
      </c>
      <c r="D3271" s="19" t="s">
        <v>18698</v>
      </c>
      <c r="E3271" s="19" t="s">
        <v>243</v>
      </c>
      <c r="F3271" s="19" t="s">
        <v>35987</v>
      </c>
      <c r="G3271" s="18" t="str">
        <f>"60302"</f>
        <v>60302</v>
      </c>
      <c r="H3271" s="19" t="s">
        <v>33420</v>
      </c>
      <c r="I3271" s="20">
        <v>21.143000000000001</v>
      </c>
      <c r="J3271" s="44" t="s">
        <v>8</v>
      </c>
      <c r="K3271" s="23" t="s">
        <v>8</v>
      </c>
      <c r="L3271" s="23" t="s">
        <v>8</v>
      </c>
      <c r="M3271" s="23" t="s">
        <v>8</v>
      </c>
    </row>
    <row r="3272" spans="1:13" s="21" customFormat="1" x14ac:dyDescent="0.25">
      <c r="A3272" s="22" t="s">
        <v>8</v>
      </c>
      <c r="B3272" s="18" t="str">
        <f>"145715"</f>
        <v>145715</v>
      </c>
      <c r="C3272" s="19" t="s">
        <v>3263</v>
      </c>
      <c r="D3272" s="19" t="s">
        <v>18699</v>
      </c>
      <c r="E3272" s="19" t="s">
        <v>31926</v>
      </c>
      <c r="F3272" s="19" t="s">
        <v>35987</v>
      </c>
      <c r="G3272" s="18" t="str">
        <f>"60187"</f>
        <v>60187</v>
      </c>
      <c r="H3272" s="19" t="s">
        <v>36231</v>
      </c>
      <c r="I3272" s="20">
        <v>18.596</v>
      </c>
      <c r="J3272" s="44" t="s">
        <v>8</v>
      </c>
      <c r="K3272" s="23" t="s">
        <v>8</v>
      </c>
      <c r="L3272" s="23" t="s">
        <v>8</v>
      </c>
      <c r="M3272" s="23" t="s">
        <v>8</v>
      </c>
    </row>
    <row r="3273" spans="1:13" s="21" customFormat="1" x14ac:dyDescent="0.25">
      <c r="A3273" s="22" t="s">
        <v>8</v>
      </c>
      <c r="B3273" s="18" t="str">
        <f>"145717"</f>
        <v>145717</v>
      </c>
      <c r="C3273" s="19" t="s">
        <v>3264</v>
      </c>
      <c r="D3273" s="19" t="s">
        <v>18700</v>
      </c>
      <c r="E3273" s="19" t="s">
        <v>32076</v>
      </c>
      <c r="F3273" s="19" t="s">
        <v>35987</v>
      </c>
      <c r="G3273" s="18" t="str">
        <f>"62236"</f>
        <v>62236</v>
      </c>
      <c r="H3273" s="19" t="s">
        <v>31711</v>
      </c>
      <c r="I3273" s="20">
        <v>20.414999999999999</v>
      </c>
      <c r="J3273" s="44" t="s">
        <v>8</v>
      </c>
      <c r="K3273" s="23" t="s">
        <v>8</v>
      </c>
      <c r="L3273" s="23" t="s">
        <v>8</v>
      </c>
      <c r="M3273" s="23" t="s">
        <v>8</v>
      </c>
    </row>
    <row r="3274" spans="1:13" s="21" customFormat="1" x14ac:dyDescent="0.25">
      <c r="A3274" s="22" t="s">
        <v>8</v>
      </c>
      <c r="B3274" s="18" t="str">
        <f>"145718"</f>
        <v>145718</v>
      </c>
      <c r="C3274" s="19" t="s">
        <v>3265</v>
      </c>
      <c r="D3274" s="19" t="s">
        <v>18701</v>
      </c>
      <c r="E3274" s="19" t="s">
        <v>32077</v>
      </c>
      <c r="F3274" s="19" t="s">
        <v>35987</v>
      </c>
      <c r="G3274" s="18" t="str">
        <f>"60445"</f>
        <v>60445</v>
      </c>
      <c r="H3274" s="19" t="s">
        <v>33420</v>
      </c>
      <c r="I3274" s="20">
        <v>17.832999999999998</v>
      </c>
      <c r="J3274" s="44" t="s">
        <v>8</v>
      </c>
      <c r="K3274" s="23" t="s">
        <v>8</v>
      </c>
      <c r="L3274" s="23" t="s">
        <v>8</v>
      </c>
      <c r="M3274" s="23" t="s">
        <v>8</v>
      </c>
    </row>
    <row r="3275" spans="1:13" s="21" customFormat="1" x14ac:dyDescent="0.25">
      <c r="A3275" s="22" t="s">
        <v>8</v>
      </c>
      <c r="B3275" s="18" t="str">
        <f>"145719"</f>
        <v>145719</v>
      </c>
      <c r="C3275" s="19" t="s">
        <v>3266</v>
      </c>
      <c r="D3275" s="19" t="s">
        <v>18702</v>
      </c>
      <c r="E3275" s="19" t="s">
        <v>31995</v>
      </c>
      <c r="F3275" s="19" t="s">
        <v>35987</v>
      </c>
      <c r="G3275" s="18" t="str">
        <f>"62656"</f>
        <v>62656</v>
      </c>
      <c r="H3275" s="19" t="s">
        <v>32373</v>
      </c>
      <c r="I3275" s="20">
        <v>20.670999999999999</v>
      </c>
      <c r="J3275" s="44" t="s">
        <v>8</v>
      </c>
      <c r="K3275" s="23" t="s">
        <v>8</v>
      </c>
      <c r="L3275" s="23" t="s">
        <v>8</v>
      </c>
      <c r="M3275" s="23" t="s">
        <v>8</v>
      </c>
    </row>
    <row r="3276" spans="1:13" s="21" customFormat="1" x14ac:dyDescent="0.25">
      <c r="A3276" s="22" t="s">
        <v>8</v>
      </c>
      <c r="B3276" s="18" t="str">
        <f>"145720"</f>
        <v>145720</v>
      </c>
      <c r="C3276" s="19" t="s">
        <v>3267</v>
      </c>
      <c r="D3276" s="19" t="s">
        <v>18703</v>
      </c>
      <c r="E3276" s="19" t="s">
        <v>31995</v>
      </c>
      <c r="F3276" s="19" t="s">
        <v>35987</v>
      </c>
      <c r="G3276" s="18" t="str">
        <f>"62656"</f>
        <v>62656</v>
      </c>
      <c r="H3276" s="19" t="s">
        <v>32373</v>
      </c>
      <c r="I3276" s="20">
        <v>18.765999999999998</v>
      </c>
      <c r="J3276" s="44" t="s">
        <v>8</v>
      </c>
      <c r="K3276" s="23" t="s">
        <v>8</v>
      </c>
      <c r="L3276" s="23" t="s">
        <v>8</v>
      </c>
      <c r="M3276" s="23" t="s">
        <v>8</v>
      </c>
    </row>
    <row r="3277" spans="1:13" s="21" customFormat="1" x14ac:dyDescent="0.25">
      <c r="A3277" s="22" t="s">
        <v>8</v>
      </c>
      <c r="B3277" s="18" t="str">
        <f>"145721"</f>
        <v>145721</v>
      </c>
      <c r="C3277" s="19" t="s">
        <v>3268</v>
      </c>
      <c r="D3277" s="19" t="s">
        <v>18704</v>
      </c>
      <c r="E3277" s="19" t="s">
        <v>32078</v>
      </c>
      <c r="F3277" s="19" t="s">
        <v>35987</v>
      </c>
      <c r="G3277" s="18" t="str">
        <f>"62684"</f>
        <v>62684</v>
      </c>
      <c r="H3277" s="19" t="s">
        <v>36232</v>
      </c>
      <c r="I3277" s="20">
        <v>20.219000000000001</v>
      </c>
      <c r="J3277" s="44" t="s">
        <v>8</v>
      </c>
      <c r="K3277" s="23" t="s">
        <v>8</v>
      </c>
      <c r="L3277" s="23" t="s">
        <v>8</v>
      </c>
      <c r="M3277" s="23" t="s">
        <v>8</v>
      </c>
    </row>
    <row r="3278" spans="1:13" s="21" customFormat="1" x14ac:dyDescent="0.25">
      <c r="A3278" s="22" t="s">
        <v>8</v>
      </c>
      <c r="B3278" s="18" t="str">
        <f>"145722"</f>
        <v>145722</v>
      </c>
      <c r="C3278" s="19" t="s">
        <v>3269</v>
      </c>
      <c r="D3278" s="19" t="s">
        <v>18705</v>
      </c>
      <c r="E3278" s="19" t="s">
        <v>31746</v>
      </c>
      <c r="F3278" s="19" t="s">
        <v>35987</v>
      </c>
      <c r="G3278" s="18" t="str">
        <f>"62439"</f>
        <v>62439</v>
      </c>
      <c r="H3278" s="19" t="s">
        <v>32568</v>
      </c>
      <c r="I3278" s="20">
        <v>16.814</v>
      </c>
      <c r="J3278" s="44" t="s">
        <v>8</v>
      </c>
      <c r="K3278" s="23" t="s">
        <v>8</v>
      </c>
      <c r="L3278" s="23" t="s">
        <v>8</v>
      </c>
      <c r="M3278" s="23" t="s">
        <v>8</v>
      </c>
    </row>
    <row r="3279" spans="1:13" s="21" customFormat="1" x14ac:dyDescent="0.25">
      <c r="A3279" s="22" t="s">
        <v>8</v>
      </c>
      <c r="B3279" s="18" t="str">
        <f>"145724"</f>
        <v>145724</v>
      </c>
      <c r="C3279" s="19" t="s">
        <v>3270</v>
      </c>
      <c r="D3279" s="19" t="s">
        <v>18706</v>
      </c>
      <c r="E3279" s="19" t="s">
        <v>32079</v>
      </c>
      <c r="F3279" s="19" t="s">
        <v>35987</v>
      </c>
      <c r="G3279" s="18" t="str">
        <f>"60090"</f>
        <v>60090</v>
      </c>
      <c r="H3279" s="19" t="s">
        <v>33420</v>
      </c>
      <c r="I3279" s="20">
        <v>16.736999999999998</v>
      </c>
      <c r="J3279" s="44" t="s">
        <v>8</v>
      </c>
      <c r="K3279" s="23" t="s">
        <v>8</v>
      </c>
      <c r="L3279" s="23" t="s">
        <v>8</v>
      </c>
      <c r="M3279" s="23" t="s">
        <v>8</v>
      </c>
    </row>
    <row r="3280" spans="1:13" s="21" customFormat="1" x14ac:dyDescent="0.25">
      <c r="A3280" s="22" t="s">
        <v>8</v>
      </c>
      <c r="B3280" s="18" t="str">
        <f>"145726"</f>
        <v>145726</v>
      </c>
      <c r="C3280" s="19" t="s">
        <v>3271</v>
      </c>
      <c r="D3280" s="19" t="s">
        <v>18707</v>
      </c>
      <c r="E3280" s="19" t="s">
        <v>32080</v>
      </c>
      <c r="F3280" s="19" t="s">
        <v>35987</v>
      </c>
      <c r="G3280" s="18" t="str">
        <f>"62320"</f>
        <v>62320</v>
      </c>
      <c r="H3280" s="19" t="s">
        <v>33467</v>
      </c>
      <c r="I3280" s="20">
        <v>18.375</v>
      </c>
      <c r="J3280" s="44" t="s">
        <v>8</v>
      </c>
      <c r="K3280" s="23" t="s">
        <v>8</v>
      </c>
      <c r="L3280" s="23" t="s">
        <v>8</v>
      </c>
      <c r="M3280" s="23" t="s">
        <v>8</v>
      </c>
    </row>
    <row r="3281" spans="1:13" s="21" customFormat="1" x14ac:dyDescent="0.25">
      <c r="A3281" s="22" t="s">
        <v>8</v>
      </c>
      <c r="B3281" s="18" t="str">
        <f>"145727"</f>
        <v>145727</v>
      </c>
      <c r="C3281" s="19" t="s">
        <v>3272</v>
      </c>
      <c r="D3281" s="19" t="s">
        <v>18708</v>
      </c>
      <c r="E3281" s="19" t="s">
        <v>32081</v>
      </c>
      <c r="F3281" s="19" t="s">
        <v>35987</v>
      </c>
      <c r="G3281" s="18" t="str">
        <f>"61064"</f>
        <v>61064</v>
      </c>
      <c r="H3281" s="19" t="s">
        <v>36229</v>
      </c>
      <c r="I3281" s="20">
        <v>17.802</v>
      </c>
      <c r="J3281" s="44" t="s">
        <v>8</v>
      </c>
      <c r="K3281" s="23" t="s">
        <v>8</v>
      </c>
      <c r="L3281" s="23" t="s">
        <v>8</v>
      </c>
      <c r="M3281" s="23" t="s">
        <v>8</v>
      </c>
    </row>
    <row r="3282" spans="1:13" s="21" customFormat="1" x14ac:dyDescent="0.25">
      <c r="A3282" s="22" t="s">
        <v>8</v>
      </c>
      <c r="B3282" s="18" t="str">
        <f>"145728"</f>
        <v>145728</v>
      </c>
      <c r="C3282" s="19" t="s">
        <v>3273</v>
      </c>
      <c r="D3282" s="19" t="s">
        <v>18709</v>
      </c>
      <c r="E3282" s="19" t="s">
        <v>32082</v>
      </c>
      <c r="F3282" s="19" t="s">
        <v>35987</v>
      </c>
      <c r="G3282" s="18" t="str">
        <f>"62062"</f>
        <v>62062</v>
      </c>
      <c r="H3282" s="19" t="s">
        <v>30899</v>
      </c>
      <c r="I3282" s="20">
        <v>19.09</v>
      </c>
      <c r="J3282" s="44" t="s">
        <v>8</v>
      </c>
      <c r="K3282" s="23" t="s">
        <v>8</v>
      </c>
      <c r="L3282" s="23" t="s">
        <v>8</v>
      </c>
      <c r="M3282" s="23" t="s">
        <v>8</v>
      </c>
    </row>
    <row r="3283" spans="1:13" s="21" customFormat="1" x14ac:dyDescent="0.25">
      <c r="A3283" s="22" t="s">
        <v>8</v>
      </c>
      <c r="B3283" s="18" t="str">
        <f>"145729"</f>
        <v>145729</v>
      </c>
      <c r="C3283" s="19" t="s">
        <v>3274</v>
      </c>
      <c r="D3283" s="19" t="s">
        <v>18710</v>
      </c>
      <c r="E3283" s="19" t="s">
        <v>32083</v>
      </c>
      <c r="F3283" s="19" t="s">
        <v>35987</v>
      </c>
      <c r="G3283" s="18" t="str">
        <f>"62231"</f>
        <v>62231</v>
      </c>
      <c r="H3283" s="19" t="s">
        <v>31081</v>
      </c>
      <c r="I3283" s="20">
        <v>19.065999999999999</v>
      </c>
      <c r="J3283" s="44" t="s">
        <v>8</v>
      </c>
      <c r="K3283" s="23" t="s">
        <v>8</v>
      </c>
      <c r="L3283" s="23" t="s">
        <v>8</v>
      </c>
      <c r="M3283" s="23" t="s">
        <v>8</v>
      </c>
    </row>
    <row r="3284" spans="1:13" s="21" customFormat="1" x14ac:dyDescent="0.25">
      <c r="A3284" s="22" t="s">
        <v>8</v>
      </c>
      <c r="B3284" s="18" t="str">
        <f>"145730"</f>
        <v>145730</v>
      </c>
      <c r="C3284" s="19" t="s">
        <v>3275</v>
      </c>
      <c r="D3284" s="19" t="s">
        <v>18711</v>
      </c>
      <c r="E3284" s="19" t="s">
        <v>31934</v>
      </c>
      <c r="F3284" s="19" t="s">
        <v>35987</v>
      </c>
      <c r="G3284" s="18" t="str">
        <f>"60625"</f>
        <v>60625</v>
      </c>
      <c r="H3284" s="19" t="s">
        <v>33420</v>
      </c>
      <c r="I3284" s="20">
        <v>23.271000000000001</v>
      </c>
      <c r="J3284" s="44" t="s">
        <v>8</v>
      </c>
      <c r="K3284" s="23" t="s">
        <v>8</v>
      </c>
      <c r="L3284" s="23" t="s">
        <v>8</v>
      </c>
      <c r="M3284" s="23" t="s">
        <v>8</v>
      </c>
    </row>
    <row r="3285" spans="1:13" s="21" customFormat="1" x14ac:dyDescent="0.25">
      <c r="A3285" s="22" t="s">
        <v>8</v>
      </c>
      <c r="B3285" s="18" t="str">
        <f>"145731"</f>
        <v>145731</v>
      </c>
      <c r="C3285" s="19" t="s">
        <v>3276</v>
      </c>
      <c r="D3285" s="19" t="s">
        <v>18712</v>
      </c>
      <c r="E3285" s="19" t="s">
        <v>31948</v>
      </c>
      <c r="F3285" s="19" t="s">
        <v>35987</v>
      </c>
      <c r="G3285" s="18" t="str">
        <f>"60714"</f>
        <v>60714</v>
      </c>
      <c r="H3285" s="19" t="s">
        <v>33420</v>
      </c>
      <c r="I3285" s="20">
        <v>18.995000000000001</v>
      </c>
      <c r="J3285" s="44" t="s">
        <v>8</v>
      </c>
      <c r="K3285" s="23" t="s">
        <v>8</v>
      </c>
      <c r="L3285" s="23" t="s">
        <v>8</v>
      </c>
      <c r="M3285" s="23" t="s">
        <v>8</v>
      </c>
    </row>
    <row r="3286" spans="1:13" s="21" customFormat="1" x14ac:dyDescent="0.25">
      <c r="A3286" s="22" t="s">
        <v>8</v>
      </c>
      <c r="B3286" s="18" t="str">
        <f>"145732"</f>
        <v>145732</v>
      </c>
      <c r="C3286" s="19" t="s">
        <v>3277</v>
      </c>
      <c r="D3286" s="19" t="s">
        <v>18713</v>
      </c>
      <c r="E3286" s="19" t="s">
        <v>31923</v>
      </c>
      <c r="F3286" s="19" t="s">
        <v>35987</v>
      </c>
      <c r="G3286" s="18" t="str">
        <f>"61761"</f>
        <v>61761</v>
      </c>
      <c r="H3286" s="19" t="s">
        <v>35924</v>
      </c>
      <c r="I3286" s="20">
        <v>15.635</v>
      </c>
      <c r="J3286" s="44" t="s">
        <v>8</v>
      </c>
      <c r="K3286" s="23" t="s">
        <v>8</v>
      </c>
      <c r="L3286" s="23" t="s">
        <v>8</v>
      </c>
      <c r="M3286" s="23" t="s">
        <v>8</v>
      </c>
    </row>
    <row r="3287" spans="1:13" s="21" customFormat="1" x14ac:dyDescent="0.25">
      <c r="A3287" s="22" t="s">
        <v>8</v>
      </c>
      <c r="B3287" s="18" t="str">
        <f>"145733"</f>
        <v>145733</v>
      </c>
      <c r="C3287" s="19" t="s">
        <v>3278</v>
      </c>
      <c r="D3287" s="19" t="s">
        <v>18714</v>
      </c>
      <c r="E3287" s="19" t="s">
        <v>32010</v>
      </c>
      <c r="F3287" s="19" t="s">
        <v>35987</v>
      </c>
      <c r="G3287" s="18" t="str">
        <f>"62052"</f>
        <v>62052</v>
      </c>
      <c r="H3287" s="19" t="s">
        <v>36242</v>
      </c>
      <c r="I3287" s="20">
        <v>18.472000000000001</v>
      </c>
      <c r="J3287" s="44" t="s">
        <v>8</v>
      </c>
      <c r="K3287" s="23" t="s">
        <v>8</v>
      </c>
      <c r="L3287" s="23" t="s">
        <v>8</v>
      </c>
      <c r="M3287" s="23" t="s">
        <v>8</v>
      </c>
    </row>
    <row r="3288" spans="1:13" s="21" customFormat="1" x14ac:dyDescent="0.25">
      <c r="A3288" s="22" t="s">
        <v>8</v>
      </c>
      <c r="B3288" s="18" t="str">
        <f>"145734"</f>
        <v>145734</v>
      </c>
      <c r="C3288" s="19" t="s">
        <v>3279</v>
      </c>
      <c r="D3288" s="19" t="s">
        <v>18715</v>
      </c>
      <c r="E3288" s="19" t="s">
        <v>32084</v>
      </c>
      <c r="F3288" s="19" t="s">
        <v>35987</v>
      </c>
      <c r="G3288" s="18" t="str">
        <f>"60805"</f>
        <v>60805</v>
      </c>
      <c r="H3288" s="19" t="s">
        <v>33420</v>
      </c>
      <c r="I3288" s="20">
        <v>19.635000000000002</v>
      </c>
      <c r="J3288" s="44" t="s">
        <v>8</v>
      </c>
      <c r="K3288" s="23" t="s">
        <v>8</v>
      </c>
      <c r="L3288" s="23" t="s">
        <v>8</v>
      </c>
      <c r="M3288" s="23" t="s">
        <v>8</v>
      </c>
    </row>
    <row r="3289" spans="1:13" s="21" customFormat="1" x14ac:dyDescent="0.25">
      <c r="A3289" s="22" t="s">
        <v>8</v>
      </c>
      <c r="B3289" s="18" t="str">
        <f>"145735"</f>
        <v>145735</v>
      </c>
      <c r="C3289" s="19" t="s">
        <v>3280</v>
      </c>
      <c r="D3289" s="19" t="s">
        <v>18716</v>
      </c>
      <c r="E3289" s="19" t="s">
        <v>32085</v>
      </c>
      <c r="F3289" s="19" t="s">
        <v>35987</v>
      </c>
      <c r="G3289" s="18" t="str">
        <f>"60633"</f>
        <v>60633</v>
      </c>
      <c r="H3289" s="19" t="s">
        <v>33420</v>
      </c>
      <c r="I3289" s="20">
        <v>20.831</v>
      </c>
      <c r="J3289" s="44" t="s">
        <v>8</v>
      </c>
      <c r="K3289" s="23" t="s">
        <v>8</v>
      </c>
      <c r="L3289" s="23" t="s">
        <v>8</v>
      </c>
      <c r="M3289" s="23" t="s">
        <v>8</v>
      </c>
    </row>
    <row r="3290" spans="1:13" s="21" customFormat="1" x14ac:dyDescent="0.25">
      <c r="A3290" s="22" t="s">
        <v>8</v>
      </c>
      <c r="B3290" s="18" t="str">
        <f>"145736"</f>
        <v>145736</v>
      </c>
      <c r="C3290" s="19" t="s">
        <v>3281</v>
      </c>
      <c r="D3290" s="19" t="s">
        <v>18717</v>
      </c>
      <c r="E3290" s="19" t="s">
        <v>32086</v>
      </c>
      <c r="F3290" s="19" t="s">
        <v>35987</v>
      </c>
      <c r="G3290" s="18" t="str">
        <f>"60804"</f>
        <v>60804</v>
      </c>
      <c r="H3290" s="19" t="s">
        <v>33420</v>
      </c>
      <c r="I3290" s="20">
        <v>19.271000000000001</v>
      </c>
      <c r="J3290" s="44" t="s">
        <v>8</v>
      </c>
      <c r="K3290" s="23" t="s">
        <v>8</v>
      </c>
      <c r="L3290" s="23" t="s">
        <v>8</v>
      </c>
      <c r="M3290" s="23" t="s">
        <v>8</v>
      </c>
    </row>
    <row r="3291" spans="1:13" s="21" customFormat="1" x14ac:dyDescent="0.25">
      <c r="A3291" s="22" t="s">
        <v>8</v>
      </c>
      <c r="B3291" s="18" t="str">
        <f>"145737"</f>
        <v>145737</v>
      </c>
      <c r="C3291" s="19" t="s">
        <v>3282</v>
      </c>
      <c r="D3291" s="19" t="s">
        <v>18718</v>
      </c>
      <c r="E3291" s="19" t="s">
        <v>32087</v>
      </c>
      <c r="F3291" s="19" t="s">
        <v>35987</v>
      </c>
      <c r="G3291" s="18" t="str">
        <f>"60525"</f>
        <v>60525</v>
      </c>
      <c r="H3291" s="19" t="s">
        <v>33420</v>
      </c>
      <c r="I3291" s="20">
        <v>22.108000000000001</v>
      </c>
      <c r="J3291" s="44" t="s">
        <v>8</v>
      </c>
      <c r="K3291" s="23" t="s">
        <v>8</v>
      </c>
      <c r="L3291" s="23" t="s">
        <v>8</v>
      </c>
      <c r="M3291" s="23" t="s">
        <v>8</v>
      </c>
    </row>
    <row r="3292" spans="1:13" s="21" customFormat="1" x14ac:dyDescent="0.25">
      <c r="A3292" s="22" t="s">
        <v>8</v>
      </c>
      <c r="B3292" s="18" t="str">
        <f>"145739"</f>
        <v>145739</v>
      </c>
      <c r="C3292" s="19" t="s">
        <v>3283</v>
      </c>
      <c r="D3292" s="19" t="s">
        <v>18719</v>
      </c>
      <c r="E3292" s="19" t="s">
        <v>31941</v>
      </c>
      <c r="F3292" s="19" t="s">
        <v>35987</v>
      </c>
      <c r="G3292" s="18" t="str">
        <f>"60004"</f>
        <v>60004</v>
      </c>
      <c r="H3292" s="19" t="s">
        <v>33420</v>
      </c>
      <c r="I3292" s="20">
        <v>14.778</v>
      </c>
      <c r="J3292" s="44" t="s">
        <v>8</v>
      </c>
      <c r="K3292" s="23" t="s">
        <v>8</v>
      </c>
      <c r="L3292" s="23" t="s">
        <v>8</v>
      </c>
      <c r="M3292" s="23" t="s">
        <v>8</v>
      </c>
    </row>
    <row r="3293" spans="1:13" s="21" customFormat="1" x14ac:dyDescent="0.25">
      <c r="A3293" s="22" t="s">
        <v>8</v>
      </c>
      <c r="B3293" s="18" t="str">
        <f>"145740"</f>
        <v>145740</v>
      </c>
      <c r="C3293" s="19" t="s">
        <v>3284</v>
      </c>
      <c r="D3293" s="19" t="s">
        <v>18720</v>
      </c>
      <c r="E3293" s="19" t="s">
        <v>31915</v>
      </c>
      <c r="F3293" s="19" t="s">
        <v>35987</v>
      </c>
      <c r="G3293" s="18" t="str">
        <f>"60121"</f>
        <v>60121</v>
      </c>
      <c r="H3293" s="19" t="s">
        <v>34788</v>
      </c>
      <c r="I3293" s="20">
        <v>17.036999999999999</v>
      </c>
      <c r="J3293" s="44" t="s">
        <v>8</v>
      </c>
      <c r="K3293" s="23" t="s">
        <v>8</v>
      </c>
      <c r="L3293" s="23" t="s">
        <v>8</v>
      </c>
      <c r="M3293" s="23" t="s">
        <v>8</v>
      </c>
    </row>
    <row r="3294" spans="1:13" s="21" customFormat="1" x14ac:dyDescent="0.25">
      <c r="A3294" s="22" t="s">
        <v>8</v>
      </c>
      <c r="B3294" s="18" t="str">
        <f>"145741"</f>
        <v>145741</v>
      </c>
      <c r="C3294" s="19" t="s">
        <v>3285</v>
      </c>
      <c r="D3294" s="19" t="s">
        <v>18721</v>
      </c>
      <c r="E3294" s="19" t="s">
        <v>31957</v>
      </c>
      <c r="F3294" s="19" t="s">
        <v>35987</v>
      </c>
      <c r="G3294" s="18" t="str">
        <f>"60025"</f>
        <v>60025</v>
      </c>
      <c r="H3294" s="19" t="s">
        <v>33420</v>
      </c>
      <c r="I3294" s="20">
        <v>20.042000000000002</v>
      </c>
      <c r="J3294" s="44" t="s">
        <v>8</v>
      </c>
      <c r="K3294" s="23" t="s">
        <v>8</v>
      </c>
      <c r="L3294" s="23" t="s">
        <v>8</v>
      </c>
      <c r="M3294" s="23" t="s">
        <v>8</v>
      </c>
    </row>
    <row r="3295" spans="1:13" s="21" customFormat="1" x14ac:dyDescent="0.25">
      <c r="A3295" s="22" t="s">
        <v>8</v>
      </c>
      <c r="B3295" s="18" t="str">
        <f>"145743"</f>
        <v>145743</v>
      </c>
      <c r="C3295" s="19" t="s">
        <v>3286</v>
      </c>
      <c r="D3295" s="19" t="s">
        <v>18722</v>
      </c>
      <c r="E3295" s="19" t="s">
        <v>243</v>
      </c>
      <c r="F3295" s="19" t="s">
        <v>35987</v>
      </c>
      <c r="G3295" s="18" t="str">
        <f>"60302"</f>
        <v>60302</v>
      </c>
      <c r="H3295" s="19" t="s">
        <v>33420</v>
      </c>
      <c r="I3295" s="20">
        <v>22.029</v>
      </c>
      <c r="J3295" s="44" t="s">
        <v>8</v>
      </c>
      <c r="K3295" s="23" t="s">
        <v>8</v>
      </c>
      <c r="L3295" s="23" t="s">
        <v>8</v>
      </c>
      <c r="M3295" s="23" t="s">
        <v>8</v>
      </c>
    </row>
    <row r="3296" spans="1:13" s="21" customFormat="1" x14ac:dyDescent="0.25">
      <c r="A3296" s="22" t="s">
        <v>8</v>
      </c>
      <c r="B3296" s="18" t="str">
        <f>"145744"</f>
        <v>145744</v>
      </c>
      <c r="C3296" s="19" t="s">
        <v>3287</v>
      </c>
      <c r="D3296" s="19" t="s">
        <v>18723</v>
      </c>
      <c r="E3296" s="19" t="s">
        <v>32088</v>
      </c>
      <c r="F3296" s="19" t="s">
        <v>35987</v>
      </c>
      <c r="G3296" s="18" t="str">
        <f>"61760"</f>
        <v>61760</v>
      </c>
      <c r="H3296" s="19" t="s">
        <v>36237</v>
      </c>
      <c r="I3296" s="20">
        <v>21.795999999999999</v>
      </c>
      <c r="J3296" s="44" t="s">
        <v>8</v>
      </c>
      <c r="K3296" s="23" t="s">
        <v>8</v>
      </c>
      <c r="L3296" s="23" t="s">
        <v>8</v>
      </c>
      <c r="M3296" s="23" t="s">
        <v>8</v>
      </c>
    </row>
    <row r="3297" spans="1:13" s="21" customFormat="1" x14ac:dyDescent="0.25">
      <c r="A3297" s="22" t="s">
        <v>8</v>
      </c>
      <c r="B3297" s="18" t="str">
        <f>"145748"</f>
        <v>145748</v>
      </c>
      <c r="C3297" s="19" t="s">
        <v>3288</v>
      </c>
      <c r="D3297" s="19" t="s">
        <v>18724</v>
      </c>
      <c r="E3297" s="19" t="s">
        <v>31934</v>
      </c>
      <c r="F3297" s="19" t="s">
        <v>35987</v>
      </c>
      <c r="G3297" s="18" t="str">
        <f>"60637"</f>
        <v>60637</v>
      </c>
      <c r="H3297" s="19" t="s">
        <v>33420</v>
      </c>
      <c r="I3297" s="20">
        <v>18.260999999999999</v>
      </c>
      <c r="J3297" s="44" t="s">
        <v>8</v>
      </c>
      <c r="K3297" s="23" t="s">
        <v>8</v>
      </c>
      <c r="L3297" s="23" t="s">
        <v>8</v>
      </c>
      <c r="M3297" s="23" t="s">
        <v>8</v>
      </c>
    </row>
    <row r="3298" spans="1:13" s="21" customFormat="1" x14ac:dyDescent="0.25">
      <c r="A3298" s="22" t="s">
        <v>8</v>
      </c>
      <c r="B3298" s="18" t="str">
        <f>"145751"</f>
        <v>145751</v>
      </c>
      <c r="C3298" s="19" t="s">
        <v>3289</v>
      </c>
      <c r="D3298" s="19" t="s">
        <v>18725</v>
      </c>
      <c r="E3298" s="19" t="s">
        <v>31935</v>
      </c>
      <c r="F3298" s="19" t="s">
        <v>35987</v>
      </c>
      <c r="G3298" s="18" t="str">
        <f>"61107"</f>
        <v>61107</v>
      </c>
      <c r="H3298" s="19" t="s">
        <v>36233</v>
      </c>
      <c r="I3298" s="20">
        <v>19.143999999999998</v>
      </c>
      <c r="J3298" s="44" t="s">
        <v>8</v>
      </c>
      <c r="K3298" s="23" t="s">
        <v>8</v>
      </c>
      <c r="L3298" s="23" t="s">
        <v>8</v>
      </c>
      <c r="M3298" s="23" t="s">
        <v>8</v>
      </c>
    </row>
    <row r="3299" spans="1:13" s="21" customFormat="1" x14ac:dyDescent="0.25">
      <c r="A3299" s="22" t="s">
        <v>8</v>
      </c>
      <c r="B3299" s="18" t="str">
        <f>"145752"</f>
        <v>145752</v>
      </c>
      <c r="C3299" s="19" t="s">
        <v>3290</v>
      </c>
      <c r="D3299" s="19" t="s">
        <v>18726</v>
      </c>
      <c r="E3299" s="19" t="s">
        <v>32089</v>
      </c>
      <c r="F3299" s="19" t="s">
        <v>35987</v>
      </c>
      <c r="G3299" s="18" t="str">
        <f>"60143"</f>
        <v>60143</v>
      </c>
      <c r="H3299" s="19" t="s">
        <v>36231</v>
      </c>
      <c r="I3299" s="20">
        <v>17.908999999999999</v>
      </c>
      <c r="J3299" s="44" t="s">
        <v>8</v>
      </c>
      <c r="K3299" s="23" t="s">
        <v>8</v>
      </c>
      <c r="L3299" s="23" t="s">
        <v>8</v>
      </c>
      <c r="M3299" s="23" t="s">
        <v>8</v>
      </c>
    </row>
    <row r="3300" spans="1:13" s="21" customFormat="1" x14ac:dyDescent="0.25">
      <c r="A3300" s="22" t="s">
        <v>8</v>
      </c>
      <c r="B3300" s="18" t="str">
        <f>"145753"</f>
        <v>145753</v>
      </c>
      <c r="C3300" s="19" t="s">
        <v>3291</v>
      </c>
      <c r="D3300" s="19" t="s">
        <v>18727</v>
      </c>
      <c r="E3300" s="19" t="s">
        <v>30981</v>
      </c>
      <c r="F3300" s="19" t="s">
        <v>35987</v>
      </c>
      <c r="G3300" s="18" t="str">
        <f>"61832"</f>
        <v>61832</v>
      </c>
      <c r="H3300" s="19" t="s">
        <v>34509</v>
      </c>
      <c r="I3300" s="20">
        <v>17.648</v>
      </c>
      <c r="J3300" s="44" t="s">
        <v>8</v>
      </c>
      <c r="K3300" s="23" t="s">
        <v>8</v>
      </c>
      <c r="L3300" s="23" t="s">
        <v>8</v>
      </c>
      <c r="M3300" s="23" t="s">
        <v>8</v>
      </c>
    </row>
    <row r="3301" spans="1:13" s="21" customFormat="1" x14ac:dyDescent="0.25">
      <c r="A3301" s="22" t="s">
        <v>8</v>
      </c>
      <c r="B3301" s="18" t="str">
        <f>"145757"</f>
        <v>145757</v>
      </c>
      <c r="C3301" s="19" t="s">
        <v>3292</v>
      </c>
      <c r="D3301" s="19" t="s">
        <v>18728</v>
      </c>
      <c r="E3301" s="19" t="s">
        <v>31359</v>
      </c>
      <c r="F3301" s="19" t="s">
        <v>35987</v>
      </c>
      <c r="G3301" s="18" t="str">
        <f>"62901"</f>
        <v>62901</v>
      </c>
      <c r="H3301" s="19" t="s">
        <v>30816</v>
      </c>
      <c r="I3301" s="20">
        <v>19.187000000000001</v>
      </c>
      <c r="J3301" s="44" t="s">
        <v>8</v>
      </c>
      <c r="K3301" s="23" t="s">
        <v>8</v>
      </c>
      <c r="L3301" s="23" t="s">
        <v>8</v>
      </c>
      <c r="M3301" s="23" t="s">
        <v>8</v>
      </c>
    </row>
    <row r="3302" spans="1:13" s="21" customFormat="1" x14ac:dyDescent="0.25">
      <c r="A3302" s="22" t="s">
        <v>8</v>
      </c>
      <c r="B3302" s="18" t="str">
        <f>"145758"</f>
        <v>145758</v>
      </c>
      <c r="C3302" s="19" t="s">
        <v>3293</v>
      </c>
      <c r="D3302" s="19" t="s">
        <v>18729</v>
      </c>
      <c r="E3302" s="19" t="s">
        <v>31078</v>
      </c>
      <c r="F3302" s="19" t="s">
        <v>35987</v>
      </c>
      <c r="G3302" s="18" t="str">
        <f>"60425"</f>
        <v>60425</v>
      </c>
      <c r="H3302" s="19" t="s">
        <v>33420</v>
      </c>
      <c r="I3302" s="20">
        <v>21.597999999999999</v>
      </c>
      <c r="J3302" s="44" t="s">
        <v>8</v>
      </c>
      <c r="K3302" s="23" t="s">
        <v>8</v>
      </c>
      <c r="L3302" s="23" t="s">
        <v>8</v>
      </c>
      <c r="M3302" s="23" t="s">
        <v>8</v>
      </c>
    </row>
    <row r="3303" spans="1:13" s="21" customFormat="1" x14ac:dyDescent="0.25">
      <c r="A3303" s="22" t="s">
        <v>8</v>
      </c>
      <c r="B3303" s="18" t="str">
        <f>"145759"</f>
        <v>145759</v>
      </c>
      <c r="C3303" s="19" t="s">
        <v>3294</v>
      </c>
      <c r="D3303" s="19" t="s">
        <v>18730</v>
      </c>
      <c r="E3303" s="19" t="s">
        <v>32090</v>
      </c>
      <c r="F3303" s="19" t="s">
        <v>35987</v>
      </c>
      <c r="G3303" s="18" t="str">
        <f>"62982"</f>
        <v>62982</v>
      </c>
      <c r="H3303" s="19" t="s">
        <v>32124</v>
      </c>
      <c r="I3303" s="20">
        <v>18.507000000000001</v>
      </c>
      <c r="J3303" s="44" t="s">
        <v>8</v>
      </c>
      <c r="K3303" s="23" t="s">
        <v>8</v>
      </c>
      <c r="L3303" s="23" t="s">
        <v>8</v>
      </c>
      <c r="M3303" s="23" t="s">
        <v>8</v>
      </c>
    </row>
    <row r="3304" spans="1:13" s="21" customFormat="1" x14ac:dyDescent="0.25">
      <c r="A3304" s="22" t="s">
        <v>8</v>
      </c>
      <c r="B3304" s="18" t="str">
        <f>"145760"</f>
        <v>145760</v>
      </c>
      <c r="C3304" s="19" t="s">
        <v>3295</v>
      </c>
      <c r="D3304" s="19" t="s">
        <v>18731</v>
      </c>
      <c r="E3304" s="19" t="s">
        <v>32091</v>
      </c>
      <c r="F3304" s="19" t="s">
        <v>35987</v>
      </c>
      <c r="G3304" s="18" t="str">
        <f>"62454"</f>
        <v>62454</v>
      </c>
      <c r="H3304" s="19" t="s">
        <v>31759</v>
      </c>
      <c r="I3304" s="20">
        <v>17.521000000000001</v>
      </c>
      <c r="J3304" s="44" t="s">
        <v>8</v>
      </c>
      <c r="K3304" s="23" t="s">
        <v>8</v>
      </c>
      <c r="L3304" s="23" t="s">
        <v>8</v>
      </c>
      <c r="M3304" s="23" t="s">
        <v>8</v>
      </c>
    </row>
    <row r="3305" spans="1:13" s="21" customFormat="1" x14ac:dyDescent="0.25">
      <c r="A3305" s="22" t="s">
        <v>8</v>
      </c>
      <c r="B3305" s="18" t="str">
        <f>"145761"</f>
        <v>145761</v>
      </c>
      <c r="C3305" s="19" t="s">
        <v>3296</v>
      </c>
      <c r="D3305" s="19" t="s">
        <v>18732</v>
      </c>
      <c r="E3305" s="19" t="s">
        <v>31411</v>
      </c>
      <c r="F3305" s="19" t="s">
        <v>35987</v>
      </c>
      <c r="G3305" s="18" t="str">
        <f>"60544"</f>
        <v>60544</v>
      </c>
      <c r="H3305" s="19" t="s">
        <v>36230</v>
      </c>
      <c r="I3305" s="20">
        <v>21.585000000000001</v>
      </c>
      <c r="J3305" s="44" t="s">
        <v>8</v>
      </c>
      <c r="K3305" s="23" t="s">
        <v>8</v>
      </c>
      <c r="L3305" s="23" t="s">
        <v>8</v>
      </c>
      <c r="M3305" s="23" t="s">
        <v>8</v>
      </c>
    </row>
    <row r="3306" spans="1:13" s="21" customFormat="1" x14ac:dyDescent="0.25">
      <c r="A3306" s="22" t="s">
        <v>8</v>
      </c>
      <c r="B3306" s="18" t="str">
        <f>"145764"</f>
        <v>145764</v>
      </c>
      <c r="C3306" s="19" t="s">
        <v>3297</v>
      </c>
      <c r="D3306" s="19" t="s">
        <v>18733</v>
      </c>
      <c r="E3306" s="19" t="s">
        <v>31934</v>
      </c>
      <c r="F3306" s="19" t="s">
        <v>35987</v>
      </c>
      <c r="G3306" s="18" t="str">
        <f>"60628"</f>
        <v>60628</v>
      </c>
      <c r="H3306" s="19" t="s">
        <v>33420</v>
      </c>
      <c r="I3306" s="20">
        <v>21.024000000000001</v>
      </c>
      <c r="J3306" s="44" t="s">
        <v>8</v>
      </c>
      <c r="K3306" s="23" t="s">
        <v>8</v>
      </c>
      <c r="L3306" s="23" t="s">
        <v>8</v>
      </c>
      <c r="M3306" s="23" t="s">
        <v>8</v>
      </c>
    </row>
    <row r="3307" spans="1:13" s="21" customFormat="1" x14ac:dyDescent="0.25">
      <c r="A3307" s="22" t="s">
        <v>8</v>
      </c>
      <c r="B3307" s="18" t="str">
        <f>"145765"</f>
        <v>145765</v>
      </c>
      <c r="C3307" s="19" t="s">
        <v>3298</v>
      </c>
      <c r="D3307" s="19" t="s">
        <v>18734</v>
      </c>
      <c r="E3307" s="19" t="s">
        <v>31934</v>
      </c>
      <c r="F3307" s="19" t="s">
        <v>35987</v>
      </c>
      <c r="G3307" s="18" t="str">
        <f>"60660"</f>
        <v>60660</v>
      </c>
      <c r="H3307" s="19" t="s">
        <v>33420</v>
      </c>
      <c r="I3307" s="20">
        <v>22.664000000000001</v>
      </c>
      <c r="J3307" s="44" t="s">
        <v>8</v>
      </c>
      <c r="K3307" s="23" t="s">
        <v>8</v>
      </c>
      <c r="L3307" s="23" t="s">
        <v>8</v>
      </c>
      <c r="M3307" s="23" t="s">
        <v>8</v>
      </c>
    </row>
    <row r="3308" spans="1:13" s="21" customFormat="1" x14ac:dyDescent="0.25">
      <c r="A3308" s="22" t="s">
        <v>8</v>
      </c>
      <c r="B3308" s="18" t="str">
        <f>"145767"</f>
        <v>145767</v>
      </c>
      <c r="C3308" s="19" t="s">
        <v>3299</v>
      </c>
      <c r="D3308" s="19" t="s">
        <v>18735</v>
      </c>
      <c r="E3308" s="19" t="s">
        <v>31934</v>
      </c>
      <c r="F3308" s="19" t="s">
        <v>35987</v>
      </c>
      <c r="G3308" s="18" t="str">
        <f>"60618"</f>
        <v>60618</v>
      </c>
      <c r="H3308" s="19" t="s">
        <v>33420</v>
      </c>
      <c r="I3308" s="20">
        <v>24.97</v>
      </c>
      <c r="J3308" s="44" t="s">
        <v>8</v>
      </c>
      <c r="K3308" s="23" t="s">
        <v>8</v>
      </c>
      <c r="L3308" s="23" t="s">
        <v>8</v>
      </c>
      <c r="M3308" s="23" t="s">
        <v>8</v>
      </c>
    </row>
    <row r="3309" spans="1:13" s="21" customFormat="1" x14ac:dyDescent="0.25">
      <c r="A3309" s="22" t="s">
        <v>8</v>
      </c>
      <c r="B3309" s="18" t="str">
        <f>"145768"</f>
        <v>145768</v>
      </c>
      <c r="C3309" s="19" t="s">
        <v>3300</v>
      </c>
      <c r="D3309" s="19" t="s">
        <v>18736</v>
      </c>
      <c r="E3309" s="19" t="s">
        <v>30954</v>
      </c>
      <c r="F3309" s="19" t="s">
        <v>35987</v>
      </c>
      <c r="G3309" s="18" t="str">
        <f>"61614"</f>
        <v>61614</v>
      </c>
      <c r="H3309" s="19" t="s">
        <v>30954</v>
      </c>
      <c r="I3309" s="20">
        <v>19.811</v>
      </c>
      <c r="J3309" s="44" t="s">
        <v>8</v>
      </c>
      <c r="K3309" s="23" t="s">
        <v>8</v>
      </c>
      <c r="L3309" s="23" t="s">
        <v>8</v>
      </c>
      <c r="M3309" s="23" t="s">
        <v>8</v>
      </c>
    </row>
    <row r="3310" spans="1:13" s="21" customFormat="1" x14ac:dyDescent="0.25">
      <c r="A3310" s="22" t="s">
        <v>8</v>
      </c>
      <c r="B3310" s="18" t="str">
        <f>"145769"</f>
        <v>145769</v>
      </c>
      <c r="C3310" s="19" t="s">
        <v>3301</v>
      </c>
      <c r="D3310" s="19" t="s">
        <v>18737</v>
      </c>
      <c r="E3310" s="19" t="s">
        <v>32007</v>
      </c>
      <c r="F3310" s="19" t="s">
        <v>35987</v>
      </c>
      <c r="G3310" s="18" t="str">
        <f>"62626"</f>
        <v>62626</v>
      </c>
      <c r="H3310" s="19" t="s">
        <v>36236</v>
      </c>
      <c r="I3310" s="20">
        <v>17.344999999999999</v>
      </c>
      <c r="J3310" s="44" t="s">
        <v>8</v>
      </c>
      <c r="K3310" s="23" t="s">
        <v>8</v>
      </c>
      <c r="L3310" s="23" t="s">
        <v>8</v>
      </c>
      <c r="M3310" s="23" t="s">
        <v>8</v>
      </c>
    </row>
    <row r="3311" spans="1:13" s="21" customFormat="1" x14ac:dyDescent="0.25">
      <c r="A3311" s="22" t="s">
        <v>8</v>
      </c>
      <c r="B3311" s="18" t="str">
        <f>"145770"</f>
        <v>145770</v>
      </c>
      <c r="C3311" s="19" t="s">
        <v>3302</v>
      </c>
      <c r="D3311" s="19" t="s">
        <v>18738</v>
      </c>
      <c r="E3311" s="19" t="s">
        <v>32092</v>
      </c>
      <c r="F3311" s="19" t="s">
        <v>35987</v>
      </c>
      <c r="G3311" s="18" t="str">
        <f>"61053"</f>
        <v>61053</v>
      </c>
      <c r="H3311" s="19" t="s">
        <v>32334</v>
      </c>
      <c r="I3311" s="20">
        <v>18.509</v>
      </c>
      <c r="J3311" s="44" t="s">
        <v>8</v>
      </c>
      <c r="K3311" s="23" t="s">
        <v>8</v>
      </c>
      <c r="L3311" s="23" t="s">
        <v>8</v>
      </c>
      <c r="M3311" s="23" t="s">
        <v>8</v>
      </c>
    </row>
    <row r="3312" spans="1:13" s="21" customFormat="1" x14ac:dyDescent="0.25">
      <c r="A3312" s="22" t="s">
        <v>8</v>
      </c>
      <c r="B3312" s="18" t="str">
        <f>"145771"</f>
        <v>145771</v>
      </c>
      <c r="C3312" s="19" t="s">
        <v>3303</v>
      </c>
      <c r="D3312" s="19" t="s">
        <v>18739</v>
      </c>
      <c r="E3312" s="19" t="s">
        <v>31935</v>
      </c>
      <c r="F3312" s="19" t="s">
        <v>35987</v>
      </c>
      <c r="G3312" s="18" t="str">
        <f>"61103"</f>
        <v>61103</v>
      </c>
      <c r="H3312" s="19" t="s">
        <v>36233</v>
      </c>
      <c r="I3312" s="20">
        <v>18.277000000000001</v>
      </c>
      <c r="J3312" s="44" t="s">
        <v>8</v>
      </c>
      <c r="K3312" s="23" t="s">
        <v>8</v>
      </c>
      <c r="L3312" s="23" t="s">
        <v>8</v>
      </c>
      <c r="M3312" s="23" t="s">
        <v>8</v>
      </c>
    </row>
    <row r="3313" spans="1:13" s="21" customFormat="1" x14ac:dyDescent="0.25">
      <c r="A3313" s="22" t="s">
        <v>8</v>
      </c>
      <c r="B3313" s="18" t="str">
        <f>"145772"</f>
        <v>145772</v>
      </c>
      <c r="C3313" s="19" t="s">
        <v>3304</v>
      </c>
      <c r="D3313" s="19" t="s">
        <v>18740</v>
      </c>
      <c r="E3313" s="19" t="s">
        <v>32015</v>
      </c>
      <c r="F3313" s="19" t="s">
        <v>35987</v>
      </c>
      <c r="G3313" s="18" t="str">
        <f>"61938"</f>
        <v>61938</v>
      </c>
      <c r="H3313" s="19" t="s">
        <v>36243</v>
      </c>
      <c r="I3313" s="20">
        <v>19.213000000000001</v>
      </c>
      <c r="J3313" s="44" t="s">
        <v>8</v>
      </c>
      <c r="K3313" s="23" t="s">
        <v>8</v>
      </c>
      <c r="L3313" s="23" t="s">
        <v>8</v>
      </c>
      <c r="M3313" s="23" t="s">
        <v>8</v>
      </c>
    </row>
    <row r="3314" spans="1:13" s="21" customFormat="1" x14ac:dyDescent="0.25">
      <c r="A3314" s="22" t="s">
        <v>8</v>
      </c>
      <c r="B3314" s="18" t="str">
        <f>"145773"</f>
        <v>145773</v>
      </c>
      <c r="C3314" s="19" t="s">
        <v>3305</v>
      </c>
      <c r="D3314" s="19" t="s">
        <v>18741</v>
      </c>
      <c r="E3314" s="19" t="s">
        <v>31311</v>
      </c>
      <c r="F3314" s="19" t="s">
        <v>35987</v>
      </c>
      <c r="G3314" s="18" t="str">
        <f>"62301"</f>
        <v>62301</v>
      </c>
      <c r="H3314" s="19" t="s">
        <v>33467</v>
      </c>
      <c r="I3314" s="20">
        <v>21.959</v>
      </c>
      <c r="J3314" s="44" t="s">
        <v>8</v>
      </c>
      <c r="K3314" s="23" t="s">
        <v>8</v>
      </c>
      <c r="L3314" s="23" t="s">
        <v>8</v>
      </c>
      <c r="M3314" s="23" t="s">
        <v>8</v>
      </c>
    </row>
    <row r="3315" spans="1:13" s="21" customFormat="1" x14ac:dyDescent="0.25">
      <c r="A3315" s="22" t="s">
        <v>8</v>
      </c>
      <c r="B3315" s="18" t="str">
        <f>"145774"</f>
        <v>145774</v>
      </c>
      <c r="C3315" s="19" t="s">
        <v>3306</v>
      </c>
      <c r="D3315" s="19" t="s">
        <v>18742</v>
      </c>
      <c r="E3315" s="19" t="s">
        <v>32093</v>
      </c>
      <c r="F3315" s="19" t="s">
        <v>35987</v>
      </c>
      <c r="G3315" s="18" t="str">
        <f>"62644"</f>
        <v>62644</v>
      </c>
      <c r="H3315" s="19" t="s">
        <v>34550</v>
      </c>
      <c r="I3315" s="20">
        <v>19.998999999999999</v>
      </c>
      <c r="J3315" s="44" t="s">
        <v>8</v>
      </c>
      <c r="K3315" s="23" t="s">
        <v>8</v>
      </c>
      <c r="L3315" s="23" t="s">
        <v>8</v>
      </c>
      <c r="M3315" s="23" t="s">
        <v>8</v>
      </c>
    </row>
    <row r="3316" spans="1:13" s="21" customFormat="1" x14ac:dyDescent="0.25">
      <c r="A3316" s="22" t="s">
        <v>8</v>
      </c>
      <c r="B3316" s="18" t="str">
        <f>"145775"</f>
        <v>145775</v>
      </c>
      <c r="C3316" s="19" t="s">
        <v>3307</v>
      </c>
      <c r="D3316" s="19" t="s">
        <v>18743</v>
      </c>
      <c r="E3316" s="19" t="s">
        <v>31934</v>
      </c>
      <c r="F3316" s="19" t="s">
        <v>35987</v>
      </c>
      <c r="G3316" s="18" t="str">
        <f>"60625"</f>
        <v>60625</v>
      </c>
      <c r="H3316" s="19" t="s">
        <v>33420</v>
      </c>
      <c r="I3316" s="20">
        <v>20.841999999999999</v>
      </c>
      <c r="J3316" s="44" t="s">
        <v>8</v>
      </c>
      <c r="K3316" s="23" t="s">
        <v>8</v>
      </c>
      <c r="L3316" s="23" t="s">
        <v>8</v>
      </c>
      <c r="M3316" s="23" t="s">
        <v>8</v>
      </c>
    </row>
    <row r="3317" spans="1:13" s="21" customFormat="1" x14ac:dyDescent="0.25">
      <c r="A3317" s="22" t="s">
        <v>8</v>
      </c>
      <c r="B3317" s="18" t="str">
        <f>"145776"</f>
        <v>145776</v>
      </c>
      <c r="C3317" s="19" t="s">
        <v>3308</v>
      </c>
      <c r="D3317" s="19" t="s">
        <v>18744</v>
      </c>
      <c r="E3317" s="19" t="s">
        <v>31934</v>
      </c>
      <c r="F3317" s="19" t="s">
        <v>35987</v>
      </c>
      <c r="G3317" s="18" t="str">
        <f>"60640"</f>
        <v>60640</v>
      </c>
      <c r="H3317" s="19" t="s">
        <v>33420</v>
      </c>
      <c r="I3317" s="20">
        <v>21.036999999999999</v>
      </c>
      <c r="J3317" s="44" t="s">
        <v>8</v>
      </c>
      <c r="K3317" s="23" t="s">
        <v>8</v>
      </c>
      <c r="L3317" s="23" t="s">
        <v>8</v>
      </c>
      <c r="M3317" s="23" t="s">
        <v>8</v>
      </c>
    </row>
    <row r="3318" spans="1:13" s="21" customFormat="1" x14ac:dyDescent="0.25">
      <c r="A3318" s="22" t="s">
        <v>8</v>
      </c>
      <c r="B3318" s="18" t="str">
        <f>"145778"</f>
        <v>145778</v>
      </c>
      <c r="C3318" s="19" t="s">
        <v>3309</v>
      </c>
      <c r="D3318" s="19" t="s">
        <v>18745</v>
      </c>
      <c r="E3318" s="19" t="s">
        <v>31943</v>
      </c>
      <c r="F3318" s="19" t="s">
        <v>35987</v>
      </c>
      <c r="G3318" s="18" t="str">
        <f>"60455"</f>
        <v>60455</v>
      </c>
      <c r="H3318" s="19" t="s">
        <v>33420</v>
      </c>
      <c r="I3318" s="20">
        <v>18.077000000000002</v>
      </c>
      <c r="J3318" s="44" t="s">
        <v>8</v>
      </c>
      <c r="K3318" s="23" t="s">
        <v>8</v>
      </c>
      <c r="L3318" s="23" t="s">
        <v>8</v>
      </c>
      <c r="M3318" s="23" t="s">
        <v>8</v>
      </c>
    </row>
    <row r="3319" spans="1:13" s="21" customFormat="1" x14ac:dyDescent="0.25">
      <c r="A3319" s="22" t="s">
        <v>8</v>
      </c>
      <c r="B3319" s="18" t="str">
        <f>"145779"</f>
        <v>145779</v>
      </c>
      <c r="C3319" s="19" t="s">
        <v>3310</v>
      </c>
      <c r="D3319" s="19" t="s">
        <v>18746</v>
      </c>
      <c r="E3319" s="19" t="s">
        <v>32043</v>
      </c>
      <c r="F3319" s="19" t="s">
        <v>35987</v>
      </c>
      <c r="G3319" s="18" t="str">
        <f>"60463"</f>
        <v>60463</v>
      </c>
      <c r="H3319" s="19" t="s">
        <v>33420</v>
      </c>
      <c r="I3319" s="20">
        <v>23.363</v>
      </c>
      <c r="J3319" s="44" t="s">
        <v>8</v>
      </c>
      <c r="K3319" s="23" t="s">
        <v>8</v>
      </c>
      <c r="L3319" s="23" t="s">
        <v>8</v>
      </c>
      <c r="M3319" s="23" t="s">
        <v>8</v>
      </c>
    </row>
    <row r="3320" spans="1:13" s="21" customFormat="1" x14ac:dyDescent="0.25">
      <c r="A3320" s="22" t="s">
        <v>8</v>
      </c>
      <c r="B3320" s="18" t="str">
        <f>"145781"</f>
        <v>145781</v>
      </c>
      <c r="C3320" s="19" t="s">
        <v>3311</v>
      </c>
      <c r="D3320" s="19" t="s">
        <v>18747</v>
      </c>
      <c r="E3320" s="19" t="s">
        <v>32094</v>
      </c>
      <c r="F3320" s="19" t="s">
        <v>35987</v>
      </c>
      <c r="G3320" s="18" t="str">
        <f>"60443"</f>
        <v>60443</v>
      </c>
      <c r="H3320" s="19" t="s">
        <v>33420</v>
      </c>
      <c r="I3320" s="20">
        <v>22.741</v>
      </c>
      <c r="J3320" s="44" t="s">
        <v>8</v>
      </c>
      <c r="K3320" s="23" t="s">
        <v>8</v>
      </c>
      <c r="L3320" s="23" t="s">
        <v>8</v>
      </c>
      <c r="M3320" s="23" t="s">
        <v>8</v>
      </c>
    </row>
    <row r="3321" spans="1:13" s="21" customFormat="1" x14ac:dyDescent="0.25">
      <c r="A3321" s="22" t="s">
        <v>8</v>
      </c>
      <c r="B3321" s="18" t="str">
        <f>"145783"</f>
        <v>145783</v>
      </c>
      <c r="C3321" s="19" t="s">
        <v>3312</v>
      </c>
      <c r="D3321" s="19" t="s">
        <v>18748</v>
      </c>
      <c r="E3321" s="19" t="s">
        <v>32095</v>
      </c>
      <c r="F3321" s="19" t="s">
        <v>35987</v>
      </c>
      <c r="G3321" s="18" t="str">
        <f>"62690"</f>
        <v>62690</v>
      </c>
      <c r="H3321" s="19" t="s">
        <v>36236</v>
      </c>
      <c r="I3321" s="20">
        <v>19.141999999999999</v>
      </c>
      <c r="J3321" s="44" t="s">
        <v>8</v>
      </c>
      <c r="K3321" s="23" t="s">
        <v>8</v>
      </c>
      <c r="L3321" s="23" t="s">
        <v>8</v>
      </c>
      <c r="M3321" s="23" t="s">
        <v>8</v>
      </c>
    </row>
    <row r="3322" spans="1:13" s="21" customFormat="1" x14ac:dyDescent="0.25">
      <c r="A3322" s="22" t="s">
        <v>8</v>
      </c>
      <c r="B3322" s="18" t="str">
        <f>"145784"</f>
        <v>145784</v>
      </c>
      <c r="C3322" s="19" t="s">
        <v>3313</v>
      </c>
      <c r="D3322" s="19" t="s">
        <v>18749</v>
      </c>
      <c r="E3322" s="19" t="s">
        <v>32096</v>
      </c>
      <c r="F3322" s="19" t="s">
        <v>35987</v>
      </c>
      <c r="G3322" s="18" t="str">
        <f>"60525"</f>
        <v>60525</v>
      </c>
      <c r="H3322" s="19" t="s">
        <v>33420</v>
      </c>
      <c r="I3322" s="20">
        <v>17.701000000000001</v>
      </c>
      <c r="J3322" s="44" t="s">
        <v>8</v>
      </c>
      <c r="K3322" s="23" t="s">
        <v>8</v>
      </c>
      <c r="L3322" s="23" t="s">
        <v>8</v>
      </c>
      <c r="M3322" s="23" t="s">
        <v>8</v>
      </c>
    </row>
    <row r="3323" spans="1:13" s="21" customFormat="1" x14ac:dyDescent="0.25">
      <c r="A3323" s="22" t="s">
        <v>8</v>
      </c>
      <c r="B3323" s="18" t="str">
        <f>"145785"</f>
        <v>145785</v>
      </c>
      <c r="C3323" s="19" t="s">
        <v>3314</v>
      </c>
      <c r="D3323" s="19" t="s">
        <v>18750</v>
      </c>
      <c r="E3323" s="19" t="s">
        <v>32024</v>
      </c>
      <c r="F3323" s="19" t="s">
        <v>35987</v>
      </c>
      <c r="G3323" s="18" t="str">
        <f>"62258"</f>
        <v>62258</v>
      </c>
      <c r="H3323" s="19" t="s">
        <v>33662</v>
      </c>
      <c r="I3323" s="20">
        <v>18.911999999999999</v>
      </c>
      <c r="J3323" s="44" t="s">
        <v>8</v>
      </c>
      <c r="K3323" s="23" t="s">
        <v>8</v>
      </c>
      <c r="L3323" s="23" t="s">
        <v>8</v>
      </c>
      <c r="M3323" s="23" t="s">
        <v>8</v>
      </c>
    </row>
    <row r="3324" spans="1:13" s="21" customFormat="1" x14ac:dyDescent="0.25">
      <c r="A3324" s="22" t="s">
        <v>8</v>
      </c>
      <c r="B3324" s="18" t="str">
        <f>"145786"</f>
        <v>145786</v>
      </c>
      <c r="C3324" s="19" t="s">
        <v>3315</v>
      </c>
      <c r="D3324" s="19" t="s">
        <v>18751</v>
      </c>
      <c r="E3324" s="19" t="s">
        <v>32097</v>
      </c>
      <c r="F3324" s="19" t="s">
        <v>35987</v>
      </c>
      <c r="G3324" s="18" t="str">
        <f>"60645"</f>
        <v>60645</v>
      </c>
      <c r="H3324" s="19" t="s">
        <v>33420</v>
      </c>
      <c r="I3324" s="20">
        <v>20.125</v>
      </c>
      <c r="J3324" s="44" t="s">
        <v>8</v>
      </c>
      <c r="K3324" s="23" t="s">
        <v>8</v>
      </c>
      <c r="L3324" s="23" t="s">
        <v>8</v>
      </c>
      <c r="M3324" s="23" t="s">
        <v>8</v>
      </c>
    </row>
    <row r="3325" spans="1:13" s="21" customFormat="1" x14ac:dyDescent="0.25">
      <c r="A3325" s="22" t="s">
        <v>8</v>
      </c>
      <c r="B3325" s="18" t="str">
        <f>"145789"</f>
        <v>145789</v>
      </c>
      <c r="C3325" s="19" t="s">
        <v>3316</v>
      </c>
      <c r="D3325" s="19" t="s">
        <v>18752</v>
      </c>
      <c r="E3325" s="19" t="s">
        <v>32009</v>
      </c>
      <c r="F3325" s="19" t="s">
        <v>35987</v>
      </c>
      <c r="G3325" s="18" t="str">
        <f>"61254"</f>
        <v>61254</v>
      </c>
      <c r="H3325" s="19" t="s">
        <v>32041</v>
      </c>
      <c r="I3325" s="20">
        <v>18.459</v>
      </c>
      <c r="J3325" s="44" t="s">
        <v>8</v>
      </c>
      <c r="K3325" s="23" t="s">
        <v>8</v>
      </c>
      <c r="L3325" s="23" t="s">
        <v>8</v>
      </c>
      <c r="M3325" s="23" t="s">
        <v>8</v>
      </c>
    </row>
    <row r="3326" spans="1:13" s="21" customFormat="1" x14ac:dyDescent="0.25">
      <c r="A3326" s="22" t="s">
        <v>8</v>
      </c>
      <c r="B3326" s="18" t="str">
        <f>"145791"</f>
        <v>145791</v>
      </c>
      <c r="C3326" s="19" t="s">
        <v>3317</v>
      </c>
      <c r="D3326" s="19" t="s">
        <v>18753</v>
      </c>
      <c r="E3326" s="19" t="s">
        <v>32063</v>
      </c>
      <c r="F3326" s="19" t="s">
        <v>35987</v>
      </c>
      <c r="G3326" s="18" t="str">
        <f>"62801"</f>
        <v>62801</v>
      </c>
      <c r="H3326" s="19" t="s">
        <v>30850</v>
      </c>
      <c r="I3326" s="20">
        <v>22.402000000000001</v>
      </c>
      <c r="J3326" s="44" t="s">
        <v>8</v>
      </c>
      <c r="K3326" s="23" t="s">
        <v>8</v>
      </c>
      <c r="L3326" s="23" t="s">
        <v>8</v>
      </c>
      <c r="M3326" s="23" t="s">
        <v>8</v>
      </c>
    </row>
    <row r="3327" spans="1:13" s="21" customFormat="1" x14ac:dyDescent="0.25">
      <c r="A3327" s="22" t="s">
        <v>8</v>
      </c>
      <c r="B3327" s="18" t="str">
        <f>"145792"</f>
        <v>145792</v>
      </c>
      <c r="C3327" s="19" t="s">
        <v>3318</v>
      </c>
      <c r="D3327" s="19" t="s">
        <v>18754</v>
      </c>
      <c r="E3327" s="19" t="s">
        <v>31934</v>
      </c>
      <c r="F3327" s="19" t="s">
        <v>35987</v>
      </c>
      <c r="G3327" s="18" t="str">
        <f>"60647"</f>
        <v>60647</v>
      </c>
      <c r="H3327" s="19" t="s">
        <v>33420</v>
      </c>
      <c r="I3327" s="20">
        <v>19.86</v>
      </c>
      <c r="J3327" s="44" t="s">
        <v>8</v>
      </c>
      <c r="K3327" s="23" t="s">
        <v>8</v>
      </c>
      <c r="L3327" s="23" t="s">
        <v>8</v>
      </c>
      <c r="M3327" s="23" t="s">
        <v>8</v>
      </c>
    </row>
    <row r="3328" spans="1:13" s="21" customFormat="1" x14ac:dyDescent="0.25">
      <c r="A3328" s="22" t="s">
        <v>8</v>
      </c>
      <c r="B3328" s="18" t="str">
        <f>"145793"</f>
        <v>145793</v>
      </c>
      <c r="C3328" s="19" t="s">
        <v>3319</v>
      </c>
      <c r="D3328" s="19" t="s">
        <v>18755</v>
      </c>
      <c r="E3328" s="19" t="s">
        <v>31791</v>
      </c>
      <c r="F3328" s="19" t="s">
        <v>35987</v>
      </c>
      <c r="G3328" s="18" t="str">
        <f>"61520"</f>
        <v>61520</v>
      </c>
      <c r="H3328" s="19" t="s">
        <v>32194</v>
      </c>
      <c r="I3328" s="20">
        <v>17.518999999999998</v>
      </c>
      <c r="J3328" s="44" t="s">
        <v>8</v>
      </c>
      <c r="K3328" s="23" t="s">
        <v>8</v>
      </c>
      <c r="L3328" s="23" t="s">
        <v>8</v>
      </c>
      <c r="M3328" s="23" t="s">
        <v>8</v>
      </c>
    </row>
    <row r="3329" spans="1:13" s="21" customFormat="1" x14ac:dyDescent="0.25">
      <c r="A3329" s="22" t="s">
        <v>8</v>
      </c>
      <c r="B3329" s="18" t="str">
        <f>"145794"</f>
        <v>145794</v>
      </c>
      <c r="C3329" s="19" t="s">
        <v>3320</v>
      </c>
      <c r="D3329" s="19" t="s">
        <v>18756</v>
      </c>
      <c r="E3329" s="19" t="s">
        <v>32098</v>
      </c>
      <c r="F3329" s="19" t="s">
        <v>35987</v>
      </c>
      <c r="G3329" s="18" t="str">
        <f>"61739"</f>
        <v>61739</v>
      </c>
      <c r="H3329" s="19" t="s">
        <v>33740</v>
      </c>
      <c r="I3329" s="20">
        <v>17.082999999999998</v>
      </c>
      <c r="J3329" s="44" t="s">
        <v>8</v>
      </c>
      <c r="K3329" s="23" t="s">
        <v>8</v>
      </c>
      <c r="L3329" s="23" t="s">
        <v>8</v>
      </c>
      <c r="M3329" s="23" t="s">
        <v>8</v>
      </c>
    </row>
    <row r="3330" spans="1:13" s="21" customFormat="1" x14ac:dyDescent="0.25">
      <c r="A3330" s="22" t="s">
        <v>8</v>
      </c>
      <c r="B3330" s="18" t="str">
        <f>"145795"</f>
        <v>145795</v>
      </c>
      <c r="C3330" s="19" t="s">
        <v>3321</v>
      </c>
      <c r="D3330" s="19" t="s">
        <v>18757</v>
      </c>
      <c r="E3330" s="19" t="s">
        <v>32099</v>
      </c>
      <c r="F3330" s="19" t="s">
        <v>35987</v>
      </c>
      <c r="G3330" s="18" t="str">
        <f>"60177"</f>
        <v>60177</v>
      </c>
      <c r="H3330" s="19" t="s">
        <v>34788</v>
      </c>
      <c r="I3330" s="20">
        <v>18.847999999999999</v>
      </c>
      <c r="J3330" s="44" t="s">
        <v>8</v>
      </c>
      <c r="K3330" s="23" t="s">
        <v>8</v>
      </c>
      <c r="L3330" s="23" t="s">
        <v>8</v>
      </c>
      <c r="M3330" s="23" t="s">
        <v>8</v>
      </c>
    </row>
    <row r="3331" spans="1:13" s="21" customFormat="1" x14ac:dyDescent="0.25">
      <c r="A3331" s="22" t="s">
        <v>8</v>
      </c>
      <c r="B3331" s="18" t="str">
        <f>"145796"</f>
        <v>145796</v>
      </c>
      <c r="C3331" s="19" t="s">
        <v>3322</v>
      </c>
      <c r="D3331" s="19" t="s">
        <v>18758</v>
      </c>
      <c r="E3331" s="19" t="s">
        <v>31934</v>
      </c>
      <c r="F3331" s="19" t="s">
        <v>35987</v>
      </c>
      <c r="G3331" s="18" t="str">
        <f>"60625"</f>
        <v>60625</v>
      </c>
      <c r="H3331" s="19" t="s">
        <v>33420</v>
      </c>
      <c r="I3331" s="20">
        <v>20.18</v>
      </c>
      <c r="J3331" s="44" t="s">
        <v>8</v>
      </c>
      <c r="K3331" s="23" t="s">
        <v>8</v>
      </c>
      <c r="L3331" s="23" t="s">
        <v>8</v>
      </c>
      <c r="M3331" s="23" t="s">
        <v>8</v>
      </c>
    </row>
    <row r="3332" spans="1:13" s="21" customFormat="1" x14ac:dyDescent="0.25">
      <c r="A3332" s="22" t="s">
        <v>8</v>
      </c>
      <c r="B3332" s="18" t="str">
        <f>"145798"</f>
        <v>145798</v>
      </c>
      <c r="C3332" s="19" t="s">
        <v>3323</v>
      </c>
      <c r="D3332" s="19" t="s">
        <v>18759</v>
      </c>
      <c r="E3332" s="19" t="s">
        <v>32100</v>
      </c>
      <c r="F3332" s="19" t="s">
        <v>35987</v>
      </c>
      <c r="G3332" s="18" t="str">
        <f>"60419"</f>
        <v>60419</v>
      </c>
      <c r="H3332" s="19" t="s">
        <v>33420</v>
      </c>
      <c r="I3332" s="20">
        <v>22.756</v>
      </c>
      <c r="J3332" s="44" t="s">
        <v>8</v>
      </c>
      <c r="K3332" s="23" t="s">
        <v>8</v>
      </c>
      <c r="L3332" s="23" t="s">
        <v>8</v>
      </c>
      <c r="M3332" s="23" t="s">
        <v>8</v>
      </c>
    </row>
    <row r="3333" spans="1:13" s="21" customFormat="1" x14ac:dyDescent="0.25">
      <c r="A3333" s="22" t="s">
        <v>8</v>
      </c>
      <c r="B3333" s="18" t="str">
        <f>"145800"</f>
        <v>145800</v>
      </c>
      <c r="C3333" s="19" t="s">
        <v>3324</v>
      </c>
      <c r="D3333" s="19" t="s">
        <v>18760</v>
      </c>
      <c r="E3333" s="19" t="s">
        <v>31311</v>
      </c>
      <c r="F3333" s="19" t="s">
        <v>35987</v>
      </c>
      <c r="G3333" s="18" t="str">
        <f>"62301"</f>
        <v>62301</v>
      </c>
      <c r="H3333" s="19" t="s">
        <v>33467</v>
      </c>
      <c r="I3333" s="20">
        <v>18.318999999999999</v>
      </c>
      <c r="J3333" s="44" t="s">
        <v>8</v>
      </c>
      <c r="K3333" s="23" t="s">
        <v>8</v>
      </c>
      <c r="L3333" s="23" t="s">
        <v>8</v>
      </c>
      <c r="M3333" s="23" t="s">
        <v>8</v>
      </c>
    </row>
    <row r="3334" spans="1:13" s="21" customFormat="1" x14ac:dyDescent="0.25">
      <c r="A3334" s="22" t="s">
        <v>8</v>
      </c>
      <c r="B3334" s="18" t="str">
        <f>"145801"</f>
        <v>145801</v>
      </c>
      <c r="C3334" s="19" t="s">
        <v>3325</v>
      </c>
      <c r="D3334" s="19" t="s">
        <v>18761</v>
      </c>
      <c r="E3334" s="19" t="s">
        <v>31994</v>
      </c>
      <c r="F3334" s="19" t="s">
        <v>35987</v>
      </c>
      <c r="G3334" s="18" t="str">
        <f>"61350"</f>
        <v>61350</v>
      </c>
      <c r="H3334" s="19" t="s">
        <v>31983</v>
      </c>
      <c r="I3334" s="20">
        <v>19.268999999999998</v>
      </c>
      <c r="J3334" s="44" t="s">
        <v>8</v>
      </c>
      <c r="K3334" s="23" t="s">
        <v>8</v>
      </c>
      <c r="L3334" s="23" t="s">
        <v>8</v>
      </c>
      <c r="M3334" s="23" t="s">
        <v>8</v>
      </c>
    </row>
    <row r="3335" spans="1:13" s="21" customFormat="1" x14ac:dyDescent="0.25">
      <c r="A3335" s="22" t="s">
        <v>8</v>
      </c>
      <c r="B3335" s="18" t="str">
        <f>"145803"</f>
        <v>145803</v>
      </c>
      <c r="C3335" s="19" t="s">
        <v>3326</v>
      </c>
      <c r="D3335" s="19" t="s">
        <v>18762</v>
      </c>
      <c r="E3335" s="19" t="s">
        <v>31917</v>
      </c>
      <c r="F3335" s="19" t="s">
        <v>35987</v>
      </c>
      <c r="G3335" s="18" t="str">
        <f>"60201"</f>
        <v>60201</v>
      </c>
      <c r="H3335" s="19" t="s">
        <v>33420</v>
      </c>
      <c r="I3335" s="20">
        <v>19.2</v>
      </c>
      <c r="J3335" s="44" t="s">
        <v>8</v>
      </c>
      <c r="K3335" s="23" t="s">
        <v>8</v>
      </c>
      <c r="L3335" s="23" t="s">
        <v>8</v>
      </c>
      <c r="M3335" s="23" t="s">
        <v>8</v>
      </c>
    </row>
    <row r="3336" spans="1:13" s="21" customFormat="1" x14ac:dyDescent="0.25">
      <c r="A3336" s="22" t="s">
        <v>8</v>
      </c>
      <c r="B3336" s="18" t="str">
        <f>"145804"</f>
        <v>145804</v>
      </c>
      <c r="C3336" s="19" t="s">
        <v>3327</v>
      </c>
      <c r="D3336" s="19" t="s">
        <v>18763</v>
      </c>
      <c r="E3336" s="19" t="s">
        <v>32059</v>
      </c>
      <c r="F3336" s="19" t="s">
        <v>35987</v>
      </c>
      <c r="G3336" s="18" t="str">
        <f>"60516"</f>
        <v>60516</v>
      </c>
      <c r="H3336" s="19" t="s">
        <v>36231</v>
      </c>
      <c r="I3336" s="20">
        <v>15.971</v>
      </c>
      <c r="J3336" s="44" t="s">
        <v>8</v>
      </c>
      <c r="K3336" s="23" t="s">
        <v>8</v>
      </c>
      <c r="L3336" s="23" t="s">
        <v>8</v>
      </c>
      <c r="M3336" s="23" t="s">
        <v>8</v>
      </c>
    </row>
    <row r="3337" spans="1:13" s="21" customFormat="1" x14ac:dyDescent="0.25">
      <c r="A3337" s="22" t="s">
        <v>8</v>
      </c>
      <c r="B3337" s="18" t="str">
        <f>"145806"</f>
        <v>145806</v>
      </c>
      <c r="C3337" s="19" t="s">
        <v>3328</v>
      </c>
      <c r="D3337" s="19" t="s">
        <v>18764</v>
      </c>
      <c r="E3337" s="19" t="s">
        <v>31934</v>
      </c>
      <c r="F3337" s="19" t="s">
        <v>35987</v>
      </c>
      <c r="G3337" s="18" t="str">
        <f>"60645"</f>
        <v>60645</v>
      </c>
      <c r="H3337" s="19" t="s">
        <v>33420</v>
      </c>
      <c r="I3337" s="20">
        <v>19.661000000000001</v>
      </c>
      <c r="J3337" s="44" t="s">
        <v>8</v>
      </c>
      <c r="K3337" s="23" t="s">
        <v>8</v>
      </c>
      <c r="L3337" s="23" t="s">
        <v>8</v>
      </c>
      <c r="M3337" s="23" t="s">
        <v>8</v>
      </c>
    </row>
    <row r="3338" spans="1:13" s="21" customFormat="1" x14ac:dyDescent="0.25">
      <c r="A3338" s="22" t="s">
        <v>8</v>
      </c>
      <c r="B3338" s="18" t="str">
        <f>"145807"</f>
        <v>145807</v>
      </c>
      <c r="C3338" s="19" t="s">
        <v>3329</v>
      </c>
      <c r="D3338" s="19" t="s">
        <v>18765</v>
      </c>
      <c r="E3338" s="19" t="s">
        <v>32101</v>
      </c>
      <c r="F3338" s="19" t="s">
        <v>35987</v>
      </c>
      <c r="G3338" s="18" t="str">
        <f>"62448"</f>
        <v>62448</v>
      </c>
      <c r="H3338" s="19" t="s">
        <v>30854</v>
      </c>
      <c r="I3338" s="20">
        <v>18.361000000000001</v>
      </c>
      <c r="J3338" s="44" t="s">
        <v>8</v>
      </c>
      <c r="K3338" s="23" t="s">
        <v>8</v>
      </c>
      <c r="L3338" s="23" t="s">
        <v>8</v>
      </c>
      <c r="M3338" s="23" t="s">
        <v>8</v>
      </c>
    </row>
    <row r="3339" spans="1:13" s="21" customFormat="1" x14ac:dyDescent="0.25">
      <c r="A3339" s="22" t="s">
        <v>8</v>
      </c>
      <c r="B3339" s="18" t="str">
        <f>"145809"</f>
        <v>145809</v>
      </c>
      <c r="C3339" s="19" t="s">
        <v>3330</v>
      </c>
      <c r="D3339" s="19" t="s">
        <v>18766</v>
      </c>
      <c r="E3339" s="19" t="s">
        <v>31937</v>
      </c>
      <c r="F3339" s="19" t="s">
        <v>35987</v>
      </c>
      <c r="G3339" s="18" t="str">
        <f>"60062"</f>
        <v>60062</v>
      </c>
      <c r="H3339" s="19" t="s">
        <v>33420</v>
      </c>
      <c r="I3339" s="20">
        <v>21.64</v>
      </c>
      <c r="J3339" s="44" t="s">
        <v>8</v>
      </c>
      <c r="K3339" s="23" t="s">
        <v>8</v>
      </c>
      <c r="L3339" s="23" t="s">
        <v>8</v>
      </c>
      <c r="M3339" s="23" t="s">
        <v>8</v>
      </c>
    </row>
    <row r="3340" spans="1:13" s="21" customFormat="1" x14ac:dyDescent="0.25">
      <c r="A3340" s="22" t="s">
        <v>8</v>
      </c>
      <c r="B3340" s="18" t="str">
        <f>"145811"</f>
        <v>145811</v>
      </c>
      <c r="C3340" s="19" t="s">
        <v>3331</v>
      </c>
      <c r="D3340" s="19" t="s">
        <v>18767</v>
      </c>
      <c r="E3340" s="19" t="s">
        <v>31949</v>
      </c>
      <c r="F3340" s="19" t="s">
        <v>35987</v>
      </c>
      <c r="G3340" s="18" t="str">
        <f>"61614"</f>
        <v>61614</v>
      </c>
      <c r="H3340" s="19" t="s">
        <v>30954</v>
      </c>
      <c r="I3340" s="20">
        <v>22.385999999999999</v>
      </c>
      <c r="J3340" s="44" t="s">
        <v>8</v>
      </c>
      <c r="K3340" s="23" t="s">
        <v>8</v>
      </c>
      <c r="L3340" s="23" t="s">
        <v>8</v>
      </c>
      <c r="M3340" s="23" t="s">
        <v>8</v>
      </c>
    </row>
    <row r="3341" spans="1:13" s="21" customFormat="1" x14ac:dyDescent="0.25">
      <c r="A3341" s="22" t="s">
        <v>8</v>
      </c>
      <c r="B3341" s="18" t="str">
        <f>"145813"</f>
        <v>145813</v>
      </c>
      <c r="C3341" s="19" t="s">
        <v>3332</v>
      </c>
      <c r="D3341" s="19" t="s">
        <v>18768</v>
      </c>
      <c r="E3341" s="19" t="s">
        <v>31980</v>
      </c>
      <c r="F3341" s="19" t="s">
        <v>35987</v>
      </c>
      <c r="G3341" s="18" t="str">
        <f>"62960"</f>
        <v>62960</v>
      </c>
      <c r="H3341" s="19" t="s">
        <v>36239</v>
      </c>
      <c r="I3341" s="20">
        <v>16.195</v>
      </c>
      <c r="J3341" s="44" t="s">
        <v>8</v>
      </c>
      <c r="K3341" s="23" t="s">
        <v>8</v>
      </c>
      <c r="L3341" s="23" t="s">
        <v>8</v>
      </c>
      <c r="M3341" s="23" t="s">
        <v>8</v>
      </c>
    </row>
    <row r="3342" spans="1:13" s="21" customFormat="1" x14ac:dyDescent="0.25">
      <c r="A3342" s="22" t="s">
        <v>8</v>
      </c>
      <c r="B3342" s="18" t="str">
        <f>"145816"</f>
        <v>145816</v>
      </c>
      <c r="C3342" s="19" t="s">
        <v>3333</v>
      </c>
      <c r="D3342" s="19" t="s">
        <v>18769</v>
      </c>
      <c r="E3342" s="19" t="s">
        <v>32102</v>
      </c>
      <c r="F3342" s="19" t="s">
        <v>35987</v>
      </c>
      <c r="G3342" s="18" t="str">
        <f>"60047"</f>
        <v>60047</v>
      </c>
      <c r="H3342" s="19" t="s">
        <v>36096</v>
      </c>
      <c r="I3342" s="20">
        <v>17.754999999999999</v>
      </c>
      <c r="J3342" s="44" t="s">
        <v>8</v>
      </c>
      <c r="K3342" s="23" t="s">
        <v>8</v>
      </c>
      <c r="L3342" s="23" t="s">
        <v>8</v>
      </c>
      <c r="M3342" s="23" t="s">
        <v>8</v>
      </c>
    </row>
    <row r="3343" spans="1:13" s="21" customFormat="1" x14ac:dyDescent="0.25">
      <c r="A3343" s="22" t="s">
        <v>8</v>
      </c>
      <c r="B3343" s="18" t="str">
        <f>"145818"</f>
        <v>145818</v>
      </c>
      <c r="C3343" s="19" t="s">
        <v>3334</v>
      </c>
      <c r="D3343" s="19" t="s">
        <v>18770</v>
      </c>
      <c r="E3343" s="19" t="s">
        <v>31935</v>
      </c>
      <c r="F3343" s="19" t="s">
        <v>35987</v>
      </c>
      <c r="G3343" s="18" t="str">
        <f>"61103"</f>
        <v>61103</v>
      </c>
      <c r="H3343" s="19" t="s">
        <v>36233</v>
      </c>
      <c r="I3343" s="20">
        <v>16.765000000000001</v>
      </c>
      <c r="J3343" s="44" t="s">
        <v>8</v>
      </c>
      <c r="K3343" s="23" t="s">
        <v>8</v>
      </c>
      <c r="L3343" s="23" t="s">
        <v>8</v>
      </c>
      <c r="M3343" s="23" t="s">
        <v>8</v>
      </c>
    </row>
    <row r="3344" spans="1:13" s="21" customFormat="1" x14ac:dyDescent="0.25">
      <c r="A3344" s="22" t="s">
        <v>8</v>
      </c>
      <c r="B3344" s="18" t="str">
        <f>"145819"</f>
        <v>145819</v>
      </c>
      <c r="C3344" s="19" t="s">
        <v>3335</v>
      </c>
      <c r="D3344" s="19" t="s">
        <v>18771</v>
      </c>
      <c r="E3344" s="19" t="s">
        <v>32103</v>
      </c>
      <c r="F3344" s="19" t="s">
        <v>35987</v>
      </c>
      <c r="G3344" s="18" t="str">
        <f>"60089"</f>
        <v>60089</v>
      </c>
      <c r="H3344" s="19" t="s">
        <v>36096</v>
      </c>
      <c r="I3344" s="20">
        <v>20.873000000000001</v>
      </c>
      <c r="J3344" s="44" t="s">
        <v>8</v>
      </c>
      <c r="K3344" s="23" t="s">
        <v>8</v>
      </c>
      <c r="L3344" s="23" t="s">
        <v>8</v>
      </c>
      <c r="M3344" s="23" t="s">
        <v>8</v>
      </c>
    </row>
    <row r="3345" spans="1:13" s="21" customFormat="1" x14ac:dyDescent="0.25">
      <c r="A3345" s="22" t="s">
        <v>8</v>
      </c>
      <c r="B3345" s="18" t="str">
        <f>"145820"</f>
        <v>145820</v>
      </c>
      <c r="C3345" s="19" t="s">
        <v>3336</v>
      </c>
      <c r="D3345" s="19" t="s">
        <v>18772</v>
      </c>
      <c r="E3345" s="19" t="s">
        <v>32104</v>
      </c>
      <c r="F3345" s="19" t="s">
        <v>35987</v>
      </c>
      <c r="G3345" s="18" t="str">
        <f>"62353"</f>
        <v>62353</v>
      </c>
      <c r="H3345" s="19" t="s">
        <v>36244</v>
      </c>
      <c r="I3345" s="20">
        <v>19.396000000000001</v>
      </c>
      <c r="J3345" s="44" t="s">
        <v>8</v>
      </c>
      <c r="K3345" s="23" t="s">
        <v>8</v>
      </c>
      <c r="L3345" s="23" t="s">
        <v>8</v>
      </c>
      <c r="M3345" s="23" t="s">
        <v>8</v>
      </c>
    </row>
    <row r="3346" spans="1:13" s="21" customFormat="1" x14ac:dyDescent="0.25">
      <c r="A3346" s="22" t="s">
        <v>8</v>
      </c>
      <c r="B3346" s="18" t="str">
        <f>"145821"</f>
        <v>145821</v>
      </c>
      <c r="C3346" s="19" t="s">
        <v>3337</v>
      </c>
      <c r="D3346" s="19" t="s">
        <v>18773</v>
      </c>
      <c r="E3346" s="19" t="s">
        <v>31915</v>
      </c>
      <c r="F3346" s="19" t="s">
        <v>35987</v>
      </c>
      <c r="G3346" s="18" t="str">
        <f>"60123"</f>
        <v>60123</v>
      </c>
      <c r="H3346" s="19" t="s">
        <v>34788</v>
      </c>
      <c r="I3346" s="20">
        <v>17.39</v>
      </c>
      <c r="J3346" s="44" t="s">
        <v>8</v>
      </c>
      <c r="K3346" s="23" t="s">
        <v>8</v>
      </c>
      <c r="L3346" s="23" t="s">
        <v>8</v>
      </c>
      <c r="M3346" s="23" t="s">
        <v>8</v>
      </c>
    </row>
    <row r="3347" spans="1:13" s="21" customFormat="1" x14ac:dyDescent="0.25">
      <c r="A3347" s="22" t="s">
        <v>8</v>
      </c>
      <c r="B3347" s="18" t="str">
        <f>"145825"</f>
        <v>145825</v>
      </c>
      <c r="C3347" s="19" t="s">
        <v>3338</v>
      </c>
      <c r="D3347" s="19" t="s">
        <v>18774</v>
      </c>
      <c r="E3347" s="19" t="s">
        <v>32099</v>
      </c>
      <c r="F3347" s="19" t="s">
        <v>35987</v>
      </c>
      <c r="G3347" s="18" t="str">
        <f>"60177"</f>
        <v>60177</v>
      </c>
      <c r="H3347" s="19" t="s">
        <v>34788</v>
      </c>
      <c r="I3347" s="20">
        <v>20.859000000000002</v>
      </c>
      <c r="J3347" s="44" t="s">
        <v>8</v>
      </c>
      <c r="K3347" s="23" t="s">
        <v>8</v>
      </c>
      <c r="L3347" s="23" t="s">
        <v>8</v>
      </c>
      <c r="M3347" s="23" t="s">
        <v>8</v>
      </c>
    </row>
    <row r="3348" spans="1:13" s="21" customFormat="1" x14ac:dyDescent="0.25">
      <c r="A3348" s="22" t="s">
        <v>8</v>
      </c>
      <c r="B3348" s="18" t="str">
        <f>"145827"</f>
        <v>145827</v>
      </c>
      <c r="C3348" s="19" t="s">
        <v>3339</v>
      </c>
      <c r="D3348" s="19" t="s">
        <v>18775</v>
      </c>
      <c r="E3348" s="19" t="s">
        <v>32105</v>
      </c>
      <c r="F3348" s="19" t="s">
        <v>35987</v>
      </c>
      <c r="G3348" s="18" t="str">
        <f>"60513"</f>
        <v>60513</v>
      </c>
      <c r="H3348" s="19" t="s">
        <v>33420</v>
      </c>
      <c r="I3348" s="20">
        <v>21.896000000000001</v>
      </c>
      <c r="J3348" s="44" t="s">
        <v>8</v>
      </c>
      <c r="K3348" s="23" t="s">
        <v>8</v>
      </c>
      <c r="L3348" s="23" t="s">
        <v>8</v>
      </c>
      <c r="M3348" s="23" t="s">
        <v>8</v>
      </c>
    </row>
    <row r="3349" spans="1:13" s="21" customFormat="1" x14ac:dyDescent="0.25">
      <c r="A3349" s="22" t="s">
        <v>8</v>
      </c>
      <c r="B3349" s="18" t="str">
        <f>"145828"</f>
        <v>145828</v>
      </c>
      <c r="C3349" s="19" t="s">
        <v>3340</v>
      </c>
      <c r="D3349" s="19" t="s">
        <v>18776</v>
      </c>
      <c r="E3349" s="19" t="s">
        <v>31934</v>
      </c>
      <c r="F3349" s="19" t="s">
        <v>35987</v>
      </c>
      <c r="G3349" s="18" t="str">
        <f>"60653"</f>
        <v>60653</v>
      </c>
      <c r="H3349" s="19" t="s">
        <v>33420</v>
      </c>
      <c r="I3349" s="20">
        <v>20.603999999999999</v>
      </c>
      <c r="J3349" s="44" t="s">
        <v>8</v>
      </c>
      <c r="K3349" s="23" t="s">
        <v>8</v>
      </c>
      <c r="L3349" s="23" t="s">
        <v>8</v>
      </c>
      <c r="M3349" s="23" t="s">
        <v>8</v>
      </c>
    </row>
    <row r="3350" spans="1:13" s="21" customFormat="1" x14ac:dyDescent="0.25">
      <c r="A3350" s="22" t="s">
        <v>8</v>
      </c>
      <c r="B3350" s="18" t="str">
        <f>"145829"</f>
        <v>145829</v>
      </c>
      <c r="C3350" s="19" t="s">
        <v>3341</v>
      </c>
      <c r="D3350" s="19" t="s">
        <v>18777</v>
      </c>
      <c r="E3350" s="19" t="s">
        <v>31934</v>
      </c>
      <c r="F3350" s="19" t="s">
        <v>35987</v>
      </c>
      <c r="G3350" s="18" t="str">
        <f>"60616"</f>
        <v>60616</v>
      </c>
      <c r="H3350" s="19" t="s">
        <v>33420</v>
      </c>
      <c r="I3350" s="20">
        <v>19.995000000000001</v>
      </c>
      <c r="J3350" s="44" t="s">
        <v>8</v>
      </c>
      <c r="K3350" s="23" t="s">
        <v>8</v>
      </c>
      <c r="L3350" s="23" t="s">
        <v>8</v>
      </c>
      <c r="M3350" s="23" t="s">
        <v>8</v>
      </c>
    </row>
    <row r="3351" spans="1:13" s="21" customFormat="1" x14ac:dyDescent="0.25">
      <c r="A3351" s="22" t="s">
        <v>8</v>
      </c>
      <c r="B3351" s="18" t="str">
        <f>"145830"</f>
        <v>145830</v>
      </c>
      <c r="C3351" s="19" t="s">
        <v>3342</v>
      </c>
      <c r="D3351" s="19" t="s">
        <v>18778</v>
      </c>
      <c r="E3351" s="19" t="s">
        <v>32106</v>
      </c>
      <c r="F3351" s="19" t="s">
        <v>35987</v>
      </c>
      <c r="G3351" s="18" t="str">
        <f>"60185"</f>
        <v>60185</v>
      </c>
      <c r="H3351" s="19" t="s">
        <v>36231</v>
      </c>
      <c r="I3351" s="20">
        <v>19.847999999999999</v>
      </c>
      <c r="J3351" s="44" t="s">
        <v>8</v>
      </c>
      <c r="K3351" s="23" t="s">
        <v>8</v>
      </c>
      <c r="L3351" s="23" t="s">
        <v>8</v>
      </c>
      <c r="M3351" s="23" t="s">
        <v>8</v>
      </c>
    </row>
    <row r="3352" spans="1:13" s="21" customFormat="1" x14ac:dyDescent="0.25">
      <c r="A3352" s="22" t="s">
        <v>8</v>
      </c>
      <c r="B3352" s="18" t="str">
        <f>"145832"</f>
        <v>145832</v>
      </c>
      <c r="C3352" s="19" t="s">
        <v>3343</v>
      </c>
      <c r="D3352" s="19" t="s">
        <v>18779</v>
      </c>
      <c r="E3352" s="19" t="s">
        <v>31934</v>
      </c>
      <c r="F3352" s="19" t="s">
        <v>35987</v>
      </c>
      <c r="G3352" s="18" t="str">
        <f>"60626"</f>
        <v>60626</v>
      </c>
      <c r="H3352" s="19" t="s">
        <v>33420</v>
      </c>
      <c r="I3352" s="20">
        <v>19.43</v>
      </c>
      <c r="J3352" s="44" t="s">
        <v>8</v>
      </c>
      <c r="K3352" s="23" t="s">
        <v>8</v>
      </c>
      <c r="L3352" s="23" t="s">
        <v>8</v>
      </c>
      <c r="M3352" s="23" t="s">
        <v>8</v>
      </c>
    </row>
    <row r="3353" spans="1:13" s="21" customFormat="1" x14ac:dyDescent="0.25">
      <c r="A3353" s="22" t="s">
        <v>8</v>
      </c>
      <c r="B3353" s="18" t="str">
        <f>"145834"</f>
        <v>145834</v>
      </c>
      <c r="C3353" s="19" t="s">
        <v>3344</v>
      </c>
      <c r="D3353" s="19" t="s">
        <v>18780</v>
      </c>
      <c r="E3353" s="19" t="s">
        <v>31934</v>
      </c>
      <c r="F3353" s="19" t="s">
        <v>35987</v>
      </c>
      <c r="G3353" s="18" t="str">
        <f>"60644"</f>
        <v>60644</v>
      </c>
      <c r="H3353" s="19" t="s">
        <v>33420</v>
      </c>
      <c r="I3353" s="20">
        <v>19.957000000000001</v>
      </c>
      <c r="J3353" s="44" t="s">
        <v>8</v>
      </c>
      <c r="K3353" s="23" t="s">
        <v>8</v>
      </c>
      <c r="L3353" s="23" t="s">
        <v>8</v>
      </c>
      <c r="M3353" s="23" t="s">
        <v>8</v>
      </c>
    </row>
    <row r="3354" spans="1:13" s="21" customFormat="1" x14ac:dyDescent="0.25">
      <c r="A3354" s="22" t="s">
        <v>8</v>
      </c>
      <c r="B3354" s="18" t="str">
        <f>"145835"</f>
        <v>145835</v>
      </c>
      <c r="C3354" s="19" t="s">
        <v>3345</v>
      </c>
      <c r="D3354" s="19" t="s">
        <v>18781</v>
      </c>
      <c r="E3354" s="19" t="s">
        <v>32079</v>
      </c>
      <c r="F3354" s="19" t="s">
        <v>35987</v>
      </c>
      <c r="G3354" s="18" t="str">
        <f>"60090"</f>
        <v>60090</v>
      </c>
      <c r="H3354" s="19" t="s">
        <v>33420</v>
      </c>
      <c r="I3354" s="20">
        <v>19.524000000000001</v>
      </c>
      <c r="J3354" s="44" t="s">
        <v>8</v>
      </c>
      <c r="K3354" s="23" t="s">
        <v>8</v>
      </c>
      <c r="L3354" s="23" t="s">
        <v>8</v>
      </c>
      <c r="M3354" s="23" t="s">
        <v>8</v>
      </c>
    </row>
    <row r="3355" spans="1:13" s="21" customFormat="1" x14ac:dyDescent="0.25">
      <c r="A3355" s="22" t="s">
        <v>8</v>
      </c>
      <c r="B3355" s="18" t="str">
        <f>"145836"</f>
        <v>145836</v>
      </c>
      <c r="C3355" s="19" t="s">
        <v>3346</v>
      </c>
      <c r="D3355" s="19" t="s">
        <v>18782</v>
      </c>
      <c r="E3355" s="19" t="s">
        <v>31910</v>
      </c>
      <c r="F3355" s="19" t="s">
        <v>35987</v>
      </c>
      <c r="G3355" s="18" t="str">
        <f>"62565"</f>
        <v>62565</v>
      </c>
      <c r="H3355" s="19" t="s">
        <v>33565</v>
      </c>
      <c r="I3355" s="20">
        <v>18.478000000000002</v>
      </c>
      <c r="J3355" s="44" t="s">
        <v>8</v>
      </c>
      <c r="K3355" s="23" t="s">
        <v>8</v>
      </c>
      <c r="L3355" s="23" t="s">
        <v>8</v>
      </c>
      <c r="M3355" s="23" t="s">
        <v>8</v>
      </c>
    </row>
    <row r="3356" spans="1:13" s="21" customFormat="1" x14ac:dyDescent="0.25">
      <c r="A3356" s="22" t="s">
        <v>8</v>
      </c>
      <c r="B3356" s="18" t="str">
        <f>"145837"</f>
        <v>145837</v>
      </c>
      <c r="C3356" s="19" t="s">
        <v>3347</v>
      </c>
      <c r="D3356" s="19" t="s">
        <v>18783</v>
      </c>
      <c r="E3356" s="19" t="s">
        <v>32107</v>
      </c>
      <c r="F3356" s="19" t="s">
        <v>35987</v>
      </c>
      <c r="G3356" s="18" t="str">
        <f>"62363"</f>
        <v>62363</v>
      </c>
      <c r="H3356" s="19" t="s">
        <v>36033</v>
      </c>
      <c r="I3356" s="20">
        <v>18.812999999999999</v>
      </c>
      <c r="J3356" s="44" t="s">
        <v>8</v>
      </c>
      <c r="K3356" s="23" t="s">
        <v>8</v>
      </c>
      <c r="L3356" s="23" t="s">
        <v>8</v>
      </c>
      <c r="M3356" s="23" t="s">
        <v>8</v>
      </c>
    </row>
    <row r="3357" spans="1:13" s="21" customFormat="1" x14ac:dyDescent="0.25">
      <c r="A3357" s="22" t="s">
        <v>8</v>
      </c>
      <c r="B3357" s="18" t="str">
        <f>"145838"</f>
        <v>145838</v>
      </c>
      <c r="C3357" s="19" t="s">
        <v>3348</v>
      </c>
      <c r="D3357" s="19" t="s">
        <v>18784</v>
      </c>
      <c r="E3357" s="19" t="s">
        <v>31934</v>
      </c>
      <c r="F3357" s="19" t="s">
        <v>35987</v>
      </c>
      <c r="G3357" s="18" t="str">
        <f>"60646"</f>
        <v>60646</v>
      </c>
      <c r="H3357" s="19" t="s">
        <v>33420</v>
      </c>
      <c r="I3357" s="20">
        <v>19.965</v>
      </c>
      <c r="J3357" s="44" t="s">
        <v>8</v>
      </c>
      <c r="K3357" s="23" t="s">
        <v>8</v>
      </c>
      <c r="L3357" s="23" t="s">
        <v>8</v>
      </c>
      <c r="M3357" s="23" t="s">
        <v>8</v>
      </c>
    </row>
    <row r="3358" spans="1:13" s="21" customFormat="1" x14ac:dyDescent="0.25">
      <c r="A3358" s="22" t="s">
        <v>8</v>
      </c>
      <c r="B3358" s="18" t="str">
        <f>"145839"</f>
        <v>145839</v>
      </c>
      <c r="C3358" s="19" t="s">
        <v>3349</v>
      </c>
      <c r="D3358" s="19" t="s">
        <v>18785</v>
      </c>
      <c r="E3358" s="19" t="s">
        <v>31967</v>
      </c>
      <c r="F3358" s="19" t="s">
        <v>35987</v>
      </c>
      <c r="G3358" s="18" t="str">
        <f>"60068"</f>
        <v>60068</v>
      </c>
      <c r="H3358" s="19" t="s">
        <v>33420</v>
      </c>
      <c r="I3358" s="20">
        <v>19.962</v>
      </c>
      <c r="J3358" s="44" t="s">
        <v>8</v>
      </c>
      <c r="K3358" s="23" t="s">
        <v>8</v>
      </c>
      <c r="L3358" s="23" t="s">
        <v>8</v>
      </c>
      <c r="M3358" s="23" t="s">
        <v>8</v>
      </c>
    </row>
    <row r="3359" spans="1:13" s="21" customFormat="1" x14ac:dyDescent="0.25">
      <c r="A3359" s="22" t="s">
        <v>8</v>
      </c>
      <c r="B3359" s="18" t="str">
        <f>"145840"</f>
        <v>145840</v>
      </c>
      <c r="C3359" s="19" t="s">
        <v>3350</v>
      </c>
      <c r="D3359" s="19" t="s">
        <v>18786</v>
      </c>
      <c r="E3359" s="19" t="s">
        <v>31925</v>
      </c>
      <c r="F3359" s="19" t="s">
        <v>35987</v>
      </c>
      <c r="G3359" s="18" t="str">
        <f>"60563"</f>
        <v>60563</v>
      </c>
      <c r="H3359" s="19" t="s">
        <v>36231</v>
      </c>
      <c r="I3359" s="20">
        <v>19.321999999999999</v>
      </c>
      <c r="J3359" s="44" t="s">
        <v>8</v>
      </c>
      <c r="K3359" s="23" t="s">
        <v>8</v>
      </c>
      <c r="L3359" s="23" t="s">
        <v>8</v>
      </c>
      <c r="M3359" s="23" t="s">
        <v>8</v>
      </c>
    </row>
    <row r="3360" spans="1:13" s="21" customFormat="1" x14ac:dyDescent="0.25">
      <c r="A3360" s="22" t="s">
        <v>8</v>
      </c>
      <c r="B3360" s="18" t="str">
        <f>"145841"</f>
        <v>145841</v>
      </c>
      <c r="C3360" s="19" t="s">
        <v>3351</v>
      </c>
      <c r="D3360" s="19" t="s">
        <v>18787</v>
      </c>
      <c r="E3360" s="19" t="s">
        <v>30850</v>
      </c>
      <c r="F3360" s="19" t="s">
        <v>35987</v>
      </c>
      <c r="G3360" s="18" t="str">
        <f>"62959"</f>
        <v>62959</v>
      </c>
      <c r="H3360" s="19" t="s">
        <v>35514</v>
      </c>
      <c r="I3360" s="20">
        <v>22.212</v>
      </c>
      <c r="J3360" s="44" t="s">
        <v>8</v>
      </c>
      <c r="K3360" s="23" t="s">
        <v>8</v>
      </c>
      <c r="L3360" s="23" t="s">
        <v>8</v>
      </c>
      <c r="M3360" s="23" t="s">
        <v>8</v>
      </c>
    </row>
    <row r="3361" spans="1:13" s="21" customFormat="1" x14ac:dyDescent="0.25">
      <c r="A3361" s="22" t="s">
        <v>8</v>
      </c>
      <c r="B3361" s="18" t="str">
        <f>"145842"</f>
        <v>145842</v>
      </c>
      <c r="C3361" s="19" t="s">
        <v>3352</v>
      </c>
      <c r="D3361" s="19" t="s">
        <v>18788</v>
      </c>
      <c r="E3361" s="19" t="s">
        <v>32108</v>
      </c>
      <c r="F3361" s="19" t="s">
        <v>35987</v>
      </c>
      <c r="G3361" s="18" t="str">
        <f>"61740"</f>
        <v>61740</v>
      </c>
      <c r="H3361" s="19" t="s">
        <v>33740</v>
      </c>
      <c r="I3361" s="20">
        <v>22.445</v>
      </c>
      <c r="J3361" s="44" t="s">
        <v>8</v>
      </c>
      <c r="K3361" s="23" t="s">
        <v>8</v>
      </c>
      <c r="L3361" s="23" t="s">
        <v>8</v>
      </c>
      <c r="M3361" s="23" t="s">
        <v>8</v>
      </c>
    </row>
    <row r="3362" spans="1:13" s="21" customFormat="1" x14ac:dyDescent="0.25">
      <c r="A3362" s="22" t="s">
        <v>8</v>
      </c>
      <c r="B3362" s="18" t="str">
        <f>"145843"</f>
        <v>145843</v>
      </c>
      <c r="C3362" s="19" t="s">
        <v>3353</v>
      </c>
      <c r="D3362" s="19" t="s">
        <v>18789</v>
      </c>
      <c r="E3362" s="19" t="s">
        <v>31924</v>
      </c>
      <c r="F3362" s="19" t="s">
        <v>35987</v>
      </c>
      <c r="G3362" s="18" t="str">
        <f>"60901"</f>
        <v>60901</v>
      </c>
      <c r="H3362" s="19" t="s">
        <v>31924</v>
      </c>
      <c r="I3362" s="20">
        <v>19.193000000000001</v>
      </c>
      <c r="J3362" s="44" t="s">
        <v>8</v>
      </c>
      <c r="K3362" s="23" t="s">
        <v>8</v>
      </c>
      <c r="L3362" s="23" t="s">
        <v>8</v>
      </c>
      <c r="M3362" s="23" t="s">
        <v>8</v>
      </c>
    </row>
    <row r="3363" spans="1:13" s="21" customFormat="1" x14ac:dyDescent="0.25">
      <c r="A3363" s="22" t="s">
        <v>8</v>
      </c>
      <c r="B3363" s="18" t="str">
        <f>"145844"</f>
        <v>145844</v>
      </c>
      <c r="C3363" s="19" t="s">
        <v>3354</v>
      </c>
      <c r="D3363" s="19" t="s">
        <v>18790</v>
      </c>
      <c r="E3363" s="19" t="s">
        <v>31934</v>
      </c>
      <c r="F3363" s="19" t="s">
        <v>35987</v>
      </c>
      <c r="G3363" s="18" t="str">
        <f>"60634"</f>
        <v>60634</v>
      </c>
      <c r="H3363" s="19" t="s">
        <v>33420</v>
      </c>
      <c r="I3363" s="20">
        <v>19.033000000000001</v>
      </c>
      <c r="J3363" s="44" t="s">
        <v>8</v>
      </c>
      <c r="K3363" s="23" t="s">
        <v>8</v>
      </c>
      <c r="L3363" s="23" t="s">
        <v>8</v>
      </c>
      <c r="M3363" s="23" t="s">
        <v>8</v>
      </c>
    </row>
    <row r="3364" spans="1:13" s="21" customFormat="1" x14ac:dyDescent="0.25">
      <c r="A3364" s="22" t="s">
        <v>8</v>
      </c>
      <c r="B3364" s="18" t="str">
        <f>"145846"</f>
        <v>145846</v>
      </c>
      <c r="C3364" s="19" t="s">
        <v>3355</v>
      </c>
      <c r="D3364" s="19" t="s">
        <v>18791</v>
      </c>
      <c r="E3364" s="19" t="s">
        <v>32030</v>
      </c>
      <c r="F3364" s="19" t="s">
        <v>35987</v>
      </c>
      <c r="G3364" s="18" t="str">
        <f>"62025"</f>
        <v>62025</v>
      </c>
      <c r="H3364" s="19" t="s">
        <v>30899</v>
      </c>
      <c r="I3364" s="20">
        <v>17.513999999999999</v>
      </c>
      <c r="J3364" s="44" t="s">
        <v>8</v>
      </c>
      <c r="K3364" s="23" t="s">
        <v>8</v>
      </c>
      <c r="L3364" s="23" t="s">
        <v>8</v>
      </c>
      <c r="M3364" s="23" t="s">
        <v>8</v>
      </c>
    </row>
    <row r="3365" spans="1:13" s="21" customFormat="1" x14ac:dyDescent="0.25">
      <c r="A3365" s="22" t="s">
        <v>8</v>
      </c>
      <c r="B3365" s="18" t="str">
        <f>"145847"</f>
        <v>145847</v>
      </c>
      <c r="C3365" s="19" t="s">
        <v>3356</v>
      </c>
      <c r="D3365" s="19" t="s">
        <v>18792</v>
      </c>
      <c r="E3365" s="19" t="s">
        <v>32033</v>
      </c>
      <c r="F3365" s="19" t="s">
        <v>35987</v>
      </c>
      <c r="G3365" s="18" t="str">
        <f>"62040"</f>
        <v>62040</v>
      </c>
      <c r="H3365" s="19" t="s">
        <v>30899</v>
      </c>
      <c r="I3365" s="20">
        <v>18.349</v>
      </c>
      <c r="J3365" s="44" t="s">
        <v>8</v>
      </c>
      <c r="K3365" s="23" t="s">
        <v>8</v>
      </c>
      <c r="L3365" s="23" t="s">
        <v>8</v>
      </c>
      <c r="M3365" s="23" t="s">
        <v>8</v>
      </c>
    </row>
    <row r="3366" spans="1:13" s="21" customFormat="1" x14ac:dyDescent="0.25">
      <c r="A3366" s="22" t="s">
        <v>8</v>
      </c>
      <c r="B3366" s="18" t="str">
        <f>"145848"</f>
        <v>145848</v>
      </c>
      <c r="C3366" s="19" t="s">
        <v>3357</v>
      </c>
      <c r="D3366" s="19" t="s">
        <v>18793</v>
      </c>
      <c r="E3366" s="19" t="s">
        <v>31929</v>
      </c>
      <c r="F3366" s="19" t="s">
        <v>35987</v>
      </c>
      <c r="G3366" s="18" t="str">
        <f>"60402"</f>
        <v>60402</v>
      </c>
      <c r="H3366" s="19" t="s">
        <v>33420</v>
      </c>
      <c r="I3366" s="20">
        <v>16.414000000000001</v>
      </c>
      <c r="J3366" s="44" t="s">
        <v>8</v>
      </c>
      <c r="K3366" s="23" t="s">
        <v>8</v>
      </c>
      <c r="L3366" s="23" t="s">
        <v>8</v>
      </c>
      <c r="M3366" s="23" t="s">
        <v>8</v>
      </c>
    </row>
    <row r="3367" spans="1:13" s="21" customFormat="1" x14ac:dyDescent="0.25">
      <c r="A3367" s="22" t="s">
        <v>8</v>
      </c>
      <c r="B3367" s="18" t="str">
        <f>"145850"</f>
        <v>145850</v>
      </c>
      <c r="C3367" s="19" t="s">
        <v>3358</v>
      </c>
      <c r="D3367" s="19" t="s">
        <v>18794</v>
      </c>
      <c r="E3367" s="19" t="s">
        <v>32086</v>
      </c>
      <c r="F3367" s="19" t="s">
        <v>35987</v>
      </c>
      <c r="G3367" s="18" t="str">
        <f>"60804"</f>
        <v>60804</v>
      </c>
      <c r="H3367" s="19" t="s">
        <v>33420</v>
      </c>
      <c r="I3367" s="20">
        <v>20.347999999999999</v>
      </c>
      <c r="J3367" s="44" t="s">
        <v>8</v>
      </c>
      <c r="K3367" s="23" t="s">
        <v>8</v>
      </c>
      <c r="L3367" s="23" t="s">
        <v>8</v>
      </c>
      <c r="M3367" s="23" t="s">
        <v>8</v>
      </c>
    </row>
    <row r="3368" spans="1:13" s="21" customFormat="1" x14ac:dyDescent="0.25">
      <c r="A3368" s="22" t="s">
        <v>8</v>
      </c>
      <c r="B3368" s="18" t="str">
        <f>"145851"</f>
        <v>145851</v>
      </c>
      <c r="C3368" s="19" t="s">
        <v>3359</v>
      </c>
      <c r="D3368" s="19" t="s">
        <v>18795</v>
      </c>
      <c r="E3368" s="19" t="s">
        <v>32107</v>
      </c>
      <c r="F3368" s="19" t="s">
        <v>35987</v>
      </c>
      <c r="G3368" s="18" t="str">
        <f>"62363"</f>
        <v>62363</v>
      </c>
      <c r="H3368" s="19" t="s">
        <v>36033</v>
      </c>
      <c r="I3368" s="20">
        <v>20.113</v>
      </c>
      <c r="J3368" s="44" t="s">
        <v>8</v>
      </c>
      <c r="K3368" s="23" t="s">
        <v>8</v>
      </c>
      <c r="L3368" s="23" t="s">
        <v>8</v>
      </c>
      <c r="M3368" s="23" t="s">
        <v>8</v>
      </c>
    </row>
    <row r="3369" spans="1:13" s="21" customFormat="1" x14ac:dyDescent="0.25">
      <c r="A3369" s="22" t="s">
        <v>8</v>
      </c>
      <c r="B3369" s="18" t="str">
        <f>"145852"</f>
        <v>145852</v>
      </c>
      <c r="C3369" s="19" t="s">
        <v>3360</v>
      </c>
      <c r="D3369" s="19" t="s">
        <v>18796</v>
      </c>
      <c r="E3369" s="19" t="s">
        <v>32109</v>
      </c>
      <c r="F3369" s="19" t="s">
        <v>35987</v>
      </c>
      <c r="G3369" s="18" t="str">
        <f>"60070"</f>
        <v>60070</v>
      </c>
      <c r="H3369" s="19" t="s">
        <v>33420</v>
      </c>
      <c r="I3369" s="20">
        <v>20.568999999999999</v>
      </c>
      <c r="J3369" s="44" t="s">
        <v>8</v>
      </c>
      <c r="K3369" s="23" t="s">
        <v>8</v>
      </c>
      <c r="L3369" s="23" t="s">
        <v>8</v>
      </c>
      <c r="M3369" s="23" t="s">
        <v>8</v>
      </c>
    </row>
    <row r="3370" spans="1:13" s="21" customFormat="1" x14ac:dyDescent="0.25">
      <c r="A3370" s="22" t="s">
        <v>8</v>
      </c>
      <c r="B3370" s="18" t="str">
        <f>"145853"</f>
        <v>145853</v>
      </c>
      <c r="C3370" s="19" t="s">
        <v>3361</v>
      </c>
      <c r="D3370" s="19" t="s">
        <v>18797</v>
      </c>
      <c r="E3370" s="19" t="s">
        <v>31968</v>
      </c>
      <c r="F3370" s="19" t="s">
        <v>35987</v>
      </c>
      <c r="G3370" s="18" t="str">
        <f>"60656"</f>
        <v>60656</v>
      </c>
      <c r="H3370" s="19" t="s">
        <v>33420</v>
      </c>
      <c r="I3370" s="20">
        <v>17.074999999999999</v>
      </c>
      <c r="J3370" s="44" t="s">
        <v>8</v>
      </c>
      <c r="K3370" s="23" t="s">
        <v>8</v>
      </c>
      <c r="L3370" s="23" t="s">
        <v>8</v>
      </c>
      <c r="M3370" s="23" t="s">
        <v>8</v>
      </c>
    </row>
    <row r="3371" spans="1:13" s="21" customFormat="1" x14ac:dyDescent="0.25">
      <c r="A3371" s="22" t="s">
        <v>8</v>
      </c>
      <c r="B3371" s="18" t="str">
        <f>"145857"</f>
        <v>145857</v>
      </c>
      <c r="C3371" s="19" t="s">
        <v>3362</v>
      </c>
      <c r="D3371" s="19" t="s">
        <v>18798</v>
      </c>
      <c r="E3371" s="19" t="s">
        <v>32110</v>
      </c>
      <c r="F3371" s="19" t="s">
        <v>35987</v>
      </c>
      <c r="G3371" s="18" t="str">
        <f>"62458"</f>
        <v>62458</v>
      </c>
      <c r="H3371" s="19" t="s">
        <v>30805</v>
      </c>
      <c r="I3371" s="20">
        <v>17.443999999999999</v>
      </c>
      <c r="J3371" s="44" t="s">
        <v>8</v>
      </c>
      <c r="K3371" s="23" t="s">
        <v>8</v>
      </c>
      <c r="L3371" s="23" t="s">
        <v>8</v>
      </c>
      <c r="M3371" s="23" t="s">
        <v>8</v>
      </c>
    </row>
    <row r="3372" spans="1:13" s="21" customFormat="1" x14ac:dyDescent="0.25">
      <c r="A3372" s="22" t="s">
        <v>8</v>
      </c>
      <c r="B3372" s="18" t="str">
        <f>"145858"</f>
        <v>145858</v>
      </c>
      <c r="C3372" s="19" t="s">
        <v>3363</v>
      </c>
      <c r="D3372" s="19" t="s">
        <v>18799</v>
      </c>
      <c r="E3372" s="19" t="s">
        <v>32082</v>
      </c>
      <c r="F3372" s="19" t="s">
        <v>35987</v>
      </c>
      <c r="G3372" s="18" t="str">
        <f>"62062"</f>
        <v>62062</v>
      </c>
      <c r="H3372" s="19" t="s">
        <v>30899</v>
      </c>
      <c r="I3372" s="20">
        <v>18.36</v>
      </c>
      <c r="J3372" s="44" t="s">
        <v>8</v>
      </c>
      <c r="K3372" s="23" t="s">
        <v>8</v>
      </c>
      <c r="L3372" s="23" t="s">
        <v>8</v>
      </c>
      <c r="M3372" s="23" t="s">
        <v>8</v>
      </c>
    </row>
    <row r="3373" spans="1:13" s="21" customFormat="1" x14ac:dyDescent="0.25">
      <c r="A3373" s="22" t="s">
        <v>8</v>
      </c>
      <c r="B3373" s="18" t="str">
        <f>"145860"</f>
        <v>145860</v>
      </c>
      <c r="C3373" s="19" t="s">
        <v>3364</v>
      </c>
      <c r="D3373" s="19" t="s">
        <v>18800</v>
      </c>
      <c r="E3373" s="19" t="s">
        <v>32011</v>
      </c>
      <c r="F3373" s="19" t="s">
        <v>35987</v>
      </c>
      <c r="G3373" s="18" t="str">
        <f>"60077"</f>
        <v>60077</v>
      </c>
      <c r="H3373" s="19" t="s">
        <v>33420</v>
      </c>
      <c r="I3373" s="20">
        <v>17.79</v>
      </c>
      <c r="J3373" s="44" t="s">
        <v>8</v>
      </c>
      <c r="K3373" s="23" t="s">
        <v>8</v>
      </c>
      <c r="L3373" s="23" t="s">
        <v>8</v>
      </c>
      <c r="M3373" s="23" t="s">
        <v>8</v>
      </c>
    </row>
    <row r="3374" spans="1:13" s="21" customFormat="1" x14ac:dyDescent="0.25">
      <c r="A3374" s="22" t="s">
        <v>8</v>
      </c>
      <c r="B3374" s="18" t="str">
        <f>"145862"</f>
        <v>145862</v>
      </c>
      <c r="C3374" s="19" t="s">
        <v>3365</v>
      </c>
      <c r="D3374" s="19" t="s">
        <v>18801</v>
      </c>
      <c r="E3374" s="19" t="s">
        <v>31091</v>
      </c>
      <c r="F3374" s="19" t="s">
        <v>35987</v>
      </c>
      <c r="G3374" s="18" t="str">
        <f>"61920"</f>
        <v>61920</v>
      </c>
      <c r="H3374" s="19" t="s">
        <v>36243</v>
      </c>
      <c r="I3374" s="20">
        <v>19.934999999999999</v>
      </c>
      <c r="J3374" s="44" t="s">
        <v>8</v>
      </c>
      <c r="K3374" s="23" t="s">
        <v>8</v>
      </c>
      <c r="L3374" s="23" t="s">
        <v>8</v>
      </c>
      <c r="M3374" s="23" t="s">
        <v>8</v>
      </c>
    </row>
    <row r="3375" spans="1:13" s="21" customFormat="1" x14ac:dyDescent="0.25">
      <c r="A3375" s="22" t="s">
        <v>8</v>
      </c>
      <c r="B3375" s="18" t="str">
        <f>"145863"</f>
        <v>145863</v>
      </c>
      <c r="C3375" s="19" t="s">
        <v>3366</v>
      </c>
      <c r="D3375" s="19" t="s">
        <v>18802</v>
      </c>
      <c r="E3375" s="19" t="s">
        <v>30850</v>
      </c>
      <c r="F3375" s="19" t="s">
        <v>35987</v>
      </c>
      <c r="G3375" s="18" t="str">
        <f>"62959"</f>
        <v>62959</v>
      </c>
      <c r="H3375" s="19" t="s">
        <v>35514</v>
      </c>
      <c r="I3375" s="20">
        <v>20.451000000000001</v>
      </c>
      <c r="J3375" s="44" t="s">
        <v>8</v>
      </c>
      <c r="K3375" s="23" t="s">
        <v>8</v>
      </c>
      <c r="L3375" s="23" t="s">
        <v>8</v>
      </c>
      <c r="M3375" s="23" t="s">
        <v>8</v>
      </c>
    </row>
    <row r="3376" spans="1:13" s="21" customFormat="1" x14ac:dyDescent="0.25">
      <c r="A3376" s="22" t="s">
        <v>8</v>
      </c>
      <c r="B3376" s="18" t="str">
        <f>"145864"</f>
        <v>145864</v>
      </c>
      <c r="C3376" s="19" t="s">
        <v>3367</v>
      </c>
      <c r="D3376" s="19" t="s">
        <v>18803</v>
      </c>
      <c r="E3376" s="19" t="s">
        <v>31934</v>
      </c>
      <c r="F3376" s="19" t="s">
        <v>35987</v>
      </c>
      <c r="G3376" s="18" t="str">
        <f>"60620"</f>
        <v>60620</v>
      </c>
      <c r="H3376" s="19" t="s">
        <v>33420</v>
      </c>
      <c r="I3376" s="20">
        <v>18.029</v>
      </c>
      <c r="J3376" s="44" t="s">
        <v>8</v>
      </c>
      <c r="K3376" s="23" t="s">
        <v>8</v>
      </c>
      <c r="L3376" s="23" t="s">
        <v>8</v>
      </c>
      <c r="M3376" s="23" t="s">
        <v>8</v>
      </c>
    </row>
    <row r="3377" spans="1:13" s="21" customFormat="1" x14ac:dyDescent="0.25">
      <c r="A3377" s="22" t="s">
        <v>8</v>
      </c>
      <c r="B3377" s="18" t="str">
        <f>"145866"</f>
        <v>145866</v>
      </c>
      <c r="C3377" s="19" t="s">
        <v>3368</v>
      </c>
      <c r="D3377" s="19" t="s">
        <v>18804</v>
      </c>
      <c r="E3377" s="19" t="s">
        <v>32111</v>
      </c>
      <c r="F3377" s="19" t="s">
        <v>35987</v>
      </c>
      <c r="G3377" s="18" t="str">
        <f>"60457"</f>
        <v>60457</v>
      </c>
      <c r="H3377" s="19" t="s">
        <v>33420</v>
      </c>
      <c r="I3377" s="20">
        <v>19.754000000000001</v>
      </c>
      <c r="J3377" s="44" t="s">
        <v>8</v>
      </c>
      <c r="K3377" s="23" t="s">
        <v>8</v>
      </c>
      <c r="L3377" s="23" t="s">
        <v>8</v>
      </c>
      <c r="M3377" s="23" t="s">
        <v>8</v>
      </c>
    </row>
    <row r="3378" spans="1:13" s="21" customFormat="1" x14ac:dyDescent="0.25">
      <c r="A3378" s="22" t="s">
        <v>8</v>
      </c>
      <c r="B3378" s="18" t="str">
        <f>"145867"</f>
        <v>145867</v>
      </c>
      <c r="C3378" s="19" t="s">
        <v>3369</v>
      </c>
      <c r="D3378" s="19" t="s">
        <v>18805</v>
      </c>
      <c r="E3378" s="19" t="s">
        <v>31934</v>
      </c>
      <c r="F3378" s="19" t="s">
        <v>35987</v>
      </c>
      <c r="G3378" s="18" t="str">
        <f>"60630"</f>
        <v>60630</v>
      </c>
      <c r="H3378" s="19" t="s">
        <v>33420</v>
      </c>
      <c r="I3378" s="20">
        <v>18.212</v>
      </c>
      <c r="J3378" s="44" t="s">
        <v>8</v>
      </c>
      <c r="K3378" s="23" t="s">
        <v>8</v>
      </c>
      <c r="L3378" s="23" t="s">
        <v>8</v>
      </c>
      <c r="M3378" s="23" t="s">
        <v>8</v>
      </c>
    </row>
    <row r="3379" spans="1:13" s="21" customFormat="1" x14ac:dyDescent="0.25">
      <c r="A3379" s="22" t="s">
        <v>8</v>
      </c>
      <c r="B3379" s="18" t="str">
        <f>"145868"</f>
        <v>145868</v>
      </c>
      <c r="C3379" s="19" t="s">
        <v>3370</v>
      </c>
      <c r="D3379" s="19" t="s">
        <v>18806</v>
      </c>
      <c r="E3379" s="19" t="s">
        <v>32112</v>
      </c>
      <c r="F3379" s="19" t="s">
        <v>35987</v>
      </c>
      <c r="G3379" s="18" t="str">
        <f>"60047"</f>
        <v>60047</v>
      </c>
      <c r="H3379" s="19" t="s">
        <v>36096</v>
      </c>
      <c r="I3379" s="20">
        <v>16.286999999999999</v>
      </c>
      <c r="J3379" s="44" t="s">
        <v>8</v>
      </c>
      <c r="K3379" s="23" t="s">
        <v>8</v>
      </c>
      <c r="L3379" s="23" t="s">
        <v>8</v>
      </c>
      <c r="M3379" s="23" t="s">
        <v>8</v>
      </c>
    </row>
    <row r="3380" spans="1:13" s="21" customFormat="1" x14ac:dyDescent="0.25">
      <c r="A3380" s="22" t="s">
        <v>8</v>
      </c>
      <c r="B3380" s="18" t="str">
        <f>"145869"</f>
        <v>145869</v>
      </c>
      <c r="C3380" s="19" t="s">
        <v>3371</v>
      </c>
      <c r="D3380" s="19" t="s">
        <v>18807</v>
      </c>
      <c r="E3380" s="19" t="s">
        <v>32011</v>
      </c>
      <c r="F3380" s="19" t="s">
        <v>35987</v>
      </c>
      <c r="G3380" s="18" t="str">
        <f>"60076"</f>
        <v>60076</v>
      </c>
      <c r="H3380" s="19" t="s">
        <v>33420</v>
      </c>
      <c r="I3380" s="20">
        <v>16.177</v>
      </c>
      <c r="J3380" s="44" t="s">
        <v>8</v>
      </c>
      <c r="K3380" s="23" t="s">
        <v>8</v>
      </c>
      <c r="L3380" s="23" t="s">
        <v>8</v>
      </c>
      <c r="M3380" s="23" t="s">
        <v>8</v>
      </c>
    </row>
    <row r="3381" spans="1:13" s="21" customFormat="1" x14ac:dyDescent="0.25">
      <c r="A3381" s="22" t="s">
        <v>8</v>
      </c>
      <c r="B3381" s="18" t="str">
        <f>"145872"</f>
        <v>145872</v>
      </c>
      <c r="C3381" s="19" t="s">
        <v>3372</v>
      </c>
      <c r="D3381" s="19" t="s">
        <v>18808</v>
      </c>
      <c r="E3381" s="19" t="s">
        <v>32112</v>
      </c>
      <c r="F3381" s="19" t="s">
        <v>35987</v>
      </c>
      <c r="G3381" s="18" t="str">
        <f>"60047"</f>
        <v>60047</v>
      </c>
      <c r="H3381" s="19" t="s">
        <v>36096</v>
      </c>
      <c r="I3381" s="20">
        <v>18.779</v>
      </c>
      <c r="J3381" s="44" t="s">
        <v>8</v>
      </c>
      <c r="K3381" s="23" t="s">
        <v>8</v>
      </c>
      <c r="L3381" s="23" t="s">
        <v>8</v>
      </c>
      <c r="M3381" s="23" t="s">
        <v>8</v>
      </c>
    </row>
    <row r="3382" spans="1:13" s="21" customFormat="1" x14ac:dyDescent="0.25">
      <c r="A3382" s="22" t="s">
        <v>8</v>
      </c>
      <c r="B3382" s="18" t="str">
        <f>"145874"</f>
        <v>145874</v>
      </c>
      <c r="C3382" s="19" t="s">
        <v>3373</v>
      </c>
      <c r="D3382" s="19" t="s">
        <v>18809</v>
      </c>
      <c r="E3382" s="19" t="s">
        <v>31925</v>
      </c>
      <c r="F3382" s="19" t="s">
        <v>35987</v>
      </c>
      <c r="G3382" s="18" t="str">
        <f>"60563"</f>
        <v>60563</v>
      </c>
      <c r="H3382" s="19" t="s">
        <v>36231</v>
      </c>
      <c r="I3382" s="20">
        <v>20.91</v>
      </c>
      <c r="J3382" s="44" t="s">
        <v>8</v>
      </c>
      <c r="K3382" s="23" t="s">
        <v>8</v>
      </c>
      <c r="L3382" s="23" t="s">
        <v>8</v>
      </c>
      <c r="M3382" s="23" t="s">
        <v>8</v>
      </c>
    </row>
    <row r="3383" spans="1:13" s="21" customFormat="1" x14ac:dyDescent="0.25">
      <c r="A3383" s="22" t="s">
        <v>8</v>
      </c>
      <c r="B3383" s="18" t="str">
        <f>"145875"</f>
        <v>145875</v>
      </c>
      <c r="C3383" s="19" t="s">
        <v>3374</v>
      </c>
      <c r="D3383" s="19" t="s">
        <v>18810</v>
      </c>
      <c r="E3383" s="19" t="s">
        <v>31934</v>
      </c>
      <c r="F3383" s="19" t="s">
        <v>35987</v>
      </c>
      <c r="G3383" s="18" t="str">
        <f>"60614"</f>
        <v>60614</v>
      </c>
      <c r="H3383" s="19" t="s">
        <v>33420</v>
      </c>
      <c r="I3383" s="20">
        <v>25.547999999999998</v>
      </c>
      <c r="J3383" s="44" t="s">
        <v>8</v>
      </c>
      <c r="K3383" s="23" t="s">
        <v>8</v>
      </c>
      <c r="L3383" s="23" t="s">
        <v>8</v>
      </c>
      <c r="M3383" s="23" t="s">
        <v>8</v>
      </c>
    </row>
    <row r="3384" spans="1:13" s="21" customFormat="1" x14ac:dyDescent="0.25">
      <c r="A3384" s="22" t="s">
        <v>8</v>
      </c>
      <c r="B3384" s="18" t="str">
        <f>"145877"</f>
        <v>145877</v>
      </c>
      <c r="C3384" s="19" t="s">
        <v>3375</v>
      </c>
      <c r="D3384" s="19" t="s">
        <v>18811</v>
      </c>
      <c r="E3384" s="19" t="s">
        <v>32100</v>
      </c>
      <c r="F3384" s="19" t="s">
        <v>35987</v>
      </c>
      <c r="G3384" s="18" t="str">
        <f>"60419"</f>
        <v>60419</v>
      </c>
      <c r="H3384" s="19" t="s">
        <v>33420</v>
      </c>
      <c r="I3384" s="20">
        <v>23.084</v>
      </c>
      <c r="J3384" s="44" t="s">
        <v>8</v>
      </c>
      <c r="K3384" s="23" t="s">
        <v>8</v>
      </c>
      <c r="L3384" s="23" t="s">
        <v>8</v>
      </c>
      <c r="M3384" s="23" t="s">
        <v>8</v>
      </c>
    </row>
    <row r="3385" spans="1:13" s="21" customFormat="1" x14ac:dyDescent="0.25">
      <c r="A3385" s="22" t="s">
        <v>8</v>
      </c>
      <c r="B3385" s="18" t="str">
        <f>"145878"</f>
        <v>145878</v>
      </c>
      <c r="C3385" s="19" t="s">
        <v>3376</v>
      </c>
      <c r="D3385" s="19" t="s">
        <v>18812</v>
      </c>
      <c r="E3385" s="19" t="s">
        <v>31925</v>
      </c>
      <c r="F3385" s="19" t="s">
        <v>35987</v>
      </c>
      <c r="G3385" s="18" t="str">
        <f>"60563"</f>
        <v>60563</v>
      </c>
      <c r="H3385" s="19" t="s">
        <v>36231</v>
      </c>
      <c r="I3385" s="20">
        <v>19.178999999999998</v>
      </c>
      <c r="J3385" s="44" t="s">
        <v>8</v>
      </c>
      <c r="K3385" s="23" t="s">
        <v>8</v>
      </c>
      <c r="L3385" s="23" t="s">
        <v>8</v>
      </c>
      <c r="M3385" s="23" t="s">
        <v>8</v>
      </c>
    </row>
    <row r="3386" spans="1:13" s="21" customFormat="1" x14ac:dyDescent="0.25">
      <c r="A3386" s="22" t="s">
        <v>8</v>
      </c>
      <c r="B3386" s="18" t="str">
        <f>"145879"</f>
        <v>145879</v>
      </c>
      <c r="C3386" s="19" t="s">
        <v>3377</v>
      </c>
      <c r="D3386" s="19" t="s">
        <v>18813</v>
      </c>
      <c r="E3386" s="19" t="s">
        <v>32113</v>
      </c>
      <c r="F3386" s="19" t="s">
        <v>35987</v>
      </c>
      <c r="G3386" s="18" t="str">
        <f>"60438"</f>
        <v>60438</v>
      </c>
      <c r="H3386" s="19" t="s">
        <v>33420</v>
      </c>
      <c r="I3386" s="20">
        <v>21.111000000000001</v>
      </c>
      <c r="J3386" s="44" t="s">
        <v>8</v>
      </c>
      <c r="K3386" s="23" t="s">
        <v>8</v>
      </c>
      <c r="L3386" s="23" t="s">
        <v>8</v>
      </c>
      <c r="M3386" s="23" t="s">
        <v>8</v>
      </c>
    </row>
    <row r="3387" spans="1:13" s="21" customFormat="1" x14ac:dyDescent="0.25">
      <c r="A3387" s="22" t="s">
        <v>8</v>
      </c>
      <c r="B3387" s="18" t="str">
        <f>"145880"</f>
        <v>145880</v>
      </c>
      <c r="C3387" s="19" t="s">
        <v>3378</v>
      </c>
      <c r="D3387" s="19" t="s">
        <v>18814</v>
      </c>
      <c r="E3387" s="19" t="s">
        <v>32114</v>
      </c>
      <c r="F3387" s="19" t="s">
        <v>35987</v>
      </c>
      <c r="G3387" s="18" t="str">
        <f>"62995"</f>
        <v>62995</v>
      </c>
      <c r="H3387" s="19" t="s">
        <v>36072</v>
      </c>
      <c r="I3387" s="20">
        <v>19.864000000000001</v>
      </c>
      <c r="J3387" s="44" t="s">
        <v>8</v>
      </c>
      <c r="K3387" s="23" t="s">
        <v>8</v>
      </c>
      <c r="L3387" s="23" t="s">
        <v>8</v>
      </c>
      <c r="M3387" s="23" t="s">
        <v>8</v>
      </c>
    </row>
    <row r="3388" spans="1:13" s="21" customFormat="1" x14ac:dyDescent="0.25">
      <c r="A3388" s="22" t="s">
        <v>8</v>
      </c>
      <c r="B3388" s="18" t="str">
        <f>"145881"</f>
        <v>145881</v>
      </c>
      <c r="C3388" s="19" t="s">
        <v>3379</v>
      </c>
      <c r="D3388" s="19" t="s">
        <v>18815</v>
      </c>
      <c r="E3388" s="19" t="s">
        <v>31934</v>
      </c>
      <c r="F3388" s="19" t="s">
        <v>35987</v>
      </c>
      <c r="G3388" s="18" t="str">
        <f>"60640"</f>
        <v>60640</v>
      </c>
      <c r="H3388" s="19" t="s">
        <v>33420</v>
      </c>
      <c r="I3388" s="20">
        <v>19.492999999999999</v>
      </c>
      <c r="J3388" s="44" t="s">
        <v>8</v>
      </c>
      <c r="K3388" s="23" t="s">
        <v>8</v>
      </c>
      <c r="L3388" s="23" t="s">
        <v>8</v>
      </c>
      <c r="M3388" s="23" t="s">
        <v>8</v>
      </c>
    </row>
    <row r="3389" spans="1:13" s="21" customFormat="1" x14ac:dyDescent="0.25">
      <c r="A3389" s="22" t="s">
        <v>8</v>
      </c>
      <c r="B3389" s="18" t="str">
        <f>"145883"</f>
        <v>145883</v>
      </c>
      <c r="C3389" s="19" t="s">
        <v>3380</v>
      </c>
      <c r="D3389" s="19" t="s">
        <v>18816</v>
      </c>
      <c r="E3389" s="19" t="s">
        <v>30986</v>
      </c>
      <c r="F3389" s="19" t="s">
        <v>35987</v>
      </c>
      <c r="G3389" s="18" t="str">
        <f>"61856"</f>
        <v>61856</v>
      </c>
      <c r="H3389" s="19" t="s">
        <v>36245</v>
      </c>
      <c r="I3389" s="20">
        <v>17.542999999999999</v>
      </c>
      <c r="J3389" s="44" t="s">
        <v>8</v>
      </c>
      <c r="K3389" s="23" t="s">
        <v>8</v>
      </c>
      <c r="L3389" s="23" t="s">
        <v>8</v>
      </c>
      <c r="M3389" s="23" t="s">
        <v>8</v>
      </c>
    </row>
    <row r="3390" spans="1:13" s="21" customFormat="1" x14ac:dyDescent="0.25">
      <c r="A3390" s="22" t="s">
        <v>8</v>
      </c>
      <c r="B3390" s="18" t="str">
        <f>"145885"</f>
        <v>145885</v>
      </c>
      <c r="C3390" s="19" t="s">
        <v>3381</v>
      </c>
      <c r="D3390" s="19" t="s">
        <v>18817</v>
      </c>
      <c r="E3390" s="19" t="s">
        <v>31934</v>
      </c>
      <c r="F3390" s="19" t="s">
        <v>35987</v>
      </c>
      <c r="G3390" s="18" t="str">
        <f>"60644"</f>
        <v>60644</v>
      </c>
      <c r="H3390" s="19" t="s">
        <v>33420</v>
      </c>
      <c r="I3390" s="20">
        <v>18.515999999999998</v>
      </c>
      <c r="J3390" s="44" t="s">
        <v>8</v>
      </c>
      <c r="K3390" s="23" t="s">
        <v>8</v>
      </c>
      <c r="L3390" s="23" t="s">
        <v>8</v>
      </c>
      <c r="M3390" s="23" t="s">
        <v>8</v>
      </c>
    </row>
    <row r="3391" spans="1:13" s="21" customFormat="1" x14ac:dyDescent="0.25">
      <c r="A3391" s="22" t="s">
        <v>8</v>
      </c>
      <c r="B3391" s="18" t="str">
        <f>"145886"</f>
        <v>145886</v>
      </c>
      <c r="C3391" s="19" t="s">
        <v>3382</v>
      </c>
      <c r="D3391" s="19" t="s">
        <v>18818</v>
      </c>
      <c r="E3391" s="19" t="s">
        <v>32115</v>
      </c>
      <c r="F3391" s="19" t="s">
        <v>35987</v>
      </c>
      <c r="G3391" s="18" t="str">
        <f>"61231"</f>
        <v>61231</v>
      </c>
      <c r="H3391" s="19" t="s">
        <v>34991</v>
      </c>
      <c r="I3391" s="20">
        <v>17.45</v>
      </c>
      <c r="J3391" s="44" t="s">
        <v>8</v>
      </c>
      <c r="K3391" s="23" t="s">
        <v>8</v>
      </c>
      <c r="L3391" s="23" t="s">
        <v>8</v>
      </c>
      <c r="M3391" s="23" t="s">
        <v>8</v>
      </c>
    </row>
    <row r="3392" spans="1:13" s="21" customFormat="1" x14ac:dyDescent="0.25">
      <c r="A3392" s="22" t="s">
        <v>8</v>
      </c>
      <c r="B3392" s="18" t="str">
        <f>"145887"</f>
        <v>145887</v>
      </c>
      <c r="C3392" s="19" t="s">
        <v>3383</v>
      </c>
      <c r="D3392" s="19" t="s">
        <v>18819</v>
      </c>
      <c r="E3392" s="19" t="s">
        <v>32116</v>
      </c>
      <c r="F3392" s="19" t="s">
        <v>35987</v>
      </c>
      <c r="G3392" s="18" t="str">
        <f>"60084"</f>
        <v>60084</v>
      </c>
      <c r="H3392" s="19" t="s">
        <v>36096</v>
      </c>
      <c r="I3392" s="20">
        <v>19.286999999999999</v>
      </c>
      <c r="J3392" s="44" t="s">
        <v>8</v>
      </c>
      <c r="K3392" s="23" t="s">
        <v>8</v>
      </c>
      <c r="L3392" s="23" t="s">
        <v>8</v>
      </c>
      <c r="M3392" s="23" t="s">
        <v>8</v>
      </c>
    </row>
    <row r="3393" spans="1:13" s="21" customFormat="1" x14ac:dyDescent="0.25">
      <c r="A3393" s="22" t="s">
        <v>8</v>
      </c>
      <c r="B3393" s="18" t="str">
        <f>"145888"</f>
        <v>145888</v>
      </c>
      <c r="C3393" s="19" t="s">
        <v>3384</v>
      </c>
      <c r="D3393" s="19" t="s">
        <v>18820</v>
      </c>
      <c r="E3393" s="19" t="s">
        <v>31934</v>
      </c>
      <c r="F3393" s="19" t="s">
        <v>35987</v>
      </c>
      <c r="G3393" s="18" t="str">
        <f>"60631"</f>
        <v>60631</v>
      </c>
      <c r="H3393" s="19" t="s">
        <v>33420</v>
      </c>
      <c r="I3393" s="20">
        <v>16.315999999999999</v>
      </c>
      <c r="J3393" s="44" t="s">
        <v>8</v>
      </c>
      <c r="K3393" s="23" t="s">
        <v>8</v>
      </c>
      <c r="L3393" s="23" t="s">
        <v>8</v>
      </c>
      <c r="M3393" s="23" t="s">
        <v>8</v>
      </c>
    </row>
    <row r="3394" spans="1:13" s="21" customFormat="1" x14ac:dyDescent="0.25">
      <c r="A3394" s="22" t="s">
        <v>8</v>
      </c>
      <c r="B3394" s="18" t="str">
        <f>"145890"</f>
        <v>145890</v>
      </c>
      <c r="C3394" s="19" t="s">
        <v>3385</v>
      </c>
      <c r="D3394" s="19" t="s">
        <v>18821</v>
      </c>
      <c r="E3394" s="19" t="s">
        <v>32117</v>
      </c>
      <c r="F3394" s="19" t="s">
        <v>35987</v>
      </c>
      <c r="G3394" s="18" t="str">
        <f>"62930"</f>
        <v>62930</v>
      </c>
      <c r="H3394" s="19" t="s">
        <v>33206</v>
      </c>
      <c r="I3394" s="20">
        <v>20.059000000000001</v>
      </c>
      <c r="J3394" s="44" t="s">
        <v>8</v>
      </c>
      <c r="K3394" s="23" t="s">
        <v>8</v>
      </c>
      <c r="L3394" s="23" t="s">
        <v>8</v>
      </c>
      <c r="M3394" s="23" t="s">
        <v>8</v>
      </c>
    </row>
    <row r="3395" spans="1:13" s="21" customFormat="1" x14ac:dyDescent="0.25">
      <c r="A3395" s="22" t="s">
        <v>8</v>
      </c>
      <c r="B3395" s="18" t="str">
        <f>"145891"</f>
        <v>145891</v>
      </c>
      <c r="C3395" s="19" t="s">
        <v>3386</v>
      </c>
      <c r="D3395" s="19" t="s">
        <v>18822</v>
      </c>
      <c r="E3395" s="19" t="s">
        <v>31935</v>
      </c>
      <c r="F3395" s="19" t="s">
        <v>35987</v>
      </c>
      <c r="G3395" s="18" t="str">
        <f>"61108"</f>
        <v>61108</v>
      </c>
      <c r="H3395" s="19" t="s">
        <v>36233</v>
      </c>
      <c r="I3395" s="20">
        <v>22.571000000000002</v>
      </c>
      <c r="J3395" s="44" t="s">
        <v>8</v>
      </c>
      <c r="K3395" s="23" t="s">
        <v>8</v>
      </c>
      <c r="L3395" s="23" t="s">
        <v>8</v>
      </c>
      <c r="M3395" s="23" t="s">
        <v>8</v>
      </c>
    </row>
    <row r="3396" spans="1:13" s="21" customFormat="1" x14ac:dyDescent="0.25">
      <c r="A3396" s="22" t="s">
        <v>8</v>
      </c>
      <c r="B3396" s="18" t="str">
        <f>"145892"</f>
        <v>145892</v>
      </c>
      <c r="C3396" s="19" t="s">
        <v>3387</v>
      </c>
      <c r="D3396" s="19" t="s">
        <v>18823</v>
      </c>
      <c r="E3396" s="19" t="s">
        <v>31922</v>
      </c>
      <c r="F3396" s="19" t="s">
        <v>35987</v>
      </c>
      <c r="G3396" s="18" t="str">
        <f>"60433"</f>
        <v>60433</v>
      </c>
      <c r="H3396" s="19" t="s">
        <v>36230</v>
      </c>
      <c r="I3396" s="20">
        <v>19.527000000000001</v>
      </c>
      <c r="J3396" s="44" t="s">
        <v>8</v>
      </c>
      <c r="K3396" s="23" t="s">
        <v>8</v>
      </c>
      <c r="L3396" s="23" t="s">
        <v>8</v>
      </c>
      <c r="M3396" s="23" t="s">
        <v>8</v>
      </c>
    </row>
    <row r="3397" spans="1:13" s="21" customFormat="1" x14ac:dyDescent="0.25">
      <c r="A3397" s="22" t="s">
        <v>8</v>
      </c>
      <c r="B3397" s="18" t="str">
        <f>"145893"</f>
        <v>145893</v>
      </c>
      <c r="C3397" s="19" t="s">
        <v>3388</v>
      </c>
      <c r="D3397" s="19" t="s">
        <v>18824</v>
      </c>
      <c r="E3397" s="19" t="s">
        <v>32043</v>
      </c>
      <c r="F3397" s="19" t="s">
        <v>35987</v>
      </c>
      <c r="G3397" s="18" t="str">
        <f>"60463"</f>
        <v>60463</v>
      </c>
      <c r="H3397" s="19" t="s">
        <v>33420</v>
      </c>
      <c r="I3397" s="20">
        <v>21.175000000000001</v>
      </c>
      <c r="J3397" s="44" t="s">
        <v>8</v>
      </c>
      <c r="K3397" s="23" t="s">
        <v>8</v>
      </c>
      <c r="L3397" s="23" t="s">
        <v>8</v>
      </c>
      <c r="M3397" s="23" t="s">
        <v>8</v>
      </c>
    </row>
    <row r="3398" spans="1:13" s="21" customFormat="1" x14ac:dyDescent="0.25">
      <c r="A3398" s="22" t="s">
        <v>8</v>
      </c>
      <c r="B3398" s="18" t="str">
        <f>"145895"</f>
        <v>145895</v>
      </c>
      <c r="C3398" s="19" t="s">
        <v>3389</v>
      </c>
      <c r="D3398" s="19" t="s">
        <v>18825</v>
      </c>
      <c r="E3398" s="19" t="s">
        <v>31947</v>
      </c>
      <c r="F3398" s="19" t="s">
        <v>35987</v>
      </c>
      <c r="G3398" s="18" t="str">
        <f>"61032"</f>
        <v>61032</v>
      </c>
      <c r="H3398" s="19" t="s">
        <v>33297</v>
      </c>
      <c r="I3398" s="20">
        <v>19.71</v>
      </c>
      <c r="J3398" s="44" t="s">
        <v>8</v>
      </c>
      <c r="K3398" s="23" t="s">
        <v>8</v>
      </c>
      <c r="L3398" s="23" t="s">
        <v>8</v>
      </c>
      <c r="M3398" s="23" t="s">
        <v>8</v>
      </c>
    </row>
    <row r="3399" spans="1:13" s="21" customFormat="1" x14ac:dyDescent="0.25">
      <c r="A3399" s="22" t="s">
        <v>8</v>
      </c>
      <c r="B3399" s="18" t="str">
        <f>"145897"</f>
        <v>145897</v>
      </c>
      <c r="C3399" s="19" t="s">
        <v>3390</v>
      </c>
      <c r="D3399" s="19" t="s">
        <v>18826</v>
      </c>
      <c r="E3399" s="19" t="s">
        <v>32035</v>
      </c>
      <c r="F3399" s="19" t="s">
        <v>35987</v>
      </c>
      <c r="G3399" s="18" t="str">
        <f>"62254"</f>
        <v>62254</v>
      </c>
      <c r="H3399" s="19" t="s">
        <v>33662</v>
      </c>
      <c r="I3399" s="20">
        <v>17.922999999999998</v>
      </c>
      <c r="J3399" s="44" t="s">
        <v>8</v>
      </c>
      <c r="K3399" s="23" t="s">
        <v>8</v>
      </c>
      <c r="L3399" s="23" t="s">
        <v>8</v>
      </c>
      <c r="M3399" s="23" t="s">
        <v>8</v>
      </c>
    </row>
    <row r="3400" spans="1:13" s="21" customFormat="1" x14ac:dyDescent="0.25">
      <c r="A3400" s="22" t="s">
        <v>8</v>
      </c>
      <c r="B3400" s="18" t="str">
        <f>"145898"</f>
        <v>145898</v>
      </c>
      <c r="C3400" s="19" t="s">
        <v>3391</v>
      </c>
      <c r="D3400" s="19" t="s">
        <v>18827</v>
      </c>
      <c r="E3400" s="19" t="s">
        <v>32118</v>
      </c>
      <c r="F3400" s="19" t="s">
        <v>35987</v>
      </c>
      <c r="G3400" s="18" t="str">
        <f>"60411"</f>
        <v>60411</v>
      </c>
      <c r="H3400" s="19" t="s">
        <v>33420</v>
      </c>
      <c r="I3400" s="20">
        <v>21.082999999999998</v>
      </c>
      <c r="J3400" s="44" t="s">
        <v>8</v>
      </c>
      <c r="K3400" s="23" t="s">
        <v>8</v>
      </c>
      <c r="L3400" s="23" t="s">
        <v>8</v>
      </c>
      <c r="M3400" s="23" t="s">
        <v>8</v>
      </c>
    </row>
    <row r="3401" spans="1:13" s="21" customFormat="1" x14ac:dyDescent="0.25">
      <c r="A3401" s="22" t="s">
        <v>8</v>
      </c>
      <c r="B3401" s="18" t="str">
        <f>"145899"</f>
        <v>145899</v>
      </c>
      <c r="C3401" s="19" t="s">
        <v>3392</v>
      </c>
      <c r="D3401" s="19" t="s">
        <v>18828</v>
      </c>
      <c r="E3401" s="19" t="s">
        <v>32119</v>
      </c>
      <c r="F3401" s="19" t="s">
        <v>35987</v>
      </c>
      <c r="G3401" s="18" t="str">
        <f>"60462"</f>
        <v>60462</v>
      </c>
      <c r="H3401" s="19" t="s">
        <v>33420</v>
      </c>
      <c r="I3401" s="20">
        <v>19.100000000000001</v>
      </c>
      <c r="J3401" s="44" t="s">
        <v>8</v>
      </c>
      <c r="K3401" s="23" t="s">
        <v>8</v>
      </c>
      <c r="L3401" s="23" t="s">
        <v>8</v>
      </c>
      <c r="M3401" s="23" t="s">
        <v>8</v>
      </c>
    </row>
    <row r="3402" spans="1:13" s="21" customFormat="1" x14ac:dyDescent="0.25">
      <c r="A3402" s="22" t="s">
        <v>8</v>
      </c>
      <c r="B3402" s="18" t="str">
        <f>"145900"</f>
        <v>145900</v>
      </c>
      <c r="C3402" s="19" t="s">
        <v>3393</v>
      </c>
      <c r="D3402" s="19" t="s">
        <v>18829</v>
      </c>
      <c r="E3402" s="19" t="s">
        <v>32120</v>
      </c>
      <c r="F3402" s="19" t="s">
        <v>35987</v>
      </c>
      <c r="G3402" s="18" t="str">
        <f>"61542"</f>
        <v>61542</v>
      </c>
      <c r="H3402" s="19" t="s">
        <v>32194</v>
      </c>
      <c r="I3402" s="20">
        <v>18.297000000000001</v>
      </c>
      <c r="J3402" s="44" t="s">
        <v>8</v>
      </c>
      <c r="K3402" s="23" t="s">
        <v>8</v>
      </c>
      <c r="L3402" s="23" t="s">
        <v>8</v>
      </c>
      <c r="M3402" s="23" t="s">
        <v>8</v>
      </c>
    </row>
    <row r="3403" spans="1:13" s="21" customFormat="1" x14ac:dyDescent="0.25">
      <c r="A3403" s="22" t="s">
        <v>8</v>
      </c>
      <c r="B3403" s="18" t="str">
        <f>"145901"</f>
        <v>145901</v>
      </c>
      <c r="C3403" s="19" t="s">
        <v>3394</v>
      </c>
      <c r="D3403" s="19" t="s">
        <v>18830</v>
      </c>
      <c r="E3403" s="19" t="s">
        <v>32121</v>
      </c>
      <c r="F3403" s="19" t="s">
        <v>35987</v>
      </c>
      <c r="G3403" s="18" t="str">
        <f>"60439"</f>
        <v>60439</v>
      </c>
      <c r="H3403" s="19" t="s">
        <v>33420</v>
      </c>
      <c r="I3403" s="20">
        <v>19.774999999999999</v>
      </c>
      <c r="J3403" s="44" t="s">
        <v>8</v>
      </c>
      <c r="K3403" s="23" t="s">
        <v>8</v>
      </c>
      <c r="L3403" s="23" t="s">
        <v>8</v>
      </c>
      <c r="M3403" s="23" t="s">
        <v>8</v>
      </c>
    </row>
    <row r="3404" spans="1:13" s="21" customFormat="1" x14ac:dyDescent="0.25">
      <c r="A3404" s="22" t="s">
        <v>8</v>
      </c>
      <c r="B3404" s="18" t="str">
        <f>"145903"</f>
        <v>145903</v>
      </c>
      <c r="C3404" s="19" t="s">
        <v>3395</v>
      </c>
      <c r="D3404" s="19" t="s">
        <v>18831</v>
      </c>
      <c r="E3404" s="19" t="s">
        <v>32122</v>
      </c>
      <c r="F3404" s="19" t="s">
        <v>35987</v>
      </c>
      <c r="G3404" s="18" t="str">
        <f>"62471"</f>
        <v>62471</v>
      </c>
      <c r="H3404" s="19" t="s">
        <v>30805</v>
      </c>
      <c r="I3404" s="20">
        <v>19.027000000000001</v>
      </c>
      <c r="J3404" s="44" t="s">
        <v>8</v>
      </c>
      <c r="K3404" s="23" t="s">
        <v>8</v>
      </c>
      <c r="L3404" s="23" t="s">
        <v>8</v>
      </c>
      <c r="M3404" s="23" t="s">
        <v>8</v>
      </c>
    </row>
    <row r="3405" spans="1:13" s="21" customFormat="1" x14ac:dyDescent="0.25">
      <c r="A3405" s="22" t="s">
        <v>8</v>
      </c>
      <c r="B3405" s="18" t="str">
        <f>"145904"</f>
        <v>145904</v>
      </c>
      <c r="C3405" s="19" t="s">
        <v>3396</v>
      </c>
      <c r="D3405" s="19" t="s">
        <v>18832</v>
      </c>
      <c r="E3405" s="19" t="s">
        <v>31934</v>
      </c>
      <c r="F3405" s="19" t="s">
        <v>35987</v>
      </c>
      <c r="G3405" s="18" t="str">
        <f>"60643"</f>
        <v>60643</v>
      </c>
      <c r="H3405" s="19" t="s">
        <v>33420</v>
      </c>
      <c r="I3405" s="20">
        <v>18.402999999999999</v>
      </c>
      <c r="J3405" s="44" t="s">
        <v>8</v>
      </c>
      <c r="K3405" s="23" t="s">
        <v>8</v>
      </c>
      <c r="L3405" s="23" t="s">
        <v>8</v>
      </c>
      <c r="M3405" s="23" t="s">
        <v>8</v>
      </c>
    </row>
    <row r="3406" spans="1:13" s="21" customFormat="1" x14ac:dyDescent="0.25">
      <c r="A3406" s="22" t="s">
        <v>8</v>
      </c>
      <c r="B3406" s="18" t="str">
        <f>"145905"</f>
        <v>145905</v>
      </c>
      <c r="C3406" s="19" t="s">
        <v>3397</v>
      </c>
      <c r="D3406" s="19" t="s">
        <v>18833</v>
      </c>
      <c r="E3406" s="19" t="s">
        <v>30992</v>
      </c>
      <c r="F3406" s="19" t="s">
        <v>35987</v>
      </c>
      <c r="G3406" s="18" t="str">
        <f>"62952"</f>
        <v>62952</v>
      </c>
      <c r="H3406" s="19" t="s">
        <v>33554</v>
      </c>
      <c r="I3406" s="20">
        <v>20.504999999999999</v>
      </c>
      <c r="J3406" s="44" t="s">
        <v>8</v>
      </c>
      <c r="K3406" s="23" t="s">
        <v>8</v>
      </c>
      <c r="L3406" s="23" t="s">
        <v>8</v>
      </c>
      <c r="M3406" s="23" t="s">
        <v>8</v>
      </c>
    </row>
    <row r="3407" spans="1:13" s="21" customFormat="1" x14ac:dyDescent="0.25">
      <c r="A3407" s="22" t="s">
        <v>8</v>
      </c>
      <c r="B3407" s="18" t="str">
        <f>"145906"</f>
        <v>145906</v>
      </c>
      <c r="C3407" s="19" t="s">
        <v>3398</v>
      </c>
      <c r="D3407" s="19" t="s">
        <v>18834</v>
      </c>
      <c r="E3407" s="19" t="s">
        <v>32123</v>
      </c>
      <c r="F3407" s="19" t="s">
        <v>35987</v>
      </c>
      <c r="G3407" s="18" t="str">
        <f>"61021"</f>
        <v>61021</v>
      </c>
      <c r="H3407" s="19" t="s">
        <v>33138</v>
      </c>
      <c r="I3407" s="20">
        <v>16.707999999999998</v>
      </c>
      <c r="J3407" s="44" t="s">
        <v>8</v>
      </c>
      <c r="K3407" s="23" t="s">
        <v>8</v>
      </c>
      <c r="L3407" s="23" t="s">
        <v>8</v>
      </c>
      <c r="M3407" s="23" t="s">
        <v>8</v>
      </c>
    </row>
    <row r="3408" spans="1:13" s="21" customFormat="1" x14ac:dyDescent="0.25">
      <c r="A3408" s="22" t="s">
        <v>8</v>
      </c>
      <c r="B3408" s="18" t="str">
        <f>"145907"</f>
        <v>145907</v>
      </c>
      <c r="C3408" s="19" t="s">
        <v>3399</v>
      </c>
      <c r="D3408" s="19" t="s">
        <v>18835</v>
      </c>
      <c r="E3408" s="19" t="s">
        <v>31917</v>
      </c>
      <c r="F3408" s="19" t="s">
        <v>35987</v>
      </c>
      <c r="G3408" s="18" t="str">
        <f>"60201"</f>
        <v>60201</v>
      </c>
      <c r="H3408" s="19" t="s">
        <v>33420</v>
      </c>
      <c r="I3408" s="20">
        <v>21.033000000000001</v>
      </c>
      <c r="J3408" s="44" t="s">
        <v>8</v>
      </c>
      <c r="K3408" s="23" t="s">
        <v>8</v>
      </c>
      <c r="L3408" s="23" t="s">
        <v>8</v>
      </c>
      <c r="M3408" s="23" t="s">
        <v>8</v>
      </c>
    </row>
    <row r="3409" spans="1:13" s="21" customFormat="1" x14ac:dyDescent="0.25">
      <c r="A3409" s="22" t="s">
        <v>8</v>
      </c>
      <c r="B3409" s="18" t="str">
        <f>"145908"</f>
        <v>145908</v>
      </c>
      <c r="C3409" s="19" t="s">
        <v>3400</v>
      </c>
      <c r="D3409" s="19" t="s">
        <v>18836</v>
      </c>
      <c r="E3409" s="19" t="s">
        <v>31935</v>
      </c>
      <c r="F3409" s="19" t="s">
        <v>35987</v>
      </c>
      <c r="G3409" s="18" t="str">
        <f>"61103"</f>
        <v>61103</v>
      </c>
      <c r="H3409" s="19" t="s">
        <v>36233</v>
      </c>
      <c r="I3409" s="20">
        <v>16.805</v>
      </c>
      <c r="J3409" s="44" t="s">
        <v>8</v>
      </c>
      <c r="K3409" s="23" t="s">
        <v>8</v>
      </c>
      <c r="L3409" s="23" t="s">
        <v>8</v>
      </c>
      <c r="M3409" s="23" t="s">
        <v>8</v>
      </c>
    </row>
    <row r="3410" spans="1:13" s="21" customFormat="1" x14ac:dyDescent="0.25">
      <c r="A3410" s="22" t="s">
        <v>8</v>
      </c>
      <c r="B3410" s="18" t="str">
        <f>"145909"</f>
        <v>145909</v>
      </c>
      <c r="C3410" s="19" t="s">
        <v>3401</v>
      </c>
      <c r="D3410" s="19" t="s">
        <v>18837</v>
      </c>
      <c r="E3410" s="19" t="s">
        <v>30817</v>
      </c>
      <c r="F3410" s="19" t="s">
        <v>35987</v>
      </c>
      <c r="G3410" s="18" t="str">
        <f>"62246"</f>
        <v>62246</v>
      </c>
      <c r="H3410" s="19" t="s">
        <v>36227</v>
      </c>
      <c r="I3410" s="20">
        <v>20.978000000000002</v>
      </c>
      <c r="J3410" s="44" t="s">
        <v>8</v>
      </c>
      <c r="K3410" s="23" t="s">
        <v>8</v>
      </c>
      <c r="L3410" s="23" t="s">
        <v>8</v>
      </c>
      <c r="M3410" s="23" t="s">
        <v>8</v>
      </c>
    </row>
    <row r="3411" spans="1:13" s="21" customFormat="1" x14ac:dyDescent="0.25">
      <c r="A3411" s="22" t="s">
        <v>8</v>
      </c>
      <c r="B3411" s="18" t="str">
        <f>"145910"</f>
        <v>145910</v>
      </c>
      <c r="C3411" s="19" t="s">
        <v>3402</v>
      </c>
      <c r="D3411" s="19" t="s">
        <v>18838</v>
      </c>
      <c r="E3411" s="19" t="s">
        <v>32124</v>
      </c>
      <c r="F3411" s="19" t="s">
        <v>35987</v>
      </c>
      <c r="G3411" s="18" t="str">
        <f>"62047"</f>
        <v>62047</v>
      </c>
      <c r="H3411" s="19" t="s">
        <v>31743</v>
      </c>
      <c r="I3411" s="20">
        <v>18.952999999999999</v>
      </c>
      <c r="J3411" s="44" t="s">
        <v>8</v>
      </c>
      <c r="K3411" s="23" t="s">
        <v>8</v>
      </c>
      <c r="L3411" s="23" t="s">
        <v>8</v>
      </c>
      <c r="M3411" s="23" t="s">
        <v>8</v>
      </c>
    </row>
    <row r="3412" spans="1:13" s="21" customFormat="1" x14ac:dyDescent="0.25">
      <c r="A3412" s="22" t="s">
        <v>8</v>
      </c>
      <c r="B3412" s="18" t="str">
        <f>"145911"</f>
        <v>145911</v>
      </c>
      <c r="C3412" s="19" t="s">
        <v>3403</v>
      </c>
      <c r="D3412" s="19" t="s">
        <v>18839</v>
      </c>
      <c r="E3412" s="19" t="s">
        <v>32125</v>
      </c>
      <c r="F3412" s="19" t="s">
        <v>35987</v>
      </c>
      <c r="G3412" s="18" t="str">
        <f>"60936"</f>
        <v>60936</v>
      </c>
      <c r="H3412" s="19" t="s">
        <v>36241</v>
      </c>
      <c r="I3412" s="20">
        <v>18.670000000000002</v>
      </c>
      <c r="J3412" s="44" t="s">
        <v>8</v>
      </c>
      <c r="K3412" s="23" t="s">
        <v>8</v>
      </c>
      <c r="L3412" s="23" t="s">
        <v>8</v>
      </c>
      <c r="M3412" s="23" t="s">
        <v>8</v>
      </c>
    </row>
    <row r="3413" spans="1:13" s="21" customFormat="1" x14ac:dyDescent="0.25">
      <c r="A3413" s="22" t="s">
        <v>8</v>
      </c>
      <c r="B3413" s="18" t="str">
        <f>"145913"</f>
        <v>145913</v>
      </c>
      <c r="C3413" s="19" t="s">
        <v>3404</v>
      </c>
      <c r="D3413" s="19" t="s">
        <v>18840</v>
      </c>
      <c r="E3413" s="19" t="s">
        <v>31294</v>
      </c>
      <c r="F3413" s="19" t="s">
        <v>35987</v>
      </c>
      <c r="G3413" s="18" t="str">
        <f>"60459"</f>
        <v>60459</v>
      </c>
      <c r="H3413" s="19" t="s">
        <v>33420</v>
      </c>
      <c r="I3413" s="20">
        <v>22.259</v>
      </c>
      <c r="J3413" s="44" t="s">
        <v>8</v>
      </c>
      <c r="K3413" s="23" t="s">
        <v>8</v>
      </c>
      <c r="L3413" s="23" t="s">
        <v>8</v>
      </c>
      <c r="M3413" s="23" t="s">
        <v>8</v>
      </c>
    </row>
    <row r="3414" spans="1:13" s="21" customFormat="1" x14ac:dyDescent="0.25">
      <c r="A3414" s="22" t="s">
        <v>8</v>
      </c>
      <c r="B3414" s="18" t="str">
        <f>"145914"</f>
        <v>145914</v>
      </c>
      <c r="C3414" s="19" t="s">
        <v>3405</v>
      </c>
      <c r="D3414" s="19" t="s">
        <v>18841</v>
      </c>
      <c r="E3414" s="19" t="s">
        <v>31934</v>
      </c>
      <c r="F3414" s="19" t="s">
        <v>35987</v>
      </c>
      <c r="G3414" s="18" t="str">
        <f>"60643"</f>
        <v>60643</v>
      </c>
      <c r="H3414" s="19" t="s">
        <v>33420</v>
      </c>
      <c r="I3414" s="20">
        <v>18.364999999999998</v>
      </c>
      <c r="J3414" s="44" t="s">
        <v>8</v>
      </c>
      <c r="K3414" s="23" t="s">
        <v>8</v>
      </c>
      <c r="L3414" s="23" t="s">
        <v>8</v>
      </c>
      <c r="M3414" s="23" t="s">
        <v>8</v>
      </c>
    </row>
    <row r="3415" spans="1:13" s="21" customFormat="1" x14ac:dyDescent="0.25">
      <c r="A3415" s="22" t="s">
        <v>8</v>
      </c>
      <c r="B3415" s="18" t="str">
        <f>"145917"</f>
        <v>145917</v>
      </c>
      <c r="C3415" s="19" t="s">
        <v>3406</v>
      </c>
      <c r="D3415" s="19" t="s">
        <v>18842</v>
      </c>
      <c r="E3415" s="19" t="s">
        <v>31953</v>
      </c>
      <c r="F3415" s="19" t="s">
        <v>35987</v>
      </c>
      <c r="G3415" s="18" t="str">
        <f>"60014"</f>
        <v>60014</v>
      </c>
      <c r="H3415" s="19" t="s">
        <v>32006</v>
      </c>
      <c r="I3415" s="20">
        <v>16.087</v>
      </c>
      <c r="J3415" s="44" t="s">
        <v>8</v>
      </c>
      <c r="K3415" s="23" t="s">
        <v>8</v>
      </c>
      <c r="L3415" s="23" t="s">
        <v>8</v>
      </c>
      <c r="M3415" s="23" t="s">
        <v>8</v>
      </c>
    </row>
    <row r="3416" spans="1:13" s="21" customFormat="1" x14ac:dyDescent="0.25">
      <c r="A3416" s="22" t="s">
        <v>8</v>
      </c>
      <c r="B3416" s="18" t="str">
        <f>"145918"</f>
        <v>145918</v>
      </c>
      <c r="C3416" s="19" t="s">
        <v>3407</v>
      </c>
      <c r="D3416" s="19" t="s">
        <v>18843</v>
      </c>
      <c r="E3416" s="19" t="s">
        <v>30920</v>
      </c>
      <c r="F3416" s="19" t="s">
        <v>35987</v>
      </c>
      <c r="G3416" s="18" t="str">
        <f>"62417"</f>
        <v>62417</v>
      </c>
      <c r="H3416" s="19" t="s">
        <v>32568</v>
      </c>
      <c r="I3416" s="20">
        <v>20.927</v>
      </c>
      <c r="J3416" s="44" t="s">
        <v>8</v>
      </c>
      <c r="K3416" s="23" t="s">
        <v>8</v>
      </c>
      <c r="L3416" s="23" t="s">
        <v>8</v>
      </c>
      <c r="M3416" s="23" t="s">
        <v>8</v>
      </c>
    </row>
    <row r="3417" spans="1:13" s="21" customFormat="1" x14ac:dyDescent="0.25">
      <c r="A3417" s="22" t="s">
        <v>8</v>
      </c>
      <c r="B3417" s="18" t="str">
        <f>"145920"</f>
        <v>145920</v>
      </c>
      <c r="C3417" s="19" t="s">
        <v>3408</v>
      </c>
      <c r="D3417" s="19" t="s">
        <v>18844</v>
      </c>
      <c r="E3417" s="19" t="s">
        <v>32031</v>
      </c>
      <c r="F3417" s="19" t="s">
        <v>35987</v>
      </c>
      <c r="G3417" s="18" t="str">
        <f>"61277"</f>
        <v>61277</v>
      </c>
      <c r="H3417" s="19" t="s">
        <v>36235</v>
      </c>
      <c r="I3417" s="20">
        <v>16.43</v>
      </c>
      <c r="J3417" s="44" t="s">
        <v>8</v>
      </c>
      <c r="K3417" s="23" t="s">
        <v>8</v>
      </c>
      <c r="L3417" s="23" t="s">
        <v>8</v>
      </c>
      <c r="M3417" s="23" t="s">
        <v>8</v>
      </c>
    </row>
    <row r="3418" spans="1:13" s="21" customFormat="1" x14ac:dyDescent="0.25">
      <c r="A3418" s="22" t="s">
        <v>8</v>
      </c>
      <c r="B3418" s="18" t="str">
        <f>"145921"</f>
        <v>145921</v>
      </c>
      <c r="C3418" s="19" t="s">
        <v>3409</v>
      </c>
      <c r="D3418" s="19" t="s">
        <v>18845</v>
      </c>
      <c r="E3418" s="19" t="s">
        <v>31156</v>
      </c>
      <c r="F3418" s="19" t="s">
        <v>35987</v>
      </c>
      <c r="G3418" s="18" t="str">
        <f>"62001"</f>
        <v>62001</v>
      </c>
      <c r="H3418" s="19" t="s">
        <v>30899</v>
      </c>
      <c r="I3418" s="20">
        <v>18.273</v>
      </c>
      <c r="J3418" s="44" t="s">
        <v>8</v>
      </c>
      <c r="K3418" s="23" t="s">
        <v>8</v>
      </c>
      <c r="L3418" s="23" t="s">
        <v>8</v>
      </c>
      <c r="M3418" s="23" t="s">
        <v>8</v>
      </c>
    </row>
    <row r="3419" spans="1:13" s="21" customFormat="1" x14ac:dyDescent="0.25">
      <c r="A3419" s="22" t="s">
        <v>8</v>
      </c>
      <c r="B3419" s="18" t="str">
        <f>"145922"</f>
        <v>145922</v>
      </c>
      <c r="C3419" s="19" t="s">
        <v>3410</v>
      </c>
      <c r="D3419" s="19" t="s">
        <v>18846</v>
      </c>
      <c r="E3419" s="19" t="s">
        <v>32126</v>
      </c>
      <c r="F3419" s="19" t="s">
        <v>35987</v>
      </c>
      <c r="G3419" s="18" t="str">
        <f>"62920"</f>
        <v>62920</v>
      </c>
      <c r="H3419" s="19" t="s">
        <v>33554</v>
      </c>
      <c r="I3419" s="20">
        <v>18.695</v>
      </c>
      <c r="J3419" s="44" t="s">
        <v>8</v>
      </c>
      <c r="K3419" s="23" t="s">
        <v>8</v>
      </c>
      <c r="L3419" s="23" t="s">
        <v>8</v>
      </c>
      <c r="M3419" s="23" t="s">
        <v>8</v>
      </c>
    </row>
    <row r="3420" spans="1:13" s="21" customFormat="1" x14ac:dyDescent="0.25">
      <c r="A3420" s="22" t="s">
        <v>8</v>
      </c>
      <c r="B3420" s="18" t="str">
        <f>"145923"</f>
        <v>145923</v>
      </c>
      <c r="C3420" s="19" t="s">
        <v>3411</v>
      </c>
      <c r="D3420" s="19" t="s">
        <v>18847</v>
      </c>
      <c r="E3420" s="19" t="s">
        <v>32127</v>
      </c>
      <c r="F3420" s="19" t="s">
        <v>35987</v>
      </c>
      <c r="G3420" s="18" t="str">
        <f>"60035"</f>
        <v>60035</v>
      </c>
      <c r="H3420" s="19" t="s">
        <v>36096</v>
      </c>
      <c r="I3420" s="20">
        <v>17.504999999999999</v>
      </c>
      <c r="J3420" s="44" t="s">
        <v>8</v>
      </c>
      <c r="K3420" s="23" t="s">
        <v>8</v>
      </c>
      <c r="L3420" s="23" t="s">
        <v>8</v>
      </c>
      <c r="M3420" s="23" t="s">
        <v>8</v>
      </c>
    </row>
    <row r="3421" spans="1:13" s="21" customFormat="1" x14ac:dyDescent="0.25">
      <c r="A3421" s="22" t="s">
        <v>8</v>
      </c>
      <c r="B3421" s="18" t="str">
        <f>"145924"</f>
        <v>145924</v>
      </c>
      <c r="C3421" s="19" t="s">
        <v>3412</v>
      </c>
      <c r="D3421" s="19" t="s">
        <v>18848</v>
      </c>
      <c r="E3421" s="19" t="s">
        <v>31939</v>
      </c>
      <c r="F3421" s="19" t="s">
        <v>35987</v>
      </c>
      <c r="G3421" s="18" t="str">
        <f>"61821"</f>
        <v>61821</v>
      </c>
      <c r="H3421" s="19" t="s">
        <v>31939</v>
      </c>
      <c r="I3421" s="20">
        <v>17.882999999999999</v>
      </c>
      <c r="J3421" s="44" t="s">
        <v>8</v>
      </c>
      <c r="K3421" s="23" t="s">
        <v>8</v>
      </c>
      <c r="L3421" s="23" t="s">
        <v>8</v>
      </c>
      <c r="M3421" s="23" t="s">
        <v>8</v>
      </c>
    </row>
    <row r="3422" spans="1:13" s="21" customFormat="1" x14ac:dyDescent="0.25">
      <c r="A3422" s="22" t="s">
        <v>8</v>
      </c>
      <c r="B3422" s="18" t="str">
        <f>"145926"</f>
        <v>145926</v>
      </c>
      <c r="C3422" s="19" t="s">
        <v>3413</v>
      </c>
      <c r="D3422" s="19" t="s">
        <v>18849</v>
      </c>
      <c r="E3422" s="19" t="s">
        <v>30981</v>
      </c>
      <c r="F3422" s="19" t="s">
        <v>35987</v>
      </c>
      <c r="G3422" s="18" t="str">
        <f>"61834"</f>
        <v>61834</v>
      </c>
      <c r="H3422" s="19" t="s">
        <v>34509</v>
      </c>
      <c r="I3422" s="20">
        <v>24.053000000000001</v>
      </c>
      <c r="J3422" s="44" t="s">
        <v>8</v>
      </c>
      <c r="K3422" s="23" t="s">
        <v>8</v>
      </c>
      <c r="L3422" s="23" t="s">
        <v>8</v>
      </c>
      <c r="M3422" s="23" t="s">
        <v>8</v>
      </c>
    </row>
    <row r="3423" spans="1:13" s="21" customFormat="1" x14ac:dyDescent="0.25">
      <c r="A3423" s="22" t="s">
        <v>8</v>
      </c>
      <c r="B3423" s="18" t="str">
        <f>"145927"</f>
        <v>145927</v>
      </c>
      <c r="C3423" s="19" t="s">
        <v>3414</v>
      </c>
      <c r="D3423" s="19" t="s">
        <v>18850</v>
      </c>
      <c r="E3423" s="19" t="s">
        <v>32044</v>
      </c>
      <c r="F3423" s="19" t="s">
        <v>35987</v>
      </c>
      <c r="G3423" s="18" t="str">
        <f>"60473"</f>
        <v>60473</v>
      </c>
      <c r="H3423" s="19" t="s">
        <v>33420</v>
      </c>
      <c r="I3423" s="20">
        <v>21.039000000000001</v>
      </c>
      <c r="J3423" s="44" t="s">
        <v>8</v>
      </c>
      <c r="K3423" s="23" t="s">
        <v>8</v>
      </c>
      <c r="L3423" s="23" t="s">
        <v>8</v>
      </c>
      <c r="M3423" s="23" t="s">
        <v>8</v>
      </c>
    </row>
    <row r="3424" spans="1:13" s="21" customFormat="1" x14ac:dyDescent="0.25">
      <c r="A3424" s="22" t="s">
        <v>8</v>
      </c>
      <c r="B3424" s="18" t="str">
        <f>"145928"</f>
        <v>145928</v>
      </c>
      <c r="C3424" s="19" t="s">
        <v>3415</v>
      </c>
      <c r="D3424" s="19" t="s">
        <v>18851</v>
      </c>
      <c r="E3424" s="19" t="s">
        <v>30912</v>
      </c>
      <c r="F3424" s="19" t="s">
        <v>35987</v>
      </c>
      <c r="G3424" s="18" t="str">
        <f>"62650"</f>
        <v>62650</v>
      </c>
      <c r="H3424" s="19" t="s">
        <v>33505</v>
      </c>
      <c r="I3424" s="20">
        <v>20.497</v>
      </c>
      <c r="J3424" s="44" t="s">
        <v>8</v>
      </c>
      <c r="K3424" s="23" t="s">
        <v>8</v>
      </c>
      <c r="L3424" s="23" t="s">
        <v>8</v>
      </c>
      <c r="M3424" s="23" t="s">
        <v>8</v>
      </c>
    </row>
    <row r="3425" spans="1:13" s="21" customFormat="1" x14ac:dyDescent="0.25">
      <c r="A3425" s="22" t="s">
        <v>8</v>
      </c>
      <c r="B3425" s="18" t="str">
        <f>"145930"</f>
        <v>145930</v>
      </c>
      <c r="C3425" s="19" t="s">
        <v>3416</v>
      </c>
      <c r="D3425" s="19" t="s">
        <v>18852</v>
      </c>
      <c r="E3425" s="19" t="s">
        <v>31913</v>
      </c>
      <c r="F3425" s="19" t="s">
        <v>35987</v>
      </c>
      <c r="G3425" s="18" t="str">
        <f>"61764"</f>
        <v>61764</v>
      </c>
      <c r="H3425" s="19" t="s">
        <v>33740</v>
      </c>
      <c r="I3425" s="20">
        <v>18.236000000000001</v>
      </c>
      <c r="J3425" s="44" t="s">
        <v>8</v>
      </c>
      <c r="K3425" s="23" t="s">
        <v>8</v>
      </c>
      <c r="L3425" s="23" t="s">
        <v>8</v>
      </c>
      <c r="M3425" s="23" t="s">
        <v>8</v>
      </c>
    </row>
    <row r="3426" spans="1:13" s="21" customFormat="1" x14ac:dyDescent="0.25">
      <c r="A3426" s="22" t="s">
        <v>8</v>
      </c>
      <c r="B3426" s="18" t="str">
        <f>"145931"</f>
        <v>145931</v>
      </c>
      <c r="C3426" s="19" t="s">
        <v>3417</v>
      </c>
      <c r="D3426" s="19" t="s">
        <v>18853</v>
      </c>
      <c r="E3426" s="19" t="s">
        <v>32011</v>
      </c>
      <c r="F3426" s="19" t="s">
        <v>35987</v>
      </c>
      <c r="G3426" s="18" t="str">
        <f>"60076"</f>
        <v>60076</v>
      </c>
      <c r="H3426" s="19" t="s">
        <v>33420</v>
      </c>
      <c r="I3426" s="20">
        <v>21.384</v>
      </c>
      <c r="J3426" s="44" t="s">
        <v>8</v>
      </c>
      <c r="K3426" s="23" t="s">
        <v>8</v>
      </c>
      <c r="L3426" s="23" t="s">
        <v>8</v>
      </c>
      <c r="M3426" s="23" t="s">
        <v>8</v>
      </c>
    </row>
    <row r="3427" spans="1:13" s="21" customFormat="1" x14ac:dyDescent="0.25">
      <c r="A3427" s="22" t="s">
        <v>8</v>
      </c>
      <c r="B3427" s="18" t="str">
        <f>"145932"</f>
        <v>145932</v>
      </c>
      <c r="C3427" s="19" t="s">
        <v>3418</v>
      </c>
      <c r="D3427" s="19" t="s">
        <v>18854</v>
      </c>
      <c r="E3427" s="19" t="s">
        <v>32128</v>
      </c>
      <c r="F3427" s="19" t="s">
        <v>35987</v>
      </c>
      <c r="G3427" s="18" t="str">
        <f>"60091"</f>
        <v>60091</v>
      </c>
      <c r="H3427" s="19" t="s">
        <v>33420</v>
      </c>
      <c r="I3427" s="20">
        <v>18.378</v>
      </c>
      <c r="J3427" s="44" t="s">
        <v>8</v>
      </c>
      <c r="K3427" s="23" t="s">
        <v>8</v>
      </c>
      <c r="L3427" s="23" t="s">
        <v>8</v>
      </c>
      <c r="M3427" s="23" t="s">
        <v>8</v>
      </c>
    </row>
    <row r="3428" spans="1:13" s="21" customFormat="1" x14ac:dyDescent="0.25">
      <c r="A3428" s="22" t="s">
        <v>8</v>
      </c>
      <c r="B3428" s="18" t="str">
        <f>"145933"</f>
        <v>145933</v>
      </c>
      <c r="C3428" s="19" t="s">
        <v>3419</v>
      </c>
      <c r="D3428" s="19" t="s">
        <v>18855</v>
      </c>
      <c r="E3428" s="19" t="s">
        <v>30954</v>
      </c>
      <c r="F3428" s="19" t="s">
        <v>35987</v>
      </c>
      <c r="G3428" s="18" t="str">
        <f>"61614"</f>
        <v>61614</v>
      </c>
      <c r="H3428" s="19" t="s">
        <v>30954</v>
      </c>
      <c r="I3428" s="20">
        <v>18.216999999999999</v>
      </c>
      <c r="J3428" s="44" t="s">
        <v>8</v>
      </c>
      <c r="K3428" s="23" t="s">
        <v>8</v>
      </c>
      <c r="L3428" s="23" t="s">
        <v>8</v>
      </c>
      <c r="M3428" s="23" t="s">
        <v>8</v>
      </c>
    </row>
    <row r="3429" spans="1:13" s="21" customFormat="1" x14ac:dyDescent="0.25">
      <c r="A3429" s="22" t="s">
        <v>8</v>
      </c>
      <c r="B3429" s="18" t="str">
        <f>"145935"</f>
        <v>145935</v>
      </c>
      <c r="C3429" s="19" t="s">
        <v>3420</v>
      </c>
      <c r="D3429" s="19" t="s">
        <v>18856</v>
      </c>
      <c r="E3429" s="19" t="s">
        <v>31947</v>
      </c>
      <c r="F3429" s="19" t="s">
        <v>35987</v>
      </c>
      <c r="G3429" s="18" t="str">
        <f>"61032"</f>
        <v>61032</v>
      </c>
      <c r="H3429" s="19" t="s">
        <v>33297</v>
      </c>
      <c r="I3429" s="20">
        <v>21.853999999999999</v>
      </c>
      <c r="J3429" s="44" t="s">
        <v>8</v>
      </c>
      <c r="K3429" s="23" t="s">
        <v>8</v>
      </c>
      <c r="L3429" s="23" t="s">
        <v>8</v>
      </c>
      <c r="M3429" s="23" t="s">
        <v>8</v>
      </c>
    </row>
    <row r="3430" spans="1:13" s="21" customFormat="1" x14ac:dyDescent="0.25">
      <c r="A3430" s="22" t="s">
        <v>8</v>
      </c>
      <c r="B3430" s="18" t="str">
        <f>"145936"</f>
        <v>145936</v>
      </c>
      <c r="C3430" s="19" t="s">
        <v>3421</v>
      </c>
      <c r="D3430" s="19" t="s">
        <v>18857</v>
      </c>
      <c r="E3430" s="19" t="s">
        <v>32129</v>
      </c>
      <c r="F3430" s="19" t="s">
        <v>35987</v>
      </c>
      <c r="G3430" s="18" t="str">
        <f>"60040"</f>
        <v>60040</v>
      </c>
      <c r="H3430" s="19" t="s">
        <v>36096</v>
      </c>
      <c r="I3430" s="20">
        <v>18.094999999999999</v>
      </c>
      <c r="J3430" s="44" t="s">
        <v>8</v>
      </c>
      <c r="K3430" s="23" t="s">
        <v>8</v>
      </c>
      <c r="L3430" s="23" t="s">
        <v>8</v>
      </c>
      <c r="M3430" s="23" t="s">
        <v>8</v>
      </c>
    </row>
    <row r="3431" spans="1:13" s="21" customFormat="1" x14ac:dyDescent="0.25">
      <c r="A3431" s="22" t="s">
        <v>8</v>
      </c>
      <c r="B3431" s="18" t="str">
        <f>"145937"</f>
        <v>145937</v>
      </c>
      <c r="C3431" s="19" t="s">
        <v>3422</v>
      </c>
      <c r="D3431" s="19" t="s">
        <v>18858</v>
      </c>
      <c r="E3431" s="19" t="s">
        <v>31935</v>
      </c>
      <c r="F3431" s="19" t="s">
        <v>35987</v>
      </c>
      <c r="G3431" s="18" t="str">
        <f>"61108"</f>
        <v>61108</v>
      </c>
      <c r="H3431" s="19" t="s">
        <v>36233</v>
      </c>
      <c r="I3431" s="20">
        <v>20.675999999999998</v>
      </c>
      <c r="J3431" s="44" t="s">
        <v>8</v>
      </c>
      <c r="K3431" s="23" t="s">
        <v>8</v>
      </c>
      <c r="L3431" s="23" t="s">
        <v>8</v>
      </c>
      <c r="M3431" s="23" t="s">
        <v>8</v>
      </c>
    </row>
    <row r="3432" spans="1:13" s="21" customFormat="1" x14ac:dyDescent="0.25">
      <c r="A3432" s="22" t="s">
        <v>8</v>
      </c>
      <c r="B3432" s="18" t="str">
        <f>"145938"</f>
        <v>145938</v>
      </c>
      <c r="C3432" s="19" t="s">
        <v>3423</v>
      </c>
      <c r="D3432" s="19" t="s">
        <v>18859</v>
      </c>
      <c r="E3432" s="19" t="s">
        <v>31934</v>
      </c>
      <c r="F3432" s="19" t="s">
        <v>35987</v>
      </c>
      <c r="G3432" s="18" t="str">
        <f>"60637"</f>
        <v>60637</v>
      </c>
      <c r="H3432" s="19" t="s">
        <v>33420</v>
      </c>
      <c r="I3432" s="20">
        <v>18.925000000000001</v>
      </c>
      <c r="J3432" s="44" t="s">
        <v>8</v>
      </c>
      <c r="K3432" s="23" t="s">
        <v>8</v>
      </c>
      <c r="L3432" s="23" t="s">
        <v>8</v>
      </c>
      <c r="M3432" s="23" t="s">
        <v>8</v>
      </c>
    </row>
    <row r="3433" spans="1:13" s="21" customFormat="1" x14ac:dyDescent="0.25">
      <c r="A3433" s="22" t="s">
        <v>8</v>
      </c>
      <c r="B3433" s="18" t="str">
        <f>"145939"</f>
        <v>145939</v>
      </c>
      <c r="C3433" s="19" t="s">
        <v>3424</v>
      </c>
      <c r="D3433" s="19" t="s">
        <v>18860</v>
      </c>
      <c r="E3433" s="19" t="s">
        <v>31934</v>
      </c>
      <c r="F3433" s="19" t="s">
        <v>35987</v>
      </c>
      <c r="G3433" s="18" t="str">
        <f>"60649"</f>
        <v>60649</v>
      </c>
      <c r="H3433" s="19" t="s">
        <v>33420</v>
      </c>
      <c r="I3433" s="20">
        <v>19.027999999999999</v>
      </c>
      <c r="J3433" s="44" t="s">
        <v>8</v>
      </c>
      <c r="K3433" s="23" t="s">
        <v>8</v>
      </c>
      <c r="L3433" s="23" t="s">
        <v>8</v>
      </c>
      <c r="M3433" s="23" t="s">
        <v>8</v>
      </c>
    </row>
    <row r="3434" spans="1:13" s="21" customFormat="1" x14ac:dyDescent="0.25">
      <c r="A3434" s="22" t="s">
        <v>8</v>
      </c>
      <c r="B3434" s="18" t="str">
        <f>"145942"</f>
        <v>145942</v>
      </c>
      <c r="C3434" s="19" t="s">
        <v>3425</v>
      </c>
      <c r="D3434" s="19" t="s">
        <v>18861</v>
      </c>
      <c r="E3434" s="19" t="s">
        <v>31930</v>
      </c>
      <c r="F3434" s="19" t="s">
        <v>35987</v>
      </c>
      <c r="G3434" s="18" t="str">
        <f>"60453"</f>
        <v>60453</v>
      </c>
      <c r="H3434" s="19" t="s">
        <v>33420</v>
      </c>
      <c r="I3434" s="20">
        <v>17.838999999999999</v>
      </c>
      <c r="J3434" s="44" t="s">
        <v>8</v>
      </c>
      <c r="K3434" s="23" t="s">
        <v>8</v>
      </c>
      <c r="L3434" s="23" t="s">
        <v>8</v>
      </c>
      <c r="M3434" s="23" t="s">
        <v>8</v>
      </c>
    </row>
    <row r="3435" spans="1:13" s="21" customFormat="1" x14ac:dyDescent="0.25">
      <c r="A3435" s="22" t="s">
        <v>8</v>
      </c>
      <c r="B3435" s="18" t="str">
        <f>"145944"</f>
        <v>145944</v>
      </c>
      <c r="C3435" s="19" t="s">
        <v>3426</v>
      </c>
      <c r="D3435" s="19" t="s">
        <v>18862</v>
      </c>
      <c r="E3435" s="19" t="s">
        <v>31333</v>
      </c>
      <c r="F3435" s="19" t="s">
        <v>35987</v>
      </c>
      <c r="G3435" s="18" t="str">
        <f>"60506"</f>
        <v>60506</v>
      </c>
      <c r="H3435" s="19" t="s">
        <v>34788</v>
      </c>
      <c r="I3435" s="20">
        <v>20.071000000000002</v>
      </c>
      <c r="J3435" s="44" t="s">
        <v>8</v>
      </c>
      <c r="K3435" s="23" t="s">
        <v>8</v>
      </c>
      <c r="L3435" s="23" t="s">
        <v>8</v>
      </c>
      <c r="M3435" s="23" t="s">
        <v>8</v>
      </c>
    </row>
    <row r="3436" spans="1:13" s="21" customFormat="1" x14ac:dyDescent="0.25">
      <c r="A3436" s="22" t="s">
        <v>8</v>
      </c>
      <c r="B3436" s="18" t="str">
        <f>"145945"</f>
        <v>145945</v>
      </c>
      <c r="C3436" s="19" t="s">
        <v>3427</v>
      </c>
      <c r="D3436" s="19" t="s">
        <v>18863</v>
      </c>
      <c r="E3436" s="19" t="s">
        <v>30853</v>
      </c>
      <c r="F3436" s="19" t="s">
        <v>35987</v>
      </c>
      <c r="G3436" s="18" t="str">
        <f>"62521"</f>
        <v>62521</v>
      </c>
      <c r="H3436" s="19" t="s">
        <v>31733</v>
      </c>
      <c r="I3436" s="20">
        <v>17.292999999999999</v>
      </c>
      <c r="J3436" s="44" t="s">
        <v>8</v>
      </c>
      <c r="K3436" s="23" t="s">
        <v>8</v>
      </c>
      <c r="L3436" s="23" t="s">
        <v>8</v>
      </c>
      <c r="M3436" s="23" t="s">
        <v>8</v>
      </c>
    </row>
    <row r="3437" spans="1:13" s="21" customFormat="1" x14ac:dyDescent="0.25">
      <c r="A3437" s="22" t="s">
        <v>8</v>
      </c>
      <c r="B3437" s="18" t="str">
        <f>"145946"</f>
        <v>145946</v>
      </c>
      <c r="C3437" s="19" t="s">
        <v>3428</v>
      </c>
      <c r="D3437" s="19" t="s">
        <v>18864</v>
      </c>
      <c r="E3437" s="19" t="s">
        <v>32130</v>
      </c>
      <c r="F3437" s="19" t="s">
        <v>35987</v>
      </c>
      <c r="G3437" s="18" t="str">
        <f>"60162"</f>
        <v>60162</v>
      </c>
      <c r="H3437" s="19" t="s">
        <v>33420</v>
      </c>
      <c r="I3437" s="20">
        <v>20.298999999999999</v>
      </c>
      <c r="J3437" s="44" t="s">
        <v>8</v>
      </c>
      <c r="K3437" s="23" t="s">
        <v>8</v>
      </c>
      <c r="L3437" s="23" t="s">
        <v>8</v>
      </c>
      <c r="M3437" s="23" t="s">
        <v>8</v>
      </c>
    </row>
    <row r="3438" spans="1:13" s="21" customFormat="1" x14ac:dyDescent="0.25">
      <c r="A3438" s="22" t="s">
        <v>8</v>
      </c>
      <c r="B3438" s="18" t="str">
        <f>"145947"</f>
        <v>145947</v>
      </c>
      <c r="C3438" s="19" t="s">
        <v>3429</v>
      </c>
      <c r="D3438" s="19" t="s">
        <v>18865</v>
      </c>
      <c r="E3438" s="19" t="s">
        <v>32131</v>
      </c>
      <c r="F3438" s="19" t="s">
        <v>35987</v>
      </c>
      <c r="G3438" s="18" t="str">
        <f>"60445"</f>
        <v>60445</v>
      </c>
      <c r="H3438" s="19" t="s">
        <v>33420</v>
      </c>
      <c r="I3438" s="20">
        <v>19.552</v>
      </c>
      <c r="J3438" s="44" t="s">
        <v>8</v>
      </c>
      <c r="K3438" s="23" t="s">
        <v>8</v>
      </c>
      <c r="L3438" s="23" t="s">
        <v>8</v>
      </c>
      <c r="M3438" s="23" t="s">
        <v>8</v>
      </c>
    </row>
    <row r="3439" spans="1:13" s="21" customFormat="1" x14ac:dyDescent="0.25">
      <c r="A3439" s="22" t="s">
        <v>8</v>
      </c>
      <c r="B3439" s="18" t="str">
        <f>"145948"</f>
        <v>145948</v>
      </c>
      <c r="C3439" s="19" t="s">
        <v>3430</v>
      </c>
      <c r="D3439" s="19" t="s">
        <v>18866</v>
      </c>
      <c r="E3439" s="19" t="s">
        <v>32132</v>
      </c>
      <c r="F3439" s="19" t="s">
        <v>35987</v>
      </c>
      <c r="G3439" s="18" t="str">
        <f>"61813"</f>
        <v>61813</v>
      </c>
      <c r="H3439" s="19" t="s">
        <v>36245</v>
      </c>
      <c r="I3439" s="20">
        <v>18.715</v>
      </c>
      <c r="J3439" s="44" t="s">
        <v>8</v>
      </c>
      <c r="K3439" s="23" t="s">
        <v>8</v>
      </c>
      <c r="L3439" s="23" t="s">
        <v>8</v>
      </c>
      <c r="M3439" s="23" t="s">
        <v>8</v>
      </c>
    </row>
    <row r="3440" spans="1:13" s="21" customFormat="1" x14ac:dyDescent="0.25">
      <c r="A3440" s="22" t="s">
        <v>8</v>
      </c>
      <c r="B3440" s="18" t="str">
        <f>"145949"</f>
        <v>145949</v>
      </c>
      <c r="C3440" s="19" t="s">
        <v>622</v>
      </c>
      <c r="D3440" s="19" t="s">
        <v>18867</v>
      </c>
      <c r="E3440" s="19" t="s">
        <v>32009</v>
      </c>
      <c r="F3440" s="19" t="s">
        <v>35987</v>
      </c>
      <c r="G3440" s="18" t="str">
        <f>"61254"</f>
        <v>61254</v>
      </c>
      <c r="H3440" s="19" t="s">
        <v>32041</v>
      </c>
      <c r="I3440" s="20">
        <v>18.405999999999999</v>
      </c>
      <c r="J3440" s="44" t="s">
        <v>8</v>
      </c>
      <c r="K3440" s="23" t="s">
        <v>8</v>
      </c>
      <c r="L3440" s="23" t="s">
        <v>8</v>
      </c>
      <c r="M3440" s="23" t="s">
        <v>8</v>
      </c>
    </row>
    <row r="3441" spans="1:13" s="21" customFormat="1" x14ac:dyDescent="0.25">
      <c r="A3441" s="22" t="s">
        <v>8</v>
      </c>
      <c r="B3441" s="18" t="str">
        <f>"145950"</f>
        <v>145950</v>
      </c>
      <c r="C3441" s="19" t="s">
        <v>3431</v>
      </c>
      <c r="D3441" s="19" t="s">
        <v>18868</v>
      </c>
      <c r="E3441" s="19" t="s">
        <v>31981</v>
      </c>
      <c r="F3441" s="19" t="s">
        <v>35987</v>
      </c>
      <c r="G3441" s="18" t="str">
        <f>"61201"</f>
        <v>61201</v>
      </c>
      <c r="H3441" s="19" t="s">
        <v>31981</v>
      </c>
      <c r="I3441" s="20">
        <v>19.222999999999999</v>
      </c>
      <c r="J3441" s="44" t="s">
        <v>8</v>
      </c>
      <c r="K3441" s="23" t="s">
        <v>8</v>
      </c>
      <c r="L3441" s="23" t="s">
        <v>8</v>
      </c>
      <c r="M3441" s="23" t="s">
        <v>8</v>
      </c>
    </row>
    <row r="3442" spans="1:13" s="21" customFormat="1" x14ac:dyDescent="0.25">
      <c r="A3442" s="22" t="s">
        <v>8</v>
      </c>
      <c r="B3442" s="18" t="str">
        <f>"145951"</f>
        <v>145951</v>
      </c>
      <c r="C3442" s="19" t="s">
        <v>3432</v>
      </c>
      <c r="D3442" s="19" t="s">
        <v>18869</v>
      </c>
      <c r="E3442" s="19" t="s">
        <v>30912</v>
      </c>
      <c r="F3442" s="19" t="s">
        <v>35987</v>
      </c>
      <c r="G3442" s="18" t="str">
        <f>"62650"</f>
        <v>62650</v>
      </c>
      <c r="H3442" s="19" t="s">
        <v>33505</v>
      </c>
      <c r="I3442" s="20">
        <v>21.303999999999998</v>
      </c>
      <c r="J3442" s="44" t="s">
        <v>8</v>
      </c>
      <c r="K3442" s="23" t="s">
        <v>8</v>
      </c>
      <c r="L3442" s="23" t="s">
        <v>8</v>
      </c>
      <c r="M3442" s="23" t="s">
        <v>8</v>
      </c>
    </row>
    <row r="3443" spans="1:13" s="21" customFormat="1" x14ac:dyDescent="0.25">
      <c r="A3443" s="22" t="s">
        <v>8</v>
      </c>
      <c r="B3443" s="18" t="str">
        <f>"145952"</f>
        <v>145952</v>
      </c>
      <c r="C3443" s="19" t="s">
        <v>3433</v>
      </c>
      <c r="D3443" s="19" t="s">
        <v>18870</v>
      </c>
      <c r="E3443" s="19" t="s">
        <v>32133</v>
      </c>
      <c r="F3443" s="19" t="s">
        <v>35987</v>
      </c>
      <c r="G3443" s="18" t="str">
        <f>"62618"</f>
        <v>62618</v>
      </c>
      <c r="H3443" s="19" t="s">
        <v>36246</v>
      </c>
      <c r="I3443" s="20">
        <v>17.896999999999998</v>
      </c>
      <c r="J3443" s="44" t="s">
        <v>8</v>
      </c>
      <c r="K3443" s="23" t="s">
        <v>8</v>
      </c>
      <c r="L3443" s="23" t="s">
        <v>8</v>
      </c>
      <c r="M3443" s="23" t="s">
        <v>8</v>
      </c>
    </row>
    <row r="3444" spans="1:13" s="21" customFormat="1" x14ac:dyDescent="0.25">
      <c r="A3444" s="22" t="s">
        <v>8</v>
      </c>
      <c r="B3444" s="18" t="str">
        <f>"145953"</f>
        <v>145953</v>
      </c>
      <c r="C3444" s="19" t="s">
        <v>3434</v>
      </c>
      <c r="D3444" s="19" t="s">
        <v>18871</v>
      </c>
      <c r="E3444" s="19" t="s">
        <v>32134</v>
      </c>
      <c r="F3444" s="19" t="s">
        <v>35987</v>
      </c>
      <c r="G3444" s="18" t="str">
        <f>"60930"</f>
        <v>60930</v>
      </c>
      <c r="H3444" s="19" t="s">
        <v>36238</v>
      </c>
      <c r="I3444" s="20">
        <v>19.459</v>
      </c>
      <c r="J3444" s="44" t="s">
        <v>8</v>
      </c>
      <c r="K3444" s="23" t="s">
        <v>8</v>
      </c>
      <c r="L3444" s="23" t="s">
        <v>8</v>
      </c>
      <c r="M3444" s="23" t="s">
        <v>8</v>
      </c>
    </row>
    <row r="3445" spans="1:13" s="21" customFormat="1" x14ac:dyDescent="0.25">
      <c r="A3445" s="22" t="s">
        <v>8</v>
      </c>
      <c r="B3445" s="18" t="str">
        <f>"145956"</f>
        <v>145956</v>
      </c>
      <c r="C3445" s="19" t="s">
        <v>3435</v>
      </c>
      <c r="D3445" s="19" t="s">
        <v>18872</v>
      </c>
      <c r="E3445" s="19" t="s">
        <v>32135</v>
      </c>
      <c r="F3445" s="19" t="s">
        <v>35987</v>
      </c>
      <c r="G3445" s="18" t="str">
        <f>"60164"</f>
        <v>60164</v>
      </c>
      <c r="H3445" s="19" t="s">
        <v>33420</v>
      </c>
      <c r="I3445" s="20">
        <v>15.430999999999999</v>
      </c>
      <c r="J3445" s="44" t="s">
        <v>8</v>
      </c>
      <c r="K3445" s="23" t="s">
        <v>8</v>
      </c>
      <c r="L3445" s="23" t="s">
        <v>8</v>
      </c>
      <c r="M3445" s="23" t="s">
        <v>8</v>
      </c>
    </row>
    <row r="3446" spans="1:13" s="21" customFormat="1" x14ac:dyDescent="0.25">
      <c r="A3446" s="22" t="s">
        <v>8</v>
      </c>
      <c r="B3446" s="18" t="str">
        <f>"145958"</f>
        <v>145958</v>
      </c>
      <c r="C3446" s="19" t="s">
        <v>3436</v>
      </c>
      <c r="D3446" s="19" t="s">
        <v>18873</v>
      </c>
      <c r="E3446" s="19" t="s">
        <v>31954</v>
      </c>
      <c r="F3446" s="19" t="s">
        <v>35987</v>
      </c>
      <c r="G3446" s="18" t="str">
        <f>"60115"</f>
        <v>60115</v>
      </c>
      <c r="H3446" s="19" t="s">
        <v>31954</v>
      </c>
      <c r="I3446" s="20">
        <v>18.271999999999998</v>
      </c>
      <c r="J3446" s="44" t="s">
        <v>8</v>
      </c>
      <c r="K3446" s="23" t="s">
        <v>8</v>
      </c>
      <c r="L3446" s="23" t="s">
        <v>8</v>
      </c>
      <c r="M3446" s="23" t="s">
        <v>8</v>
      </c>
    </row>
    <row r="3447" spans="1:13" s="21" customFormat="1" x14ac:dyDescent="0.25">
      <c r="A3447" s="22" t="s">
        <v>8</v>
      </c>
      <c r="B3447" s="18" t="str">
        <f>"145960"</f>
        <v>145960</v>
      </c>
      <c r="C3447" s="19" t="s">
        <v>3437</v>
      </c>
      <c r="D3447" s="19" t="s">
        <v>18874</v>
      </c>
      <c r="E3447" s="19" t="s">
        <v>31934</v>
      </c>
      <c r="F3447" s="19" t="s">
        <v>35987</v>
      </c>
      <c r="G3447" s="18" t="str">
        <f>"60631"</f>
        <v>60631</v>
      </c>
      <c r="H3447" s="19" t="s">
        <v>33420</v>
      </c>
      <c r="I3447" s="20">
        <v>23.655000000000001</v>
      </c>
      <c r="J3447" s="44" t="s">
        <v>8</v>
      </c>
      <c r="K3447" s="23" t="s">
        <v>8</v>
      </c>
      <c r="L3447" s="23" t="s">
        <v>8</v>
      </c>
      <c r="M3447" s="23" t="s">
        <v>8</v>
      </c>
    </row>
    <row r="3448" spans="1:13" s="21" customFormat="1" x14ac:dyDescent="0.25">
      <c r="A3448" s="22" t="s">
        <v>8</v>
      </c>
      <c r="B3448" s="18" t="str">
        <f>"145961"</f>
        <v>145961</v>
      </c>
      <c r="C3448" s="19" t="s">
        <v>3438</v>
      </c>
      <c r="D3448" s="19" t="s">
        <v>18875</v>
      </c>
      <c r="E3448" s="19" t="s">
        <v>30954</v>
      </c>
      <c r="F3448" s="19" t="s">
        <v>35987</v>
      </c>
      <c r="G3448" s="18" t="str">
        <f>"61604"</f>
        <v>61604</v>
      </c>
      <c r="H3448" s="19" t="s">
        <v>30954</v>
      </c>
      <c r="I3448" s="20">
        <v>16.568999999999999</v>
      </c>
      <c r="J3448" s="44" t="s">
        <v>8</v>
      </c>
      <c r="K3448" s="23" t="s">
        <v>8</v>
      </c>
      <c r="L3448" s="23" t="s">
        <v>8</v>
      </c>
      <c r="M3448" s="23" t="s">
        <v>8</v>
      </c>
    </row>
    <row r="3449" spans="1:13" s="21" customFormat="1" x14ac:dyDescent="0.25">
      <c r="A3449" s="22" t="s">
        <v>8</v>
      </c>
      <c r="B3449" s="18" t="str">
        <f>"145963"</f>
        <v>145963</v>
      </c>
      <c r="C3449" s="19" t="s">
        <v>3439</v>
      </c>
      <c r="D3449" s="19" t="s">
        <v>18876</v>
      </c>
      <c r="E3449" s="19" t="s">
        <v>32119</v>
      </c>
      <c r="F3449" s="19" t="s">
        <v>35987</v>
      </c>
      <c r="G3449" s="18" t="str">
        <f>"60462"</f>
        <v>60462</v>
      </c>
      <c r="H3449" s="19" t="s">
        <v>33420</v>
      </c>
      <c r="I3449" s="20">
        <v>21.265999999999998</v>
      </c>
      <c r="J3449" s="44" t="s">
        <v>8</v>
      </c>
      <c r="K3449" s="23" t="s">
        <v>8</v>
      </c>
      <c r="L3449" s="23" t="s">
        <v>8</v>
      </c>
      <c r="M3449" s="23" t="s">
        <v>8</v>
      </c>
    </row>
    <row r="3450" spans="1:13" s="21" customFormat="1" x14ac:dyDescent="0.25">
      <c r="A3450" s="22" t="s">
        <v>8</v>
      </c>
      <c r="B3450" s="18" t="str">
        <f>"145964"</f>
        <v>145964</v>
      </c>
      <c r="C3450" s="19" t="s">
        <v>3440</v>
      </c>
      <c r="D3450" s="19" t="s">
        <v>18877</v>
      </c>
      <c r="E3450" s="19" t="s">
        <v>32136</v>
      </c>
      <c r="F3450" s="19" t="s">
        <v>35987</v>
      </c>
      <c r="G3450" s="18" t="str">
        <f>"62859"</f>
        <v>62859</v>
      </c>
      <c r="H3450" s="19" t="s">
        <v>30804</v>
      </c>
      <c r="I3450" s="20">
        <v>20.126999999999999</v>
      </c>
      <c r="J3450" s="44" t="s">
        <v>8</v>
      </c>
      <c r="K3450" s="23" t="s">
        <v>8</v>
      </c>
      <c r="L3450" s="23" t="s">
        <v>8</v>
      </c>
      <c r="M3450" s="23" t="s">
        <v>8</v>
      </c>
    </row>
    <row r="3451" spans="1:13" s="21" customFormat="1" x14ac:dyDescent="0.25">
      <c r="A3451" s="22" t="s">
        <v>8</v>
      </c>
      <c r="B3451" s="18" t="str">
        <f>"145965"</f>
        <v>145965</v>
      </c>
      <c r="C3451" s="19" t="s">
        <v>3441</v>
      </c>
      <c r="D3451" s="19" t="s">
        <v>18878</v>
      </c>
      <c r="E3451" s="19" t="s">
        <v>30853</v>
      </c>
      <c r="F3451" s="19" t="s">
        <v>35987</v>
      </c>
      <c r="G3451" s="18" t="str">
        <f>"62526"</f>
        <v>62526</v>
      </c>
      <c r="H3451" s="19" t="s">
        <v>31733</v>
      </c>
      <c r="I3451" s="20">
        <v>17.283000000000001</v>
      </c>
      <c r="J3451" s="44" t="s">
        <v>8</v>
      </c>
      <c r="K3451" s="23" t="s">
        <v>8</v>
      </c>
      <c r="L3451" s="23" t="s">
        <v>8</v>
      </c>
      <c r="M3451" s="23" t="s">
        <v>8</v>
      </c>
    </row>
    <row r="3452" spans="1:13" s="21" customFormat="1" x14ac:dyDescent="0.25">
      <c r="A3452" s="22" t="s">
        <v>8</v>
      </c>
      <c r="B3452" s="18" t="str">
        <f>"145966"</f>
        <v>145966</v>
      </c>
      <c r="C3452" s="19" t="s">
        <v>3442</v>
      </c>
      <c r="D3452" s="19" t="s">
        <v>18879</v>
      </c>
      <c r="E3452" s="19" t="s">
        <v>31934</v>
      </c>
      <c r="F3452" s="19" t="s">
        <v>35987</v>
      </c>
      <c r="G3452" s="18" t="str">
        <f>"60608"</f>
        <v>60608</v>
      </c>
      <c r="H3452" s="19" t="s">
        <v>33420</v>
      </c>
      <c r="I3452" s="20">
        <v>22.187000000000001</v>
      </c>
      <c r="J3452" s="44" t="s">
        <v>8</v>
      </c>
      <c r="K3452" s="23" t="s">
        <v>8</v>
      </c>
      <c r="L3452" s="23" t="s">
        <v>8</v>
      </c>
      <c r="M3452" s="23" t="s">
        <v>8</v>
      </c>
    </row>
    <row r="3453" spans="1:13" s="21" customFormat="1" x14ac:dyDescent="0.25">
      <c r="A3453" s="22" t="s">
        <v>8</v>
      </c>
      <c r="B3453" s="18" t="str">
        <f>"145967"</f>
        <v>145967</v>
      </c>
      <c r="C3453" s="19" t="s">
        <v>3443</v>
      </c>
      <c r="D3453" s="19" t="s">
        <v>18880</v>
      </c>
      <c r="E3453" s="19" t="s">
        <v>32137</v>
      </c>
      <c r="F3453" s="19" t="s">
        <v>35987</v>
      </c>
      <c r="G3453" s="18" t="str">
        <f>"60477"</f>
        <v>60477</v>
      </c>
      <c r="H3453" s="19" t="s">
        <v>33420</v>
      </c>
      <c r="I3453" s="20">
        <v>21.166</v>
      </c>
      <c r="J3453" s="44" t="s">
        <v>8</v>
      </c>
      <c r="K3453" s="23" t="s">
        <v>8</v>
      </c>
      <c r="L3453" s="23" t="s">
        <v>8</v>
      </c>
      <c r="M3453" s="23" t="s">
        <v>8</v>
      </c>
    </row>
    <row r="3454" spans="1:13" s="21" customFormat="1" x14ac:dyDescent="0.25">
      <c r="A3454" s="22" t="s">
        <v>8</v>
      </c>
      <c r="B3454" s="18" t="str">
        <f>"145968"</f>
        <v>145968</v>
      </c>
      <c r="C3454" s="19" t="s">
        <v>3444</v>
      </c>
      <c r="D3454" s="19" t="s">
        <v>18881</v>
      </c>
      <c r="E3454" s="19" t="s">
        <v>31990</v>
      </c>
      <c r="F3454" s="19" t="s">
        <v>35987</v>
      </c>
      <c r="G3454" s="18" t="str">
        <f>"61443"</f>
        <v>61443</v>
      </c>
      <c r="H3454" s="19" t="s">
        <v>32041</v>
      </c>
      <c r="I3454" s="20">
        <v>20.408000000000001</v>
      </c>
      <c r="J3454" s="44" t="s">
        <v>8</v>
      </c>
      <c r="K3454" s="23" t="s">
        <v>8</v>
      </c>
      <c r="L3454" s="23" t="s">
        <v>8</v>
      </c>
      <c r="M3454" s="23" t="s">
        <v>8</v>
      </c>
    </row>
    <row r="3455" spans="1:13" s="21" customFormat="1" x14ac:dyDescent="0.25">
      <c r="A3455" s="22" t="s">
        <v>8</v>
      </c>
      <c r="B3455" s="18" t="str">
        <f>"145969"</f>
        <v>145969</v>
      </c>
      <c r="C3455" s="19" t="s">
        <v>3445</v>
      </c>
      <c r="D3455" s="19" t="s">
        <v>18882</v>
      </c>
      <c r="E3455" s="19" t="s">
        <v>32138</v>
      </c>
      <c r="F3455" s="19" t="s">
        <v>35987</v>
      </c>
      <c r="G3455" s="18" t="str">
        <f>"60130"</f>
        <v>60130</v>
      </c>
      <c r="H3455" s="19" t="s">
        <v>33420</v>
      </c>
      <c r="I3455" s="20">
        <v>18.68</v>
      </c>
      <c r="J3455" s="44" t="s">
        <v>8</v>
      </c>
      <c r="K3455" s="23" t="s">
        <v>8</v>
      </c>
      <c r="L3455" s="23" t="s">
        <v>8</v>
      </c>
      <c r="M3455" s="23" t="s">
        <v>8</v>
      </c>
    </row>
    <row r="3456" spans="1:13" s="21" customFormat="1" x14ac:dyDescent="0.25">
      <c r="A3456" s="22" t="s">
        <v>8</v>
      </c>
      <c r="B3456" s="18" t="str">
        <f>"145970"</f>
        <v>145970</v>
      </c>
      <c r="C3456" s="19" t="s">
        <v>3446</v>
      </c>
      <c r="D3456" s="19" t="s">
        <v>18883</v>
      </c>
      <c r="E3456" s="19" t="s">
        <v>31934</v>
      </c>
      <c r="F3456" s="19" t="s">
        <v>35987</v>
      </c>
      <c r="G3456" s="18" t="str">
        <f>"60649"</f>
        <v>60649</v>
      </c>
      <c r="H3456" s="19" t="s">
        <v>33420</v>
      </c>
      <c r="I3456" s="20">
        <v>18.484000000000002</v>
      </c>
      <c r="J3456" s="44" t="s">
        <v>8</v>
      </c>
      <c r="K3456" s="23" t="s">
        <v>8</v>
      </c>
      <c r="L3456" s="23" t="s">
        <v>8</v>
      </c>
      <c r="M3456" s="23" t="s">
        <v>8</v>
      </c>
    </row>
    <row r="3457" spans="1:13" s="21" customFormat="1" x14ac:dyDescent="0.25">
      <c r="A3457" s="22" t="s">
        <v>8</v>
      </c>
      <c r="B3457" s="18" t="str">
        <f>"145971"</f>
        <v>145971</v>
      </c>
      <c r="C3457" s="19" t="s">
        <v>3447</v>
      </c>
      <c r="D3457" s="19" t="s">
        <v>18884</v>
      </c>
      <c r="E3457" s="19" t="s">
        <v>31937</v>
      </c>
      <c r="F3457" s="19" t="s">
        <v>35987</v>
      </c>
      <c r="G3457" s="18" t="str">
        <f>"60062"</f>
        <v>60062</v>
      </c>
      <c r="H3457" s="19" t="s">
        <v>33420</v>
      </c>
      <c r="I3457" s="20">
        <v>19.620999999999999</v>
      </c>
      <c r="J3457" s="44" t="s">
        <v>8</v>
      </c>
      <c r="K3457" s="23" t="s">
        <v>8</v>
      </c>
      <c r="L3457" s="23" t="s">
        <v>8</v>
      </c>
      <c r="M3457" s="23" t="s">
        <v>8</v>
      </c>
    </row>
    <row r="3458" spans="1:13" s="21" customFormat="1" x14ac:dyDescent="0.25">
      <c r="A3458" s="22" t="s">
        <v>8</v>
      </c>
      <c r="B3458" s="18" t="str">
        <f>"145972"</f>
        <v>145972</v>
      </c>
      <c r="C3458" s="19" t="s">
        <v>3448</v>
      </c>
      <c r="D3458" s="19" t="s">
        <v>18885</v>
      </c>
      <c r="E3458" s="19" t="s">
        <v>31935</v>
      </c>
      <c r="F3458" s="19" t="s">
        <v>35987</v>
      </c>
      <c r="G3458" s="18" t="str">
        <f>"61114"</f>
        <v>61114</v>
      </c>
      <c r="H3458" s="19" t="s">
        <v>36233</v>
      </c>
      <c r="I3458" s="20">
        <v>20.103999999999999</v>
      </c>
      <c r="J3458" s="44" t="s">
        <v>8</v>
      </c>
      <c r="K3458" s="23" t="s">
        <v>8</v>
      </c>
      <c r="L3458" s="23" t="s">
        <v>8</v>
      </c>
      <c r="M3458" s="23" t="s">
        <v>8</v>
      </c>
    </row>
    <row r="3459" spans="1:13" s="21" customFormat="1" x14ac:dyDescent="0.25">
      <c r="A3459" s="22" t="s">
        <v>8</v>
      </c>
      <c r="B3459" s="18" t="str">
        <f>"145974"</f>
        <v>145974</v>
      </c>
      <c r="C3459" s="19" t="s">
        <v>3449</v>
      </c>
      <c r="D3459" s="19" t="s">
        <v>18886</v>
      </c>
      <c r="E3459" s="19" t="s">
        <v>31934</v>
      </c>
      <c r="F3459" s="19" t="s">
        <v>35987</v>
      </c>
      <c r="G3459" s="18" t="str">
        <f>"60631"</f>
        <v>60631</v>
      </c>
      <c r="H3459" s="19" t="s">
        <v>33420</v>
      </c>
      <c r="I3459" s="20">
        <v>17.184000000000001</v>
      </c>
      <c r="J3459" s="44" t="s">
        <v>8</v>
      </c>
      <c r="K3459" s="23" t="s">
        <v>8</v>
      </c>
      <c r="L3459" s="23" t="s">
        <v>8</v>
      </c>
      <c r="M3459" s="23" t="s">
        <v>8</v>
      </c>
    </row>
    <row r="3460" spans="1:13" s="21" customFormat="1" x14ac:dyDescent="0.25">
      <c r="A3460" s="22" t="s">
        <v>8</v>
      </c>
      <c r="B3460" s="18" t="str">
        <f>"145975"</f>
        <v>145975</v>
      </c>
      <c r="C3460" s="19" t="s">
        <v>3450</v>
      </c>
      <c r="D3460" s="19" t="s">
        <v>18887</v>
      </c>
      <c r="E3460" s="19" t="s">
        <v>32139</v>
      </c>
      <c r="F3460" s="19" t="s">
        <v>35987</v>
      </c>
      <c r="G3460" s="18" t="str">
        <f>"61068"</f>
        <v>61068</v>
      </c>
      <c r="H3460" s="19" t="s">
        <v>36229</v>
      </c>
      <c r="I3460" s="20">
        <v>20.286999999999999</v>
      </c>
      <c r="J3460" s="44" t="s">
        <v>8</v>
      </c>
      <c r="K3460" s="23" t="s">
        <v>8</v>
      </c>
      <c r="L3460" s="23" t="s">
        <v>8</v>
      </c>
      <c r="M3460" s="23" t="s">
        <v>8</v>
      </c>
    </row>
    <row r="3461" spans="1:13" s="21" customFormat="1" x14ac:dyDescent="0.25">
      <c r="A3461" s="22" t="s">
        <v>8</v>
      </c>
      <c r="B3461" s="18" t="str">
        <f>"145977"</f>
        <v>145977</v>
      </c>
      <c r="C3461" s="19" t="s">
        <v>3451</v>
      </c>
      <c r="D3461" s="19" t="s">
        <v>18888</v>
      </c>
      <c r="E3461" s="19" t="s">
        <v>31934</v>
      </c>
      <c r="F3461" s="19" t="s">
        <v>35987</v>
      </c>
      <c r="G3461" s="18" t="str">
        <f>"60649"</f>
        <v>60649</v>
      </c>
      <c r="H3461" s="19" t="s">
        <v>33420</v>
      </c>
      <c r="I3461" s="20">
        <v>18.157</v>
      </c>
      <c r="J3461" s="44" t="s">
        <v>8</v>
      </c>
      <c r="K3461" s="23" t="s">
        <v>8</v>
      </c>
      <c r="L3461" s="23" t="s">
        <v>8</v>
      </c>
      <c r="M3461" s="23" t="s">
        <v>8</v>
      </c>
    </row>
    <row r="3462" spans="1:13" s="21" customFormat="1" x14ac:dyDescent="0.25">
      <c r="A3462" s="22" t="s">
        <v>8</v>
      </c>
      <c r="B3462" s="18" t="str">
        <f>"145978"</f>
        <v>145978</v>
      </c>
      <c r="C3462" s="19" t="s">
        <v>3452</v>
      </c>
      <c r="D3462" s="19" t="s">
        <v>18889</v>
      </c>
      <c r="E3462" s="19" t="s">
        <v>31073</v>
      </c>
      <c r="F3462" s="19" t="s">
        <v>35987</v>
      </c>
      <c r="G3462" s="18" t="str">
        <f>"62946"</f>
        <v>62946</v>
      </c>
      <c r="H3462" s="19" t="s">
        <v>33206</v>
      </c>
      <c r="I3462" s="20">
        <v>17.602</v>
      </c>
      <c r="J3462" s="44" t="s">
        <v>8</v>
      </c>
      <c r="K3462" s="23" t="s">
        <v>8</v>
      </c>
      <c r="L3462" s="23" t="s">
        <v>8</v>
      </c>
      <c r="M3462" s="23" t="s">
        <v>8</v>
      </c>
    </row>
    <row r="3463" spans="1:13" s="21" customFormat="1" x14ac:dyDescent="0.25">
      <c r="A3463" s="22" t="s">
        <v>8</v>
      </c>
      <c r="B3463" s="18" t="str">
        <f>"145979"</f>
        <v>145979</v>
      </c>
      <c r="C3463" s="19" t="s">
        <v>3453</v>
      </c>
      <c r="D3463" s="19" t="s">
        <v>18890</v>
      </c>
      <c r="E3463" s="19" t="s">
        <v>32125</v>
      </c>
      <c r="F3463" s="19" t="s">
        <v>35987</v>
      </c>
      <c r="G3463" s="18" t="str">
        <f>"60936"</f>
        <v>60936</v>
      </c>
      <c r="H3463" s="19" t="s">
        <v>36241</v>
      </c>
      <c r="I3463" s="20">
        <v>19.260000000000002</v>
      </c>
      <c r="J3463" s="44" t="s">
        <v>8</v>
      </c>
      <c r="K3463" s="23" t="s">
        <v>8</v>
      </c>
      <c r="L3463" s="23" t="s">
        <v>8</v>
      </c>
      <c r="M3463" s="23" t="s">
        <v>8</v>
      </c>
    </row>
    <row r="3464" spans="1:13" s="21" customFormat="1" x14ac:dyDescent="0.25">
      <c r="A3464" s="22" t="s">
        <v>8</v>
      </c>
      <c r="B3464" s="18" t="str">
        <f>"145980"</f>
        <v>145980</v>
      </c>
      <c r="C3464" s="19" t="s">
        <v>3454</v>
      </c>
      <c r="D3464" s="19" t="s">
        <v>18891</v>
      </c>
      <c r="E3464" s="19" t="s">
        <v>31996</v>
      </c>
      <c r="F3464" s="19" t="s">
        <v>35987</v>
      </c>
      <c r="G3464" s="18" t="str">
        <f>"60174"</f>
        <v>60174</v>
      </c>
      <c r="H3464" s="19" t="s">
        <v>34788</v>
      </c>
      <c r="I3464" s="20">
        <v>18.513999999999999</v>
      </c>
      <c r="J3464" s="44" t="s">
        <v>8</v>
      </c>
      <c r="K3464" s="23" t="s">
        <v>8</v>
      </c>
      <c r="L3464" s="23" t="s">
        <v>8</v>
      </c>
      <c r="M3464" s="23" t="s">
        <v>8</v>
      </c>
    </row>
    <row r="3465" spans="1:13" s="21" customFormat="1" x14ac:dyDescent="0.25">
      <c r="A3465" s="22" t="s">
        <v>8</v>
      </c>
      <c r="B3465" s="18" t="str">
        <f>"145981"</f>
        <v>145981</v>
      </c>
      <c r="C3465" s="19" t="s">
        <v>3455</v>
      </c>
      <c r="D3465" s="19" t="s">
        <v>18892</v>
      </c>
      <c r="E3465" s="19" t="s">
        <v>32049</v>
      </c>
      <c r="F3465" s="19" t="s">
        <v>35987</v>
      </c>
      <c r="G3465" s="18" t="str">
        <f>"62226"</f>
        <v>62226</v>
      </c>
      <c r="H3465" s="19" t="s">
        <v>33662</v>
      </c>
      <c r="I3465" s="20">
        <v>19.443999999999999</v>
      </c>
      <c r="J3465" s="44" t="s">
        <v>8</v>
      </c>
      <c r="K3465" s="23" t="s">
        <v>8</v>
      </c>
      <c r="L3465" s="23" t="s">
        <v>8</v>
      </c>
      <c r="M3465" s="23" t="s">
        <v>8</v>
      </c>
    </row>
    <row r="3466" spans="1:13" s="21" customFormat="1" x14ac:dyDescent="0.25">
      <c r="A3466" s="22" t="s">
        <v>8</v>
      </c>
      <c r="B3466" s="18" t="str">
        <f>"145982"</f>
        <v>145982</v>
      </c>
      <c r="C3466" s="19" t="s">
        <v>3456</v>
      </c>
      <c r="D3466" s="19" t="s">
        <v>18893</v>
      </c>
      <c r="E3466" s="19" t="s">
        <v>31937</v>
      </c>
      <c r="F3466" s="19" t="s">
        <v>35987</v>
      </c>
      <c r="G3466" s="18" t="str">
        <f>"60062"</f>
        <v>60062</v>
      </c>
      <c r="H3466" s="19" t="s">
        <v>33420</v>
      </c>
      <c r="I3466" s="20">
        <v>18.68</v>
      </c>
      <c r="J3466" s="44" t="s">
        <v>8</v>
      </c>
      <c r="K3466" s="23" t="s">
        <v>8</v>
      </c>
      <c r="L3466" s="23" t="s">
        <v>8</v>
      </c>
      <c r="M3466" s="23" t="s">
        <v>8</v>
      </c>
    </row>
    <row r="3467" spans="1:13" s="21" customFormat="1" x14ac:dyDescent="0.25">
      <c r="A3467" s="22" t="s">
        <v>8</v>
      </c>
      <c r="B3467" s="18" t="str">
        <f>"145983"</f>
        <v>145983</v>
      </c>
      <c r="C3467" s="19" t="s">
        <v>3457</v>
      </c>
      <c r="D3467" s="19" t="s">
        <v>18894</v>
      </c>
      <c r="E3467" s="19" t="s">
        <v>31934</v>
      </c>
      <c r="F3467" s="19" t="s">
        <v>35987</v>
      </c>
      <c r="G3467" s="18" t="str">
        <f>"60652"</f>
        <v>60652</v>
      </c>
      <c r="H3467" s="19" t="s">
        <v>33420</v>
      </c>
      <c r="I3467" s="20">
        <v>17.984999999999999</v>
      </c>
      <c r="J3467" s="44" t="s">
        <v>8</v>
      </c>
      <c r="K3467" s="23" t="s">
        <v>8</v>
      </c>
      <c r="L3467" s="23" t="s">
        <v>8</v>
      </c>
      <c r="M3467" s="23" t="s">
        <v>8</v>
      </c>
    </row>
    <row r="3468" spans="1:13" s="21" customFormat="1" x14ac:dyDescent="0.25">
      <c r="A3468" s="22" t="s">
        <v>8</v>
      </c>
      <c r="B3468" s="18" t="str">
        <f>"145984"</f>
        <v>145984</v>
      </c>
      <c r="C3468" s="19" t="s">
        <v>3458</v>
      </c>
      <c r="D3468" s="19" t="s">
        <v>18895</v>
      </c>
      <c r="E3468" s="19" t="s">
        <v>32011</v>
      </c>
      <c r="F3468" s="19" t="s">
        <v>35987</v>
      </c>
      <c r="G3468" s="18" t="str">
        <f>"60077"</f>
        <v>60077</v>
      </c>
      <c r="H3468" s="19" t="s">
        <v>33420</v>
      </c>
      <c r="I3468" s="20">
        <v>21.972000000000001</v>
      </c>
      <c r="J3468" s="44" t="s">
        <v>8</v>
      </c>
      <c r="K3468" s="23" t="s">
        <v>8</v>
      </c>
      <c r="L3468" s="23" t="s">
        <v>8</v>
      </c>
      <c r="M3468" s="23" t="s">
        <v>8</v>
      </c>
    </row>
    <row r="3469" spans="1:13" s="21" customFormat="1" x14ac:dyDescent="0.25">
      <c r="A3469" s="22" t="s">
        <v>8</v>
      </c>
      <c r="B3469" s="18" t="str">
        <f>"145985"</f>
        <v>145985</v>
      </c>
      <c r="C3469" s="19" t="s">
        <v>3459</v>
      </c>
      <c r="D3469" s="19" t="s">
        <v>18896</v>
      </c>
      <c r="E3469" s="19" t="s">
        <v>32030</v>
      </c>
      <c r="F3469" s="19" t="s">
        <v>35987</v>
      </c>
      <c r="G3469" s="18" t="str">
        <f>"62025"</f>
        <v>62025</v>
      </c>
      <c r="H3469" s="19" t="s">
        <v>30899</v>
      </c>
      <c r="I3469" s="20">
        <v>17.477</v>
      </c>
      <c r="J3469" s="44" t="s">
        <v>8</v>
      </c>
      <c r="K3469" s="23" t="s">
        <v>8</v>
      </c>
      <c r="L3469" s="23" t="s">
        <v>8</v>
      </c>
      <c r="M3469" s="23" t="s">
        <v>8</v>
      </c>
    </row>
    <row r="3470" spans="1:13" s="21" customFormat="1" x14ac:dyDescent="0.25">
      <c r="A3470" s="22" t="s">
        <v>8</v>
      </c>
      <c r="B3470" s="18" t="str">
        <f>"145986"</f>
        <v>145986</v>
      </c>
      <c r="C3470" s="19" t="s">
        <v>3460</v>
      </c>
      <c r="D3470" s="19" t="s">
        <v>18897</v>
      </c>
      <c r="E3470" s="19" t="s">
        <v>31944</v>
      </c>
      <c r="F3470" s="19" t="s">
        <v>35987</v>
      </c>
      <c r="G3470" s="18" t="str">
        <f>"60045"</f>
        <v>60045</v>
      </c>
      <c r="H3470" s="19" t="s">
        <v>36096</v>
      </c>
      <c r="I3470" s="20">
        <v>18.655999999999999</v>
      </c>
      <c r="J3470" s="44" t="s">
        <v>8</v>
      </c>
      <c r="K3470" s="23" t="s">
        <v>8</v>
      </c>
      <c r="L3470" s="23" t="s">
        <v>8</v>
      </c>
      <c r="M3470" s="23" t="s">
        <v>8</v>
      </c>
    </row>
    <row r="3471" spans="1:13" s="21" customFormat="1" x14ac:dyDescent="0.25">
      <c r="A3471" s="22" t="s">
        <v>8</v>
      </c>
      <c r="B3471" s="18" t="str">
        <f>"145987"</f>
        <v>145987</v>
      </c>
      <c r="C3471" s="19" t="s">
        <v>3461</v>
      </c>
      <c r="D3471" s="19" t="s">
        <v>18898</v>
      </c>
      <c r="E3471" s="19" t="s">
        <v>31918</v>
      </c>
      <c r="F3471" s="19" t="s">
        <v>35987</v>
      </c>
      <c r="G3471" s="18" t="str">
        <f>"61401"</f>
        <v>61401</v>
      </c>
      <c r="H3471" s="19" t="s">
        <v>32252</v>
      </c>
      <c r="I3471" s="20">
        <v>19.928999999999998</v>
      </c>
      <c r="J3471" s="44" t="s">
        <v>8</v>
      </c>
      <c r="K3471" s="23" t="s">
        <v>8</v>
      </c>
      <c r="L3471" s="23" t="s">
        <v>8</v>
      </c>
      <c r="M3471" s="23" t="s">
        <v>8</v>
      </c>
    </row>
    <row r="3472" spans="1:13" s="21" customFormat="1" x14ac:dyDescent="0.25">
      <c r="A3472" s="22" t="s">
        <v>8</v>
      </c>
      <c r="B3472" s="18" t="str">
        <f>"145988"</f>
        <v>145988</v>
      </c>
      <c r="C3472" s="19" t="s">
        <v>3462</v>
      </c>
      <c r="D3472" s="19" t="s">
        <v>18899</v>
      </c>
      <c r="E3472" s="19" t="s">
        <v>32140</v>
      </c>
      <c r="F3472" s="19" t="s">
        <v>35987</v>
      </c>
      <c r="G3472" s="18" t="str">
        <f>"61071"</f>
        <v>61071</v>
      </c>
      <c r="H3472" s="19" t="s">
        <v>36235</v>
      </c>
      <c r="I3472" s="20">
        <v>18.533000000000001</v>
      </c>
      <c r="J3472" s="44" t="s">
        <v>8</v>
      </c>
      <c r="K3472" s="23" t="s">
        <v>8</v>
      </c>
      <c r="L3472" s="23" t="s">
        <v>8</v>
      </c>
      <c r="M3472" s="23" t="s">
        <v>8</v>
      </c>
    </row>
    <row r="3473" spans="1:13" s="21" customFormat="1" x14ac:dyDescent="0.25">
      <c r="A3473" s="22" t="s">
        <v>8</v>
      </c>
      <c r="B3473" s="18" t="str">
        <f>"145989"</f>
        <v>145989</v>
      </c>
      <c r="C3473" s="19" t="s">
        <v>3463</v>
      </c>
      <c r="D3473" s="19" t="s">
        <v>18900</v>
      </c>
      <c r="E3473" s="19" t="s">
        <v>31928</v>
      </c>
      <c r="F3473" s="19" t="s">
        <v>35987</v>
      </c>
      <c r="G3473" s="18" t="str">
        <f>"61364"</f>
        <v>61364</v>
      </c>
      <c r="H3473" s="19" t="s">
        <v>31983</v>
      </c>
      <c r="I3473" s="20">
        <v>19.215</v>
      </c>
      <c r="J3473" s="44" t="s">
        <v>8</v>
      </c>
      <c r="K3473" s="23" t="s">
        <v>8</v>
      </c>
      <c r="L3473" s="23" t="s">
        <v>8</v>
      </c>
      <c r="M3473" s="23" t="s">
        <v>8</v>
      </c>
    </row>
    <row r="3474" spans="1:13" s="21" customFormat="1" x14ac:dyDescent="0.25">
      <c r="A3474" s="22" t="s">
        <v>8</v>
      </c>
      <c r="B3474" s="18" t="str">
        <f>"145990"</f>
        <v>145990</v>
      </c>
      <c r="C3474" s="19" t="s">
        <v>3464</v>
      </c>
      <c r="D3474" s="19" t="s">
        <v>18901</v>
      </c>
      <c r="E3474" s="19" t="s">
        <v>31964</v>
      </c>
      <c r="F3474" s="19" t="s">
        <v>35987</v>
      </c>
      <c r="G3474" s="18" t="str">
        <f>"61008"</f>
        <v>61008</v>
      </c>
      <c r="H3474" s="19" t="s">
        <v>32513</v>
      </c>
      <c r="I3474" s="20">
        <v>18.998999999999999</v>
      </c>
      <c r="J3474" s="44" t="s">
        <v>8</v>
      </c>
      <c r="K3474" s="23" t="s">
        <v>8</v>
      </c>
      <c r="L3474" s="23" t="s">
        <v>8</v>
      </c>
      <c r="M3474" s="23" t="s">
        <v>8</v>
      </c>
    </row>
    <row r="3475" spans="1:13" s="21" customFormat="1" x14ac:dyDescent="0.25">
      <c r="A3475" s="22" t="s">
        <v>8</v>
      </c>
      <c r="B3475" s="18" t="str">
        <f>"145992"</f>
        <v>145992</v>
      </c>
      <c r="C3475" s="19" t="s">
        <v>3465</v>
      </c>
      <c r="D3475" s="19" t="s">
        <v>18902</v>
      </c>
      <c r="E3475" s="19" t="s">
        <v>32141</v>
      </c>
      <c r="F3475" s="19" t="s">
        <v>35987</v>
      </c>
      <c r="G3475" s="18" t="str">
        <f>"61728"</f>
        <v>61728</v>
      </c>
      <c r="H3475" s="19" t="s">
        <v>35924</v>
      </c>
      <c r="I3475" s="20">
        <v>18.584</v>
      </c>
      <c r="J3475" s="44" t="s">
        <v>8</v>
      </c>
      <c r="K3475" s="23" t="s">
        <v>8</v>
      </c>
      <c r="L3475" s="23" t="s">
        <v>8</v>
      </c>
      <c r="M3475" s="23" t="s">
        <v>8</v>
      </c>
    </row>
    <row r="3476" spans="1:13" s="21" customFormat="1" x14ac:dyDescent="0.25">
      <c r="A3476" s="22" t="s">
        <v>8</v>
      </c>
      <c r="B3476" s="18" t="str">
        <f>"145993"</f>
        <v>145993</v>
      </c>
      <c r="C3476" s="19" t="s">
        <v>3466</v>
      </c>
      <c r="D3476" s="19" t="s">
        <v>18903</v>
      </c>
      <c r="E3476" s="19" t="s">
        <v>32142</v>
      </c>
      <c r="F3476" s="19" t="s">
        <v>35987</v>
      </c>
      <c r="G3476" s="18" t="str">
        <f>"62237"</f>
        <v>62237</v>
      </c>
      <c r="H3476" s="19" t="s">
        <v>33068</v>
      </c>
      <c r="I3476" s="20">
        <v>18.507999999999999</v>
      </c>
      <c r="J3476" s="44" t="s">
        <v>8</v>
      </c>
      <c r="K3476" s="23" t="s">
        <v>8</v>
      </c>
      <c r="L3476" s="23" t="s">
        <v>8</v>
      </c>
      <c r="M3476" s="23" t="s">
        <v>8</v>
      </c>
    </row>
    <row r="3477" spans="1:13" s="21" customFormat="1" x14ac:dyDescent="0.25">
      <c r="A3477" s="22" t="s">
        <v>8</v>
      </c>
      <c r="B3477" s="18" t="str">
        <f>"145994"</f>
        <v>145994</v>
      </c>
      <c r="C3477" s="19" t="s">
        <v>3467</v>
      </c>
      <c r="D3477" s="19" t="s">
        <v>18904</v>
      </c>
      <c r="E3477" s="19" t="s">
        <v>31564</v>
      </c>
      <c r="F3477" s="19" t="s">
        <v>35987</v>
      </c>
      <c r="G3477" s="18" t="str">
        <f>"60067"</f>
        <v>60067</v>
      </c>
      <c r="H3477" s="19" t="s">
        <v>33420</v>
      </c>
      <c r="I3477" s="20">
        <v>20.843</v>
      </c>
      <c r="J3477" s="44" t="s">
        <v>8</v>
      </c>
      <c r="K3477" s="23" t="s">
        <v>8</v>
      </c>
      <c r="L3477" s="23" t="s">
        <v>8</v>
      </c>
      <c r="M3477" s="23" t="s">
        <v>8</v>
      </c>
    </row>
    <row r="3478" spans="1:13" s="21" customFormat="1" x14ac:dyDescent="0.25">
      <c r="A3478" s="22" t="s">
        <v>8</v>
      </c>
      <c r="B3478" s="18" t="str">
        <f>"145995"</f>
        <v>145995</v>
      </c>
      <c r="C3478" s="19" t="s">
        <v>3468</v>
      </c>
      <c r="D3478" s="19" t="s">
        <v>18905</v>
      </c>
      <c r="E3478" s="19" t="s">
        <v>31934</v>
      </c>
      <c r="F3478" s="19" t="s">
        <v>35987</v>
      </c>
      <c r="G3478" s="18" t="str">
        <f>"60632"</f>
        <v>60632</v>
      </c>
      <c r="H3478" s="19" t="s">
        <v>33420</v>
      </c>
      <c r="I3478" s="20">
        <v>17.675000000000001</v>
      </c>
      <c r="J3478" s="44" t="s">
        <v>8</v>
      </c>
      <c r="K3478" s="23" t="s">
        <v>8</v>
      </c>
      <c r="L3478" s="23" t="s">
        <v>8</v>
      </c>
      <c r="M3478" s="23" t="s">
        <v>8</v>
      </c>
    </row>
    <row r="3479" spans="1:13" s="21" customFormat="1" x14ac:dyDescent="0.25">
      <c r="A3479" s="22" t="s">
        <v>8</v>
      </c>
      <c r="B3479" s="18" t="str">
        <f>"145996"</f>
        <v>145996</v>
      </c>
      <c r="C3479" s="19" t="s">
        <v>3469</v>
      </c>
      <c r="D3479" s="19" t="s">
        <v>18906</v>
      </c>
      <c r="E3479" s="19" t="s">
        <v>32130</v>
      </c>
      <c r="F3479" s="19" t="s">
        <v>35987</v>
      </c>
      <c r="G3479" s="18" t="str">
        <f>"60162"</f>
        <v>60162</v>
      </c>
      <c r="H3479" s="19" t="s">
        <v>33420</v>
      </c>
      <c r="I3479" s="20">
        <v>18.774999999999999</v>
      </c>
      <c r="J3479" s="44" t="s">
        <v>8</v>
      </c>
      <c r="K3479" s="23" t="s">
        <v>8</v>
      </c>
      <c r="L3479" s="23" t="s">
        <v>8</v>
      </c>
      <c r="M3479" s="23" t="s">
        <v>8</v>
      </c>
    </row>
    <row r="3480" spans="1:13" s="21" customFormat="1" x14ac:dyDescent="0.25">
      <c r="A3480" s="22" t="s">
        <v>8</v>
      </c>
      <c r="B3480" s="18" t="str">
        <f>"145998"</f>
        <v>145998</v>
      </c>
      <c r="C3480" s="19" t="s">
        <v>3470</v>
      </c>
      <c r="D3480" s="19" t="s">
        <v>18907</v>
      </c>
      <c r="E3480" s="19" t="s">
        <v>31970</v>
      </c>
      <c r="F3480" s="19" t="s">
        <v>35987</v>
      </c>
      <c r="G3480" s="18" t="str">
        <f>"60016"</f>
        <v>60016</v>
      </c>
      <c r="H3480" s="19" t="s">
        <v>33420</v>
      </c>
      <c r="I3480" s="20">
        <v>16.167999999999999</v>
      </c>
      <c r="J3480" s="44" t="s">
        <v>8</v>
      </c>
      <c r="K3480" s="23" t="s">
        <v>8</v>
      </c>
      <c r="L3480" s="23" t="s">
        <v>8</v>
      </c>
      <c r="M3480" s="23" t="s">
        <v>8</v>
      </c>
    </row>
    <row r="3481" spans="1:13" s="21" customFormat="1" x14ac:dyDescent="0.25">
      <c r="A3481" s="22" t="s">
        <v>8</v>
      </c>
      <c r="B3481" s="18" t="str">
        <f>"145999"</f>
        <v>145999</v>
      </c>
      <c r="C3481" s="19" t="s">
        <v>3471</v>
      </c>
      <c r="D3481" s="19" t="s">
        <v>18908</v>
      </c>
      <c r="E3481" s="19" t="s">
        <v>31948</v>
      </c>
      <c r="F3481" s="19" t="s">
        <v>35987</v>
      </c>
      <c r="G3481" s="18" t="str">
        <f>"60714"</f>
        <v>60714</v>
      </c>
      <c r="H3481" s="19" t="s">
        <v>33420</v>
      </c>
      <c r="I3481" s="20">
        <v>20.638999999999999</v>
      </c>
      <c r="J3481" s="44" t="s">
        <v>8</v>
      </c>
      <c r="K3481" s="23" t="s">
        <v>8</v>
      </c>
      <c r="L3481" s="23" t="s">
        <v>8</v>
      </c>
      <c r="M3481" s="23" t="s">
        <v>8</v>
      </c>
    </row>
    <row r="3482" spans="1:13" s="21" customFormat="1" x14ac:dyDescent="0.25">
      <c r="A3482" s="22" t="s">
        <v>8</v>
      </c>
      <c r="B3482" s="18" t="str">
        <f>"146000"</f>
        <v>146000</v>
      </c>
      <c r="C3482" s="19" t="s">
        <v>3472</v>
      </c>
      <c r="D3482" s="19" t="s">
        <v>18909</v>
      </c>
      <c r="E3482" s="19" t="s">
        <v>31103</v>
      </c>
      <c r="F3482" s="19" t="s">
        <v>35987</v>
      </c>
      <c r="G3482" s="18" t="str">
        <f>"62837"</f>
        <v>62837</v>
      </c>
      <c r="H3482" s="19" t="s">
        <v>33280</v>
      </c>
      <c r="I3482" s="20">
        <v>15.792999999999999</v>
      </c>
      <c r="J3482" s="44" t="s">
        <v>8</v>
      </c>
      <c r="K3482" s="23" t="s">
        <v>8</v>
      </c>
      <c r="L3482" s="23" t="s">
        <v>8</v>
      </c>
      <c r="M3482" s="23" t="s">
        <v>8</v>
      </c>
    </row>
    <row r="3483" spans="1:13" s="21" customFormat="1" x14ac:dyDescent="0.25">
      <c r="A3483" s="22" t="s">
        <v>8</v>
      </c>
      <c r="B3483" s="18" t="str">
        <f>"146001"</f>
        <v>146001</v>
      </c>
      <c r="C3483" s="19" t="s">
        <v>3473</v>
      </c>
      <c r="D3483" s="19" t="s">
        <v>18910</v>
      </c>
      <c r="E3483" s="19" t="s">
        <v>31934</v>
      </c>
      <c r="F3483" s="19" t="s">
        <v>35987</v>
      </c>
      <c r="G3483" s="18" t="str">
        <f>"60609"</f>
        <v>60609</v>
      </c>
      <c r="H3483" s="19" t="s">
        <v>33420</v>
      </c>
      <c r="I3483" s="20">
        <v>21.991</v>
      </c>
      <c r="J3483" s="44" t="s">
        <v>8</v>
      </c>
      <c r="K3483" s="23" t="s">
        <v>8</v>
      </c>
      <c r="L3483" s="23" t="s">
        <v>8</v>
      </c>
      <c r="M3483" s="23" t="s">
        <v>8</v>
      </c>
    </row>
    <row r="3484" spans="1:13" s="21" customFormat="1" x14ac:dyDescent="0.25">
      <c r="A3484" s="22" t="s">
        <v>8</v>
      </c>
      <c r="B3484" s="18" t="str">
        <f>"146002"</f>
        <v>146002</v>
      </c>
      <c r="C3484" s="19" t="s">
        <v>3474</v>
      </c>
      <c r="D3484" s="19" t="s">
        <v>18911</v>
      </c>
      <c r="E3484" s="19" t="s">
        <v>31702</v>
      </c>
      <c r="F3484" s="19" t="s">
        <v>35987</v>
      </c>
      <c r="G3484" s="18" t="str">
        <f>"62914"</f>
        <v>62914</v>
      </c>
      <c r="H3484" s="19" t="s">
        <v>36247</v>
      </c>
      <c r="I3484" s="20">
        <v>18.509</v>
      </c>
      <c r="J3484" s="44" t="s">
        <v>8</v>
      </c>
      <c r="K3484" s="23" t="s">
        <v>8</v>
      </c>
      <c r="L3484" s="23" t="s">
        <v>8</v>
      </c>
      <c r="M3484" s="23" t="s">
        <v>8</v>
      </c>
    </row>
    <row r="3485" spans="1:13" s="21" customFormat="1" x14ac:dyDescent="0.25">
      <c r="A3485" s="22" t="s">
        <v>8</v>
      </c>
      <c r="B3485" s="18" t="str">
        <f>"146003"</f>
        <v>146003</v>
      </c>
      <c r="C3485" s="19" t="s">
        <v>3475</v>
      </c>
      <c r="D3485" s="19" t="s">
        <v>18912</v>
      </c>
      <c r="E3485" s="19" t="s">
        <v>30853</v>
      </c>
      <c r="F3485" s="19" t="s">
        <v>35987</v>
      </c>
      <c r="G3485" s="18" t="str">
        <f>"62526"</f>
        <v>62526</v>
      </c>
      <c r="H3485" s="19" t="s">
        <v>31733</v>
      </c>
      <c r="I3485" s="20">
        <v>20.37</v>
      </c>
      <c r="J3485" s="44" t="s">
        <v>8</v>
      </c>
      <c r="K3485" s="23" t="s">
        <v>8</v>
      </c>
      <c r="L3485" s="23" t="s">
        <v>8</v>
      </c>
      <c r="M3485" s="23" t="s">
        <v>8</v>
      </c>
    </row>
    <row r="3486" spans="1:13" s="21" customFormat="1" x14ac:dyDescent="0.25">
      <c r="A3486" s="22" t="s">
        <v>8</v>
      </c>
      <c r="B3486" s="18" t="str">
        <f>"146005"</f>
        <v>146005</v>
      </c>
      <c r="C3486" s="19" t="s">
        <v>3476</v>
      </c>
      <c r="D3486" s="19" t="s">
        <v>18913</v>
      </c>
      <c r="E3486" s="19" t="s">
        <v>32004</v>
      </c>
      <c r="F3486" s="19" t="s">
        <v>35987</v>
      </c>
      <c r="G3486" s="18" t="str">
        <f>"60957"</f>
        <v>60957</v>
      </c>
      <c r="H3486" s="19" t="s">
        <v>36241</v>
      </c>
      <c r="I3486" s="20">
        <v>20.021999999999998</v>
      </c>
      <c r="J3486" s="44" t="s">
        <v>8</v>
      </c>
      <c r="K3486" s="23" t="s">
        <v>8</v>
      </c>
      <c r="L3486" s="23" t="s">
        <v>8</v>
      </c>
      <c r="M3486" s="23" t="s">
        <v>8</v>
      </c>
    </row>
    <row r="3487" spans="1:13" s="21" customFormat="1" x14ac:dyDescent="0.25">
      <c r="A3487" s="22" t="s">
        <v>8</v>
      </c>
      <c r="B3487" s="18" t="str">
        <f>"146006"</f>
        <v>146006</v>
      </c>
      <c r="C3487" s="19" t="s">
        <v>3477</v>
      </c>
      <c r="D3487" s="19" t="s">
        <v>18914</v>
      </c>
      <c r="E3487" s="19" t="s">
        <v>32143</v>
      </c>
      <c r="F3487" s="19" t="s">
        <v>35987</v>
      </c>
      <c r="G3487" s="18" t="str">
        <f>"62906"</f>
        <v>62906</v>
      </c>
      <c r="H3487" s="19" t="s">
        <v>33554</v>
      </c>
      <c r="I3487" s="20">
        <v>23.460999999999999</v>
      </c>
      <c r="J3487" s="44" t="s">
        <v>8</v>
      </c>
      <c r="K3487" s="23" t="s">
        <v>8</v>
      </c>
      <c r="L3487" s="23" t="s">
        <v>8</v>
      </c>
      <c r="M3487" s="23" t="s">
        <v>8</v>
      </c>
    </row>
    <row r="3488" spans="1:13" s="21" customFormat="1" x14ac:dyDescent="0.25">
      <c r="A3488" s="22" t="s">
        <v>8</v>
      </c>
      <c r="B3488" s="18" t="str">
        <f>"146007"</f>
        <v>146007</v>
      </c>
      <c r="C3488" s="19" t="s">
        <v>3478</v>
      </c>
      <c r="D3488" s="19" t="s">
        <v>18915</v>
      </c>
      <c r="E3488" s="19" t="s">
        <v>31941</v>
      </c>
      <c r="F3488" s="19" t="s">
        <v>35987</v>
      </c>
      <c r="G3488" s="18" t="str">
        <f>"60005"</f>
        <v>60005</v>
      </c>
      <c r="H3488" s="19" t="s">
        <v>33420</v>
      </c>
      <c r="I3488" s="20">
        <v>17.678999999999998</v>
      </c>
      <c r="J3488" s="44" t="s">
        <v>8</v>
      </c>
      <c r="K3488" s="23" t="s">
        <v>8</v>
      </c>
      <c r="L3488" s="23" t="s">
        <v>8</v>
      </c>
      <c r="M3488" s="23" t="s">
        <v>8</v>
      </c>
    </row>
    <row r="3489" spans="1:13" s="21" customFormat="1" x14ac:dyDescent="0.25">
      <c r="A3489" s="22" t="s">
        <v>8</v>
      </c>
      <c r="B3489" s="18" t="str">
        <f>"146008"</f>
        <v>146008</v>
      </c>
      <c r="C3489" s="19" t="s">
        <v>3479</v>
      </c>
      <c r="D3489" s="19" t="s">
        <v>18916</v>
      </c>
      <c r="E3489" s="19" t="s">
        <v>31333</v>
      </c>
      <c r="F3489" s="19" t="s">
        <v>35987</v>
      </c>
      <c r="G3489" s="18" t="str">
        <f>"60505"</f>
        <v>60505</v>
      </c>
      <c r="H3489" s="19" t="s">
        <v>34788</v>
      </c>
      <c r="I3489" s="20">
        <v>19.221</v>
      </c>
      <c r="J3489" s="44" t="s">
        <v>8</v>
      </c>
      <c r="K3489" s="23" t="s">
        <v>8</v>
      </c>
      <c r="L3489" s="23" t="s">
        <v>8</v>
      </c>
      <c r="M3489" s="23" t="s">
        <v>8</v>
      </c>
    </row>
    <row r="3490" spans="1:13" s="21" customFormat="1" x14ac:dyDescent="0.25">
      <c r="A3490" s="22" t="s">
        <v>8</v>
      </c>
      <c r="B3490" s="18" t="str">
        <f>"146009"</f>
        <v>146009</v>
      </c>
      <c r="C3490" s="19" t="s">
        <v>3480</v>
      </c>
      <c r="D3490" s="19" t="s">
        <v>18917</v>
      </c>
      <c r="E3490" s="19" t="s">
        <v>31934</v>
      </c>
      <c r="F3490" s="19" t="s">
        <v>35987</v>
      </c>
      <c r="G3490" s="18" t="str">
        <f>"60640"</f>
        <v>60640</v>
      </c>
      <c r="H3490" s="19" t="s">
        <v>33420</v>
      </c>
      <c r="I3490" s="20">
        <v>20.452000000000002</v>
      </c>
      <c r="J3490" s="44" t="s">
        <v>8</v>
      </c>
      <c r="K3490" s="23" t="s">
        <v>8</v>
      </c>
      <c r="L3490" s="23" t="s">
        <v>8</v>
      </c>
      <c r="M3490" s="23" t="s">
        <v>8</v>
      </c>
    </row>
    <row r="3491" spans="1:13" s="21" customFormat="1" x14ac:dyDescent="0.25">
      <c r="A3491" s="22" t="s">
        <v>8</v>
      </c>
      <c r="B3491" s="18" t="str">
        <f>"146010"</f>
        <v>146010</v>
      </c>
      <c r="C3491" s="19" t="s">
        <v>3481</v>
      </c>
      <c r="D3491" s="19" t="s">
        <v>18918</v>
      </c>
      <c r="E3491" s="19" t="s">
        <v>31913</v>
      </c>
      <c r="F3491" s="19" t="s">
        <v>35987</v>
      </c>
      <c r="G3491" s="18" t="str">
        <f>"61764"</f>
        <v>61764</v>
      </c>
      <c r="H3491" s="19" t="s">
        <v>33740</v>
      </c>
      <c r="I3491" s="20">
        <v>18.684000000000001</v>
      </c>
      <c r="J3491" s="44" t="s">
        <v>8</v>
      </c>
      <c r="K3491" s="23" t="s">
        <v>8</v>
      </c>
      <c r="L3491" s="23" t="s">
        <v>8</v>
      </c>
      <c r="M3491" s="23" t="s">
        <v>8</v>
      </c>
    </row>
    <row r="3492" spans="1:13" s="21" customFormat="1" x14ac:dyDescent="0.25">
      <c r="A3492" s="22" t="s">
        <v>8</v>
      </c>
      <c r="B3492" s="18" t="str">
        <f>"146011"</f>
        <v>146011</v>
      </c>
      <c r="C3492" s="19" t="s">
        <v>3482</v>
      </c>
      <c r="D3492" s="19" t="s">
        <v>18919</v>
      </c>
      <c r="E3492" s="19" t="s">
        <v>31360</v>
      </c>
      <c r="F3492" s="19" t="s">
        <v>35987</v>
      </c>
      <c r="G3492" s="18" t="str">
        <f>"62012"</f>
        <v>62012</v>
      </c>
      <c r="H3492" s="19" t="s">
        <v>36236</v>
      </c>
      <c r="I3492" s="20">
        <v>21.317</v>
      </c>
      <c r="J3492" s="44" t="s">
        <v>8</v>
      </c>
      <c r="K3492" s="23" t="s">
        <v>8</v>
      </c>
      <c r="L3492" s="23" t="s">
        <v>8</v>
      </c>
      <c r="M3492" s="23" t="s">
        <v>8</v>
      </c>
    </row>
    <row r="3493" spans="1:13" s="21" customFormat="1" x14ac:dyDescent="0.25">
      <c r="A3493" s="22" t="s">
        <v>8</v>
      </c>
      <c r="B3493" s="18" t="str">
        <f>"146013"</f>
        <v>146013</v>
      </c>
      <c r="C3493" s="19" t="s">
        <v>3483</v>
      </c>
      <c r="D3493" s="19" t="s">
        <v>18920</v>
      </c>
      <c r="E3493" s="19" t="s">
        <v>243</v>
      </c>
      <c r="F3493" s="19" t="s">
        <v>35987</v>
      </c>
      <c r="G3493" s="18" t="str">
        <f>"60302"</f>
        <v>60302</v>
      </c>
      <c r="H3493" s="19" t="s">
        <v>33420</v>
      </c>
      <c r="I3493" s="20">
        <v>17.361000000000001</v>
      </c>
      <c r="J3493" s="44" t="s">
        <v>8</v>
      </c>
      <c r="K3493" s="23" t="s">
        <v>8</v>
      </c>
      <c r="L3493" s="23" t="s">
        <v>8</v>
      </c>
      <c r="M3493" s="23" t="s">
        <v>8</v>
      </c>
    </row>
    <row r="3494" spans="1:13" s="21" customFormat="1" x14ac:dyDescent="0.25">
      <c r="A3494" s="22" t="s">
        <v>8</v>
      </c>
      <c r="B3494" s="18" t="str">
        <f>"146014"</f>
        <v>146014</v>
      </c>
      <c r="C3494" s="19" t="s">
        <v>3484</v>
      </c>
      <c r="D3494" s="19" t="s">
        <v>18921</v>
      </c>
      <c r="E3494" s="19" t="s">
        <v>32144</v>
      </c>
      <c r="F3494" s="19" t="s">
        <v>35987</v>
      </c>
      <c r="G3494" s="18" t="str">
        <f>"60033"</f>
        <v>60033</v>
      </c>
      <c r="H3494" s="19" t="s">
        <v>32006</v>
      </c>
      <c r="I3494" s="20">
        <v>18.295000000000002</v>
      </c>
      <c r="J3494" s="44" t="s">
        <v>8</v>
      </c>
      <c r="K3494" s="23" t="s">
        <v>8</v>
      </c>
      <c r="L3494" s="23" t="s">
        <v>8</v>
      </c>
      <c r="M3494" s="23" t="s">
        <v>8</v>
      </c>
    </row>
    <row r="3495" spans="1:13" s="21" customFormat="1" x14ac:dyDescent="0.25">
      <c r="A3495" s="22" t="s">
        <v>8</v>
      </c>
      <c r="B3495" s="18" t="str">
        <f>"146015"</f>
        <v>146015</v>
      </c>
      <c r="C3495" s="19" t="s">
        <v>3485</v>
      </c>
      <c r="D3495" s="19" t="s">
        <v>18922</v>
      </c>
      <c r="E3495" s="19" t="s">
        <v>31766</v>
      </c>
      <c r="F3495" s="19" t="s">
        <v>35987</v>
      </c>
      <c r="G3495" s="18" t="str">
        <f>"60098"</f>
        <v>60098</v>
      </c>
      <c r="H3495" s="19" t="s">
        <v>32006</v>
      </c>
      <c r="I3495" s="20">
        <v>15.625999999999999</v>
      </c>
      <c r="J3495" s="44" t="s">
        <v>8</v>
      </c>
      <c r="K3495" s="23" t="s">
        <v>8</v>
      </c>
      <c r="L3495" s="23" t="s">
        <v>8</v>
      </c>
      <c r="M3495" s="23" t="s">
        <v>8</v>
      </c>
    </row>
    <row r="3496" spans="1:13" s="21" customFormat="1" x14ac:dyDescent="0.25">
      <c r="A3496" s="22" t="s">
        <v>8</v>
      </c>
      <c r="B3496" s="18" t="str">
        <f>"146016"</f>
        <v>146016</v>
      </c>
      <c r="C3496" s="19" t="s">
        <v>3486</v>
      </c>
      <c r="D3496" s="19" t="s">
        <v>18923</v>
      </c>
      <c r="E3496" s="19" t="s">
        <v>31791</v>
      </c>
      <c r="F3496" s="19" t="s">
        <v>35987</v>
      </c>
      <c r="G3496" s="18" t="str">
        <f>"61520"</f>
        <v>61520</v>
      </c>
      <c r="H3496" s="19" t="s">
        <v>32194</v>
      </c>
      <c r="I3496" s="20">
        <v>16.972000000000001</v>
      </c>
      <c r="J3496" s="44" t="s">
        <v>8</v>
      </c>
      <c r="K3496" s="23" t="s">
        <v>8</v>
      </c>
      <c r="L3496" s="23" t="s">
        <v>8</v>
      </c>
      <c r="M3496" s="23" t="s">
        <v>8</v>
      </c>
    </row>
    <row r="3497" spans="1:13" s="21" customFormat="1" x14ac:dyDescent="0.25">
      <c r="A3497" s="22" t="s">
        <v>8</v>
      </c>
      <c r="B3497" s="18" t="str">
        <f>"146017"</f>
        <v>146017</v>
      </c>
      <c r="C3497" s="19" t="s">
        <v>3487</v>
      </c>
      <c r="D3497" s="19" t="s">
        <v>18924</v>
      </c>
      <c r="E3497" s="19" t="s">
        <v>31939</v>
      </c>
      <c r="F3497" s="19" t="s">
        <v>35987</v>
      </c>
      <c r="G3497" s="18" t="str">
        <f>"61820"</f>
        <v>61820</v>
      </c>
      <c r="H3497" s="19" t="s">
        <v>31939</v>
      </c>
      <c r="I3497" s="20">
        <v>18.908000000000001</v>
      </c>
      <c r="J3497" s="44" t="s">
        <v>8</v>
      </c>
      <c r="K3497" s="23" t="s">
        <v>8</v>
      </c>
      <c r="L3497" s="23" t="s">
        <v>8</v>
      </c>
      <c r="M3497" s="23" t="s">
        <v>8</v>
      </c>
    </row>
    <row r="3498" spans="1:13" s="21" customFormat="1" x14ac:dyDescent="0.25">
      <c r="A3498" s="22" t="s">
        <v>8</v>
      </c>
      <c r="B3498" s="18" t="str">
        <f>"146018"</f>
        <v>146018</v>
      </c>
      <c r="C3498" s="19" t="s">
        <v>3488</v>
      </c>
      <c r="D3498" s="19" t="s">
        <v>18925</v>
      </c>
      <c r="E3498" s="19" t="s">
        <v>31934</v>
      </c>
      <c r="F3498" s="19" t="s">
        <v>35987</v>
      </c>
      <c r="G3498" s="18" t="str">
        <f>"60623"</f>
        <v>60623</v>
      </c>
      <c r="H3498" s="19" t="s">
        <v>33420</v>
      </c>
      <c r="I3498" s="20">
        <v>19.716000000000001</v>
      </c>
      <c r="J3498" s="44" t="s">
        <v>8</v>
      </c>
      <c r="K3498" s="23" t="s">
        <v>8</v>
      </c>
      <c r="L3498" s="23" t="s">
        <v>8</v>
      </c>
      <c r="M3498" s="23" t="s">
        <v>8</v>
      </c>
    </row>
    <row r="3499" spans="1:13" s="21" customFormat="1" x14ac:dyDescent="0.25">
      <c r="A3499" s="22" t="s">
        <v>8</v>
      </c>
      <c r="B3499" s="18" t="str">
        <f>"146019"</f>
        <v>146019</v>
      </c>
      <c r="C3499" s="19" t="s">
        <v>3489</v>
      </c>
      <c r="D3499" s="19" t="s">
        <v>18926</v>
      </c>
      <c r="E3499" s="19" t="s">
        <v>32145</v>
      </c>
      <c r="F3499" s="19" t="s">
        <v>35987</v>
      </c>
      <c r="G3499" s="18" t="str">
        <f>"62821"</f>
        <v>62821</v>
      </c>
      <c r="H3499" s="19" t="s">
        <v>35131</v>
      </c>
      <c r="I3499" s="20">
        <v>24.373000000000001</v>
      </c>
      <c r="J3499" s="44" t="s">
        <v>8</v>
      </c>
      <c r="K3499" s="23" t="s">
        <v>8</v>
      </c>
      <c r="L3499" s="23" t="s">
        <v>8</v>
      </c>
      <c r="M3499" s="23" t="s">
        <v>8</v>
      </c>
    </row>
    <row r="3500" spans="1:13" s="21" customFormat="1" x14ac:dyDescent="0.25">
      <c r="A3500" s="22" t="s">
        <v>8</v>
      </c>
      <c r="B3500" s="18" t="str">
        <f>"146020"</f>
        <v>146020</v>
      </c>
      <c r="C3500" s="19" t="s">
        <v>3490</v>
      </c>
      <c r="D3500" s="19" t="s">
        <v>18927</v>
      </c>
      <c r="E3500" s="19" t="s">
        <v>31213</v>
      </c>
      <c r="F3500" s="19" t="s">
        <v>35987</v>
      </c>
      <c r="G3500" s="18" t="str">
        <f>"61473"</f>
        <v>61473</v>
      </c>
      <c r="H3500" s="19" t="s">
        <v>31025</v>
      </c>
      <c r="I3500" s="20">
        <v>20.125</v>
      </c>
      <c r="J3500" s="44" t="s">
        <v>8</v>
      </c>
      <c r="K3500" s="23" t="s">
        <v>8</v>
      </c>
      <c r="L3500" s="23" t="s">
        <v>8</v>
      </c>
      <c r="M3500" s="23" t="s">
        <v>8</v>
      </c>
    </row>
    <row r="3501" spans="1:13" s="21" customFormat="1" x14ac:dyDescent="0.25">
      <c r="A3501" s="22" t="s">
        <v>8</v>
      </c>
      <c r="B3501" s="18" t="str">
        <f>"146021"</f>
        <v>146021</v>
      </c>
      <c r="C3501" s="19" t="s">
        <v>3491</v>
      </c>
      <c r="D3501" s="19" t="s">
        <v>18928</v>
      </c>
      <c r="E3501" s="19" t="s">
        <v>32023</v>
      </c>
      <c r="F3501" s="19" t="s">
        <v>35987</v>
      </c>
      <c r="G3501" s="18" t="str">
        <f>"62864"</f>
        <v>62864</v>
      </c>
      <c r="H3501" s="19" t="s">
        <v>32391</v>
      </c>
      <c r="I3501" s="20">
        <v>18.532</v>
      </c>
      <c r="J3501" s="44" t="s">
        <v>8</v>
      </c>
      <c r="K3501" s="23" t="s">
        <v>8</v>
      </c>
      <c r="L3501" s="23" t="s">
        <v>8</v>
      </c>
      <c r="M3501" s="23" t="s">
        <v>8</v>
      </c>
    </row>
    <row r="3502" spans="1:13" s="21" customFormat="1" x14ac:dyDescent="0.25">
      <c r="A3502" s="22" t="s">
        <v>8</v>
      </c>
      <c r="B3502" s="18" t="str">
        <f>"146023"</f>
        <v>146023</v>
      </c>
      <c r="C3502" s="19" t="s">
        <v>3492</v>
      </c>
      <c r="D3502" s="19" t="s">
        <v>18929</v>
      </c>
      <c r="E3502" s="19" t="s">
        <v>32146</v>
      </c>
      <c r="F3502" s="19" t="s">
        <v>35987</v>
      </c>
      <c r="G3502" s="18" t="str">
        <f>"61911"</f>
        <v>61911</v>
      </c>
      <c r="H3502" s="19" t="s">
        <v>30966</v>
      </c>
      <c r="I3502" s="20">
        <v>17.623000000000001</v>
      </c>
      <c r="J3502" s="44" t="s">
        <v>8</v>
      </c>
      <c r="K3502" s="23" t="s">
        <v>8</v>
      </c>
      <c r="L3502" s="23" t="s">
        <v>8</v>
      </c>
      <c r="M3502" s="23" t="s">
        <v>8</v>
      </c>
    </row>
    <row r="3503" spans="1:13" s="21" customFormat="1" x14ac:dyDescent="0.25">
      <c r="A3503" s="22" t="s">
        <v>8</v>
      </c>
      <c r="B3503" s="18" t="str">
        <f>"146025"</f>
        <v>146025</v>
      </c>
      <c r="C3503" s="19" t="s">
        <v>3493</v>
      </c>
      <c r="D3503" s="19" t="s">
        <v>18930</v>
      </c>
      <c r="E3503" s="19" t="s">
        <v>32147</v>
      </c>
      <c r="F3503" s="19" t="s">
        <v>35987</v>
      </c>
      <c r="G3503" s="18" t="str">
        <f>"62265"</f>
        <v>62265</v>
      </c>
      <c r="H3503" s="19" t="s">
        <v>31081</v>
      </c>
      <c r="I3503" s="20">
        <v>19.742000000000001</v>
      </c>
      <c r="J3503" s="44" t="s">
        <v>8</v>
      </c>
      <c r="K3503" s="23" t="s">
        <v>8</v>
      </c>
      <c r="L3503" s="23" t="s">
        <v>8</v>
      </c>
      <c r="M3503" s="23" t="s">
        <v>8</v>
      </c>
    </row>
    <row r="3504" spans="1:13" s="21" customFormat="1" x14ac:dyDescent="0.25">
      <c r="A3504" s="22" t="s">
        <v>8</v>
      </c>
      <c r="B3504" s="18" t="str">
        <f>"146026"</f>
        <v>146026</v>
      </c>
      <c r="C3504" s="19" t="s">
        <v>3494</v>
      </c>
      <c r="D3504" s="19" t="s">
        <v>18931</v>
      </c>
      <c r="E3504" s="19" t="s">
        <v>31717</v>
      </c>
      <c r="F3504" s="19" t="s">
        <v>35987</v>
      </c>
      <c r="G3504" s="18" t="str">
        <f>"62702"</f>
        <v>62702</v>
      </c>
      <c r="H3504" s="19" t="s">
        <v>36232</v>
      </c>
      <c r="I3504" s="20">
        <v>23.846</v>
      </c>
      <c r="J3504" s="44" t="s">
        <v>8</v>
      </c>
      <c r="K3504" s="23" t="s">
        <v>8</v>
      </c>
      <c r="L3504" s="23" t="s">
        <v>8</v>
      </c>
      <c r="M3504" s="23" t="s">
        <v>8</v>
      </c>
    </row>
    <row r="3505" spans="1:13" s="21" customFormat="1" x14ac:dyDescent="0.25">
      <c r="A3505" s="22" t="s">
        <v>8</v>
      </c>
      <c r="B3505" s="18" t="str">
        <f>"146028"</f>
        <v>146028</v>
      </c>
      <c r="C3505" s="19" t="s">
        <v>3495</v>
      </c>
      <c r="D3505" s="19" t="s">
        <v>18932</v>
      </c>
      <c r="E3505" s="19" t="s">
        <v>32148</v>
      </c>
      <c r="F3505" s="19" t="s">
        <v>35987</v>
      </c>
      <c r="G3505" s="18" t="str">
        <f>"60069"</f>
        <v>60069</v>
      </c>
      <c r="H3505" s="19" t="s">
        <v>36096</v>
      </c>
      <c r="I3505" s="20">
        <v>14.717000000000001</v>
      </c>
      <c r="J3505" s="44" t="s">
        <v>8</v>
      </c>
      <c r="K3505" s="23" t="s">
        <v>8</v>
      </c>
      <c r="L3505" s="23" t="s">
        <v>8</v>
      </c>
      <c r="M3505" s="23" t="s">
        <v>8</v>
      </c>
    </row>
    <row r="3506" spans="1:13" s="21" customFormat="1" x14ac:dyDescent="0.25">
      <c r="A3506" s="22" t="s">
        <v>8</v>
      </c>
      <c r="B3506" s="18" t="str">
        <f>"146029"</f>
        <v>146029</v>
      </c>
      <c r="C3506" s="19" t="s">
        <v>3496</v>
      </c>
      <c r="D3506" s="19" t="s">
        <v>18933</v>
      </c>
      <c r="E3506" s="19" t="s">
        <v>32121</v>
      </c>
      <c r="F3506" s="19" t="s">
        <v>35987</v>
      </c>
      <c r="G3506" s="18" t="str">
        <f>"60439"</f>
        <v>60439</v>
      </c>
      <c r="H3506" s="19" t="s">
        <v>33420</v>
      </c>
      <c r="I3506" s="20">
        <v>20.120999999999999</v>
      </c>
      <c r="J3506" s="44" t="s">
        <v>8</v>
      </c>
      <c r="K3506" s="23" t="s">
        <v>8</v>
      </c>
      <c r="L3506" s="23" t="s">
        <v>8</v>
      </c>
      <c r="M3506" s="23" t="s">
        <v>8</v>
      </c>
    </row>
    <row r="3507" spans="1:13" s="21" customFormat="1" x14ac:dyDescent="0.25">
      <c r="A3507" s="22" t="s">
        <v>8</v>
      </c>
      <c r="B3507" s="18" t="str">
        <f>"146030"</f>
        <v>146030</v>
      </c>
      <c r="C3507" s="19" t="s">
        <v>3497</v>
      </c>
      <c r="D3507" s="19" t="s">
        <v>18934</v>
      </c>
      <c r="E3507" s="19" t="s">
        <v>32149</v>
      </c>
      <c r="F3507" s="19" t="s">
        <v>35987</v>
      </c>
      <c r="G3507" s="18" t="str">
        <f>"62447"</f>
        <v>62447</v>
      </c>
      <c r="H3507" s="19" t="s">
        <v>32766</v>
      </c>
      <c r="I3507" s="20">
        <v>17.742999999999999</v>
      </c>
      <c r="J3507" s="44" t="s">
        <v>8</v>
      </c>
      <c r="K3507" s="23" t="s">
        <v>8</v>
      </c>
      <c r="L3507" s="23" t="s">
        <v>8</v>
      </c>
      <c r="M3507" s="23" t="s">
        <v>8</v>
      </c>
    </row>
    <row r="3508" spans="1:13" s="21" customFormat="1" x14ac:dyDescent="0.25">
      <c r="A3508" s="22" t="s">
        <v>8</v>
      </c>
      <c r="B3508" s="18" t="str">
        <f>"146031"</f>
        <v>146031</v>
      </c>
      <c r="C3508" s="19" t="s">
        <v>3498</v>
      </c>
      <c r="D3508" s="19" t="s">
        <v>18935</v>
      </c>
      <c r="E3508" s="19" t="s">
        <v>32079</v>
      </c>
      <c r="F3508" s="19" t="s">
        <v>35987</v>
      </c>
      <c r="G3508" s="18" t="str">
        <f>"60090"</f>
        <v>60090</v>
      </c>
      <c r="H3508" s="19" t="s">
        <v>33420</v>
      </c>
      <c r="I3508" s="20">
        <v>18.376000000000001</v>
      </c>
      <c r="J3508" s="44" t="s">
        <v>8</v>
      </c>
      <c r="K3508" s="23" t="s">
        <v>8</v>
      </c>
      <c r="L3508" s="23" t="s">
        <v>8</v>
      </c>
      <c r="M3508" s="23" t="s">
        <v>8</v>
      </c>
    </row>
    <row r="3509" spans="1:13" s="21" customFormat="1" x14ac:dyDescent="0.25">
      <c r="A3509" s="22" t="s">
        <v>8</v>
      </c>
      <c r="B3509" s="18" t="str">
        <f>"146032"</f>
        <v>146032</v>
      </c>
      <c r="C3509" s="19" t="s">
        <v>3499</v>
      </c>
      <c r="D3509" s="19" t="s">
        <v>18936</v>
      </c>
      <c r="E3509" s="19" t="s">
        <v>31916</v>
      </c>
      <c r="F3509" s="19" t="s">
        <v>35987</v>
      </c>
      <c r="G3509" s="18" t="str">
        <f>"62832"</f>
        <v>62832</v>
      </c>
      <c r="H3509" s="19" t="s">
        <v>31503</v>
      </c>
      <c r="I3509" s="20">
        <v>20.786999999999999</v>
      </c>
      <c r="J3509" s="44" t="s">
        <v>8</v>
      </c>
      <c r="K3509" s="23" t="s">
        <v>8</v>
      </c>
      <c r="L3509" s="23" t="s">
        <v>8</v>
      </c>
      <c r="M3509" s="23" t="s">
        <v>8</v>
      </c>
    </row>
    <row r="3510" spans="1:13" s="21" customFormat="1" x14ac:dyDescent="0.25">
      <c r="A3510" s="22" t="s">
        <v>8</v>
      </c>
      <c r="B3510" s="18" t="str">
        <f>"146033"</f>
        <v>146033</v>
      </c>
      <c r="C3510" s="19" t="s">
        <v>3500</v>
      </c>
      <c r="D3510" s="19" t="s">
        <v>18937</v>
      </c>
      <c r="E3510" s="19" t="s">
        <v>31911</v>
      </c>
      <c r="F3510" s="19" t="s">
        <v>35987</v>
      </c>
      <c r="G3510" s="18" t="str">
        <f>"61455"</f>
        <v>61455</v>
      </c>
      <c r="H3510" s="19" t="s">
        <v>31779</v>
      </c>
      <c r="I3510" s="20">
        <v>17.899000000000001</v>
      </c>
      <c r="J3510" s="44" t="s">
        <v>8</v>
      </c>
      <c r="K3510" s="23" t="s">
        <v>8</v>
      </c>
      <c r="L3510" s="23" t="s">
        <v>8</v>
      </c>
      <c r="M3510" s="23" t="s">
        <v>8</v>
      </c>
    </row>
    <row r="3511" spans="1:13" s="21" customFormat="1" x14ac:dyDescent="0.25">
      <c r="A3511" s="22" t="s">
        <v>8</v>
      </c>
      <c r="B3511" s="18" t="str">
        <f>"146034"</f>
        <v>146034</v>
      </c>
      <c r="C3511" s="19" t="s">
        <v>3501</v>
      </c>
      <c r="D3511" s="19" t="s">
        <v>18938</v>
      </c>
      <c r="E3511" s="19" t="s">
        <v>32150</v>
      </c>
      <c r="F3511" s="19" t="s">
        <v>35987</v>
      </c>
      <c r="G3511" s="18" t="str">
        <f>"60543"</f>
        <v>60543</v>
      </c>
      <c r="H3511" s="19" t="s">
        <v>31642</v>
      </c>
      <c r="I3511" s="20">
        <v>17.498999999999999</v>
      </c>
      <c r="J3511" s="44" t="s">
        <v>8</v>
      </c>
      <c r="K3511" s="23" t="s">
        <v>8</v>
      </c>
      <c r="L3511" s="23" t="s">
        <v>8</v>
      </c>
      <c r="M3511" s="23" t="s">
        <v>8</v>
      </c>
    </row>
    <row r="3512" spans="1:13" s="21" customFormat="1" x14ac:dyDescent="0.25">
      <c r="A3512" s="22" t="s">
        <v>8</v>
      </c>
      <c r="B3512" s="18" t="str">
        <f>"146035"</f>
        <v>146035</v>
      </c>
      <c r="C3512" s="19" t="s">
        <v>3502</v>
      </c>
      <c r="D3512" s="19" t="s">
        <v>18939</v>
      </c>
      <c r="E3512" s="19" t="s">
        <v>32151</v>
      </c>
      <c r="F3512" s="19" t="s">
        <v>35987</v>
      </c>
      <c r="G3512" s="18" t="str">
        <f>"62351"</f>
        <v>62351</v>
      </c>
      <c r="H3512" s="19" t="s">
        <v>33467</v>
      </c>
      <c r="I3512" s="20">
        <v>21.306999999999999</v>
      </c>
      <c r="J3512" s="44" t="s">
        <v>8</v>
      </c>
      <c r="K3512" s="23" t="s">
        <v>8</v>
      </c>
      <c r="L3512" s="23" t="s">
        <v>8</v>
      </c>
      <c r="M3512" s="23" t="s">
        <v>8</v>
      </c>
    </row>
    <row r="3513" spans="1:13" s="21" customFormat="1" x14ac:dyDescent="0.25">
      <c r="A3513" s="22" t="s">
        <v>8</v>
      </c>
      <c r="B3513" s="18" t="str">
        <f>"146036"</f>
        <v>146036</v>
      </c>
      <c r="C3513" s="19" t="s">
        <v>3503</v>
      </c>
      <c r="D3513" s="19" t="s">
        <v>18940</v>
      </c>
      <c r="E3513" s="19" t="s">
        <v>32152</v>
      </c>
      <c r="F3513" s="19" t="s">
        <v>35987</v>
      </c>
      <c r="G3513" s="18" t="str">
        <f>"62948"</f>
        <v>62948</v>
      </c>
      <c r="H3513" s="19" t="s">
        <v>35514</v>
      </c>
      <c r="I3513" s="20">
        <v>23.966000000000001</v>
      </c>
      <c r="J3513" s="44" t="s">
        <v>8</v>
      </c>
      <c r="K3513" s="23" t="s">
        <v>8</v>
      </c>
      <c r="L3513" s="23" t="s">
        <v>8</v>
      </c>
      <c r="M3513" s="23" t="s">
        <v>8</v>
      </c>
    </row>
    <row r="3514" spans="1:13" s="21" customFormat="1" x14ac:dyDescent="0.25">
      <c r="A3514" s="22" t="s">
        <v>8</v>
      </c>
      <c r="B3514" s="18" t="str">
        <f>"146037"</f>
        <v>146037</v>
      </c>
      <c r="C3514" s="19" t="s">
        <v>3504</v>
      </c>
      <c r="D3514" s="19" t="s">
        <v>18941</v>
      </c>
      <c r="E3514" s="19" t="s">
        <v>32153</v>
      </c>
      <c r="F3514" s="19" t="s">
        <v>35987</v>
      </c>
      <c r="G3514" s="18" t="str">
        <f>"61924"</f>
        <v>61924</v>
      </c>
      <c r="H3514" s="19" t="s">
        <v>33797</v>
      </c>
      <c r="I3514" s="20">
        <v>19.774000000000001</v>
      </c>
      <c r="J3514" s="44" t="s">
        <v>8</v>
      </c>
      <c r="K3514" s="23" t="s">
        <v>8</v>
      </c>
      <c r="L3514" s="23" t="s">
        <v>8</v>
      </c>
      <c r="M3514" s="23" t="s">
        <v>8</v>
      </c>
    </row>
    <row r="3515" spans="1:13" s="21" customFormat="1" x14ac:dyDescent="0.25">
      <c r="A3515" s="22" t="s">
        <v>8</v>
      </c>
      <c r="B3515" s="18" t="str">
        <f>"146038"</f>
        <v>146038</v>
      </c>
      <c r="C3515" s="19" t="s">
        <v>3505</v>
      </c>
      <c r="D3515" s="19" t="s">
        <v>18942</v>
      </c>
      <c r="E3515" s="19" t="s">
        <v>32154</v>
      </c>
      <c r="F3515" s="19" t="s">
        <v>35987</v>
      </c>
      <c r="G3515" s="18" t="str">
        <f>"61470"</f>
        <v>61470</v>
      </c>
      <c r="H3515" s="19" t="s">
        <v>31779</v>
      </c>
      <c r="I3515" s="20">
        <v>18.192</v>
      </c>
      <c r="J3515" s="44" t="s">
        <v>8</v>
      </c>
      <c r="K3515" s="23" t="s">
        <v>8</v>
      </c>
      <c r="L3515" s="23" t="s">
        <v>8</v>
      </c>
      <c r="M3515" s="23" t="s">
        <v>8</v>
      </c>
    </row>
    <row r="3516" spans="1:13" s="21" customFormat="1" x14ac:dyDescent="0.25">
      <c r="A3516" s="22" t="s">
        <v>8</v>
      </c>
      <c r="B3516" s="18" t="str">
        <f>"146039"</f>
        <v>146039</v>
      </c>
      <c r="C3516" s="19" t="s">
        <v>3506</v>
      </c>
      <c r="D3516" s="19" t="s">
        <v>18943</v>
      </c>
      <c r="E3516" s="19" t="s">
        <v>31976</v>
      </c>
      <c r="F3516" s="19" t="s">
        <v>35987</v>
      </c>
      <c r="G3516" s="18" t="str">
        <f>"61951"</f>
        <v>61951</v>
      </c>
      <c r="H3516" s="19" t="s">
        <v>31699</v>
      </c>
      <c r="I3516" s="20">
        <v>20.018999999999998</v>
      </c>
      <c r="J3516" s="44" t="s">
        <v>8</v>
      </c>
      <c r="K3516" s="23" t="s">
        <v>8</v>
      </c>
      <c r="L3516" s="23" t="s">
        <v>8</v>
      </c>
      <c r="M3516" s="23" t="s">
        <v>8</v>
      </c>
    </row>
    <row r="3517" spans="1:13" s="21" customFormat="1" x14ac:dyDescent="0.25">
      <c r="A3517" s="22" t="s">
        <v>8</v>
      </c>
      <c r="B3517" s="18" t="str">
        <f>"146040"</f>
        <v>146040</v>
      </c>
      <c r="C3517" s="19" t="s">
        <v>3507</v>
      </c>
      <c r="D3517" s="19" t="s">
        <v>18944</v>
      </c>
      <c r="E3517" s="19" t="s">
        <v>32010</v>
      </c>
      <c r="F3517" s="19" t="s">
        <v>35987</v>
      </c>
      <c r="G3517" s="18" t="str">
        <f>"62052"</f>
        <v>62052</v>
      </c>
      <c r="H3517" s="19" t="s">
        <v>36242</v>
      </c>
      <c r="I3517" s="20">
        <v>19.925000000000001</v>
      </c>
      <c r="J3517" s="44" t="s">
        <v>8</v>
      </c>
      <c r="K3517" s="23" t="s">
        <v>8</v>
      </c>
      <c r="L3517" s="23" t="s">
        <v>8</v>
      </c>
      <c r="M3517" s="23" t="s">
        <v>8</v>
      </c>
    </row>
    <row r="3518" spans="1:13" s="21" customFormat="1" x14ac:dyDescent="0.25">
      <c r="A3518" s="22" t="s">
        <v>8</v>
      </c>
      <c r="B3518" s="18" t="str">
        <f>"146041"</f>
        <v>146041</v>
      </c>
      <c r="C3518" s="19" t="s">
        <v>3508</v>
      </c>
      <c r="D3518" s="19" t="s">
        <v>18945</v>
      </c>
      <c r="E3518" s="19" t="s">
        <v>31958</v>
      </c>
      <c r="F3518" s="19" t="s">
        <v>35987</v>
      </c>
      <c r="G3518" s="18" t="str">
        <f>"61244"</f>
        <v>61244</v>
      </c>
      <c r="H3518" s="19" t="s">
        <v>31981</v>
      </c>
      <c r="I3518" s="20">
        <v>18.471</v>
      </c>
      <c r="J3518" s="44" t="s">
        <v>8</v>
      </c>
      <c r="K3518" s="23" t="s">
        <v>8</v>
      </c>
      <c r="L3518" s="23" t="s">
        <v>8</v>
      </c>
      <c r="M3518" s="23" t="s">
        <v>8</v>
      </c>
    </row>
    <row r="3519" spans="1:13" s="21" customFormat="1" x14ac:dyDescent="0.25">
      <c r="A3519" s="22" t="s">
        <v>8</v>
      </c>
      <c r="B3519" s="18" t="str">
        <f>"146042"</f>
        <v>146042</v>
      </c>
      <c r="C3519" s="19" t="s">
        <v>3509</v>
      </c>
      <c r="D3519" s="19" t="s">
        <v>18946</v>
      </c>
      <c r="E3519" s="19" t="s">
        <v>32155</v>
      </c>
      <c r="F3519" s="19" t="s">
        <v>35987</v>
      </c>
      <c r="G3519" s="18" t="str">
        <f>"62548"</f>
        <v>62548</v>
      </c>
      <c r="H3519" s="19" t="s">
        <v>32373</v>
      </c>
      <c r="I3519" s="20">
        <v>18.550999999999998</v>
      </c>
      <c r="J3519" s="44" t="s">
        <v>8</v>
      </c>
      <c r="K3519" s="23" t="s">
        <v>8</v>
      </c>
      <c r="L3519" s="23" t="s">
        <v>8</v>
      </c>
      <c r="M3519" s="23" t="s">
        <v>8</v>
      </c>
    </row>
    <row r="3520" spans="1:13" s="21" customFormat="1" x14ac:dyDescent="0.25">
      <c r="A3520" s="22" t="s">
        <v>8</v>
      </c>
      <c r="B3520" s="18" t="str">
        <f>"146043"</f>
        <v>146043</v>
      </c>
      <c r="C3520" s="19" t="s">
        <v>3510</v>
      </c>
      <c r="D3520" s="19" t="s">
        <v>18947</v>
      </c>
      <c r="E3520" s="19" t="s">
        <v>31014</v>
      </c>
      <c r="F3520" s="19" t="s">
        <v>35987</v>
      </c>
      <c r="G3520" s="18" t="str">
        <f>"62263"</f>
        <v>62263</v>
      </c>
      <c r="H3520" s="19" t="s">
        <v>31500</v>
      </c>
      <c r="I3520" s="20">
        <v>18.68</v>
      </c>
      <c r="J3520" s="44" t="s">
        <v>8</v>
      </c>
      <c r="K3520" s="23" t="s">
        <v>8</v>
      </c>
      <c r="L3520" s="23" t="s">
        <v>8</v>
      </c>
      <c r="M3520" s="23" t="s">
        <v>8</v>
      </c>
    </row>
    <row r="3521" spans="1:13" s="21" customFormat="1" x14ac:dyDescent="0.25">
      <c r="A3521" s="22" t="s">
        <v>8</v>
      </c>
      <c r="B3521" s="18" t="str">
        <f>"146045"</f>
        <v>146045</v>
      </c>
      <c r="C3521" s="19" t="s">
        <v>3511</v>
      </c>
      <c r="D3521" s="19" t="s">
        <v>18948</v>
      </c>
      <c r="E3521" s="19" t="s">
        <v>32156</v>
      </c>
      <c r="F3521" s="19" t="s">
        <v>35987</v>
      </c>
      <c r="G3521" s="18" t="str">
        <f>"62933"</f>
        <v>62933</v>
      </c>
      <c r="H3521" s="19" t="s">
        <v>35514</v>
      </c>
      <c r="I3521" s="20">
        <v>20.832999999999998</v>
      </c>
      <c r="J3521" s="44" t="s">
        <v>8</v>
      </c>
      <c r="K3521" s="23" t="s">
        <v>8</v>
      </c>
      <c r="L3521" s="23" t="s">
        <v>8</v>
      </c>
      <c r="M3521" s="23" t="s">
        <v>8</v>
      </c>
    </row>
    <row r="3522" spans="1:13" s="21" customFormat="1" x14ac:dyDescent="0.25">
      <c r="A3522" s="22" t="s">
        <v>8</v>
      </c>
      <c r="B3522" s="18" t="str">
        <f>"146046"</f>
        <v>146046</v>
      </c>
      <c r="C3522" s="19" t="s">
        <v>3512</v>
      </c>
      <c r="D3522" s="19" t="s">
        <v>18949</v>
      </c>
      <c r="E3522" s="19" t="s">
        <v>31063</v>
      </c>
      <c r="F3522" s="19" t="s">
        <v>35987</v>
      </c>
      <c r="G3522" s="18" t="str">
        <f>"62441"</f>
        <v>62441</v>
      </c>
      <c r="H3522" s="19" t="s">
        <v>33967</v>
      </c>
      <c r="I3522" s="20">
        <v>20.911999999999999</v>
      </c>
      <c r="J3522" s="44" t="s">
        <v>8</v>
      </c>
      <c r="K3522" s="23" t="s">
        <v>8</v>
      </c>
      <c r="L3522" s="23" t="s">
        <v>8</v>
      </c>
      <c r="M3522" s="23" t="s">
        <v>8</v>
      </c>
    </row>
    <row r="3523" spans="1:13" s="21" customFormat="1" x14ac:dyDescent="0.25">
      <c r="A3523" s="22" t="s">
        <v>8</v>
      </c>
      <c r="B3523" s="18" t="str">
        <f>"146047"</f>
        <v>146047</v>
      </c>
      <c r="C3523" s="19" t="s">
        <v>3513</v>
      </c>
      <c r="D3523" s="19" t="s">
        <v>18950</v>
      </c>
      <c r="E3523" s="19" t="s">
        <v>31911</v>
      </c>
      <c r="F3523" s="19" t="s">
        <v>35987</v>
      </c>
      <c r="G3523" s="18" t="str">
        <f>"61455"</f>
        <v>61455</v>
      </c>
      <c r="H3523" s="19" t="s">
        <v>31779</v>
      </c>
      <c r="I3523" s="20">
        <v>19.574999999999999</v>
      </c>
      <c r="J3523" s="44" t="s">
        <v>8</v>
      </c>
      <c r="K3523" s="23" t="s">
        <v>8</v>
      </c>
      <c r="L3523" s="23" t="s">
        <v>8</v>
      </c>
      <c r="M3523" s="23" t="s">
        <v>8</v>
      </c>
    </row>
    <row r="3524" spans="1:13" s="21" customFormat="1" x14ac:dyDescent="0.25">
      <c r="A3524" s="22" t="s">
        <v>8</v>
      </c>
      <c r="B3524" s="18" t="str">
        <f>"146048"</f>
        <v>146048</v>
      </c>
      <c r="C3524" s="19" t="s">
        <v>3514</v>
      </c>
      <c r="D3524" s="19" t="s">
        <v>18951</v>
      </c>
      <c r="E3524" s="19" t="s">
        <v>32020</v>
      </c>
      <c r="F3524" s="19" t="s">
        <v>35987</v>
      </c>
      <c r="G3524" s="18" t="str">
        <f>"62568"</f>
        <v>62568</v>
      </c>
      <c r="H3524" s="19" t="s">
        <v>36234</v>
      </c>
      <c r="I3524" s="20">
        <v>20.991</v>
      </c>
      <c r="J3524" s="44" t="s">
        <v>8</v>
      </c>
      <c r="K3524" s="23" t="s">
        <v>8</v>
      </c>
      <c r="L3524" s="23" t="s">
        <v>8</v>
      </c>
      <c r="M3524" s="23" t="s">
        <v>8</v>
      </c>
    </row>
    <row r="3525" spans="1:13" s="21" customFormat="1" x14ac:dyDescent="0.25">
      <c r="A3525" s="22" t="s">
        <v>8</v>
      </c>
      <c r="B3525" s="18" t="str">
        <f>"146049"</f>
        <v>146049</v>
      </c>
      <c r="C3525" s="19" t="s">
        <v>3515</v>
      </c>
      <c r="D3525" s="19" t="s">
        <v>18952</v>
      </c>
      <c r="E3525" s="19" t="s">
        <v>31982</v>
      </c>
      <c r="F3525" s="19" t="s">
        <v>35987</v>
      </c>
      <c r="G3525" s="18" t="str">
        <f>"60970"</f>
        <v>60970</v>
      </c>
      <c r="H3525" s="19" t="s">
        <v>36238</v>
      </c>
      <c r="I3525" s="20">
        <v>19.308</v>
      </c>
      <c r="J3525" s="44" t="s">
        <v>8</v>
      </c>
      <c r="K3525" s="23" t="s">
        <v>8</v>
      </c>
      <c r="L3525" s="23" t="s">
        <v>8</v>
      </c>
      <c r="M3525" s="23" t="s">
        <v>8</v>
      </c>
    </row>
    <row r="3526" spans="1:13" s="21" customFormat="1" x14ac:dyDescent="0.25">
      <c r="A3526" s="22" t="s">
        <v>8</v>
      </c>
      <c r="B3526" s="18" t="str">
        <f>"146050"</f>
        <v>146050</v>
      </c>
      <c r="C3526" s="19" t="s">
        <v>3516</v>
      </c>
      <c r="D3526" s="19" t="s">
        <v>18953</v>
      </c>
      <c r="E3526" s="19" t="s">
        <v>32157</v>
      </c>
      <c r="F3526" s="19" t="s">
        <v>35987</v>
      </c>
      <c r="G3526" s="18" t="str">
        <f>"61910"</f>
        <v>61910</v>
      </c>
      <c r="H3526" s="19" t="s">
        <v>30966</v>
      </c>
      <c r="I3526" s="20">
        <v>19.422000000000001</v>
      </c>
      <c r="J3526" s="44" t="s">
        <v>8</v>
      </c>
      <c r="K3526" s="23" t="s">
        <v>8</v>
      </c>
      <c r="L3526" s="23" t="s">
        <v>8</v>
      </c>
      <c r="M3526" s="23" t="s">
        <v>8</v>
      </c>
    </row>
    <row r="3527" spans="1:13" s="21" customFormat="1" x14ac:dyDescent="0.25">
      <c r="A3527" s="22" t="s">
        <v>8</v>
      </c>
      <c r="B3527" s="18" t="str">
        <f>"146051"</f>
        <v>146051</v>
      </c>
      <c r="C3527" s="19" t="s">
        <v>3517</v>
      </c>
      <c r="D3527" s="19" t="s">
        <v>18954</v>
      </c>
      <c r="E3527" s="19" t="s">
        <v>32158</v>
      </c>
      <c r="F3527" s="19" t="s">
        <v>35987</v>
      </c>
      <c r="G3527" s="18" t="str">
        <f>"62312"</f>
        <v>62312</v>
      </c>
      <c r="H3527" s="19" t="s">
        <v>36033</v>
      </c>
      <c r="I3527" s="20">
        <v>19.077000000000002</v>
      </c>
      <c r="J3527" s="44" t="s">
        <v>8</v>
      </c>
      <c r="K3527" s="23" t="s">
        <v>8</v>
      </c>
      <c r="L3527" s="23" t="s">
        <v>8</v>
      </c>
      <c r="M3527" s="23" t="s">
        <v>8</v>
      </c>
    </row>
    <row r="3528" spans="1:13" s="21" customFormat="1" x14ac:dyDescent="0.25">
      <c r="A3528" s="22" t="s">
        <v>8</v>
      </c>
      <c r="B3528" s="18" t="str">
        <f>"146052"</f>
        <v>146052</v>
      </c>
      <c r="C3528" s="19" t="s">
        <v>3518</v>
      </c>
      <c r="D3528" s="19" t="s">
        <v>18955</v>
      </c>
      <c r="E3528" s="19" t="s">
        <v>31156</v>
      </c>
      <c r="F3528" s="19" t="s">
        <v>35987</v>
      </c>
      <c r="G3528" s="18" t="str">
        <f>"62001"</f>
        <v>62001</v>
      </c>
      <c r="H3528" s="19" t="s">
        <v>30899</v>
      </c>
      <c r="I3528" s="20">
        <v>18.7</v>
      </c>
      <c r="J3528" s="44" t="s">
        <v>8</v>
      </c>
      <c r="K3528" s="23" t="s">
        <v>8</v>
      </c>
      <c r="L3528" s="23" t="s">
        <v>8</v>
      </c>
      <c r="M3528" s="23" t="s">
        <v>8</v>
      </c>
    </row>
    <row r="3529" spans="1:13" s="21" customFormat="1" x14ac:dyDescent="0.25">
      <c r="A3529" s="22" t="s">
        <v>8</v>
      </c>
      <c r="B3529" s="18" t="str">
        <f>"146053"</f>
        <v>146053</v>
      </c>
      <c r="C3529" s="19" t="s">
        <v>3519</v>
      </c>
      <c r="D3529" s="19" t="s">
        <v>18956</v>
      </c>
      <c r="E3529" s="19" t="s">
        <v>32159</v>
      </c>
      <c r="F3529" s="19" t="s">
        <v>35987</v>
      </c>
      <c r="G3529" s="18" t="str">
        <f>"60464"</f>
        <v>60464</v>
      </c>
      <c r="H3529" s="19" t="s">
        <v>33420</v>
      </c>
      <c r="I3529" s="20">
        <v>20.213000000000001</v>
      </c>
      <c r="J3529" s="44" t="s">
        <v>8</v>
      </c>
      <c r="K3529" s="23" t="s">
        <v>8</v>
      </c>
      <c r="L3529" s="23" t="s">
        <v>8</v>
      </c>
      <c r="M3529" s="23" t="s">
        <v>8</v>
      </c>
    </row>
    <row r="3530" spans="1:13" s="21" customFormat="1" x14ac:dyDescent="0.25">
      <c r="A3530" s="22" t="s">
        <v>8</v>
      </c>
      <c r="B3530" s="18" t="str">
        <f>"146054"</f>
        <v>146054</v>
      </c>
      <c r="C3530" s="19" t="s">
        <v>3520</v>
      </c>
      <c r="D3530" s="19" t="s">
        <v>18957</v>
      </c>
      <c r="E3530" s="19" t="s">
        <v>32160</v>
      </c>
      <c r="F3530" s="19" t="s">
        <v>35987</v>
      </c>
      <c r="G3530" s="18" t="str">
        <f>"62979"</f>
        <v>62979</v>
      </c>
      <c r="H3530" s="19" t="s">
        <v>33708</v>
      </c>
      <c r="I3530" s="20">
        <v>19.170000000000002</v>
      </c>
      <c r="J3530" s="44" t="s">
        <v>8</v>
      </c>
      <c r="K3530" s="23" t="s">
        <v>8</v>
      </c>
      <c r="L3530" s="23" t="s">
        <v>8</v>
      </c>
      <c r="M3530" s="23" t="s">
        <v>8</v>
      </c>
    </row>
    <row r="3531" spans="1:13" s="21" customFormat="1" x14ac:dyDescent="0.25">
      <c r="A3531" s="22" t="s">
        <v>8</v>
      </c>
      <c r="B3531" s="18" t="str">
        <f>"146056"</f>
        <v>146056</v>
      </c>
      <c r="C3531" s="19" t="s">
        <v>3521</v>
      </c>
      <c r="D3531" s="19" t="s">
        <v>18958</v>
      </c>
      <c r="E3531" s="19" t="s">
        <v>31924</v>
      </c>
      <c r="F3531" s="19" t="s">
        <v>35987</v>
      </c>
      <c r="G3531" s="18" t="str">
        <f>"60901"</f>
        <v>60901</v>
      </c>
      <c r="H3531" s="19" t="s">
        <v>31924</v>
      </c>
      <c r="I3531" s="20">
        <v>19.553999999999998</v>
      </c>
      <c r="J3531" s="44" t="s">
        <v>8</v>
      </c>
      <c r="K3531" s="23" t="s">
        <v>8</v>
      </c>
      <c r="L3531" s="23" t="s">
        <v>8</v>
      </c>
      <c r="M3531" s="23" t="s">
        <v>8</v>
      </c>
    </row>
    <row r="3532" spans="1:13" s="21" customFormat="1" x14ac:dyDescent="0.25">
      <c r="A3532" s="22" t="s">
        <v>8</v>
      </c>
      <c r="B3532" s="18" t="str">
        <f>"146057"</f>
        <v>146057</v>
      </c>
      <c r="C3532" s="19" t="s">
        <v>3522</v>
      </c>
      <c r="D3532" s="19" t="s">
        <v>18959</v>
      </c>
      <c r="E3532" s="19" t="s">
        <v>32161</v>
      </c>
      <c r="F3532" s="19" t="s">
        <v>35987</v>
      </c>
      <c r="G3532" s="18" t="str">
        <f>"61462"</f>
        <v>61462</v>
      </c>
      <c r="H3532" s="19" t="s">
        <v>31025</v>
      </c>
      <c r="I3532" s="20">
        <v>18.032</v>
      </c>
      <c r="J3532" s="44" t="s">
        <v>8</v>
      </c>
      <c r="K3532" s="23" t="s">
        <v>8</v>
      </c>
      <c r="L3532" s="23" t="s">
        <v>8</v>
      </c>
      <c r="M3532" s="23" t="s">
        <v>8</v>
      </c>
    </row>
    <row r="3533" spans="1:13" s="21" customFormat="1" x14ac:dyDescent="0.25">
      <c r="A3533" s="22" t="s">
        <v>8</v>
      </c>
      <c r="B3533" s="18" t="str">
        <f>"146058"</f>
        <v>146058</v>
      </c>
      <c r="C3533" s="19" t="s">
        <v>3523</v>
      </c>
      <c r="D3533" s="19" t="s">
        <v>18960</v>
      </c>
      <c r="E3533" s="19" t="s">
        <v>31917</v>
      </c>
      <c r="F3533" s="19" t="s">
        <v>35987</v>
      </c>
      <c r="G3533" s="18" t="str">
        <f>"60201"</f>
        <v>60201</v>
      </c>
      <c r="H3533" s="19" t="s">
        <v>33420</v>
      </c>
      <c r="I3533" s="20">
        <v>20.033000000000001</v>
      </c>
      <c r="J3533" s="44" t="s">
        <v>8</v>
      </c>
      <c r="K3533" s="23" t="s">
        <v>8</v>
      </c>
      <c r="L3533" s="23" t="s">
        <v>8</v>
      </c>
      <c r="M3533" s="23" t="s">
        <v>8</v>
      </c>
    </row>
    <row r="3534" spans="1:13" s="21" customFormat="1" x14ac:dyDescent="0.25">
      <c r="A3534" s="22" t="s">
        <v>8</v>
      </c>
      <c r="B3534" s="18" t="str">
        <f>"146059"</f>
        <v>146059</v>
      </c>
      <c r="C3534" s="19" t="s">
        <v>3524</v>
      </c>
      <c r="D3534" s="19" t="s">
        <v>18961</v>
      </c>
      <c r="E3534" s="19" t="s">
        <v>30912</v>
      </c>
      <c r="F3534" s="19" t="s">
        <v>35987</v>
      </c>
      <c r="G3534" s="18" t="str">
        <f>"62650"</f>
        <v>62650</v>
      </c>
      <c r="H3534" s="19" t="s">
        <v>33505</v>
      </c>
      <c r="I3534" s="20">
        <v>17.696000000000002</v>
      </c>
      <c r="J3534" s="44" t="s">
        <v>8</v>
      </c>
      <c r="K3534" s="23" t="s">
        <v>8</v>
      </c>
      <c r="L3534" s="23" t="s">
        <v>8</v>
      </c>
      <c r="M3534" s="23" t="s">
        <v>8</v>
      </c>
    </row>
    <row r="3535" spans="1:13" s="21" customFormat="1" x14ac:dyDescent="0.25">
      <c r="A3535" s="22" t="s">
        <v>8</v>
      </c>
      <c r="B3535" s="18" t="str">
        <f>"146060"</f>
        <v>146060</v>
      </c>
      <c r="C3535" s="19" t="s">
        <v>3525</v>
      </c>
      <c r="D3535" s="19" t="s">
        <v>18962</v>
      </c>
      <c r="E3535" s="19" t="s">
        <v>31280</v>
      </c>
      <c r="F3535" s="19" t="s">
        <v>35987</v>
      </c>
      <c r="G3535" s="18" t="str">
        <f>"62249"</f>
        <v>62249</v>
      </c>
      <c r="H3535" s="19" t="s">
        <v>30899</v>
      </c>
      <c r="I3535" s="20">
        <v>19.495999999999999</v>
      </c>
      <c r="J3535" s="44" t="s">
        <v>8</v>
      </c>
      <c r="K3535" s="23" t="s">
        <v>8</v>
      </c>
      <c r="L3535" s="23" t="s">
        <v>8</v>
      </c>
      <c r="M3535" s="23" t="s">
        <v>8</v>
      </c>
    </row>
    <row r="3536" spans="1:13" s="21" customFormat="1" x14ac:dyDescent="0.25">
      <c r="A3536" s="22" t="s">
        <v>8</v>
      </c>
      <c r="B3536" s="18" t="str">
        <f>"146061"</f>
        <v>146061</v>
      </c>
      <c r="C3536" s="19" t="s">
        <v>3526</v>
      </c>
      <c r="D3536" s="19" t="s">
        <v>18963</v>
      </c>
      <c r="E3536" s="19" t="s">
        <v>32162</v>
      </c>
      <c r="F3536" s="19" t="s">
        <v>35987</v>
      </c>
      <c r="G3536" s="18" t="str">
        <f>"60532"</f>
        <v>60532</v>
      </c>
      <c r="H3536" s="19" t="s">
        <v>36231</v>
      </c>
      <c r="I3536" s="20">
        <v>19.690000000000001</v>
      </c>
      <c r="J3536" s="44" t="s">
        <v>8</v>
      </c>
      <c r="K3536" s="23" t="s">
        <v>8</v>
      </c>
      <c r="L3536" s="23" t="s">
        <v>8</v>
      </c>
      <c r="M3536" s="23" t="s">
        <v>8</v>
      </c>
    </row>
    <row r="3537" spans="1:13" s="21" customFormat="1" x14ac:dyDescent="0.25">
      <c r="A3537" s="22" t="s">
        <v>8</v>
      </c>
      <c r="B3537" s="18" t="str">
        <f>"146062"</f>
        <v>146062</v>
      </c>
      <c r="C3537" s="19" t="s">
        <v>3527</v>
      </c>
      <c r="D3537" s="19" t="s">
        <v>18964</v>
      </c>
      <c r="E3537" s="19" t="s">
        <v>31934</v>
      </c>
      <c r="F3537" s="19" t="s">
        <v>35987</v>
      </c>
      <c r="G3537" s="18" t="str">
        <f>"60622"</f>
        <v>60622</v>
      </c>
      <c r="H3537" s="19" t="s">
        <v>33420</v>
      </c>
      <c r="I3537" s="20">
        <v>19.704999999999998</v>
      </c>
      <c r="J3537" s="44" t="s">
        <v>8</v>
      </c>
      <c r="K3537" s="23" t="s">
        <v>8</v>
      </c>
      <c r="L3537" s="23" t="s">
        <v>8</v>
      </c>
      <c r="M3537" s="23" t="s">
        <v>8</v>
      </c>
    </row>
    <row r="3538" spans="1:13" s="21" customFormat="1" x14ac:dyDescent="0.25">
      <c r="A3538" s="22" t="s">
        <v>8</v>
      </c>
      <c r="B3538" s="18" t="str">
        <f>"146063"</f>
        <v>146063</v>
      </c>
      <c r="C3538" s="19" t="s">
        <v>3528</v>
      </c>
      <c r="D3538" s="19" t="s">
        <v>18965</v>
      </c>
      <c r="E3538" s="19" t="s">
        <v>32163</v>
      </c>
      <c r="F3538" s="19" t="s">
        <v>35987</v>
      </c>
      <c r="G3538" s="18" t="str">
        <f>"61376"</f>
        <v>61376</v>
      </c>
      <c r="H3538" s="19" t="s">
        <v>36228</v>
      </c>
      <c r="I3538" s="20">
        <v>18.225000000000001</v>
      </c>
      <c r="J3538" s="44" t="s">
        <v>8</v>
      </c>
      <c r="K3538" s="23" t="s">
        <v>8</v>
      </c>
      <c r="L3538" s="23" t="s">
        <v>8</v>
      </c>
      <c r="M3538" s="23" t="s">
        <v>8</v>
      </c>
    </row>
    <row r="3539" spans="1:13" s="21" customFormat="1" x14ac:dyDescent="0.25">
      <c r="A3539" s="22" t="s">
        <v>8</v>
      </c>
      <c r="B3539" s="18" t="str">
        <f>"146064"</f>
        <v>146064</v>
      </c>
      <c r="C3539" s="19" t="s">
        <v>3529</v>
      </c>
      <c r="D3539" s="19" t="s">
        <v>18966</v>
      </c>
      <c r="E3539" s="19" t="s">
        <v>30853</v>
      </c>
      <c r="F3539" s="19" t="s">
        <v>35987</v>
      </c>
      <c r="G3539" s="18" t="str">
        <f>"62526"</f>
        <v>62526</v>
      </c>
      <c r="H3539" s="19" t="s">
        <v>31733</v>
      </c>
      <c r="I3539" s="20">
        <v>18.548999999999999</v>
      </c>
      <c r="J3539" s="44" t="s">
        <v>8</v>
      </c>
      <c r="K3539" s="23" t="s">
        <v>8</v>
      </c>
      <c r="L3539" s="23" t="s">
        <v>8</v>
      </c>
      <c r="M3539" s="23" t="s">
        <v>8</v>
      </c>
    </row>
    <row r="3540" spans="1:13" s="21" customFormat="1" x14ac:dyDescent="0.25">
      <c r="A3540" s="22" t="s">
        <v>8</v>
      </c>
      <c r="B3540" s="18" t="str">
        <f>"146065"</f>
        <v>146065</v>
      </c>
      <c r="C3540" s="19" t="s">
        <v>3530</v>
      </c>
      <c r="D3540" s="19" t="s">
        <v>18967</v>
      </c>
      <c r="E3540" s="19" t="s">
        <v>32164</v>
      </c>
      <c r="F3540" s="19" t="s">
        <v>35987</v>
      </c>
      <c r="G3540" s="18" t="str">
        <f>"60172"</f>
        <v>60172</v>
      </c>
      <c r="H3540" s="19" t="s">
        <v>36231</v>
      </c>
      <c r="I3540" s="20">
        <v>18.55</v>
      </c>
      <c r="J3540" s="44" t="s">
        <v>8</v>
      </c>
      <c r="K3540" s="23" t="s">
        <v>8</v>
      </c>
      <c r="L3540" s="23" t="s">
        <v>8</v>
      </c>
      <c r="M3540" s="23" t="s">
        <v>8</v>
      </c>
    </row>
    <row r="3541" spans="1:13" s="21" customFormat="1" x14ac:dyDescent="0.25">
      <c r="A3541" s="22" t="s">
        <v>8</v>
      </c>
      <c r="B3541" s="18" t="str">
        <f>"146066"</f>
        <v>146066</v>
      </c>
      <c r="C3541" s="19" t="s">
        <v>3531</v>
      </c>
      <c r="D3541" s="19" t="s">
        <v>18968</v>
      </c>
      <c r="E3541" s="19" t="s">
        <v>31935</v>
      </c>
      <c r="F3541" s="19" t="s">
        <v>35987</v>
      </c>
      <c r="G3541" s="18" t="str">
        <f>"61114"</f>
        <v>61114</v>
      </c>
      <c r="H3541" s="19" t="s">
        <v>36233</v>
      </c>
      <c r="I3541" s="20">
        <v>19.501000000000001</v>
      </c>
      <c r="J3541" s="44" t="s">
        <v>8</v>
      </c>
      <c r="K3541" s="23" t="s">
        <v>8</v>
      </c>
      <c r="L3541" s="23" t="s">
        <v>8</v>
      </c>
      <c r="M3541" s="23" t="s">
        <v>8</v>
      </c>
    </row>
    <row r="3542" spans="1:13" s="21" customFormat="1" x14ac:dyDescent="0.25">
      <c r="A3542" s="22" t="s">
        <v>8</v>
      </c>
      <c r="B3542" s="18" t="str">
        <f>"146067"</f>
        <v>146067</v>
      </c>
      <c r="C3542" s="19" t="s">
        <v>3532</v>
      </c>
      <c r="D3542" s="19" t="s">
        <v>18969</v>
      </c>
      <c r="E3542" s="19" t="s">
        <v>30870</v>
      </c>
      <c r="F3542" s="19" t="s">
        <v>35987</v>
      </c>
      <c r="G3542" s="18" t="str">
        <f>"60134"</f>
        <v>60134</v>
      </c>
      <c r="H3542" s="19" t="s">
        <v>34788</v>
      </c>
      <c r="I3542" s="20">
        <v>20.152000000000001</v>
      </c>
      <c r="J3542" s="44" t="s">
        <v>8</v>
      </c>
      <c r="K3542" s="23" t="s">
        <v>8</v>
      </c>
      <c r="L3542" s="23" t="s">
        <v>8</v>
      </c>
      <c r="M3542" s="23" t="s">
        <v>8</v>
      </c>
    </row>
    <row r="3543" spans="1:13" s="21" customFormat="1" x14ac:dyDescent="0.25">
      <c r="A3543" s="22" t="s">
        <v>8</v>
      </c>
      <c r="B3543" s="18" t="str">
        <f>"146068"</f>
        <v>146068</v>
      </c>
      <c r="C3543" s="19" t="s">
        <v>3533</v>
      </c>
      <c r="D3543" s="19" t="s">
        <v>18970</v>
      </c>
      <c r="E3543" s="19" t="s">
        <v>32165</v>
      </c>
      <c r="F3543" s="19" t="s">
        <v>35987</v>
      </c>
      <c r="G3543" s="18" t="str">
        <f>"62675"</f>
        <v>62675</v>
      </c>
      <c r="H3543" s="19" t="s">
        <v>35930</v>
      </c>
      <c r="I3543" s="20">
        <v>18.7</v>
      </c>
      <c r="J3543" s="44" t="s">
        <v>8</v>
      </c>
      <c r="K3543" s="23" t="s">
        <v>8</v>
      </c>
      <c r="L3543" s="23" t="s">
        <v>8</v>
      </c>
      <c r="M3543" s="23" t="s">
        <v>8</v>
      </c>
    </row>
    <row r="3544" spans="1:13" s="21" customFormat="1" x14ac:dyDescent="0.25">
      <c r="A3544" s="22" t="s">
        <v>8</v>
      </c>
      <c r="B3544" s="18" t="str">
        <f>"146069"</f>
        <v>146069</v>
      </c>
      <c r="C3544" s="19" t="s">
        <v>3534</v>
      </c>
      <c r="D3544" s="19" t="s">
        <v>18971</v>
      </c>
      <c r="E3544" s="19" t="s">
        <v>32166</v>
      </c>
      <c r="F3544" s="19" t="s">
        <v>35987</v>
      </c>
      <c r="G3544" s="18" t="str">
        <f>"61111"</f>
        <v>61111</v>
      </c>
      <c r="H3544" s="19" t="s">
        <v>36233</v>
      </c>
      <c r="I3544" s="20">
        <v>22.228000000000002</v>
      </c>
      <c r="J3544" s="44" t="s">
        <v>8</v>
      </c>
      <c r="K3544" s="23" t="s">
        <v>8</v>
      </c>
      <c r="L3544" s="23" t="s">
        <v>8</v>
      </c>
      <c r="M3544" s="23" t="s">
        <v>8</v>
      </c>
    </row>
    <row r="3545" spans="1:13" s="21" customFormat="1" x14ac:dyDescent="0.25">
      <c r="A3545" s="22" t="s">
        <v>8</v>
      </c>
      <c r="B3545" s="18" t="str">
        <f>"146070"</f>
        <v>146070</v>
      </c>
      <c r="C3545" s="19" t="s">
        <v>3535</v>
      </c>
      <c r="D3545" s="19" t="s">
        <v>18972</v>
      </c>
      <c r="E3545" s="19" t="s">
        <v>31038</v>
      </c>
      <c r="F3545" s="19" t="s">
        <v>35987</v>
      </c>
      <c r="G3545" s="18" t="str">
        <f>"62881"</f>
        <v>62881</v>
      </c>
      <c r="H3545" s="19" t="s">
        <v>30850</v>
      </c>
      <c r="I3545" s="20">
        <v>19.614999999999998</v>
      </c>
      <c r="J3545" s="44" t="s">
        <v>8</v>
      </c>
      <c r="K3545" s="23" t="s">
        <v>8</v>
      </c>
      <c r="L3545" s="23" t="s">
        <v>8</v>
      </c>
      <c r="M3545" s="23" t="s">
        <v>8</v>
      </c>
    </row>
    <row r="3546" spans="1:13" s="21" customFormat="1" x14ac:dyDescent="0.25">
      <c r="A3546" s="22" t="s">
        <v>8</v>
      </c>
      <c r="B3546" s="18" t="str">
        <f>"146071"</f>
        <v>146071</v>
      </c>
      <c r="C3546" s="19" t="s">
        <v>3536</v>
      </c>
      <c r="D3546" s="19" t="s">
        <v>18973</v>
      </c>
      <c r="E3546" s="19" t="s">
        <v>31964</v>
      </c>
      <c r="F3546" s="19" t="s">
        <v>35987</v>
      </c>
      <c r="G3546" s="18" t="str">
        <f>"61008"</f>
        <v>61008</v>
      </c>
      <c r="H3546" s="19" t="s">
        <v>32513</v>
      </c>
      <c r="I3546" s="20">
        <v>20.055</v>
      </c>
      <c r="J3546" s="44" t="s">
        <v>8</v>
      </c>
      <c r="K3546" s="23" t="s">
        <v>8</v>
      </c>
      <c r="L3546" s="23" t="s">
        <v>8</v>
      </c>
      <c r="M3546" s="23" t="s">
        <v>8</v>
      </c>
    </row>
    <row r="3547" spans="1:13" s="21" customFormat="1" x14ac:dyDescent="0.25">
      <c r="A3547" s="22" t="s">
        <v>8</v>
      </c>
      <c r="B3547" s="18" t="str">
        <f>"146072"</f>
        <v>146072</v>
      </c>
      <c r="C3547" s="19" t="s">
        <v>3537</v>
      </c>
      <c r="D3547" s="19" t="s">
        <v>18974</v>
      </c>
      <c r="E3547" s="19" t="s">
        <v>31936</v>
      </c>
      <c r="F3547" s="19" t="s">
        <v>35987</v>
      </c>
      <c r="G3547" s="18" t="str">
        <f>"61342"</f>
        <v>61342</v>
      </c>
      <c r="H3547" s="19" t="s">
        <v>31983</v>
      </c>
      <c r="I3547" s="20">
        <v>17.288</v>
      </c>
      <c r="J3547" s="44" t="s">
        <v>8</v>
      </c>
      <c r="K3547" s="23" t="s">
        <v>8</v>
      </c>
      <c r="L3547" s="23" t="s">
        <v>8</v>
      </c>
      <c r="M3547" s="23" t="s">
        <v>8</v>
      </c>
    </row>
    <row r="3548" spans="1:13" s="21" customFormat="1" x14ac:dyDescent="0.25">
      <c r="A3548" s="22" t="s">
        <v>8</v>
      </c>
      <c r="B3548" s="18" t="str">
        <f>"146074"</f>
        <v>146074</v>
      </c>
      <c r="C3548" s="19" t="s">
        <v>3538</v>
      </c>
      <c r="D3548" s="19" t="s">
        <v>18975</v>
      </c>
      <c r="E3548" s="19" t="s">
        <v>31976</v>
      </c>
      <c r="F3548" s="19" t="s">
        <v>35987</v>
      </c>
      <c r="G3548" s="18" t="str">
        <f>"61951"</f>
        <v>61951</v>
      </c>
      <c r="H3548" s="19" t="s">
        <v>31699</v>
      </c>
      <c r="I3548" s="20">
        <v>18.065000000000001</v>
      </c>
      <c r="J3548" s="44" t="s">
        <v>8</v>
      </c>
      <c r="K3548" s="23" t="s">
        <v>8</v>
      </c>
      <c r="L3548" s="23" t="s">
        <v>8</v>
      </c>
      <c r="M3548" s="23" t="s">
        <v>8</v>
      </c>
    </row>
    <row r="3549" spans="1:13" s="21" customFormat="1" x14ac:dyDescent="0.25">
      <c r="A3549" s="22" t="s">
        <v>8</v>
      </c>
      <c r="B3549" s="18" t="str">
        <f>"146075"</f>
        <v>146075</v>
      </c>
      <c r="C3549" s="19" t="s">
        <v>3539</v>
      </c>
      <c r="D3549" s="19" t="s">
        <v>18976</v>
      </c>
      <c r="E3549" s="19" t="s">
        <v>32033</v>
      </c>
      <c r="F3549" s="19" t="s">
        <v>35987</v>
      </c>
      <c r="G3549" s="18" t="str">
        <f>"62040"</f>
        <v>62040</v>
      </c>
      <c r="H3549" s="19" t="s">
        <v>30899</v>
      </c>
      <c r="I3549" s="20">
        <v>20.312999999999999</v>
      </c>
      <c r="J3549" s="44" t="s">
        <v>8</v>
      </c>
      <c r="K3549" s="23" t="s">
        <v>8</v>
      </c>
      <c r="L3549" s="23" t="s">
        <v>8</v>
      </c>
      <c r="M3549" s="23" t="s">
        <v>8</v>
      </c>
    </row>
    <row r="3550" spans="1:13" s="21" customFormat="1" x14ac:dyDescent="0.25">
      <c r="A3550" s="22" t="s">
        <v>8</v>
      </c>
      <c r="B3550" s="18" t="str">
        <f>"146076"</f>
        <v>146076</v>
      </c>
      <c r="C3550" s="19" t="s">
        <v>3540</v>
      </c>
      <c r="D3550" s="19" t="s">
        <v>18977</v>
      </c>
      <c r="E3550" s="19" t="s">
        <v>31081</v>
      </c>
      <c r="F3550" s="19" t="s">
        <v>35987</v>
      </c>
      <c r="G3550" s="18" t="str">
        <f>"61727"</f>
        <v>61727</v>
      </c>
      <c r="H3550" s="19" t="s">
        <v>36248</v>
      </c>
      <c r="I3550" s="20">
        <v>16.006</v>
      </c>
      <c r="J3550" s="44" t="s">
        <v>8</v>
      </c>
      <c r="K3550" s="23" t="s">
        <v>8</v>
      </c>
      <c r="L3550" s="23" t="s">
        <v>8</v>
      </c>
      <c r="M3550" s="23" t="s">
        <v>8</v>
      </c>
    </row>
    <row r="3551" spans="1:13" s="21" customFormat="1" x14ac:dyDescent="0.25">
      <c r="A3551" s="22" t="s">
        <v>8</v>
      </c>
      <c r="B3551" s="18" t="str">
        <f>"146077"</f>
        <v>146077</v>
      </c>
      <c r="C3551" s="19" t="s">
        <v>3541</v>
      </c>
      <c r="D3551" s="19" t="s">
        <v>18978</v>
      </c>
      <c r="E3551" s="19" t="s">
        <v>32051</v>
      </c>
      <c r="F3551" s="19" t="s">
        <v>35987</v>
      </c>
      <c r="G3551" s="18" t="str">
        <f>"60450"</f>
        <v>60450</v>
      </c>
      <c r="H3551" s="19" t="s">
        <v>35400</v>
      </c>
      <c r="I3551" s="20">
        <v>17.821000000000002</v>
      </c>
      <c r="J3551" s="44" t="s">
        <v>8</v>
      </c>
      <c r="K3551" s="23" t="s">
        <v>8</v>
      </c>
      <c r="L3551" s="23" t="s">
        <v>8</v>
      </c>
      <c r="M3551" s="23" t="s">
        <v>8</v>
      </c>
    </row>
    <row r="3552" spans="1:13" s="21" customFormat="1" x14ac:dyDescent="0.25">
      <c r="A3552" s="22" t="s">
        <v>8</v>
      </c>
      <c r="B3552" s="18" t="str">
        <f>"146078"</f>
        <v>146078</v>
      </c>
      <c r="C3552" s="19" t="s">
        <v>3542</v>
      </c>
      <c r="D3552" s="19" t="s">
        <v>18979</v>
      </c>
      <c r="E3552" s="19" t="s">
        <v>32167</v>
      </c>
      <c r="F3552" s="19" t="s">
        <v>35987</v>
      </c>
      <c r="G3552" s="18" t="str">
        <f>"60402"</f>
        <v>60402</v>
      </c>
      <c r="H3552" s="19" t="s">
        <v>33420</v>
      </c>
      <c r="I3552" s="20">
        <v>19.981000000000002</v>
      </c>
      <c r="J3552" s="44" t="s">
        <v>8</v>
      </c>
      <c r="K3552" s="23" t="s">
        <v>8</v>
      </c>
      <c r="L3552" s="23" t="s">
        <v>8</v>
      </c>
      <c r="M3552" s="23" t="s">
        <v>8</v>
      </c>
    </row>
    <row r="3553" spans="1:13" s="21" customFormat="1" x14ac:dyDescent="0.25">
      <c r="A3553" s="22" t="s">
        <v>8</v>
      </c>
      <c r="B3553" s="18" t="str">
        <f>"146079"</f>
        <v>146079</v>
      </c>
      <c r="C3553" s="19" t="s">
        <v>3543</v>
      </c>
      <c r="D3553" s="19" t="s">
        <v>18980</v>
      </c>
      <c r="E3553" s="19" t="s">
        <v>31359</v>
      </c>
      <c r="F3553" s="19" t="s">
        <v>35987</v>
      </c>
      <c r="G3553" s="18" t="str">
        <f>"62901"</f>
        <v>62901</v>
      </c>
      <c r="H3553" s="19" t="s">
        <v>30816</v>
      </c>
      <c r="I3553" s="20">
        <v>19.260999999999999</v>
      </c>
      <c r="J3553" s="44" t="s">
        <v>8</v>
      </c>
      <c r="K3553" s="23" t="s">
        <v>8</v>
      </c>
      <c r="L3553" s="23" t="s">
        <v>8</v>
      </c>
      <c r="M3553" s="23" t="s">
        <v>8</v>
      </c>
    </row>
    <row r="3554" spans="1:13" s="21" customFormat="1" x14ac:dyDescent="0.25">
      <c r="A3554" s="22" t="s">
        <v>8</v>
      </c>
      <c r="B3554" s="18" t="str">
        <f>"146080"</f>
        <v>146080</v>
      </c>
      <c r="C3554" s="19" t="s">
        <v>3544</v>
      </c>
      <c r="D3554" s="19" t="s">
        <v>18981</v>
      </c>
      <c r="E3554" s="19" t="s">
        <v>31911</v>
      </c>
      <c r="F3554" s="19" t="s">
        <v>35987</v>
      </c>
      <c r="G3554" s="18" t="str">
        <f>"61455"</f>
        <v>61455</v>
      </c>
      <c r="H3554" s="19" t="s">
        <v>31779</v>
      </c>
      <c r="I3554" s="20">
        <v>18.03</v>
      </c>
      <c r="J3554" s="44" t="s">
        <v>8</v>
      </c>
      <c r="K3554" s="23" t="s">
        <v>8</v>
      </c>
      <c r="L3554" s="23" t="s">
        <v>8</v>
      </c>
      <c r="M3554" s="23" t="s">
        <v>8</v>
      </c>
    </row>
    <row r="3555" spans="1:13" s="21" customFormat="1" x14ac:dyDescent="0.25">
      <c r="A3555" s="22" t="s">
        <v>8</v>
      </c>
      <c r="B3555" s="18" t="str">
        <f>"146082"</f>
        <v>146082</v>
      </c>
      <c r="C3555" s="19" t="s">
        <v>3545</v>
      </c>
      <c r="D3555" s="19" t="s">
        <v>18982</v>
      </c>
      <c r="E3555" s="19" t="s">
        <v>32062</v>
      </c>
      <c r="F3555" s="19" t="s">
        <v>35987</v>
      </c>
      <c r="G3555" s="18" t="str">
        <f>"62896"</f>
        <v>62896</v>
      </c>
      <c r="H3555" s="19" t="s">
        <v>5</v>
      </c>
      <c r="I3555" s="20">
        <v>17.391999999999999</v>
      </c>
      <c r="J3555" s="44" t="s">
        <v>8</v>
      </c>
      <c r="K3555" s="23" t="s">
        <v>8</v>
      </c>
      <c r="L3555" s="23" t="s">
        <v>8</v>
      </c>
      <c r="M3555" s="23" t="s">
        <v>8</v>
      </c>
    </row>
    <row r="3556" spans="1:13" s="21" customFormat="1" x14ac:dyDescent="0.25">
      <c r="A3556" s="22" t="s">
        <v>8</v>
      </c>
      <c r="B3556" s="18" t="str">
        <f>"146083"</f>
        <v>146083</v>
      </c>
      <c r="C3556" s="19" t="s">
        <v>3546</v>
      </c>
      <c r="D3556" s="19" t="s">
        <v>18983</v>
      </c>
      <c r="E3556" s="19" t="s">
        <v>31998</v>
      </c>
      <c r="F3556" s="19" t="s">
        <v>35987</v>
      </c>
      <c r="G3556" s="18" t="str">
        <f>"61356"</f>
        <v>61356</v>
      </c>
      <c r="H3556" s="19" t="s">
        <v>36228</v>
      </c>
      <c r="I3556" s="20">
        <v>14.616</v>
      </c>
      <c r="J3556" s="44" t="s">
        <v>8</v>
      </c>
      <c r="K3556" s="23" t="s">
        <v>8</v>
      </c>
      <c r="L3556" s="23" t="s">
        <v>8</v>
      </c>
      <c r="M3556" s="23" t="s">
        <v>8</v>
      </c>
    </row>
    <row r="3557" spans="1:13" s="21" customFormat="1" x14ac:dyDescent="0.25">
      <c r="A3557" s="22" t="s">
        <v>8</v>
      </c>
      <c r="B3557" s="18" t="str">
        <f>"146084"</f>
        <v>146084</v>
      </c>
      <c r="C3557" s="19" t="s">
        <v>3547</v>
      </c>
      <c r="D3557" s="19" t="s">
        <v>18984</v>
      </c>
      <c r="E3557" s="19" t="s">
        <v>31351</v>
      </c>
      <c r="F3557" s="19" t="s">
        <v>35987</v>
      </c>
      <c r="G3557" s="18" t="str">
        <f>"61270"</f>
        <v>61270</v>
      </c>
      <c r="H3557" s="19" t="s">
        <v>36235</v>
      </c>
      <c r="I3557" s="20">
        <v>18.843</v>
      </c>
      <c r="J3557" s="44" t="s">
        <v>8</v>
      </c>
      <c r="K3557" s="23" t="s">
        <v>8</v>
      </c>
      <c r="L3557" s="23" t="s">
        <v>8</v>
      </c>
      <c r="M3557" s="23" t="s">
        <v>8</v>
      </c>
    </row>
    <row r="3558" spans="1:13" s="21" customFormat="1" x14ac:dyDescent="0.25">
      <c r="A3558" s="22" t="s">
        <v>8</v>
      </c>
      <c r="B3558" s="18" t="str">
        <f>"146085"</f>
        <v>146085</v>
      </c>
      <c r="C3558" s="19" t="s">
        <v>3548</v>
      </c>
      <c r="D3558" s="19" t="s">
        <v>18985</v>
      </c>
      <c r="E3558" s="19" t="s">
        <v>32168</v>
      </c>
      <c r="F3558" s="19" t="s">
        <v>35987</v>
      </c>
      <c r="G3558" s="18" t="str">
        <f>"60927"</f>
        <v>60927</v>
      </c>
      <c r="H3558" s="19" t="s">
        <v>36238</v>
      </c>
      <c r="I3558" s="20">
        <v>20.978999999999999</v>
      </c>
      <c r="J3558" s="44" t="s">
        <v>8</v>
      </c>
      <c r="K3558" s="23" t="s">
        <v>8</v>
      </c>
      <c r="L3558" s="23" t="s">
        <v>8</v>
      </c>
      <c r="M3558" s="23" t="s">
        <v>8</v>
      </c>
    </row>
    <row r="3559" spans="1:13" s="21" customFormat="1" x14ac:dyDescent="0.25">
      <c r="A3559" s="22" t="s">
        <v>8</v>
      </c>
      <c r="B3559" s="18" t="str">
        <f>"146086"</f>
        <v>146086</v>
      </c>
      <c r="C3559" s="19" t="s">
        <v>3549</v>
      </c>
      <c r="D3559" s="19" t="s">
        <v>18986</v>
      </c>
      <c r="E3559" s="19" t="s">
        <v>32169</v>
      </c>
      <c r="F3559" s="19" t="s">
        <v>35987</v>
      </c>
      <c r="G3559" s="18" t="str">
        <f>"61953"</f>
        <v>61953</v>
      </c>
      <c r="H3559" s="19" t="s">
        <v>30966</v>
      </c>
      <c r="I3559" s="20">
        <v>18.861000000000001</v>
      </c>
      <c r="J3559" s="44" t="s">
        <v>8</v>
      </c>
      <c r="K3559" s="23" t="s">
        <v>8</v>
      </c>
      <c r="L3559" s="23" t="s">
        <v>8</v>
      </c>
      <c r="M3559" s="23" t="s">
        <v>8</v>
      </c>
    </row>
    <row r="3560" spans="1:13" s="21" customFormat="1" x14ac:dyDescent="0.25">
      <c r="A3560" s="22" t="s">
        <v>8</v>
      </c>
      <c r="B3560" s="18" t="str">
        <f>"146088"</f>
        <v>146088</v>
      </c>
      <c r="C3560" s="19" t="s">
        <v>3550</v>
      </c>
      <c r="D3560" s="19" t="s">
        <v>18987</v>
      </c>
      <c r="E3560" s="19" t="s">
        <v>31024</v>
      </c>
      <c r="F3560" s="19" t="s">
        <v>35987</v>
      </c>
      <c r="G3560" s="18" t="str">
        <f>"62812"</f>
        <v>62812</v>
      </c>
      <c r="H3560" s="19" t="s">
        <v>5</v>
      </c>
      <c r="I3560" s="20">
        <v>23.02</v>
      </c>
      <c r="J3560" s="44" t="s">
        <v>8</v>
      </c>
      <c r="K3560" s="23" t="s">
        <v>8</v>
      </c>
      <c r="L3560" s="23" t="s">
        <v>8</v>
      </c>
      <c r="M3560" s="23" t="s">
        <v>8</v>
      </c>
    </row>
    <row r="3561" spans="1:13" s="21" customFormat="1" x14ac:dyDescent="0.25">
      <c r="A3561" s="22" t="s">
        <v>8</v>
      </c>
      <c r="B3561" s="18" t="str">
        <f>"146089"</f>
        <v>146089</v>
      </c>
      <c r="C3561" s="19" t="s">
        <v>3551</v>
      </c>
      <c r="D3561" s="19" t="s">
        <v>18988</v>
      </c>
      <c r="E3561" s="19" t="s">
        <v>32108</v>
      </c>
      <c r="F3561" s="19" t="s">
        <v>35987</v>
      </c>
      <c r="G3561" s="18" t="str">
        <f>"61740"</f>
        <v>61740</v>
      </c>
      <c r="H3561" s="19" t="s">
        <v>33740</v>
      </c>
      <c r="I3561" s="20">
        <v>17.190999999999999</v>
      </c>
      <c r="J3561" s="44" t="s">
        <v>8</v>
      </c>
      <c r="K3561" s="23" t="s">
        <v>8</v>
      </c>
      <c r="L3561" s="23" t="s">
        <v>8</v>
      </c>
      <c r="M3561" s="23" t="s">
        <v>8</v>
      </c>
    </row>
    <row r="3562" spans="1:13" s="21" customFormat="1" x14ac:dyDescent="0.25">
      <c r="A3562" s="22" t="s">
        <v>8</v>
      </c>
      <c r="B3562" s="18" t="str">
        <f>"146090"</f>
        <v>146090</v>
      </c>
      <c r="C3562" s="19" t="s">
        <v>3552</v>
      </c>
      <c r="D3562" s="19" t="s">
        <v>18989</v>
      </c>
      <c r="E3562" s="19" t="s">
        <v>30981</v>
      </c>
      <c r="F3562" s="19" t="s">
        <v>35987</v>
      </c>
      <c r="G3562" s="18" t="str">
        <f>"61832"</f>
        <v>61832</v>
      </c>
      <c r="H3562" s="19" t="s">
        <v>34509</v>
      </c>
      <c r="I3562" s="20">
        <v>17.774999999999999</v>
      </c>
      <c r="J3562" s="44" t="s">
        <v>8</v>
      </c>
      <c r="K3562" s="23" t="s">
        <v>8</v>
      </c>
      <c r="L3562" s="23" t="s">
        <v>8</v>
      </c>
      <c r="M3562" s="23" t="s">
        <v>8</v>
      </c>
    </row>
    <row r="3563" spans="1:13" s="21" customFormat="1" x14ac:dyDescent="0.25">
      <c r="A3563" s="22" t="s">
        <v>8</v>
      </c>
      <c r="B3563" s="18" t="str">
        <f>"146091"</f>
        <v>146091</v>
      </c>
      <c r="C3563" s="19" t="s">
        <v>3553</v>
      </c>
      <c r="D3563" s="19" t="s">
        <v>18990</v>
      </c>
      <c r="E3563" s="19" t="s">
        <v>31914</v>
      </c>
      <c r="F3563" s="19" t="s">
        <v>35987</v>
      </c>
      <c r="G3563" s="18" t="str">
        <f>"61354"</f>
        <v>61354</v>
      </c>
      <c r="H3563" s="19" t="s">
        <v>31983</v>
      </c>
      <c r="I3563" s="20">
        <v>21.094999999999999</v>
      </c>
      <c r="J3563" s="44" t="s">
        <v>8</v>
      </c>
      <c r="K3563" s="23" t="s">
        <v>8</v>
      </c>
      <c r="L3563" s="23" t="s">
        <v>8</v>
      </c>
      <c r="M3563" s="23" t="s">
        <v>8</v>
      </c>
    </row>
    <row r="3564" spans="1:13" s="21" customFormat="1" x14ac:dyDescent="0.25">
      <c r="A3564" s="22" t="s">
        <v>8</v>
      </c>
      <c r="B3564" s="18" t="str">
        <f>"146092"</f>
        <v>146092</v>
      </c>
      <c r="C3564" s="19" t="s">
        <v>3554</v>
      </c>
      <c r="D3564" s="19" t="s">
        <v>18991</v>
      </c>
      <c r="E3564" s="19" t="s">
        <v>32152</v>
      </c>
      <c r="F3564" s="19" t="s">
        <v>35987</v>
      </c>
      <c r="G3564" s="18" t="str">
        <f>"62948"</f>
        <v>62948</v>
      </c>
      <c r="H3564" s="19" t="s">
        <v>35514</v>
      </c>
      <c r="I3564" s="20">
        <v>17.859000000000002</v>
      </c>
      <c r="J3564" s="44" t="s">
        <v>8</v>
      </c>
      <c r="K3564" s="23" t="s">
        <v>8</v>
      </c>
      <c r="L3564" s="23" t="s">
        <v>8</v>
      </c>
      <c r="M3564" s="23" t="s">
        <v>8</v>
      </c>
    </row>
    <row r="3565" spans="1:13" s="21" customFormat="1" x14ac:dyDescent="0.25">
      <c r="A3565" s="22" t="s">
        <v>8</v>
      </c>
      <c r="B3565" s="18" t="str">
        <f>"146093"</f>
        <v>146093</v>
      </c>
      <c r="C3565" s="19" t="s">
        <v>3555</v>
      </c>
      <c r="D3565" s="19" t="s">
        <v>18992</v>
      </c>
      <c r="E3565" s="19" t="s">
        <v>32087</v>
      </c>
      <c r="F3565" s="19" t="s">
        <v>35987</v>
      </c>
      <c r="G3565" s="18" t="str">
        <f>"60525"</f>
        <v>60525</v>
      </c>
      <c r="H3565" s="19" t="s">
        <v>33420</v>
      </c>
      <c r="I3565" s="20">
        <v>17.398</v>
      </c>
      <c r="J3565" s="44" t="s">
        <v>8</v>
      </c>
      <c r="K3565" s="23" t="s">
        <v>8</v>
      </c>
      <c r="L3565" s="23" t="s">
        <v>8</v>
      </c>
      <c r="M3565" s="23" t="s">
        <v>8</v>
      </c>
    </row>
    <row r="3566" spans="1:13" s="21" customFormat="1" x14ac:dyDescent="0.25">
      <c r="A3566" s="22" t="s">
        <v>8</v>
      </c>
      <c r="B3566" s="18" t="str">
        <f>"146094"</f>
        <v>146094</v>
      </c>
      <c r="C3566" s="19" t="s">
        <v>3556</v>
      </c>
      <c r="D3566" s="19" t="s">
        <v>18993</v>
      </c>
      <c r="E3566" s="19" t="s">
        <v>32170</v>
      </c>
      <c r="F3566" s="19" t="s">
        <v>35987</v>
      </c>
      <c r="G3566" s="18" t="str">
        <f>"60521"</f>
        <v>60521</v>
      </c>
      <c r="H3566" s="19" t="s">
        <v>36231</v>
      </c>
      <c r="I3566" s="20">
        <v>19.832000000000001</v>
      </c>
      <c r="J3566" s="44" t="s">
        <v>8</v>
      </c>
      <c r="K3566" s="23" t="s">
        <v>8</v>
      </c>
      <c r="L3566" s="23" t="s">
        <v>8</v>
      </c>
      <c r="M3566" s="23" t="s">
        <v>8</v>
      </c>
    </row>
    <row r="3567" spans="1:13" s="21" customFormat="1" x14ac:dyDescent="0.25">
      <c r="A3567" s="22" t="s">
        <v>8</v>
      </c>
      <c r="B3567" s="18" t="str">
        <f>"146095"</f>
        <v>146095</v>
      </c>
      <c r="C3567" s="19" t="s">
        <v>3557</v>
      </c>
      <c r="D3567" s="19" t="s">
        <v>18994</v>
      </c>
      <c r="E3567" s="19" t="s">
        <v>31913</v>
      </c>
      <c r="F3567" s="19" t="s">
        <v>35987</v>
      </c>
      <c r="G3567" s="18" t="str">
        <f>"61764"</f>
        <v>61764</v>
      </c>
      <c r="H3567" s="19" t="s">
        <v>33740</v>
      </c>
      <c r="I3567" s="20">
        <v>15.709</v>
      </c>
      <c r="J3567" s="44" t="s">
        <v>8</v>
      </c>
      <c r="K3567" s="23" t="s">
        <v>8</v>
      </c>
      <c r="L3567" s="23" t="s">
        <v>8</v>
      </c>
      <c r="M3567" s="23" t="s">
        <v>8</v>
      </c>
    </row>
    <row r="3568" spans="1:13" s="21" customFormat="1" x14ac:dyDescent="0.25">
      <c r="A3568" s="22" t="s">
        <v>8</v>
      </c>
      <c r="B3568" s="18" t="str">
        <f>"146096"</f>
        <v>146096</v>
      </c>
      <c r="C3568" s="19" t="s">
        <v>3558</v>
      </c>
      <c r="D3568" s="19" t="s">
        <v>18995</v>
      </c>
      <c r="E3568" s="19" t="s">
        <v>32171</v>
      </c>
      <c r="F3568" s="19" t="s">
        <v>35987</v>
      </c>
      <c r="G3568" s="18" t="str">
        <f>"62449"</f>
        <v>62449</v>
      </c>
      <c r="H3568" s="19" t="s">
        <v>31759</v>
      </c>
      <c r="I3568" s="20">
        <v>17.995999999999999</v>
      </c>
      <c r="J3568" s="44" t="s">
        <v>8</v>
      </c>
      <c r="K3568" s="23" t="s">
        <v>8</v>
      </c>
      <c r="L3568" s="23" t="s">
        <v>8</v>
      </c>
      <c r="M3568" s="23" t="s">
        <v>8</v>
      </c>
    </row>
    <row r="3569" spans="1:13" s="21" customFormat="1" x14ac:dyDescent="0.25">
      <c r="A3569" s="22" t="s">
        <v>8</v>
      </c>
      <c r="B3569" s="18" t="str">
        <f>"146097"</f>
        <v>146097</v>
      </c>
      <c r="C3569" s="19" t="s">
        <v>3559</v>
      </c>
      <c r="D3569" s="19" t="s">
        <v>18996</v>
      </c>
      <c r="E3569" s="19" t="s">
        <v>31965</v>
      </c>
      <c r="F3569" s="19" t="s">
        <v>35987</v>
      </c>
      <c r="G3569" s="18" t="str">
        <f>"61738"</f>
        <v>61738</v>
      </c>
      <c r="H3569" s="19" t="s">
        <v>36237</v>
      </c>
      <c r="I3569" s="20">
        <v>18.829000000000001</v>
      </c>
      <c r="J3569" s="44" t="s">
        <v>8</v>
      </c>
      <c r="K3569" s="23" t="s">
        <v>8</v>
      </c>
      <c r="L3569" s="23" t="s">
        <v>8</v>
      </c>
      <c r="M3569" s="23" t="s">
        <v>8</v>
      </c>
    </row>
    <row r="3570" spans="1:13" s="21" customFormat="1" x14ac:dyDescent="0.25">
      <c r="A3570" s="22" t="s">
        <v>8</v>
      </c>
      <c r="B3570" s="18" t="str">
        <f>"146098"</f>
        <v>146098</v>
      </c>
      <c r="C3570" s="19" t="s">
        <v>3560</v>
      </c>
      <c r="D3570" s="19" t="s">
        <v>18997</v>
      </c>
      <c r="E3570" s="19" t="s">
        <v>30954</v>
      </c>
      <c r="F3570" s="19" t="s">
        <v>35987</v>
      </c>
      <c r="G3570" s="18" t="str">
        <f>"61604"</f>
        <v>61604</v>
      </c>
      <c r="H3570" s="19" t="s">
        <v>30954</v>
      </c>
      <c r="I3570" s="20">
        <v>19.248999999999999</v>
      </c>
      <c r="J3570" s="44" t="s">
        <v>8</v>
      </c>
      <c r="K3570" s="23" t="s">
        <v>8</v>
      </c>
      <c r="L3570" s="23" t="s">
        <v>8</v>
      </c>
      <c r="M3570" s="23" t="s">
        <v>8</v>
      </c>
    </row>
    <row r="3571" spans="1:13" s="21" customFormat="1" x14ac:dyDescent="0.25">
      <c r="A3571" s="22" t="s">
        <v>8</v>
      </c>
      <c r="B3571" s="18" t="str">
        <f>"146099"</f>
        <v>146099</v>
      </c>
      <c r="C3571" s="19" t="s">
        <v>3561</v>
      </c>
      <c r="D3571" s="19" t="s">
        <v>18998</v>
      </c>
      <c r="E3571" s="19" t="s">
        <v>31981</v>
      </c>
      <c r="F3571" s="19" t="s">
        <v>35987</v>
      </c>
      <c r="G3571" s="18" t="str">
        <f>"61201"</f>
        <v>61201</v>
      </c>
      <c r="H3571" s="19" t="s">
        <v>31981</v>
      </c>
      <c r="I3571" s="20">
        <v>17.321999999999999</v>
      </c>
      <c r="J3571" s="44" t="s">
        <v>8</v>
      </c>
      <c r="K3571" s="23" t="s">
        <v>8</v>
      </c>
      <c r="L3571" s="23" t="s">
        <v>8</v>
      </c>
      <c r="M3571" s="23" t="s">
        <v>8</v>
      </c>
    </row>
    <row r="3572" spans="1:13" s="21" customFormat="1" x14ac:dyDescent="0.25">
      <c r="A3572" s="22" t="s">
        <v>8</v>
      </c>
      <c r="B3572" s="18" t="str">
        <f>"146100"</f>
        <v>146100</v>
      </c>
      <c r="C3572" s="19" t="s">
        <v>3562</v>
      </c>
      <c r="D3572" s="19" t="s">
        <v>18999</v>
      </c>
      <c r="E3572" s="19" t="s">
        <v>32172</v>
      </c>
      <c r="F3572" s="19" t="s">
        <v>35987</v>
      </c>
      <c r="G3572" s="18" t="str">
        <f>"62691"</f>
        <v>62691</v>
      </c>
      <c r="H3572" s="19" t="s">
        <v>36246</v>
      </c>
      <c r="I3572" s="20">
        <v>20.957999999999998</v>
      </c>
      <c r="J3572" s="44" t="s">
        <v>8</v>
      </c>
      <c r="K3572" s="23" t="s">
        <v>8</v>
      </c>
      <c r="L3572" s="23" t="s">
        <v>8</v>
      </c>
      <c r="M3572" s="23" t="s">
        <v>8</v>
      </c>
    </row>
    <row r="3573" spans="1:13" s="21" customFormat="1" x14ac:dyDescent="0.25">
      <c r="A3573" s="22" t="s">
        <v>8</v>
      </c>
      <c r="B3573" s="18" t="str">
        <f>"146101"</f>
        <v>146101</v>
      </c>
      <c r="C3573" s="19" t="s">
        <v>3563</v>
      </c>
      <c r="D3573" s="19" t="s">
        <v>19000</v>
      </c>
      <c r="E3573" s="19" t="s">
        <v>31935</v>
      </c>
      <c r="F3573" s="19" t="s">
        <v>35987</v>
      </c>
      <c r="G3573" s="18" t="str">
        <f>"61103"</f>
        <v>61103</v>
      </c>
      <c r="H3573" s="19" t="s">
        <v>36233</v>
      </c>
      <c r="I3573" s="20">
        <v>18.742999999999999</v>
      </c>
      <c r="J3573" s="44" t="s">
        <v>8</v>
      </c>
      <c r="K3573" s="23" t="s">
        <v>8</v>
      </c>
      <c r="L3573" s="23" t="s">
        <v>8</v>
      </c>
      <c r="M3573" s="23" t="s">
        <v>8</v>
      </c>
    </row>
    <row r="3574" spans="1:13" s="21" customFormat="1" x14ac:dyDescent="0.25">
      <c r="A3574" s="22" t="s">
        <v>8</v>
      </c>
      <c r="B3574" s="18" t="str">
        <f>"146102"</f>
        <v>146102</v>
      </c>
      <c r="C3574" s="19" t="s">
        <v>3564</v>
      </c>
      <c r="D3574" s="19" t="s">
        <v>19001</v>
      </c>
      <c r="E3574" s="19" t="s">
        <v>31947</v>
      </c>
      <c r="F3574" s="19" t="s">
        <v>35987</v>
      </c>
      <c r="G3574" s="18" t="str">
        <f>"61032"</f>
        <v>61032</v>
      </c>
      <c r="H3574" s="19" t="s">
        <v>33297</v>
      </c>
      <c r="I3574" s="20">
        <v>20.635999999999999</v>
      </c>
      <c r="J3574" s="44" t="s">
        <v>8</v>
      </c>
      <c r="K3574" s="23" t="s">
        <v>8</v>
      </c>
      <c r="L3574" s="23" t="s">
        <v>8</v>
      </c>
      <c r="M3574" s="23" t="s">
        <v>8</v>
      </c>
    </row>
    <row r="3575" spans="1:13" s="21" customFormat="1" x14ac:dyDescent="0.25">
      <c r="A3575" s="22" t="s">
        <v>8</v>
      </c>
      <c r="B3575" s="18" t="str">
        <f>"146103"</f>
        <v>146103</v>
      </c>
      <c r="C3575" s="19" t="s">
        <v>3565</v>
      </c>
      <c r="D3575" s="19" t="s">
        <v>19002</v>
      </c>
      <c r="E3575" s="19" t="s">
        <v>32173</v>
      </c>
      <c r="F3575" s="19" t="s">
        <v>35987</v>
      </c>
      <c r="G3575" s="18" t="str">
        <f>"61480"</f>
        <v>61480</v>
      </c>
      <c r="H3575" s="19" t="s">
        <v>32699</v>
      </c>
      <c r="I3575" s="20">
        <v>16.329999999999998</v>
      </c>
      <c r="J3575" s="44" t="s">
        <v>8</v>
      </c>
      <c r="K3575" s="23" t="s">
        <v>8</v>
      </c>
      <c r="L3575" s="23" t="s">
        <v>8</v>
      </c>
      <c r="M3575" s="23" t="s">
        <v>8</v>
      </c>
    </row>
    <row r="3576" spans="1:13" s="21" customFormat="1" x14ac:dyDescent="0.25">
      <c r="A3576" s="22" t="s">
        <v>8</v>
      </c>
      <c r="B3576" s="18" t="str">
        <f>"146104"</f>
        <v>146104</v>
      </c>
      <c r="C3576" s="19" t="s">
        <v>3566</v>
      </c>
      <c r="D3576" s="19" t="s">
        <v>19003</v>
      </c>
      <c r="E3576" s="19" t="s">
        <v>32174</v>
      </c>
      <c r="F3576" s="19" t="s">
        <v>35987</v>
      </c>
      <c r="G3576" s="18" t="str">
        <f>"61842"</f>
        <v>61842</v>
      </c>
      <c r="H3576" s="19" t="s">
        <v>36248</v>
      </c>
      <c r="I3576" s="20">
        <v>18.151</v>
      </c>
      <c r="J3576" s="44" t="s">
        <v>8</v>
      </c>
      <c r="K3576" s="23" t="s">
        <v>8</v>
      </c>
      <c r="L3576" s="23" t="s">
        <v>8</v>
      </c>
      <c r="M3576" s="23" t="s">
        <v>8</v>
      </c>
    </row>
    <row r="3577" spans="1:13" s="21" customFormat="1" x14ac:dyDescent="0.25">
      <c r="A3577" s="22" t="s">
        <v>8</v>
      </c>
      <c r="B3577" s="18" t="str">
        <f>"146105"</f>
        <v>146105</v>
      </c>
      <c r="C3577" s="19" t="s">
        <v>3567</v>
      </c>
      <c r="D3577" s="19" t="s">
        <v>19004</v>
      </c>
      <c r="E3577" s="19" t="s">
        <v>31954</v>
      </c>
      <c r="F3577" s="19" t="s">
        <v>35987</v>
      </c>
      <c r="G3577" s="18" t="str">
        <f>"60115"</f>
        <v>60115</v>
      </c>
      <c r="H3577" s="19" t="s">
        <v>31954</v>
      </c>
      <c r="I3577" s="20">
        <v>18.256</v>
      </c>
      <c r="J3577" s="44" t="s">
        <v>8</v>
      </c>
      <c r="K3577" s="23" t="s">
        <v>8</v>
      </c>
      <c r="L3577" s="23" t="s">
        <v>8</v>
      </c>
      <c r="M3577" s="23" t="s">
        <v>8</v>
      </c>
    </row>
    <row r="3578" spans="1:13" s="21" customFormat="1" x14ac:dyDescent="0.25">
      <c r="A3578" s="22" t="s">
        <v>8</v>
      </c>
      <c r="B3578" s="18" t="str">
        <f>"146106"</f>
        <v>146106</v>
      </c>
      <c r="C3578" s="19" t="s">
        <v>3568</v>
      </c>
      <c r="D3578" s="19" t="s">
        <v>19005</v>
      </c>
      <c r="E3578" s="19" t="s">
        <v>32175</v>
      </c>
      <c r="F3578" s="19" t="s">
        <v>35987</v>
      </c>
      <c r="G3578" s="18" t="str">
        <f>"62694"</f>
        <v>62694</v>
      </c>
      <c r="H3578" s="19" t="s">
        <v>36083</v>
      </c>
      <c r="I3578" s="20">
        <v>16.652000000000001</v>
      </c>
      <c r="J3578" s="44" t="s">
        <v>8</v>
      </c>
      <c r="K3578" s="23" t="s">
        <v>8</v>
      </c>
      <c r="L3578" s="23" t="s">
        <v>8</v>
      </c>
      <c r="M3578" s="23" t="s">
        <v>8</v>
      </c>
    </row>
    <row r="3579" spans="1:13" s="21" customFormat="1" x14ac:dyDescent="0.25">
      <c r="A3579" s="22" t="s">
        <v>8</v>
      </c>
      <c r="B3579" s="18" t="str">
        <f>"146107"</f>
        <v>146107</v>
      </c>
      <c r="C3579" s="19" t="s">
        <v>3569</v>
      </c>
      <c r="D3579" s="19" t="s">
        <v>19006</v>
      </c>
      <c r="E3579" s="19" t="s">
        <v>31957</v>
      </c>
      <c r="F3579" s="19" t="s">
        <v>35987</v>
      </c>
      <c r="G3579" s="18" t="str">
        <f>"60026"</f>
        <v>60026</v>
      </c>
      <c r="H3579" s="19" t="s">
        <v>33420</v>
      </c>
      <c r="I3579" s="20">
        <v>19.465</v>
      </c>
      <c r="J3579" s="44" t="s">
        <v>8</v>
      </c>
      <c r="K3579" s="23" t="s">
        <v>8</v>
      </c>
      <c r="L3579" s="23" t="s">
        <v>8</v>
      </c>
      <c r="M3579" s="23" t="s">
        <v>8</v>
      </c>
    </row>
    <row r="3580" spans="1:13" s="21" customFormat="1" x14ac:dyDescent="0.25">
      <c r="A3580" s="22" t="s">
        <v>8</v>
      </c>
      <c r="B3580" s="18" t="str">
        <f>"146108"</f>
        <v>146108</v>
      </c>
      <c r="C3580" s="19" t="s">
        <v>3570</v>
      </c>
      <c r="D3580" s="19" t="s">
        <v>19007</v>
      </c>
      <c r="E3580" s="19" t="s">
        <v>30954</v>
      </c>
      <c r="F3580" s="19" t="s">
        <v>35987</v>
      </c>
      <c r="G3580" s="18" t="str">
        <f>"61615"</f>
        <v>61615</v>
      </c>
      <c r="H3580" s="19" t="s">
        <v>30954</v>
      </c>
      <c r="I3580" s="20">
        <v>21.513000000000002</v>
      </c>
      <c r="J3580" s="44" t="s">
        <v>8</v>
      </c>
      <c r="K3580" s="23" t="s">
        <v>8</v>
      </c>
      <c r="L3580" s="23" t="s">
        <v>8</v>
      </c>
      <c r="M3580" s="23" t="s">
        <v>8</v>
      </c>
    </row>
    <row r="3581" spans="1:13" s="21" customFormat="1" x14ac:dyDescent="0.25">
      <c r="A3581" s="22" t="s">
        <v>8</v>
      </c>
      <c r="B3581" s="18" t="str">
        <f>"146109"</f>
        <v>146109</v>
      </c>
      <c r="C3581" s="19" t="s">
        <v>3571</v>
      </c>
      <c r="D3581" s="19" t="s">
        <v>19008</v>
      </c>
      <c r="E3581" s="19" t="s">
        <v>32176</v>
      </c>
      <c r="F3581" s="19" t="s">
        <v>35987</v>
      </c>
      <c r="G3581" s="18" t="str">
        <f>"61726"</f>
        <v>61726</v>
      </c>
      <c r="H3581" s="19" t="s">
        <v>35924</v>
      </c>
      <c r="I3581" s="20">
        <v>17.579999999999998</v>
      </c>
      <c r="J3581" s="44" t="s">
        <v>8</v>
      </c>
      <c r="K3581" s="23" t="s">
        <v>8</v>
      </c>
      <c r="L3581" s="23" t="s">
        <v>8</v>
      </c>
      <c r="M3581" s="23" t="s">
        <v>8</v>
      </c>
    </row>
    <row r="3582" spans="1:13" s="21" customFormat="1" x14ac:dyDescent="0.25">
      <c r="A3582" s="22" t="s">
        <v>8</v>
      </c>
      <c r="B3582" s="18" t="str">
        <f>"146110"</f>
        <v>146110</v>
      </c>
      <c r="C3582" s="19" t="s">
        <v>3572</v>
      </c>
      <c r="D3582" s="19" t="s">
        <v>19009</v>
      </c>
      <c r="E3582" s="19" t="s">
        <v>32119</v>
      </c>
      <c r="F3582" s="19" t="s">
        <v>35987</v>
      </c>
      <c r="G3582" s="18" t="str">
        <f>"60467"</f>
        <v>60467</v>
      </c>
      <c r="H3582" s="19" t="s">
        <v>33420</v>
      </c>
      <c r="I3582" s="20">
        <v>20.295999999999999</v>
      </c>
      <c r="J3582" s="44" t="s">
        <v>8</v>
      </c>
      <c r="K3582" s="23" t="s">
        <v>8</v>
      </c>
      <c r="L3582" s="23" t="s">
        <v>8</v>
      </c>
      <c r="M3582" s="23" t="s">
        <v>8</v>
      </c>
    </row>
    <row r="3583" spans="1:13" s="21" customFormat="1" x14ac:dyDescent="0.25">
      <c r="A3583" s="22" t="s">
        <v>8</v>
      </c>
      <c r="B3583" s="18" t="str">
        <f>"146111"</f>
        <v>146111</v>
      </c>
      <c r="C3583" s="19" t="s">
        <v>3573</v>
      </c>
      <c r="D3583" s="19" t="s">
        <v>19010</v>
      </c>
      <c r="E3583" s="19" t="s">
        <v>32177</v>
      </c>
      <c r="F3583" s="19" t="s">
        <v>35987</v>
      </c>
      <c r="G3583" s="18" t="str">
        <f>"62339"</f>
        <v>62339</v>
      </c>
      <c r="H3583" s="19" t="s">
        <v>33467</v>
      </c>
      <c r="I3583" s="20">
        <v>20.975000000000001</v>
      </c>
      <c r="J3583" s="44" t="s">
        <v>8</v>
      </c>
      <c r="K3583" s="23" t="s">
        <v>8</v>
      </c>
      <c r="L3583" s="23" t="s">
        <v>8</v>
      </c>
      <c r="M3583" s="23" t="s">
        <v>8</v>
      </c>
    </row>
    <row r="3584" spans="1:13" s="21" customFormat="1" x14ac:dyDescent="0.25">
      <c r="A3584" s="22" t="s">
        <v>8</v>
      </c>
      <c r="B3584" s="18" t="str">
        <f>"146112"</f>
        <v>146112</v>
      </c>
      <c r="C3584" s="19" t="s">
        <v>3574</v>
      </c>
      <c r="D3584" s="19" t="s">
        <v>19011</v>
      </c>
      <c r="E3584" s="19" t="s">
        <v>32178</v>
      </c>
      <c r="F3584" s="19" t="s">
        <v>35987</v>
      </c>
      <c r="G3584" s="18" t="str">
        <f>"60915"</f>
        <v>60915</v>
      </c>
      <c r="H3584" s="19" t="s">
        <v>31924</v>
      </c>
      <c r="I3584" s="20">
        <v>19.542999999999999</v>
      </c>
      <c r="J3584" s="44" t="s">
        <v>8</v>
      </c>
      <c r="K3584" s="23" t="s">
        <v>8</v>
      </c>
      <c r="L3584" s="23" t="s">
        <v>8</v>
      </c>
      <c r="M3584" s="23" t="s">
        <v>8</v>
      </c>
    </row>
    <row r="3585" spans="1:13" s="21" customFormat="1" x14ac:dyDescent="0.25">
      <c r="A3585" s="22" t="s">
        <v>8</v>
      </c>
      <c r="B3585" s="18" t="str">
        <f>"146113"</f>
        <v>146113</v>
      </c>
      <c r="C3585" s="19" t="s">
        <v>3575</v>
      </c>
      <c r="D3585" s="19" t="s">
        <v>19012</v>
      </c>
      <c r="E3585" s="19" t="s">
        <v>32179</v>
      </c>
      <c r="F3585" s="19" t="s">
        <v>35987</v>
      </c>
      <c r="G3585" s="18" t="str">
        <f>"62428"</f>
        <v>62428</v>
      </c>
      <c r="H3585" s="19" t="s">
        <v>32766</v>
      </c>
      <c r="I3585" s="20">
        <v>20.436</v>
      </c>
      <c r="J3585" s="44" t="s">
        <v>8</v>
      </c>
      <c r="K3585" s="23" t="s">
        <v>8</v>
      </c>
      <c r="L3585" s="23" t="s">
        <v>8</v>
      </c>
      <c r="M3585" s="23" t="s">
        <v>8</v>
      </c>
    </row>
    <row r="3586" spans="1:13" s="21" customFormat="1" x14ac:dyDescent="0.25">
      <c r="A3586" s="22" t="s">
        <v>8</v>
      </c>
      <c r="B3586" s="18" t="str">
        <f>"146114"</f>
        <v>146114</v>
      </c>
      <c r="C3586" s="19" t="s">
        <v>3576</v>
      </c>
      <c r="D3586" s="19" t="s">
        <v>19013</v>
      </c>
      <c r="E3586" s="19" t="s">
        <v>32180</v>
      </c>
      <c r="F3586" s="19" t="s">
        <v>35987</v>
      </c>
      <c r="G3586" s="18" t="str">
        <f>"61048"</f>
        <v>61048</v>
      </c>
      <c r="H3586" s="19" t="s">
        <v>33297</v>
      </c>
      <c r="I3586" s="20">
        <v>21.91</v>
      </c>
      <c r="J3586" s="44" t="s">
        <v>8</v>
      </c>
      <c r="K3586" s="23" t="s">
        <v>8</v>
      </c>
      <c r="L3586" s="23" t="s">
        <v>8</v>
      </c>
      <c r="M3586" s="23" t="s">
        <v>8</v>
      </c>
    </row>
    <row r="3587" spans="1:13" s="21" customFormat="1" x14ac:dyDescent="0.25">
      <c r="A3587" s="22" t="s">
        <v>8</v>
      </c>
      <c r="B3587" s="18" t="str">
        <f>"146115"</f>
        <v>146115</v>
      </c>
      <c r="C3587" s="19" t="s">
        <v>3577</v>
      </c>
      <c r="D3587" s="19" t="s">
        <v>19014</v>
      </c>
      <c r="E3587" s="19" t="s">
        <v>32181</v>
      </c>
      <c r="F3587" s="19" t="s">
        <v>35987</v>
      </c>
      <c r="G3587" s="18" t="str">
        <f>"62264"</f>
        <v>62264</v>
      </c>
      <c r="H3587" s="19" t="s">
        <v>33662</v>
      </c>
      <c r="I3587" s="20">
        <v>18.47</v>
      </c>
      <c r="J3587" s="44" t="s">
        <v>8</v>
      </c>
      <c r="K3587" s="23" t="s">
        <v>8</v>
      </c>
      <c r="L3587" s="23" t="s">
        <v>8</v>
      </c>
      <c r="M3587" s="23" t="s">
        <v>8</v>
      </c>
    </row>
    <row r="3588" spans="1:13" s="21" customFormat="1" x14ac:dyDescent="0.25">
      <c r="A3588" s="22" t="s">
        <v>8</v>
      </c>
      <c r="B3588" s="18" t="str">
        <f>"146116"</f>
        <v>146116</v>
      </c>
      <c r="C3588" s="19" t="s">
        <v>3578</v>
      </c>
      <c r="D3588" s="19" t="s">
        <v>19015</v>
      </c>
      <c r="E3588" s="19" t="s">
        <v>31994</v>
      </c>
      <c r="F3588" s="19" t="s">
        <v>35987</v>
      </c>
      <c r="G3588" s="18" t="str">
        <f>"61350"</f>
        <v>61350</v>
      </c>
      <c r="H3588" s="19" t="s">
        <v>31983</v>
      </c>
      <c r="I3588" s="20">
        <v>17.888999999999999</v>
      </c>
      <c r="J3588" s="44" t="s">
        <v>8</v>
      </c>
      <c r="K3588" s="23" t="s">
        <v>8</v>
      </c>
      <c r="L3588" s="23" t="s">
        <v>8</v>
      </c>
      <c r="M3588" s="23" t="s">
        <v>8</v>
      </c>
    </row>
    <row r="3589" spans="1:13" s="21" customFormat="1" x14ac:dyDescent="0.25">
      <c r="A3589" s="22" t="s">
        <v>8</v>
      </c>
      <c r="B3589" s="18" t="str">
        <f>"146117"</f>
        <v>146117</v>
      </c>
      <c r="C3589" s="19" t="s">
        <v>3579</v>
      </c>
      <c r="D3589" s="19" t="s">
        <v>19016</v>
      </c>
      <c r="E3589" s="19" t="s">
        <v>31989</v>
      </c>
      <c r="F3589" s="19" t="s">
        <v>35987</v>
      </c>
      <c r="G3589" s="18" t="str">
        <f>"62420"</f>
        <v>62420</v>
      </c>
      <c r="H3589" s="19" t="s">
        <v>33967</v>
      </c>
      <c r="I3589" s="20">
        <v>20.37</v>
      </c>
      <c r="J3589" s="44" t="s">
        <v>8</v>
      </c>
      <c r="K3589" s="23" t="s">
        <v>8</v>
      </c>
      <c r="L3589" s="23" t="s">
        <v>8</v>
      </c>
      <c r="M3589" s="23" t="s">
        <v>8</v>
      </c>
    </row>
    <row r="3590" spans="1:13" s="21" customFormat="1" x14ac:dyDescent="0.25">
      <c r="A3590" s="22" t="s">
        <v>8</v>
      </c>
      <c r="B3590" s="18" t="str">
        <f>"146118"</f>
        <v>146118</v>
      </c>
      <c r="C3590" s="19" t="s">
        <v>3580</v>
      </c>
      <c r="D3590" s="19" t="s">
        <v>19017</v>
      </c>
      <c r="E3590" s="19" t="s">
        <v>32032</v>
      </c>
      <c r="F3590" s="19" t="s">
        <v>35987</v>
      </c>
      <c r="G3590" s="18" t="str">
        <f>"60010"</f>
        <v>60010</v>
      </c>
      <c r="H3590" s="19" t="s">
        <v>36096</v>
      </c>
      <c r="I3590" s="20">
        <v>16.475000000000001</v>
      </c>
      <c r="J3590" s="44" t="s">
        <v>8</v>
      </c>
      <c r="K3590" s="23" t="s">
        <v>8</v>
      </c>
      <c r="L3590" s="23" t="s">
        <v>8</v>
      </c>
      <c r="M3590" s="23" t="s">
        <v>8</v>
      </c>
    </row>
    <row r="3591" spans="1:13" s="21" customFormat="1" x14ac:dyDescent="0.25">
      <c r="A3591" s="22" t="s">
        <v>8</v>
      </c>
      <c r="B3591" s="18" t="str">
        <f>"146119"</f>
        <v>146119</v>
      </c>
      <c r="C3591" s="19" t="s">
        <v>3581</v>
      </c>
      <c r="D3591" s="19" t="s">
        <v>19018</v>
      </c>
      <c r="E3591" s="19" t="s">
        <v>32182</v>
      </c>
      <c r="F3591" s="19" t="s">
        <v>35987</v>
      </c>
      <c r="G3591" s="18" t="str">
        <f>"62844"</f>
        <v>62844</v>
      </c>
      <c r="H3591" s="19" t="s">
        <v>35131</v>
      </c>
      <c r="I3591" s="20">
        <v>19.773</v>
      </c>
      <c r="J3591" s="44" t="s">
        <v>8</v>
      </c>
      <c r="K3591" s="23" t="s">
        <v>8</v>
      </c>
      <c r="L3591" s="23" t="s">
        <v>8</v>
      </c>
      <c r="M3591" s="23" t="s">
        <v>8</v>
      </c>
    </row>
    <row r="3592" spans="1:13" s="21" customFormat="1" x14ac:dyDescent="0.25">
      <c r="A3592" s="22" t="s">
        <v>8</v>
      </c>
      <c r="B3592" s="18" t="str">
        <f>"146120"</f>
        <v>146120</v>
      </c>
      <c r="C3592" s="19" t="s">
        <v>3582</v>
      </c>
      <c r="D3592" s="19" t="s">
        <v>19019</v>
      </c>
      <c r="E3592" s="19" t="s">
        <v>32183</v>
      </c>
      <c r="F3592" s="19" t="s">
        <v>35987</v>
      </c>
      <c r="G3592" s="18" t="str">
        <f>"61450"</f>
        <v>61450</v>
      </c>
      <c r="H3592" s="19" t="s">
        <v>33144</v>
      </c>
      <c r="I3592" s="20">
        <v>19.233000000000001</v>
      </c>
      <c r="J3592" s="44" t="s">
        <v>8</v>
      </c>
      <c r="K3592" s="23" t="s">
        <v>8</v>
      </c>
      <c r="L3592" s="23" t="s">
        <v>8</v>
      </c>
      <c r="M3592" s="23" t="s">
        <v>8</v>
      </c>
    </row>
    <row r="3593" spans="1:13" s="21" customFormat="1" x14ac:dyDescent="0.25">
      <c r="A3593" s="22" t="s">
        <v>8</v>
      </c>
      <c r="B3593" s="18" t="str">
        <f>"146121"</f>
        <v>146121</v>
      </c>
      <c r="C3593" s="19" t="s">
        <v>3583</v>
      </c>
      <c r="D3593" s="19" t="s">
        <v>19020</v>
      </c>
      <c r="E3593" s="19" t="s">
        <v>31024</v>
      </c>
      <c r="F3593" s="19" t="s">
        <v>35987</v>
      </c>
      <c r="G3593" s="18" t="str">
        <f>"62812"</f>
        <v>62812</v>
      </c>
      <c r="H3593" s="19" t="s">
        <v>5</v>
      </c>
      <c r="I3593" s="20">
        <v>20.437000000000001</v>
      </c>
      <c r="J3593" s="44" t="s">
        <v>8</v>
      </c>
      <c r="K3593" s="23" t="s">
        <v>8</v>
      </c>
      <c r="L3593" s="23" t="s">
        <v>8</v>
      </c>
      <c r="M3593" s="23" t="s">
        <v>8</v>
      </c>
    </row>
    <row r="3594" spans="1:13" s="21" customFormat="1" x14ac:dyDescent="0.25">
      <c r="A3594" s="22" t="s">
        <v>8</v>
      </c>
      <c r="B3594" s="18" t="str">
        <f>"146122"</f>
        <v>146122</v>
      </c>
      <c r="C3594" s="19" t="s">
        <v>3584</v>
      </c>
      <c r="D3594" s="19" t="s">
        <v>19021</v>
      </c>
      <c r="E3594" s="19" t="s">
        <v>31931</v>
      </c>
      <c r="F3594" s="19" t="s">
        <v>35987</v>
      </c>
      <c r="G3594" s="18" t="str">
        <f>"62220"</f>
        <v>62220</v>
      </c>
      <c r="H3594" s="19" t="s">
        <v>33662</v>
      </c>
      <c r="I3594" s="20">
        <v>17.402999999999999</v>
      </c>
      <c r="J3594" s="44" t="s">
        <v>8</v>
      </c>
      <c r="K3594" s="23" t="s">
        <v>8</v>
      </c>
      <c r="L3594" s="23" t="s">
        <v>8</v>
      </c>
      <c r="M3594" s="23" t="s">
        <v>8</v>
      </c>
    </row>
    <row r="3595" spans="1:13" s="21" customFormat="1" x14ac:dyDescent="0.25">
      <c r="A3595" s="22" t="s">
        <v>8</v>
      </c>
      <c r="B3595" s="18" t="str">
        <f>"146123"</f>
        <v>146123</v>
      </c>
      <c r="C3595" s="19" t="s">
        <v>3585</v>
      </c>
      <c r="D3595" s="19" t="s">
        <v>19022</v>
      </c>
      <c r="E3595" s="19" t="s">
        <v>32184</v>
      </c>
      <c r="F3595" s="19" t="s">
        <v>35987</v>
      </c>
      <c r="G3595" s="18" t="str">
        <f>"61540"</f>
        <v>61540</v>
      </c>
      <c r="H3595" s="19" t="s">
        <v>31063</v>
      </c>
      <c r="I3595" s="20">
        <v>18.914999999999999</v>
      </c>
      <c r="J3595" s="44" t="s">
        <v>8</v>
      </c>
      <c r="K3595" s="23" t="s">
        <v>8</v>
      </c>
      <c r="L3595" s="23" t="s">
        <v>8</v>
      </c>
      <c r="M3595" s="23" t="s">
        <v>8</v>
      </c>
    </row>
    <row r="3596" spans="1:13" s="21" customFormat="1" x14ac:dyDescent="0.25">
      <c r="A3596" s="22" t="s">
        <v>8</v>
      </c>
      <c r="B3596" s="18" t="str">
        <f>"146124"</f>
        <v>146124</v>
      </c>
      <c r="C3596" s="19" t="s">
        <v>3586</v>
      </c>
      <c r="D3596" s="19" t="s">
        <v>19023</v>
      </c>
      <c r="E3596" s="19" t="s">
        <v>32145</v>
      </c>
      <c r="F3596" s="19" t="s">
        <v>35987</v>
      </c>
      <c r="G3596" s="18" t="str">
        <f>"62821"</f>
        <v>62821</v>
      </c>
      <c r="H3596" s="19" t="s">
        <v>35131</v>
      </c>
      <c r="I3596" s="20">
        <v>19.23</v>
      </c>
      <c r="J3596" s="44" t="s">
        <v>8</v>
      </c>
      <c r="K3596" s="23" t="s">
        <v>8</v>
      </c>
      <c r="L3596" s="23" t="s">
        <v>8</v>
      </c>
      <c r="M3596" s="23" t="s">
        <v>8</v>
      </c>
    </row>
    <row r="3597" spans="1:13" s="21" customFormat="1" x14ac:dyDescent="0.25">
      <c r="A3597" s="22" t="s">
        <v>8</v>
      </c>
      <c r="B3597" s="18" t="str">
        <f>"146125"</f>
        <v>146125</v>
      </c>
      <c r="C3597" s="19" t="s">
        <v>3587</v>
      </c>
      <c r="D3597" s="19" t="s">
        <v>19024</v>
      </c>
      <c r="E3597" s="19" t="s">
        <v>32185</v>
      </c>
      <c r="F3597" s="19" t="s">
        <v>35987</v>
      </c>
      <c r="G3597" s="18" t="str">
        <f>"60103"</f>
        <v>60103</v>
      </c>
      <c r="H3597" s="19" t="s">
        <v>36231</v>
      </c>
      <c r="I3597" s="20">
        <v>13.635999999999999</v>
      </c>
      <c r="J3597" s="44" t="s">
        <v>8</v>
      </c>
      <c r="K3597" s="23" t="s">
        <v>8</v>
      </c>
      <c r="L3597" s="23" t="s">
        <v>8</v>
      </c>
      <c r="M3597" s="23" t="s">
        <v>8</v>
      </c>
    </row>
    <row r="3598" spans="1:13" s="21" customFormat="1" x14ac:dyDescent="0.25">
      <c r="A3598" s="22" t="s">
        <v>8</v>
      </c>
      <c r="B3598" s="18" t="str">
        <f>"146126"</f>
        <v>146126</v>
      </c>
      <c r="C3598" s="19" t="s">
        <v>3588</v>
      </c>
      <c r="D3598" s="19" t="s">
        <v>19025</v>
      </c>
      <c r="E3598" s="19" t="s">
        <v>31922</v>
      </c>
      <c r="F3598" s="19" t="s">
        <v>35987</v>
      </c>
      <c r="G3598" s="18" t="str">
        <f>"60435"</f>
        <v>60435</v>
      </c>
      <c r="H3598" s="19" t="s">
        <v>36230</v>
      </c>
      <c r="I3598" s="20">
        <v>22.545000000000002</v>
      </c>
      <c r="J3598" s="44" t="s">
        <v>8</v>
      </c>
      <c r="K3598" s="23" t="s">
        <v>8</v>
      </c>
      <c r="L3598" s="23" t="s">
        <v>8</v>
      </c>
      <c r="M3598" s="23" t="s">
        <v>8</v>
      </c>
    </row>
    <row r="3599" spans="1:13" s="21" customFormat="1" x14ac:dyDescent="0.25">
      <c r="A3599" s="22" t="s">
        <v>8</v>
      </c>
      <c r="B3599" s="18" t="str">
        <f>"146127"</f>
        <v>146127</v>
      </c>
      <c r="C3599" s="19" t="s">
        <v>3589</v>
      </c>
      <c r="D3599" s="19" t="s">
        <v>19026</v>
      </c>
      <c r="E3599" s="19" t="s">
        <v>32186</v>
      </c>
      <c r="F3599" s="19" t="s">
        <v>35987</v>
      </c>
      <c r="G3599" s="18" t="str">
        <f>"60152"</f>
        <v>60152</v>
      </c>
      <c r="H3599" s="19" t="s">
        <v>32006</v>
      </c>
      <c r="I3599" s="20">
        <v>19.251999999999999</v>
      </c>
      <c r="J3599" s="44" t="s">
        <v>8</v>
      </c>
      <c r="K3599" s="23" t="s">
        <v>8</v>
      </c>
      <c r="L3599" s="23" t="s">
        <v>8</v>
      </c>
      <c r="M3599" s="23" t="s">
        <v>8</v>
      </c>
    </row>
    <row r="3600" spans="1:13" s="21" customFormat="1" x14ac:dyDescent="0.25">
      <c r="A3600" s="22" t="s">
        <v>8</v>
      </c>
      <c r="B3600" s="18" t="str">
        <f>"146128"</f>
        <v>146128</v>
      </c>
      <c r="C3600" s="19" t="s">
        <v>3590</v>
      </c>
      <c r="D3600" s="19" t="s">
        <v>19027</v>
      </c>
      <c r="E3600" s="19" t="s">
        <v>31962</v>
      </c>
      <c r="F3600" s="19" t="s">
        <v>35987</v>
      </c>
      <c r="G3600" s="18" t="str">
        <f>"60526"</f>
        <v>60526</v>
      </c>
      <c r="H3600" s="19" t="s">
        <v>33420</v>
      </c>
      <c r="I3600" s="20">
        <v>18.501000000000001</v>
      </c>
      <c r="J3600" s="44" t="s">
        <v>8</v>
      </c>
      <c r="K3600" s="23" t="s">
        <v>8</v>
      </c>
      <c r="L3600" s="23" t="s">
        <v>8</v>
      </c>
      <c r="M3600" s="23" t="s">
        <v>8</v>
      </c>
    </row>
    <row r="3601" spans="1:13" s="21" customFormat="1" x14ac:dyDescent="0.25">
      <c r="A3601" s="22" t="s">
        <v>8</v>
      </c>
      <c r="B3601" s="18" t="str">
        <f>"146129"</f>
        <v>146129</v>
      </c>
      <c r="C3601" s="19" t="s">
        <v>3591</v>
      </c>
      <c r="D3601" s="19" t="s">
        <v>19028</v>
      </c>
      <c r="E3601" s="19" t="s">
        <v>31926</v>
      </c>
      <c r="F3601" s="19" t="s">
        <v>35987</v>
      </c>
      <c r="G3601" s="18" t="str">
        <f>"60187"</f>
        <v>60187</v>
      </c>
      <c r="H3601" s="19" t="s">
        <v>36231</v>
      </c>
      <c r="I3601" s="20">
        <v>14.814</v>
      </c>
      <c r="J3601" s="44" t="s">
        <v>8</v>
      </c>
      <c r="K3601" s="23" t="s">
        <v>8</v>
      </c>
      <c r="L3601" s="23" t="s">
        <v>8</v>
      </c>
      <c r="M3601" s="23" t="s">
        <v>8</v>
      </c>
    </row>
    <row r="3602" spans="1:13" s="21" customFormat="1" x14ac:dyDescent="0.25">
      <c r="A3602" s="22" t="s">
        <v>8</v>
      </c>
      <c r="B3602" s="18" t="str">
        <f>"146130"</f>
        <v>146130</v>
      </c>
      <c r="C3602" s="19" t="s">
        <v>3592</v>
      </c>
      <c r="D3602" s="19" t="s">
        <v>19029</v>
      </c>
      <c r="E3602" s="19" t="s">
        <v>32187</v>
      </c>
      <c r="F3602" s="19" t="s">
        <v>35987</v>
      </c>
      <c r="G3602" s="18" t="str">
        <f>"60073"</f>
        <v>60073</v>
      </c>
      <c r="H3602" s="19" t="s">
        <v>36096</v>
      </c>
      <c r="I3602" s="20">
        <v>17.535</v>
      </c>
      <c r="J3602" s="44" t="s">
        <v>8</v>
      </c>
      <c r="K3602" s="23" t="s">
        <v>8</v>
      </c>
      <c r="L3602" s="23" t="s">
        <v>8</v>
      </c>
      <c r="M3602" s="23" t="s">
        <v>8</v>
      </c>
    </row>
    <row r="3603" spans="1:13" s="21" customFormat="1" x14ac:dyDescent="0.25">
      <c r="A3603" s="22" t="s">
        <v>8</v>
      </c>
      <c r="B3603" s="18" t="str">
        <f>"146131"</f>
        <v>146131</v>
      </c>
      <c r="C3603" s="19" t="s">
        <v>3593</v>
      </c>
      <c r="D3603" s="19" t="s">
        <v>19030</v>
      </c>
      <c r="E3603" s="19" t="s">
        <v>32188</v>
      </c>
      <c r="F3603" s="19" t="s">
        <v>35987</v>
      </c>
      <c r="G3603" s="18" t="str">
        <f>"62823"</f>
        <v>62823</v>
      </c>
      <c r="H3603" s="19" t="s">
        <v>33280</v>
      </c>
      <c r="I3603" s="20">
        <v>19.417999999999999</v>
      </c>
      <c r="J3603" s="44" t="s">
        <v>8</v>
      </c>
      <c r="K3603" s="23" t="s">
        <v>8</v>
      </c>
      <c r="L3603" s="23" t="s">
        <v>8</v>
      </c>
      <c r="M3603" s="23" t="s">
        <v>8</v>
      </c>
    </row>
    <row r="3604" spans="1:13" s="21" customFormat="1" x14ac:dyDescent="0.25">
      <c r="A3604" s="22" t="s">
        <v>8</v>
      </c>
      <c r="B3604" s="18" t="str">
        <f>"146132"</f>
        <v>146132</v>
      </c>
      <c r="C3604" s="19" t="s">
        <v>3594</v>
      </c>
      <c r="D3604" s="19" t="s">
        <v>19031</v>
      </c>
      <c r="E3604" s="19" t="s">
        <v>32065</v>
      </c>
      <c r="F3604" s="19" t="s">
        <v>35987</v>
      </c>
      <c r="G3604" s="18" t="str">
        <f>"60430"</f>
        <v>60430</v>
      </c>
      <c r="H3604" s="19" t="s">
        <v>33420</v>
      </c>
      <c r="I3604" s="20">
        <v>20.812000000000001</v>
      </c>
      <c r="J3604" s="44" t="s">
        <v>8</v>
      </c>
      <c r="K3604" s="23" t="s">
        <v>8</v>
      </c>
      <c r="L3604" s="23" t="s">
        <v>8</v>
      </c>
      <c r="M3604" s="23" t="s">
        <v>8</v>
      </c>
    </row>
    <row r="3605" spans="1:13" s="21" customFormat="1" x14ac:dyDescent="0.25">
      <c r="A3605" s="22" t="s">
        <v>8</v>
      </c>
      <c r="B3605" s="18" t="str">
        <f>"146133"</f>
        <v>146133</v>
      </c>
      <c r="C3605" s="19" t="s">
        <v>3595</v>
      </c>
      <c r="D3605" s="19" t="s">
        <v>19032</v>
      </c>
      <c r="E3605" s="19" t="s">
        <v>32074</v>
      </c>
      <c r="F3605" s="19" t="s">
        <v>35987</v>
      </c>
      <c r="G3605" s="18" t="str">
        <f>"60548"</f>
        <v>60548</v>
      </c>
      <c r="H3605" s="19" t="s">
        <v>31954</v>
      </c>
      <c r="I3605" s="20">
        <v>17.093</v>
      </c>
      <c r="J3605" s="44" t="s">
        <v>8</v>
      </c>
      <c r="K3605" s="23" t="s">
        <v>8</v>
      </c>
      <c r="L3605" s="23" t="s">
        <v>8</v>
      </c>
      <c r="M3605" s="23" t="s">
        <v>8</v>
      </c>
    </row>
    <row r="3606" spans="1:13" s="21" customFormat="1" x14ac:dyDescent="0.25">
      <c r="A3606" s="22" t="s">
        <v>8</v>
      </c>
      <c r="B3606" s="18" t="str">
        <f>"146134"</f>
        <v>146134</v>
      </c>
      <c r="C3606" s="19" t="s">
        <v>3596</v>
      </c>
      <c r="D3606" s="19" t="s">
        <v>19033</v>
      </c>
      <c r="E3606" s="19" t="s">
        <v>31073</v>
      </c>
      <c r="F3606" s="19" t="s">
        <v>35987</v>
      </c>
      <c r="G3606" s="18" t="str">
        <f>"62946"</f>
        <v>62946</v>
      </c>
      <c r="H3606" s="19" t="s">
        <v>33206</v>
      </c>
      <c r="I3606" s="20">
        <v>22.064</v>
      </c>
      <c r="J3606" s="44" t="s">
        <v>8</v>
      </c>
      <c r="K3606" s="23" t="s">
        <v>8</v>
      </c>
      <c r="L3606" s="23" t="s">
        <v>8</v>
      </c>
      <c r="M3606" s="23" t="s">
        <v>8</v>
      </c>
    </row>
    <row r="3607" spans="1:13" s="21" customFormat="1" x14ac:dyDescent="0.25">
      <c r="A3607" s="22" t="s">
        <v>8</v>
      </c>
      <c r="B3607" s="18" t="str">
        <f>"146135"</f>
        <v>146135</v>
      </c>
      <c r="C3607" s="19" t="s">
        <v>3597</v>
      </c>
      <c r="D3607" s="19" t="s">
        <v>19034</v>
      </c>
      <c r="E3607" s="19" t="s">
        <v>32189</v>
      </c>
      <c r="F3607" s="19" t="s">
        <v>35987</v>
      </c>
      <c r="G3607" s="18" t="str">
        <f>"62640"</f>
        <v>62640</v>
      </c>
      <c r="H3607" s="19" t="s">
        <v>36236</v>
      </c>
      <c r="I3607" s="20">
        <v>21.39</v>
      </c>
      <c r="J3607" s="44" t="s">
        <v>8</v>
      </c>
      <c r="K3607" s="23" t="s">
        <v>8</v>
      </c>
      <c r="L3607" s="23" t="s">
        <v>8</v>
      </c>
      <c r="M3607" s="23" t="s">
        <v>8</v>
      </c>
    </row>
    <row r="3608" spans="1:13" s="21" customFormat="1" x14ac:dyDescent="0.25">
      <c r="A3608" s="22" t="s">
        <v>8</v>
      </c>
      <c r="B3608" s="18" t="str">
        <f>"146136"</f>
        <v>146136</v>
      </c>
      <c r="C3608" s="19" t="s">
        <v>3598</v>
      </c>
      <c r="D3608" s="19" t="s">
        <v>19035</v>
      </c>
      <c r="E3608" s="19" t="s">
        <v>32148</v>
      </c>
      <c r="F3608" s="19" t="s">
        <v>35987</v>
      </c>
      <c r="G3608" s="18" t="str">
        <f>"60069"</f>
        <v>60069</v>
      </c>
      <c r="H3608" s="19" t="s">
        <v>36096</v>
      </c>
      <c r="I3608" s="20">
        <v>17.614000000000001</v>
      </c>
      <c r="J3608" s="44" t="s">
        <v>8</v>
      </c>
      <c r="K3608" s="23" t="s">
        <v>8</v>
      </c>
      <c r="L3608" s="23" t="s">
        <v>8</v>
      </c>
      <c r="M3608" s="23" t="s">
        <v>8</v>
      </c>
    </row>
    <row r="3609" spans="1:13" s="21" customFormat="1" x14ac:dyDescent="0.25">
      <c r="A3609" s="22" t="s">
        <v>8</v>
      </c>
      <c r="B3609" s="18" t="str">
        <f>"146139"</f>
        <v>146139</v>
      </c>
      <c r="C3609" s="19" t="s">
        <v>3599</v>
      </c>
      <c r="D3609" s="19" t="s">
        <v>19036</v>
      </c>
      <c r="E3609" s="19" t="s">
        <v>31717</v>
      </c>
      <c r="F3609" s="19" t="s">
        <v>35987</v>
      </c>
      <c r="G3609" s="18" t="str">
        <f>"62702"</f>
        <v>62702</v>
      </c>
      <c r="H3609" s="19" t="s">
        <v>36232</v>
      </c>
      <c r="I3609" s="20">
        <v>21.823</v>
      </c>
      <c r="J3609" s="44" t="s">
        <v>8</v>
      </c>
      <c r="K3609" s="23" t="s">
        <v>8</v>
      </c>
      <c r="L3609" s="23" t="s">
        <v>8</v>
      </c>
      <c r="M3609" s="23" t="s">
        <v>8</v>
      </c>
    </row>
    <row r="3610" spans="1:13" s="21" customFormat="1" x14ac:dyDescent="0.25">
      <c r="A3610" s="22" t="s">
        <v>8</v>
      </c>
      <c r="B3610" s="18" t="str">
        <f>"146140"</f>
        <v>146140</v>
      </c>
      <c r="C3610" s="19" t="s">
        <v>3600</v>
      </c>
      <c r="D3610" s="19" t="s">
        <v>19037</v>
      </c>
      <c r="E3610" s="19" t="s">
        <v>32190</v>
      </c>
      <c r="F3610" s="19" t="s">
        <v>35987</v>
      </c>
      <c r="G3610" s="18" t="str">
        <f>"61036"</f>
        <v>61036</v>
      </c>
      <c r="H3610" s="19" t="s">
        <v>36249</v>
      </c>
      <c r="I3610" s="20">
        <v>18.802</v>
      </c>
      <c r="J3610" s="44" t="s">
        <v>8</v>
      </c>
      <c r="K3610" s="23" t="s">
        <v>8</v>
      </c>
      <c r="L3610" s="23" t="s">
        <v>8</v>
      </c>
      <c r="M3610" s="23" t="s">
        <v>8</v>
      </c>
    </row>
    <row r="3611" spans="1:13" s="21" customFormat="1" x14ac:dyDescent="0.25">
      <c r="A3611" s="22" t="s">
        <v>8</v>
      </c>
      <c r="B3611" s="18" t="str">
        <f>"146141"</f>
        <v>146141</v>
      </c>
      <c r="C3611" s="19" t="s">
        <v>3601</v>
      </c>
      <c r="D3611" s="19" t="s">
        <v>19038</v>
      </c>
      <c r="E3611" s="19" t="s">
        <v>31934</v>
      </c>
      <c r="F3611" s="19" t="s">
        <v>35987</v>
      </c>
      <c r="G3611" s="18" t="str">
        <f>"60611"</f>
        <v>60611</v>
      </c>
      <c r="H3611" s="19" t="s">
        <v>33420</v>
      </c>
      <c r="I3611" s="20">
        <v>22.370999999999999</v>
      </c>
      <c r="J3611" s="44" t="s">
        <v>8</v>
      </c>
      <c r="K3611" s="23" t="s">
        <v>8</v>
      </c>
      <c r="L3611" s="23" t="s">
        <v>8</v>
      </c>
      <c r="M3611" s="23" t="s">
        <v>8</v>
      </c>
    </row>
    <row r="3612" spans="1:13" s="21" customFormat="1" x14ac:dyDescent="0.25">
      <c r="A3612" s="22" t="s">
        <v>8</v>
      </c>
      <c r="B3612" s="18" t="str">
        <f>"146142"</f>
        <v>146142</v>
      </c>
      <c r="C3612" s="19" t="s">
        <v>3602</v>
      </c>
      <c r="D3612" s="19" t="s">
        <v>19039</v>
      </c>
      <c r="E3612" s="19" t="s">
        <v>31979</v>
      </c>
      <c r="F3612" s="19" t="s">
        <v>35987</v>
      </c>
      <c r="G3612" s="18" t="str">
        <f>"62034"</f>
        <v>62034</v>
      </c>
      <c r="H3612" s="19" t="s">
        <v>30899</v>
      </c>
      <c r="I3612" s="20">
        <v>19.350999999999999</v>
      </c>
      <c r="J3612" s="44" t="s">
        <v>8</v>
      </c>
      <c r="K3612" s="23" t="s">
        <v>8</v>
      </c>
      <c r="L3612" s="23" t="s">
        <v>8</v>
      </c>
      <c r="M3612" s="23" t="s">
        <v>8</v>
      </c>
    </row>
    <row r="3613" spans="1:13" s="21" customFormat="1" x14ac:dyDescent="0.25">
      <c r="A3613" s="22" t="s">
        <v>8</v>
      </c>
      <c r="B3613" s="18" t="str">
        <f>"146143"</f>
        <v>146143</v>
      </c>
      <c r="C3613" s="19" t="s">
        <v>3603</v>
      </c>
      <c r="D3613" s="19" t="s">
        <v>19040</v>
      </c>
      <c r="E3613" s="19" t="s">
        <v>32191</v>
      </c>
      <c r="F3613" s="19" t="s">
        <v>35987</v>
      </c>
      <c r="G3613" s="18" t="str">
        <f>"60133"</f>
        <v>60133</v>
      </c>
      <c r="H3613" s="19" t="s">
        <v>33420</v>
      </c>
      <c r="I3613" s="20">
        <v>18.321999999999999</v>
      </c>
      <c r="J3613" s="44" t="s">
        <v>8</v>
      </c>
      <c r="K3613" s="23" t="s">
        <v>8</v>
      </c>
      <c r="L3613" s="23" t="s">
        <v>8</v>
      </c>
      <c r="M3613" s="23" t="s">
        <v>8</v>
      </c>
    </row>
    <row r="3614" spans="1:13" s="21" customFormat="1" x14ac:dyDescent="0.25">
      <c r="A3614" s="22" t="s">
        <v>8</v>
      </c>
      <c r="B3614" s="18" t="str">
        <f>"146144"</f>
        <v>146144</v>
      </c>
      <c r="C3614" s="19" t="s">
        <v>3604</v>
      </c>
      <c r="D3614" s="19" t="s">
        <v>19041</v>
      </c>
      <c r="E3614" s="19" t="s">
        <v>31024</v>
      </c>
      <c r="F3614" s="19" t="s">
        <v>35987</v>
      </c>
      <c r="G3614" s="18" t="str">
        <f>"62812"</f>
        <v>62812</v>
      </c>
      <c r="H3614" s="19" t="s">
        <v>5</v>
      </c>
      <c r="I3614" s="20">
        <v>19.640999999999998</v>
      </c>
      <c r="J3614" s="44" t="s">
        <v>8</v>
      </c>
      <c r="K3614" s="23" t="s">
        <v>8</v>
      </c>
      <c r="L3614" s="23" t="s">
        <v>8</v>
      </c>
      <c r="M3614" s="23" t="s">
        <v>8</v>
      </c>
    </row>
    <row r="3615" spans="1:13" s="21" customFormat="1" x14ac:dyDescent="0.25">
      <c r="A3615" s="22" t="s">
        <v>8</v>
      </c>
      <c r="B3615" s="18" t="str">
        <f>"146145"</f>
        <v>146145</v>
      </c>
      <c r="C3615" s="19" t="s">
        <v>3605</v>
      </c>
      <c r="D3615" s="19" t="s">
        <v>19042</v>
      </c>
      <c r="E3615" s="19" t="s">
        <v>31917</v>
      </c>
      <c r="F3615" s="19" t="s">
        <v>35987</v>
      </c>
      <c r="G3615" s="18" t="str">
        <f>"60201"</f>
        <v>60201</v>
      </c>
      <c r="H3615" s="19" t="s">
        <v>33420</v>
      </c>
      <c r="I3615" s="20">
        <v>19.8</v>
      </c>
      <c r="J3615" s="44" t="s">
        <v>8</v>
      </c>
      <c r="K3615" s="23" t="s">
        <v>8</v>
      </c>
      <c r="L3615" s="23" t="s">
        <v>8</v>
      </c>
      <c r="M3615" s="23" t="s">
        <v>8</v>
      </c>
    </row>
    <row r="3616" spans="1:13" s="21" customFormat="1" x14ac:dyDescent="0.25">
      <c r="A3616" s="22" t="s">
        <v>8</v>
      </c>
      <c r="B3616" s="18" t="str">
        <f>"146146"</f>
        <v>146146</v>
      </c>
      <c r="C3616" s="19" t="s">
        <v>3606</v>
      </c>
      <c r="D3616" s="19" t="s">
        <v>19043</v>
      </c>
      <c r="E3616" s="19" t="s">
        <v>32136</v>
      </c>
      <c r="F3616" s="19" t="s">
        <v>35987</v>
      </c>
      <c r="G3616" s="18" t="str">
        <f>"62859"</f>
        <v>62859</v>
      </c>
      <c r="H3616" s="19" t="s">
        <v>30804</v>
      </c>
      <c r="I3616" s="20">
        <v>20.6</v>
      </c>
      <c r="J3616" s="44" t="s">
        <v>8</v>
      </c>
      <c r="K3616" s="23" t="s">
        <v>8</v>
      </c>
      <c r="L3616" s="23" t="s">
        <v>8</v>
      </c>
      <c r="M3616" s="23" t="s">
        <v>8</v>
      </c>
    </row>
    <row r="3617" spans="1:13" s="21" customFormat="1" x14ac:dyDescent="0.25">
      <c r="A3617" s="22" t="s">
        <v>8</v>
      </c>
      <c r="B3617" s="18" t="str">
        <f>"146147"</f>
        <v>146147</v>
      </c>
      <c r="C3617" s="19" t="s">
        <v>3607</v>
      </c>
      <c r="D3617" s="19" t="s">
        <v>19044</v>
      </c>
      <c r="E3617" s="19" t="s">
        <v>31110</v>
      </c>
      <c r="F3617" s="19" t="s">
        <v>35987</v>
      </c>
      <c r="G3617" s="18" t="str">
        <f>"61085"</f>
        <v>61085</v>
      </c>
      <c r="H3617" s="19" t="s">
        <v>36249</v>
      </c>
      <c r="I3617" s="20">
        <v>17.268999999999998</v>
      </c>
      <c r="J3617" s="44" t="s">
        <v>8</v>
      </c>
      <c r="K3617" s="23" t="s">
        <v>8</v>
      </c>
      <c r="L3617" s="23" t="s">
        <v>8</v>
      </c>
      <c r="M3617" s="23" t="s">
        <v>8</v>
      </c>
    </row>
    <row r="3618" spans="1:13" s="21" customFormat="1" x14ac:dyDescent="0.25">
      <c r="A3618" s="22" t="s">
        <v>8</v>
      </c>
      <c r="B3618" s="18" t="str">
        <f>"146148"</f>
        <v>146148</v>
      </c>
      <c r="C3618" s="19" t="s">
        <v>3608</v>
      </c>
      <c r="D3618" s="19" t="s">
        <v>19045</v>
      </c>
      <c r="E3618" s="19" t="s">
        <v>31754</v>
      </c>
      <c r="F3618" s="19" t="s">
        <v>35987</v>
      </c>
      <c r="G3618" s="18" t="str">
        <f>"62535"</f>
        <v>62535</v>
      </c>
      <c r="H3618" s="19" t="s">
        <v>31733</v>
      </c>
      <c r="I3618" s="20">
        <v>18.492000000000001</v>
      </c>
      <c r="J3618" s="44" t="s">
        <v>8</v>
      </c>
      <c r="K3618" s="23" t="s">
        <v>8</v>
      </c>
      <c r="L3618" s="23" t="s">
        <v>8</v>
      </c>
      <c r="M3618" s="23" t="s">
        <v>8</v>
      </c>
    </row>
    <row r="3619" spans="1:13" s="21" customFormat="1" x14ac:dyDescent="0.25">
      <c r="A3619" s="22" t="s">
        <v>8</v>
      </c>
      <c r="B3619" s="18" t="str">
        <f>"146149"</f>
        <v>146149</v>
      </c>
      <c r="C3619" s="19" t="s">
        <v>3609</v>
      </c>
      <c r="D3619" s="19" t="s">
        <v>19046</v>
      </c>
      <c r="E3619" s="19" t="s">
        <v>31934</v>
      </c>
      <c r="F3619" s="19" t="s">
        <v>35987</v>
      </c>
      <c r="G3619" s="18" t="str">
        <f>"60645"</f>
        <v>60645</v>
      </c>
      <c r="H3619" s="19" t="s">
        <v>33420</v>
      </c>
      <c r="I3619" s="20">
        <v>19.099</v>
      </c>
      <c r="J3619" s="44" t="s">
        <v>8</v>
      </c>
      <c r="K3619" s="23" t="s">
        <v>8</v>
      </c>
      <c r="L3619" s="23" t="s">
        <v>8</v>
      </c>
      <c r="M3619" s="23" t="s">
        <v>8</v>
      </c>
    </row>
    <row r="3620" spans="1:13" s="21" customFormat="1" x14ac:dyDescent="0.25">
      <c r="A3620" s="22" t="s">
        <v>8</v>
      </c>
      <c r="B3620" s="18" t="str">
        <f>"146150"</f>
        <v>146150</v>
      </c>
      <c r="C3620" s="19" t="s">
        <v>3610</v>
      </c>
      <c r="D3620" s="19" t="s">
        <v>19047</v>
      </c>
      <c r="E3620" s="19" t="s">
        <v>32091</v>
      </c>
      <c r="F3620" s="19" t="s">
        <v>35987</v>
      </c>
      <c r="G3620" s="18" t="str">
        <f>"62454"</f>
        <v>62454</v>
      </c>
      <c r="H3620" s="19" t="s">
        <v>31759</v>
      </c>
      <c r="I3620" s="20">
        <v>18.344999999999999</v>
      </c>
      <c r="J3620" s="44" t="s">
        <v>8</v>
      </c>
      <c r="K3620" s="23" t="s">
        <v>8</v>
      </c>
      <c r="L3620" s="23" t="s">
        <v>8</v>
      </c>
      <c r="M3620" s="23" t="s">
        <v>8</v>
      </c>
    </row>
    <row r="3621" spans="1:13" s="21" customFormat="1" x14ac:dyDescent="0.25">
      <c r="A3621" s="22" t="s">
        <v>8</v>
      </c>
      <c r="B3621" s="18" t="str">
        <f>"146151"</f>
        <v>146151</v>
      </c>
      <c r="C3621" s="19" t="s">
        <v>3611</v>
      </c>
      <c r="D3621" s="19" t="s">
        <v>19048</v>
      </c>
      <c r="E3621" s="19" t="s">
        <v>32192</v>
      </c>
      <c r="F3621" s="19" t="s">
        <v>35987</v>
      </c>
      <c r="G3621" s="18" t="str">
        <f>"61427"</f>
        <v>61427</v>
      </c>
      <c r="H3621" s="19" t="s">
        <v>32194</v>
      </c>
      <c r="I3621" s="20">
        <v>16.803999999999998</v>
      </c>
      <c r="J3621" s="44" t="s">
        <v>8</v>
      </c>
      <c r="K3621" s="23" t="s">
        <v>8</v>
      </c>
      <c r="L3621" s="23" t="s">
        <v>8</v>
      </c>
      <c r="M3621" s="23" t="s">
        <v>8</v>
      </c>
    </row>
    <row r="3622" spans="1:13" s="21" customFormat="1" x14ac:dyDescent="0.25">
      <c r="A3622" s="22" t="s">
        <v>8</v>
      </c>
      <c r="B3622" s="18" t="str">
        <f>"146152"</f>
        <v>146152</v>
      </c>
      <c r="C3622" s="19" t="s">
        <v>3612</v>
      </c>
      <c r="D3622" s="19" t="s">
        <v>19049</v>
      </c>
      <c r="E3622" s="19" t="s">
        <v>32139</v>
      </c>
      <c r="F3622" s="19" t="s">
        <v>35987</v>
      </c>
      <c r="G3622" s="18" t="str">
        <f>"61068"</f>
        <v>61068</v>
      </c>
      <c r="H3622" s="19" t="s">
        <v>36229</v>
      </c>
      <c r="I3622" s="20">
        <v>20.067</v>
      </c>
      <c r="J3622" s="44" t="s">
        <v>8</v>
      </c>
      <c r="K3622" s="23" t="s">
        <v>8</v>
      </c>
      <c r="L3622" s="23" t="s">
        <v>8</v>
      </c>
      <c r="M3622" s="23" t="s">
        <v>8</v>
      </c>
    </row>
    <row r="3623" spans="1:13" s="21" customFormat="1" x14ac:dyDescent="0.25">
      <c r="A3623" s="22" t="s">
        <v>8</v>
      </c>
      <c r="B3623" s="18" t="str">
        <f>"146153"</f>
        <v>146153</v>
      </c>
      <c r="C3623" s="19" t="s">
        <v>3613</v>
      </c>
      <c r="D3623" s="19" t="s">
        <v>19050</v>
      </c>
      <c r="E3623" s="19" t="s">
        <v>32193</v>
      </c>
      <c r="F3623" s="19" t="s">
        <v>35987</v>
      </c>
      <c r="G3623" s="18" t="str">
        <f>"60404"</f>
        <v>60404</v>
      </c>
      <c r="H3623" s="19" t="s">
        <v>36230</v>
      </c>
      <c r="I3623" s="20">
        <v>25.498000000000001</v>
      </c>
      <c r="J3623" s="44" t="s">
        <v>8</v>
      </c>
      <c r="K3623" s="23" t="s">
        <v>8</v>
      </c>
      <c r="L3623" s="23" t="s">
        <v>8</v>
      </c>
      <c r="M3623" s="23" t="s">
        <v>8</v>
      </c>
    </row>
    <row r="3624" spans="1:13" s="21" customFormat="1" x14ac:dyDescent="0.25">
      <c r="A3624" s="22" t="s">
        <v>8</v>
      </c>
      <c r="B3624" s="18" t="str">
        <f>"146154"</f>
        <v>146154</v>
      </c>
      <c r="C3624" s="19" t="s">
        <v>3614</v>
      </c>
      <c r="D3624" s="19" t="s">
        <v>19051</v>
      </c>
      <c r="E3624" s="19" t="s">
        <v>31717</v>
      </c>
      <c r="F3624" s="19" t="s">
        <v>35987</v>
      </c>
      <c r="G3624" s="18" t="str">
        <f>"62711"</f>
        <v>62711</v>
      </c>
      <c r="H3624" s="19" t="s">
        <v>36232</v>
      </c>
      <c r="I3624" s="20">
        <v>20.065000000000001</v>
      </c>
      <c r="J3624" s="44" t="s">
        <v>8</v>
      </c>
      <c r="K3624" s="23" t="s">
        <v>8</v>
      </c>
      <c r="L3624" s="23" t="s">
        <v>8</v>
      </c>
      <c r="M3624" s="23" t="s">
        <v>8</v>
      </c>
    </row>
    <row r="3625" spans="1:13" s="21" customFormat="1" x14ac:dyDescent="0.25">
      <c r="A3625" s="22" t="s">
        <v>8</v>
      </c>
      <c r="B3625" s="18" t="str">
        <f>"146155"</f>
        <v>146155</v>
      </c>
      <c r="C3625" s="19" t="s">
        <v>3615</v>
      </c>
      <c r="D3625" s="19" t="s">
        <v>19052</v>
      </c>
      <c r="E3625" s="19" t="s">
        <v>31932</v>
      </c>
      <c r="F3625" s="19" t="s">
        <v>35987</v>
      </c>
      <c r="G3625" s="18" t="str">
        <f>"60126"</f>
        <v>60126</v>
      </c>
      <c r="H3625" s="19" t="s">
        <v>36231</v>
      </c>
      <c r="I3625" s="20">
        <v>15.849</v>
      </c>
      <c r="J3625" s="44" t="s">
        <v>8</v>
      </c>
      <c r="K3625" s="23" t="s">
        <v>8</v>
      </c>
      <c r="L3625" s="23" t="s">
        <v>8</v>
      </c>
      <c r="M3625" s="23" t="s">
        <v>8</v>
      </c>
    </row>
    <row r="3626" spans="1:13" s="21" customFormat="1" x14ac:dyDescent="0.25">
      <c r="A3626" s="22" t="s">
        <v>8</v>
      </c>
      <c r="B3626" s="18" t="str">
        <f>"146156"</f>
        <v>146156</v>
      </c>
      <c r="C3626" s="19" t="s">
        <v>3616</v>
      </c>
      <c r="D3626" s="19" t="s">
        <v>19053</v>
      </c>
      <c r="E3626" s="19" t="s">
        <v>31400</v>
      </c>
      <c r="F3626" s="19" t="s">
        <v>35987</v>
      </c>
      <c r="G3626" s="18" t="str">
        <f>"62835"</f>
        <v>62835</v>
      </c>
      <c r="H3626" s="19" t="s">
        <v>35131</v>
      </c>
      <c r="I3626" s="20">
        <v>17.507000000000001</v>
      </c>
      <c r="J3626" s="44" t="s">
        <v>8</v>
      </c>
      <c r="K3626" s="23" t="s">
        <v>8</v>
      </c>
      <c r="L3626" s="23" t="s">
        <v>8</v>
      </c>
      <c r="M3626" s="23" t="s">
        <v>8</v>
      </c>
    </row>
    <row r="3627" spans="1:13" s="21" customFormat="1" x14ac:dyDescent="0.25">
      <c r="A3627" s="22" t="s">
        <v>8</v>
      </c>
      <c r="B3627" s="18" t="str">
        <f>"146157"</f>
        <v>146157</v>
      </c>
      <c r="C3627" s="19" t="s">
        <v>3617</v>
      </c>
      <c r="D3627" s="19" t="s">
        <v>19054</v>
      </c>
      <c r="E3627" s="19" t="s">
        <v>32140</v>
      </c>
      <c r="F3627" s="19" t="s">
        <v>35987</v>
      </c>
      <c r="G3627" s="18" t="str">
        <f>"61071"</f>
        <v>61071</v>
      </c>
      <c r="H3627" s="19" t="s">
        <v>36235</v>
      </c>
      <c r="I3627" s="20">
        <v>18.847999999999999</v>
      </c>
      <c r="J3627" s="44" t="s">
        <v>8</v>
      </c>
      <c r="K3627" s="23" t="s">
        <v>8</v>
      </c>
      <c r="L3627" s="23" t="s">
        <v>8</v>
      </c>
      <c r="M3627" s="23" t="s">
        <v>8</v>
      </c>
    </row>
    <row r="3628" spans="1:13" s="21" customFormat="1" x14ac:dyDescent="0.25">
      <c r="A3628" s="22" t="s">
        <v>8</v>
      </c>
      <c r="B3628" s="18" t="str">
        <f>"146158"</f>
        <v>146158</v>
      </c>
      <c r="C3628" s="19" t="s">
        <v>3618</v>
      </c>
      <c r="D3628" s="19" t="s">
        <v>19055</v>
      </c>
      <c r="E3628" s="19" t="s">
        <v>32194</v>
      </c>
      <c r="F3628" s="19" t="s">
        <v>35987</v>
      </c>
      <c r="G3628" s="18" t="str">
        <f>"61252"</f>
        <v>61252</v>
      </c>
      <c r="H3628" s="19" t="s">
        <v>36235</v>
      </c>
      <c r="I3628" s="20">
        <v>16.93</v>
      </c>
      <c r="J3628" s="44" t="s">
        <v>8</v>
      </c>
      <c r="K3628" s="23" t="s">
        <v>8</v>
      </c>
      <c r="L3628" s="23" t="s">
        <v>8</v>
      </c>
      <c r="M3628" s="23" t="s">
        <v>8</v>
      </c>
    </row>
    <row r="3629" spans="1:13" s="21" customFormat="1" x14ac:dyDescent="0.25">
      <c r="A3629" s="22" t="s">
        <v>8</v>
      </c>
      <c r="B3629" s="18" t="str">
        <f>"146159"</f>
        <v>146159</v>
      </c>
      <c r="C3629" s="19" t="s">
        <v>3619</v>
      </c>
      <c r="D3629" s="19" t="s">
        <v>19056</v>
      </c>
      <c r="E3629" s="19" t="s">
        <v>32050</v>
      </c>
      <c r="F3629" s="19" t="s">
        <v>35987</v>
      </c>
      <c r="G3629" s="18" t="str">
        <f>"60087"</f>
        <v>60087</v>
      </c>
      <c r="H3629" s="19" t="s">
        <v>36096</v>
      </c>
      <c r="I3629" s="20">
        <v>20.614999999999998</v>
      </c>
      <c r="J3629" s="44" t="s">
        <v>8</v>
      </c>
      <c r="K3629" s="23" t="s">
        <v>8</v>
      </c>
      <c r="L3629" s="23" t="s">
        <v>8</v>
      </c>
      <c r="M3629" s="23" t="s">
        <v>8</v>
      </c>
    </row>
    <row r="3630" spans="1:13" s="21" customFormat="1" x14ac:dyDescent="0.25">
      <c r="A3630" s="22" t="s">
        <v>8</v>
      </c>
      <c r="B3630" s="18" t="str">
        <f>"146160"</f>
        <v>146160</v>
      </c>
      <c r="C3630" s="19" t="s">
        <v>3620</v>
      </c>
      <c r="D3630" s="19" t="s">
        <v>19057</v>
      </c>
      <c r="E3630" s="19" t="s">
        <v>31717</v>
      </c>
      <c r="F3630" s="19" t="s">
        <v>35987</v>
      </c>
      <c r="G3630" s="18" t="str">
        <f>"62704"</f>
        <v>62704</v>
      </c>
      <c r="H3630" s="19" t="s">
        <v>36232</v>
      </c>
      <c r="I3630" s="20">
        <v>20.564</v>
      </c>
      <c r="J3630" s="44" t="s">
        <v>8</v>
      </c>
      <c r="K3630" s="23" t="s">
        <v>8</v>
      </c>
      <c r="L3630" s="23" t="s">
        <v>8</v>
      </c>
      <c r="M3630" s="23" t="s">
        <v>8</v>
      </c>
    </row>
    <row r="3631" spans="1:13" s="21" customFormat="1" x14ac:dyDescent="0.25">
      <c r="A3631" s="22" t="s">
        <v>8</v>
      </c>
      <c r="B3631" s="18" t="str">
        <f>"146161"</f>
        <v>146161</v>
      </c>
      <c r="C3631" s="19" t="s">
        <v>3621</v>
      </c>
      <c r="D3631" s="19" t="s">
        <v>19058</v>
      </c>
      <c r="E3631" s="19" t="s">
        <v>31934</v>
      </c>
      <c r="F3631" s="19" t="s">
        <v>35987</v>
      </c>
      <c r="G3631" s="18" t="str">
        <f>"60616"</f>
        <v>60616</v>
      </c>
      <c r="H3631" s="19" t="s">
        <v>33420</v>
      </c>
      <c r="I3631" s="20">
        <v>18.878</v>
      </c>
      <c r="J3631" s="44" t="s">
        <v>8</v>
      </c>
      <c r="K3631" s="23" t="s">
        <v>8</v>
      </c>
      <c r="L3631" s="23" t="s">
        <v>8</v>
      </c>
      <c r="M3631" s="23" t="s">
        <v>8</v>
      </c>
    </row>
    <row r="3632" spans="1:13" s="21" customFormat="1" x14ac:dyDescent="0.25">
      <c r="A3632" s="22" t="s">
        <v>8</v>
      </c>
      <c r="B3632" s="18" t="str">
        <f>"146162"</f>
        <v>146162</v>
      </c>
      <c r="C3632" s="19" t="s">
        <v>3622</v>
      </c>
      <c r="D3632" s="19" t="s">
        <v>19059</v>
      </c>
      <c r="E3632" s="19" t="s">
        <v>32195</v>
      </c>
      <c r="F3632" s="19" t="s">
        <v>35987</v>
      </c>
      <c r="G3632" s="18" t="str">
        <f>"62550"</f>
        <v>62550</v>
      </c>
      <c r="H3632" s="19" t="s">
        <v>36234</v>
      </c>
      <c r="I3632" s="20">
        <v>18.928999999999998</v>
      </c>
      <c r="J3632" s="44" t="s">
        <v>8</v>
      </c>
      <c r="K3632" s="23" t="s">
        <v>8</v>
      </c>
      <c r="L3632" s="23" t="s">
        <v>8</v>
      </c>
      <c r="M3632" s="23" t="s">
        <v>8</v>
      </c>
    </row>
    <row r="3633" spans="1:13" s="21" customFormat="1" x14ac:dyDescent="0.25">
      <c r="A3633" s="22" t="s">
        <v>8</v>
      </c>
      <c r="B3633" s="18" t="str">
        <f>"146163"</f>
        <v>146163</v>
      </c>
      <c r="C3633" s="19" t="s">
        <v>3623</v>
      </c>
      <c r="D3633" s="19" t="s">
        <v>19060</v>
      </c>
      <c r="E3633" s="19" t="s">
        <v>31311</v>
      </c>
      <c r="F3633" s="19" t="s">
        <v>35987</v>
      </c>
      <c r="G3633" s="18" t="str">
        <f>"62301"</f>
        <v>62301</v>
      </c>
      <c r="H3633" s="19" t="s">
        <v>33467</v>
      </c>
      <c r="I3633" s="20">
        <v>19.177</v>
      </c>
      <c r="J3633" s="44" t="s">
        <v>8</v>
      </c>
      <c r="K3633" s="23" t="s">
        <v>8</v>
      </c>
      <c r="L3633" s="23" t="s">
        <v>8</v>
      </c>
      <c r="M3633" s="23" t="s">
        <v>8</v>
      </c>
    </row>
    <row r="3634" spans="1:13" s="21" customFormat="1" x14ac:dyDescent="0.25">
      <c r="A3634" s="22" t="s">
        <v>8</v>
      </c>
      <c r="B3634" s="18" t="str">
        <f>"146164"</f>
        <v>146164</v>
      </c>
      <c r="C3634" s="19" t="s">
        <v>966</v>
      </c>
      <c r="D3634" s="19" t="s">
        <v>19061</v>
      </c>
      <c r="E3634" s="19" t="s">
        <v>31934</v>
      </c>
      <c r="F3634" s="19" t="s">
        <v>35987</v>
      </c>
      <c r="G3634" s="18" t="str">
        <f>"60653"</f>
        <v>60653</v>
      </c>
      <c r="H3634" s="19" t="s">
        <v>33420</v>
      </c>
      <c r="I3634" s="20">
        <v>19.033999999999999</v>
      </c>
      <c r="J3634" s="44" t="s">
        <v>8</v>
      </c>
      <c r="K3634" s="23" t="s">
        <v>8</v>
      </c>
      <c r="L3634" s="23" t="s">
        <v>8</v>
      </c>
      <c r="M3634" s="23" t="s">
        <v>8</v>
      </c>
    </row>
    <row r="3635" spans="1:13" s="21" customFormat="1" x14ac:dyDescent="0.25">
      <c r="A3635" s="22" t="s">
        <v>8</v>
      </c>
      <c r="B3635" s="18" t="str">
        <f>"146165"</f>
        <v>146165</v>
      </c>
      <c r="C3635" s="19" t="s">
        <v>3624</v>
      </c>
      <c r="D3635" s="19" t="s">
        <v>19062</v>
      </c>
      <c r="E3635" s="19" t="s">
        <v>31934</v>
      </c>
      <c r="F3635" s="19" t="s">
        <v>35987</v>
      </c>
      <c r="G3635" s="18" t="str">
        <f>"60640"</f>
        <v>60640</v>
      </c>
      <c r="H3635" s="19" t="s">
        <v>33420</v>
      </c>
      <c r="I3635" s="20">
        <v>18.289000000000001</v>
      </c>
      <c r="J3635" s="44" t="s">
        <v>8</v>
      </c>
      <c r="K3635" s="23" t="s">
        <v>8</v>
      </c>
      <c r="L3635" s="23" t="s">
        <v>8</v>
      </c>
      <c r="M3635" s="23" t="s">
        <v>8</v>
      </c>
    </row>
    <row r="3636" spans="1:13" s="21" customFormat="1" x14ac:dyDescent="0.25">
      <c r="A3636" s="22" t="s">
        <v>8</v>
      </c>
      <c r="B3636" s="18" t="str">
        <f>"146166"</f>
        <v>146166</v>
      </c>
      <c r="C3636" s="19" t="s">
        <v>3625</v>
      </c>
      <c r="D3636" s="19" t="s">
        <v>19063</v>
      </c>
      <c r="E3636" s="19" t="s">
        <v>30870</v>
      </c>
      <c r="F3636" s="19" t="s">
        <v>35987</v>
      </c>
      <c r="G3636" s="18" t="str">
        <f>"60134"</f>
        <v>60134</v>
      </c>
      <c r="H3636" s="19" t="s">
        <v>34788</v>
      </c>
      <c r="I3636" s="20">
        <v>17.922000000000001</v>
      </c>
      <c r="J3636" s="44" t="s">
        <v>8</v>
      </c>
      <c r="K3636" s="23" t="s">
        <v>8</v>
      </c>
      <c r="L3636" s="23" t="s">
        <v>8</v>
      </c>
      <c r="M3636" s="23" t="s">
        <v>8</v>
      </c>
    </row>
    <row r="3637" spans="1:13" s="21" customFormat="1" x14ac:dyDescent="0.25">
      <c r="A3637" s="22" t="s">
        <v>8</v>
      </c>
      <c r="B3637" s="18" t="str">
        <f>"146167"</f>
        <v>146167</v>
      </c>
      <c r="C3637" s="19" t="s">
        <v>3626</v>
      </c>
      <c r="D3637" s="19" t="s">
        <v>19064</v>
      </c>
      <c r="E3637" s="19" t="s">
        <v>31934</v>
      </c>
      <c r="F3637" s="19" t="s">
        <v>35987</v>
      </c>
      <c r="G3637" s="18" t="str">
        <f>"60625"</f>
        <v>60625</v>
      </c>
      <c r="H3637" s="19" t="s">
        <v>33420</v>
      </c>
      <c r="I3637" s="20">
        <v>18.126000000000001</v>
      </c>
      <c r="J3637" s="44" t="s">
        <v>8</v>
      </c>
      <c r="K3637" s="23" t="s">
        <v>8</v>
      </c>
      <c r="L3637" s="23" t="s">
        <v>8</v>
      </c>
      <c r="M3637" s="23" t="s">
        <v>8</v>
      </c>
    </row>
    <row r="3638" spans="1:13" s="21" customFormat="1" x14ac:dyDescent="0.25">
      <c r="A3638" s="22" t="s">
        <v>8</v>
      </c>
      <c r="B3638" s="18" t="str">
        <f>"146168"</f>
        <v>146168</v>
      </c>
      <c r="C3638" s="19" t="s">
        <v>3627</v>
      </c>
      <c r="D3638" s="19" t="s">
        <v>19065</v>
      </c>
      <c r="E3638" s="19" t="s">
        <v>30810</v>
      </c>
      <c r="F3638" s="19" t="s">
        <v>35987</v>
      </c>
      <c r="G3638" s="18" t="str">
        <f>"60190"</f>
        <v>60190</v>
      </c>
      <c r="H3638" s="19" t="s">
        <v>36231</v>
      </c>
      <c r="I3638" s="20">
        <v>18.082999999999998</v>
      </c>
      <c r="J3638" s="44" t="s">
        <v>8</v>
      </c>
      <c r="K3638" s="23" t="s">
        <v>8</v>
      </c>
      <c r="L3638" s="23" t="s">
        <v>8</v>
      </c>
      <c r="M3638" s="23" t="s">
        <v>8</v>
      </c>
    </row>
    <row r="3639" spans="1:13" s="21" customFormat="1" x14ac:dyDescent="0.25">
      <c r="A3639" s="22" t="s">
        <v>8</v>
      </c>
      <c r="B3639" s="18" t="str">
        <f>"146169"</f>
        <v>146169</v>
      </c>
      <c r="C3639" s="19" t="s">
        <v>3628</v>
      </c>
      <c r="D3639" s="19" t="s">
        <v>19066</v>
      </c>
      <c r="E3639" s="19" t="s">
        <v>31934</v>
      </c>
      <c r="F3639" s="19" t="s">
        <v>35987</v>
      </c>
      <c r="G3639" s="18" t="str">
        <f>"60626"</f>
        <v>60626</v>
      </c>
      <c r="H3639" s="19" t="s">
        <v>33420</v>
      </c>
      <c r="I3639" s="20">
        <v>21.809000000000001</v>
      </c>
      <c r="J3639" s="44" t="s">
        <v>8</v>
      </c>
      <c r="K3639" s="23" t="s">
        <v>8</v>
      </c>
      <c r="L3639" s="23" t="s">
        <v>8</v>
      </c>
      <c r="M3639" s="23" t="s">
        <v>8</v>
      </c>
    </row>
    <row r="3640" spans="1:13" s="21" customFormat="1" x14ac:dyDescent="0.25">
      <c r="A3640" s="22" t="s">
        <v>8</v>
      </c>
      <c r="B3640" s="18" t="str">
        <f>"146170"</f>
        <v>146170</v>
      </c>
      <c r="C3640" s="19" t="s">
        <v>3629</v>
      </c>
      <c r="D3640" s="19" t="s">
        <v>19067</v>
      </c>
      <c r="E3640" s="19" t="s">
        <v>32196</v>
      </c>
      <c r="F3640" s="19" t="s">
        <v>35987</v>
      </c>
      <c r="G3640" s="18" t="str">
        <f>"60542"</f>
        <v>60542</v>
      </c>
      <c r="H3640" s="19" t="s">
        <v>34788</v>
      </c>
      <c r="I3640" s="20">
        <v>17.190000000000001</v>
      </c>
      <c r="J3640" s="44" t="s">
        <v>8</v>
      </c>
      <c r="K3640" s="23" t="s">
        <v>8</v>
      </c>
      <c r="L3640" s="23" t="s">
        <v>8</v>
      </c>
      <c r="M3640" s="23" t="s">
        <v>8</v>
      </c>
    </row>
    <row r="3641" spans="1:13" s="21" customFormat="1" x14ac:dyDescent="0.25">
      <c r="A3641" s="22" t="s">
        <v>8</v>
      </c>
      <c r="B3641" s="18" t="str">
        <f>"146171"</f>
        <v>146171</v>
      </c>
      <c r="C3641" s="19" t="s">
        <v>3630</v>
      </c>
      <c r="D3641" s="19" t="s">
        <v>19068</v>
      </c>
      <c r="E3641" s="19" t="s">
        <v>31359</v>
      </c>
      <c r="F3641" s="19" t="s">
        <v>35987</v>
      </c>
      <c r="G3641" s="18" t="str">
        <f>"62901"</f>
        <v>62901</v>
      </c>
      <c r="H3641" s="19" t="s">
        <v>30816</v>
      </c>
      <c r="I3641" s="20">
        <v>22.105</v>
      </c>
      <c r="J3641" s="44" t="s">
        <v>8</v>
      </c>
      <c r="K3641" s="23" t="s">
        <v>8</v>
      </c>
      <c r="L3641" s="23" t="s">
        <v>8</v>
      </c>
      <c r="M3641" s="23" t="s">
        <v>8</v>
      </c>
    </row>
    <row r="3642" spans="1:13" s="21" customFormat="1" x14ac:dyDescent="0.25">
      <c r="A3642" s="22" t="s">
        <v>8</v>
      </c>
      <c r="B3642" s="18" t="str">
        <f>"146172"</f>
        <v>146172</v>
      </c>
      <c r="C3642" s="19" t="s">
        <v>3631</v>
      </c>
      <c r="D3642" s="19" t="s">
        <v>19069</v>
      </c>
      <c r="E3642" s="19" t="s">
        <v>31922</v>
      </c>
      <c r="F3642" s="19" t="s">
        <v>35987</v>
      </c>
      <c r="G3642" s="18" t="str">
        <f>"60432"</f>
        <v>60432</v>
      </c>
      <c r="H3642" s="19" t="s">
        <v>36230</v>
      </c>
      <c r="I3642" s="20">
        <v>17.93</v>
      </c>
      <c r="J3642" s="44" t="s">
        <v>8</v>
      </c>
      <c r="K3642" s="23" t="s">
        <v>8</v>
      </c>
      <c r="L3642" s="23" t="s">
        <v>8</v>
      </c>
      <c r="M3642" s="23" t="s">
        <v>8</v>
      </c>
    </row>
    <row r="3643" spans="1:13" s="21" customFormat="1" x14ac:dyDescent="0.25">
      <c r="A3643" s="22" t="s">
        <v>8</v>
      </c>
      <c r="B3643" s="18" t="str">
        <f>"146173"</f>
        <v>146173</v>
      </c>
      <c r="C3643" s="19" t="s">
        <v>3632</v>
      </c>
      <c r="D3643" s="19" t="s">
        <v>19070</v>
      </c>
      <c r="E3643" s="19" t="s">
        <v>31925</v>
      </c>
      <c r="F3643" s="19" t="s">
        <v>35987</v>
      </c>
      <c r="G3643" s="18" t="str">
        <f>"60563"</f>
        <v>60563</v>
      </c>
      <c r="H3643" s="19" t="s">
        <v>36231</v>
      </c>
      <c r="I3643" s="20">
        <v>20.666</v>
      </c>
      <c r="J3643" s="44" t="s">
        <v>8</v>
      </c>
      <c r="K3643" s="23" t="s">
        <v>8</v>
      </c>
      <c r="L3643" s="23" t="s">
        <v>8</v>
      </c>
      <c r="M3643" s="23" t="s">
        <v>8</v>
      </c>
    </row>
    <row r="3644" spans="1:13" s="21" customFormat="1" x14ac:dyDescent="0.25">
      <c r="A3644" s="22" t="s">
        <v>8</v>
      </c>
      <c r="B3644" s="18" t="str">
        <f>"146174"</f>
        <v>146174</v>
      </c>
      <c r="C3644" s="19" t="s">
        <v>3633</v>
      </c>
      <c r="D3644" s="19" t="s">
        <v>19071</v>
      </c>
      <c r="E3644" s="19" t="s">
        <v>31934</v>
      </c>
      <c r="F3644" s="19" t="s">
        <v>35987</v>
      </c>
      <c r="G3644" s="18" t="str">
        <f>"60655"</f>
        <v>60655</v>
      </c>
      <c r="H3644" s="19" t="s">
        <v>33420</v>
      </c>
      <c r="I3644" s="20">
        <v>18.213999999999999</v>
      </c>
      <c r="J3644" s="44" t="s">
        <v>8</v>
      </c>
      <c r="K3644" s="23" t="s">
        <v>8</v>
      </c>
      <c r="L3644" s="23" t="s">
        <v>8</v>
      </c>
      <c r="M3644" s="23" t="s">
        <v>8</v>
      </c>
    </row>
    <row r="3645" spans="1:13" s="21" customFormat="1" x14ac:dyDescent="0.25">
      <c r="A3645" s="22" t="s">
        <v>8</v>
      </c>
      <c r="B3645" s="18" t="str">
        <f>"146175"</f>
        <v>146175</v>
      </c>
      <c r="C3645" s="19" t="s">
        <v>3634</v>
      </c>
      <c r="D3645" s="19" t="s">
        <v>19072</v>
      </c>
      <c r="E3645" s="19" t="s">
        <v>32197</v>
      </c>
      <c r="F3645" s="19" t="s">
        <v>35987</v>
      </c>
      <c r="G3645" s="18" t="str">
        <f>"62274"</f>
        <v>62274</v>
      </c>
      <c r="H3645" s="19" t="s">
        <v>31503</v>
      </c>
      <c r="I3645" s="20">
        <v>18.062000000000001</v>
      </c>
      <c r="J3645" s="44" t="s">
        <v>8</v>
      </c>
      <c r="K3645" s="23" t="s">
        <v>8</v>
      </c>
      <c r="L3645" s="23" t="s">
        <v>8</v>
      </c>
      <c r="M3645" s="23" t="s">
        <v>8</v>
      </c>
    </row>
    <row r="3646" spans="1:13" s="21" customFormat="1" x14ac:dyDescent="0.25">
      <c r="A3646" s="22" t="s">
        <v>8</v>
      </c>
      <c r="B3646" s="18" t="str">
        <f>"146176"</f>
        <v>146176</v>
      </c>
      <c r="C3646" s="19" t="s">
        <v>3635</v>
      </c>
      <c r="D3646" s="19" t="s">
        <v>19073</v>
      </c>
      <c r="E3646" s="19" t="s">
        <v>31948</v>
      </c>
      <c r="F3646" s="19" t="s">
        <v>35987</v>
      </c>
      <c r="G3646" s="18" t="str">
        <f>"60714"</f>
        <v>60714</v>
      </c>
      <c r="H3646" s="19" t="s">
        <v>33420</v>
      </c>
      <c r="I3646" s="20">
        <v>18.331</v>
      </c>
      <c r="J3646" s="44" t="s">
        <v>8</v>
      </c>
      <c r="K3646" s="23" t="s">
        <v>8</v>
      </c>
      <c r="L3646" s="23" t="s">
        <v>8</v>
      </c>
      <c r="M3646" s="23" t="s">
        <v>8</v>
      </c>
    </row>
    <row r="3647" spans="1:13" s="21" customFormat="1" x14ac:dyDescent="0.25">
      <c r="A3647" s="22" t="s">
        <v>8</v>
      </c>
      <c r="B3647" s="18" t="str">
        <f>"146177"</f>
        <v>146177</v>
      </c>
      <c r="C3647" s="19" t="s">
        <v>3636</v>
      </c>
      <c r="D3647" s="19" t="s">
        <v>19074</v>
      </c>
      <c r="E3647" s="19" t="s">
        <v>31351</v>
      </c>
      <c r="F3647" s="19" t="s">
        <v>35987</v>
      </c>
      <c r="G3647" s="18" t="str">
        <f>"61270"</f>
        <v>61270</v>
      </c>
      <c r="H3647" s="19" t="s">
        <v>36235</v>
      </c>
      <c r="I3647" s="20">
        <v>18.033000000000001</v>
      </c>
      <c r="J3647" s="44" t="s">
        <v>8</v>
      </c>
      <c r="K3647" s="23" t="s">
        <v>8</v>
      </c>
      <c r="L3647" s="23" t="s">
        <v>8</v>
      </c>
      <c r="M3647" s="23" t="s">
        <v>8</v>
      </c>
    </row>
    <row r="3648" spans="1:13" s="21" customFormat="1" x14ac:dyDescent="0.25">
      <c r="A3648" s="22" t="s">
        <v>8</v>
      </c>
      <c r="B3648" s="18" t="str">
        <f>"146178"</f>
        <v>146178</v>
      </c>
      <c r="C3648" s="19" t="s">
        <v>3637</v>
      </c>
      <c r="D3648" s="19" t="s">
        <v>19075</v>
      </c>
      <c r="E3648" s="19" t="s">
        <v>32198</v>
      </c>
      <c r="F3648" s="19" t="s">
        <v>35987</v>
      </c>
      <c r="G3648" s="18" t="str">
        <f>"60491"</f>
        <v>60491</v>
      </c>
      <c r="H3648" s="19" t="s">
        <v>36230</v>
      </c>
      <c r="I3648" s="20">
        <v>20.048999999999999</v>
      </c>
      <c r="J3648" s="44" t="s">
        <v>8</v>
      </c>
      <c r="K3648" s="23" t="s">
        <v>8</v>
      </c>
      <c r="L3648" s="23" t="s">
        <v>8</v>
      </c>
      <c r="M3648" s="23" t="s">
        <v>8</v>
      </c>
    </row>
    <row r="3649" spans="1:13" s="21" customFormat="1" x14ac:dyDescent="0.25">
      <c r="A3649" s="22" t="s">
        <v>8</v>
      </c>
      <c r="B3649" s="18" t="s">
        <v>15190</v>
      </c>
      <c r="C3649" s="19" t="s">
        <v>3638</v>
      </c>
      <c r="D3649" s="19" t="s">
        <v>19076</v>
      </c>
      <c r="E3649" s="19" t="s">
        <v>32199</v>
      </c>
      <c r="F3649" s="19" t="s">
        <v>35988</v>
      </c>
      <c r="G3649" s="18" t="str">
        <f>"47331"</f>
        <v>47331</v>
      </c>
      <c r="H3649" s="19" t="s">
        <v>30805</v>
      </c>
      <c r="I3649" s="20">
        <v>18.864999999999998</v>
      </c>
      <c r="J3649" s="44" t="s">
        <v>8</v>
      </c>
      <c r="K3649" s="23" t="s">
        <v>8</v>
      </c>
      <c r="L3649" s="23" t="s">
        <v>8</v>
      </c>
      <c r="M3649" s="23" t="s">
        <v>8</v>
      </c>
    </row>
    <row r="3650" spans="1:13" s="21" customFormat="1" x14ac:dyDescent="0.25">
      <c r="A3650" s="22" t="s">
        <v>8</v>
      </c>
      <c r="B3650" s="18" t="s">
        <v>15191</v>
      </c>
      <c r="C3650" s="19" t="s">
        <v>3639</v>
      </c>
      <c r="D3650" s="19" t="s">
        <v>19077</v>
      </c>
      <c r="E3650" s="19" t="s">
        <v>31477</v>
      </c>
      <c r="F3650" s="19" t="s">
        <v>35988</v>
      </c>
      <c r="G3650" s="18" t="str">
        <f>"47274"</f>
        <v>47274</v>
      </c>
      <c r="H3650" s="19" t="s">
        <v>30816</v>
      </c>
      <c r="I3650" s="20">
        <v>17.765000000000001</v>
      </c>
      <c r="J3650" s="44" t="s">
        <v>8</v>
      </c>
      <c r="K3650" s="23" t="s">
        <v>8</v>
      </c>
      <c r="L3650" s="23" t="s">
        <v>8</v>
      </c>
      <c r="M3650" s="23" t="s">
        <v>8</v>
      </c>
    </row>
    <row r="3651" spans="1:13" s="21" customFormat="1" x14ac:dyDescent="0.25">
      <c r="A3651" s="22" t="s">
        <v>8</v>
      </c>
      <c r="B3651" s="18" t="str">
        <f>"155001"</f>
        <v>155001</v>
      </c>
      <c r="C3651" s="19" t="s">
        <v>3640</v>
      </c>
      <c r="D3651" s="19" t="s">
        <v>19078</v>
      </c>
      <c r="E3651" s="19" t="s">
        <v>32200</v>
      </c>
      <c r="F3651" s="19" t="s">
        <v>35988</v>
      </c>
      <c r="G3651" s="18" t="str">
        <f>"46260"</f>
        <v>46260</v>
      </c>
      <c r="H3651" s="19" t="s">
        <v>30850</v>
      </c>
      <c r="I3651" s="20">
        <v>14.984</v>
      </c>
      <c r="J3651" s="44" t="s">
        <v>8</v>
      </c>
      <c r="K3651" s="23" t="s">
        <v>8</v>
      </c>
      <c r="L3651" s="23" t="s">
        <v>8</v>
      </c>
      <c r="M3651" s="23" t="s">
        <v>8</v>
      </c>
    </row>
    <row r="3652" spans="1:13" s="21" customFormat="1" x14ac:dyDescent="0.25">
      <c r="A3652" s="22" t="s">
        <v>8</v>
      </c>
      <c r="B3652" s="18" t="str">
        <f>"155003"</f>
        <v>155003</v>
      </c>
      <c r="C3652" s="19" t="s">
        <v>3641</v>
      </c>
      <c r="D3652" s="19" t="s">
        <v>19079</v>
      </c>
      <c r="E3652" s="19" t="s">
        <v>32201</v>
      </c>
      <c r="F3652" s="19" t="s">
        <v>35988</v>
      </c>
      <c r="G3652" s="18" t="str">
        <f>"46580"</f>
        <v>46580</v>
      </c>
      <c r="H3652" s="19" t="s">
        <v>33546</v>
      </c>
      <c r="I3652" s="20">
        <v>20.423999999999999</v>
      </c>
      <c r="J3652" s="44" t="s">
        <v>8</v>
      </c>
      <c r="K3652" s="23" t="s">
        <v>8</v>
      </c>
      <c r="L3652" s="23" t="s">
        <v>8</v>
      </c>
      <c r="M3652" s="23" t="s">
        <v>8</v>
      </c>
    </row>
    <row r="3653" spans="1:13" s="21" customFormat="1" x14ac:dyDescent="0.25">
      <c r="A3653" s="22" t="s">
        <v>8</v>
      </c>
      <c r="B3653" s="18" t="str">
        <f>"155005"</f>
        <v>155005</v>
      </c>
      <c r="C3653" s="19" t="s">
        <v>3642</v>
      </c>
      <c r="D3653" s="19" t="s">
        <v>19080</v>
      </c>
      <c r="E3653" s="19" t="s">
        <v>32202</v>
      </c>
      <c r="F3653" s="19" t="s">
        <v>35988</v>
      </c>
      <c r="G3653" s="18" t="str">
        <f>"46011"</f>
        <v>46011</v>
      </c>
      <c r="H3653" s="19" t="s">
        <v>30899</v>
      </c>
      <c r="I3653" s="20">
        <v>19.140999999999998</v>
      </c>
      <c r="J3653" s="44" t="s">
        <v>8</v>
      </c>
      <c r="K3653" s="23" t="s">
        <v>8</v>
      </c>
      <c r="L3653" s="23" t="s">
        <v>8</v>
      </c>
      <c r="M3653" s="23" t="s">
        <v>8</v>
      </c>
    </row>
    <row r="3654" spans="1:13" s="21" customFormat="1" x14ac:dyDescent="0.25">
      <c r="A3654" s="22" t="s">
        <v>8</v>
      </c>
      <c r="B3654" s="18" t="str">
        <f>"155006"</f>
        <v>155006</v>
      </c>
      <c r="C3654" s="19" t="s">
        <v>3643</v>
      </c>
      <c r="D3654" s="19" t="s">
        <v>19081</v>
      </c>
      <c r="E3654" s="19" t="s">
        <v>32203</v>
      </c>
      <c r="F3654" s="19" t="s">
        <v>35988</v>
      </c>
      <c r="G3654" s="18" t="str">
        <f>"46992"</f>
        <v>46992</v>
      </c>
      <c r="H3654" s="19" t="s">
        <v>32203</v>
      </c>
      <c r="I3654" s="20">
        <v>17.117000000000001</v>
      </c>
      <c r="J3654" s="44" t="s">
        <v>8</v>
      </c>
      <c r="K3654" s="23" t="s">
        <v>8</v>
      </c>
      <c r="L3654" s="23" t="s">
        <v>8</v>
      </c>
      <c r="M3654" s="23" t="s">
        <v>8</v>
      </c>
    </row>
    <row r="3655" spans="1:13" s="21" customFormat="1" x14ac:dyDescent="0.25">
      <c r="A3655" s="22" t="s">
        <v>8</v>
      </c>
      <c r="B3655" s="18" t="str">
        <f>"155019"</f>
        <v>155019</v>
      </c>
      <c r="C3655" s="19" t="s">
        <v>3644</v>
      </c>
      <c r="D3655" s="19" t="s">
        <v>19082</v>
      </c>
      <c r="E3655" s="19" t="s">
        <v>31919</v>
      </c>
      <c r="F3655" s="19" t="s">
        <v>35988</v>
      </c>
      <c r="G3655" s="18" t="str">
        <f>"47403"</f>
        <v>47403</v>
      </c>
      <c r="H3655" s="19" t="s">
        <v>31711</v>
      </c>
      <c r="I3655" s="20">
        <v>18.954000000000001</v>
      </c>
      <c r="J3655" s="44" t="s">
        <v>8</v>
      </c>
      <c r="K3655" s="23" t="s">
        <v>8</v>
      </c>
      <c r="L3655" s="23" t="s">
        <v>8</v>
      </c>
      <c r="M3655" s="23" t="s">
        <v>8</v>
      </c>
    </row>
    <row r="3656" spans="1:13" s="21" customFormat="1" x14ac:dyDescent="0.25">
      <c r="A3656" s="22" t="s">
        <v>8</v>
      </c>
      <c r="B3656" s="18" t="str">
        <f>"155022"</f>
        <v>155022</v>
      </c>
      <c r="C3656" s="19" t="s">
        <v>3645</v>
      </c>
      <c r="D3656" s="19" t="s">
        <v>19083</v>
      </c>
      <c r="E3656" s="19" t="s">
        <v>31910</v>
      </c>
      <c r="F3656" s="19" t="s">
        <v>35988</v>
      </c>
      <c r="G3656" s="18" t="str">
        <f>"46176"</f>
        <v>46176</v>
      </c>
      <c r="H3656" s="19" t="s">
        <v>33565</v>
      </c>
      <c r="I3656" s="20">
        <v>18.532</v>
      </c>
      <c r="J3656" s="44" t="s">
        <v>8</v>
      </c>
      <c r="K3656" s="23" t="s">
        <v>8</v>
      </c>
      <c r="L3656" s="23" t="s">
        <v>8</v>
      </c>
      <c r="M3656" s="23" t="s">
        <v>8</v>
      </c>
    </row>
    <row r="3657" spans="1:13" s="21" customFormat="1" x14ac:dyDescent="0.25">
      <c r="A3657" s="22" t="s">
        <v>8</v>
      </c>
      <c r="B3657" s="18" t="str">
        <f>"155026"</f>
        <v>155026</v>
      </c>
      <c r="C3657" s="19" t="s">
        <v>3646</v>
      </c>
      <c r="D3657" s="19" t="s">
        <v>19084</v>
      </c>
      <c r="E3657" s="19" t="s">
        <v>32204</v>
      </c>
      <c r="F3657" s="19" t="s">
        <v>35988</v>
      </c>
      <c r="G3657" s="18" t="str">
        <f>"46143"</f>
        <v>46143</v>
      </c>
      <c r="H3657" s="19" t="s">
        <v>36072</v>
      </c>
      <c r="I3657" s="20">
        <v>14.835000000000001</v>
      </c>
      <c r="J3657" s="44" t="s">
        <v>8</v>
      </c>
      <c r="K3657" s="23" t="s">
        <v>8</v>
      </c>
      <c r="L3657" s="23" t="s">
        <v>8</v>
      </c>
      <c r="M3657" s="23" t="s">
        <v>8</v>
      </c>
    </row>
    <row r="3658" spans="1:13" s="21" customFormat="1" x14ac:dyDescent="0.25">
      <c r="A3658" s="22" t="s">
        <v>8</v>
      </c>
      <c r="B3658" s="18" t="str">
        <f>"155029"</f>
        <v>155029</v>
      </c>
      <c r="C3658" s="19" t="s">
        <v>3647</v>
      </c>
      <c r="D3658" s="19" t="s">
        <v>19085</v>
      </c>
      <c r="E3658" s="19" t="s">
        <v>32200</v>
      </c>
      <c r="F3658" s="19" t="s">
        <v>35988</v>
      </c>
      <c r="G3658" s="18" t="str">
        <f>"46218"</f>
        <v>46218</v>
      </c>
      <c r="H3658" s="19" t="s">
        <v>30850</v>
      </c>
      <c r="I3658" s="20">
        <v>17.006</v>
      </c>
      <c r="J3658" s="44" t="s">
        <v>8</v>
      </c>
      <c r="K3658" s="23" t="s">
        <v>8</v>
      </c>
      <c r="L3658" s="23" t="s">
        <v>8</v>
      </c>
      <c r="M3658" s="23" t="s">
        <v>8</v>
      </c>
    </row>
    <row r="3659" spans="1:13" s="21" customFormat="1" x14ac:dyDescent="0.25">
      <c r="A3659" s="22" t="s">
        <v>8</v>
      </c>
      <c r="B3659" s="18" t="str">
        <f>"155038"</f>
        <v>155038</v>
      </c>
      <c r="C3659" s="19" t="s">
        <v>3648</v>
      </c>
      <c r="D3659" s="19" t="s">
        <v>19086</v>
      </c>
      <c r="E3659" s="19" t="s">
        <v>32205</v>
      </c>
      <c r="F3659" s="19" t="s">
        <v>35988</v>
      </c>
      <c r="G3659" s="18" t="str">
        <f>"47303"</f>
        <v>47303</v>
      </c>
      <c r="H3659" s="19" t="s">
        <v>34462</v>
      </c>
      <c r="I3659" s="20">
        <v>15.571</v>
      </c>
      <c r="J3659" s="44" t="s">
        <v>8</v>
      </c>
      <c r="K3659" s="23" t="s">
        <v>8</v>
      </c>
      <c r="L3659" s="23" t="s">
        <v>8</v>
      </c>
      <c r="M3659" s="23" t="s">
        <v>8</v>
      </c>
    </row>
    <row r="3660" spans="1:13" s="21" customFormat="1" x14ac:dyDescent="0.25">
      <c r="A3660" s="22" t="s">
        <v>8</v>
      </c>
      <c r="B3660" s="18" t="str">
        <f>"155039"</f>
        <v>155039</v>
      </c>
      <c r="C3660" s="19" t="s">
        <v>3643</v>
      </c>
      <c r="D3660" s="19" t="s">
        <v>19087</v>
      </c>
      <c r="E3660" s="19" t="s">
        <v>31914</v>
      </c>
      <c r="F3660" s="19" t="s">
        <v>35988</v>
      </c>
      <c r="G3660" s="18" t="str">
        <f>"46970"</f>
        <v>46970</v>
      </c>
      <c r="H3660" s="19" t="s">
        <v>31507</v>
      </c>
      <c r="I3660" s="20">
        <v>16.736999999999998</v>
      </c>
      <c r="J3660" s="44" t="s">
        <v>8</v>
      </c>
      <c r="K3660" s="23" t="s">
        <v>8</v>
      </c>
      <c r="L3660" s="23" t="s">
        <v>8</v>
      </c>
      <c r="M3660" s="23" t="s">
        <v>8</v>
      </c>
    </row>
    <row r="3661" spans="1:13" s="21" customFormat="1" x14ac:dyDescent="0.25">
      <c r="A3661" s="22" t="s">
        <v>8</v>
      </c>
      <c r="B3661" s="18" t="str">
        <f>"155041"</f>
        <v>155041</v>
      </c>
      <c r="C3661" s="19" t="s">
        <v>3649</v>
      </c>
      <c r="D3661" s="19" t="s">
        <v>19088</v>
      </c>
      <c r="E3661" s="19" t="s">
        <v>32200</v>
      </c>
      <c r="F3661" s="19" t="s">
        <v>35988</v>
      </c>
      <c r="G3661" s="18" t="str">
        <f>"46224"</f>
        <v>46224</v>
      </c>
      <c r="H3661" s="19" t="s">
        <v>30850</v>
      </c>
      <c r="I3661" s="20">
        <v>16.512</v>
      </c>
      <c r="J3661" s="44" t="s">
        <v>8</v>
      </c>
      <c r="K3661" s="23" t="s">
        <v>8</v>
      </c>
      <c r="L3661" s="23" t="s">
        <v>8</v>
      </c>
      <c r="M3661" s="23" t="s">
        <v>8</v>
      </c>
    </row>
    <row r="3662" spans="1:13" s="21" customFormat="1" x14ac:dyDescent="0.25">
      <c r="A3662" s="22" t="s">
        <v>8</v>
      </c>
      <c r="B3662" s="18" t="str">
        <f>"155042"</f>
        <v>155042</v>
      </c>
      <c r="C3662" s="19" t="s">
        <v>3650</v>
      </c>
      <c r="D3662" s="19" t="s">
        <v>19089</v>
      </c>
      <c r="E3662" s="19" t="s">
        <v>32206</v>
      </c>
      <c r="F3662" s="19" t="s">
        <v>35988</v>
      </c>
      <c r="G3662" s="18" t="str">
        <f>"47591"</f>
        <v>47591</v>
      </c>
      <c r="H3662" s="19" t="s">
        <v>32252</v>
      </c>
      <c r="I3662" s="20">
        <v>18.957999999999998</v>
      </c>
      <c r="J3662" s="44" t="s">
        <v>8</v>
      </c>
      <c r="K3662" s="23" t="s">
        <v>8</v>
      </c>
      <c r="L3662" s="23" t="s">
        <v>8</v>
      </c>
      <c r="M3662" s="23" t="s">
        <v>8</v>
      </c>
    </row>
    <row r="3663" spans="1:13" s="21" customFormat="1" x14ac:dyDescent="0.25">
      <c r="A3663" s="22" t="s">
        <v>8</v>
      </c>
      <c r="B3663" s="18" t="str">
        <f>"155049"</f>
        <v>155049</v>
      </c>
      <c r="C3663" s="19" t="s">
        <v>3643</v>
      </c>
      <c r="D3663" s="19" t="s">
        <v>19090</v>
      </c>
      <c r="E3663" s="19" t="s">
        <v>32201</v>
      </c>
      <c r="F3663" s="19" t="s">
        <v>35988</v>
      </c>
      <c r="G3663" s="18" t="str">
        <f>"46580"</f>
        <v>46580</v>
      </c>
      <c r="H3663" s="19" t="s">
        <v>33546</v>
      </c>
      <c r="I3663" s="20">
        <v>18.193000000000001</v>
      </c>
      <c r="J3663" s="44" t="s">
        <v>8</v>
      </c>
      <c r="K3663" s="23" t="s">
        <v>8</v>
      </c>
      <c r="L3663" s="23" t="s">
        <v>8</v>
      </c>
      <c r="M3663" s="23" t="s">
        <v>8</v>
      </c>
    </row>
    <row r="3664" spans="1:13" s="21" customFormat="1" x14ac:dyDescent="0.25">
      <c r="A3664" s="22" t="s">
        <v>8</v>
      </c>
      <c r="B3664" s="18" t="str">
        <f>"155053"</f>
        <v>155053</v>
      </c>
      <c r="C3664" s="19" t="s">
        <v>3651</v>
      </c>
      <c r="D3664" s="19" t="s">
        <v>19091</v>
      </c>
      <c r="E3664" s="19" t="s">
        <v>32017</v>
      </c>
      <c r="F3664" s="19" t="s">
        <v>35988</v>
      </c>
      <c r="G3664" s="18" t="str">
        <f>"46173"</f>
        <v>46173</v>
      </c>
      <c r="H3664" s="19" t="s">
        <v>36250</v>
      </c>
      <c r="I3664" s="20">
        <v>19.623999999999999</v>
      </c>
      <c r="J3664" s="44" t="s">
        <v>8</v>
      </c>
      <c r="K3664" s="23" t="s">
        <v>8</v>
      </c>
      <c r="L3664" s="23" t="s">
        <v>8</v>
      </c>
      <c r="M3664" s="23" t="s">
        <v>8</v>
      </c>
    </row>
    <row r="3665" spans="1:13" s="21" customFormat="1" x14ac:dyDescent="0.25">
      <c r="A3665" s="22" t="s">
        <v>8</v>
      </c>
      <c r="B3665" s="18" t="str">
        <f>"155059"</f>
        <v>155059</v>
      </c>
      <c r="C3665" s="19" t="s">
        <v>3643</v>
      </c>
      <c r="D3665" s="19" t="s">
        <v>19092</v>
      </c>
      <c r="E3665" s="19" t="s">
        <v>32207</v>
      </c>
      <c r="F3665" s="19" t="s">
        <v>35988</v>
      </c>
      <c r="G3665" s="18" t="str">
        <f>"46750"</f>
        <v>46750</v>
      </c>
      <c r="H3665" s="19" t="s">
        <v>32207</v>
      </c>
      <c r="I3665" s="20">
        <v>18.884</v>
      </c>
      <c r="J3665" s="44" t="s">
        <v>8</v>
      </c>
      <c r="K3665" s="23" t="s">
        <v>8</v>
      </c>
      <c r="L3665" s="23" t="s">
        <v>8</v>
      </c>
      <c r="M3665" s="23" t="s">
        <v>8</v>
      </c>
    </row>
    <row r="3666" spans="1:13" s="21" customFormat="1" x14ac:dyDescent="0.25">
      <c r="A3666" s="22" t="s">
        <v>8</v>
      </c>
      <c r="B3666" s="18" t="str">
        <f>"155061"</f>
        <v>155061</v>
      </c>
      <c r="C3666" s="19" t="s">
        <v>3652</v>
      </c>
      <c r="D3666" s="19" t="s">
        <v>19093</v>
      </c>
      <c r="E3666" s="19" t="s">
        <v>32208</v>
      </c>
      <c r="F3666" s="19" t="s">
        <v>35988</v>
      </c>
      <c r="G3666" s="18" t="str">
        <f>"47025"</f>
        <v>47025</v>
      </c>
      <c r="H3666" s="19" t="s">
        <v>33273</v>
      </c>
      <c r="I3666" s="20">
        <v>19.533000000000001</v>
      </c>
      <c r="J3666" s="44" t="s">
        <v>8</v>
      </c>
      <c r="K3666" s="23" t="s">
        <v>8</v>
      </c>
      <c r="L3666" s="23" t="s">
        <v>8</v>
      </c>
      <c r="M3666" s="23" t="s">
        <v>8</v>
      </c>
    </row>
    <row r="3667" spans="1:13" s="21" customFormat="1" x14ac:dyDescent="0.25">
      <c r="A3667" s="22" t="s">
        <v>8</v>
      </c>
      <c r="B3667" s="18" t="str">
        <f>"155062"</f>
        <v>155062</v>
      </c>
      <c r="C3667" s="19" t="s">
        <v>3653</v>
      </c>
      <c r="D3667" s="19" t="s">
        <v>19094</v>
      </c>
      <c r="E3667" s="19" t="s">
        <v>32209</v>
      </c>
      <c r="F3667" s="19" t="s">
        <v>35988</v>
      </c>
      <c r="G3667" s="18" t="str">
        <f>"46350"</f>
        <v>46350</v>
      </c>
      <c r="H3667" s="19" t="s">
        <v>32209</v>
      </c>
      <c r="I3667" s="20">
        <v>18.016999999999999</v>
      </c>
      <c r="J3667" s="44" t="s">
        <v>8</v>
      </c>
      <c r="K3667" s="23" t="s">
        <v>8</v>
      </c>
      <c r="L3667" s="23" t="s">
        <v>8</v>
      </c>
      <c r="M3667" s="23" t="s">
        <v>8</v>
      </c>
    </row>
    <row r="3668" spans="1:13" s="21" customFormat="1" x14ac:dyDescent="0.25">
      <c r="A3668" s="22" t="s">
        <v>8</v>
      </c>
      <c r="B3668" s="18" t="str">
        <f>"155064"</f>
        <v>155064</v>
      </c>
      <c r="C3668" s="19" t="s">
        <v>3654</v>
      </c>
      <c r="D3668" s="19" t="s">
        <v>19095</v>
      </c>
      <c r="E3668" s="19" t="s">
        <v>32210</v>
      </c>
      <c r="F3668" s="19" t="s">
        <v>35988</v>
      </c>
      <c r="G3668" s="18" t="str">
        <f>"46902"</f>
        <v>46902</v>
      </c>
      <c r="H3668" s="19" t="s">
        <v>32644</v>
      </c>
      <c r="I3668" s="20">
        <v>21.942</v>
      </c>
      <c r="J3668" s="44" t="s">
        <v>8</v>
      </c>
      <c r="K3668" s="23" t="s">
        <v>8</v>
      </c>
      <c r="L3668" s="23" t="s">
        <v>8</v>
      </c>
      <c r="M3668" s="23" t="s">
        <v>8</v>
      </c>
    </row>
    <row r="3669" spans="1:13" s="21" customFormat="1" x14ac:dyDescent="0.25">
      <c r="A3669" s="22" t="s">
        <v>8</v>
      </c>
      <c r="B3669" s="18" t="str">
        <f>"155066"</f>
        <v>155066</v>
      </c>
      <c r="C3669" s="19" t="s">
        <v>3655</v>
      </c>
      <c r="D3669" s="19" t="s">
        <v>19096</v>
      </c>
      <c r="E3669" s="19" t="s">
        <v>32202</v>
      </c>
      <c r="F3669" s="19" t="s">
        <v>35988</v>
      </c>
      <c r="G3669" s="18" t="str">
        <f>"46011"</f>
        <v>46011</v>
      </c>
      <c r="H3669" s="19" t="s">
        <v>30899</v>
      </c>
      <c r="I3669" s="20">
        <v>20.291</v>
      </c>
      <c r="J3669" s="44" t="s">
        <v>8</v>
      </c>
      <c r="K3669" s="23" t="s">
        <v>8</v>
      </c>
      <c r="L3669" s="23" t="s">
        <v>8</v>
      </c>
      <c r="M3669" s="23" t="s">
        <v>8</v>
      </c>
    </row>
    <row r="3670" spans="1:13" s="21" customFormat="1" x14ac:dyDescent="0.25">
      <c r="A3670" s="22" t="s">
        <v>8</v>
      </c>
      <c r="B3670" s="18" t="str">
        <f>"155070"</f>
        <v>155070</v>
      </c>
      <c r="C3670" s="19" t="s">
        <v>3656</v>
      </c>
      <c r="D3670" s="19" t="s">
        <v>19097</v>
      </c>
      <c r="E3670" s="19" t="s">
        <v>32211</v>
      </c>
      <c r="F3670" s="19" t="s">
        <v>35988</v>
      </c>
      <c r="G3670" s="18" t="str">
        <f>"47150"</f>
        <v>47150</v>
      </c>
      <c r="H3670" s="19" t="s">
        <v>35420</v>
      </c>
      <c r="I3670" s="20">
        <v>18.324999999999999</v>
      </c>
      <c r="J3670" s="44" t="s">
        <v>8</v>
      </c>
      <c r="K3670" s="23" t="s">
        <v>8</v>
      </c>
      <c r="L3670" s="23" t="s">
        <v>8</v>
      </c>
      <c r="M3670" s="23" t="s">
        <v>8</v>
      </c>
    </row>
    <row r="3671" spans="1:13" s="21" customFormat="1" x14ac:dyDescent="0.25">
      <c r="A3671" s="22" t="s">
        <v>8</v>
      </c>
      <c r="B3671" s="18" t="str">
        <f>"155072"</f>
        <v>155072</v>
      </c>
      <c r="C3671" s="19" t="s">
        <v>3657</v>
      </c>
      <c r="D3671" s="19" t="s">
        <v>19098</v>
      </c>
      <c r="E3671" s="19" t="s">
        <v>32212</v>
      </c>
      <c r="F3671" s="19" t="s">
        <v>35988</v>
      </c>
      <c r="G3671" s="18" t="str">
        <f>"46107"</f>
        <v>46107</v>
      </c>
      <c r="H3671" s="19" t="s">
        <v>30850</v>
      </c>
      <c r="I3671" s="20">
        <v>16.827000000000002</v>
      </c>
      <c r="J3671" s="44" t="s">
        <v>8</v>
      </c>
      <c r="K3671" s="23" t="s">
        <v>8</v>
      </c>
      <c r="L3671" s="23" t="s">
        <v>8</v>
      </c>
      <c r="M3671" s="23" t="s">
        <v>8</v>
      </c>
    </row>
    <row r="3672" spans="1:13" s="21" customFormat="1" x14ac:dyDescent="0.25">
      <c r="A3672" s="22" t="s">
        <v>8</v>
      </c>
      <c r="B3672" s="18" t="str">
        <f>"155073"</f>
        <v>155073</v>
      </c>
      <c r="C3672" s="19" t="s">
        <v>1581</v>
      </c>
      <c r="D3672" s="19" t="s">
        <v>19099</v>
      </c>
      <c r="E3672" s="19" t="s">
        <v>31465</v>
      </c>
      <c r="F3672" s="19" t="s">
        <v>35988</v>
      </c>
      <c r="G3672" s="18" t="str">
        <f>"46563"</f>
        <v>46563</v>
      </c>
      <c r="H3672" s="19" t="s">
        <v>31063</v>
      </c>
      <c r="I3672" s="20">
        <v>16.504999999999999</v>
      </c>
      <c r="J3672" s="44" t="s">
        <v>8</v>
      </c>
      <c r="K3672" s="23" t="s">
        <v>8</v>
      </c>
      <c r="L3672" s="23" t="s">
        <v>8</v>
      </c>
      <c r="M3672" s="23" t="s">
        <v>8</v>
      </c>
    </row>
    <row r="3673" spans="1:13" s="21" customFormat="1" x14ac:dyDescent="0.25">
      <c r="A3673" s="22" t="s">
        <v>8</v>
      </c>
      <c r="B3673" s="18" t="str">
        <f>"155076"</f>
        <v>155076</v>
      </c>
      <c r="C3673" s="19" t="s">
        <v>3658</v>
      </c>
      <c r="D3673" s="19" t="s">
        <v>19100</v>
      </c>
      <c r="E3673" s="19" t="s">
        <v>32200</v>
      </c>
      <c r="F3673" s="19" t="s">
        <v>35988</v>
      </c>
      <c r="G3673" s="18" t="str">
        <f>"46219"</f>
        <v>46219</v>
      </c>
      <c r="H3673" s="19" t="s">
        <v>30850</v>
      </c>
      <c r="I3673" s="20">
        <v>20.718</v>
      </c>
      <c r="J3673" s="44" t="s">
        <v>8</v>
      </c>
      <c r="K3673" s="23" t="s">
        <v>8</v>
      </c>
      <c r="L3673" s="23" t="s">
        <v>8</v>
      </c>
      <c r="M3673" s="23" t="s">
        <v>8</v>
      </c>
    </row>
    <row r="3674" spans="1:13" s="21" customFormat="1" x14ac:dyDescent="0.25">
      <c r="A3674" s="22" t="s">
        <v>8</v>
      </c>
      <c r="B3674" s="18" t="str">
        <f>"155077"</f>
        <v>155077</v>
      </c>
      <c r="C3674" s="19" t="s">
        <v>3659</v>
      </c>
      <c r="D3674" s="19" t="s">
        <v>19101</v>
      </c>
      <c r="E3674" s="19" t="s">
        <v>32200</v>
      </c>
      <c r="F3674" s="19" t="s">
        <v>35988</v>
      </c>
      <c r="G3674" s="18" t="str">
        <f>"46224"</f>
        <v>46224</v>
      </c>
      <c r="H3674" s="19" t="s">
        <v>30850</v>
      </c>
      <c r="I3674" s="20">
        <v>20.145</v>
      </c>
      <c r="J3674" s="44" t="s">
        <v>8</v>
      </c>
      <c r="K3674" s="23" t="s">
        <v>8</v>
      </c>
      <c r="L3674" s="23" t="s">
        <v>8</v>
      </c>
      <c r="M3674" s="23" t="s">
        <v>8</v>
      </c>
    </row>
    <row r="3675" spans="1:13" s="21" customFormat="1" x14ac:dyDescent="0.25">
      <c r="A3675" s="22" t="s">
        <v>8</v>
      </c>
      <c r="B3675" s="18" t="str">
        <f>"155086"</f>
        <v>155086</v>
      </c>
      <c r="C3675" s="19" t="s">
        <v>3660</v>
      </c>
      <c r="D3675" s="19" t="s">
        <v>19102</v>
      </c>
      <c r="E3675" s="19" t="s">
        <v>32213</v>
      </c>
      <c r="F3675" s="19" t="s">
        <v>35988</v>
      </c>
      <c r="G3675" s="18" t="str">
        <f>"46514"</f>
        <v>46514</v>
      </c>
      <c r="H3675" s="19" t="s">
        <v>32213</v>
      </c>
      <c r="I3675" s="20">
        <v>19.466000000000001</v>
      </c>
      <c r="J3675" s="44" t="s">
        <v>8</v>
      </c>
      <c r="K3675" s="23" t="s">
        <v>8</v>
      </c>
      <c r="L3675" s="23" t="s">
        <v>8</v>
      </c>
      <c r="M3675" s="23" t="s">
        <v>8</v>
      </c>
    </row>
    <row r="3676" spans="1:13" s="21" customFormat="1" x14ac:dyDescent="0.25">
      <c r="A3676" s="22" t="s">
        <v>8</v>
      </c>
      <c r="B3676" s="18" t="str">
        <f>"155089"</f>
        <v>155089</v>
      </c>
      <c r="C3676" s="19" t="s">
        <v>3661</v>
      </c>
      <c r="D3676" s="19" t="s">
        <v>19103</v>
      </c>
      <c r="E3676" s="19" t="s">
        <v>31498</v>
      </c>
      <c r="F3676" s="19" t="s">
        <v>35988</v>
      </c>
      <c r="G3676" s="18" t="str">
        <f>"47362"</f>
        <v>47362</v>
      </c>
      <c r="H3676" s="19" t="s">
        <v>32041</v>
      </c>
      <c r="I3676" s="20">
        <v>17.872</v>
      </c>
      <c r="J3676" s="44" t="s">
        <v>8</v>
      </c>
      <c r="K3676" s="23" t="s">
        <v>8</v>
      </c>
      <c r="L3676" s="23" t="s">
        <v>8</v>
      </c>
      <c r="M3676" s="23" t="s">
        <v>8</v>
      </c>
    </row>
    <row r="3677" spans="1:13" s="21" customFormat="1" x14ac:dyDescent="0.25">
      <c r="A3677" s="22" t="s">
        <v>8</v>
      </c>
      <c r="B3677" s="18" t="str">
        <f>"155093"</f>
        <v>155093</v>
      </c>
      <c r="C3677" s="19" t="s">
        <v>3662</v>
      </c>
      <c r="D3677" s="19" t="s">
        <v>19104</v>
      </c>
      <c r="E3677" s="19" t="s">
        <v>31998</v>
      </c>
      <c r="F3677" s="19" t="s">
        <v>35988</v>
      </c>
      <c r="G3677" s="18" t="str">
        <f>"47670"</f>
        <v>47670</v>
      </c>
      <c r="H3677" s="19" t="s">
        <v>31829</v>
      </c>
      <c r="I3677" s="20">
        <v>17.823</v>
      </c>
      <c r="J3677" s="44" t="s">
        <v>8</v>
      </c>
      <c r="K3677" s="23" t="s">
        <v>8</v>
      </c>
      <c r="L3677" s="23" t="s">
        <v>8</v>
      </c>
      <c r="M3677" s="23" t="s">
        <v>8</v>
      </c>
    </row>
    <row r="3678" spans="1:13" s="21" customFormat="1" x14ac:dyDescent="0.25">
      <c r="A3678" s="22" t="s">
        <v>8</v>
      </c>
      <c r="B3678" s="18" t="str">
        <f>"155094"</f>
        <v>155094</v>
      </c>
      <c r="C3678" s="19" t="s">
        <v>3663</v>
      </c>
      <c r="D3678" s="19" t="s">
        <v>19105</v>
      </c>
      <c r="E3678" s="19" t="s">
        <v>30892</v>
      </c>
      <c r="F3678" s="19" t="s">
        <v>35988</v>
      </c>
      <c r="G3678" s="18" t="str">
        <f>"47904"</f>
        <v>47904</v>
      </c>
      <c r="H3678" s="19" t="s">
        <v>36251</v>
      </c>
      <c r="I3678" s="20">
        <v>18.280999999999999</v>
      </c>
      <c r="J3678" s="44" t="s">
        <v>8</v>
      </c>
      <c r="K3678" s="23" t="s">
        <v>8</v>
      </c>
      <c r="L3678" s="23" t="s">
        <v>8</v>
      </c>
      <c r="M3678" s="23" t="s">
        <v>8</v>
      </c>
    </row>
    <row r="3679" spans="1:13" s="21" customFormat="1" x14ac:dyDescent="0.25">
      <c r="A3679" s="22" t="s">
        <v>8</v>
      </c>
      <c r="B3679" s="18" t="str">
        <f>"155095"</f>
        <v>155095</v>
      </c>
      <c r="C3679" s="19" t="s">
        <v>3664</v>
      </c>
      <c r="D3679" s="19" t="s">
        <v>19106</v>
      </c>
      <c r="E3679" s="19" t="s">
        <v>32214</v>
      </c>
      <c r="F3679" s="19" t="s">
        <v>35988</v>
      </c>
      <c r="G3679" s="18" t="str">
        <f>"46805"</f>
        <v>46805</v>
      </c>
      <c r="H3679" s="19" t="s">
        <v>34710</v>
      </c>
      <c r="I3679" s="20">
        <v>18.512</v>
      </c>
      <c r="J3679" s="44" t="s">
        <v>8</v>
      </c>
      <c r="K3679" s="23" t="s">
        <v>8</v>
      </c>
      <c r="L3679" s="23" t="s">
        <v>8</v>
      </c>
      <c r="M3679" s="23" t="s">
        <v>8</v>
      </c>
    </row>
    <row r="3680" spans="1:13" s="21" customFormat="1" x14ac:dyDescent="0.25">
      <c r="A3680" s="22" t="s">
        <v>8</v>
      </c>
      <c r="B3680" s="18" t="str">
        <f>"155100"</f>
        <v>155100</v>
      </c>
      <c r="C3680" s="19" t="s">
        <v>3665</v>
      </c>
      <c r="D3680" s="19" t="s">
        <v>19107</v>
      </c>
      <c r="E3680" s="19" t="s">
        <v>32215</v>
      </c>
      <c r="F3680" s="19" t="s">
        <v>35988</v>
      </c>
      <c r="G3680" s="18" t="str">
        <f>"47421"</f>
        <v>47421</v>
      </c>
      <c r="H3680" s="19" t="s">
        <v>32568</v>
      </c>
      <c r="I3680" s="20">
        <v>20.577999999999999</v>
      </c>
      <c r="J3680" s="44" t="s">
        <v>8</v>
      </c>
      <c r="K3680" s="23" t="s">
        <v>8</v>
      </c>
      <c r="L3680" s="23" t="s">
        <v>8</v>
      </c>
      <c r="M3680" s="23" t="s">
        <v>8</v>
      </c>
    </row>
    <row r="3681" spans="1:13" s="21" customFormat="1" x14ac:dyDescent="0.25">
      <c r="A3681" s="22" t="s">
        <v>8</v>
      </c>
      <c r="B3681" s="18" t="str">
        <f>"155102"</f>
        <v>155102</v>
      </c>
      <c r="C3681" s="19" t="s">
        <v>3643</v>
      </c>
      <c r="D3681" s="19" t="s">
        <v>19108</v>
      </c>
      <c r="E3681" s="19" t="s">
        <v>31465</v>
      </c>
      <c r="F3681" s="19" t="s">
        <v>35988</v>
      </c>
      <c r="G3681" s="18" t="str">
        <f>"46563"</f>
        <v>46563</v>
      </c>
      <c r="H3681" s="19" t="s">
        <v>31063</v>
      </c>
      <c r="I3681" s="20">
        <v>17.526</v>
      </c>
      <c r="J3681" s="44" t="s">
        <v>8</v>
      </c>
      <c r="K3681" s="23" t="s">
        <v>8</v>
      </c>
      <c r="L3681" s="23" t="s">
        <v>8</v>
      </c>
      <c r="M3681" s="23" t="s">
        <v>8</v>
      </c>
    </row>
    <row r="3682" spans="1:13" s="21" customFormat="1" x14ac:dyDescent="0.25">
      <c r="A3682" s="22" t="s">
        <v>8</v>
      </c>
      <c r="B3682" s="18" t="str">
        <f>"155103"</f>
        <v>155103</v>
      </c>
      <c r="C3682" s="19" t="s">
        <v>3666</v>
      </c>
      <c r="D3682" s="19" t="s">
        <v>19109</v>
      </c>
      <c r="E3682" s="19" t="s">
        <v>32216</v>
      </c>
      <c r="F3682" s="19" t="s">
        <v>35988</v>
      </c>
      <c r="G3682" s="18" t="str">
        <f>"46614"</f>
        <v>46614</v>
      </c>
      <c r="H3682" s="19" t="s">
        <v>33301</v>
      </c>
      <c r="I3682" s="20">
        <v>16.786000000000001</v>
      </c>
      <c r="J3682" s="44" t="s">
        <v>8</v>
      </c>
      <c r="K3682" s="23" t="s">
        <v>8</v>
      </c>
      <c r="L3682" s="23" t="s">
        <v>8</v>
      </c>
      <c r="M3682" s="23" t="s">
        <v>8</v>
      </c>
    </row>
    <row r="3683" spans="1:13" s="21" customFormat="1" x14ac:dyDescent="0.25">
      <c r="A3683" s="22" t="s">
        <v>8</v>
      </c>
      <c r="B3683" s="18" t="str">
        <f>"155104"</f>
        <v>155104</v>
      </c>
      <c r="C3683" s="19" t="s">
        <v>3667</v>
      </c>
      <c r="D3683" s="19" t="s">
        <v>19110</v>
      </c>
      <c r="E3683" s="19" t="s">
        <v>32217</v>
      </c>
      <c r="F3683" s="19" t="s">
        <v>35988</v>
      </c>
      <c r="G3683" s="18" t="str">
        <f>"47710"</f>
        <v>47710</v>
      </c>
      <c r="H3683" s="19" t="s">
        <v>36252</v>
      </c>
      <c r="I3683" s="20">
        <v>14.896000000000001</v>
      </c>
      <c r="J3683" s="44" t="s">
        <v>8</v>
      </c>
      <c r="K3683" s="23" t="s">
        <v>8</v>
      </c>
      <c r="L3683" s="23" t="s">
        <v>8</v>
      </c>
      <c r="M3683" s="23" t="s">
        <v>8</v>
      </c>
    </row>
    <row r="3684" spans="1:13" s="21" customFormat="1" x14ac:dyDescent="0.25">
      <c r="A3684" s="22" t="s">
        <v>8</v>
      </c>
      <c r="B3684" s="18" t="str">
        <f>"155106"</f>
        <v>155106</v>
      </c>
      <c r="C3684" s="19" t="s">
        <v>3668</v>
      </c>
      <c r="D3684" s="19" t="s">
        <v>19111</v>
      </c>
      <c r="E3684" s="19" t="s">
        <v>32218</v>
      </c>
      <c r="F3684" s="19" t="s">
        <v>35988</v>
      </c>
      <c r="G3684" s="18" t="str">
        <f>"46060"</f>
        <v>46060</v>
      </c>
      <c r="H3684" s="19" t="s">
        <v>30804</v>
      </c>
      <c r="I3684" s="20">
        <v>15.881</v>
      </c>
      <c r="J3684" s="44" t="s">
        <v>8</v>
      </c>
      <c r="K3684" s="23" t="s">
        <v>8</v>
      </c>
      <c r="L3684" s="23" t="s">
        <v>8</v>
      </c>
      <c r="M3684" s="23" t="s">
        <v>8</v>
      </c>
    </row>
    <row r="3685" spans="1:13" s="21" customFormat="1" x14ac:dyDescent="0.25">
      <c r="A3685" s="22" t="s">
        <v>8</v>
      </c>
      <c r="B3685" s="18" t="str">
        <f>"155109"</f>
        <v>155109</v>
      </c>
      <c r="C3685" s="19" t="s">
        <v>3669</v>
      </c>
      <c r="D3685" s="19" t="s">
        <v>19112</v>
      </c>
      <c r="E3685" s="19" t="s">
        <v>32219</v>
      </c>
      <c r="F3685" s="19" t="s">
        <v>35988</v>
      </c>
      <c r="G3685" s="18" t="str">
        <f>"46544"</f>
        <v>46544</v>
      </c>
      <c r="H3685" s="19" t="s">
        <v>33301</v>
      </c>
      <c r="I3685" s="20">
        <v>18.527999999999999</v>
      </c>
      <c r="J3685" s="44" t="s">
        <v>8</v>
      </c>
      <c r="K3685" s="23" t="s">
        <v>8</v>
      </c>
      <c r="L3685" s="23" t="s">
        <v>8</v>
      </c>
      <c r="M3685" s="23" t="s">
        <v>8</v>
      </c>
    </row>
    <row r="3686" spans="1:13" s="21" customFormat="1" x14ac:dyDescent="0.25">
      <c r="A3686" s="22" t="s">
        <v>8</v>
      </c>
      <c r="B3686" s="18" t="str">
        <f>"155115"</f>
        <v>155115</v>
      </c>
      <c r="C3686" s="19" t="s">
        <v>3670</v>
      </c>
      <c r="D3686" s="19" t="s">
        <v>19113</v>
      </c>
      <c r="E3686" s="19" t="s">
        <v>32216</v>
      </c>
      <c r="F3686" s="19" t="s">
        <v>35988</v>
      </c>
      <c r="G3686" s="18" t="str">
        <f>"46617"</f>
        <v>46617</v>
      </c>
      <c r="H3686" s="19" t="s">
        <v>33301</v>
      </c>
      <c r="I3686" s="20">
        <v>18.143000000000001</v>
      </c>
      <c r="J3686" s="44" t="s">
        <v>8</v>
      </c>
      <c r="K3686" s="23" t="s">
        <v>8</v>
      </c>
      <c r="L3686" s="23" t="s">
        <v>8</v>
      </c>
      <c r="M3686" s="23" t="s">
        <v>8</v>
      </c>
    </row>
    <row r="3687" spans="1:13" s="21" customFormat="1" x14ac:dyDescent="0.25">
      <c r="A3687" s="22" t="s">
        <v>8</v>
      </c>
      <c r="B3687" s="18" t="str">
        <f>"155118"</f>
        <v>155118</v>
      </c>
      <c r="C3687" s="19" t="s">
        <v>3643</v>
      </c>
      <c r="D3687" s="19" t="s">
        <v>19114</v>
      </c>
      <c r="E3687" s="19" t="s">
        <v>31730</v>
      </c>
      <c r="F3687" s="19" t="s">
        <v>35988</v>
      </c>
      <c r="G3687" s="18" t="str">
        <f>"46761"</f>
        <v>46761</v>
      </c>
      <c r="H3687" s="19" t="s">
        <v>31730</v>
      </c>
      <c r="I3687" s="20">
        <v>17.652999999999999</v>
      </c>
      <c r="J3687" s="44" t="s">
        <v>8</v>
      </c>
      <c r="K3687" s="23" t="s">
        <v>8</v>
      </c>
      <c r="L3687" s="23" t="s">
        <v>8</v>
      </c>
      <c r="M3687" s="23" t="s">
        <v>8</v>
      </c>
    </row>
    <row r="3688" spans="1:13" s="21" customFormat="1" x14ac:dyDescent="0.25">
      <c r="A3688" s="22" t="s">
        <v>8</v>
      </c>
      <c r="B3688" s="18" t="str">
        <f>"155120"</f>
        <v>155120</v>
      </c>
      <c r="C3688" s="19" t="s">
        <v>3671</v>
      </c>
      <c r="D3688" s="19" t="s">
        <v>19115</v>
      </c>
      <c r="E3688" s="19" t="s">
        <v>32220</v>
      </c>
      <c r="F3688" s="19" t="s">
        <v>35988</v>
      </c>
      <c r="G3688" s="18" t="str">
        <f>"46140"</f>
        <v>46140</v>
      </c>
      <c r="H3688" s="19" t="s">
        <v>33144</v>
      </c>
      <c r="I3688" s="20">
        <v>18.128</v>
      </c>
      <c r="J3688" s="44" t="s">
        <v>8</v>
      </c>
      <c r="K3688" s="23" t="s">
        <v>8</v>
      </c>
      <c r="L3688" s="23" t="s">
        <v>8</v>
      </c>
      <c r="M3688" s="23" t="s">
        <v>8</v>
      </c>
    </row>
    <row r="3689" spans="1:13" s="21" customFormat="1" x14ac:dyDescent="0.25">
      <c r="A3689" s="22" t="s">
        <v>8</v>
      </c>
      <c r="B3689" s="18" t="str">
        <f>"155121"</f>
        <v>155121</v>
      </c>
      <c r="C3689" s="19" t="s">
        <v>3672</v>
      </c>
      <c r="D3689" s="19" t="s">
        <v>19116</v>
      </c>
      <c r="E3689" s="19" t="s">
        <v>30892</v>
      </c>
      <c r="F3689" s="19" t="s">
        <v>35988</v>
      </c>
      <c r="G3689" s="18" t="str">
        <f>"47904"</f>
        <v>47904</v>
      </c>
      <c r="H3689" s="19" t="s">
        <v>36251</v>
      </c>
      <c r="I3689" s="20">
        <v>20.059000000000001</v>
      </c>
      <c r="J3689" s="44" t="s">
        <v>8</v>
      </c>
      <c r="K3689" s="23" t="s">
        <v>8</v>
      </c>
      <c r="L3689" s="23" t="s">
        <v>8</v>
      </c>
      <c r="M3689" s="23" t="s">
        <v>8</v>
      </c>
    </row>
    <row r="3690" spans="1:13" s="21" customFormat="1" x14ac:dyDescent="0.25">
      <c r="A3690" s="22" t="s">
        <v>8</v>
      </c>
      <c r="B3690" s="18" t="str">
        <f>"155124"</f>
        <v>155124</v>
      </c>
      <c r="C3690" s="19" t="s">
        <v>3673</v>
      </c>
      <c r="D3690" s="19" t="s">
        <v>19117</v>
      </c>
      <c r="E3690" s="19" t="s">
        <v>31081</v>
      </c>
      <c r="F3690" s="19" t="s">
        <v>35988</v>
      </c>
      <c r="G3690" s="18" t="str">
        <f>"47842"</f>
        <v>47842</v>
      </c>
      <c r="H3690" s="19" t="s">
        <v>36253</v>
      </c>
      <c r="I3690" s="20">
        <v>22.341999999999999</v>
      </c>
      <c r="J3690" s="44" t="s">
        <v>8</v>
      </c>
      <c r="K3690" s="23" t="s">
        <v>8</v>
      </c>
      <c r="L3690" s="23" t="s">
        <v>8</v>
      </c>
      <c r="M3690" s="23" t="s">
        <v>8</v>
      </c>
    </row>
    <row r="3691" spans="1:13" s="21" customFormat="1" x14ac:dyDescent="0.25">
      <c r="A3691" s="22" t="s">
        <v>8</v>
      </c>
      <c r="B3691" s="18" t="str">
        <f>"155126"</f>
        <v>155126</v>
      </c>
      <c r="C3691" s="19" t="s">
        <v>3674</v>
      </c>
      <c r="D3691" s="19" t="s">
        <v>19118</v>
      </c>
      <c r="E3691" s="19" t="s">
        <v>32221</v>
      </c>
      <c r="F3691" s="19" t="s">
        <v>35988</v>
      </c>
      <c r="G3691" s="18" t="str">
        <f>"47432"</f>
        <v>47432</v>
      </c>
      <c r="H3691" s="19" t="s">
        <v>31169</v>
      </c>
      <c r="I3691" s="20">
        <v>16.533000000000001</v>
      </c>
      <c r="J3691" s="44" t="s">
        <v>8</v>
      </c>
      <c r="K3691" s="23" t="s">
        <v>8</v>
      </c>
      <c r="L3691" s="23" t="s">
        <v>8</v>
      </c>
      <c r="M3691" s="23" t="s">
        <v>8</v>
      </c>
    </row>
    <row r="3692" spans="1:13" s="21" customFormat="1" x14ac:dyDescent="0.25">
      <c r="A3692" s="22" t="s">
        <v>8</v>
      </c>
      <c r="B3692" s="18" t="str">
        <f>"155128"</f>
        <v>155128</v>
      </c>
      <c r="C3692" s="19" t="s">
        <v>3675</v>
      </c>
      <c r="D3692" s="19" t="s">
        <v>19119</v>
      </c>
      <c r="E3692" s="19" t="s">
        <v>32222</v>
      </c>
      <c r="F3692" s="19" t="s">
        <v>35988</v>
      </c>
      <c r="G3692" s="18" t="str">
        <f>"46725"</f>
        <v>46725</v>
      </c>
      <c r="H3692" s="19" t="s">
        <v>36254</v>
      </c>
      <c r="I3692" s="20">
        <v>17.468</v>
      </c>
      <c r="J3692" s="44" t="s">
        <v>8</v>
      </c>
      <c r="K3692" s="23" t="s">
        <v>8</v>
      </c>
      <c r="L3692" s="23" t="s">
        <v>8</v>
      </c>
      <c r="M3692" s="23" t="s">
        <v>8</v>
      </c>
    </row>
    <row r="3693" spans="1:13" s="21" customFormat="1" x14ac:dyDescent="0.25">
      <c r="A3693" s="22" t="s">
        <v>8</v>
      </c>
      <c r="B3693" s="18" t="str">
        <f>"155131"</f>
        <v>155131</v>
      </c>
      <c r="C3693" s="19" t="s">
        <v>3676</v>
      </c>
      <c r="D3693" s="19" t="s">
        <v>19120</v>
      </c>
      <c r="E3693" s="19" t="s">
        <v>32223</v>
      </c>
      <c r="F3693" s="19" t="s">
        <v>35988</v>
      </c>
      <c r="G3693" s="18" t="str">
        <f>"46321"</f>
        <v>46321</v>
      </c>
      <c r="H3693" s="19" t="s">
        <v>36096</v>
      </c>
      <c r="I3693" s="20">
        <v>20.436</v>
      </c>
      <c r="J3693" s="44" t="s">
        <v>8</v>
      </c>
      <c r="K3693" s="23" t="s">
        <v>8</v>
      </c>
      <c r="L3693" s="23" t="s">
        <v>8</v>
      </c>
      <c r="M3693" s="23" t="s">
        <v>8</v>
      </c>
    </row>
    <row r="3694" spans="1:13" s="21" customFormat="1" x14ac:dyDescent="0.25">
      <c r="A3694" s="22" t="s">
        <v>8</v>
      </c>
      <c r="B3694" s="18" t="str">
        <f>"155132"</f>
        <v>155132</v>
      </c>
      <c r="C3694" s="19" t="s">
        <v>3677</v>
      </c>
      <c r="D3694" s="19" t="s">
        <v>19121</v>
      </c>
      <c r="E3694" s="19" t="s">
        <v>30981</v>
      </c>
      <c r="F3694" s="19" t="s">
        <v>35988</v>
      </c>
      <c r="G3694" s="18" t="str">
        <f>"46122"</f>
        <v>46122</v>
      </c>
      <c r="H3694" s="19" t="s">
        <v>33449</v>
      </c>
      <c r="I3694" s="20">
        <v>14.579000000000001</v>
      </c>
      <c r="J3694" s="44" t="s">
        <v>8</v>
      </c>
      <c r="K3694" s="23" t="s">
        <v>8</v>
      </c>
      <c r="L3694" s="23" t="s">
        <v>8</v>
      </c>
      <c r="M3694" s="23" t="s">
        <v>8</v>
      </c>
    </row>
    <row r="3695" spans="1:13" s="21" customFormat="1" x14ac:dyDescent="0.25">
      <c r="A3695" s="22" t="s">
        <v>8</v>
      </c>
      <c r="B3695" s="18" t="str">
        <f>"155133"</f>
        <v>155133</v>
      </c>
      <c r="C3695" s="19" t="s">
        <v>3678</v>
      </c>
      <c r="D3695" s="19" t="s">
        <v>19122</v>
      </c>
      <c r="E3695" s="19" t="s">
        <v>31715</v>
      </c>
      <c r="F3695" s="19" t="s">
        <v>35988</v>
      </c>
      <c r="G3695" s="18" t="str">
        <f>"47201"</f>
        <v>47201</v>
      </c>
      <c r="H3695" s="19" t="s">
        <v>36255</v>
      </c>
      <c r="I3695" s="20">
        <v>18.183</v>
      </c>
      <c r="J3695" s="44" t="s">
        <v>8</v>
      </c>
      <c r="K3695" s="23" t="s">
        <v>8</v>
      </c>
      <c r="L3695" s="23" t="s">
        <v>8</v>
      </c>
      <c r="M3695" s="23" t="s">
        <v>8</v>
      </c>
    </row>
    <row r="3696" spans="1:13" s="21" customFormat="1" x14ac:dyDescent="0.25">
      <c r="A3696" s="22" t="s">
        <v>8</v>
      </c>
      <c r="B3696" s="18" t="str">
        <f>"155135"</f>
        <v>155135</v>
      </c>
      <c r="C3696" s="19" t="s">
        <v>3679</v>
      </c>
      <c r="D3696" s="19" t="s">
        <v>19123</v>
      </c>
      <c r="E3696" s="19" t="s">
        <v>32215</v>
      </c>
      <c r="F3696" s="19" t="s">
        <v>35988</v>
      </c>
      <c r="G3696" s="18" t="str">
        <f>"47421"</f>
        <v>47421</v>
      </c>
      <c r="H3696" s="19" t="s">
        <v>32568</v>
      </c>
      <c r="I3696" s="20">
        <v>20.047000000000001</v>
      </c>
      <c r="J3696" s="44" t="s">
        <v>8</v>
      </c>
      <c r="K3696" s="23" t="s">
        <v>8</v>
      </c>
      <c r="L3696" s="23" t="s">
        <v>8</v>
      </c>
      <c r="M3696" s="23" t="s">
        <v>8</v>
      </c>
    </row>
    <row r="3697" spans="1:13" s="21" customFormat="1" x14ac:dyDescent="0.25">
      <c r="A3697" s="22" t="s">
        <v>8</v>
      </c>
      <c r="B3697" s="18" t="str">
        <f>"155136"</f>
        <v>155136</v>
      </c>
      <c r="C3697" s="19" t="s">
        <v>3680</v>
      </c>
      <c r="D3697" s="19" t="s">
        <v>19124</v>
      </c>
      <c r="E3697" s="19" t="s">
        <v>32209</v>
      </c>
      <c r="F3697" s="19" t="s">
        <v>35988</v>
      </c>
      <c r="G3697" s="18" t="str">
        <f>"46350"</f>
        <v>46350</v>
      </c>
      <c r="H3697" s="19" t="s">
        <v>32209</v>
      </c>
      <c r="I3697" s="20">
        <v>17.385000000000002</v>
      </c>
      <c r="J3697" s="44" t="s">
        <v>8</v>
      </c>
      <c r="K3697" s="23" t="s">
        <v>8</v>
      </c>
      <c r="L3697" s="23" t="s">
        <v>8</v>
      </c>
      <c r="M3697" s="23" t="s">
        <v>8</v>
      </c>
    </row>
    <row r="3698" spans="1:13" s="21" customFormat="1" x14ac:dyDescent="0.25">
      <c r="A3698" s="22" t="s">
        <v>8</v>
      </c>
      <c r="B3698" s="18" t="str">
        <f>"155137"</f>
        <v>155137</v>
      </c>
      <c r="C3698" s="19" t="s">
        <v>3681</v>
      </c>
      <c r="D3698" s="19" t="s">
        <v>19125</v>
      </c>
      <c r="E3698" s="19" t="s">
        <v>32224</v>
      </c>
      <c r="F3698" s="19" t="s">
        <v>35988</v>
      </c>
      <c r="G3698" s="18" t="str">
        <f>"46383"</f>
        <v>46383</v>
      </c>
      <c r="H3698" s="19" t="s">
        <v>36256</v>
      </c>
      <c r="I3698" s="20">
        <v>17.797000000000001</v>
      </c>
      <c r="J3698" s="44" t="s">
        <v>8</v>
      </c>
      <c r="K3698" s="23" t="s">
        <v>8</v>
      </c>
      <c r="L3698" s="23" t="s">
        <v>8</v>
      </c>
      <c r="M3698" s="23" t="s">
        <v>8</v>
      </c>
    </row>
    <row r="3699" spans="1:13" s="21" customFormat="1" x14ac:dyDescent="0.25">
      <c r="A3699" s="22" t="s">
        <v>8</v>
      </c>
      <c r="B3699" s="18" t="str">
        <f>"155138"</f>
        <v>155138</v>
      </c>
      <c r="C3699" s="19" t="s">
        <v>3682</v>
      </c>
      <c r="D3699" s="19" t="s">
        <v>19126</v>
      </c>
      <c r="E3699" s="19" t="s">
        <v>32200</v>
      </c>
      <c r="F3699" s="19" t="s">
        <v>35988</v>
      </c>
      <c r="G3699" s="18" t="str">
        <f>"46203"</f>
        <v>46203</v>
      </c>
      <c r="H3699" s="19" t="s">
        <v>30850</v>
      </c>
      <c r="I3699" s="20">
        <v>17.783999999999999</v>
      </c>
      <c r="J3699" s="44" t="s">
        <v>8</v>
      </c>
      <c r="K3699" s="23" t="s">
        <v>8</v>
      </c>
      <c r="L3699" s="23" t="s">
        <v>8</v>
      </c>
      <c r="M3699" s="23" t="s">
        <v>8</v>
      </c>
    </row>
    <row r="3700" spans="1:13" s="21" customFormat="1" x14ac:dyDescent="0.25">
      <c r="A3700" s="22" t="s">
        <v>8</v>
      </c>
      <c r="B3700" s="18" t="str">
        <f>"155139"</f>
        <v>155139</v>
      </c>
      <c r="C3700" s="19" t="s">
        <v>3683</v>
      </c>
      <c r="D3700" s="19" t="s">
        <v>19127</v>
      </c>
      <c r="E3700" s="19" t="s">
        <v>32210</v>
      </c>
      <c r="F3700" s="19" t="s">
        <v>35988</v>
      </c>
      <c r="G3700" s="18" t="str">
        <f>"46901"</f>
        <v>46901</v>
      </c>
      <c r="H3700" s="19" t="s">
        <v>32644</v>
      </c>
      <c r="I3700" s="20">
        <v>18.210999999999999</v>
      </c>
      <c r="J3700" s="44" t="s">
        <v>8</v>
      </c>
      <c r="K3700" s="23" t="s">
        <v>8</v>
      </c>
      <c r="L3700" s="23" t="s">
        <v>8</v>
      </c>
      <c r="M3700" s="23" t="s">
        <v>8</v>
      </c>
    </row>
    <row r="3701" spans="1:13" s="21" customFormat="1" x14ac:dyDescent="0.25">
      <c r="A3701" s="22" t="s">
        <v>8</v>
      </c>
      <c r="B3701" s="18" t="str">
        <f>"155143"</f>
        <v>155143</v>
      </c>
      <c r="C3701" s="19" t="s">
        <v>3684</v>
      </c>
      <c r="D3701" s="19" t="s">
        <v>19128</v>
      </c>
      <c r="E3701" s="19" t="s">
        <v>32225</v>
      </c>
      <c r="F3701" s="19" t="s">
        <v>35988</v>
      </c>
      <c r="G3701" s="18" t="str">
        <f>"47804"</f>
        <v>47804</v>
      </c>
      <c r="H3701" s="19" t="s">
        <v>36257</v>
      </c>
      <c r="I3701" s="20">
        <v>20.542999999999999</v>
      </c>
      <c r="J3701" s="44" t="s">
        <v>8</v>
      </c>
      <c r="K3701" s="23" t="s">
        <v>8</v>
      </c>
      <c r="L3701" s="23" t="s">
        <v>8</v>
      </c>
      <c r="M3701" s="23" t="s">
        <v>8</v>
      </c>
    </row>
    <row r="3702" spans="1:13" s="21" customFormat="1" x14ac:dyDescent="0.25">
      <c r="A3702" s="22" t="s">
        <v>8</v>
      </c>
      <c r="B3702" s="18" t="str">
        <f>"155145"</f>
        <v>155145</v>
      </c>
      <c r="C3702" s="19" t="s">
        <v>3685</v>
      </c>
      <c r="D3702" s="19" t="s">
        <v>19129</v>
      </c>
      <c r="E3702" s="19" t="s">
        <v>31500</v>
      </c>
      <c r="F3702" s="19" t="s">
        <v>35988</v>
      </c>
      <c r="G3702" s="18" t="str">
        <f>"47501"</f>
        <v>47501</v>
      </c>
      <c r="H3702" s="19" t="s">
        <v>36258</v>
      </c>
      <c r="I3702" s="20">
        <v>20.803999999999998</v>
      </c>
      <c r="J3702" s="44" t="s">
        <v>8</v>
      </c>
      <c r="K3702" s="23" t="s">
        <v>8</v>
      </c>
      <c r="L3702" s="23" t="s">
        <v>8</v>
      </c>
      <c r="M3702" s="23" t="s">
        <v>8</v>
      </c>
    </row>
    <row r="3703" spans="1:13" s="21" customFormat="1" x14ac:dyDescent="0.25">
      <c r="A3703" s="22" t="s">
        <v>8</v>
      </c>
      <c r="B3703" s="18" t="str">
        <f>"155148"</f>
        <v>155148</v>
      </c>
      <c r="C3703" s="19" t="s">
        <v>3686</v>
      </c>
      <c r="D3703" s="19" t="s">
        <v>19130</v>
      </c>
      <c r="E3703" s="19" t="s">
        <v>32217</v>
      </c>
      <c r="F3703" s="19" t="s">
        <v>35988</v>
      </c>
      <c r="G3703" s="18" t="str">
        <f>"47710"</f>
        <v>47710</v>
      </c>
      <c r="H3703" s="19" t="s">
        <v>36252</v>
      </c>
      <c r="I3703" s="20">
        <v>19.170000000000002</v>
      </c>
      <c r="J3703" s="44" t="s">
        <v>8</v>
      </c>
      <c r="K3703" s="23" t="s">
        <v>8</v>
      </c>
      <c r="L3703" s="23" t="s">
        <v>8</v>
      </c>
      <c r="M3703" s="23" t="s">
        <v>8</v>
      </c>
    </row>
    <row r="3704" spans="1:13" s="21" customFormat="1" x14ac:dyDescent="0.25">
      <c r="A3704" s="22" t="s">
        <v>8</v>
      </c>
      <c r="B3704" s="18" t="str">
        <f>"155149"</f>
        <v>155149</v>
      </c>
      <c r="C3704" s="19" t="s">
        <v>3687</v>
      </c>
      <c r="D3704" s="19" t="s">
        <v>19131</v>
      </c>
      <c r="E3704" s="19" t="s">
        <v>32200</v>
      </c>
      <c r="F3704" s="19" t="s">
        <v>35988</v>
      </c>
      <c r="G3704" s="18" t="str">
        <f>"46260"</f>
        <v>46260</v>
      </c>
      <c r="H3704" s="19" t="s">
        <v>30850</v>
      </c>
      <c r="I3704" s="20">
        <v>19.637</v>
      </c>
      <c r="J3704" s="44" t="s">
        <v>8</v>
      </c>
      <c r="K3704" s="23" t="s">
        <v>8</v>
      </c>
      <c r="L3704" s="23" t="s">
        <v>8</v>
      </c>
      <c r="M3704" s="23" t="s">
        <v>8</v>
      </c>
    </row>
    <row r="3705" spans="1:13" s="21" customFormat="1" x14ac:dyDescent="0.25">
      <c r="A3705" s="22" t="s">
        <v>8</v>
      </c>
      <c r="B3705" s="18" t="str">
        <f>"155150"</f>
        <v>155150</v>
      </c>
      <c r="C3705" s="19" t="s">
        <v>3643</v>
      </c>
      <c r="D3705" s="19" t="s">
        <v>19132</v>
      </c>
      <c r="E3705" s="19" t="s">
        <v>32222</v>
      </c>
      <c r="F3705" s="19" t="s">
        <v>35988</v>
      </c>
      <c r="G3705" s="18" t="str">
        <f>"46725"</f>
        <v>46725</v>
      </c>
      <c r="H3705" s="19" t="s">
        <v>36254</v>
      </c>
      <c r="I3705" s="20">
        <v>19.186</v>
      </c>
      <c r="J3705" s="44" t="s">
        <v>8</v>
      </c>
      <c r="K3705" s="23" t="s">
        <v>8</v>
      </c>
      <c r="L3705" s="23" t="s">
        <v>8</v>
      </c>
      <c r="M3705" s="23" t="s">
        <v>8</v>
      </c>
    </row>
    <row r="3706" spans="1:13" s="21" customFormat="1" x14ac:dyDescent="0.25">
      <c r="A3706" s="22" t="s">
        <v>8</v>
      </c>
      <c r="B3706" s="18" t="str">
        <f>"155152"</f>
        <v>155152</v>
      </c>
      <c r="C3706" s="19" t="s">
        <v>3688</v>
      </c>
      <c r="D3706" s="19" t="s">
        <v>19133</v>
      </c>
      <c r="E3706" s="19" t="s">
        <v>30986</v>
      </c>
      <c r="F3706" s="19" t="s">
        <v>35988</v>
      </c>
      <c r="G3706" s="18" t="str">
        <f>"47960"</f>
        <v>47960</v>
      </c>
      <c r="H3706" s="19" t="s">
        <v>35131</v>
      </c>
      <c r="I3706" s="20">
        <v>19.417000000000002</v>
      </c>
      <c r="J3706" s="44" t="s">
        <v>8</v>
      </c>
      <c r="K3706" s="23" t="s">
        <v>8</v>
      </c>
      <c r="L3706" s="23" t="s">
        <v>8</v>
      </c>
      <c r="M3706" s="23" t="s">
        <v>8</v>
      </c>
    </row>
    <row r="3707" spans="1:13" s="21" customFormat="1" x14ac:dyDescent="0.25">
      <c r="A3707" s="22" t="s">
        <v>8</v>
      </c>
      <c r="B3707" s="18" t="str">
        <f>"155153"</f>
        <v>155153</v>
      </c>
      <c r="C3707" s="19" t="s">
        <v>3689</v>
      </c>
      <c r="D3707" s="19" t="s">
        <v>19134</v>
      </c>
      <c r="E3707" s="19" t="s">
        <v>32216</v>
      </c>
      <c r="F3707" s="19" t="s">
        <v>35988</v>
      </c>
      <c r="G3707" s="18" t="str">
        <f>"46637"</f>
        <v>46637</v>
      </c>
      <c r="H3707" s="19" t="s">
        <v>33301</v>
      </c>
      <c r="I3707" s="20">
        <v>16.449000000000002</v>
      </c>
      <c r="J3707" s="44" t="s">
        <v>8</v>
      </c>
      <c r="K3707" s="23" t="s">
        <v>8</v>
      </c>
      <c r="L3707" s="23" t="s">
        <v>8</v>
      </c>
      <c r="M3707" s="23" t="s">
        <v>8</v>
      </c>
    </row>
    <row r="3708" spans="1:13" s="21" customFormat="1" x14ac:dyDescent="0.25">
      <c r="A3708" s="22" t="s">
        <v>8</v>
      </c>
      <c r="B3708" s="18" t="str">
        <f>"155154"</f>
        <v>155154</v>
      </c>
      <c r="C3708" s="19" t="s">
        <v>3690</v>
      </c>
      <c r="D3708" s="19" t="s">
        <v>19135</v>
      </c>
      <c r="E3708" s="19" t="s">
        <v>32200</v>
      </c>
      <c r="F3708" s="19" t="s">
        <v>35988</v>
      </c>
      <c r="G3708" s="18" t="str">
        <f>"46260"</f>
        <v>46260</v>
      </c>
      <c r="H3708" s="19" t="s">
        <v>30850</v>
      </c>
      <c r="I3708" s="20">
        <v>16.286999999999999</v>
      </c>
      <c r="J3708" s="44" t="s">
        <v>8</v>
      </c>
      <c r="K3708" s="23" t="s">
        <v>8</v>
      </c>
      <c r="L3708" s="23" t="s">
        <v>8</v>
      </c>
      <c r="M3708" s="23" t="s">
        <v>8</v>
      </c>
    </row>
    <row r="3709" spans="1:13" s="21" customFormat="1" x14ac:dyDescent="0.25">
      <c r="A3709" s="22" t="s">
        <v>8</v>
      </c>
      <c r="B3709" s="18" t="str">
        <f>"155156"</f>
        <v>155156</v>
      </c>
      <c r="C3709" s="19" t="s">
        <v>3691</v>
      </c>
      <c r="D3709" s="19" t="s">
        <v>19136</v>
      </c>
      <c r="E3709" s="19" t="s">
        <v>32226</v>
      </c>
      <c r="F3709" s="19" t="s">
        <v>35988</v>
      </c>
      <c r="G3709" s="18" t="str">
        <f>"46360"</f>
        <v>46360</v>
      </c>
      <c r="H3709" s="19" t="s">
        <v>32209</v>
      </c>
      <c r="I3709" s="20">
        <v>18.661000000000001</v>
      </c>
      <c r="J3709" s="44" t="s">
        <v>8</v>
      </c>
      <c r="K3709" s="23" t="s">
        <v>8</v>
      </c>
      <c r="L3709" s="23" t="s">
        <v>8</v>
      </c>
      <c r="M3709" s="23" t="s">
        <v>8</v>
      </c>
    </row>
    <row r="3710" spans="1:13" s="21" customFormat="1" x14ac:dyDescent="0.25">
      <c r="A3710" s="22" t="s">
        <v>8</v>
      </c>
      <c r="B3710" s="18" t="str">
        <f>"155157"</f>
        <v>155157</v>
      </c>
      <c r="C3710" s="19" t="s">
        <v>3692</v>
      </c>
      <c r="D3710" s="19" t="s">
        <v>19137</v>
      </c>
      <c r="E3710" s="19" t="s">
        <v>31178</v>
      </c>
      <c r="F3710" s="19" t="s">
        <v>35988</v>
      </c>
      <c r="G3710" s="18" t="str">
        <f>"47374"</f>
        <v>47374</v>
      </c>
      <c r="H3710" s="19" t="s">
        <v>33280</v>
      </c>
      <c r="I3710" s="20">
        <v>19.276</v>
      </c>
      <c r="J3710" s="44" t="s">
        <v>8</v>
      </c>
      <c r="K3710" s="23" t="s">
        <v>8</v>
      </c>
      <c r="L3710" s="23" t="s">
        <v>8</v>
      </c>
      <c r="M3710" s="23" t="s">
        <v>8</v>
      </c>
    </row>
    <row r="3711" spans="1:13" s="21" customFormat="1" x14ac:dyDescent="0.25">
      <c r="A3711" s="22" t="s">
        <v>8</v>
      </c>
      <c r="B3711" s="18" t="str">
        <f>"155158"</f>
        <v>155158</v>
      </c>
      <c r="C3711" s="19" t="s">
        <v>3693</v>
      </c>
      <c r="D3711" s="19" t="s">
        <v>19138</v>
      </c>
      <c r="E3711" s="19" t="s">
        <v>32224</v>
      </c>
      <c r="F3711" s="19" t="s">
        <v>35988</v>
      </c>
      <c r="G3711" s="18" t="str">
        <f>"46383"</f>
        <v>46383</v>
      </c>
      <c r="H3711" s="19" t="s">
        <v>36256</v>
      </c>
      <c r="I3711" s="20">
        <v>16.867999999999999</v>
      </c>
      <c r="J3711" s="44" t="s">
        <v>8</v>
      </c>
      <c r="K3711" s="23" t="s">
        <v>8</v>
      </c>
      <c r="L3711" s="23" t="s">
        <v>8</v>
      </c>
      <c r="M3711" s="23" t="s">
        <v>8</v>
      </c>
    </row>
    <row r="3712" spans="1:13" s="21" customFormat="1" x14ac:dyDescent="0.25">
      <c r="A3712" s="22" t="s">
        <v>8</v>
      </c>
      <c r="B3712" s="18" t="str">
        <f>"155159"</f>
        <v>155159</v>
      </c>
      <c r="C3712" s="19" t="s">
        <v>3694</v>
      </c>
      <c r="D3712" s="19" t="s">
        <v>19139</v>
      </c>
      <c r="E3712" s="19" t="s">
        <v>32214</v>
      </c>
      <c r="F3712" s="19" t="s">
        <v>35988</v>
      </c>
      <c r="G3712" s="18" t="str">
        <f>"46805"</f>
        <v>46805</v>
      </c>
      <c r="H3712" s="19" t="s">
        <v>34710</v>
      </c>
      <c r="I3712" s="20">
        <v>18.742000000000001</v>
      </c>
      <c r="J3712" s="44" t="s">
        <v>8</v>
      </c>
      <c r="K3712" s="23" t="s">
        <v>8</v>
      </c>
      <c r="L3712" s="23" t="s">
        <v>8</v>
      </c>
      <c r="M3712" s="23" t="s">
        <v>8</v>
      </c>
    </row>
    <row r="3713" spans="1:13" s="21" customFormat="1" x14ac:dyDescent="0.25">
      <c r="A3713" s="22" t="s">
        <v>8</v>
      </c>
      <c r="B3713" s="18" t="str">
        <f>"155160"</f>
        <v>155160</v>
      </c>
      <c r="C3713" s="19" t="s">
        <v>3695</v>
      </c>
      <c r="D3713" s="19" t="s">
        <v>19140</v>
      </c>
      <c r="E3713" s="19" t="s">
        <v>31498</v>
      </c>
      <c r="F3713" s="19" t="s">
        <v>35988</v>
      </c>
      <c r="G3713" s="18" t="str">
        <f>"47362"</f>
        <v>47362</v>
      </c>
      <c r="H3713" s="19" t="s">
        <v>32041</v>
      </c>
      <c r="I3713" s="20">
        <v>15.837999999999999</v>
      </c>
      <c r="J3713" s="44" t="s">
        <v>8</v>
      </c>
      <c r="K3713" s="23" t="s">
        <v>8</v>
      </c>
      <c r="L3713" s="23" t="s">
        <v>8</v>
      </c>
      <c r="M3713" s="23" t="s">
        <v>8</v>
      </c>
    </row>
    <row r="3714" spans="1:13" s="21" customFormat="1" x14ac:dyDescent="0.25">
      <c r="A3714" s="22" t="s">
        <v>8</v>
      </c>
      <c r="B3714" s="18" t="str">
        <f>"155162"</f>
        <v>155162</v>
      </c>
      <c r="C3714" s="19" t="s">
        <v>3696</v>
      </c>
      <c r="D3714" s="19" t="s">
        <v>19141</v>
      </c>
      <c r="E3714" s="19" t="s">
        <v>32203</v>
      </c>
      <c r="F3714" s="19" t="s">
        <v>35988</v>
      </c>
      <c r="G3714" s="18" t="str">
        <f>"46992"</f>
        <v>46992</v>
      </c>
      <c r="H3714" s="19" t="s">
        <v>32203</v>
      </c>
      <c r="I3714" s="20">
        <v>21.361999999999998</v>
      </c>
      <c r="J3714" s="44" t="s">
        <v>8</v>
      </c>
      <c r="K3714" s="23" t="s">
        <v>8</v>
      </c>
      <c r="L3714" s="23" t="s">
        <v>8</v>
      </c>
      <c r="M3714" s="23" t="s">
        <v>8</v>
      </c>
    </row>
    <row r="3715" spans="1:13" s="21" customFormat="1" x14ac:dyDescent="0.25">
      <c r="A3715" s="22" t="s">
        <v>8</v>
      </c>
      <c r="B3715" s="18" t="str">
        <f>"155165"</f>
        <v>155165</v>
      </c>
      <c r="C3715" s="19" t="s">
        <v>3697</v>
      </c>
      <c r="D3715" s="19" t="s">
        <v>19142</v>
      </c>
      <c r="E3715" s="19" t="s">
        <v>31010</v>
      </c>
      <c r="F3715" s="19" t="s">
        <v>35988</v>
      </c>
      <c r="G3715" s="18" t="str">
        <f>"47129"</f>
        <v>47129</v>
      </c>
      <c r="H3715" s="19" t="s">
        <v>33967</v>
      </c>
      <c r="I3715" s="20">
        <v>21.23</v>
      </c>
      <c r="J3715" s="44" t="s">
        <v>8</v>
      </c>
      <c r="K3715" s="23" t="s">
        <v>8</v>
      </c>
      <c r="L3715" s="23" t="s">
        <v>8</v>
      </c>
      <c r="M3715" s="23" t="s">
        <v>8</v>
      </c>
    </row>
    <row r="3716" spans="1:13" s="21" customFormat="1" x14ac:dyDescent="0.25">
      <c r="A3716" s="22" t="s">
        <v>8</v>
      </c>
      <c r="B3716" s="18" t="str">
        <f>"155166"</f>
        <v>155166</v>
      </c>
      <c r="C3716" s="19" t="s">
        <v>3698</v>
      </c>
      <c r="D3716" s="19" t="s">
        <v>19143</v>
      </c>
      <c r="E3716" s="19" t="s">
        <v>32224</v>
      </c>
      <c r="F3716" s="19" t="s">
        <v>35988</v>
      </c>
      <c r="G3716" s="18" t="str">
        <f>"46383"</f>
        <v>46383</v>
      </c>
      <c r="H3716" s="19" t="s">
        <v>36256</v>
      </c>
      <c r="I3716" s="20">
        <v>20.375</v>
      </c>
      <c r="J3716" s="44" t="s">
        <v>8</v>
      </c>
      <c r="K3716" s="23" t="s">
        <v>8</v>
      </c>
      <c r="L3716" s="23" t="s">
        <v>8</v>
      </c>
      <c r="M3716" s="23" t="s">
        <v>8</v>
      </c>
    </row>
    <row r="3717" spans="1:13" s="21" customFormat="1" x14ac:dyDescent="0.25">
      <c r="A3717" s="22" t="s">
        <v>8</v>
      </c>
      <c r="B3717" s="18" t="str">
        <f>"155167"</f>
        <v>155167</v>
      </c>
      <c r="C3717" s="19" t="s">
        <v>3699</v>
      </c>
      <c r="D3717" s="19" t="s">
        <v>19144</v>
      </c>
      <c r="E3717" s="19" t="s">
        <v>32200</v>
      </c>
      <c r="F3717" s="19" t="s">
        <v>35988</v>
      </c>
      <c r="G3717" s="18" t="str">
        <f>"46236"</f>
        <v>46236</v>
      </c>
      <c r="H3717" s="19" t="s">
        <v>30850</v>
      </c>
      <c r="I3717" s="20">
        <v>21.513999999999999</v>
      </c>
      <c r="J3717" s="44" t="s">
        <v>8</v>
      </c>
      <c r="K3717" s="23" t="s">
        <v>8</v>
      </c>
      <c r="L3717" s="23" t="s">
        <v>8</v>
      </c>
      <c r="M3717" s="23" t="s">
        <v>8</v>
      </c>
    </row>
    <row r="3718" spans="1:13" s="21" customFormat="1" x14ac:dyDescent="0.25">
      <c r="A3718" s="22" t="s">
        <v>8</v>
      </c>
      <c r="B3718" s="18" t="str">
        <f>"155170"</f>
        <v>155170</v>
      </c>
      <c r="C3718" s="19" t="s">
        <v>3700</v>
      </c>
      <c r="D3718" s="19" t="s">
        <v>19145</v>
      </c>
      <c r="E3718" s="19" t="s">
        <v>32205</v>
      </c>
      <c r="F3718" s="19" t="s">
        <v>35988</v>
      </c>
      <c r="G3718" s="18" t="str">
        <f>"47304"</f>
        <v>47304</v>
      </c>
      <c r="H3718" s="19" t="s">
        <v>34462</v>
      </c>
      <c r="I3718" s="20">
        <v>17.579999999999998</v>
      </c>
      <c r="J3718" s="44" t="s">
        <v>8</v>
      </c>
      <c r="K3718" s="23" t="s">
        <v>8</v>
      </c>
      <c r="L3718" s="23" t="s">
        <v>8</v>
      </c>
      <c r="M3718" s="23" t="s">
        <v>8</v>
      </c>
    </row>
    <row r="3719" spans="1:13" s="21" customFormat="1" x14ac:dyDescent="0.25">
      <c r="A3719" s="22" t="s">
        <v>8</v>
      </c>
      <c r="B3719" s="18" t="str">
        <f>"155171"</f>
        <v>155171</v>
      </c>
      <c r="C3719" s="19" t="s">
        <v>3701</v>
      </c>
      <c r="D3719" s="19" t="s">
        <v>19146</v>
      </c>
      <c r="E3719" s="19" t="s">
        <v>5</v>
      </c>
      <c r="F3719" s="19" t="s">
        <v>35988</v>
      </c>
      <c r="G3719" s="18" t="str">
        <f>"46131"</f>
        <v>46131</v>
      </c>
      <c r="H3719" s="19" t="s">
        <v>36072</v>
      </c>
      <c r="I3719" s="20">
        <v>17.559999999999999</v>
      </c>
      <c r="J3719" s="44" t="s">
        <v>8</v>
      </c>
      <c r="K3719" s="23" t="s">
        <v>8</v>
      </c>
      <c r="L3719" s="23" t="s">
        <v>8</v>
      </c>
      <c r="M3719" s="23" t="s">
        <v>8</v>
      </c>
    </row>
    <row r="3720" spans="1:13" s="21" customFormat="1" x14ac:dyDescent="0.25">
      <c r="A3720" s="22" t="s">
        <v>8</v>
      </c>
      <c r="B3720" s="18" t="str">
        <f>"155173"</f>
        <v>155173</v>
      </c>
      <c r="C3720" s="19" t="s">
        <v>3643</v>
      </c>
      <c r="D3720" s="19" t="s">
        <v>19147</v>
      </c>
      <c r="E3720" s="19" t="s">
        <v>30850</v>
      </c>
      <c r="F3720" s="19" t="s">
        <v>35988</v>
      </c>
      <c r="G3720" s="18" t="str">
        <f>"46952"</f>
        <v>46952</v>
      </c>
      <c r="H3720" s="19" t="s">
        <v>36078</v>
      </c>
      <c r="I3720" s="20">
        <v>19.896999999999998</v>
      </c>
      <c r="J3720" s="44" t="s">
        <v>8</v>
      </c>
      <c r="K3720" s="23" t="s">
        <v>8</v>
      </c>
      <c r="L3720" s="23" t="s">
        <v>8</v>
      </c>
      <c r="M3720" s="23" t="s">
        <v>8</v>
      </c>
    </row>
    <row r="3721" spans="1:13" s="21" customFormat="1" x14ac:dyDescent="0.25">
      <c r="A3721" s="22" t="s">
        <v>8</v>
      </c>
      <c r="B3721" s="18" t="str">
        <f>"155176"</f>
        <v>155176</v>
      </c>
      <c r="C3721" s="19" t="s">
        <v>3702</v>
      </c>
      <c r="D3721" s="19" t="s">
        <v>19148</v>
      </c>
      <c r="E3721" s="19" t="s">
        <v>32214</v>
      </c>
      <c r="F3721" s="19" t="s">
        <v>35988</v>
      </c>
      <c r="G3721" s="18" t="str">
        <f>"46805"</f>
        <v>46805</v>
      </c>
      <c r="H3721" s="19" t="s">
        <v>34710</v>
      </c>
      <c r="I3721" s="20">
        <v>18.625</v>
      </c>
      <c r="J3721" s="44" t="s">
        <v>8</v>
      </c>
      <c r="K3721" s="23" t="s">
        <v>8</v>
      </c>
      <c r="L3721" s="23" t="s">
        <v>8</v>
      </c>
      <c r="M3721" s="23" t="s">
        <v>8</v>
      </c>
    </row>
    <row r="3722" spans="1:13" s="21" customFormat="1" x14ac:dyDescent="0.25">
      <c r="A3722" s="22" t="s">
        <v>8</v>
      </c>
      <c r="B3722" s="18" t="str">
        <f>"155177"</f>
        <v>155177</v>
      </c>
      <c r="C3722" s="19" t="s">
        <v>3703</v>
      </c>
      <c r="D3722" s="19" t="s">
        <v>19149</v>
      </c>
      <c r="E3722" s="19" t="s">
        <v>32227</v>
      </c>
      <c r="F3722" s="19" t="s">
        <v>35988</v>
      </c>
      <c r="G3722" s="18" t="str">
        <f>"47906"</f>
        <v>47906</v>
      </c>
      <c r="H3722" s="19" t="s">
        <v>36251</v>
      </c>
      <c r="I3722" s="20">
        <v>18.945</v>
      </c>
      <c r="J3722" s="44" t="s">
        <v>8</v>
      </c>
      <c r="K3722" s="23" t="s">
        <v>8</v>
      </c>
      <c r="L3722" s="23" t="s">
        <v>8</v>
      </c>
      <c r="M3722" s="23" t="s">
        <v>8</v>
      </c>
    </row>
    <row r="3723" spans="1:13" s="21" customFormat="1" x14ac:dyDescent="0.25">
      <c r="A3723" s="22" t="s">
        <v>8</v>
      </c>
      <c r="B3723" s="18" t="str">
        <f>"155178"</f>
        <v>155178</v>
      </c>
      <c r="C3723" s="19" t="s">
        <v>3704</v>
      </c>
      <c r="D3723" s="19" t="s">
        <v>19150</v>
      </c>
      <c r="E3723" s="19" t="s">
        <v>32219</v>
      </c>
      <c r="F3723" s="19" t="s">
        <v>35988</v>
      </c>
      <c r="G3723" s="18" t="str">
        <f>"46545"</f>
        <v>46545</v>
      </c>
      <c r="H3723" s="19" t="s">
        <v>33301</v>
      </c>
      <c r="I3723" s="20">
        <v>17.452999999999999</v>
      </c>
      <c r="J3723" s="44" t="s">
        <v>8</v>
      </c>
      <c r="K3723" s="23" t="s">
        <v>8</v>
      </c>
      <c r="L3723" s="23" t="s">
        <v>8</v>
      </c>
      <c r="M3723" s="23" t="s">
        <v>8</v>
      </c>
    </row>
    <row r="3724" spans="1:13" s="21" customFormat="1" x14ac:dyDescent="0.25">
      <c r="A3724" s="22" t="s">
        <v>8</v>
      </c>
      <c r="B3724" s="18" t="str">
        <f>"155181"</f>
        <v>155181</v>
      </c>
      <c r="C3724" s="19" t="s">
        <v>3705</v>
      </c>
      <c r="D3724" s="19" t="s">
        <v>19151</v>
      </c>
      <c r="E3724" s="19" t="s">
        <v>32228</v>
      </c>
      <c r="F3724" s="19" t="s">
        <v>35988</v>
      </c>
      <c r="G3724" s="18" t="str">
        <f>"46032"</f>
        <v>46032</v>
      </c>
      <c r="H3724" s="19" t="s">
        <v>30804</v>
      </c>
      <c r="I3724" s="20">
        <v>14.637</v>
      </c>
      <c r="J3724" s="44" t="s">
        <v>8</v>
      </c>
      <c r="K3724" s="23" t="s">
        <v>8</v>
      </c>
      <c r="L3724" s="23" t="s">
        <v>8</v>
      </c>
      <c r="M3724" s="23" t="s">
        <v>8</v>
      </c>
    </row>
    <row r="3725" spans="1:13" s="21" customFormat="1" x14ac:dyDescent="0.25">
      <c r="A3725" s="22" t="s">
        <v>8</v>
      </c>
      <c r="B3725" s="18" t="str">
        <f>"155183"</f>
        <v>155183</v>
      </c>
      <c r="C3725" s="19" t="s">
        <v>3706</v>
      </c>
      <c r="D3725" s="19" t="s">
        <v>19152</v>
      </c>
      <c r="E3725" s="19" t="s">
        <v>32229</v>
      </c>
      <c r="F3725" s="19" t="s">
        <v>35988</v>
      </c>
      <c r="G3725" s="18" t="str">
        <f>"46151"</f>
        <v>46151</v>
      </c>
      <c r="H3725" s="19" t="s">
        <v>33505</v>
      </c>
      <c r="I3725" s="20">
        <v>18.253</v>
      </c>
      <c r="J3725" s="44" t="s">
        <v>8</v>
      </c>
      <c r="K3725" s="23" t="s">
        <v>8</v>
      </c>
      <c r="L3725" s="23" t="s">
        <v>8</v>
      </c>
      <c r="M3725" s="23" t="s">
        <v>8</v>
      </c>
    </row>
    <row r="3726" spans="1:13" s="21" customFormat="1" x14ac:dyDescent="0.25">
      <c r="A3726" s="22" t="s">
        <v>8</v>
      </c>
      <c r="B3726" s="18" t="str">
        <f>"155187"</f>
        <v>155187</v>
      </c>
      <c r="C3726" s="19" t="s">
        <v>3707</v>
      </c>
      <c r="D3726" s="19" t="s">
        <v>19153</v>
      </c>
      <c r="E3726" s="19" t="s">
        <v>32230</v>
      </c>
      <c r="F3726" s="19" t="s">
        <v>35988</v>
      </c>
      <c r="G3726" s="18" t="str">
        <f>"46368"</f>
        <v>46368</v>
      </c>
      <c r="H3726" s="19" t="s">
        <v>36256</v>
      </c>
      <c r="I3726" s="20">
        <v>21.248000000000001</v>
      </c>
      <c r="J3726" s="44" t="s">
        <v>8</v>
      </c>
      <c r="K3726" s="23" t="s">
        <v>8</v>
      </c>
      <c r="L3726" s="23" t="s">
        <v>8</v>
      </c>
      <c r="M3726" s="23" t="s">
        <v>8</v>
      </c>
    </row>
    <row r="3727" spans="1:13" s="21" customFormat="1" x14ac:dyDescent="0.25">
      <c r="A3727" s="22" t="s">
        <v>8</v>
      </c>
      <c r="B3727" s="18" t="str">
        <f>"155188"</f>
        <v>155188</v>
      </c>
      <c r="C3727" s="19" t="s">
        <v>3708</v>
      </c>
      <c r="D3727" s="19" t="s">
        <v>19154</v>
      </c>
      <c r="E3727" s="19" t="s">
        <v>32220</v>
      </c>
      <c r="F3727" s="19" t="s">
        <v>35988</v>
      </c>
      <c r="G3727" s="18" t="str">
        <f>"46140"</f>
        <v>46140</v>
      </c>
      <c r="H3727" s="19" t="s">
        <v>33144</v>
      </c>
      <c r="I3727" s="20">
        <v>16.632999999999999</v>
      </c>
      <c r="J3727" s="44" t="s">
        <v>8</v>
      </c>
      <c r="K3727" s="23" t="s">
        <v>8</v>
      </c>
      <c r="L3727" s="23" t="s">
        <v>8</v>
      </c>
      <c r="M3727" s="23" t="s">
        <v>8</v>
      </c>
    </row>
    <row r="3728" spans="1:13" s="21" customFormat="1" x14ac:dyDescent="0.25">
      <c r="A3728" s="22" t="s">
        <v>8</v>
      </c>
      <c r="B3728" s="18" t="str">
        <f>"155191"</f>
        <v>155191</v>
      </c>
      <c r="C3728" s="19" t="s">
        <v>3709</v>
      </c>
      <c r="D3728" s="19" t="s">
        <v>19155</v>
      </c>
      <c r="E3728" s="19" t="s">
        <v>31010</v>
      </c>
      <c r="F3728" s="19" t="s">
        <v>35988</v>
      </c>
      <c r="G3728" s="18" t="str">
        <f>"47129"</f>
        <v>47129</v>
      </c>
      <c r="H3728" s="19" t="s">
        <v>33967</v>
      </c>
      <c r="I3728" s="20">
        <v>21.962</v>
      </c>
      <c r="J3728" s="44" t="s">
        <v>8</v>
      </c>
      <c r="K3728" s="23" t="s">
        <v>8</v>
      </c>
      <c r="L3728" s="23" t="s">
        <v>8</v>
      </c>
      <c r="M3728" s="23" t="s">
        <v>8</v>
      </c>
    </row>
    <row r="3729" spans="1:13" s="21" customFormat="1" x14ac:dyDescent="0.25">
      <c r="A3729" s="22" t="s">
        <v>8</v>
      </c>
      <c r="B3729" s="18" t="str">
        <f>"155193"</f>
        <v>155193</v>
      </c>
      <c r="C3729" s="19" t="s">
        <v>3710</v>
      </c>
      <c r="D3729" s="19" t="s">
        <v>19156</v>
      </c>
      <c r="E3729" s="19" t="s">
        <v>32204</v>
      </c>
      <c r="F3729" s="19" t="s">
        <v>35988</v>
      </c>
      <c r="G3729" s="18" t="str">
        <f>"46142"</f>
        <v>46142</v>
      </c>
      <c r="H3729" s="19" t="s">
        <v>36072</v>
      </c>
      <c r="I3729" s="20">
        <v>17.166</v>
      </c>
      <c r="J3729" s="44" t="s">
        <v>8</v>
      </c>
      <c r="K3729" s="23" t="s">
        <v>8</v>
      </c>
      <c r="L3729" s="23" t="s">
        <v>8</v>
      </c>
      <c r="M3729" s="23" t="s">
        <v>8</v>
      </c>
    </row>
    <row r="3730" spans="1:13" s="21" customFormat="1" x14ac:dyDescent="0.25">
      <c r="A3730" s="22" t="s">
        <v>8</v>
      </c>
      <c r="B3730" s="18" t="str">
        <f>"155196"</f>
        <v>155196</v>
      </c>
      <c r="C3730" s="19" t="s">
        <v>3711</v>
      </c>
      <c r="D3730" s="19" t="s">
        <v>19157</v>
      </c>
      <c r="E3730" s="19" t="s">
        <v>32200</v>
      </c>
      <c r="F3730" s="19" t="s">
        <v>35988</v>
      </c>
      <c r="G3730" s="18" t="str">
        <f>"46237"</f>
        <v>46237</v>
      </c>
      <c r="H3730" s="19" t="s">
        <v>30850</v>
      </c>
      <c r="I3730" s="20">
        <v>18.986000000000001</v>
      </c>
      <c r="J3730" s="44" t="s">
        <v>8</v>
      </c>
      <c r="K3730" s="23" t="s">
        <v>8</v>
      </c>
      <c r="L3730" s="23" t="s">
        <v>8</v>
      </c>
      <c r="M3730" s="23" t="s">
        <v>8</v>
      </c>
    </row>
    <row r="3731" spans="1:13" s="21" customFormat="1" x14ac:dyDescent="0.25">
      <c r="A3731" s="22" t="s">
        <v>8</v>
      </c>
      <c r="B3731" s="18" t="str">
        <f>"155197"</f>
        <v>155197</v>
      </c>
      <c r="C3731" s="19" t="s">
        <v>3712</v>
      </c>
      <c r="D3731" s="19" t="s">
        <v>19158</v>
      </c>
      <c r="E3731" s="19" t="s">
        <v>32216</v>
      </c>
      <c r="F3731" s="19" t="s">
        <v>35988</v>
      </c>
      <c r="G3731" s="18" t="str">
        <f>"46614"</f>
        <v>46614</v>
      </c>
      <c r="H3731" s="19" t="s">
        <v>33301</v>
      </c>
      <c r="I3731" s="20">
        <v>15.993</v>
      </c>
      <c r="J3731" s="44" t="s">
        <v>8</v>
      </c>
      <c r="K3731" s="23" t="s">
        <v>8</v>
      </c>
      <c r="L3731" s="23" t="s">
        <v>8</v>
      </c>
      <c r="M3731" s="23" t="s">
        <v>8</v>
      </c>
    </row>
    <row r="3732" spans="1:13" s="21" customFormat="1" x14ac:dyDescent="0.25">
      <c r="A3732" s="22" t="s">
        <v>8</v>
      </c>
      <c r="B3732" s="18" t="str">
        <f>"155198"</f>
        <v>155198</v>
      </c>
      <c r="C3732" s="19" t="s">
        <v>3713</v>
      </c>
      <c r="D3732" s="19" t="s">
        <v>19159</v>
      </c>
      <c r="E3732" s="19" t="s">
        <v>32200</v>
      </c>
      <c r="F3732" s="19" t="s">
        <v>35988</v>
      </c>
      <c r="G3732" s="18" t="str">
        <f>"46260"</f>
        <v>46260</v>
      </c>
      <c r="H3732" s="19" t="s">
        <v>30850</v>
      </c>
      <c r="I3732" s="20">
        <v>16.52</v>
      </c>
      <c r="J3732" s="44" t="s">
        <v>8</v>
      </c>
      <c r="K3732" s="23" t="s">
        <v>8</v>
      </c>
      <c r="L3732" s="23" t="s">
        <v>8</v>
      </c>
      <c r="M3732" s="23" t="s">
        <v>8</v>
      </c>
    </row>
    <row r="3733" spans="1:13" s="21" customFormat="1" x14ac:dyDescent="0.25">
      <c r="A3733" s="22" t="s">
        <v>8</v>
      </c>
      <c r="B3733" s="18" t="str">
        <f>"155199"</f>
        <v>155199</v>
      </c>
      <c r="C3733" s="19" t="s">
        <v>3714</v>
      </c>
      <c r="D3733" s="19" t="s">
        <v>19160</v>
      </c>
      <c r="E3733" s="19" t="s">
        <v>32231</v>
      </c>
      <c r="F3733" s="19" t="s">
        <v>35988</v>
      </c>
      <c r="G3733" s="18" t="str">
        <f>"46074"</f>
        <v>46074</v>
      </c>
      <c r="H3733" s="19" t="s">
        <v>30804</v>
      </c>
      <c r="I3733" s="20">
        <v>18.22</v>
      </c>
      <c r="J3733" s="44" t="s">
        <v>8</v>
      </c>
      <c r="K3733" s="23" t="s">
        <v>8</v>
      </c>
      <c r="L3733" s="23" t="s">
        <v>8</v>
      </c>
      <c r="M3733" s="23" t="s">
        <v>8</v>
      </c>
    </row>
    <row r="3734" spans="1:13" s="21" customFormat="1" x14ac:dyDescent="0.25">
      <c r="A3734" s="22" t="s">
        <v>8</v>
      </c>
      <c r="B3734" s="18" t="str">
        <f>"155200"</f>
        <v>155200</v>
      </c>
      <c r="C3734" s="19" t="s">
        <v>3715</v>
      </c>
      <c r="D3734" s="19" t="s">
        <v>19161</v>
      </c>
      <c r="E3734" s="19" t="s">
        <v>31195</v>
      </c>
      <c r="F3734" s="19" t="s">
        <v>35988</v>
      </c>
      <c r="G3734" s="18" t="str">
        <f>"46989"</f>
        <v>46989</v>
      </c>
      <c r="H3734" s="19" t="s">
        <v>36078</v>
      </c>
      <c r="I3734" s="20">
        <v>17.189</v>
      </c>
      <c r="J3734" s="44" t="s">
        <v>8</v>
      </c>
      <c r="K3734" s="23" t="s">
        <v>8</v>
      </c>
      <c r="L3734" s="23" t="s">
        <v>8</v>
      </c>
      <c r="M3734" s="23" t="s">
        <v>8</v>
      </c>
    </row>
    <row r="3735" spans="1:13" s="21" customFormat="1" x14ac:dyDescent="0.25">
      <c r="A3735" s="22" t="s">
        <v>8</v>
      </c>
      <c r="B3735" s="18" t="str">
        <f>"155202"</f>
        <v>155202</v>
      </c>
      <c r="C3735" s="19" t="s">
        <v>3716</v>
      </c>
      <c r="D3735" s="19" t="s">
        <v>19162</v>
      </c>
      <c r="E3735" s="19" t="s">
        <v>32232</v>
      </c>
      <c r="F3735" s="19" t="s">
        <v>35988</v>
      </c>
      <c r="G3735" s="18" t="str">
        <f>"46135"</f>
        <v>46135</v>
      </c>
      <c r="H3735" s="19" t="s">
        <v>31482</v>
      </c>
      <c r="I3735" s="20">
        <v>18.408999999999999</v>
      </c>
      <c r="J3735" s="44" t="s">
        <v>8</v>
      </c>
      <c r="K3735" s="23" t="s">
        <v>8</v>
      </c>
      <c r="L3735" s="23" t="s">
        <v>8</v>
      </c>
      <c r="M3735" s="23" t="s">
        <v>8</v>
      </c>
    </row>
    <row r="3736" spans="1:13" s="21" customFormat="1" x14ac:dyDescent="0.25">
      <c r="A3736" s="22" t="s">
        <v>8</v>
      </c>
      <c r="B3736" s="18" t="str">
        <f>"155203"</f>
        <v>155203</v>
      </c>
      <c r="C3736" s="19" t="s">
        <v>3717</v>
      </c>
      <c r="D3736" s="19" t="s">
        <v>19163</v>
      </c>
      <c r="E3736" s="19" t="s">
        <v>31765</v>
      </c>
      <c r="F3736" s="19" t="s">
        <v>35988</v>
      </c>
      <c r="G3736" s="18" t="str">
        <f>"47130"</f>
        <v>47130</v>
      </c>
      <c r="H3736" s="19" t="s">
        <v>33967</v>
      </c>
      <c r="I3736" s="20">
        <v>17.716999999999999</v>
      </c>
      <c r="J3736" s="44" t="s">
        <v>8</v>
      </c>
      <c r="K3736" s="23" t="s">
        <v>8</v>
      </c>
      <c r="L3736" s="23" t="s">
        <v>8</v>
      </c>
      <c r="M3736" s="23" t="s">
        <v>8</v>
      </c>
    </row>
    <row r="3737" spans="1:13" s="21" customFormat="1" x14ac:dyDescent="0.25">
      <c r="A3737" s="22" t="s">
        <v>8</v>
      </c>
      <c r="B3737" s="18" t="str">
        <f>"155205"</f>
        <v>155205</v>
      </c>
      <c r="C3737" s="19" t="s">
        <v>3718</v>
      </c>
      <c r="D3737" s="19" t="s">
        <v>19164</v>
      </c>
      <c r="E3737" s="19" t="s">
        <v>32233</v>
      </c>
      <c r="F3737" s="19" t="s">
        <v>35988</v>
      </c>
      <c r="G3737" s="18" t="str">
        <f>"46527"</f>
        <v>46527</v>
      </c>
      <c r="H3737" s="19" t="s">
        <v>32213</v>
      </c>
      <c r="I3737" s="20">
        <v>17.463000000000001</v>
      </c>
      <c r="J3737" s="44" t="s">
        <v>8</v>
      </c>
      <c r="K3737" s="23" t="s">
        <v>8</v>
      </c>
      <c r="L3737" s="23" t="s">
        <v>8</v>
      </c>
      <c r="M3737" s="23" t="s">
        <v>8</v>
      </c>
    </row>
    <row r="3738" spans="1:13" s="21" customFormat="1" x14ac:dyDescent="0.25">
      <c r="A3738" s="22" t="s">
        <v>8</v>
      </c>
      <c r="B3738" s="18" t="str">
        <f>"155206"</f>
        <v>155206</v>
      </c>
      <c r="C3738" s="19" t="s">
        <v>3719</v>
      </c>
      <c r="D3738" s="19" t="s">
        <v>19165</v>
      </c>
      <c r="E3738" s="19" t="s">
        <v>32234</v>
      </c>
      <c r="F3738" s="19" t="s">
        <v>35988</v>
      </c>
      <c r="G3738" s="18" t="str">
        <f>"46112"</f>
        <v>46112</v>
      </c>
      <c r="H3738" s="19" t="s">
        <v>33449</v>
      </c>
      <c r="I3738" s="20">
        <v>17.164999999999999</v>
      </c>
      <c r="J3738" s="44" t="s">
        <v>8</v>
      </c>
      <c r="K3738" s="23" t="s">
        <v>8</v>
      </c>
      <c r="L3738" s="23" t="s">
        <v>8</v>
      </c>
      <c r="M3738" s="23" t="s">
        <v>8</v>
      </c>
    </row>
    <row r="3739" spans="1:13" s="21" customFormat="1" x14ac:dyDescent="0.25">
      <c r="A3739" s="22" t="s">
        <v>8</v>
      </c>
      <c r="B3739" s="18" t="str">
        <f>"155207"</f>
        <v>155207</v>
      </c>
      <c r="C3739" s="19" t="s">
        <v>3720</v>
      </c>
      <c r="D3739" s="19" t="s">
        <v>19166</v>
      </c>
      <c r="E3739" s="19" t="s">
        <v>31450</v>
      </c>
      <c r="F3739" s="19" t="s">
        <v>35988</v>
      </c>
      <c r="G3739" s="18" t="str">
        <f>"46774"</f>
        <v>46774</v>
      </c>
      <c r="H3739" s="19" t="s">
        <v>34710</v>
      </c>
      <c r="I3739" s="20">
        <v>19.373999999999999</v>
      </c>
      <c r="J3739" s="44" t="s">
        <v>8</v>
      </c>
      <c r="K3739" s="23" t="s">
        <v>8</v>
      </c>
      <c r="L3739" s="23" t="s">
        <v>8</v>
      </c>
      <c r="M3739" s="23" t="s">
        <v>8</v>
      </c>
    </row>
    <row r="3740" spans="1:13" s="21" customFormat="1" x14ac:dyDescent="0.25">
      <c r="A3740" s="22" t="s">
        <v>8</v>
      </c>
      <c r="B3740" s="18" t="str">
        <f>"155208"</f>
        <v>155208</v>
      </c>
      <c r="C3740" s="19" t="s">
        <v>3721</v>
      </c>
      <c r="D3740" s="19" t="s">
        <v>19167</v>
      </c>
      <c r="E3740" s="19" t="s">
        <v>32235</v>
      </c>
      <c r="F3740" s="19" t="s">
        <v>35988</v>
      </c>
      <c r="G3740" s="18" t="str">
        <f>"47243"</f>
        <v>47243</v>
      </c>
      <c r="H3740" s="19" t="s">
        <v>32391</v>
      </c>
      <c r="I3740" s="20">
        <v>19.782</v>
      </c>
      <c r="J3740" s="44" t="s">
        <v>8</v>
      </c>
      <c r="K3740" s="23" t="s">
        <v>8</v>
      </c>
      <c r="L3740" s="23" t="s">
        <v>8</v>
      </c>
      <c r="M3740" s="23" t="s">
        <v>8</v>
      </c>
    </row>
    <row r="3741" spans="1:13" s="21" customFormat="1" x14ac:dyDescent="0.25">
      <c r="A3741" s="22" t="s">
        <v>8</v>
      </c>
      <c r="B3741" s="18" t="str">
        <f>"155209"</f>
        <v>155209</v>
      </c>
      <c r="C3741" s="19" t="s">
        <v>3722</v>
      </c>
      <c r="D3741" s="19" t="s">
        <v>19168</v>
      </c>
      <c r="E3741" s="19" t="s">
        <v>30899</v>
      </c>
      <c r="F3741" s="19" t="s">
        <v>35988</v>
      </c>
      <c r="G3741" s="18" t="str">
        <f>"47250"</f>
        <v>47250</v>
      </c>
      <c r="H3741" s="19" t="s">
        <v>32391</v>
      </c>
      <c r="I3741" s="20">
        <v>19.983000000000001</v>
      </c>
      <c r="J3741" s="44" t="s">
        <v>8</v>
      </c>
      <c r="K3741" s="23" t="s">
        <v>8</v>
      </c>
      <c r="L3741" s="23" t="s">
        <v>8</v>
      </c>
      <c r="M3741" s="23" t="s">
        <v>8</v>
      </c>
    </row>
    <row r="3742" spans="1:13" s="21" customFormat="1" x14ac:dyDescent="0.25">
      <c r="A3742" s="22" t="s">
        <v>8</v>
      </c>
      <c r="B3742" s="18" t="str">
        <f>"155210"</f>
        <v>155210</v>
      </c>
      <c r="C3742" s="19" t="s">
        <v>3723</v>
      </c>
      <c r="D3742" s="19" t="s">
        <v>19169</v>
      </c>
      <c r="E3742" s="19" t="s">
        <v>32236</v>
      </c>
      <c r="F3742" s="19" t="s">
        <v>35988</v>
      </c>
      <c r="G3742" s="18" t="str">
        <f>"47240"</f>
        <v>47240</v>
      </c>
      <c r="H3742" s="19" t="s">
        <v>30853</v>
      </c>
      <c r="I3742" s="20">
        <v>17.527999999999999</v>
      </c>
      <c r="J3742" s="44" t="s">
        <v>8</v>
      </c>
      <c r="K3742" s="23" t="s">
        <v>8</v>
      </c>
      <c r="L3742" s="23" t="s">
        <v>8</v>
      </c>
      <c r="M3742" s="23" t="s">
        <v>8</v>
      </c>
    </row>
    <row r="3743" spans="1:13" s="21" customFormat="1" x14ac:dyDescent="0.25">
      <c r="A3743" s="22" t="s">
        <v>8</v>
      </c>
      <c r="B3743" s="18" t="str">
        <f>"155211"</f>
        <v>155211</v>
      </c>
      <c r="C3743" s="19" t="s">
        <v>3724</v>
      </c>
      <c r="D3743" s="19" t="s">
        <v>19170</v>
      </c>
      <c r="E3743" s="19" t="s">
        <v>32035</v>
      </c>
      <c r="F3743" s="19" t="s">
        <v>35988</v>
      </c>
      <c r="G3743" s="18" t="str">
        <f>"46052"</f>
        <v>46052</v>
      </c>
      <c r="H3743" s="19" t="s">
        <v>32513</v>
      </c>
      <c r="I3743" s="20">
        <v>18.085999999999999</v>
      </c>
      <c r="J3743" s="44" t="s">
        <v>8</v>
      </c>
      <c r="K3743" s="23" t="s">
        <v>8</v>
      </c>
      <c r="L3743" s="23" t="s">
        <v>8</v>
      </c>
      <c r="M3743" s="23" t="s">
        <v>8</v>
      </c>
    </row>
    <row r="3744" spans="1:13" s="21" customFormat="1" x14ac:dyDescent="0.25">
      <c r="A3744" s="22" t="s">
        <v>8</v>
      </c>
      <c r="B3744" s="18" t="str">
        <f>"155214"</f>
        <v>155214</v>
      </c>
      <c r="C3744" s="19" t="s">
        <v>3725</v>
      </c>
      <c r="D3744" s="19" t="s">
        <v>19171</v>
      </c>
      <c r="E3744" s="19" t="s">
        <v>32237</v>
      </c>
      <c r="F3744" s="19" t="s">
        <v>35988</v>
      </c>
      <c r="G3744" s="18" t="str">
        <f>"46307"</f>
        <v>46307</v>
      </c>
      <c r="H3744" s="19" t="s">
        <v>36096</v>
      </c>
      <c r="I3744" s="20">
        <v>15.784000000000001</v>
      </c>
      <c r="J3744" s="44" t="s">
        <v>8</v>
      </c>
      <c r="K3744" s="23" t="s">
        <v>8</v>
      </c>
      <c r="L3744" s="23" t="s">
        <v>8</v>
      </c>
      <c r="M3744" s="23" t="s">
        <v>8</v>
      </c>
    </row>
    <row r="3745" spans="1:13" s="21" customFormat="1" x14ac:dyDescent="0.25">
      <c r="A3745" s="22" t="s">
        <v>8</v>
      </c>
      <c r="B3745" s="18" t="str">
        <f>"155215"</f>
        <v>155215</v>
      </c>
      <c r="C3745" s="19" t="s">
        <v>3726</v>
      </c>
      <c r="D3745" s="19" t="s">
        <v>19172</v>
      </c>
      <c r="E3745" s="19" t="s">
        <v>31411</v>
      </c>
      <c r="F3745" s="19" t="s">
        <v>35988</v>
      </c>
      <c r="G3745" s="18" t="str">
        <f>"46168"</f>
        <v>46168</v>
      </c>
      <c r="H3745" s="19" t="s">
        <v>33449</v>
      </c>
      <c r="I3745" s="20">
        <v>17.326000000000001</v>
      </c>
      <c r="J3745" s="44" t="s">
        <v>8</v>
      </c>
      <c r="K3745" s="23" t="s">
        <v>8</v>
      </c>
      <c r="L3745" s="23" t="s">
        <v>8</v>
      </c>
      <c r="M3745" s="23" t="s">
        <v>8</v>
      </c>
    </row>
    <row r="3746" spans="1:13" s="21" customFormat="1" x14ac:dyDescent="0.25">
      <c r="A3746" s="22" t="s">
        <v>8</v>
      </c>
      <c r="B3746" s="18" t="str">
        <f>"155217"</f>
        <v>155217</v>
      </c>
      <c r="C3746" s="19" t="s">
        <v>3727</v>
      </c>
      <c r="D3746" s="19" t="s">
        <v>19173</v>
      </c>
      <c r="E3746" s="19" t="s">
        <v>32238</v>
      </c>
      <c r="F3746" s="19" t="s">
        <v>35988</v>
      </c>
      <c r="G3746" s="18" t="str">
        <f>"47542"</f>
        <v>47542</v>
      </c>
      <c r="H3746" s="19" t="s">
        <v>34787</v>
      </c>
      <c r="I3746" s="20">
        <v>19.739999999999998</v>
      </c>
      <c r="J3746" s="44" t="s">
        <v>8</v>
      </c>
      <c r="K3746" s="23" t="s">
        <v>8</v>
      </c>
      <c r="L3746" s="23" t="s">
        <v>8</v>
      </c>
      <c r="M3746" s="23" t="s">
        <v>8</v>
      </c>
    </row>
    <row r="3747" spans="1:13" s="21" customFormat="1" x14ac:dyDescent="0.25">
      <c r="A3747" s="22" t="s">
        <v>8</v>
      </c>
      <c r="B3747" s="18" t="str">
        <f>"155218"</f>
        <v>155218</v>
      </c>
      <c r="C3747" s="19" t="s">
        <v>3728</v>
      </c>
      <c r="D3747" s="19" t="s">
        <v>19174</v>
      </c>
      <c r="E3747" s="19" t="s">
        <v>32239</v>
      </c>
      <c r="F3747" s="19" t="s">
        <v>35988</v>
      </c>
      <c r="G3747" s="18" t="str">
        <f>"46311"</f>
        <v>46311</v>
      </c>
      <c r="H3747" s="19" t="s">
        <v>36096</v>
      </c>
      <c r="I3747" s="20">
        <v>18.931000000000001</v>
      </c>
      <c r="J3747" s="44" t="s">
        <v>8</v>
      </c>
      <c r="K3747" s="23" t="s">
        <v>8</v>
      </c>
      <c r="L3747" s="23" t="s">
        <v>8</v>
      </c>
      <c r="M3747" s="23" t="s">
        <v>8</v>
      </c>
    </row>
    <row r="3748" spans="1:13" s="21" customFormat="1" x14ac:dyDescent="0.25">
      <c r="A3748" s="22" t="s">
        <v>8</v>
      </c>
      <c r="B3748" s="18" t="str">
        <f>"155219"</f>
        <v>155219</v>
      </c>
      <c r="C3748" s="19" t="s">
        <v>3729</v>
      </c>
      <c r="D3748" s="19" t="s">
        <v>19175</v>
      </c>
      <c r="E3748" s="19" t="s">
        <v>32216</v>
      </c>
      <c r="F3748" s="19" t="s">
        <v>35988</v>
      </c>
      <c r="G3748" s="18" t="str">
        <f>"46635"</f>
        <v>46635</v>
      </c>
      <c r="H3748" s="19" t="s">
        <v>33301</v>
      </c>
      <c r="I3748" s="20">
        <v>17.968</v>
      </c>
      <c r="J3748" s="44" t="s">
        <v>8</v>
      </c>
      <c r="K3748" s="23" t="s">
        <v>8</v>
      </c>
      <c r="L3748" s="23" t="s">
        <v>8</v>
      </c>
      <c r="M3748" s="23" t="s">
        <v>8</v>
      </c>
    </row>
    <row r="3749" spans="1:13" s="21" customFormat="1" x14ac:dyDescent="0.25">
      <c r="A3749" s="22" t="s">
        <v>8</v>
      </c>
      <c r="B3749" s="18" t="str">
        <f>"155220"</f>
        <v>155220</v>
      </c>
      <c r="C3749" s="19" t="s">
        <v>3730</v>
      </c>
      <c r="D3749" s="19" t="s">
        <v>19176</v>
      </c>
      <c r="E3749" s="19" t="s">
        <v>32239</v>
      </c>
      <c r="F3749" s="19" t="s">
        <v>35988</v>
      </c>
      <c r="G3749" s="18" t="str">
        <f>"46311"</f>
        <v>46311</v>
      </c>
      <c r="H3749" s="19" t="s">
        <v>36096</v>
      </c>
      <c r="I3749" s="20">
        <v>20.86</v>
      </c>
      <c r="J3749" s="44" t="s">
        <v>8</v>
      </c>
      <c r="K3749" s="23" t="s">
        <v>8</v>
      </c>
      <c r="L3749" s="23" t="s">
        <v>8</v>
      </c>
      <c r="M3749" s="23" t="s">
        <v>8</v>
      </c>
    </row>
    <row r="3750" spans="1:13" s="21" customFormat="1" x14ac:dyDescent="0.25">
      <c r="A3750" s="22" t="s">
        <v>8</v>
      </c>
      <c r="B3750" s="18" t="str">
        <f>"155221"</f>
        <v>155221</v>
      </c>
      <c r="C3750" s="19" t="s">
        <v>3731</v>
      </c>
      <c r="D3750" s="19" t="s">
        <v>19177</v>
      </c>
      <c r="E3750" s="19" t="s">
        <v>32225</v>
      </c>
      <c r="F3750" s="19" t="s">
        <v>35988</v>
      </c>
      <c r="G3750" s="18" t="str">
        <f>"47802"</f>
        <v>47802</v>
      </c>
      <c r="H3750" s="19" t="s">
        <v>36257</v>
      </c>
      <c r="I3750" s="20">
        <v>20.207000000000001</v>
      </c>
      <c r="J3750" s="44" t="s">
        <v>8</v>
      </c>
      <c r="K3750" s="23" t="s">
        <v>8</v>
      </c>
      <c r="L3750" s="23" t="s">
        <v>8</v>
      </c>
      <c r="M3750" s="23" t="s">
        <v>8</v>
      </c>
    </row>
    <row r="3751" spans="1:13" s="21" customFormat="1" x14ac:dyDescent="0.25">
      <c r="A3751" s="22" t="s">
        <v>8</v>
      </c>
      <c r="B3751" s="18" t="str">
        <f>"155222"</f>
        <v>155222</v>
      </c>
      <c r="C3751" s="19" t="s">
        <v>3732</v>
      </c>
      <c r="D3751" s="19" t="s">
        <v>19178</v>
      </c>
      <c r="E3751" s="19" t="s">
        <v>32210</v>
      </c>
      <c r="F3751" s="19" t="s">
        <v>35988</v>
      </c>
      <c r="G3751" s="18" t="str">
        <f>"46902"</f>
        <v>46902</v>
      </c>
      <c r="H3751" s="19" t="s">
        <v>32644</v>
      </c>
      <c r="I3751" s="20">
        <v>18.571999999999999</v>
      </c>
      <c r="J3751" s="44" t="s">
        <v>8</v>
      </c>
      <c r="K3751" s="23" t="s">
        <v>8</v>
      </c>
      <c r="L3751" s="23" t="s">
        <v>8</v>
      </c>
      <c r="M3751" s="23" t="s">
        <v>8</v>
      </c>
    </row>
    <row r="3752" spans="1:13" s="21" customFormat="1" x14ac:dyDescent="0.25">
      <c r="A3752" s="22" t="s">
        <v>8</v>
      </c>
      <c r="B3752" s="18" t="str">
        <f>"155223"</f>
        <v>155223</v>
      </c>
      <c r="C3752" s="19" t="s">
        <v>3733</v>
      </c>
      <c r="D3752" s="19" t="s">
        <v>19179</v>
      </c>
      <c r="E3752" s="19" t="s">
        <v>31753</v>
      </c>
      <c r="F3752" s="19" t="s">
        <v>35988</v>
      </c>
      <c r="G3752" s="18" t="str">
        <f>"47932"</f>
        <v>47932</v>
      </c>
      <c r="H3752" s="19" t="s">
        <v>36259</v>
      </c>
      <c r="I3752" s="20">
        <v>19.152000000000001</v>
      </c>
      <c r="J3752" s="44" t="s">
        <v>8</v>
      </c>
      <c r="K3752" s="23" t="s">
        <v>8</v>
      </c>
      <c r="L3752" s="23" t="s">
        <v>8</v>
      </c>
      <c r="M3752" s="23" t="s">
        <v>8</v>
      </c>
    </row>
    <row r="3753" spans="1:13" s="21" customFormat="1" x14ac:dyDescent="0.25">
      <c r="A3753" s="22" t="s">
        <v>8</v>
      </c>
      <c r="B3753" s="18" t="str">
        <f>"155224"</f>
        <v>155224</v>
      </c>
      <c r="C3753" s="19" t="s">
        <v>3734</v>
      </c>
      <c r="D3753" s="19" t="s">
        <v>19180</v>
      </c>
      <c r="E3753" s="19" t="s">
        <v>32217</v>
      </c>
      <c r="F3753" s="19" t="s">
        <v>35988</v>
      </c>
      <c r="G3753" s="18" t="str">
        <f>"47710"</f>
        <v>47710</v>
      </c>
      <c r="H3753" s="19" t="s">
        <v>36252</v>
      </c>
      <c r="I3753" s="20">
        <v>16.765000000000001</v>
      </c>
      <c r="J3753" s="44" t="s">
        <v>8</v>
      </c>
      <c r="K3753" s="23" t="s">
        <v>8</v>
      </c>
      <c r="L3753" s="23" t="s">
        <v>8</v>
      </c>
      <c r="M3753" s="23" t="s">
        <v>8</v>
      </c>
    </row>
    <row r="3754" spans="1:13" s="21" customFormat="1" x14ac:dyDescent="0.25">
      <c r="A3754" s="22" t="s">
        <v>8</v>
      </c>
      <c r="B3754" s="18" t="str">
        <f>"155226"</f>
        <v>155226</v>
      </c>
      <c r="C3754" s="19" t="s">
        <v>3735</v>
      </c>
      <c r="D3754" s="19" t="s">
        <v>19181</v>
      </c>
      <c r="E3754" s="19" t="s">
        <v>32200</v>
      </c>
      <c r="F3754" s="19" t="s">
        <v>35988</v>
      </c>
      <c r="G3754" s="18" t="str">
        <f>"46202"</f>
        <v>46202</v>
      </c>
      <c r="H3754" s="19" t="s">
        <v>30850</v>
      </c>
      <c r="I3754" s="20">
        <v>19.297000000000001</v>
      </c>
      <c r="J3754" s="44" t="s">
        <v>8</v>
      </c>
      <c r="K3754" s="23" t="s">
        <v>8</v>
      </c>
      <c r="L3754" s="23" t="s">
        <v>8</v>
      </c>
      <c r="M3754" s="23" t="s">
        <v>8</v>
      </c>
    </row>
    <row r="3755" spans="1:13" s="21" customFormat="1" x14ac:dyDescent="0.25">
      <c r="A3755" s="22" t="s">
        <v>8</v>
      </c>
      <c r="B3755" s="18" t="str">
        <f>"155228"</f>
        <v>155228</v>
      </c>
      <c r="C3755" s="19" t="s">
        <v>3736</v>
      </c>
      <c r="D3755" s="19" t="s">
        <v>19182</v>
      </c>
      <c r="E3755" s="19" t="s">
        <v>31178</v>
      </c>
      <c r="F3755" s="19" t="s">
        <v>35988</v>
      </c>
      <c r="G3755" s="18" t="str">
        <f>"47374"</f>
        <v>47374</v>
      </c>
      <c r="H3755" s="19" t="s">
        <v>33280</v>
      </c>
      <c r="I3755" s="20">
        <v>16.977</v>
      </c>
      <c r="J3755" s="44" t="s">
        <v>8</v>
      </c>
      <c r="K3755" s="23" t="s">
        <v>8</v>
      </c>
      <c r="L3755" s="23" t="s">
        <v>8</v>
      </c>
      <c r="M3755" s="23" t="s">
        <v>8</v>
      </c>
    </row>
    <row r="3756" spans="1:13" s="21" customFormat="1" x14ac:dyDescent="0.25">
      <c r="A3756" s="22" t="s">
        <v>8</v>
      </c>
      <c r="B3756" s="18" t="str">
        <f>"155229"</f>
        <v>155229</v>
      </c>
      <c r="C3756" s="19" t="s">
        <v>3737</v>
      </c>
      <c r="D3756" s="19" t="s">
        <v>19183</v>
      </c>
      <c r="E3756" s="19" t="s">
        <v>32205</v>
      </c>
      <c r="F3756" s="19" t="s">
        <v>35988</v>
      </c>
      <c r="G3756" s="18" t="str">
        <f>"47304"</f>
        <v>47304</v>
      </c>
      <c r="H3756" s="19" t="s">
        <v>34462</v>
      </c>
      <c r="I3756" s="20">
        <v>19.690000000000001</v>
      </c>
      <c r="J3756" s="44" t="s">
        <v>8</v>
      </c>
      <c r="K3756" s="23" t="s">
        <v>8</v>
      </c>
      <c r="L3756" s="23" t="s">
        <v>8</v>
      </c>
      <c r="M3756" s="23" t="s">
        <v>8</v>
      </c>
    </row>
    <row r="3757" spans="1:13" s="21" customFormat="1" x14ac:dyDescent="0.25">
      <c r="A3757" s="22" t="s">
        <v>8</v>
      </c>
      <c r="B3757" s="18" t="str">
        <f>"155230"</f>
        <v>155230</v>
      </c>
      <c r="C3757" s="19" t="s">
        <v>3738</v>
      </c>
      <c r="D3757" s="19" t="s">
        <v>19184</v>
      </c>
      <c r="E3757" s="19" t="s">
        <v>31178</v>
      </c>
      <c r="F3757" s="19" t="s">
        <v>35988</v>
      </c>
      <c r="G3757" s="18" t="str">
        <f>"47374"</f>
        <v>47374</v>
      </c>
      <c r="H3757" s="19" t="s">
        <v>33280</v>
      </c>
      <c r="I3757" s="20">
        <v>19.071999999999999</v>
      </c>
      <c r="J3757" s="44" t="s">
        <v>8</v>
      </c>
      <c r="K3757" s="23" t="s">
        <v>8</v>
      </c>
      <c r="L3757" s="23" t="s">
        <v>8</v>
      </c>
      <c r="M3757" s="23" t="s">
        <v>8</v>
      </c>
    </row>
    <row r="3758" spans="1:13" s="21" customFormat="1" x14ac:dyDescent="0.25">
      <c r="A3758" s="22" t="s">
        <v>8</v>
      </c>
      <c r="B3758" s="18" t="str">
        <f>"155231"</f>
        <v>155231</v>
      </c>
      <c r="C3758" s="19" t="s">
        <v>3739</v>
      </c>
      <c r="D3758" s="19" t="s">
        <v>19185</v>
      </c>
      <c r="E3758" s="19" t="s">
        <v>32175</v>
      </c>
      <c r="F3758" s="19" t="s">
        <v>35988</v>
      </c>
      <c r="G3758" s="18" t="str">
        <f>"47394"</f>
        <v>47394</v>
      </c>
      <c r="H3758" s="19" t="s">
        <v>33068</v>
      </c>
      <c r="I3758" s="20">
        <v>16.902999999999999</v>
      </c>
      <c r="J3758" s="44" t="s">
        <v>8</v>
      </c>
      <c r="K3758" s="23" t="s">
        <v>8</v>
      </c>
      <c r="L3758" s="23" t="s">
        <v>8</v>
      </c>
      <c r="M3758" s="23" t="s">
        <v>8</v>
      </c>
    </row>
    <row r="3759" spans="1:13" s="21" customFormat="1" x14ac:dyDescent="0.25">
      <c r="A3759" s="22" t="s">
        <v>8</v>
      </c>
      <c r="B3759" s="18" t="str">
        <f>"155232"</f>
        <v>155232</v>
      </c>
      <c r="C3759" s="19" t="s">
        <v>3740</v>
      </c>
      <c r="D3759" s="19" t="s">
        <v>19186</v>
      </c>
      <c r="E3759" s="19" t="s">
        <v>32240</v>
      </c>
      <c r="F3759" s="19" t="s">
        <v>35988</v>
      </c>
      <c r="G3759" s="18" t="str">
        <f>"46933"</f>
        <v>46933</v>
      </c>
      <c r="H3759" s="19" t="s">
        <v>36078</v>
      </c>
      <c r="I3759" s="20">
        <v>19.177</v>
      </c>
      <c r="J3759" s="44" t="s">
        <v>8</v>
      </c>
      <c r="K3759" s="23" t="s">
        <v>8</v>
      </c>
      <c r="L3759" s="23" t="s">
        <v>8</v>
      </c>
      <c r="M3759" s="23" t="s">
        <v>8</v>
      </c>
    </row>
    <row r="3760" spans="1:13" s="21" customFormat="1" x14ac:dyDescent="0.25">
      <c r="A3760" s="22" t="s">
        <v>8</v>
      </c>
      <c r="B3760" s="18" t="str">
        <f>"155233"</f>
        <v>155233</v>
      </c>
      <c r="C3760" s="19" t="s">
        <v>3741</v>
      </c>
      <c r="D3760" s="19" t="s">
        <v>19187</v>
      </c>
      <c r="E3760" s="19" t="s">
        <v>30998</v>
      </c>
      <c r="F3760" s="19" t="s">
        <v>35988</v>
      </c>
      <c r="G3760" s="18" t="str">
        <f>"47006"</f>
        <v>47006</v>
      </c>
      <c r="H3760" s="19" t="s">
        <v>33524</v>
      </c>
      <c r="I3760" s="20">
        <v>19.126000000000001</v>
      </c>
      <c r="J3760" s="44" t="s">
        <v>8</v>
      </c>
      <c r="K3760" s="23" t="s">
        <v>8</v>
      </c>
      <c r="L3760" s="23" t="s">
        <v>8</v>
      </c>
      <c r="M3760" s="23" t="s">
        <v>8</v>
      </c>
    </row>
    <row r="3761" spans="1:13" s="21" customFormat="1" x14ac:dyDescent="0.25">
      <c r="A3761" s="22" t="s">
        <v>8</v>
      </c>
      <c r="B3761" s="18" t="str">
        <f>"155234"</f>
        <v>155234</v>
      </c>
      <c r="C3761" s="19" t="s">
        <v>3742</v>
      </c>
      <c r="D3761" s="19" t="s">
        <v>19188</v>
      </c>
      <c r="E3761" s="19" t="s">
        <v>32225</v>
      </c>
      <c r="F3761" s="19" t="s">
        <v>35988</v>
      </c>
      <c r="G3761" s="18" t="str">
        <f>"47802"</f>
        <v>47802</v>
      </c>
      <c r="H3761" s="19" t="s">
        <v>36257</v>
      </c>
      <c r="I3761" s="20">
        <v>19.693000000000001</v>
      </c>
      <c r="J3761" s="44" t="s">
        <v>8</v>
      </c>
      <c r="K3761" s="23" t="s">
        <v>8</v>
      </c>
      <c r="L3761" s="23" t="s">
        <v>8</v>
      </c>
      <c r="M3761" s="23" t="s">
        <v>8</v>
      </c>
    </row>
    <row r="3762" spans="1:13" s="21" customFormat="1" x14ac:dyDescent="0.25">
      <c r="A3762" s="22" t="s">
        <v>8</v>
      </c>
      <c r="B3762" s="18" t="str">
        <f>"155235"</f>
        <v>155235</v>
      </c>
      <c r="C3762" s="19" t="s">
        <v>3643</v>
      </c>
      <c r="D3762" s="19" t="s">
        <v>19189</v>
      </c>
      <c r="E3762" s="19" t="s">
        <v>32241</v>
      </c>
      <c r="F3762" s="19" t="s">
        <v>35988</v>
      </c>
      <c r="G3762" s="18" t="str">
        <f>"46947"</f>
        <v>46947</v>
      </c>
      <c r="H3762" s="19" t="s">
        <v>36246</v>
      </c>
      <c r="I3762" s="20">
        <v>18.096</v>
      </c>
      <c r="J3762" s="44" t="s">
        <v>8</v>
      </c>
      <c r="K3762" s="23" t="s">
        <v>8</v>
      </c>
      <c r="L3762" s="23" t="s">
        <v>8</v>
      </c>
      <c r="M3762" s="23" t="s">
        <v>8</v>
      </c>
    </row>
    <row r="3763" spans="1:13" s="21" customFormat="1" x14ac:dyDescent="0.25">
      <c r="A3763" s="22" t="s">
        <v>8</v>
      </c>
      <c r="B3763" s="18" t="str">
        <f>"155236"</f>
        <v>155236</v>
      </c>
      <c r="C3763" s="19" t="s">
        <v>3743</v>
      </c>
      <c r="D3763" s="19" t="s">
        <v>19190</v>
      </c>
      <c r="E3763" s="19" t="s">
        <v>31444</v>
      </c>
      <c r="F3763" s="19" t="s">
        <v>35988</v>
      </c>
      <c r="G3763" s="18" t="str">
        <f>"46123"</f>
        <v>46123</v>
      </c>
      <c r="H3763" s="19" t="s">
        <v>33449</v>
      </c>
      <c r="I3763" s="20">
        <v>16.794</v>
      </c>
      <c r="J3763" s="44" t="s">
        <v>8</v>
      </c>
      <c r="K3763" s="23" t="s">
        <v>8</v>
      </c>
      <c r="L3763" s="23" t="s">
        <v>8</v>
      </c>
      <c r="M3763" s="23" t="s">
        <v>8</v>
      </c>
    </row>
    <row r="3764" spans="1:13" s="21" customFormat="1" x14ac:dyDescent="0.25">
      <c r="A3764" s="22" t="s">
        <v>8</v>
      </c>
      <c r="B3764" s="18" t="str">
        <f>"155237"</f>
        <v>155237</v>
      </c>
      <c r="C3764" s="19" t="s">
        <v>3744</v>
      </c>
      <c r="D3764" s="19" t="s">
        <v>19191</v>
      </c>
      <c r="E3764" s="19" t="s">
        <v>32200</v>
      </c>
      <c r="F3764" s="19" t="s">
        <v>35988</v>
      </c>
      <c r="G3764" s="18" t="str">
        <f>"46227"</f>
        <v>46227</v>
      </c>
      <c r="H3764" s="19" t="s">
        <v>30850</v>
      </c>
      <c r="I3764" s="20">
        <v>18.916</v>
      </c>
      <c r="J3764" s="44" t="s">
        <v>8</v>
      </c>
      <c r="K3764" s="23" t="s">
        <v>8</v>
      </c>
      <c r="L3764" s="23" t="s">
        <v>8</v>
      </c>
      <c r="M3764" s="23" t="s">
        <v>8</v>
      </c>
    </row>
    <row r="3765" spans="1:13" s="21" customFormat="1" x14ac:dyDescent="0.25">
      <c r="A3765" s="22" t="s">
        <v>8</v>
      </c>
      <c r="B3765" s="18" t="str">
        <f>"155238"</f>
        <v>155238</v>
      </c>
      <c r="C3765" s="19" t="s">
        <v>3745</v>
      </c>
      <c r="D3765" s="19" t="s">
        <v>19192</v>
      </c>
      <c r="E3765" s="19" t="s">
        <v>32242</v>
      </c>
      <c r="F3765" s="19" t="s">
        <v>35988</v>
      </c>
      <c r="G3765" s="18" t="str">
        <f>"47396"</f>
        <v>47396</v>
      </c>
      <c r="H3765" s="19" t="s">
        <v>34462</v>
      </c>
      <c r="I3765" s="20">
        <v>20.58</v>
      </c>
      <c r="J3765" s="44" t="s">
        <v>8</v>
      </c>
      <c r="K3765" s="23" t="s">
        <v>8</v>
      </c>
      <c r="L3765" s="23" t="s">
        <v>8</v>
      </c>
      <c r="M3765" s="23" t="s">
        <v>8</v>
      </c>
    </row>
    <row r="3766" spans="1:13" s="21" customFormat="1" x14ac:dyDescent="0.25">
      <c r="A3766" s="22" t="s">
        <v>8</v>
      </c>
      <c r="B3766" s="18" t="str">
        <f>"155240"</f>
        <v>155240</v>
      </c>
      <c r="C3766" s="19" t="s">
        <v>3746</v>
      </c>
      <c r="D3766" s="19" t="s">
        <v>19193</v>
      </c>
      <c r="E3766" s="19" t="s">
        <v>31757</v>
      </c>
      <c r="F3766" s="19" t="s">
        <v>35988</v>
      </c>
      <c r="G3766" s="18" t="str">
        <f>"47443"</f>
        <v>47443</v>
      </c>
      <c r="H3766" s="19" t="s">
        <v>32455</v>
      </c>
      <c r="I3766" s="20">
        <v>19.108000000000001</v>
      </c>
      <c r="J3766" s="44" t="s">
        <v>8</v>
      </c>
      <c r="K3766" s="23" t="s">
        <v>8</v>
      </c>
      <c r="L3766" s="23" t="s">
        <v>8</v>
      </c>
      <c r="M3766" s="23" t="s">
        <v>8</v>
      </c>
    </row>
    <row r="3767" spans="1:13" s="21" customFormat="1" x14ac:dyDescent="0.25">
      <c r="A3767" s="22" t="s">
        <v>8</v>
      </c>
      <c r="B3767" s="18" t="str">
        <f>"155241"</f>
        <v>155241</v>
      </c>
      <c r="C3767" s="19" t="s">
        <v>3747</v>
      </c>
      <c r="D3767" s="19" t="s">
        <v>19194</v>
      </c>
      <c r="E3767" s="19" t="s">
        <v>32200</v>
      </c>
      <c r="F3767" s="19" t="s">
        <v>35988</v>
      </c>
      <c r="G3767" s="18" t="str">
        <f>"46227"</f>
        <v>46227</v>
      </c>
      <c r="H3767" s="19" t="s">
        <v>30850</v>
      </c>
      <c r="I3767" s="20">
        <v>17.033000000000001</v>
      </c>
      <c r="J3767" s="44" t="s">
        <v>8</v>
      </c>
      <c r="K3767" s="23" t="s">
        <v>8</v>
      </c>
      <c r="L3767" s="23" t="s">
        <v>8</v>
      </c>
      <c r="M3767" s="23" t="s">
        <v>8</v>
      </c>
    </row>
    <row r="3768" spans="1:13" s="21" customFormat="1" x14ac:dyDescent="0.25">
      <c r="A3768" s="22" t="s">
        <v>8</v>
      </c>
      <c r="B3768" s="18" t="str">
        <f>"155242"</f>
        <v>155242</v>
      </c>
      <c r="C3768" s="19" t="s">
        <v>3748</v>
      </c>
      <c r="D3768" s="19" t="s">
        <v>19195</v>
      </c>
      <c r="E3768" s="19" t="s">
        <v>32205</v>
      </c>
      <c r="F3768" s="19" t="s">
        <v>35988</v>
      </c>
      <c r="G3768" s="18" t="str">
        <f>"47303"</f>
        <v>47303</v>
      </c>
      <c r="H3768" s="19" t="s">
        <v>34462</v>
      </c>
      <c r="I3768" s="20">
        <v>15.083</v>
      </c>
      <c r="J3768" s="44" t="s">
        <v>8</v>
      </c>
      <c r="K3768" s="23" t="s">
        <v>8</v>
      </c>
      <c r="L3768" s="23" t="s">
        <v>8</v>
      </c>
      <c r="M3768" s="23" t="s">
        <v>8</v>
      </c>
    </row>
    <row r="3769" spans="1:13" s="21" customFormat="1" x14ac:dyDescent="0.25">
      <c r="A3769" s="22" t="s">
        <v>8</v>
      </c>
      <c r="B3769" s="18" t="str">
        <f>"155243"</f>
        <v>155243</v>
      </c>
      <c r="C3769" s="19" t="s">
        <v>3749</v>
      </c>
      <c r="D3769" s="19" t="s">
        <v>19196</v>
      </c>
      <c r="E3769" s="19" t="s">
        <v>30892</v>
      </c>
      <c r="F3769" s="19" t="s">
        <v>35988</v>
      </c>
      <c r="G3769" s="18" t="str">
        <f>"47905"</f>
        <v>47905</v>
      </c>
      <c r="H3769" s="19" t="s">
        <v>36251</v>
      </c>
      <c r="I3769" s="20">
        <v>20.004000000000001</v>
      </c>
      <c r="J3769" s="44" t="s">
        <v>8</v>
      </c>
      <c r="K3769" s="23" t="s">
        <v>8</v>
      </c>
      <c r="L3769" s="23" t="s">
        <v>8</v>
      </c>
      <c r="M3769" s="23" t="s">
        <v>8</v>
      </c>
    </row>
    <row r="3770" spans="1:13" s="21" customFormat="1" x14ac:dyDescent="0.25">
      <c r="A3770" s="22" t="s">
        <v>8</v>
      </c>
      <c r="B3770" s="18" t="str">
        <f>"155245"</f>
        <v>155245</v>
      </c>
      <c r="C3770" s="19" t="s">
        <v>3750</v>
      </c>
      <c r="D3770" s="19" t="s">
        <v>19197</v>
      </c>
      <c r="E3770" s="19" t="s">
        <v>32200</v>
      </c>
      <c r="F3770" s="19" t="s">
        <v>35988</v>
      </c>
      <c r="G3770" s="18" t="str">
        <f>"46256"</f>
        <v>46256</v>
      </c>
      <c r="H3770" s="19" t="s">
        <v>30850</v>
      </c>
      <c r="I3770" s="20">
        <v>19.559000000000001</v>
      </c>
      <c r="J3770" s="44" t="s">
        <v>8</v>
      </c>
      <c r="K3770" s="23" t="s">
        <v>8</v>
      </c>
      <c r="L3770" s="23" t="s">
        <v>8</v>
      </c>
      <c r="M3770" s="23" t="s">
        <v>8</v>
      </c>
    </row>
    <row r="3771" spans="1:13" s="21" customFormat="1" x14ac:dyDescent="0.25">
      <c r="A3771" s="22" t="s">
        <v>8</v>
      </c>
      <c r="B3771" s="18" t="str">
        <f>"155246"</f>
        <v>155246</v>
      </c>
      <c r="C3771" s="19" t="s">
        <v>3751</v>
      </c>
      <c r="D3771" s="19" t="s">
        <v>19198</v>
      </c>
      <c r="E3771" s="19" t="s">
        <v>32243</v>
      </c>
      <c r="F3771" s="19" t="s">
        <v>35988</v>
      </c>
      <c r="G3771" s="18" t="str">
        <f>"46304"</f>
        <v>46304</v>
      </c>
      <c r="H3771" s="19" t="s">
        <v>36256</v>
      </c>
      <c r="I3771" s="20">
        <v>19.015000000000001</v>
      </c>
      <c r="J3771" s="44" t="s">
        <v>8</v>
      </c>
      <c r="K3771" s="23" t="s">
        <v>8</v>
      </c>
      <c r="L3771" s="23" t="s">
        <v>8</v>
      </c>
      <c r="M3771" s="23" t="s">
        <v>8</v>
      </c>
    </row>
    <row r="3772" spans="1:13" s="21" customFormat="1" x14ac:dyDescent="0.25">
      <c r="A3772" s="22" t="s">
        <v>8</v>
      </c>
      <c r="B3772" s="18" t="str">
        <f>"155247"</f>
        <v>155247</v>
      </c>
      <c r="C3772" s="19" t="s">
        <v>1990</v>
      </c>
      <c r="D3772" s="19" t="s">
        <v>19199</v>
      </c>
      <c r="E3772" s="19" t="s">
        <v>32200</v>
      </c>
      <c r="F3772" s="19" t="s">
        <v>35988</v>
      </c>
      <c r="G3772" s="18" t="str">
        <f>"46227"</f>
        <v>46227</v>
      </c>
      <c r="H3772" s="19" t="s">
        <v>30850</v>
      </c>
      <c r="I3772" s="20">
        <v>16.399999999999999</v>
      </c>
      <c r="J3772" s="44" t="s">
        <v>8</v>
      </c>
      <c r="K3772" s="23" t="s">
        <v>8</v>
      </c>
      <c r="L3772" s="23" t="s">
        <v>8</v>
      </c>
      <c r="M3772" s="23" t="s">
        <v>8</v>
      </c>
    </row>
    <row r="3773" spans="1:13" s="21" customFormat="1" x14ac:dyDescent="0.25">
      <c r="A3773" s="22" t="s">
        <v>8</v>
      </c>
      <c r="B3773" s="18" t="str">
        <f>"155248"</f>
        <v>155248</v>
      </c>
      <c r="C3773" s="19" t="s">
        <v>3752</v>
      </c>
      <c r="D3773" s="19" t="s">
        <v>19200</v>
      </c>
      <c r="E3773" s="19" t="s">
        <v>32217</v>
      </c>
      <c r="F3773" s="19" t="s">
        <v>35988</v>
      </c>
      <c r="G3773" s="18" t="str">
        <f>"47713"</f>
        <v>47713</v>
      </c>
      <c r="H3773" s="19" t="s">
        <v>36252</v>
      </c>
      <c r="I3773" s="20">
        <v>18.399999999999999</v>
      </c>
      <c r="J3773" s="44" t="s">
        <v>8</v>
      </c>
      <c r="K3773" s="23" t="s">
        <v>8</v>
      </c>
      <c r="L3773" s="23" t="s">
        <v>8</v>
      </c>
      <c r="M3773" s="23" t="s">
        <v>8</v>
      </c>
    </row>
    <row r="3774" spans="1:13" s="21" customFormat="1" x14ac:dyDescent="0.25">
      <c r="A3774" s="22" t="s">
        <v>8</v>
      </c>
      <c r="B3774" s="18" t="str">
        <f>"155249"</f>
        <v>155249</v>
      </c>
      <c r="C3774" s="19" t="s">
        <v>3753</v>
      </c>
      <c r="D3774" s="19" t="s">
        <v>19201</v>
      </c>
      <c r="E3774" s="19" t="s">
        <v>32214</v>
      </c>
      <c r="F3774" s="19" t="s">
        <v>35988</v>
      </c>
      <c r="G3774" s="18" t="str">
        <f>"46815"</f>
        <v>46815</v>
      </c>
      <c r="H3774" s="19" t="s">
        <v>34710</v>
      </c>
      <c r="I3774" s="20">
        <v>19.584</v>
      </c>
      <c r="J3774" s="44" t="s">
        <v>8</v>
      </c>
      <c r="K3774" s="23" t="s">
        <v>8</v>
      </c>
      <c r="L3774" s="23" t="s">
        <v>8</v>
      </c>
      <c r="M3774" s="23" t="s">
        <v>8</v>
      </c>
    </row>
    <row r="3775" spans="1:13" s="21" customFormat="1" x14ac:dyDescent="0.25">
      <c r="A3775" s="22" t="s">
        <v>8</v>
      </c>
      <c r="B3775" s="18" t="str">
        <f>"155251"</f>
        <v>155251</v>
      </c>
      <c r="C3775" s="19" t="s">
        <v>3643</v>
      </c>
      <c r="D3775" s="19" t="s">
        <v>19202</v>
      </c>
      <c r="E3775" s="19" t="s">
        <v>32244</v>
      </c>
      <c r="F3775" s="19" t="s">
        <v>35988</v>
      </c>
      <c r="G3775" s="18" t="str">
        <f>"46342"</f>
        <v>46342</v>
      </c>
      <c r="H3775" s="19" t="s">
        <v>36096</v>
      </c>
      <c r="I3775" s="20">
        <v>22.783999999999999</v>
      </c>
      <c r="J3775" s="44" t="s">
        <v>8</v>
      </c>
      <c r="K3775" s="23" t="s">
        <v>8</v>
      </c>
      <c r="L3775" s="23" t="s">
        <v>8</v>
      </c>
      <c r="M3775" s="23" t="s">
        <v>8</v>
      </c>
    </row>
    <row r="3776" spans="1:13" s="21" customFormat="1" x14ac:dyDescent="0.25">
      <c r="A3776" s="22" t="s">
        <v>8</v>
      </c>
      <c r="B3776" s="18" t="str">
        <f>"155252"</f>
        <v>155252</v>
      </c>
      <c r="C3776" s="19" t="s">
        <v>3754</v>
      </c>
      <c r="D3776" s="19" t="s">
        <v>19203</v>
      </c>
      <c r="E3776" s="19" t="s">
        <v>32245</v>
      </c>
      <c r="F3776" s="19" t="s">
        <v>35988</v>
      </c>
      <c r="G3776" s="18" t="str">
        <f>"47630"</f>
        <v>47630</v>
      </c>
      <c r="H3776" s="19" t="s">
        <v>36260</v>
      </c>
      <c r="I3776" s="20">
        <v>20.83</v>
      </c>
      <c r="J3776" s="44" t="s">
        <v>8</v>
      </c>
      <c r="K3776" s="23" t="s">
        <v>8</v>
      </c>
      <c r="L3776" s="23" t="s">
        <v>8</v>
      </c>
      <c r="M3776" s="23" t="s">
        <v>8</v>
      </c>
    </row>
    <row r="3777" spans="1:13" s="21" customFormat="1" x14ac:dyDescent="0.25">
      <c r="A3777" s="22" t="s">
        <v>8</v>
      </c>
      <c r="B3777" s="18" t="str">
        <f>"155253"</f>
        <v>155253</v>
      </c>
      <c r="C3777" s="19" t="s">
        <v>3755</v>
      </c>
      <c r="D3777" s="19" t="s">
        <v>19204</v>
      </c>
      <c r="E3777" s="19" t="s">
        <v>31919</v>
      </c>
      <c r="F3777" s="19" t="s">
        <v>35988</v>
      </c>
      <c r="G3777" s="18" t="str">
        <f>"47408"</f>
        <v>47408</v>
      </c>
      <c r="H3777" s="19" t="s">
        <v>31711</v>
      </c>
      <c r="I3777" s="20">
        <v>16.308</v>
      </c>
      <c r="J3777" s="44" t="s">
        <v>8</v>
      </c>
      <c r="K3777" s="23" t="s">
        <v>8</v>
      </c>
      <c r="L3777" s="23" t="s">
        <v>8</v>
      </c>
      <c r="M3777" s="23" t="s">
        <v>8</v>
      </c>
    </row>
    <row r="3778" spans="1:13" s="21" customFormat="1" x14ac:dyDescent="0.25">
      <c r="A3778" s="22" t="s">
        <v>8</v>
      </c>
      <c r="B3778" s="18" t="str">
        <f>"155254"</f>
        <v>155254</v>
      </c>
      <c r="C3778" s="19" t="s">
        <v>3756</v>
      </c>
      <c r="D3778" s="19" t="s">
        <v>19205</v>
      </c>
      <c r="E3778" s="19" t="s">
        <v>32220</v>
      </c>
      <c r="F3778" s="19" t="s">
        <v>35988</v>
      </c>
      <c r="G3778" s="18" t="str">
        <f>"46140"</f>
        <v>46140</v>
      </c>
      <c r="H3778" s="19" t="s">
        <v>33144</v>
      </c>
      <c r="I3778" s="20">
        <v>18.05</v>
      </c>
      <c r="J3778" s="44" t="s">
        <v>8</v>
      </c>
      <c r="K3778" s="23" t="s">
        <v>8</v>
      </c>
      <c r="L3778" s="23" t="s">
        <v>8</v>
      </c>
      <c r="M3778" s="23" t="s">
        <v>8</v>
      </c>
    </row>
    <row r="3779" spans="1:13" s="21" customFormat="1" x14ac:dyDescent="0.25">
      <c r="A3779" s="22" t="s">
        <v>8</v>
      </c>
      <c r="B3779" s="18" t="str">
        <f>"155255"</f>
        <v>155255</v>
      </c>
      <c r="C3779" s="19" t="s">
        <v>3757</v>
      </c>
      <c r="D3779" s="19" t="s">
        <v>19206</v>
      </c>
      <c r="E3779" s="19" t="s">
        <v>32214</v>
      </c>
      <c r="F3779" s="19" t="s">
        <v>35988</v>
      </c>
      <c r="G3779" s="18" t="str">
        <f>"46805"</f>
        <v>46805</v>
      </c>
      <c r="H3779" s="19" t="s">
        <v>34710</v>
      </c>
      <c r="I3779" s="20">
        <v>18.186</v>
      </c>
      <c r="J3779" s="44" t="s">
        <v>8</v>
      </c>
      <c r="K3779" s="23" t="s">
        <v>8</v>
      </c>
      <c r="L3779" s="23" t="s">
        <v>8</v>
      </c>
      <c r="M3779" s="23" t="s">
        <v>8</v>
      </c>
    </row>
    <row r="3780" spans="1:13" s="21" customFormat="1" x14ac:dyDescent="0.25">
      <c r="A3780" s="22" t="s">
        <v>8</v>
      </c>
      <c r="B3780" s="18" t="str">
        <f>"155258"</f>
        <v>155258</v>
      </c>
      <c r="C3780" s="19" t="s">
        <v>3758</v>
      </c>
      <c r="D3780" s="19" t="s">
        <v>19207</v>
      </c>
      <c r="E3780" s="19" t="s">
        <v>32202</v>
      </c>
      <c r="F3780" s="19" t="s">
        <v>35988</v>
      </c>
      <c r="G3780" s="18" t="str">
        <f>"46016"</f>
        <v>46016</v>
      </c>
      <c r="H3780" s="19" t="s">
        <v>30899</v>
      </c>
      <c r="I3780" s="20">
        <v>20.146000000000001</v>
      </c>
      <c r="J3780" s="44" t="s">
        <v>8</v>
      </c>
      <c r="K3780" s="23" t="s">
        <v>8</v>
      </c>
      <c r="L3780" s="23" t="s">
        <v>8</v>
      </c>
      <c r="M3780" s="23" t="s">
        <v>8</v>
      </c>
    </row>
    <row r="3781" spans="1:13" s="21" customFormat="1" x14ac:dyDescent="0.25">
      <c r="A3781" s="22" t="s">
        <v>8</v>
      </c>
      <c r="B3781" s="18" t="str">
        <f>"155261"</f>
        <v>155261</v>
      </c>
      <c r="C3781" s="19" t="s">
        <v>3759</v>
      </c>
      <c r="D3781" s="19" t="s">
        <v>19208</v>
      </c>
      <c r="E3781" s="19" t="s">
        <v>32246</v>
      </c>
      <c r="F3781" s="19" t="s">
        <v>35988</v>
      </c>
      <c r="G3781" s="18" t="str">
        <f>"47933"</f>
        <v>47933</v>
      </c>
      <c r="H3781" s="19" t="s">
        <v>30833</v>
      </c>
      <c r="I3781" s="20">
        <v>21.088000000000001</v>
      </c>
      <c r="J3781" s="44" t="s">
        <v>8</v>
      </c>
      <c r="K3781" s="23" t="s">
        <v>8</v>
      </c>
      <c r="L3781" s="23" t="s">
        <v>8</v>
      </c>
      <c r="M3781" s="23" t="s">
        <v>8</v>
      </c>
    </row>
    <row r="3782" spans="1:13" s="21" customFormat="1" x14ac:dyDescent="0.25">
      <c r="A3782" s="22" t="s">
        <v>8</v>
      </c>
      <c r="B3782" s="18" t="str">
        <f>"155262"</f>
        <v>155262</v>
      </c>
      <c r="C3782" s="19" t="s">
        <v>3643</v>
      </c>
      <c r="D3782" s="19" t="s">
        <v>19209</v>
      </c>
      <c r="E3782" s="19" t="s">
        <v>31976</v>
      </c>
      <c r="F3782" s="19" t="s">
        <v>35988</v>
      </c>
      <c r="G3782" s="18" t="str">
        <f>"47882"</f>
        <v>47882</v>
      </c>
      <c r="H3782" s="19" t="s">
        <v>31976</v>
      </c>
      <c r="I3782" s="20">
        <v>17.997</v>
      </c>
      <c r="J3782" s="44" t="s">
        <v>8</v>
      </c>
      <c r="K3782" s="23" t="s">
        <v>8</v>
      </c>
      <c r="L3782" s="23" t="s">
        <v>8</v>
      </c>
      <c r="M3782" s="23" t="s">
        <v>8</v>
      </c>
    </row>
    <row r="3783" spans="1:13" s="21" customFormat="1" x14ac:dyDescent="0.25">
      <c r="A3783" s="22" t="s">
        <v>8</v>
      </c>
      <c r="B3783" s="18" t="str">
        <f>"155263"</f>
        <v>155263</v>
      </c>
      <c r="C3783" s="19" t="s">
        <v>3760</v>
      </c>
      <c r="D3783" s="19" t="s">
        <v>19210</v>
      </c>
      <c r="E3783" s="19" t="s">
        <v>32247</v>
      </c>
      <c r="F3783" s="19" t="s">
        <v>35988</v>
      </c>
      <c r="G3783" s="18" t="str">
        <f>"47553"</f>
        <v>47553</v>
      </c>
      <c r="H3783" s="19" t="s">
        <v>35168</v>
      </c>
      <c r="I3783" s="20">
        <v>18.305</v>
      </c>
      <c r="J3783" s="44" t="s">
        <v>8</v>
      </c>
      <c r="K3783" s="23" t="s">
        <v>8</v>
      </c>
      <c r="L3783" s="23" t="s">
        <v>8</v>
      </c>
      <c r="M3783" s="23" t="s">
        <v>8</v>
      </c>
    </row>
    <row r="3784" spans="1:13" s="21" customFormat="1" x14ac:dyDescent="0.25">
      <c r="A3784" s="22" t="s">
        <v>8</v>
      </c>
      <c r="B3784" s="18" t="str">
        <f>"155264"</f>
        <v>155264</v>
      </c>
      <c r="C3784" s="19" t="s">
        <v>3761</v>
      </c>
      <c r="D3784" s="19" t="s">
        <v>19211</v>
      </c>
      <c r="E3784" s="19" t="s">
        <v>31178</v>
      </c>
      <c r="F3784" s="19" t="s">
        <v>35988</v>
      </c>
      <c r="G3784" s="18" t="str">
        <f>"47374"</f>
        <v>47374</v>
      </c>
      <c r="H3784" s="19" t="s">
        <v>33280</v>
      </c>
      <c r="I3784" s="20">
        <v>15.688000000000001</v>
      </c>
      <c r="J3784" s="44" t="s">
        <v>8</v>
      </c>
      <c r="K3784" s="23" t="s">
        <v>8</v>
      </c>
      <c r="L3784" s="23" t="s">
        <v>8</v>
      </c>
      <c r="M3784" s="23" t="s">
        <v>8</v>
      </c>
    </row>
    <row r="3785" spans="1:13" s="21" customFormat="1" x14ac:dyDescent="0.25">
      <c r="A3785" s="22" t="s">
        <v>8</v>
      </c>
      <c r="B3785" s="18" t="str">
        <f>"155265"</f>
        <v>155265</v>
      </c>
      <c r="C3785" s="19" t="s">
        <v>3762</v>
      </c>
      <c r="D3785" s="19" t="s">
        <v>19212</v>
      </c>
      <c r="E3785" s="19" t="s">
        <v>31010</v>
      </c>
      <c r="F3785" s="19" t="s">
        <v>35988</v>
      </c>
      <c r="G3785" s="18" t="str">
        <f>"47129"</f>
        <v>47129</v>
      </c>
      <c r="H3785" s="19" t="s">
        <v>33967</v>
      </c>
      <c r="I3785" s="20">
        <v>18.888999999999999</v>
      </c>
      <c r="J3785" s="44" t="s">
        <v>8</v>
      </c>
      <c r="K3785" s="23" t="s">
        <v>8</v>
      </c>
      <c r="L3785" s="23" t="s">
        <v>8</v>
      </c>
      <c r="M3785" s="23" t="s">
        <v>8</v>
      </c>
    </row>
    <row r="3786" spans="1:13" s="21" customFormat="1" x14ac:dyDescent="0.25">
      <c r="A3786" s="22" t="s">
        <v>8</v>
      </c>
      <c r="B3786" s="18" t="str">
        <f>"155266"</f>
        <v>155266</v>
      </c>
      <c r="C3786" s="19" t="s">
        <v>3763</v>
      </c>
      <c r="D3786" s="19" t="s">
        <v>19213</v>
      </c>
      <c r="E3786" s="19" t="s">
        <v>32214</v>
      </c>
      <c r="F3786" s="19" t="s">
        <v>35988</v>
      </c>
      <c r="G3786" s="18" t="str">
        <f>"46805"</f>
        <v>46805</v>
      </c>
      <c r="H3786" s="19" t="s">
        <v>34710</v>
      </c>
      <c r="I3786" s="20">
        <v>20.271000000000001</v>
      </c>
      <c r="J3786" s="44" t="s">
        <v>8</v>
      </c>
      <c r="K3786" s="23" t="s">
        <v>8</v>
      </c>
      <c r="L3786" s="23" t="s">
        <v>8</v>
      </c>
      <c r="M3786" s="23" t="s">
        <v>8</v>
      </c>
    </row>
    <row r="3787" spans="1:13" s="21" customFormat="1" x14ac:dyDescent="0.25">
      <c r="A3787" s="22" t="s">
        <v>8</v>
      </c>
      <c r="B3787" s="18" t="str">
        <f>"155267"</f>
        <v>155267</v>
      </c>
      <c r="C3787" s="19" t="s">
        <v>3764</v>
      </c>
      <c r="D3787" s="19" t="s">
        <v>19214</v>
      </c>
      <c r="E3787" s="19" t="s">
        <v>32248</v>
      </c>
      <c r="F3787" s="19" t="s">
        <v>35988</v>
      </c>
      <c r="G3787" s="18" t="str">
        <f>"47170"</f>
        <v>47170</v>
      </c>
      <c r="H3787" s="19" t="s">
        <v>36083</v>
      </c>
      <c r="I3787" s="20">
        <v>18.576000000000001</v>
      </c>
      <c r="J3787" s="44" t="s">
        <v>8</v>
      </c>
      <c r="K3787" s="23" t="s">
        <v>8</v>
      </c>
      <c r="L3787" s="23" t="s">
        <v>8</v>
      </c>
      <c r="M3787" s="23" t="s">
        <v>8</v>
      </c>
    </row>
    <row r="3788" spans="1:13" s="21" customFormat="1" x14ac:dyDescent="0.25">
      <c r="A3788" s="22" t="s">
        <v>8</v>
      </c>
      <c r="B3788" s="18" t="str">
        <f>"155269"</f>
        <v>155269</v>
      </c>
      <c r="C3788" s="19" t="s">
        <v>3765</v>
      </c>
      <c r="D3788" s="19" t="s">
        <v>19215</v>
      </c>
      <c r="E3788" s="19" t="s">
        <v>32213</v>
      </c>
      <c r="F3788" s="19" t="s">
        <v>35988</v>
      </c>
      <c r="G3788" s="18" t="str">
        <f>"46514"</f>
        <v>46514</v>
      </c>
      <c r="H3788" s="19" t="s">
        <v>32213</v>
      </c>
      <c r="I3788" s="20">
        <v>17.420999999999999</v>
      </c>
      <c r="J3788" s="44" t="s">
        <v>8</v>
      </c>
      <c r="K3788" s="23" t="s">
        <v>8</v>
      </c>
      <c r="L3788" s="23" t="s">
        <v>8</v>
      </c>
      <c r="M3788" s="23" t="s">
        <v>8</v>
      </c>
    </row>
    <row r="3789" spans="1:13" s="21" customFormat="1" x14ac:dyDescent="0.25">
      <c r="A3789" s="22" t="s">
        <v>8</v>
      </c>
      <c r="B3789" s="18" t="str">
        <f>"155270"</f>
        <v>155270</v>
      </c>
      <c r="C3789" s="19" t="s">
        <v>3766</v>
      </c>
      <c r="D3789" s="19" t="s">
        <v>19216</v>
      </c>
      <c r="E3789" s="19" t="s">
        <v>32249</v>
      </c>
      <c r="F3789" s="19" t="s">
        <v>35988</v>
      </c>
      <c r="G3789" s="18" t="str">
        <f>"47523"</f>
        <v>47523</v>
      </c>
      <c r="H3789" s="19" t="s">
        <v>32314</v>
      </c>
      <c r="I3789" s="20">
        <v>18.367000000000001</v>
      </c>
      <c r="J3789" s="44" t="s">
        <v>8</v>
      </c>
      <c r="K3789" s="23" t="s">
        <v>8</v>
      </c>
      <c r="L3789" s="23" t="s">
        <v>8</v>
      </c>
      <c r="M3789" s="23" t="s">
        <v>8</v>
      </c>
    </row>
    <row r="3790" spans="1:13" s="21" customFormat="1" x14ac:dyDescent="0.25">
      <c r="A3790" s="22" t="s">
        <v>8</v>
      </c>
      <c r="B3790" s="18" t="str">
        <f>"155271"</f>
        <v>155271</v>
      </c>
      <c r="C3790" s="19" t="s">
        <v>3767</v>
      </c>
      <c r="D3790" s="19" t="s">
        <v>19217</v>
      </c>
      <c r="E3790" s="19" t="s">
        <v>32200</v>
      </c>
      <c r="F3790" s="19" t="s">
        <v>35988</v>
      </c>
      <c r="G3790" s="18" t="str">
        <f>"46256"</f>
        <v>46256</v>
      </c>
      <c r="H3790" s="19" t="s">
        <v>30850</v>
      </c>
      <c r="I3790" s="20">
        <v>17.109000000000002</v>
      </c>
      <c r="J3790" s="44" t="s">
        <v>8</v>
      </c>
      <c r="K3790" s="23" t="s">
        <v>8</v>
      </c>
      <c r="L3790" s="23" t="s">
        <v>8</v>
      </c>
      <c r="M3790" s="23" t="s">
        <v>8</v>
      </c>
    </row>
    <row r="3791" spans="1:13" s="21" customFormat="1" x14ac:dyDescent="0.25">
      <c r="A3791" s="22" t="s">
        <v>8</v>
      </c>
      <c r="B3791" s="18" t="str">
        <f>"155272"</f>
        <v>155272</v>
      </c>
      <c r="C3791" s="19" t="s">
        <v>3768</v>
      </c>
      <c r="D3791" s="19" t="s">
        <v>19218</v>
      </c>
      <c r="E3791" s="19" t="s">
        <v>32200</v>
      </c>
      <c r="F3791" s="19" t="s">
        <v>35988</v>
      </c>
      <c r="G3791" s="18" t="str">
        <f>"46250"</f>
        <v>46250</v>
      </c>
      <c r="H3791" s="19" t="s">
        <v>30850</v>
      </c>
      <c r="I3791" s="20">
        <v>16.940999999999999</v>
      </c>
      <c r="J3791" s="44" t="s">
        <v>8</v>
      </c>
      <c r="K3791" s="23" t="s">
        <v>8</v>
      </c>
      <c r="L3791" s="23" t="s">
        <v>8</v>
      </c>
      <c r="M3791" s="23" t="s">
        <v>8</v>
      </c>
    </row>
    <row r="3792" spans="1:13" s="21" customFormat="1" x14ac:dyDescent="0.25">
      <c r="A3792" s="22" t="s">
        <v>8</v>
      </c>
      <c r="B3792" s="18" t="str">
        <f>"155273"</f>
        <v>155273</v>
      </c>
      <c r="C3792" s="19" t="s">
        <v>3769</v>
      </c>
      <c r="D3792" s="19" t="s">
        <v>19219</v>
      </c>
      <c r="E3792" s="19" t="s">
        <v>32245</v>
      </c>
      <c r="F3792" s="19" t="s">
        <v>35988</v>
      </c>
      <c r="G3792" s="18" t="str">
        <f>"47630"</f>
        <v>47630</v>
      </c>
      <c r="H3792" s="19" t="s">
        <v>36260</v>
      </c>
      <c r="I3792" s="20">
        <v>19.913</v>
      </c>
      <c r="J3792" s="44" t="s">
        <v>8</v>
      </c>
      <c r="K3792" s="23" t="s">
        <v>8</v>
      </c>
      <c r="L3792" s="23" t="s">
        <v>8</v>
      </c>
      <c r="M3792" s="23" t="s">
        <v>8</v>
      </c>
    </row>
    <row r="3793" spans="1:13" s="21" customFormat="1" x14ac:dyDescent="0.25">
      <c r="A3793" s="22" t="s">
        <v>8</v>
      </c>
      <c r="B3793" s="18" t="str">
        <f>"155274"</f>
        <v>155274</v>
      </c>
      <c r="C3793" s="19" t="s">
        <v>3643</v>
      </c>
      <c r="D3793" s="19" t="s">
        <v>19220</v>
      </c>
      <c r="E3793" s="19" t="s">
        <v>32250</v>
      </c>
      <c r="F3793" s="19" t="s">
        <v>35988</v>
      </c>
      <c r="G3793" s="18" t="str">
        <f>"47635"</f>
        <v>47635</v>
      </c>
      <c r="H3793" s="19" t="s">
        <v>32314</v>
      </c>
      <c r="I3793" s="20">
        <v>15.951000000000001</v>
      </c>
      <c r="J3793" s="44" t="s">
        <v>8</v>
      </c>
      <c r="K3793" s="23" t="s">
        <v>8</v>
      </c>
      <c r="L3793" s="23" t="s">
        <v>8</v>
      </c>
      <c r="M3793" s="23" t="s">
        <v>8</v>
      </c>
    </row>
    <row r="3794" spans="1:13" s="21" customFormat="1" x14ac:dyDescent="0.25">
      <c r="A3794" s="22" t="s">
        <v>8</v>
      </c>
      <c r="B3794" s="18" t="str">
        <f>"155275"</f>
        <v>155275</v>
      </c>
      <c r="C3794" s="19" t="s">
        <v>3770</v>
      </c>
      <c r="D3794" s="19" t="s">
        <v>19221</v>
      </c>
      <c r="E3794" s="19" t="s">
        <v>31998</v>
      </c>
      <c r="F3794" s="19" t="s">
        <v>35988</v>
      </c>
      <c r="G3794" s="18" t="str">
        <f>"47670"</f>
        <v>47670</v>
      </c>
      <c r="H3794" s="19" t="s">
        <v>31829</v>
      </c>
      <c r="I3794" s="20">
        <v>18.701000000000001</v>
      </c>
      <c r="J3794" s="44" t="s">
        <v>8</v>
      </c>
      <c r="K3794" s="23" t="s">
        <v>8</v>
      </c>
      <c r="L3794" s="23" t="s">
        <v>8</v>
      </c>
      <c r="M3794" s="23" t="s">
        <v>8</v>
      </c>
    </row>
    <row r="3795" spans="1:13" s="21" customFormat="1" x14ac:dyDescent="0.25">
      <c r="A3795" s="22" t="s">
        <v>8</v>
      </c>
      <c r="B3795" s="18" t="str">
        <f>"155277"</f>
        <v>155277</v>
      </c>
      <c r="C3795" s="19" t="s">
        <v>3771</v>
      </c>
      <c r="D3795" s="19" t="s">
        <v>19222</v>
      </c>
      <c r="E3795" s="19" t="s">
        <v>32224</v>
      </c>
      <c r="F3795" s="19" t="s">
        <v>35988</v>
      </c>
      <c r="G3795" s="18" t="str">
        <f>"46383"</f>
        <v>46383</v>
      </c>
      <c r="H3795" s="19" t="s">
        <v>36256</v>
      </c>
      <c r="I3795" s="20">
        <v>19.494</v>
      </c>
      <c r="J3795" s="44" t="s">
        <v>8</v>
      </c>
      <c r="K3795" s="23" t="s">
        <v>8</v>
      </c>
      <c r="L3795" s="23" t="s">
        <v>8</v>
      </c>
      <c r="M3795" s="23" t="s">
        <v>8</v>
      </c>
    </row>
    <row r="3796" spans="1:13" s="21" customFormat="1" x14ac:dyDescent="0.25">
      <c r="A3796" s="22" t="s">
        <v>8</v>
      </c>
      <c r="B3796" s="18" t="str">
        <f>"155278"</f>
        <v>155278</v>
      </c>
      <c r="C3796" s="19" t="s">
        <v>3772</v>
      </c>
      <c r="D3796" s="19" t="s">
        <v>19223</v>
      </c>
      <c r="E3796" s="19" t="s">
        <v>31919</v>
      </c>
      <c r="F3796" s="19" t="s">
        <v>35988</v>
      </c>
      <c r="G3796" s="18" t="str">
        <f>"47401"</f>
        <v>47401</v>
      </c>
      <c r="H3796" s="19" t="s">
        <v>31711</v>
      </c>
      <c r="I3796" s="20">
        <v>17.579000000000001</v>
      </c>
      <c r="J3796" s="44" t="s">
        <v>8</v>
      </c>
      <c r="K3796" s="23" t="s">
        <v>8</v>
      </c>
      <c r="L3796" s="23" t="s">
        <v>8</v>
      </c>
      <c r="M3796" s="23" t="s">
        <v>8</v>
      </c>
    </row>
    <row r="3797" spans="1:13" s="21" customFormat="1" x14ac:dyDescent="0.25">
      <c r="A3797" s="22" t="s">
        <v>8</v>
      </c>
      <c r="B3797" s="18" t="str">
        <f>"155280"</f>
        <v>155280</v>
      </c>
      <c r="C3797" s="19" t="s">
        <v>3773</v>
      </c>
      <c r="D3797" s="19" t="s">
        <v>19224</v>
      </c>
      <c r="E3797" s="19" t="s">
        <v>32251</v>
      </c>
      <c r="F3797" s="19" t="s">
        <v>35988</v>
      </c>
      <c r="G3797" s="18" t="str">
        <f>"47018"</f>
        <v>47018</v>
      </c>
      <c r="H3797" s="19" t="s">
        <v>33273</v>
      </c>
      <c r="I3797" s="20">
        <v>20.658000000000001</v>
      </c>
      <c r="J3797" s="44" t="s">
        <v>8</v>
      </c>
      <c r="K3797" s="23" t="s">
        <v>8</v>
      </c>
      <c r="L3797" s="23" t="s">
        <v>8</v>
      </c>
      <c r="M3797" s="23" t="s">
        <v>8</v>
      </c>
    </row>
    <row r="3798" spans="1:13" s="21" customFormat="1" x14ac:dyDescent="0.25">
      <c r="A3798" s="22" t="s">
        <v>8</v>
      </c>
      <c r="B3798" s="18" t="str">
        <f>"155282"</f>
        <v>155282</v>
      </c>
      <c r="C3798" s="19" t="s">
        <v>3774</v>
      </c>
      <c r="D3798" s="19" t="s">
        <v>19225</v>
      </c>
      <c r="E3798" s="19" t="s">
        <v>30854</v>
      </c>
      <c r="F3798" s="19" t="s">
        <v>35988</v>
      </c>
      <c r="G3798" s="18" t="str">
        <f>"47547"</f>
        <v>47547</v>
      </c>
      <c r="H3798" s="19" t="s">
        <v>34787</v>
      </c>
      <c r="I3798" s="20">
        <v>17.254000000000001</v>
      </c>
      <c r="J3798" s="44" t="s">
        <v>8</v>
      </c>
      <c r="K3798" s="23" t="s">
        <v>8</v>
      </c>
      <c r="L3798" s="23" t="s">
        <v>8</v>
      </c>
      <c r="M3798" s="23" t="s">
        <v>8</v>
      </c>
    </row>
    <row r="3799" spans="1:13" s="21" customFormat="1" x14ac:dyDescent="0.25">
      <c r="A3799" s="22" t="s">
        <v>8</v>
      </c>
      <c r="B3799" s="18" t="str">
        <f>"155283"</f>
        <v>155283</v>
      </c>
      <c r="C3799" s="19" t="s">
        <v>3775</v>
      </c>
      <c r="D3799" s="19" t="s">
        <v>19226</v>
      </c>
      <c r="E3799" s="19" t="s">
        <v>32252</v>
      </c>
      <c r="F3799" s="19" t="s">
        <v>35988</v>
      </c>
      <c r="G3799" s="18" t="str">
        <f>"46534"</f>
        <v>46534</v>
      </c>
      <c r="H3799" s="19" t="s">
        <v>31616</v>
      </c>
      <c r="I3799" s="20">
        <v>19.867000000000001</v>
      </c>
      <c r="J3799" s="44" t="s">
        <v>8</v>
      </c>
      <c r="K3799" s="23" t="s">
        <v>8</v>
      </c>
      <c r="L3799" s="23" t="s">
        <v>8</v>
      </c>
      <c r="M3799" s="23" t="s">
        <v>8</v>
      </c>
    </row>
    <row r="3800" spans="1:13" s="21" customFormat="1" x14ac:dyDescent="0.25">
      <c r="A3800" s="22" t="s">
        <v>8</v>
      </c>
      <c r="B3800" s="18" t="str">
        <f>"155286"</f>
        <v>155286</v>
      </c>
      <c r="C3800" s="19" t="s">
        <v>3776</v>
      </c>
      <c r="D3800" s="19" t="s">
        <v>19227</v>
      </c>
      <c r="E3800" s="19" t="s">
        <v>32253</v>
      </c>
      <c r="F3800" s="19" t="s">
        <v>35988</v>
      </c>
      <c r="G3800" s="18" t="str">
        <f>"46767"</f>
        <v>46767</v>
      </c>
      <c r="H3800" s="19" t="s">
        <v>34672</v>
      </c>
      <c r="I3800" s="20">
        <v>21.666</v>
      </c>
      <c r="J3800" s="44" t="s">
        <v>8</v>
      </c>
      <c r="K3800" s="23" t="s">
        <v>8</v>
      </c>
      <c r="L3800" s="23" t="s">
        <v>8</v>
      </c>
      <c r="M3800" s="23" t="s">
        <v>8</v>
      </c>
    </row>
    <row r="3801" spans="1:13" s="21" customFormat="1" x14ac:dyDescent="0.25">
      <c r="A3801" s="22" t="s">
        <v>8</v>
      </c>
      <c r="B3801" s="18" t="str">
        <f>"155287"</f>
        <v>155287</v>
      </c>
      <c r="C3801" s="19" t="s">
        <v>3777</v>
      </c>
      <c r="D3801" s="19" t="s">
        <v>19228</v>
      </c>
      <c r="E3801" s="19" t="s">
        <v>32254</v>
      </c>
      <c r="F3801" s="19" t="s">
        <v>35988</v>
      </c>
      <c r="G3801" s="18" t="str">
        <f>"47978"</f>
        <v>47978</v>
      </c>
      <c r="H3801" s="19" t="s">
        <v>30854</v>
      </c>
      <c r="I3801" s="20">
        <v>22.544</v>
      </c>
      <c r="J3801" s="44" t="s">
        <v>8</v>
      </c>
      <c r="K3801" s="23" t="s">
        <v>8</v>
      </c>
      <c r="L3801" s="23" t="s">
        <v>8</v>
      </c>
      <c r="M3801" s="23" t="s">
        <v>8</v>
      </c>
    </row>
    <row r="3802" spans="1:13" s="21" customFormat="1" x14ac:dyDescent="0.25">
      <c r="A3802" s="22" t="s">
        <v>8</v>
      </c>
      <c r="B3802" s="18" t="str">
        <f>"155289"</f>
        <v>155289</v>
      </c>
      <c r="C3802" s="19" t="s">
        <v>3778</v>
      </c>
      <c r="D3802" s="19" t="s">
        <v>19229</v>
      </c>
      <c r="E3802" s="19" t="s">
        <v>30850</v>
      </c>
      <c r="F3802" s="19" t="s">
        <v>35988</v>
      </c>
      <c r="G3802" s="18" t="str">
        <f>"46953"</f>
        <v>46953</v>
      </c>
      <c r="H3802" s="19" t="s">
        <v>36078</v>
      </c>
      <c r="I3802" s="20">
        <v>17.169</v>
      </c>
      <c r="J3802" s="44" t="s">
        <v>8</v>
      </c>
      <c r="K3802" s="23" t="s">
        <v>8</v>
      </c>
      <c r="L3802" s="23" t="s">
        <v>8</v>
      </c>
      <c r="M3802" s="23" t="s">
        <v>8</v>
      </c>
    </row>
    <row r="3803" spans="1:13" s="21" customFormat="1" x14ac:dyDescent="0.25">
      <c r="A3803" s="22" t="s">
        <v>8</v>
      </c>
      <c r="B3803" s="18" t="str">
        <f>"155290"</f>
        <v>155290</v>
      </c>
      <c r="C3803" s="19" t="s">
        <v>869</v>
      </c>
      <c r="D3803" s="19" t="s">
        <v>19230</v>
      </c>
      <c r="E3803" s="19" t="s">
        <v>32255</v>
      </c>
      <c r="F3803" s="19" t="s">
        <v>35988</v>
      </c>
      <c r="G3803" s="18" t="str">
        <f>"46923"</f>
        <v>46923</v>
      </c>
      <c r="H3803" s="19" t="s">
        <v>32334</v>
      </c>
      <c r="I3803" s="20">
        <v>17.282</v>
      </c>
      <c r="J3803" s="44" t="s">
        <v>8</v>
      </c>
      <c r="K3803" s="23" t="s">
        <v>8</v>
      </c>
      <c r="L3803" s="23" t="s">
        <v>8</v>
      </c>
      <c r="M3803" s="23" t="s">
        <v>8</v>
      </c>
    </row>
    <row r="3804" spans="1:13" s="21" customFormat="1" x14ac:dyDescent="0.25">
      <c r="A3804" s="22" t="s">
        <v>8</v>
      </c>
      <c r="B3804" s="18" t="str">
        <f>"155291"</f>
        <v>155291</v>
      </c>
      <c r="C3804" s="19" t="s">
        <v>3779</v>
      </c>
      <c r="D3804" s="19" t="s">
        <v>19231</v>
      </c>
      <c r="E3804" s="19" t="s">
        <v>32200</v>
      </c>
      <c r="F3804" s="19" t="s">
        <v>35988</v>
      </c>
      <c r="G3804" s="18" t="str">
        <f>"46214"</f>
        <v>46214</v>
      </c>
      <c r="H3804" s="19" t="s">
        <v>30850</v>
      </c>
      <c r="I3804" s="20">
        <v>17.238</v>
      </c>
      <c r="J3804" s="44" t="s">
        <v>8</v>
      </c>
      <c r="K3804" s="23" t="s">
        <v>8</v>
      </c>
      <c r="L3804" s="23" t="s">
        <v>8</v>
      </c>
      <c r="M3804" s="23" t="s">
        <v>8</v>
      </c>
    </row>
    <row r="3805" spans="1:13" s="21" customFormat="1" x14ac:dyDescent="0.25">
      <c r="A3805" s="22" t="s">
        <v>8</v>
      </c>
      <c r="B3805" s="18" t="str">
        <f>"155292"</f>
        <v>155292</v>
      </c>
      <c r="C3805" s="19" t="s">
        <v>3780</v>
      </c>
      <c r="D3805" s="19" t="s">
        <v>19232</v>
      </c>
      <c r="E3805" s="19" t="s">
        <v>32200</v>
      </c>
      <c r="F3805" s="19" t="s">
        <v>35988</v>
      </c>
      <c r="G3805" s="18" t="str">
        <f>"46220"</f>
        <v>46220</v>
      </c>
      <c r="H3805" s="19" t="s">
        <v>30850</v>
      </c>
      <c r="I3805" s="20">
        <v>16.725000000000001</v>
      </c>
      <c r="J3805" s="44" t="s">
        <v>8</v>
      </c>
      <c r="K3805" s="23" t="s">
        <v>8</v>
      </c>
      <c r="L3805" s="23" t="s">
        <v>8</v>
      </c>
      <c r="M3805" s="23" t="s">
        <v>8</v>
      </c>
    </row>
    <row r="3806" spans="1:13" s="21" customFormat="1" x14ac:dyDescent="0.25">
      <c r="A3806" s="22" t="s">
        <v>8</v>
      </c>
      <c r="B3806" s="18" t="str">
        <f>"155294"</f>
        <v>155294</v>
      </c>
      <c r="C3806" s="19" t="s">
        <v>3781</v>
      </c>
      <c r="D3806" s="19" t="s">
        <v>19233</v>
      </c>
      <c r="E3806" s="19" t="s">
        <v>32200</v>
      </c>
      <c r="F3806" s="19" t="s">
        <v>35988</v>
      </c>
      <c r="G3806" s="18" t="str">
        <f>"46240"</f>
        <v>46240</v>
      </c>
      <c r="H3806" s="19" t="s">
        <v>30850</v>
      </c>
      <c r="I3806" s="20">
        <v>14.760999999999999</v>
      </c>
      <c r="J3806" s="44" t="s">
        <v>8</v>
      </c>
      <c r="K3806" s="23" t="s">
        <v>8</v>
      </c>
      <c r="L3806" s="23" t="s">
        <v>8</v>
      </c>
      <c r="M3806" s="23" t="s">
        <v>8</v>
      </c>
    </row>
    <row r="3807" spans="1:13" s="21" customFormat="1" x14ac:dyDescent="0.25">
      <c r="A3807" s="22" t="s">
        <v>8</v>
      </c>
      <c r="B3807" s="18" t="str">
        <f>"155295"</f>
        <v>155295</v>
      </c>
      <c r="C3807" s="19" t="s">
        <v>3782</v>
      </c>
      <c r="D3807" s="19" t="s">
        <v>19234</v>
      </c>
      <c r="E3807" s="19" t="s">
        <v>32256</v>
      </c>
      <c r="F3807" s="19" t="s">
        <v>35988</v>
      </c>
      <c r="G3807" s="18" t="str">
        <f>"46041"</f>
        <v>46041</v>
      </c>
      <c r="H3807" s="19" t="s">
        <v>31081</v>
      </c>
      <c r="I3807" s="20">
        <v>19.788</v>
      </c>
      <c r="J3807" s="44" t="s">
        <v>8</v>
      </c>
      <c r="K3807" s="23" t="s">
        <v>8</v>
      </c>
      <c r="L3807" s="23" t="s">
        <v>8</v>
      </c>
      <c r="M3807" s="23" t="s">
        <v>8</v>
      </c>
    </row>
    <row r="3808" spans="1:13" s="21" customFormat="1" x14ac:dyDescent="0.25">
      <c r="A3808" s="22" t="s">
        <v>8</v>
      </c>
      <c r="B3808" s="18" t="str">
        <f>"155297"</f>
        <v>155297</v>
      </c>
      <c r="C3808" s="19" t="s">
        <v>3783</v>
      </c>
      <c r="D3808" s="19" t="s">
        <v>19235</v>
      </c>
      <c r="E3808" s="19" t="s">
        <v>32209</v>
      </c>
      <c r="F3808" s="19" t="s">
        <v>35988</v>
      </c>
      <c r="G3808" s="18" t="str">
        <f>"46350"</f>
        <v>46350</v>
      </c>
      <c r="H3808" s="19" t="s">
        <v>32209</v>
      </c>
      <c r="I3808" s="20">
        <v>18.492999999999999</v>
      </c>
      <c r="J3808" s="44" t="s">
        <v>8</v>
      </c>
      <c r="K3808" s="23" t="s">
        <v>8</v>
      </c>
      <c r="L3808" s="23" t="s">
        <v>8</v>
      </c>
      <c r="M3808" s="23" t="s">
        <v>8</v>
      </c>
    </row>
    <row r="3809" spans="1:13" s="21" customFormat="1" x14ac:dyDescent="0.25">
      <c r="A3809" s="22" t="s">
        <v>8</v>
      </c>
      <c r="B3809" s="18" t="str">
        <f>"155298"</f>
        <v>155298</v>
      </c>
      <c r="C3809" s="19" t="s">
        <v>3784</v>
      </c>
      <c r="D3809" s="19" t="s">
        <v>19236</v>
      </c>
      <c r="E3809" s="19" t="s">
        <v>32200</v>
      </c>
      <c r="F3809" s="19" t="s">
        <v>35988</v>
      </c>
      <c r="G3809" s="18" t="str">
        <f>"46260"</f>
        <v>46260</v>
      </c>
      <c r="H3809" s="19" t="s">
        <v>30850</v>
      </c>
      <c r="I3809" s="20">
        <v>17.638999999999999</v>
      </c>
      <c r="J3809" s="44" t="s">
        <v>8</v>
      </c>
      <c r="K3809" s="23" t="s">
        <v>8</v>
      </c>
      <c r="L3809" s="23" t="s">
        <v>8</v>
      </c>
      <c r="M3809" s="23" t="s">
        <v>8</v>
      </c>
    </row>
    <row r="3810" spans="1:13" s="21" customFormat="1" x14ac:dyDescent="0.25">
      <c r="A3810" s="22" t="s">
        <v>8</v>
      </c>
      <c r="B3810" s="18" t="str">
        <f>"155299"</f>
        <v>155299</v>
      </c>
      <c r="C3810" s="19" t="s">
        <v>3643</v>
      </c>
      <c r="D3810" s="19" t="s">
        <v>19237</v>
      </c>
      <c r="E3810" s="19" t="s">
        <v>32230</v>
      </c>
      <c r="F3810" s="19" t="s">
        <v>35988</v>
      </c>
      <c r="G3810" s="18" t="str">
        <f>"46368"</f>
        <v>46368</v>
      </c>
      <c r="H3810" s="19" t="s">
        <v>36256</v>
      </c>
      <c r="I3810" s="20">
        <v>22.681999999999999</v>
      </c>
      <c r="J3810" s="44" t="s">
        <v>8</v>
      </c>
      <c r="K3810" s="23" t="s">
        <v>8</v>
      </c>
      <c r="L3810" s="23" t="s">
        <v>8</v>
      </c>
      <c r="M3810" s="23" t="s">
        <v>8</v>
      </c>
    </row>
    <row r="3811" spans="1:13" s="21" customFormat="1" x14ac:dyDescent="0.25">
      <c r="A3811" s="22" t="s">
        <v>8</v>
      </c>
      <c r="B3811" s="18" t="str">
        <f>"155303"</f>
        <v>155303</v>
      </c>
      <c r="C3811" s="19" t="s">
        <v>3785</v>
      </c>
      <c r="D3811" s="19" t="s">
        <v>19238</v>
      </c>
      <c r="E3811" s="19" t="s">
        <v>32257</v>
      </c>
      <c r="F3811" s="19" t="s">
        <v>35988</v>
      </c>
      <c r="G3811" s="18" t="str">
        <f>"47438"</f>
        <v>47438</v>
      </c>
      <c r="H3811" s="19" t="s">
        <v>32455</v>
      </c>
      <c r="I3811" s="20">
        <v>20.454999999999998</v>
      </c>
      <c r="J3811" s="44" t="s">
        <v>8</v>
      </c>
      <c r="K3811" s="23" t="s">
        <v>8</v>
      </c>
      <c r="L3811" s="23" t="s">
        <v>8</v>
      </c>
      <c r="M3811" s="23" t="s">
        <v>8</v>
      </c>
    </row>
    <row r="3812" spans="1:13" s="21" customFormat="1" x14ac:dyDescent="0.25">
      <c r="A3812" s="22" t="s">
        <v>8</v>
      </c>
      <c r="B3812" s="18" t="str">
        <f>"155304"</f>
        <v>155304</v>
      </c>
      <c r="C3812" s="19" t="s">
        <v>3786</v>
      </c>
      <c r="D3812" s="19" t="s">
        <v>19239</v>
      </c>
      <c r="E3812" s="19" t="s">
        <v>31498</v>
      </c>
      <c r="F3812" s="19" t="s">
        <v>35988</v>
      </c>
      <c r="G3812" s="18" t="str">
        <f>"47362"</f>
        <v>47362</v>
      </c>
      <c r="H3812" s="19" t="s">
        <v>32041</v>
      </c>
      <c r="I3812" s="20">
        <v>18.922999999999998</v>
      </c>
      <c r="J3812" s="44" t="s">
        <v>8</v>
      </c>
      <c r="K3812" s="23" t="s">
        <v>8</v>
      </c>
      <c r="L3812" s="23" t="s">
        <v>8</v>
      </c>
      <c r="M3812" s="23" t="s">
        <v>8</v>
      </c>
    </row>
    <row r="3813" spans="1:13" s="21" customFormat="1" x14ac:dyDescent="0.25">
      <c r="A3813" s="22" t="s">
        <v>8</v>
      </c>
      <c r="B3813" s="18" t="str">
        <f>"155305"</f>
        <v>155305</v>
      </c>
      <c r="C3813" s="19" t="s">
        <v>3787</v>
      </c>
      <c r="D3813" s="19" t="s">
        <v>19240</v>
      </c>
      <c r="E3813" s="19" t="s">
        <v>30854</v>
      </c>
      <c r="F3813" s="19" t="s">
        <v>35988</v>
      </c>
      <c r="G3813" s="18" t="str">
        <f>"47546"</f>
        <v>47546</v>
      </c>
      <c r="H3813" s="19" t="s">
        <v>34787</v>
      </c>
      <c r="I3813" s="20">
        <v>15.715</v>
      </c>
      <c r="J3813" s="44" t="s">
        <v>8</v>
      </c>
      <c r="K3813" s="23" t="s">
        <v>8</v>
      </c>
      <c r="L3813" s="23" t="s">
        <v>8</v>
      </c>
      <c r="M3813" s="23" t="s">
        <v>8</v>
      </c>
    </row>
    <row r="3814" spans="1:13" s="21" customFormat="1" x14ac:dyDescent="0.25">
      <c r="A3814" s="22" t="s">
        <v>8</v>
      </c>
      <c r="B3814" s="18" t="str">
        <f>"155312"</f>
        <v>155312</v>
      </c>
      <c r="C3814" s="19" t="s">
        <v>3788</v>
      </c>
      <c r="D3814" s="19" t="s">
        <v>19241</v>
      </c>
      <c r="E3814" s="19" t="s">
        <v>32258</v>
      </c>
      <c r="F3814" s="19" t="s">
        <v>35988</v>
      </c>
      <c r="G3814" s="18" t="str">
        <f>"47112"</f>
        <v>47112</v>
      </c>
      <c r="H3814" s="19" t="s">
        <v>31020</v>
      </c>
      <c r="I3814" s="20">
        <v>17.988</v>
      </c>
      <c r="J3814" s="44" t="s">
        <v>8</v>
      </c>
      <c r="K3814" s="23" t="s">
        <v>8</v>
      </c>
      <c r="L3814" s="23" t="s">
        <v>8</v>
      </c>
      <c r="M3814" s="23" t="s">
        <v>8</v>
      </c>
    </row>
    <row r="3815" spans="1:13" s="21" customFormat="1" x14ac:dyDescent="0.25">
      <c r="A3815" s="22" t="s">
        <v>8</v>
      </c>
      <c r="B3815" s="18" t="str">
        <f>"155319"</f>
        <v>155319</v>
      </c>
      <c r="C3815" s="19" t="s">
        <v>3789</v>
      </c>
      <c r="D3815" s="19" t="s">
        <v>19242</v>
      </c>
      <c r="E3815" s="19" t="s">
        <v>31081</v>
      </c>
      <c r="F3815" s="19" t="s">
        <v>35988</v>
      </c>
      <c r="G3815" s="18" t="str">
        <f>"47842"</f>
        <v>47842</v>
      </c>
      <c r="H3815" s="19" t="s">
        <v>36253</v>
      </c>
      <c r="I3815" s="20">
        <v>16.895</v>
      </c>
      <c r="J3815" s="44" t="s">
        <v>8</v>
      </c>
      <c r="K3815" s="23" t="s">
        <v>8</v>
      </c>
      <c r="L3815" s="23" t="s">
        <v>8</v>
      </c>
      <c r="M3815" s="23" t="s">
        <v>8</v>
      </c>
    </row>
    <row r="3816" spans="1:13" s="21" customFormat="1" x14ac:dyDescent="0.25">
      <c r="A3816" s="22" t="s">
        <v>8</v>
      </c>
      <c r="B3816" s="18" t="str">
        <f>"155321"</f>
        <v>155321</v>
      </c>
      <c r="C3816" s="19" t="s">
        <v>3643</v>
      </c>
      <c r="D3816" s="19" t="s">
        <v>19243</v>
      </c>
      <c r="E3816" s="19" t="s">
        <v>32214</v>
      </c>
      <c r="F3816" s="19" t="s">
        <v>35988</v>
      </c>
      <c r="G3816" s="18" t="str">
        <f>"46815"</f>
        <v>46815</v>
      </c>
      <c r="H3816" s="19" t="s">
        <v>34710</v>
      </c>
      <c r="I3816" s="20">
        <v>18.620999999999999</v>
      </c>
      <c r="J3816" s="44" t="s">
        <v>8</v>
      </c>
      <c r="K3816" s="23" t="s">
        <v>8</v>
      </c>
      <c r="L3816" s="23" t="s">
        <v>8</v>
      </c>
      <c r="M3816" s="23" t="s">
        <v>8</v>
      </c>
    </row>
    <row r="3817" spans="1:13" s="21" customFormat="1" x14ac:dyDescent="0.25">
      <c r="A3817" s="22" t="s">
        <v>8</v>
      </c>
      <c r="B3817" s="18" t="str">
        <f>"155322"</f>
        <v>155322</v>
      </c>
      <c r="C3817" s="19" t="s">
        <v>3790</v>
      </c>
      <c r="D3817" s="19" t="s">
        <v>19244</v>
      </c>
      <c r="E3817" s="19" t="s">
        <v>32214</v>
      </c>
      <c r="F3817" s="19" t="s">
        <v>35988</v>
      </c>
      <c r="G3817" s="18" t="str">
        <f>"46814"</f>
        <v>46814</v>
      </c>
      <c r="H3817" s="19" t="s">
        <v>34710</v>
      </c>
      <c r="I3817" s="20">
        <v>18.591000000000001</v>
      </c>
      <c r="J3817" s="44" t="s">
        <v>8</v>
      </c>
      <c r="K3817" s="23" t="s">
        <v>8</v>
      </c>
      <c r="L3817" s="23" t="s">
        <v>8</v>
      </c>
      <c r="M3817" s="23" t="s">
        <v>8</v>
      </c>
    </row>
    <row r="3818" spans="1:13" s="21" customFormat="1" x14ac:dyDescent="0.25">
      <c r="A3818" s="22" t="s">
        <v>8</v>
      </c>
      <c r="B3818" s="18" t="str">
        <f>"155323"</f>
        <v>155323</v>
      </c>
      <c r="C3818" s="19" t="s">
        <v>3791</v>
      </c>
      <c r="D3818" s="19" t="s">
        <v>19245</v>
      </c>
      <c r="E3818" s="19" t="s">
        <v>30986</v>
      </c>
      <c r="F3818" s="19" t="s">
        <v>35988</v>
      </c>
      <c r="G3818" s="18" t="str">
        <f>"47960"</f>
        <v>47960</v>
      </c>
      <c r="H3818" s="19" t="s">
        <v>35131</v>
      </c>
      <c r="I3818" s="20">
        <v>18.463999999999999</v>
      </c>
      <c r="J3818" s="44" t="s">
        <v>8</v>
      </c>
      <c r="K3818" s="23" t="s">
        <v>8</v>
      </c>
      <c r="L3818" s="23" t="s">
        <v>8</v>
      </c>
      <c r="M3818" s="23" t="s">
        <v>8</v>
      </c>
    </row>
    <row r="3819" spans="1:13" s="21" customFormat="1" x14ac:dyDescent="0.25">
      <c r="A3819" s="22" t="s">
        <v>8</v>
      </c>
      <c r="B3819" s="18" t="str">
        <f>"155324"</f>
        <v>155324</v>
      </c>
      <c r="C3819" s="19" t="s">
        <v>3792</v>
      </c>
      <c r="D3819" s="19" t="s">
        <v>19246</v>
      </c>
      <c r="E3819" s="19" t="s">
        <v>32259</v>
      </c>
      <c r="F3819" s="19" t="s">
        <v>35988</v>
      </c>
      <c r="G3819" s="18" t="str">
        <f>"47446"</f>
        <v>47446</v>
      </c>
      <c r="H3819" s="19" t="s">
        <v>32568</v>
      </c>
      <c r="I3819" s="20">
        <v>16.526</v>
      </c>
      <c r="J3819" s="44" t="s">
        <v>8</v>
      </c>
      <c r="K3819" s="23" t="s">
        <v>8</v>
      </c>
      <c r="L3819" s="23" t="s">
        <v>8</v>
      </c>
      <c r="M3819" s="23" t="s">
        <v>8</v>
      </c>
    </row>
    <row r="3820" spans="1:13" s="21" customFormat="1" x14ac:dyDescent="0.25">
      <c r="A3820" s="22" t="s">
        <v>8</v>
      </c>
      <c r="B3820" s="18" t="str">
        <f>"155325"</f>
        <v>155325</v>
      </c>
      <c r="C3820" s="19" t="s">
        <v>3793</v>
      </c>
      <c r="D3820" s="19" t="s">
        <v>19247</v>
      </c>
      <c r="E3820" s="19" t="s">
        <v>31038</v>
      </c>
      <c r="F3820" s="19" t="s">
        <v>35988</v>
      </c>
      <c r="G3820" s="18" t="str">
        <f>"47167"</f>
        <v>47167</v>
      </c>
      <c r="H3820" s="19" t="s">
        <v>31500</v>
      </c>
      <c r="I3820" s="20">
        <v>18.303999999999998</v>
      </c>
      <c r="J3820" s="44" t="s">
        <v>8</v>
      </c>
      <c r="K3820" s="23" t="s">
        <v>8</v>
      </c>
      <c r="L3820" s="23" t="s">
        <v>8</v>
      </c>
      <c r="M3820" s="23" t="s">
        <v>8</v>
      </c>
    </row>
    <row r="3821" spans="1:13" s="21" customFormat="1" x14ac:dyDescent="0.25">
      <c r="A3821" s="22" t="s">
        <v>8</v>
      </c>
      <c r="B3821" s="18" t="str">
        <f>"155327"</f>
        <v>155327</v>
      </c>
      <c r="C3821" s="19" t="s">
        <v>3794</v>
      </c>
      <c r="D3821" s="19" t="s">
        <v>19248</v>
      </c>
      <c r="E3821" s="19" t="s">
        <v>32200</v>
      </c>
      <c r="F3821" s="19" t="s">
        <v>35988</v>
      </c>
      <c r="G3821" s="18" t="str">
        <f>"46227"</f>
        <v>46227</v>
      </c>
      <c r="H3821" s="19" t="s">
        <v>30850</v>
      </c>
      <c r="I3821" s="20">
        <v>18.603999999999999</v>
      </c>
      <c r="J3821" s="44" t="s">
        <v>8</v>
      </c>
      <c r="K3821" s="23" t="s">
        <v>8</v>
      </c>
      <c r="L3821" s="23" t="s">
        <v>8</v>
      </c>
      <c r="M3821" s="23" t="s">
        <v>8</v>
      </c>
    </row>
    <row r="3822" spans="1:13" s="21" customFormat="1" x14ac:dyDescent="0.25">
      <c r="A3822" s="22" t="s">
        <v>8</v>
      </c>
      <c r="B3822" s="18" t="str">
        <f>"155328"</f>
        <v>155328</v>
      </c>
      <c r="C3822" s="19" t="s">
        <v>3795</v>
      </c>
      <c r="D3822" s="19" t="s">
        <v>19249</v>
      </c>
      <c r="E3822" s="19" t="s">
        <v>32217</v>
      </c>
      <c r="F3822" s="19" t="s">
        <v>35988</v>
      </c>
      <c r="G3822" s="18" t="str">
        <f>"47712"</f>
        <v>47712</v>
      </c>
      <c r="H3822" s="19" t="s">
        <v>36252</v>
      </c>
      <c r="I3822" s="20">
        <v>19.728000000000002</v>
      </c>
      <c r="J3822" s="44" t="s">
        <v>8</v>
      </c>
      <c r="K3822" s="23" t="s">
        <v>8</v>
      </c>
      <c r="L3822" s="23" t="s">
        <v>8</v>
      </c>
      <c r="M3822" s="23" t="s">
        <v>8</v>
      </c>
    </row>
    <row r="3823" spans="1:13" s="21" customFormat="1" x14ac:dyDescent="0.25">
      <c r="A3823" s="22" t="s">
        <v>8</v>
      </c>
      <c r="B3823" s="18" t="str">
        <f>"155329"</f>
        <v>155329</v>
      </c>
      <c r="C3823" s="19" t="s">
        <v>3796</v>
      </c>
      <c r="D3823" s="19" t="s">
        <v>19250</v>
      </c>
      <c r="E3823" s="19" t="s">
        <v>32200</v>
      </c>
      <c r="F3823" s="19" t="s">
        <v>35988</v>
      </c>
      <c r="G3823" s="18" t="str">
        <f>"46219"</f>
        <v>46219</v>
      </c>
      <c r="H3823" s="19" t="s">
        <v>30850</v>
      </c>
      <c r="I3823" s="20">
        <v>15.243</v>
      </c>
      <c r="J3823" s="44" t="s">
        <v>8</v>
      </c>
      <c r="K3823" s="23" t="s">
        <v>8</v>
      </c>
      <c r="L3823" s="23" t="s">
        <v>8</v>
      </c>
      <c r="M3823" s="23" t="s">
        <v>8</v>
      </c>
    </row>
    <row r="3824" spans="1:13" s="21" customFormat="1" x14ac:dyDescent="0.25">
      <c r="A3824" s="22" t="s">
        <v>8</v>
      </c>
      <c r="B3824" s="18" t="str">
        <f>"155330"</f>
        <v>155330</v>
      </c>
      <c r="C3824" s="19" t="s">
        <v>3797</v>
      </c>
      <c r="D3824" s="19" t="s">
        <v>19251</v>
      </c>
      <c r="E3824" s="19" t="s">
        <v>31038</v>
      </c>
      <c r="F3824" s="19" t="s">
        <v>35988</v>
      </c>
      <c r="G3824" s="18" t="str">
        <f>"47167"</f>
        <v>47167</v>
      </c>
      <c r="H3824" s="19" t="s">
        <v>31500</v>
      </c>
      <c r="I3824" s="20">
        <v>16.024999999999999</v>
      </c>
      <c r="J3824" s="44" t="s">
        <v>8</v>
      </c>
      <c r="K3824" s="23" t="s">
        <v>8</v>
      </c>
      <c r="L3824" s="23" t="s">
        <v>8</v>
      </c>
      <c r="M3824" s="23" t="s">
        <v>8</v>
      </c>
    </row>
    <row r="3825" spans="1:13" s="21" customFormat="1" x14ac:dyDescent="0.25">
      <c r="A3825" s="22" t="s">
        <v>8</v>
      </c>
      <c r="B3825" s="18" t="str">
        <f>"155331"</f>
        <v>155331</v>
      </c>
      <c r="C3825" s="19" t="s">
        <v>3798</v>
      </c>
      <c r="D3825" s="19" t="s">
        <v>19252</v>
      </c>
      <c r="E3825" s="19" t="s">
        <v>32224</v>
      </c>
      <c r="F3825" s="19" t="s">
        <v>35988</v>
      </c>
      <c r="G3825" s="18" t="str">
        <f>"46385"</f>
        <v>46385</v>
      </c>
      <c r="H3825" s="19" t="s">
        <v>36256</v>
      </c>
      <c r="I3825" s="20">
        <v>17.125</v>
      </c>
      <c r="J3825" s="44" t="s">
        <v>8</v>
      </c>
      <c r="K3825" s="23" t="s">
        <v>8</v>
      </c>
      <c r="L3825" s="23" t="s">
        <v>8</v>
      </c>
      <c r="M3825" s="23" t="s">
        <v>8</v>
      </c>
    </row>
    <row r="3826" spans="1:13" s="21" customFormat="1" x14ac:dyDescent="0.25">
      <c r="A3826" s="22" t="s">
        <v>8</v>
      </c>
      <c r="B3826" s="18" t="str">
        <f>"155332"</f>
        <v>155332</v>
      </c>
      <c r="C3826" s="19" t="s">
        <v>3799</v>
      </c>
      <c r="D3826" s="19" t="s">
        <v>19253</v>
      </c>
      <c r="E3826" s="19" t="s">
        <v>32199</v>
      </c>
      <c r="F3826" s="19" t="s">
        <v>35988</v>
      </c>
      <c r="G3826" s="18" t="str">
        <f>"47331"</f>
        <v>47331</v>
      </c>
      <c r="H3826" s="19" t="s">
        <v>30805</v>
      </c>
      <c r="I3826" s="20">
        <v>18.539000000000001</v>
      </c>
      <c r="J3826" s="44" t="s">
        <v>8</v>
      </c>
      <c r="K3826" s="23" t="s">
        <v>8</v>
      </c>
      <c r="L3826" s="23" t="s">
        <v>8</v>
      </c>
      <c r="M3826" s="23" t="s">
        <v>8</v>
      </c>
    </row>
    <row r="3827" spans="1:13" s="21" customFormat="1" x14ac:dyDescent="0.25">
      <c r="A3827" s="22" t="s">
        <v>8</v>
      </c>
      <c r="B3827" s="18" t="str">
        <f>"155333"</f>
        <v>155333</v>
      </c>
      <c r="C3827" s="19" t="s">
        <v>3800</v>
      </c>
      <c r="D3827" s="19" t="s">
        <v>19254</v>
      </c>
      <c r="E3827" s="19" t="s">
        <v>32260</v>
      </c>
      <c r="F3827" s="19" t="s">
        <v>35988</v>
      </c>
      <c r="G3827" s="18" t="str">
        <f>"47454"</f>
        <v>47454</v>
      </c>
      <c r="H3827" s="19" t="s">
        <v>31169</v>
      </c>
      <c r="I3827" s="20">
        <v>19.233000000000001</v>
      </c>
      <c r="J3827" s="44" t="s">
        <v>8</v>
      </c>
      <c r="K3827" s="23" t="s">
        <v>8</v>
      </c>
      <c r="L3827" s="23" t="s">
        <v>8</v>
      </c>
      <c r="M3827" s="23" t="s">
        <v>8</v>
      </c>
    </row>
    <row r="3828" spans="1:13" s="21" customFormat="1" x14ac:dyDescent="0.25">
      <c r="A3828" s="22" t="s">
        <v>8</v>
      </c>
      <c r="B3828" s="18" t="str">
        <f>"155334"</f>
        <v>155334</v>
      </c>
      <c r="C3828" s="19" t="s">
        <v>3801</v>
      </c>
      <c r="D3828" s="19" t="s">
        <v>19255</v>
      </c>
      <c r="E3828" s="19" t="s">
        <v>32200</v>
      </c>
      <c r="F3828" s="19" t="s">
        <v>35988</v>
      </c>
      <c r="G3828" s="18" t="str">
        <f>"46219"</f>
        <v>46219</v>
      </c>
      <c r="H3828" s="19" t="s">
        <v>30850</v>
      </c>
      <c r="I3828" s="20">
        <v>14.978999999999999</v>
      </c>
      <c r="J3828" s="44" t="s">
        <v>8</v>
      </c>
      <c r="K3828" s="23" t="s">
        <v>8</v>
      </c>
      <c r="L3828" s="23" t="s">
        <v>8</v>
      </c>
      <c r="M3828" s="23" t="s">
        <v>8</v>
      </c>
    </row>
    <row r="3829" spans="1:13" s="21" customFormat="1" x14ac:dyDescent="0.25">
      <c r="A3829" s="22" t="s">
        <v>8</v>
      </c>
      <c r="B3829" s="18" t="str">
        <f>"155335"</f>
        <v>155335</v>
      </c>
      <c r="C3829" s="19" t="s">
        <v>3802</v>
      </c>
      <c r="D3829" s="19" t="s">
        <v>19256</v>
      </c>
      <c r="E3829" s="19" t="s">
        <v>32261</v>
      </c>
      <c r="F3829" s="19" t="s">
        <v>35988</v>
      </c>
      <c r="G3829" s="18" t="str">
        <f>"46777"</f>
        <v>46777</v>
      </c>
      <c r="H3829" s="19" t="s">
        <v>33439</v>
      </c>
      <c r="I3829" s="20">
        <v>18.366</v>
      </c>
      <c r="J3829" s="44" t="s">
        <v>8</v>
      </c>
      <c r="K3829" s="23" t="s">
        <v>8</v>
      </c>
      <c r="L3829" s="23" t="s">
        <v>8</v>
      </c>
      <c r="M3829" s="23" t="s">
        <v>8</v>
      </c>
    </row>
    <row r="3830" spans="1:13" s="21" customFormat="1" x14ac:dyDescent="0.25">
      <c r="A3830" s="22" t="s">
        <v>8</v>
      </c>
      <c r="B3830" s="18" t="str">
        <f>"155336"</f>
        <v>155336</v>
      </c>
      <c r="C3830" s="19" t="s">
        <v>3803</v>
      </c>
      <c r="D3830" s="19" t="s">
        <v>19257</v>
      </c>
      <c r="E3830" s="19" t="s">
        <v>32200</v>
      </c>
      <c r="F3830" s="19" t="s">
        <v>35988</v>
      </c>
      <c r="G3830" s="18" t="str">
        <f>"46221"</f>
        <v>46221</v>
      </c>
      <c r="H3830" s="19" t="s">
        <v>30850</v>
      </c>
      <c r="I3830" s="20">
        <v>16.550999999999998</v>
      </c>
      <c r="J3830" s="44" t="s">
        <v>8</v>
      </c>
      <c r="K3830" s="23" t="s">
        <v>8</v>
      </c>
      <c r="L3830" s="23" t="s">
        <v>8</v>
      </c>
      <c r="M3830" s="23" t="s">
        <v>8</v>
      </c>
    </row>
    <row r="3831" spans="1:13" s="21" customFormat="1" x14ac:dyDescent="0.25">
      <c r="A3831" s="22" t="s">
        <v>8</v>
      </c>
      <c r="B3831" s="18" t="str">
        <f>"155338"</f>
        <v>155338</v>
      </c>
      <c r="C3831" s="19" t="s">
        <v>3804</v>
      </c>
      <c r="D3831" s="19" t="s">
        <v>19258</v>
      </c>
      <c r="E3831" s="19" t="s">
        <v>31444</v>
      </c>
      <c r="F3831" s="19" t="s">
        <v>35988</v>
      </c>
      <c r="G3831" s="18" t="str">
        <f>"46123"</f>
        <v>46123</v>
      </c>
      <c r="H3831" s="19" t="s">
        <v>33449</v>
      </c>
      <c r="I3831" s="20">
        <v>18.07</v>
      </c>
      <c r="J3831" s="44" t="s">
        <v>8</v>
      </c>
      <c r="K3831" s="23" t="s">
        <v>8</v>
      </c>
      <c r="L3831" s="23" t="s">
        <v>8</v>
      </c>
      <c r="M3831" s="23" t="s">
        <v>8</v>
      </c>
    </row>
    <row r="3832" spans="1:13" s="21" customFormat="1" x14ac:dyDescent="0.25">
      <c r="A3832" s="22" t="s">
        <v>8</v>
      </c>
      <c r="B3832" s="18" t="str">
        <f>"155341"</f>
        <v>155341</v>
      </c>
      <c r="C3832" s="19" t="s">
        <v>3805</v>
      </c>
      <c r="D3832" s="19" t="s">
        <v>19259</v>
      </c>
      <c r="E3832" s="19" t="s">
        <v>31500</v>
      </c>
      <c r="F3832" s="19" t="s">
        <v>35988</v>
      </c>
      <c r="G3832" s="18" t="str">
        <f>"47501"</f>
        <v>47501</v>
      </c>
      <c r="H3832" s="19" t="s">
        <v>36258</v>
      </c>
      <c r="I3832" s="20">
        <v>20.954999999999998</v>
      </c>
      <c r="J3832" s="44" t="s">
        <v>8</v>
      </c>
      <c r="K3832" s="23" t="s">
        <v>8</v>
      </c>
      <c r="L3832" s="23" t="s">
        <v>8</v>
      </c>
      <c r="M3832" s="23" t="s">
        <v>8</v>
      </c>
    </row>
    <row r="3833" spans="1:13" s="21" customFormat="1" x14ac:dyDescent="0.25">
      <c r="A3833" s="22" t="s">
        <v>8</v>
      </c>
      <c r="B3833" s="18" t="str">
        <f>"155342"</f>
        <v>155342</v>
      </c>
      <c r="C3833" s="19" t="s">
        <v>3806</v>
      </c>
      <c r="D3833" s="19" t="s">
        <v>19260</v>
      </c>
      <c r="E3833" s="19" t="s">
        <v>32023</v>
      </c>
      <c r="F3833" s="19" t="s">
        <v>35988</v>
      </c>
      <c r="G3833" s="18" t="str">
        <f>"47620"</f>
        <v>47620</v>
      </c>
      <c r="H3833" s="19" t="s">
        <v>36261</v>
      </c>
      <c r="I3833" s="20">
        <v>22.244</v>
      </c>
      <c r="J3833" s="44" t="s">
        <v>8</v>
      </c>
      <c r="K3833" s="23" t="s">
        <v>8</v>
      </c>
      <c r="L3833" s="23" t="s">
        <v>8</v>
      </c>
      <c r="M3833" s="23" t="s">
        <v>8</v>
      </c>
    </row>
    <row r="3834" spans="1:13" s="21" customFormat="1" x14ac:dyDescent="0.25">
      <c r="A3834" s="22" t="s">
        <v>8</v>
      </c>
      <c r="B3834" s="18" t="str">
        <f>"155343"</f>
        <v>155343</v>
      </c>
      <c r="C3834" s="19" t="s">
        <v>3807</v>
      </c>
      <c r="D3834" s="19" t="s">
        <v>19261</v>
      </c>
      <c r="E3834" s="19" t="s">
        <v>31730</v>
      </c>
      <c r="F3834" s="19" t="s">
        <v>35988</v>
      </c>
      <c r="G3834" s="18" t="str">
        <f>"46761"</f>
        <v>46761</v>
      </c>
      <c r="H3834" s="19" t="s">
        <v>31730</v>
      </c>
      <c r="I3834" s="20">
        <v>17.821000000000002</v>
      </c>
      <c r="J3834" s="44" t="s">
        <v>8</v>
      </c>
      <c r="K3834" s="23" t="s">
        <v>8</v>
      </c>
      <c r="L3834" s="23" t="s">
        <v>8</v>
      </c>
      <c r="M3834" s="23" t="s">
        <v>8</v>
      </c>
    </row>
    <row r="3835" spans="1:13" s="21" customFormat="1" x14ac:dyDescent="0.25">
      <c r="A3835" s="22" t="s">
        <v>8</v>
      </c>
      <c r="B3835" s="18" t="str">
        <f>"155344"</f>
        <v>155344</v>
      </c>
      <c r="C3835" s="19" t="s">
        <v>3808</v>
      </c>
      <c r="D3835" s="19" t="s">
        <v>19262</v>
      </c>
      <c r="E3835" s="19" t="s">
        <v>32226</v>
      </c>
      <c r="F3835" s="19" t="s">
        <v>35988</v>
      </c>
      <c r="G3835" s="18" t="str">
        <f>"46360"</f>
        <v>46360</v>
      </c>
      <c r="H3835" s="19" t="s">
        <v>32209</v>
      </c>
      <c r="I3835" s="20">
        <v>19.204000000000001</v>
      </c>
      <c r="J3835" s="44" t="s">
        <v>8</v>
      </c>
      <c r="K3835" s="23" t="s">
        <v>8</v>
      </c>
      <c r="L3835" s="23" t="s">
        <v>8</v>
      </c>
      <c r="M3835" s="23" t="s">
        <v>8</v>
      </c>
    </row>
    <row r="3836" spans="1:13" s="21" customFormat="1" x14ac:dyDescent="0.25">
      <c r="A3836" s="22" t="s">
        <v>8</v>
      </c>
      <c r="B3836" s="18" t="str">
        <f>"155348"</f>
        <v>155348</v>
      </c>
      <c r="C3836" s="19" t="s">
        <v>1387</v>
      </c>
      <c r="D3836" s="19" t="s">
        <v>19263</v>
      </c>
      <c r="E3836" s="19" t="s">
        <v>32217</v>
      </c>
      <c r="F3836" s="19" t="s">
        <v>35988</v>
      </c>
      <c r="G3836" s="18" t="str">
        <f>"47720"</f>
        <v>47720</v>
      </c>
      <c r="H3836" s="19" t="s">
        <v>36252</v>
      </c>
      <c r="I3836" s="20">
        <v>17.678999999999998</v>
      </c>
      <c r="J3836" s="44" t="s">
        <v>8</v>
      </c>
      <c r="K3836" s="23" t="s">
        <v>8</v>
      </c>
      <c r="L3836" s="23" t="s">
        <v>8</v>
      </c>
      <c r="M3836" s="23" t="s">
        <v>8</v>
      </c>
    </row>
    <row r="3837" spans="1:13" s="21" customFormat="1" x14ac:dyDescent="0.25">
      <c r="A3837" s="22" t="s">
        <v>8</v>
      </c>
      <c r="B3837" s="18" t="str">
        <f>"155349"</f>
        <v>155349</v>
      </c>
      <c r="C3837" s="19" t="s">
        <v>3809</v>
      </c>
      <c r="D3837" s="19" t="s">
        <v>19264</v>
      </c>
      <c r="E3837" s="19" t="s">
        <v>32214</v>
      </c>
      <c r="F3837" s="19" t="s">
        <v>35988</v>
      </c>
      <c r="G3837" s="18" t="str">
        <f>"46805"</f>
        <v>46805</v>
      </c>
      <c r="H3837" s="19" t="s">
        <v>34710</v>
      </c>
      <c r="I3837" s="20">
        <v>18.908000000000001</v>
      </c>
      <c r="J3837" s="44" t="s">
        <v>8</v>
      </c>
      <c r="K3837" s="23" t="s">
        <v>8</v>
      </c>
      <c r="L3837" s="23" t="s">
        <v>8</v>
      </c>
      <c r="M3837" s="23" t="s">
        <v>8</v>
      </c>
    </row>
    <row r="3838" spans="1:13" s="21" customFormat="1" x14ac:dyDescent="0.25">
      <c r="A3838" s="22" t="s">
        <v>8</v>
      </c>
      <c r="B3838" s="18" t="str">
        <f>"155352"</f>
        <v>155352</v>
      </c>
      <c r="C3838" s="19" t="s">
        <v>3810</v>
      </c>
      <c r="D3838" s="19" t="s">
        <v>19265</v>
      </c>
      <c r="E3838" s="19" t="s">
        <v>32213</v>
      </c>
      <c r="F3838" s="19" t="s">
        <v>35988</v>
      </c>
      <c r="G3838" s="18" t="str">
        <f>"46517"</f>
        <v>46517</v>
      </c>
      <c r="H3838" s="19" t="s">
        <v>32213</v>
      </c>
      <c r="I3838" s="20">
        <v>19.707000000000001</v>
      </c>
      <c r="J3838" s="44" t="s">
        <v>8</v>
      </c>
      <c r="K3838" s="23" t="s">
        <v>8</v>
      </c>
      <c r="L3838" s="23" t="s">
        <v>8</v>
      </c>
      <c r="M3838" s="23" t="s">
        <v>8</v>
      </c>
    </row>
    <row r="3839" spans="1:13" s="21" customFormat="1" x14ac:dyDescent="0.25">
      <c r="A3839" s="22" t="s">
        <v>8</v>
      </c>
      <c r="B3839" s="18" t="str">
        <f>"155353"</f>
        <v>155353</v>
      </c>
      <c r="C3839" s="19" t="s">
        <v>3811</v>
      </c>
      <c r="D3839" s="19" t="s">
        <v>19266</v>
      </c>
      <c r="E3839" s="19" t="s">
        <v>32236</v>
      </c>
      <c r="F3839" s="19" t="s">
        <v>35988</v>
      </c>
      <c r="G3839" s="18" t="str">
        <f>"47240"</f>
        <v>47240</v>
      </c>
      <c r="H3839" s="19" t="s">
        <v>30853</v>
      </c>
      <c r="I3839" s="20">
        <v>18.645</v>
      </c>
      <c r="J3839" s="44" t="s">
        <v>8</v>
      </c>
      <c r="K3839" s="23" t="s">
        <v>8</v>
      </c>
      <c r="L3839" s="23" t="s">
        <v>8</v>
      </c>
      <c r="M3839" s="23" t="s">
        <v>8</v>
      </c>
    </row>
    <row r="3840" spans="1:13" s="21" customFormat="1" x14ac:dyDescent="0.25">
      <c r="A3840" s="22" t="s">
        <v>8</v>
      </c>
      <c r="B3840" s="18" t="str">
        <f>"155354"</f>
        <v>155354</v>
      </c>
      <c r="C3840" s="19" t="s">
        <v>3812</v>
      </c>
      <c r="D3840" s="19" t="s">
        <v>19267</v>
      </c>
      <c r="E3840" s="19" t="s">
        <v>32245</v>
      </c>
      <c r="F3840" s="19" t="s">
        <v>35988</v>
      </c>
      <c r="G3840" s="18" t="str">
        <f>"47630"</f>
        <v>47630</v>
      </c>
      <c r="H3840" s="19" t="s">
        <v>36260</v>
      </c>
      <c r="I3840" s="20">
        <v>17.68</v>
      </c>
      <c r="J3840" s="44" t="s">
        <v>8</v>
      </c>
      <c r="K3840" s="23" t="s">
        <v>8</v>
      </c>
      <c r="L3840" s="23" t="s">
        <v>8</v>
      </c>
      <c r="M3840" s="23" t="s">
        <v>8</v>
      </c>
    </row>
    <row r="3841" spans="1:13" s="21" customFormat="1" x14ac:dyDescent="0.25">
      <c r="A3841" s="22" t="s">
        <v>8</v>
      </c>
      <c r="B3841" s="18" t="str">
        <f>"155355"</f>
        <v>155355</v>
      </c>
      <c r="C3841" s="19" t="s">
        <v>3813</v>
      </c>
      <c r="D3841" s="19" t="s">
        <v>19268</v>
      </c>
      <c r="E3841" s="19" t="s">
        <v>32216</v>
      </c>
      <c r="F3841" s="19" t="s">
        <v>35988</v>
      </c>
      <c r="G3841" s="18" t="str">
        <f>"46619"</f>
        <v>46619</v>
      </c>
      <c r="H3841" s="19" t="s">
        <v>33301</v>
      </c>
      <c r="I3841" s="20">
        <v>17.3</v>
      </c>
      <c r="J3841" s="44" t="s">
        <v>8</v>
      </c>
      <c r="K3841" s="23" t="s">
        <v>8</v>
      </c>
      <c r="L3841" s="23" t="s">
        <v>8</v>
      </c>
      <c r="M3841" s="23" t="s">
        <v>8</v>
      </c>
    </row>
    <row r="3842" spans="1:13" s="21" customFormat="1" x14ac:dyDescent="0.25">
      <c r="A3842" s="22" t="s">
        <v>8</v>
      </c>
      <c r="B3842" s="18" t="str">
        <f>"155356"</f>
        <v>155356</v>
      </c>
      <c r="C3842" s="19" t="s">
        <v>3814</v>
      </c>
      <c r="D3842" s="19" t="s">
        <v>19269</v>
      </c>
      <c r="E3842" s="19" t="s">
        <v>32214</v>
      </c>
      <c r="F3842" s="19" t="s">
        <v>35988</v>
      </c>
      <c r="G3842" s="18" t="str">
        <f>"46802"</f>
        <v>46802</v>
      </c>
      <c r="H3842" s="19" t="s">
        <v>34710</v>
      </c>
      <c r="I3842" s="20">
        <v>19.175000000000001</v>
      </c>
      <c r="J3842" s="44" t="s">
        <v>8</v>
      </c>
      <c r="K3842" s="23" t="s">
        <v>8</v>
      </c>
      <c r="L3842" s="23" t="s">
        <v>8</v>
      </c>
      <c r="M3842" s="23" t="s">
        <v>8</v>
      </c>
    </row>
    <row r="3843" spans="1:13" s="21" customFormat="1" x14ac:dyDescent="0.25">
      <c r="A3843" s="22" t="s">
        <v>8</v>
      </c>
      <c r="B3843" s="18" t="str">
        <f>"155357"</f>
        <v>155357</v>
      </c>
      <c r="C3843" s="19" t="s">
        <v>3815</v>
      </c>
      <c r="D3843" s="19" t="s">
        <v>19270</v>
      </c>
      <c r="E3843" s="19" t="s">
        <v>32262</v>
      </c>
      <c r="F3843" s="19" t="s">
        <v>35988</v>
      </c>
      <c r="G3843" s="18" t="str">
        <f>"46064"</f>
        <v>46064</v>
      </c>
      <c r="H3843" s="19" t="s">
        <v>30899</v>
      </c>
      <c r="I3843" s="20">
        <v>17.073</v>
      </c>
      <c r="J3843" s="44" t="s">
        <v>8</v>
      </c>
      <c r="K3843" s="23" t="s">
        <v>8</v>
      </c>
      <c r="L3843" s="23" t="s">
        <v>8</v>
      </c>
      <c r="M3843" s="23" t="s">
        <v>8</v>
      </c>
    </row>
    <row r="3844" spans="1:13" s="21" customFormat="1" x14ac:dyDescent="0.25">
      <c r="A3844" s="22" t="s">
        <v>8</v>
      </c>
      <c r="B3844" s="18" t="str">
        <f>"155358"</f>
        <v>155358</v>
      </c>
      <c r="C3844" s="19" t="s">
        <v>3816</v>
      </c>
      <c r="D3844" s="19" t="s">
        <v>19271</v>
      </c>
      <c r="E3844" s="19" t="s">
        <v>32225</v>
      </c>
      <c r="F3844" s="19" t="s">
        <v>35988</v>
      </c>
      <c r="G3844" s="18" t="str">
        <f>"47803"</f>
        <v>47803</v>
      </c>
      <c r="H3844" s="19" t="s">
        <v>36257</v>
      </c>
      <c r="I3844" s="20">
        <v>17.657</v>
      </c>
      <c r="J3844" s="44" t="s">
        <v>8</v>
      </c>
      <c r="K3844" s="23" t="s">
        <v>8</v>
      </c>
      <c r="L3844" s="23" t="s">
        <v>8</v>
      </c>
      <c r="M3844" s="23" t="s">
        <v>8</v>
      </c>
    </row>
    <row r="3845" spans="1:13" s="21" customFormat="1" x14ac:dyDescent="0.25">
      <c r="A3845" s="22" t="s">
        <v>8</v>
      </c>
      <c r="B3845" s="18" t="str">
        <f>"155359"</f>
        <v>155359</v>
      </c>
      <c r="C3845" s="19" t="s">
        <v>3817</v>
      </c>
      <c r="D3845" s="19" t="s">
        <v>19272</v>
      </c>
      <c r="E3845" s="19" t="s">
        <v>32214</v>
      </c>
      <c r="F3845" s="19" t="s">
        <v>35988</v>
      </c>
      <c r="G3845" s="18" t="str">
        <f>"46819"</f>
        <v>46819</v>
      </c>
      <c r="H3845" s="19" t="s">
        <v>34710</v>
      </c>
      <c r="I3845" s="20">
        <v>18.904</v>
      </c>
      <c r="J3845" s="44" t="s">
        <v>8</v>
      </c>
      <c r="K3845" s="23" t="s">
        <v>8</v>
      </c>
      <c r="L3845" s="23" t="s">
        <v>8</v>
      </c>
      <c r="M3845" s="23" t="s">
        <v>8</v>
      </c>
    </row>
    <row r="3846" spans="1:13" s="21" customFormat="1" x14ac:dyDescent="0.25">
      <c r="A3846" s="22" t="s">
        <v>8</v>
      </c>
      <c r="B3846" s="18" t="str">
        <f>"155361"</f>
        <v>155361</v>
      </c>
      <c r="C3846" s="19" t="s">
        <v>3818</v>
      </c>
      <c r="D3846" s="19" t="s">
        <v>19273</v>
      </c>
      <c r="E3846" s="19" t="s">
        <v>32165</v>
      </c>
      <c r="F3846" s="19" t="s">
        <v>35988</v>
      </c>
      <c r="G3846" s="18" t="str">
        <f>"47567"</f>
        <v>47567</v>
      </c>
      <c r="H3846" s="19" t="s">
        <v>36033</v>
      </c>
      <c r="I3846" s="20">
        <v>17.423999999999999</v>
      </c>
      <c r="J3846" s="44" t="s">
        <v>8</v>
      </c>
      <c r="K3846" s="23" t="s">
        <v>8</v>
      </c>
      <c r="L3846" s="23" t="s">
        <v>8</v>
      </c>
      <c r="M3846" s="23" t="s">
        <v>8</v>
      </c>
    </row>
    <row r="3847" spans="1:13" s="21" customFormat="1" x14ac:dyDescent="0.25">
      <c r="A3847" s="22" t="s">
        <v>8</v>
      </c>
      <c r="B3847" s="18" t="str">
        <f>"155362"</f>
        <v>155362</v>
      </c>
      <c r="C3847" s="19" t="s">
        <v>3819</v>
      </c>
      <c r="D3847" s="19" t="s">
        <v>19274</v>
      </c>
      <c r="E3847" s="19" t="s">
        <v>32263</v>
      </c>
      <c r="F3847" s="19" t="s">
        <v>35988</v>
      </c>
      <c r="G3847" s="18" t="str">
        <f>"46410"</f>
        <v>46410</v>
      </c>
      <c r="H3847" s="19" t="s">
        <v>36096</v>
      </c>
      <c r="I3847" s="20">
        <v>20.263000000000002</v>
      </c>
      <c r="J3847" s="44" t="s">
        <v>8</v>
      </c>
      <c r="K3847" s="23" t="s">
        <v>8</v>
      </c>
      <c r="L3847" s="23" t="s">
        <v>8</v>
      </c>
      <c r="M3847" s="23" t="s">
        <v>8</v>
      </c>
    </row>
    <row r="3848" spans="1:13" s="21" customFormat="1" x14ac:dyDescent="0.25">
      <c r="A3848" s="22" t="s">
        <v>8</v>
      </c>
      <c r="B3848" s="18" t="str">
        <f>"155363"</f>
        <v>155363</v>
      </c>
      <c r="C3848" s="19" t="s">
        <v>3820</v>
      </c>
      <c r="D3848" s="19" t="s">
        <v>19275</v>
      </c>
      <c r="E3848" s="19" t="s">
        <v>32249</v>
      </c>
      <c r="F3848" s="19" t="s">
        <v>35988</v>
      </c>
      <c r="G3848" s="18" t="str">
        <f>"47523"</f>
        <v>47523</v>
      </c>
      <c r="H3848" s="19" t="s">
        <v>32314</v>
      </c>
      <c r="I3848" s="20">
        <v>18.038</v>
      </c>
      <c r="J3848" s="44" t="s">
        <v>8</v>
      </c>
      <c r="K3848" s="23" t="s">
        <v>8</v>
      </c>
      <c r="L3848" s="23" t="s">
        <v>8</v>
      </c>
      <c r="M3848" s="23" t="s">
        <v>8</v>
      </c>
    </row>
    <row r="3849" spans="1:13" s="21" customFormat="1" x14ac:dyDescent="0.25">
      <c r="A3849" s="22" t="s">
        <v>8</v>
      </c>
      <c r="B3849" s="18" t="str">
        <f>"155364"</f>
        <v>155364</v>
      </c>
      <c r="C3849" s="19" t="s">
        <v>3821</v>
      </c>
      <c r="D3849" s="19" t="s">
        <v>19276</v>
      </c>
      <c r="E3849" s="19" t="s">
        <v>32214</v>
      </c>
      <c r="F3849" s="19" t="s">
        <v>35988</v>
      </c>
      <c r="G3849" s="18" t="str">
        <f>"46818"</f>
        <v>46818</v>
      </c>
      <c r="H3849" s="19" t="s">
        <v>34710</v>
      </c>
      <c r="I3849" s="20">
        <v>19.57</v>
      </c>
      <c r="J3849" s="44" t="s">
        <v>8</v>
      </c>
      <c r="K3849" s="23" t="s">
        <v>8</v>
      </c>
      <c r="L3849" s="23" t="s">
        <v>8</v>
      </c>
      <c r="M3849" s="23" t="s">
        <v>8</v>
      </c>
    </row>
    <row r="3850" spans="1:13" s="21" customFormat="1" x14ac:dyDescent="0.25">
      <c r="A3850" s="22" t="s">
        <v>8</v>
      </c>
      <c r="B3850" s="18" t="str">
        <f>"155367"</f>
        <v>155367</v>
      </c>
      <c r="C3850" s="19" t="s">
        <v>3822</v>
      </c>
      <c r="D3850" s="19" t="s">
        <v>19277</v>
      </c>
      <c r="E3850" s="19" t="s">
        <v>32210</v>
      </c>
      <c r="F3850" s="19" t="s">
        <v>35988</v>
      </c>
      <c r="G3850" s="18" t="str">
        <f>"46901"</f>
        <v>46901</v>
      </c>
      <c r="H3850" s="19" t="s">
        <v>32644</v>
      </c>
      <c r="I3850" s="20">
        <v>17.879000000000001</v>
      </c>
      <c r="J3850" s="44" t="s">
        <v>8</v>
      </c>
      <c r="K3850" s="23" t="s">
        <v>8</v>
      </c>
      <c r="L3850" s="23" t="s">
        <v>8</v>
      </c>
      <c r="M3850" s="23" t="s">
        <v>8</v>
      </c>
    </row>
    <row r="3851" spans="1:13" s="21" customFormat="1" x14ac:dyDescent="0.25">
      <c r="A3851" s="22" t="s">
        <v>8</v>
      </c>
      <c r="B3851" s="18" t="str">
        <f>"155368"</f>
        <v>155368</v>
      </c>
      <c r="C3851" s="19" t="s">
        <v>3823</v>
      </c>
      <c r="D3851" s="19" t="s">
        <v>19278</v>
      </c>
      <c r="E3851" s="19" t="s">
        <v>32264</v>
      </c>
      <c r="F3851" s="19" t="s">
        <v>35988</v>
      </c>
      <c r="G3851" s="18" t="str">
        <f>"47137"</f>
        <v>47137</v>
      </c>
      <c r="H3851" s="19" t="s">
        <v>31759</v>
      </c>
      <c r="I3851" s="20">
        <v>20.675000000000001</v>
      </c>
      <c r="J3851" s="44" t="s">
        <v>8</v>
      </c>
      <c r="K3851" s="23" t="s">
        <v>8</v>
      </c>
      <c r="L3851" s="23" t="s">
        <v>8</v>
      </c>
      <c r="M3851" s="23" t="s">
        <v>8</v>
      </c>
    </row>
    <row r="3852" spans="1:13" s="21" customFormat="1" x14ac:dyDescent="0.25">
      <c r="A3852" s="22" t="s">
        <v>8</v>
      </c>
      <c r="B3852" s="18" t="str">
        <f>"155370"</f>
        <v>155370</v>
      </c>
      <c r="C3852" s="19" t="s">
        <v>3824</v>
      </c>
      <c r="D3852" s="19" t="s">
        <v>19279</v>
      </c>
      <c r="E3852" s="19" t="s">
        <v>32265</v>
      </c>
      <c r="F3852" s="19" t="s">
        <v>35988</v>
      </c>
      <c r="G3852" s="18" t="str">
        <f>"47631"</f>
        <v>47631</v>
      </c>
      <c r="H3852" s="19" t="s">
        <v>36261</v>
      </c>
      <c r="I3852" s="20">
        <v>20.584</v>
      </c>
      <c r="J3852" s="44" t="s">
        <v>8</v>
      </c>
      <c r="K3852" s="23" t="s">
        <v>8</v>
      </c>
      <c r="L3852" s="23" t="s">
        <v>8</v>
      </c>
      <c r="M3852" s="23" t="s">
        <v>8</v>
      </c>
    </row>
    <row r="3853" spans="1:13" s="21" customFormat="1" x14ac:dyDescent="0.25">
      <c r="A3853" s="22" t="s">
        <v>8</v>
      </c>
      <c r="B3853" s="18" t="str">
        <f>"155373"</f>
        <v>155373</v>
      </c>
      <c r="C3853" s="19" t="s">
        <v>3825</v>
      </c>
      <c r="D3853" s="19" t="s">
        <v>19280</v>
      </c>
      <c r="E3853" s="19" t="s">
        <v>32266</v>
      </c>
      <c r="F3853" s="19" t="s">
        <v>35988</v>
      </c>
      <c r="G3853" s="18" t="str">
        <f>"46714"</f>
        <v>46714</v>
      </c>
      <c r="H3853" s="19" t="s">
        <v>33439</v>
      </c>
      <c r="I3853" s="20">
        <v>20.963000000000001</v>
      </c>
      <c r="J3853" s="44" t="s">
        <v>8</v>
      </c>
      <c r="K3853" s="23" t="s">
        <v>8</v>
      </c>
      <c r="L3853" s="23" t="s">
        <v>8</v>
      </c>
      <c r="M3853" s="23" t="s">
        <v>8</v>
      </c>
    </row>
    <row r="3854" spans="1:13" s="21" customFormat="1" x14ac:dyDescent="0.25">
      <c r="A3854" s="22" t="s">
        <v>8</v>
      </c>
      <c r="B3854" s="18" t="str">
        <f>"155374"</f>
        <v>155374</v>
      </c>
      <c r="C3854" s="19" t="s">
        <v>3826</v>
      </c>
      <c r="D3854" s="19" t="s">
        <v>19281</v>
      </c>
      <c r="E3854" s="19" t="s">
        <v>32247</v>
      </c>
      <c r="F3854" s="19" t="s">
        <v>35988</v>
      </c>
      <c r="G3854" s="18" t="str">
        <f>"47553"</f>
        <v>47553</v>
      </c>
      <c r="H3854" s="19" t="s">
        <v>35168</v>
      </c>
      <c r="I3854" s="20">
        <v>19.768000000000001</v>
      </c>
      <c r="J3854" s="44" t="s">
        <v>8</v>
      </c>
      <c r="K3854" s="23" t="s">
        <v>8</v>
      </c>
      <c r="L3854" s="23" t="s">
        <v>8</v>
      </c>
      <c r="M3854" s="23" t="s">
        <v>8</v>
      </c>
    </row>
    <row r="3855" spans="1:13" s="21" customFormat="1" x14ac:dyDescent="0.25">
      <c r="A3855" s="22" t="s">
        <v>8</v>
      </c>
      <c r="B3855" s="18" t="str">
        <f>"155375"</f>
        <v>155375</v>
      </c>
      <c r="C3855" s="19" t="s">
        <v>3827</v>
      </c>
      <c r="D3855" s="19" t="s">
        <v>19282</v>
      </c>
      <c r="E3855" s="19" t="s">
        <v>32165</v>
      </c>
      <c r="F3855" s="19" t="s">
        <v>35988</v>
      </c>
      <c r="G3855" s="18" t="str">
        <f>"47567"</f>
        <v>47567</v>
      </c>
      <c r="H3855" s="19" t="s">
        <v>36033</v>
      </c>
      <c r="I3855" s="20">
        <v>17.818999999999999</v>
      </c>
      <c r="J3855" s="44" t="s">
        <v>8</v>
      </c>
      <c r="K3855" s="23" t="s">
        <v>8</v>
      </c>
      <c r="L3855" s="23" t="s">
        <v>8</v>
      </c>
      <c r="M3855" s="23" t="s">
        <v>8</v>
      </c>
    </row>
    <row r="3856" spans="1:13" s="21" customFormat="1" x14ac:dyDescent="0.25">
      <c r="A3856" s="22" t="s">
        <v>8</v>
      </c>
      <c r="B3856" s="18" t="str">
        <f>"155376"</f>
        <v>155376</v>
      </c>
      <c r="C3856" s="19" t="s">
        <v>3828</v>
      </c>
      <c r="D3856" s="19" t="s">
        <v>19283</v>
      </c>
      <c r="E3856" s="19" t="s">
        <v>31039</v>
      </c>
      <c r="F3856" s="19" t="s">
        <v>35988</v>
      </c>
      <c r="G3856" s="18" t="str">
        <f>"46069"</f>
        <v>46069</v>
      </c>
      <c r="H3856" s="19" t="s">
        <v>30804</v>
      </c>
      <c r="I3856" s="20">
        <v>17.228000000000002</v>
      </c>
      <c r="J3856" s="44" t="s">
        <v>8</v>
      </c>
      <c r="K3856" s="23" t="s">
        <v>8</v>
      </c>
      <c r="L3856" s="23" t="s">
        <v>8</v>
      </c>
      <c r="M3856" s="23" t="s">
        <v>8</v>
      </c>
    </row>
    <row r="3857" spans="1:13" s="21" customFormat="1" x14ac:dyDescent="0.25">
      <c r="A3857" s="22" t="s">
        <v>8</v>
      </c>
      <c r="B3857" s="18" t="str">
        <f>"155377"</f>
        <v>155377</v>
      </c>
      <c r="C3857" s="19" t="s">
        <v>3829</v>
      </c>
      <c r="D3857" s="19" t="s">
        <v>19284</v>
      </c>
      <c r="E3857" s="19" t="s">
        <v>31477</v>
      </c>
      <c r="F3857" s="19" t="s">
        <v>35988</v>
      </c>
      <c r="G3857" s="18" t="str">
        <f>"47274"</f>
        <v>47274</v>
      </c>
      <c r="H3857" s="19" t="s">
        <v>30816</v>
      </c>
      <c r="I3857" s="20">
        <v>16.295999999999999</v>
      </c>
      <c r="J3857" s="44" t="s">
        <v>8</v>
      </c>
      <c r="K3857" s="23" t="s">
        <v>8</v>
      </c>
      <c r="L3857" s="23" t="s">
        <v>8</v>
      </c>
      <c r="M3857" s="23" t="s">
        <v>8</v>
      </c>
    </row>
    <row r="3858" spans="1:13" s="21" customFormat="1" x14ac:dyDescent="0.25">
      <c r="A3858" s="22" t="s">
        <v>8</v>
      </c>
      <c r="B3858" s="18" t="str">
        <f>"155378"</f>
        <v>155378</v>
      </c>
      <c r="C3858" s="19" t="s">
        <v>3830</v>
      </c>
      <c r="D3858" s="19" t="s">
        <v>19285</v>
      </c>
      <c r="E3858" s="19" t="s">
        <v>32035</v>
      </c>
      <c r="F3858" s="19" t="s">
        <v>35988</v>
      </c>
      <c r="G3858" s="18" t="str">
        <f>"46052"</f>
        <v>46052</v>
      </c>
      <c r="H3858" s="19" t="s">
        <v>32513</v>
      </c>
      <c r="I3858" s="20">
        <v>17.177</v>
      </c>
      <c r="J3858" s="44" t="s">
        <v>8</v>
      </c>
      <c r="K3858" s="23" t="s">
        <v>8</v>
      </c>
      <c r="L3858" s="23" t="s">
        <v>8</v>
      </c>
      <c r="M3858" s="23" t="s">
        <v>8</v>
      </c>
    </row>
    <row r="3859" spans="1:13" s="21" customFormat="1" x14ac:dyDescent="0.25">
      <c r="A3859" s="22" t="s">
        <v>8</v>
      </c>
      <c r="B3859" s="18" t="str">
        <f>"155379"</f>
        <v>155379</v>
      </c>
      <c r="C3859" s="19" t="s">
        <v>3831</v>
      </c>
      <c r="D3859" s="19" t="s">
        <v>19286</v>
      </c>
      <c r="E3859" s="19" t="s">
        <v>32267</v>
      </c>
      <c r="F3859" s="19" t="s">
        <v>35988</v>
      </c>
      <c r="G3859" s="18" t="str">
        <f>"46975"</f>
        <v>46975</v>
      </c>
      <c r="H3859" s="19" t="s">
        <v>32194</v>
      </c>
      <c r="I3859" s="20">
        <v>16.001000000000001</v>
      </c>
      <c r="J3859" s="44" t="s">
        <v>8</v>
      </c>
      <c r="K3859" s="23" t="s">
        <v>8</v>
      </c>
      <c r="L3859" s="23" t="s">
        <v>8</v>
      </c>
      <c r="M3859" s="23" t="s">
        <v>8</v>
      </c>
    </row>
    <row r="3860" spans="1:13" s="21" customFormat="1" x14ac:dyDescent="0.25">
      <c r="A3860" s="22" t="s">
        <v>8</v>
      </c>
      <c r="B3860" s="18" t="str">
        <f>"155381"</f>
        <v>155381</v>
      </c>
      <c r="C3860" s="19" t="s">
        <v>3832</v>
      </c>
      <c r="D3860" s="19" t="s">
        <v>19287</v>
      </c>
      <c r="E3860" s="19" t="s">
        <v>32218</v>
      </c>
      <c r="F3860" s="19" t="s">
        <v>35988</v>
      </c>
      <c r="G3860" s="18" t="str">
        <f>"46060"</f>
        <v>46060</v>
      </c>
      <c r="H3860" s="19" t="s">
        <v>30804</v>
      </c>
      <c r="I3860" s="20">
        <v>16.443999999999999</v>
      </c>
      <c r="J3860" s="44" t="s">
        <v>8</v>
      </c>
      <c r="K3860" s="23" t="s">
        <v>8</v>
      </c>
      <c r="L3860" s="23" t="s">
        <v>8</v>
      </c>
      <c r="M3860" s="23" t="s">
        <v>8</v>
      </c>
    </row>
    <row r="3861" spans="1:13" s="21" customFormat="1" x14ac:dyDescent="0.25">
      <c r="A3861" s="22" t="s">
        <v>8</v>
      </c>
      <c r="B3861" s="18" t="str">
        <f>"155383"</f>
        <v>155383</v>
      </c>
      <c r="C3861" s="19" t="s">
        <v>3833</v>
      </c>
      <c r="D3861" s="19" t="s">
        <v>19288</v>
      </c>
      <c r="E3861" s="19" t="s">
        <v>32200</v>
      </c>
      <c r="F3861" s="19" t="s">
        <v>35988</v>
      </c>
      <c r="G3861" s="18" t="str">
        <f>"46231"</f>
        <v>46231</v>
      </c>
      <c r="H3861" s="19" t="s">
        <v>30850</v>
      </c>
      <c r="I3861" s="20">
        <v>18.867999999999999</v>
      </c>
      <c r="J3861" s="44" t="s">
        <v>8</v>
      </c>
      <c r="K3861" s="23" t="s">
        <v>8</v>
      </c>
      <c r="L3861" s="23" t="s">
        <v>8</v>
      </c>
      <c r="M3861" s="23" t="s">
        <v>8</v>
      </c>
    </row>
    <row r="3862" spans="1:13" s="21" customFormat="1" x14ac:dyDescent="0.25">
      <c r="A3862" s="22" t="s">
        <v>8</v>
      </c>
      <c r="B3862" s="18" t="str">
        <f>"155384"</f>
        <v>155384</v>
      </c>
      <c r="C3862" s="19" t="s">
        <v>3834</v>
      </c>
      <c r="D3862" s="19" t="s">
        <v>19289</v>
      </c>
      <c r="E3862" s="19" t="s">
        <v>32268</v>
      </c>
      <c r="F3862" s="19" t="s">
        <v>35988</v>
      </c>
      <c r="G3862" s="18" t="str">
        <f>"47586"</f>
        <v>47586</v>
      </c>
      <c r="H3862" s="19" t="s">
        <v>31503</v>
      </c>
      <c r="I3862" s="20">
        <v>18</v>
      </c>
      <c r="J3862" s="44" t="s">
        <v>8</v>
      </c>
      <c r="K3862" s="23" t="s">
        <v>8</v>
      </c>
      <c r="L3862" s="23" t="s">
        <v>8</v>
      </c>
      <c r="M3862" s="23" t="s">
        <v>8</v>
      </c>
    </row>
    <row r="3863" spans="1:13" s="21" customFormat="1" x14ac:dyDescent="0.25">
      <c r="A3863" s="22" t="s">
        <v>8</v>
      </c>
      <c r="B3863" s="18" t="str">
        <f>"155386"</f>
        <v>155386</v>
      </c>
      <c r="C3863" s="19" t="s">
        <v>3835</v>
      </c>
      <c r="D3863" s="19" t="s">
        <v>19290</v>
      </c>
      <c r="E3863" s="19" t="s">
        <v>30876</v>
      </c>
      <c r="F3863" s="19" t="s">
        <v>35988</v>
      </c>
      <c r="G3863" s="18" t="str">
        <f>"46721"</f>
        <v>46721</v>
      </c>
      <c r="H3863" s="19" t="s">
        <v>31954</v>
      </c>
      <c r="I3863" s="20">
        <v>22.547999999999998</v>
      </c>
      <c r="J3863" s="44" t="s">
        <v>8</v>
      </c>
      <c r="K3863" s="23" t="s">
        <v>8</v>
      </c>
      <c r="L3863" s="23" t="s">
        <v>8</v>
      </c>
      <c r="M3863" s="23" t="s">
        <v>8</v>
      </c>
    </row>
    <row r="3864" spans="1:13" s="21" customFormat="1" x14ac:dyDescent="0.25">
      <c r="A3864" s="22" t="s">
        <v>8</v>
      </c>
      <c r="B3864" s="18" t="str">
        <f>"155387"</f>
        <v>155387</v>
      </c>
      <c r="C3864" s="19" t="s">
        <v>3836</v>
      </c>
      <c r="D3864" s="19" t="s">
        <v>19291</v>
      </c>
      <c r="E3864" s="19" t="s">
        <v>32199</v>
      </c>
      <c r="F3864" s="19" t="s">
        <v>35988</v>
      </c>
      <c r="G3864" s="18" t="str">
        <f>"47331"</f>
        <v>47331</v>
      </c>
      <c r="H3864" s="19" t="s">
        <v>30805</v>
      </c>
      <c r="I3864" s="20">
        <v>16.54</v>
      </c>
      <c r="J3864" s="44" t="s">
        <v>8</v>
      </c>
      <c r="K3864" s="23" t="s">
        <v>8</v>
      </c>
      <c r="L3864" s="23" t="s">
        <v>8</v>
      </c>
      <c r="M3864" s="23" t="s">
        <v>8</v>
      </c>
    </row>
    <row r="3865" spans="1:13" s="21" customFormat="1" x14ac:dyDescent="0.25">
      <c r="A3865" s="22" t="s">
        <v>8</v>
      </c>
      <c r="B3865" s="18" t="str">
        <f>"155388"</f>
        <v>155388</v>
      </c>
      <c r="C3865" s="19" t="s">
        <v>3837</v>
      </c>
      <c r="D3865" s="19" t="s">
        <v>19292</v>
      </c>
      <c r="E3865" s="19" t="s">
        <v>32215</v>
      </c>
      <c r="F3865" s="19" t="s">
        <v>35988</v>
      </c>
      <c r="G3865" s="18" t="str">
        <f>"47421"</f>
        <v>47421</v>
      </c>
      <c r="H3865" s="19" t="s">
        <v>32568</v>
      </c>
      <c r="I3865" s="20">
        <v>18.86</v>
      </c>
      <c r="J3865" s="44" t="s">
        <v>8</v>
      </c>
      <c r="K3865" s="23" t="s">
        <v>8</v>
      </c>
      <c r="L3865" s="23" t="s">
        <v>8</v>
      </c>
      <c r="M3865" s="23" t="s">
        <v>8</v>
      </c>
    </row>
    <row r="3866" spans="1:13" s="21" customFormat="1" x14ac:dyDescent="0.25">
      <c r="A3866" s="22" t="s">
        <v>8</v>
      </c>
      <c r="B3866" s="18" t="str">
        <f>"155389"</f>
        <v>155389</v>
      </c>
      <c r="C3866" s="19" t="s">
        <v>3838</v>
      </c>
      <c r="D3866" s="19" t="s">
        <v>19293</v>
      </c>
      <c r="E3866" s="19" t="s">
        <v>32200</v>
      </c>
      <c r="F3866" s="19" t="s">
        <v>35988</v>
      </c>
      <c r="G3866" s="18" t="str">
        <f>"46222"</f>
        <v>46222</v>
      </c>
      <c r="H3866" s="19" t="s">
        <v>30850</v>
      </c>
      <c r="I3866" s="20">
        <v>15.414999999999999</v>
      </c>
      <c r="J3866" s="44" t="s">
        <v>8</v>
      </c>
      <c r="K3866" s="23" t="s">
        <v>8</v>
      </c>
      <c r="L3866" s="23" t="s">
        <v>8</v>
      </c>
      <c r="M3866" s="23" t="s">
        <v>8</v>
      </c>
    </row>
    <row r="3867" spans="1:13" s="21" customFormat="1" x14ac:dyDescent="0.25">
      <c r="A3867" s="22" t="s">
        <v>8</v>
      </c>
      <c r="B3867" s="18" t="str">
        <f>"155390"</f>
        <v>155390</v>
      </c>
      <c r="C3867" s="19" t="s">
        <v>3839</v>
      </c>
      <c r="D3867" s="19" t="s">
        <v>19294</v>
      </c>
      <c r="E3867" s="19" t="s">
        <v>32217</v>
      </c>
      <c r="F3867" s="19" t="s">
        <v>35988</v>
      </c>
      <c r="G3867" s="18" t="str">
        <f>"47710"</f>
        <v>47710</v>
      </c>
      <c r="H3867" s="19" t="s">
        <v>36252</v>
      </c>
      <c r="I3867" s="20">
        <v>17.686</v>
      </c>
      <c r="J3867" s="44" t="s">
        <v>8</v>
      </c>
      <c r="K3867" s="23" t="s">
        <v>8</v>
      </c>
      <c r="L3867" s="23" t="s">
        <v>8</v>
      </c>
      <c r="M3867" s="23" t="s">
        <v>8</v>
      </c>
    </row>
    <row r="3868" spans="1:13" s="21" customFormat="1" x14ac:dyDescent="0.25">
      <c r="A3868" s="22" t="s">
        <v>8</v>
      </c>
      <c r="B3868" s="18" t="str">
        <f>"155392"</f>
        <v>155392</v>
      </c>
      <c r="C3868" s="19" t="s">
        <v>3840</v>
      </c>
      <c r="D3868" s="19" t="s">
        <v>19295</v>
      </c>
      <c r="E3868" s="19" t="s">
        <v>32269</v>
      </c>
      <c r="F3868" s="19" t="s">
        <v>35988</v>
      </c>
      <c r="G3868" s="18" t="str">
        <f>"46755"</f>
        <v>46755</v>
      </c>
      <c r="H3868" s="19" t="s">
        <v>34672</v>
      </c>
      <c r="I3868" s="20">
        <v>18.370999999999999</v>
      </c>
      <c r="J3868" s="44" t="s">
        <v>8</v>
      </c>
      <c r="K3868" s="23" t="s">
        <v>8</v>
      </c>
      <c r="L3868" s="23" t="s">
        <v>8</v>
      </c>
      <c r="M3868" s="23" t="s">
        <v>8</v>
      </c>
    </row>
    <row r="3869" spans="1:13" s="21" customFormat="1" x14ac:dyDescent="0.25">
      <c r="A3869" s="22" t="s">
        <v>8</v>
      </c>
      <c r="B3869" s="18" t="str">
        <f>"155400"</f>
        <v>155400</v>
      </c>
      <c r="C3869" s="19" t="s">
        <v>3841</v>
      </c>
      <c r="D3869" s="19" t="s">
        <v>19296</v>
      </c>
      <c r="E3869" s="19" t="s">
        <v>32205</v>
      </c>
      <c r="F3869" s="19" t="s">
        <v>35988</v>
      </c>
      <c r="G3869" s="18" t="str">
        <f>"47303"</f>
        <v>47303</v>
      </c>
      <c r="H3869" s="19" t="s">
        <v>34462</v>
      </c>
      <c r="I3869" s="20">
        <v>21.155000000000001</v>
      </c>
      <c r="J3869" s="44" t="s">
        <v>8</v>
      </c>
      <c r="K3869" s="23" t="s">
        <v>8</v>
      </c>
      <c r="L3869" s="23" t="s">
        <v>8</v>
      </c>
      <c r="M3869" s="23" t="s">
        <v>8</v>
      </c>
    </row>
    <row r="3870" spans="1:13" s="21" customFormat="1" x14ac:dyDescent="0.25">
      <c r="A3870" s="22" t="s">
        <v>8</v>
      </c>
      <c r="B3870" s="18" t="str">
        <f>"155401"</f>
        <v>155401</v>
      </c>
      <c r="C3870" s="19" t="s">
        <v>3842</v>
      </c>
      <c r="D3870" s="19" t="s">
        <v>19297</v>
      </c>
      <c r="E3870" s="19" t="s">
        <v>32246</v>
      </c>
      <c r="F3870" s="19" t="s">
        <v>35988</v>
      </c>
      <c r="G3870" s="18" t="str">
        <f>"47933"</f>
        <v>47933</v>
      </c>
      <c r="H3870" s="19" t="s">
        <v>30833</v>
      </c>
      <c r="I3870" s="20">
        <v>19.329000000000001</v>
      </c>
      <c r="J3870" s="44" t="s">
        <v>8</v>
      </c>
      <c r="K3870" s="23" t="s">
        <v>8</v>
      </c>
      <c r="L3870" s="23" t="s">
        <v>8</v>
      </c>
      <c r="M3870" s="23" t="s">
        <v>8</v>
      </c>
    </row>
    <row r="3871" spans="1:13" s="21" customFormat="1" x14ac:dyDescent="0.25">
      <c r="A3871" s="22" t="s">
        <v>8</v>
      </c>
      <c r="B3871" s="18" t="str">
        <f>"155402"</f>
        <v>155402</v>
      </c>
      <c r="C3871" s="19" t="s">
        <v>3843</v>
      </c>
      <c r="D3871" s="19" t="s">
        <v>19298</v>
      </c>
      <c r="E3871" s="19" t="s">
        <v>32227</v>
      </c>
      <c r="F3871" s="19" t="s">
        <v>35988</v>
      </c>
      <c r="G3871" s="18" t="str">
        <f>"47906"</f>
        <v>47906</v>
      </c>
      <c r="H3871" s="19" t="s">
        <v>36251</v>
      </c>
      <c r="I3871" s="20">
        <v>21.385000000000002</v>
      </c>
      <c r="J3871" s="44" t="s">
        <v>8</v>
      </c>
      <c r="K3871" s="23" t="s">
        <v>8</v>
      </c>
      <c r="L3871" s="23" t="s">
        <v>8</v>
      </c>
      <c r="M3871" s="23" t="s">
        <v>8</v>
      </c>
    </row>
    <row r="3872" spans="1:13" s="21" customFormat="1" x14ac:dyDescent="0.25">
      <c r="A3872" s="22" t="s">
        <v>8</v>
      </c>
      <c r="B3872" s="18" t="str">
        <f>"155404"</f>
        <v>155404</v>
      </c>
      <c r="C3872" s="19" t="s">
        <v>3844</v>
      </c>
      <c r="D3872" s="19" t="s">
        <v>19299</v>
      </c>
      <c r="E3872" s="19" t="s">
        <v>32035</v>
      </c>
      <c r="F3872" s="19" t="s">
        <v>35988</v>
      </c>
      <c r="G3872" s="18" t="str">
        <f>"46052"</f>
        <v>46052</v>
      </c>
      <c r="H3872" s="19" t="s">
        <v>32513</v>
      </c>
      <c r="I3872" s="20">
        <v>18.584</v>
      </c>
      <c r="J3872" s="44" t="s">
        <v>8</v>
      </c>
      <c r="K3872" s="23" t="s">
        <v>8</v>
      </c>
      <c r="L3872" s="23" t="s">
        <v>8</v>
      </c>
      <c r="M3872" s="23" t="s">
        <v>8</v>
      </c>
    </row>
    <row r="3873" spans="1:13" s="21" customFormat="1" x14ac:dyDescent="0.25">
      <c r="A3873" s="22" t="s">
        <v>8</v>
      </c>
      <c r="B3873" s="18" t="str">
        <f>"155406"</f>
        <v>155406</v>
      </c>
      <c r="C3873" s="19" t="s">
        <v>3845</v>
      </c>
      <c r="D3873" s="19" t="s">
        <v>19300</v>
      </c>
      <c r="E3873" s="19" t="s">
        <v>31914</v>
      </c>
      <c r="F3873" s="19" t="s">
        <v>35988</v>
      </c>
      <c r="G3873" s="18" t="str">
        <f>"46970"</f>
        <v>46970</v>
      </c>
      <c r="H3873" s="19" t="s">
        <v>31507</v>
      </c>
      <c r="I3873" s="20">
        <v>20.22</v>
      </c>
      <c r="J3873" s="44" t="s">
        <v>8</v>
      </c>
      <c r="K3873" s="23" t="s">
        <v>8</v>
      </c>
      <c r="L3873" s="23" t="s">
        <v>8</v>
      </c>
      <c r="M3873" s="23" t="s">
        <v>8</v>
      </c>
    </row>
    <row r="3874" spans="1:13" s="21" customFormat="1" x14ac:dyDescent="0.25">
      <c r="A3874" s="22" t="s">
        <v>8</v>
      </c>
      <c r="B3874" s="18" t="str">
        <f>"155409"</f>
        <v>155409</v>
      </c>
      <c r="C3874" s="19" t="s">
        <v>3846</v>
      </c>
      <c r="D3874" s="19" t="s">
        <v>19301</v>
      </c>
      <c r="E3874" s="19" t="s">
        <v>32200</v>
      </c>
      <c r="F3874" s="19" t="s">
        <v>35988</v>
      </c>
      <c r="G3874" s="18" t="str">
        <f>"46227"</f>
        <v>46227</v>
      </c>
      <c r="H3874" s="19" t="s">
        <v>30850</v>
      </c>
      <c r="I3874" s="20">
        <v>18.8</v>
      </c>
      <c r="J3874" s="44" t="s">
        <v>8</v>
      </c>
      <c r="K3874" s="23" t="s">
        <v>8</v>
      </c>
      <c r="L3874" s="23" t="s">
        <v>8</v>
      </c>
      <c r="M3874" s="23" t="s">
        <v>8</v>
      </c>
    </row>
    <row r="3875" spans="1:13" s="21" customFormat="1" x14ac:dyDescent="0.25">
      <c r="A3875" s="22" t="s">
        <v>8</v>
      </c>
      <c r="B3875" s="18" t="str">
        <f>"155412"</f>
        <v>155412</v>
      </c>
      <c r="C3875" s="19" t="s">
        <v>3847</v>
      </c>
      <c r="D3875" s="19" t="s">
        <v>19302</v>
      </c>
      <c r="E3875" s="19" t="s">
        <v>32204</v>
      </c>
      <c r="F3875" s="19" t="s">
        <v>35988</v>
      </c>
      <c r="G3875" s="18" t="str">
        <f>"46142"</f>
        <v>46142</v>
      </c>
      <c r="H3875" s="19" t="s">
        <v>36072</v>
      </c>
      <c r="I3875" s="20">
        <v>16.88</v>
      </c>
      <c r="J3875" s="44" t="s">
        <v>8</v>
      </c>
      <c r="K3875" s="23" t="s">
        <v>8</v>
      </c>
      <c r="L3875" s="23" t="s">
        <v>8</v>
      </c>
      <c r="M3875" s="23" t="s">
        <v>8</v>
      </c>
    </row>
    <row r="3876" spans="1:13" s="21" customFormat="1" x14ac:dyDescent="0.25">
      <c r="A3876" s="22" t="s">
        <v>8</v>
      </c>
      <c r="B3876" s="18" t="str">
        <f>"155414"</f>
        <v>155414</v>
      </c>
      <c r="C3876" s="19" t="s">
        <v>3848</v>
      </c>
      <c r="D3876" s="19" t="s">
        <v>19303</v>
      </c>
      <c r="E3876" s="19" t="s">
        <v>32270</v>
      </c>
      <c r="F3876" s="19" t="s">
        <v>35988</v>
      </c>
      <c r="G3876" s="18" t="str">
        <f>"47441"</f>
        <v>47441</v>
      </c>
      <c r="H3876" s="19" t="s">
        <v>32455</v>
      </c>
      <c r="I3876" s="20">
        <v>18.135000000000002</v>
      </c>
      <c r="J3876" s="44" t="s">
        <v>8</v>
      </c>
      <c r="K3876" s="23" t="s">
        <v>8</v>
      </c>
      <c r="L3876" s="23" t="s">
        <v>8</v>
      </c>
      <c r="M3876" s="23" t="s">
        <v>8</v>
      </c>
    </row>
    <row r="3877" spans="1:13" s="21" customFormat="1" x14ac:dyDescent="0.25">
      <c r="A3877" s="22" t="s">
        <v>8</v>
      </c>
      <c r="B3877" s="18" t="str">
        <f>"155417"</f>
        <v>155417</v>
      </c>
      <c r="C3877" s="19" t="s">
        <v>3849</v>
      </c>
      <c r="D3877" s="19" t="s">
        <v>19304</v>
      </c>
      <c r="E3877" s="19" t="s">
        <v>32248</v>
      </c>
      <c r="F3877" s="19" t="s">
        <v>35988</v>
      </c>
      <c r="G3877" s="18" t="str">
        <f>"47170"</f>
        <v>47170</v>
      </c>
      <c r="H3877" s="19" t="s">
        <v>36083</v>
      </c>
      <c r="I3877" s="20">
        <v>20.863</v>
      </c>
      <c r="J3877" s="44" t="s">
        <v>8</v>
      </c>
      <c r="K3877" s="23" t="s">
        <v>8</v>
      </c>
      <c r="L3877" s="23" t="s">
        <v>8</v>
      </c>
      <c r="M3877" s="23" t="s">
        <v>8</v>
      </c>
    </row>
    <row r="3878" spans="1:13" s="21" customFormat="1" x14ac:dyDescent="0.25">
      <c r="A3878" s="22" t="s">
        <v>8</v>
      </c>
      <c r="B3878" s="18" t="str">
        <f>"155419"</f>
        <v>155419</v>
      </c>
      <c r="C3878" s="19" t="s">
        <v>3850</v>
      </c>
      <c r="D3878" s="19" t="s">
        <v>19305</v>
      </c>
      <c r="E3878" s="19" t="s">
        <v>32246</v>
      </c>
      <c r="F3878" s="19" t="s">
        <v>35988</v>
      </c>
      <c r="G3878" s="18" t="str">
        <f>"47933"</f>
        <v>47933</v>
      </c>
      <c r="H3878" s="19" t="s">
        <v>30833</v>
      </c>
      <c r="I3878" s="20">
        <v>17.939</v>
      </c>
      <c r="J3878" s="44" t="s">
        <v>8</v>
      </c>
      <c r="K3878" s="23" t="s">
        <v>8</v>
      </c>
      <c r="L3878" s="23" t="s">
        <v>8</v>
      </c>
      <c r="M3878" s="23" t="s">
        <v>8</v>
      </c>
    </row>
    <row r="3879" spans="1:13" s="21" customFormat="1" x14ac:dyDescent="0.25">
      <c r="A3879" s="22" t="s">
        <v>8</v>
      </c>
      <c r="B3879" s="18" t="str">
        <f>"155423"</f>
        <v>155423</v>
      </c>
      <c r="C3879" s="19" t="s">
        <v>3851</v>
      </c>
      <c r="D3879" s="19" t="s">
        <v>19306</v>
      </c>
      <c r="E3879" s="19" t="s">
        <v>32271</v>
      </c>
      <c r="F3879" s="19" t="s">
        <v>35988</v>
      </c>
      <c r="G3879" s="18" t="str">
        <f>"46394"</f>
        <v>46394</v>
      </c>
      <c r="H3879" s="19" t="s">
        <v>36096</v>
      </c>
      <c r="I3879" s="20">
        <v>18.117999999999999</v>
      </c>
      <c r="J3879" s="44" t="s">
        <v>8</v>
      </c>
      <c r="K3879" s="23" t="s">
        <v>8</v>
      </c>
      <c r="L3879" s="23" t="s">
        <v>8</v>
      </c>
      <c r="M3879" s="23" t="s">
        <v>8</v>
      </c>
    </row>
    <row r="3880" spans="1:13" s="21" customFormat="1" x14ac:dyDescent="0.25">
      <c r="A3880" s="22" t="s">
        <v>8</v>
      </c>
      <c r="B3880" s="18" t="str">
        <f>"155424"</f>
        <v>155424</v>
      </c>
      <c r="C3880" s="19" t="s">
        <v>3852</v>
      </c>
      <c r="D3880" s="19" t="s">
        <v>19307</v>
      </c>
      <c r="E3880" s="19" t="s">
        <v>31715</v>
      </c>
      <c r="F3880" s="19" t="s">
        <v>35988</v>
      </c>
      <c r="G3880" s="18" t="str">
        <f>"47203"</f>
        <v>47203</v>
      </c>
      <c r="H3880" s="19" t="s">
        <v>36255</v>
      </c>
      <c r="I3880" s="20">
        <v>17.510000000000002</v>
      </c>
      <c r="J3880" s="44" t="s">
        <v>8</v>
      </c>
      <c r="K3880" s="23" t="s">
        <v>8</v>
      </c>
      <c r="L3880" s="23" t="s">
        <v>8</v>
      </c>
      <c r="M3880" s="23" t="s">
        <v>8</v>
      </c>
    </row>
    <row r="3881" spans="1:13" s="21" customFormat="1" x14ac:dyDescent="0.25">
      <c r="A3881" s="22" t="s">
        <v>8</v>
      </c>
      <c r="B3881" s="18" t="str">
        <f>"155426"</f>
        <v>155426</v>
      </c>
      <c r="C3881" s="19" t="s">
        <v>3853</v>
      </c>
      <c r="D3881" s="19" t="s">
        <v>19308</v>
      </c>
      <c r="E3881" s="19" t="s">
        <v>32225</v>
      </c>
      <c r="F3881" s="19" t="s">
        <v>35988</v>
      </c>
      <c r="G3881" s="18" t="str">
        <f>"47804"</f>
        <v>47804</v>
      </c>
      <c r="H3881" s="19" t="s">
        <v>36257</v>
      </c>
      <c r="I3881" s="20">
        <v>18.78</v>
      </c>
      <c r="J3881" s="44" t="s">
        <v>8</v>
      </c>
      <c r="K3881" s="23" t="s">
        <v>8</v>
      </c>
      <c r="L3881" s="23" t="s">
        <v>8</v>
      </c>
      <c r="M3881" s="23" t="s">
        <v>8</v>
      </c>
    </row>
    <row r="3882" spans="1:13" s="21" customFormat="1" x14ac:dyDescent="0.25">
      <c r="A3882" s="22" t="s">
        <v>8</v>
      </c>
      <c r="B3882" s="18" t="str">
        <f>"155427"</f>
        <v>155427</v>
      </c>
      <c r="C3882" s="19" t="s">
        <v>3854</v>
      </c>
      <c r="D3882" s="19" t="s">
        <v>19309</v>
      </c>
      <c r="E3882" s="19" t="s">
        <v>30899</v>
      </c>
      <c r="F3882" s="19" t="s">
        <v>35988</v>
      </c>
      <c r="G3882" s="18" t="str">
        <f>"47250"</f>
        <v>47250</v>
      </c>
      <c r="H3882" s="19" t="s">
        <v>32391</v>
      </c>
      <c r="I3882" s="20">
        <v>18.396000000000001</v>
      </c>
      <c r="J3882" s="44" t="s">
        <v>8</v>
      </c>
      <c r="K3882" s="23" t="s">
        <v>8</v>
      </c>
      <c r="L3882" s="23" t="s">
        <v>8</v>
      </c>
      <c r="M3882" s="23" t="s">
        <v>8</v>
      </c>
    </row>
    <row r="3883" spans="1:13" s="21" customFormat="1" x14ac:dyDescent="0.25">
      <c r="A3883" s="22" t="s">
        <v>8</v>
      </c>
      <c r="B3883" s="18" t="str">
        <f>"155428"</f>
        <v>155428</v>
      </c>
      <c r="C3883" s="19" t="s">
        <v>3855</v>
      </c>
      <c r="D3883" s="19" t="s">
        <v>19310</v>
      </c>
      <c r="E3883" s="19" t="s">
        <v>32200</v>
      </c>
      <c r="F3883" s="19" t="s">
        <v>35988</v>
      </c>
      <c r="G3883" s="18" t="str">
        <f>"46225"</f>
        <v>46225</v>
      </c>
      <c r="H3883" s="19" t="s">
        <v>30850</v>
      </c>
      <c r="I3883" s="20">
        <v>17.875</v>
      </c>
      <c r="J3883" s="44" t="s">
        <v>8</v>
      </c>
      <c r="K3883" s="23" t="s">
        <v>8</v>
      </c>
      <c r="L3883" s="23" t="s">
        <v>8</v>
      </c>
      <c r="M3883" s="23" t="s">
        <v>8</v>
      </c>
    </row>
    <row r="3884" spans="1:13" s="21" customFormat="1" x14ac:dyDescent="0.25">
      <c r="A3884" s="22" t="s">
        <v>8</v>
      </c>
      <c r="B3884" s="18" t="str">
        <f>"155430"</f>
        <v>155430</v>
      </c>
      <c r="C3884" s="19" t="s">
        <v>3856</v>
      </c>
      <c r="D3884" s="19" t="s">
        <v>19311</v>
      </c>
      <c r="E3884" s="19" t="s">
        <v>32267</v>
      </c>
      <c r="F3884" s="19" t="s">
        <v>35988</v>
      </c>
      <c r="G3884" s="18" t="str">
        <f>"46975"</f>
        <v>46975</v>
      </c>
      <c r="H3884" s="19" t="s">
        <v>32194</v>
      </c>
      <c r="I3884" s="20">
        <v>17.853000000000002</v>
      </c>
      <c r="J3884" s="44" t="s">
        <v>8</v>
      </c>
      <c r="K3884" s="23" t="s">
        <v>8</v>
      </c>
      <c r="L3884" s="23" t="s">
        <v>8</v>
      </c>
      <c r="M3884" s="23" t="s">
        <v>8</v>
      </c>
    </row>
    <row r="3885" spans="1:13" s="21" customFormat="1" x14ac:dyDescent="0.25">
      <c r="A3885" s="22" t="s">
        <v>8</v>
      </c>
      <c r="B3885" s="18" t="str">
        <f>"155432"</f>
        <v>155432</v>
      </c>
      <c r="C3885" s="19" t="s">
        <v>3857</v>
      </c>
      <c r="D3885" s="19" t="s">
        <v>19312</v>
      </c>
      <c r="E3885" s="19" t="s">
        <v>31834</v>
      </c>
      <c r="F3885" s="19" t="s">
        <v>35988</v>
      </c>
      <c r="G3885" s="18" t="str">
        <f>"47320"</f>
        <v>47320</v>
      </c>
      <c r="H3885" s="19" t="s">
        <v>34462</v>
      </c>
      <c r="I3885" s="20">
        <v>15.965999999999999</v>
      </c>
      <c r="J3885" s="44" t="s">
        <v>8</v>
      </c>
      <c r="K3885" s="23" t="s">
        <v>8</v>
      </c>
      <c r="L3885" s="23" t="s">
        <v>8</v>
      </c>
      <c r="M3885" s="23" t="s">
        <v>8</v>
      </c>
    </row>
    <row r="3886" spans="1:13" s="21" customFormat="1" x14ac:dyDescent="0.25">
      <c r="A3886" s="22" t="s">
        <v>8</v>
      </c>
      <c r="B3886" s="18" t="str">
        <f>"155434"</f>
        <v>155434</v>
      </c>
      <c r="C3886" s="19" t="s">
        <v>3858</v>
      </c>
      <c r="D3886" s="19" t="s">
        <v>19313</v>
      </c>
      <c r="E3886" s="19" t="s">
        <v>32199</v>
      </c>
      <c r="F3886" s="19" t="s">
        <v>35988</v>
      </c>
      <c r="G3886" s="18" t="str">
        <f>"47331"</f>
        <v>47331</v>
      </c>
      <c r="H3886" s="19" t="s">
        <v>30805</v>
      </c>
      <c r="I3886" s="20">
        <v>18.021999999999998</v>
      </c>
      <c r="J3886" s="44" t="s">
        <v>8</v>
      </c>
      <c r="K3886" s="23" t="s">
        <v>8</v>
      </c>
      <c r="L3886" s="23" t="s">
        <v>8</v>
      </c>
      <c r="M3886" s="23" t="s">
        <v>8</v>
      </c>
    </row>
    <row r="3887" spans="1:13" s="21" customFormat="1" x14ac:dyDescent="0.25">
      <c r="A3887" s="22" t="s">
        <v>8</v>
      </c>
      <c r="B3887" s="18" t="str">
        <f>"155436"</f>
        <v>155436</v>
      </c>
      <c r="C3887" s="19" t="s">
        <v>3859</v>
      </c>
      <c r="D3887" s="19" t="s">
        <v>19314</v>
      </c>
      <c r="E3887" s="19" t="s">
        <v>32272</v>
      </c>
      <c r="F3887" s="19" t="s">
        <v>35988</v>
      </c>
      <c r="G3887" s="18" t="str">
        <f>"46996"</f>
        <v>46996</v>
      </c>
      <c r="H3887" s="19" t="s">
        <v>31795</v>
      </c>
      <c r="I3887" s="20">
        <v>20.311</v>
      </c>
      <c r="J3887" s="44" t="s">
        <v>8</v>
      </c>
      <c r="K3887" s="23" t="s">
        <v>8</v>
      </c>
      <c r="L3887" s="23" t="s">
        <v>8</v>
      </c>
      <c r="M3887" s="23" t="s">
        <v>8</v>
      </c>
    </row>
    <row r="3888" spans="1:13" s="21" customFormat="1" x14ac:dyDescent="0.25">
      <c r="A3888" s="22" t="s">
        <v>8</v>
      </c>
      <c r="B3888" s="18" t="str">
        <f>"155441"</f>
        <v>155441</v>
      </c>
      <c r="C3888" s="19" t="s">
        <v>3860</v>
      </c>
      <c r="D3888" s="19" t="s">
        <v>19315</v>
      </c>
      <c r="E3888" s="19" t="s">
        <v>32258</v>
      </c>
      <c r="F3888" s="19" t="s">
        <v>35988</v>
      </c>
      <c r="G3888" s="18" t="str">
        <f>"47112"</f>
        <v>47112</v>
      </c>
      <c r="H3888" s="19" t="s">
        <v>31020</v>
      </c>
      <c r="I3888" s="20">
        <v>18.934000000000001</v>
      </c>
      <c r="J3888" s="44" t="s">
        <v>8</v>
      </c>
      <c r="K3888" s="23" t="s">
        <v>8</v>
      </c>
      <c r="L3888" s="23" t="s">
        <v>8</v>
      </c>
      <c r="M3888" s="23" t="s">
        <v>8</v>
      </c>
    </row>
    <row r="3889" spans="1:13" s="21" customFormat="1" x14ac:dyDescent="0.25">
      <c r="A3889" s="22" t="s">
        <v>8</v>
      </c>
      <c r="B3889" s="18" t="str">
        <f>"155442"</f>
        <v>155442</v>
      </c>
      <c r="C3889" s="19" t="s">
        <v>3861</v>
      </c>
      <c r="D3889" s="19" t="s">
        <v>19316</v>
      </c>
      <c r="E3889" s="19" t="s">
        <v>5</v>
      </c>
      <c r="F3889" s="19" t="s">
        <v>35988</v>
      </c>
      <c r="G3889" s="18" t="str">
        <f>"46131"</f>
        <v>46131</v>
      </c>
      <c r="H3889" s="19" t="s">
        <v>36072</v>
      </c>
      <c r="I3889" s="20">
        <v>19.413</v>
      </c>
      <c r="J3889" s="44" t="s">
        <v>8</v>
      </c>
      <c r="K3889" s="23" t="s">
        <v>8</v>
      </c>
      <c r="L3889" s="23" t="s">
        <v>8</v>
      </c>
      <c r="M3889" s="23" t="s">
        <v>8</v>
      </c>
    </row>
    <row r="3890" spans="1:13" s="21" customFormat="1" x14ac:dyDescent="0.25">
      <c r="A3890" s="22" t="s">
        <v>8</v>
      </c>
      <c r="B3890" s="18" t="str">
        <f>"155443"</f>
        <v>155443</v>
      </c>
      <c r="C3890" s="19" t="s">
        <v>3862</v>
      </c>
      <c r="D3890" s="19" t="s">
        <v>19317</v>
      </c>
      <c r="E3890" s="19" t="s">
        <v>32205</v>
      </c>
      <c r="F3890" s="19" t="s">
        <v>35988</v>
      </c>
      <c r="G3890" s="18" t="str">
        <f>"47303"</f>
        <v>47303</v>
      </c>
      <c r="H3890" s="19" t="s">
        <v>34462</v>
      </c>
      <c r="I3890" s="20">
        <v>16.189</v>
      </c>
      <c r="J3890" s="44" t="s">
        <v>8</v>
      </c>
      <c r="K3890" s="23" t="s">
        <v>8</v>
      </c>
      <c r="L3890" s="23" t="s">
        <v>8</v>
      </c>
      <c r="M3890" s="23" t="s">
        <v>8</v>
      </c>
    </row>
    <row r="3891" spans="1:13" s="21" customFormat="1" x14ac:dyDescent="0.25">
      <c r="A3891" s="22" t="s">
        <v>8</v>
      </c>
      <c r="B3891" s="18" t="str">
        <f>"155444"</f>
        <v>155444</v>
      </c>
      <c r="C3891" s="19" t="s">
        <v>3863</v>
      </c>
      <c r="D3891" s="19" t="s">
        <v>19318</v>
      </c>
      <c r="E3891" s="19" t="s">
        <v>32207</v>
      </c>
      <c r="F3891" s="19" t="s">
        <v>35988</v>
      </c>
      <c r="G3891" s="18" t="str">
        <f>"46750"</f>
        <v>46750</v>
      </c>
      <c r="H3891" s="19" t="s">
        <v>32207</v>
      </c>
      <c r="I3891" s="20">
        <v>21.757999999999999</v>
      </c>
      <c r="J3891" s="44" t="s">
        <v>8</v>
      </c>
      <c r="K3891" s="23" t="s">
        <v>8</v>
      </c>
      <c r="L3891" s="23" t="s">
        <v>8</v>
      </c>
      <c r="M3891" s="23" t="s">
        <v>8</v>
      </c>
    </row>
    <row r="3892" spans="1:13" s="21" customFormat="1" x14ac:dyDescent="0.25">
      <c r="A3892" s="22" t="s">
        <v>8</v>
      </c>
      <c r="B3892" s="18" t="str">
        <f>"155446"</f>
        <v>155446</v>
      </c>
      <c r="C3892" s="19" t="s">
        <v>3864</v>
      </c>
      <c r="D3892" s="19" t="s">
        <v>19319</v>
      </c>
      <c r="E3892" s="19" t="s">
        <v>32214</v>
      </c>
      <c r="F3892" s="19" t="s">
        <v>35988</v>
      </c>
      <c r="G3892" s="18" t="str">
        <f>"46804"</f>
        <v>46804</v>
      </c>
      <c r="H3892" s="19" t="s">
        <v>34710</v>
      </c>
      <c r="I3892" s="20">
        <v>19.805</v>
      </c>
      <c r="J3892" s="44" t="s">
        <v>8</v>
      </c>
      <c r="K3892" s="23" t="s">
        <v>8</v>
      </c>
      <c r="L3892" s="23" t="s">
        <v>8</v>
      </c>
      <c r="M3892" s="23" t="s">
        <v>8</v>
      </c>
    </row>
    <row r="3893" spans="1:13" s="21" customFormat="1" x14ac:dyDescent="0.25">
      <c r="A3893" s="22" t="s">
        <v>8</v>
      </c>
      <c r="B3893" s="18" t="str">
        <f>"155448"</f>
        <v>155448</v>
      </c>
      <c r="C3893" s="19" t="s">
        <v>3865</v>
      </c>
      <c r="D3893" s="19" t="s">
        <v>19320</v>
      </c>
      <c r="E3893" s="19" t="s">
        <v>32273</v>
      </c>
      <c r="F3893" s="19" t="s">
        <v>35988</v>
      </c>
      <c r="G3893" s="18" t="str">
        <f>"46356"</f>
        <v>46356</v>
      </c>
      <c r="H3893" s="19" t="s">
        <v>36096</v>
      </c>
      <c r="I3893" s="20">
        <v>19.574000000000002</v>
      </c>
      <c r="J3893" s="44" t="s">
        <v>8</v>
      </c>
      <c r="K3893" s="23" t="s">
        <v>8</v>
      </c>
      <c r="L3893" s="23" t="s">
        <v>8</v>
      </c>
      <c r="M3893" s="23" t="s">
        <v>8</v>
      </c>
    </row>
    <row r="3894" spans="1:13" s="21" customFormat="1" x14ac:dyDescent="0.25">
      <c r="A3894" s="22" t="s">
        <v>8</v>
      </c>
      <c r="B3894" s="18" t="str">
        <f>"155449"</f>
        <v>155449</v>
      </c>
      <c r="C3894" s="19" t="s">
        <v>3866</v>
      </c>
      <c r="D3894" s="19" t="s">
        <v>19321</v>
      </c>
      <c r="E3894" s="19" t="s">
        <v>32274</v>
      </c>
      <c r="F3894" s="19" t="s">
        <v>35988</v>
      </c>
      <c r="G3894" s="18" t="str">
        <f>"46703"</f>
        <v>46703</v>
      </c>
      <c r="H3894" s="19" t="s">
        <v>36262</v>
      </c>
      <c r="I3894" s="20">
        <v>19.405000000000001</v>
      </c>
      <c r="J3894" s="44" t="s">
        <v>8</v>
      </c>
      <c r="K3894" s="23" t="s">
        <v>8</v>
      </c>
      <c r="L3894" s="23" t="s">
        <v>8</v>
      </c>
      <c r="M3894" s="23" t="s">
        <v>8</v>
      </c>
    </row>
    <row r="3895" spans="1:13" s="21" customFormat="1" x14ac:dyDescent="0.25">
      <c r="A3895" s="22" t="s">
        <v>8</v>
      </c>
      <c r="B3895" s="18" t="str">
        <f>"155455"</f>
        <v>155455</v>
      </c>
      <c r="C3895" s="19" t="s">
        <v>3867</v>
      </c>
      <c r="D3895" s="19" t="s">
        <v>19322</v>
      </c>
      <c r="E3895" s="19" t="s">
        <v>30850</v>
      </c>
      <c r="F3895" s="19" t="s">
        <v>35988</v>
      </c>
      <c r="G3895" s="18" t="str">
        <f>"46953"</f>
        <v>46953</v>
      </c>
      <c r="H3895" s="19" t="s">
        <v>36078</v>
      </c>
      <c r="I3895" s="20">
        <v>17.666</v>
      </c>
      <c r="J3895" s="44" t="s">
        <v>8</v>
      </c>
      <c r="K3895" s="23" t="s">
        <v>8</v>
      </c>
      <c r="L3895" s="23" t="s">
        <v>8</v>
      </c>
      <c r="M3895" s="23" t="s">
        <v>8</v>
      </c>
    </row>
    <row r="3896" spans="1:13" s="21" customFormat="1" x14ac:dyDescent="0.25">
      <c r="A3896" s="22" t="s">
        <v>8</v>
      </c>
      <c r="B3896" s="18" t="str">
        <f>"155458"</f>
        <v>155458</v>
      </c>
      <c r="C3896" s="19" t="s">
        <v>3868</v>
      </c>
      <c r="D3896" s="19" t="s">
        <v>19323</v>
      </c>
      <c r="E3896" s="19" t="s">
        <v>31280</v>
      </c>
      <c r="F3896" s="19" t="s">
        <v>35988</v>
      </c>
      <c r="G3896" s="18" t="str">
        <f>"46322"</f>
        <v>46322</v>
      </c>
      <c r="H3896" s="19" t="s">
        <v>36096</v>
      </c>
      <c r="I3896" s="20">
        <v>20.395</v>
      </c>
      <c r="J3896" s="44" t="s">
        <v>8</v>
      </c>
      <c r="K3896" s="23" t="s">
        <v>8</v>
      </c>
      <c r="L3896" s="23" t="s">
        <v>8</v>
      </c>
      <c r="M3896" s="23" t="s">
        <v>8</v>
      </c>
    </row>
    <row r="3897" spans="1:13" s="21" customFormat="1" x14ac:dyDescent="0.25">
      <c r="A3897" s="22" t="s">
        <v>8</v>
      </c>
      <c r="B3897" s="18" t="str">
        <f>"155459"</f>
        <v>155459</v>
      </c>
      <c r="C3897" s="19" t="s">
        <v>3869</v>
      </c>
      <c r="D3897" s="19" t="s">
        <v>19324</v>
      </c>
      <c r="E3897" s="19" t="s">
        <v>31498</v>
      </c>
      <c r="F3897" s="19" t="s">
        <v>35988</v>
      </c>
      <c r="G3897" s="18" t="str">
        <f>"47362"</f>
        <v>47362</v>
      </c>
      <c r="H3897" s="19" t="s">
        <v>32041</v>
      </c>
      <c r="I3897" s="20">
        <v>17.603000000000002</v>
      </c>
      <c r="J3897" s="44" t="s">
        <v>8</v>
      </c>
      <c r="K3897" s="23" t="s">
        <v>8</v>
      </c>
      <c r="L3897" s="23" t="s">
        <v>8</v>
      </c>
      <c r="M3897" s="23" t="s">
        <v>8</v>
      </c>
    </row>
    <row r="3898" spans="1:13" s="21" customFormat="1" x14ac:dyDescent="0.25">
      <c r="A3898" s="22" t="s">
        <v>8</v>
      </c>
      <c r="B3898" s="18" t="str">
        <f>"155461"</f>
        <v>155461</v>
      </c>
      <c r="C3898" s="19" t="s">
        <v>3870</v>
      </c>
      <c r="D3898" s="19" t="s">
        <v>19325</v>
      </c>
      <c r="E3898" s="19" t="s">
        <v>31500</v>
      </c>
      <c r="F3898" s="19" t="s">
        <v>35988</v>
      </c>
      <c r="G3898" s="18" t="str">
        <f>"47501"</f>
        <v>47501</v>
      </c>
      <c r="H3898" s="19" t="s">
        <v>36258</v>
      </c>
      <c r="I3898" s="20">
        <v>20.103000000000002</v>
      </c>
      <c r="J3898" s="44" t="s">
        <v>8</v>
      </c>
      <c r="K3898" s="23" t="s">
        <v>8</v>
      </c>
      <c r="L3898" s="23" t="s">
        <v>8</v>
      </c>
      <c r="M3898" s="23" t="s">
        <v>8</v>
      </c>
    </row>
    <row r="3899" spans="1:13" s="21" customFormat="1" x14ac:dyDescent="0.25">
      <c r="A3899" s="22" t="s">
        <v>8</v>
      </c>
      <c r="B3899" s="18" t="str">
        <f>"155462"</f>
        <v>155462</v>
      </c>
      <c r="C3899" s="19" t="s">
        <v>3871</v>
      </c>
      <c r="D3899" s="19" t="s">
        <v>19326</v>
      </c>
      <c r="E3899" s="19" t="s">
        <v>32275</v>
      </c>
      <c r="F3899" s="19" t="s">
        <v>35988</v>
      </c>
      <c r="G3899" s="18" t="str">
        <f>"47043"</f>
        <v>47043</v>
      </c>
      <c r="H3899" s="19" t="s">
        <v>36263</v>
      </c>
      <c r="I3899" s="20">
        <v>19.04</v>
      </c>
      <c r="J3899" s="44" t="s">
        <v>8</v>
      </c>
      <c r="K3899" s="23" t="s">
        <v>8</v>
      </c>
      <c r="L3899" s="23" t="s">
        <v>8</v>
      </c>
      <c r="M3899" s="23" t="s">
        <v>8</v>
      </c>
    </row>
    <row r="3900" spans="1:13" s="21" customFormat="1" x14ac:dyDescent="0.25">
      <c r="A3900" s="22" t="s">
        <v>8</v>
      </c>
      <c r="B3900" s="18" t="str">
        <f>"155464"</f>
        <v>155464</v>
      </c>
      <c r="C3900" s="19" t="s">
        <v>3872</v>
      </c>
      <c r="D3900" s="19" t="s">
        <v>19327</v>
      </c>
      <c r="E3900" s="19" t="s">
        <v>31421</v>
      </c>
      <c r="F3900" s="19" t="s">
        <v>35988</v>
      </c>
      <c r="G3900" s="18" t="str">
        <f>"47872"</f>
        <v>47872</v>
      </c>
      <c r="H3900" s="19" t="s">
        <v>36264</v>
      </c>
      <c r="I3900" s="20">
        <v>20.878</v>
      </c>
      <c r="J3900" s="44" t="s">
        <v>8</v>
      </c>
      <c r="K3900" s="23" t="s">
        <v>8</v>
      </c>
      <c r="L3900" s="23" t="s">
        <v>8</v>
      </c>
      <c r="M3900" s="23" t="s">
        <v>8</v>
      </c>
    </row>
    <row r="3901" spans="1:13" s="21" customFormat="1" x14ac:dyDescent="0.25">
      <c r="A3901" s="22" t="s">
        <v>8</v>
      </c>
      <c r="B3901" s="18" t="str">
        <f>"155468"</f>
        <v>155468</v>
      </c>
      <c r="C3901" s="19" t="s">
        <v>3873</v>
      </c>
      <c r="D3901" s="19" t="s">
        <v>19328</v>
      </c>
      <c r="E3901" s="19" t="s">
        <v>31976</v>
      </c>
      <c r="F3901" s="19" t="s">
        <v>35988</v>
      </c>
      <c r="G3901" s="18" t="str">
        <f>"47882"</f>
        <v>47882</v>
      </c>
      <c r="H3901" s="19" t="s">
        <v>31976</v>
      </c>
      <c r="I3901" s="20">
        <v>17.379000000000001</v>
      </c>
      <c r="J3901" s="44" t="s">
        <v>8</v>
      </c>
      <c r="K3901" s="23" t="s">
        <v>8</v>
      </c>
      <c r="L3901" s="23" t="s">
        <v>8</v>
      </c>
      <c r="M3901" s="23" t="s">
        <v>8</v>
      </c>
    </row>
    <row r="3902" spans="1:13" s="21" customFormat="1" x14ac:dyDescent="0.25">
      <c r="A3902" s="22" t="s">
        <v>8</v>
      </c>
      <c r="B3902" s="18" t="str">
        <f>"155469"</f>
        <v>155469</v>
      </c>
      <c r="C3902" s="19" t="s">
        <v>3874</v>
      </c>
      <c r="D3902" s="19" t="s">
        <v>19329</v>
      </c>
      <c r="E3902" s="19" t="s">
        <v>32244</v>
      </c>
      <c r="F3902" s="19" t="s">
        <v>35988</v>
      </c>
      <c r="G3902" s="18" t="str">
        <f>"46342"</f>
        <v>46342</v>
      </c>
      <c r="H3902" s="19" t="s">
        <v>36096</v>
      </c>
      <c r="I3902" s="20">
        <v>22.49</v>
      </c>
      <c r="J3902" s="44" t="s">
        <v>8</v>
      </c>
      <c r="K3902" s="23" t="s">
        <v>8</v>
      </c>
      <c r="L3902" s="23" t="s">
        <v>8</v>
      </c>
      <c r="M3902" s="23" t="s">
        <v>8</v>
      </c>
    </row>
    <row r="3903" spans="1:13" s="21" customFormat="1" x14ac:dyDescent="0.25">
      <c r="A3903" s="22" t="s">
        <v>8</v>
      </c>
      <c r="B3903" s="18" t="str">
        <f>"155471"</f>
        <v>155471</v>
      </c>
      <c r="C3903" s="19" t="s">
        <v>3875</v>
      </c>
      <c r="D3903" s="19" t="s">
        <v>19330</v>
      </c>
      <c r="E3903" s="19" t="s">
        <v>31715</v>
      </c>
      <c r="F3903" s="19" t="s">
        <v>35988</v>
      </c>
      <c r="G3903" s="18" t="str">
        <f>"47203"</f>
        <v>47203</v>
      </c>
      <c r="H3903" s="19" t="s">
        <v>36255</v>
      </c>
      <c r="I3903" s="20">
        <v>19.402999999999999</v>
      </c>
      <c r="J3903" s="44" t="s">
        <v>8</v>
      </c>
      <c r="K3903" s="23" t="s">
        <v>8</v>
      </c>
      <c r="L3903" s="23" t="s">
        <v>8</v>
      </c>
      <c r="M3903" s="23" t="s">
        <v>8</v>
      </c>
    </row>
    <row r="3904" spans="1:13" s="21" customFormat="1" x14ac:dyDescent="0.25">
      <c r="A3904" s="22" t="s">
        <v>8</v>
      </c>
      <c r="B3904" s="18" t="str">
        <f>"155472"</f>
        <v>155472</v>
      </c>
      <c r="C3904" s="19" t="s">
        <v>3876</v>
      </c>
      <c r="D3904" s="19" t="s">
        <v>19331</v>
      </c>
      <c r="E3904" s="19" t="s">
        <v>32200</v>
      </c>
      <c r="F3904" s="19" t="s">
        <v>35988</v>
      </c>
      <c r="G3904" s="18" t="str">
        <f>"46268"</f>
        <v>46268</v>
      </c>
      <c r="H3904" s="19" t="s">
        <v>30850</v>
      </c>
      <c r="I3904" s="20">
        <v>17.024999999999999</v>
      </c>
      <c r="J3904" s="44" t="s">
        <v>8</v>
      </c>
      <c r="K3904" s="23" t="s">
        <v>8</v>
      </c>
      <c r="L3904" s="23" t="s">
        <v>8</v>
      </c>
      <c r="M3904" s="23" t="s">
        <v>8</v>
      </c>
    </row>
    <row r="3905" spans="1:13" s="21" customFormat="1" x14ac:dyDescent="0.25">
      <c r="A3905" s="22" t="s">
        <v>8</v>
      </c>
      <c r="B3905" s="18" t="str">
        <f>"155473"</f>
        <v>155473</v>
      </c>
      <c r="C3905" s="19" t="s">
        <v>3877</v>
      </c>
      <c r="D3905" s="19" t="s">
        <v>19332</v>
      </c>
      <c r="E3905" s="19" t="s">
        <v>32276</v>
      </c>
      <c r="F3905" s="19" t="s">
        <v>35988</v>
      </c>
      <c r="G3905" s="18" t="str">
        <f>"46711"</f>
        <v>46711</v>
      </c>
      <c r="H3905" s="19" t="s">
        <v>33467</v>
      </c>
      <c r="I3905" s="20">
        <v>19.391999999999999</v>
      </c>
      <c r="J3905" s="44" t="s">
        <v>8</v>
      </c>
      <c r="K3905" s="23" t="s">
        <v>8</v>
      </c>
      <c r="L3905" s="23" t="s">
        <v>8</v>
      </c>
      <c r="M3905" s="23" t="s">
        <v>8</v>
      </c>
    </row>
    <row r="3906" spans="1:13" s="21" customFormat="1" x14ac:dyDescent="0.25">
      <c r="A3906" s="22" t="s">
        <v>8</v>
      </c>
      <c r="B3906" s="18" t="str">
        <f>"155474"</f>
        <v>155474</v>
      </c>
      <c r="C3906" s="19" t="s">
        <v>3878</v>
      </c>
      <c r="D3906" s="19" t="s">
        <v>19333</v>
      </c>
      <c r="E3906" s="19" t="s">
        <v>31771</v>
      </c>
      <c r="F3906" s="19" t="s">
        <v>35988</v>
      </c>
      <c r="G3906" s="18" t="str">
        <f>"46506"</f>
        <v>46506</v>
      </c>
      <c r="H3906" s="19" t="s">
        <v>31063</v>
      </c>
      <c r="I3906" s="20">
        <v>16.477</v>
      </c>
      <c r="J3906" s="44" t="s">
        <v>8</v>
      </c>
      <c r="K3906" s="23" t="s">
        <v>8</v>
      </c>
      <c r="L3906" s="23" t="s">
        <v>8</v>
      </c>
      <c r="M3906" s="23" t="s">
        <v>8</v>
      </c>
    </row>
    <row r="3907" spans="1:13" s="21" customFormat="1" x14ac:dyDescent="0.25">
      <c r="A3907" s="22" t="s">
        <v>8</v>
      </c>
      <c r="B3907" s="18" t="str">
        <f>"155475"</f>
        <v>155475</v>
      </c>
      <c r="C3907" s="19" t="s">
        <v>3879</v>
      </c>
      <c r="D3907" s="19" t="s">
        <v>19334</v>
      </c>
      <c r="E3907" s="19" t="s">
        <v>32214</v>
      </c>
      <c r="F3907" s="19" t="s">
        <v>35988</v>
      </c>
      <c r="G3907" s="18" t="str">
        <f>"46825"</f>
        <v>46825</v>
      </c>
      <c r="H3907" s="19" t="s">
        <v>34710</v>
      </c>
      <c r="I3907" s="20">
        <v>16.789000000000001</v>
      </c>
      <c r="J3907" s="44" t="s">
        <v>8</v>
      </c>
      <c r="K3907" s="23" t="s">
        <v>8</v>
      </c>
      <c r="L3907" s="23" t="s">
        <v>8</v>
      </c>
      <c r="M3907" s="23" t="s">
        <v>8</v>
      </c>
    </row>
    <row r="3908" spans="1:13" s="21" customFormat="1" x14ac:dyDescent="0.25">
      <c r="A3908" s="22" t="s">
        <v>8</v>
      </c>
      <c r="B3908" s="18" t="str">
        <f>"155477"</f>
        <v>155477</v>
      </c>
      <c r="C3908" s="19" t="s">
        <v>3880</v>
      </c>
      <c r="D3908" s="19" t="s">
        <v>19335</v>
      </c>
      <c r="E3908" s="19" t="s">
        <v>32246</v>
      </c>
      <c r="F3908" s="19" t="s">
        <v>35988</v>
      </c>
      <c r="G3908" s="18" t="str">
        <f>"47933"</f>
        <v>47933</v>
      </c>
      <c r="H3908" s="19" t="s">
        <v>30833</v>
      </c>
      <c r="I3908" s="20">
        <v>19.062999999999999</v>
      </c>
      <c r="J3908" s="44" t="s">
        <v>8</v>
      </c>
      <c r="K3908" s="23" t="s">
        <v>8</v>
      </c>
      <c r="L3908" s="23" t="s">
        <v>8</v>
      </c>
      <c r="M3908" s="23" t="s">
        <v>8</v>
      </c>
    </row>
    <row r="3909" spans="1:13" s="21" customFormat="1" x14ac:dyDescent="0.25">
      <c r="A3909" s="22" t="s">
        <v>8</v>
      </c>
      <c r="B3909" s="18" t="str">
        <f>"155478"</f>
        <v>155478</v>
      </c>
      <c r="C3909" s="19" t="s">
        <v>3881</v>
      </c>
      <c r="D3909" s="19" t="s">
        <v>19336</v>
      </c>
      <c r="E3909" s="19" t="s">
        <v>30854</v>
      </c>
      <c r="F3909" s="19" t="s">
        <v>35988</v>
      </c>
      <c r="G3909" s="18" t="str">
        <f>"47546"</f>
        <v>47546</v>
      </c>
      <c r="H3909" s="19" t="s">
        <v>34787</v>
      </c>
      <c r="I3909" s="20">
        <v>16.97</v>
      </c>
      <c r="J3909" s="44" t="s">
        <v>8</v>
      </c>
      <c r="K3909" s="23" t="s">
        <v>8</v>
      </c>
      <c r="L3909" s="23" t="s">
        <v>8</v>
      </c>
      <c r="M3909" s="23" t="s">
        <v>8</v>
      </c>
    </row>
    <row r="3910" spans="1:13" s="21" customFormat="1" x14ac:dyDescent="0.25">
      <c r="A3910" s="22" t="s">
        <v>8</v>
      </c>
      <c r="B3910" s="18" t="str">
        <f>"155479"</f>
        <v>155479</v>
      </c>
      <c r="C3910" s="19" t="s">
        <v>3882</v>
      </c>
      <c r="D3910" s="19" t="s">
        <v>19337</v>
      </c>
      <c r="E3910" s="19" t="s">
        <v>32214</v>
      </c>
      <c r="F3910" s="19" t="s">
        <v>35988</v>
      </c>
      <c r="G3910" s="18" t="str">
        <f>"46825"</f>
        <v>46825</v>
      </c>
      <c r="H3910" s="19" t="s">
        <v>34710</v>
      </c>
      <c r="I3910" s="20">
        <v>18.027999999999999</v>
      </c>
      <c r="J3910" s="44" t="s">
        <v>8</v>
      </c>
      <c r="K3910" s="23" t="s">
        <v>8</v>
      </c>
      <c r="L3910" s="23" t="s">
        <v>8</v>
      </c>
      <c r="M3910" s="23" t="s">
        <v>8</v>
      </c>
    </row>
    <row r="3911" spans="1:13" s="21" customFormat="1" x14ac:dyDescent="0.25">
      <c r="A3911" s="22" t="s">
        <v>8</v>
      </c>
      <c r="B3911" s="18" t="str">
        <f>"155480"</f>
        <v>155480</v>
      </c>
      <c r="C3911" s="19" t="s">
        <v>3883</v>
      </c>
      <c r="D3911" s="19" t="s">
        <v>19338</v>
      </c>
      <c r="E3911" s="19" t="s">
        <v>32277</v>
      </c>
      <c r="F3911" s="19" t="s">
        <v>35988</v>
      </c>
      <c r="G3911" s="18" t="str">
        <f>"47012"</f>
        <v>47012</v>
      </c>
      <c r="H3911" s="19" t="s">
        <v>5</v>
      </c>
      <c r="I3911" s="20">
        <v>18.609000000000002</v>
      </c>
      <c r="J3911" s="44" t="s">
        <v>8</v>
      </c>
      <c r="K3911" s="23" t="s">
        <v>8</v>
      </c>
      <c r="L3911" s="23" t="s">
        <v>8</v>
      </c>
      <c r="M3911" s="23" t="s">
        <v>8</v>
      </c>
    </row>
    <row r="3912" spans="1:13" s="21" customFormat="1" x14ac:dyDescent="0.25">
      <c r="A3912" s="22" t="s">
        <v>8</v>
      </c>
      <c r="B3912" s="18" t="str">
        <f>"155481"</f>
        <v>155481</v>
      </c>
      <c r="C3912" s="19" t="s">
        <v>3884</v>
      </c>
      <c r="D3912" s="19" t="s">
        <v>19339</v>
      </c>
      <c r="E3912" s="19" t="s">
        <v>31178</v>
      </c>
      <c r="F3912" s="19" t="s">
        <v>35988</v>
      </c>
      <c r="G3912" s="18" t="str">
        <f>"47374"</f>
        <v>47374</v>
      </c>
      <c r="H3912" s="19" t="s">
        <v>33280</v>
      </c>
      <c r="I3912" s="20">
        <v>14.332000000000001</v>
      </c>
      <c r="J3912" s="44" t="s">
        <v>8</v>
      </c>
      <c r="K3912" s="23" t="s">
        <v>8</v>
      </c>
      <c r="L3912" s="23" t="s">
        <v>8</v>
      </c>
      <c r="M3912" s="23" t="s">
        <v>8</v>
      </c>
    </row>
    <row r="3913" spans="1:13" s="21" customFormat="1" x14ac:dyDescent="0.25">
      <c r="A3913" s="22" t="s">
        <v>8</v>
      </c>
      <c r="B3913" s="18" t="str">
        <f>"155482"</f>
        <v>155482</v>
      </c>
      <c r="C3913" s="19" t="s">
        <v>3885</v>
      </c>
      <c r="D3913" s="19" t="s">
        <v>19340</v>
      </c>
      <c r="E3913" s="19" t="s">
        <v>32269</v>
      </c>
      <c r="F3913" s="19" t="s">
        <v>35988</v>
      </c>
      <c r="G3913" s="18" t="str">
        <f>"46755"</f>
        <v>46755</v>
      </c>
      <c r="H3913" s="19" t="s">
        <v>34672</v>
      </c>
      <c r="I3913" s="20">
        <v>20.38</v>
      </c>
      <c r="J3913" s="44" t="s">
        <v>8</v>
      </c>
      <c r="K3913" s="23" t="s">
        <v>8</v>
      </c>
      <c r="L3913" s="23" t="s">
        <v>8</v>
      </c>
      <c r="M3913" s="23" t="s">
        <v>8</v>
      </c>
    </row>
    <row r="3914" spans="1:13" s="21" customFormat="1" x14ac:dyDescent="0.25">
      <c r="A3914" s="22" t="s">
        <v>8</v>
      </c>
      <c r="B3914" s="18" t="str">
        <f>"155483"</f>
        <v>155483</v>
      </c>
      <c r="C3914" s="19" t="s">
        <v>3886</v>
      </c>
      <c r="D3914" s="19" t="s">
        <v>19341</v>
      </c>
      <c r="E3914" s="19" t="s">
        <v>32278</v>
      </c>
      <c r="F3914" s="19" t="s">
        <v>35988</v>
      </c>
      <c r="G3914" s="18" t="str">
        <f>"47040"</f>
        <v>47040</v>
      </c>
      <c r="H3914" s="19" t="s">
        <v>36265</v>
      </c>
      <c r="I3914" s="20">
        <v>20.7</v>
      </c>
      <c r="J3914" s="44" t="s">
        <v>8</v>
      </c>
      <c r="K3914" s="23" t="s">
        <v>8</v>
      </c>
      <c r="L3914" s="23" t="s">
        <v>8</v>
      </c>
      <c r="M3914" s="23" t="s">
        <v>8</v>
      </c>
    </row>
    <row r="3915" spans="1:13" s="21" customFormat="1" x14ac:dyDescent="0.25">
      <c r="A3915" s="22" t="s">
        <v>8</v>
      </c>
      <c r="B3915" s="18" t="str">
        <f>"155484"</f>
        <v>155484</v>
      </c>
      <c r="C3915" s="19" t="s">
        <v>3887</v>
      </c>
      <c r="D3915" s="19" t="s">
        <v>19342</v>
      </c>
      <c r="E3915" s="19" t="s">
        <v>32225</v>
      </c>
      <c r="F3915" s="19" t="s">
        <v>35988</v>
      </c>
      <c r="G3915" s="18" t="str">
        <f>"47802"</f>
        <v>47802</v>
      </c>
      <c r="H3915" s="19" t="s">
        <v>36257</v>
      </c>
      <c r="I3915" s="20">
        <v>19.207000000000001</v>
      </c>
      <c r="J3915" s="44" t="s">
        <v>8</v>
      </c>
      <c r="K3915" s="23" t="s">
        <v>8</v>
      </c>
      <c r="L3915" s="23" t="s">
        <v>8</v>
      </c>
      <c r="M3915" s="23" t="s">
        <v>8</v>
      </c>
    </row>
    <row r="3916" spans="1:13" s="21" customFormat="1" x14ac:dyDescent="0.25">
      <c r="A3916" s="22" t="s">
        <v>8</v>
      </c>
      <c r="B3916" s="18" t="str">
        <f>"155486"</f>
        <v>155486</v>
      </c>
      <c r="C3916" s="19" t="s">
        <v>3888</v>
      </c>
      <c r="D3916" s="19" t="s">
        <v>19343</v>
      </c>
      <c r="E3916" s="19" t="s">
        <v>31412</v>
      </c>
      <c r="F3916" s="19" t="s">
        <v>35988</v>
      </c>
      <c r="G3916" s="18" t="str">
        <f>"47356"</f>
        <v>47356</v>
      </c>
      <c r="H3916" s="19" t="s">
        <v>32041</v>
      </c>
      <c r="I3916" s="20">
        <v>20.481999999999999</v>
      </c>
      <c r="J3916" s="44" t="s">
        <v>8</v>
      </c>
      <c r="K3916" s="23" t="s">
        <v>8</v>
      </c>
      <c r="L3916" s="23" t="s">
        <v>8</v>
      </c>
      <c r="M3916" s="23" t="s">
        <v>8</v>
      </c>
    </row>
    <row r="3917" spans="1:13" s="21" customFormat="1" x14ac:dyDescent="0.25">
      <c r="A3917" s="22" t="s">
        <v>8</v>
      </c>
      <c r="B3917" s="18" t="str">
        <f>"155487"</f>
        <v>155487</v>
      </c>
      <c r="C3917" s="19" t="s">
        <v>3889</v>
      </c>
      <c r="D3917" s="19" t="s">
        <v>19344</v>
      </c>
      <c r="E3917" s="19" t="s">
        <v>31014</v>
      </c>
      <c r="F3917" s="19" t="s">
        <v>35988</v>
      </c>
      <c r="G3917" s="18" t="str">
        <f>"47448"</f>
        <v>47448</v>
      </c>
      <c r="H3917" s="19" t="s">
        <v>36244</v>
      </c>
      <c r="I3917" s="20">
        <v>17.463000000000001</v>
      </c>
      <c r="J3917" s="44" t="s">
        <v>8</v>
      </c>
      <c r="K3917" s="23" t="s">
        <v>8</v>
      </c>
      <c r="L3917" s="23" t="s">
        <v>8</v>
      </c>
      <c r="M3917" s="23" t="s">
        <v>8</v>
      </c>
    </row>
    <row r="3918" spans="1:13" s="21" customFormat="1" x14ac:dyDescent="0.25">
      <c r="A3918" s="22" t="s">
        <v>8</v>
      </c>
      <c r="B3918" s="18" t="str">
        <f>"155488"</f>
        <v>155488</v>
      </c>
      <c r="C3918" s="19" t="s">
        <v>3890</v>
      </c>
      <c r="D3918" s="19" t="s">
        <v>19345</v>
      </c>
      <c r="E3918" s="19" t="s">
        <v>32211</v>
      </c>
      <c r="F3918" s="19" t="s">
        <v>35988</v>
      </c>
      <c r="G3918" s="18" t="str">
        <f>"47150"</f>
        <v>47150</v>
      </c>
      <c r="H3918" s="19" t="s">
        <v>35420</v>
      </c>
      <c r="I3918" s="20">
        <v>15.978999999999999</v>
      </c>
      <c r="J3918" s="44" t="s">
        <v>8</v>
      </c>
      <c r="K3918" s="23" t="s">
        <v>8</v>
      </c>
      <c r="L3918" s="23" t="s">
        <v>8</v>
      </c>
      <c r="M3918" s="23" t="s">
        <v>8</v>
      </c>
    </row>
    <row r="3919" spans="1:13" s="21" customFormat="1" x14ac:dyDescent="0.25">
      <c r="A3919" s="22" t="s">
        <v>8</v>
      </c>
      <c r="B3919" s="18" t="str">
        <f>"155489"</f>
        <v>155489</v>
      </c>
      <c r="C3919" s="19" t="s">
        <v>3891</v>
      </c>
      <c r="D3919" s="19" t="s">
        <v>19346</v>
      </c>
      <c r="E3919" s="19" t="s">
        <v>32279</v>
      </c>
      <c r="F3919" s="19" t="s">
        <v>35988</v>
      </c>
      <c r="G3919" s="18" t="str">
        <f>"47368"</f>
        <v>47368</v>
      </c>
      <c r="H3919" s="19" t="s">
        <v>33068</v>
      </c>
      <c r="I3919" s="20">
        <v>17.068000000000001</v>
      </c>
      <c r="J3919" s="44" t="s">
        <v>8</v>
      </c>
      <c r="K3919" s="23" t="s">
        <v>8</v>
      </c>
      <c r="L3919" s="23" t="s">
        <v>8</v>
      </c>
      <c r="M3919" s="23" t="s">
        <v>8</v>
      </c>
    </row>
    <row r="3920" spans="1:13" s="21" customFormat="1" x14ac:dyDescent="0.25">
      <c r="A3920" s="22" t="s">
        <v>8</v>
      </c>
      <c r="B3920" s="18" t="str">
        <f>"155490"</f>
        <v>155490</v>
      </c>
      <c r="C3920" s="19" t="s">
        <v>3892</v>
      </c>
      <c r="D3920" s="19" t="s">
        <v>19347</v>
      </c>
      <c r="E3920" s="19" t="s">
        <v>32280</v>
      </c>
      <c r="F3920" s="19" t="s">
        <v>35988</v>
      </c>
      <c r="G3920" s="18" t="str">
        <f>"47330"</f>
        <v>47330</v>
      </c>
      <c r="H3920" s="19" t="s">
        <v>33280</v>
      </c>
      <c r="I3920" s="20">
        <v>18.367999999999999</v>
      </c>
      <c r="J3920" s="44" t="s">
        <v>8</v>
      </c>
      <c r="K3920" s="23" t="s">
        <v>8</v>
      </c>
      <c r="L3920" s="23" t="s">
        <v>8</v>
      </c>
      <c r="M3920" s="23" t="s">
        <v>8</v>
      </c>
    </row>
    <row r="3921" spans="1:13" s="21" customFormat="1" x14ac:dyDescent="0.25">
      <c r="A3921" s="22" t="s">
        <v>8</v>
      </c>
      <c r="B3921" s="18" t="str">
        <f>"155491"</f>
        <v>155491</v>
      </c>
      <c r="C3921" s="19" t="s">
        <v>3893</v>
      </c>
      <c r="D3921" s="19" t="s">
        <v>19348</v>
      </c>
      <c r="E3921" s="19" t="s">
        <v>32199</v>
      </c>
      <c r="F3921" s="19" t="s">
        <v>35988</v>
      </c>
      <c r="G3921" s="18" t="str">
        <f>"47331"</f>
        <v>47331</v>
      </c>
      <c r="H3921" s="19" t="s">
        <v>30805</v>
      </c>
      <c r="I3921" s="20">
        <v>18.134</v>
      </c>
      <c r="J3921" s="44" t="s">
        <v>8</v>
      </c>
      <c r="K3921" s="23" t="s">
        <v>8</v>
      </c>
      <c r="L3921" s="23" t="s">
        <v>8</v>
      </c>
      <c r="M3921" s="23" t="s">
        <v>8</v>
      </c>
    </row>
    <row r="3922" spans="1:13" s="21" customFormat="1" x14ac:dyDescent="0.25">
      <c r="A3922" s="22" t="s">
        <v>8</v>
      </c>
      <c r="B3922" s="18" t="str">
        <f>"155493"</f>
        <v>155493</v>
      </c>
      <c r="C3922" s="19" t="s">
        <v>3894</v>
      </c>
      <c r="D3922" s="19" t="s">
        <v>19349</v>
      </c>
      <c r="E3922" s="19" t="s">
        <v>32281</v>
      </c>
      <c r="F3922" s="19" t="s">
        <v>35988</v>
      </c>
      <c r="G3922" s="18" t="str">
        <f>"47532"</f>
        <v>47532</v>
      </c>
      <c r="H3922" s="19" t="s">
        <v>34787</v>
      </c>
      <c r="I3922" s="20">
        <v>19.579999999999998</v>
      </c>
      <c r="J3922" s="44" t="s">
        <v>8</v>
      </c>
      <c r="K3922" s="23" t="s">
        <v>8</v>
      </c>
      <c r="L3922" s="23" t="s">
        <v>8</v>
      </c>
      <c r="M3922" s="23" t="s">
        <v>8</v>
      </c>
    </row>
    <row r="3923" spans="1:13" s="21" customFormat="1" x14ac:dyDescent="0.25">
      <c r="A3923" s="22" t="s">
        <v>8</v>
      </c>
      <c r="B3923" s="18" t="str">
        <f>"155494"</f>
        <v>155494</v>
      </c>
      <c r="C3923" s="19" t="s">
        <v>3895</v>
      </c>
      <c r="D3923" s="19" t="s">
        <v>19350</v>
      </c>
      <c r="E3923" s="19" t="s">
        <v>32248</v>
      </c>
      <c r="F3923" s="19" t="s">
        <v>35988</v>
      </c>
      <c r="G3923" s="18" t="str">
        <f>"47170"</f>
        <v>47170</v>
      </c>
      <c r="H3923" s="19" t="s">
        <v>36083</v>
      </c>
      <c r="I3923" s="20">
        <v>19.445</v>
      </c>
      <c r="J3923" s="44" t="s">
        <v>8</v>
      </c>
      <c r="K3923" s="23" t="s">
        <v>8</v>
      </c>
      <c r="L3923" s="23" t="s">
        <v>8</v>
      </c>
      <c r="M3923" s="23" t="s">
        <v>8</v>
      </c>
    </row>
    <row r="3924" spans="1:13" s="21" customFormat="1" x14ac:dyDescent="0.25">
      <c r="A3924" s="22" t="s">
        <v>8</v>
      </c>
      <c r="B3924" s="18" t="str">
        <f>"155495"</f>
        <v>155495</v>
      </c>
      <c r="C3924" s="19" t="s">
        <v>3896</v>
      </c>
      <c r="D3924" s="19" t="s">
        <v>19351</v>
      </c>
      <c r="E3924" s="19" t="s">
        <v>31405</v>
      </c>
      <c r="F3924" s="19" t="s">
        <v>35988</v>
      </c>
      <c r="G3924" s="18" t="str">
        <f>"46542"</f>
        <v>46542</v>
      </c>
      <c r="H3924" s="19" t="s">
        <v>33546</v>
      </c>
      <c r="I3924" s="20">
        <v>20.606000000000002</v>
      </c>
      <c r="J3924" s="44" t="s">
        <v>8</v>
      </c>
      <c r="K3924" s="23" t="s">
        <v>8</v>
      </c>
      <c r="L3924" s="23" t="s">
        <v>8</v>
      </c>
      <c r="M3924" s="23" t="s">
        <v>8</v>
      </c>
    </row>
    <row r="3925" spans="1:13" s="21" customFormat="1" x14ac:dyDescent="0.25">
      <c r="A3925" s="22" t="s">
        <v>8</v>
      </c>
      <c r="B3925" s="18" t="str">
        <f>"155496"</f>
        <v>155496</v>
      </c>
      <c r="C3925" s="19" t="s">
        <v>3897</v>
      </c>
      <c r="D3925" s="19" t="s">
        <v>19352</v>
      </c>
      <c r="E3925" s="19" t="s">
        <v>32213</v>
      </c>
      <c r="F3925" s="19" t="s">
        <v>35988</v>
      </c>
      <c r="G3925" s="18" t="str">
        <f>"46517"</f>
        <v>46517</v>
      </c>
      <c r="H3925" s="19" t="s">
        <v>32213</v>
      </c>
      <c r="I3925" s="20">
        <v>20.056999999999999</v>
      </c>
      <c r="J3925" s="44" t="s">
        <v>8</v>
      </c>
      <c r="K3925" s="23" t="s">
        <v>8</v>
      </c>
      <c r="L3925" s="23" t="s">
        <v>8</v>
      </c>
      <c r="M3925" s="23" t="s">
        <v>8</v>
      </c>
    </row>
    <row r="3926" spans="1:13" s="21" customFormat="1" x14ac:dyDescent="0.25">
      <c r="A3926" s="22" t="s">
        <v>8</v>
      </c>
      <c r="B3926" s="18" t="str">
        <f>"155501"</f>
        <v>155501</v>
      </c>
      <c r="C3926" s="19" t="s">
        <v>3898</v>
      </c>
      <c r="D3926" s="19" t="s">
        <v>19353</v>
      </c>
      <c r="E3926" s="19" t="s">
        <v>32266</v>
      </c>
      <c r="F3926" s="19" t="s">
        <v>35988</v>
      </c>
      <c r="G3926" s="18" t="str">
        <f>"46714"</f>
        <v>46714</v>
      </c>
      <c r="H3926" s="19" t="s">
        <v>33439</v>
      </c>
      <c r="I3926" s="20">
        <v>19.802</v>
      </c>
      <c r="J3926" s="44" t="s">
        <v>8</v>
      </c>
      <c r="K3926" s="23" t="s">
        <v>8</v>
      </c>
      <c r="L3926" s="23" t="s">
        <v>8</v>
      </c>
      <c r="M3926" s="23" t="s">
        <v>8</v>
      </c>
    </row>
    <row r="3927" spans="1:13" s="21" customFormat="1" x14ac:dyDescent="0.25">
      <c r="A3927" s="22" t="s">
        <v>8</v>
      </c>
      <c r="B3927" s="18" t="str">
        <f>"155502"</f>
        <v>155502</v>
      </c>
      <c r="C3927" s="19" t="s">
        <v>3899</v>
      </c>
      <c r="D3927" s="19" t="s">
        <v>19354</v>
      </c>
      <c r="E3927" s="19" t="s">
        <v>32282</v>
      </c>
      <c r="F3927" s="19" t="s">
        <v>35988</v>
      </c>
      <c r="G3927" s="18" t="str">
        <f>"47665"</f>
        <v>47665</v>
      </c>
      <c r="H3927" s="19" t="s">
        <v>31829</v>
      </c>
      <c r="I3927" s="20">
        <v>18.068000000000001</v>
      </c>
      <c r="J3927" s="44" t="s">
        <v>8</v>
      </c>
      <c r="K3927" s="23" t="s">
        <v>8</v>
      </c>
      <c r="L3927" s="23" t="s">
        <v>8</v>
      </c>
      <c r="M3927" s="23" t="s">
        <v>8</v>
      </c>
    </row>
    <row r="3928" spans="1:13" s="21" customFormat="1" x14ac:dyDescent="0.25">
      <c r="A3928" s="22" t="s">
        <v>8</v>
      </c>
      <c r="B3928" s="18" t="str">
        <f>"155503"</f>
        <v>155503</v>
      </c>
      <c r="C3928" s="19" t="s">
        <v>3900</v>
      </c>
      <c r="D3928" s="19" t="s">
        <v>19355</v>
      </c>
      <c r="E3928" s="19" t="s">
        <v>32283</v>
      </c>
      <c r="F3928" s="19" t="s">
        <v>35988</v>
      </c>
      <c r="G3928" s="18" t="str">
        <f>"47834"</f>
        <v>47834</v>
      </c>
      <c r="H3928" s="19" t="s">
        <v>36030</v>
      </c>
      <c r="I3928" s="20">
        <v>19.332999999999998</v>
      </c>
      <c r="J3928" s="44" t="s">
        <v>8</v>
      </c>
      <c r="K3928" s="23" t="s">
        <v>8</v>
      </c>
      <c r="L3928" s="23" t="s">
        <v>8</v>
      </c>
      <c r="M3928" s="23" t="s">
        <v>8</v>
      </c>
    </row>
    <row r="3929" spans="1:13" s="21" customFormat="1" x14ac:dyDescent="0.25">
      <c r="A3929" s="22" t="s">
        <v>8</v>
      </c>
      <c r="B3929" s="18" t="str">
        <f>"155505"</f>
        <v>155505</v>
      </c>
      <c r="C3929" s="19" t="s">
        <v>3901</v>
      </c>
      <c r="D3929" s="19" t="s">
        <v>19356</v>
      </c>
      <c r="E3929" s="19" t="s">
        <v>32200</v>
      </c>
      <c r="F3929" s="19" t="s">
        <v>35988</v>
      </c>
      <c r="G3929" s="18" t="str">
        <f>"46268"</f>
        <v>46268</v>
      </c>
      <c r="H3929" s="19" t="s">
        <v>30850</v>
      </c>
      <c r="I3929" s="20">
        <v>18.571999999999999</v>
      </c>
      <c r="J3929" s="44" t="s">
        <v>8</v>
      </c>
      <c r="K3929" s="23" t="s">
        <v>8</v>
      </c>
      <c r="L3929" s="23" t="s">
        <v>8</v>
      </c>
      <c r="M3929" s="23" t="s">
        <v>8</v>
      </c>
    </row>
    <row r="3930" spans="1:13" s="21" customFormat="1" x14ac:dyDescent="0.25">
      <c r="A3930" s="22" t="s">
        <v>8</v>
      </c>
      <c r="B3930" s="18" t="str">
        <f>"155506"</f>
        <v>155506</v>
      </c>
      <c r="C3930" s="19" t="s">
        <v>3902</v>
      </c>
      <c r="D3930" s="19" t="s">
        <v>19357</v>
      </c>
      <c r="E3930" s="19" t="s">
        <v>32216</v>
      </c>
      <c r="F3930" s="19" t="s">
        <v>35988</v>
      </c>
      <c r="G3930" s="18" t="str">
        <f>"46635"</f>
        <v>46635</v>
      </c>
      <c r="H3930" s="19" t="s">
        <v>33301</v>
      </c>
      <c r="I3930" s="20">
        <v>17.282</v>
      </c>
      <c r="J3930" s="44" t="s">
        <v>8</v>
      </c>
      <c r="K3930" s="23" t="s">
        <v>8</v>
      </c>
      <c r="L3930" s="23" t="s">
        <v>8</v>
      </c>
      <c r="M3930" s="23" t="s">
        <v>8</v>
      </c>
    </row>
    <row r="3931" spans="1:13" s="21" customFormat="1" x14ac:dyDescent="0.25">
      <c r="A3931" s="22" t="s">
        <v>8</v>
      </c>
      <c r="B3931" s="18" t="str">
        <f>"155507"</f>
        <v>155507</v>
      </c>
      <c r="C3931" s="19" t="s">
        <v>3903</v>
      </c>
      <c r="D3931" s="19" t="s">
        <v>19358</v>
      </c>
      <c r="E3931" s="19" t="s">
        <v>32284</v>
      </c>
      <c r="F3931" s="19" t="s">
        <v>35988</v>
      </c>
      <c r="G3931" s="18" t="str">
        <f>"47353"</f>
        <v>47353</v>
      </c>
      <c r="H3931" s="19" t="s">
        <v>33554</v>
      </c>
      <c r="I3931" s="20">
        <v>18.724</v>
      </c>
      <c r="J3931" s="44" t="s">
        <v>8</v>
      </c>
      <c r="K3931" s="23" t="s">
        <v>8</v>
      </c>
      <c r="L3931" s="23" t="s">
        <v>8</v>
      </c>
      <c r="M3931" s="23" t="s">
        <v>8</v>
      </c>
    </row>
    <row r="3932" spans="1:13" s="21" customFormat="1" x14ac:dyDescent="0.25">
      <c r="A3932" s="22" t="s">
        <v>8</v>
      </c>
      <c r="B3932" s="18" t="str">
        <f>"155508"</f>
        <v>155508</v>
      </c>
      <c r="C3932" s="19" t="s">
        <v>3904</v>
      </c>
      <c r="D3932" s="19" t="s">
        <v>19359</v>
      </c>
      <c r="E3932" s="19" t="s">
        <v>32285</v>
      </c>
      <c r="F3932" s="19" t="s">
        <v>35988</v>
      </c>
      <c r="G3932" s="18" t="str">
        <f>"47601"</f>
        <v>47601</v>
      </c>
      <c r="H3932" s="19" t="s">
        <v>36260</v>
      </c>
      <c r="I3932" s="20">
        <v>17.992999999999999</v>
      </c>
      <c r="J3932" s="44" t="s">
        <v>8</v>
      </c>
      <c r="K3932" s="23" t="s">
        <v>8</v>
      </c>
      <c r="L3932" s="23" t="s">
        <v>8</v>
      </c>
      <c r="M3932" s="23" t="s">
        <v>8</v>
      </c>
    </row>
    <row r="3933" spans="1:13" s="21" customFormat="1" x14ac:dyDescent="0.25">
      <c r="A3933" s="22" t="s">
        <v>8</v>
      </c>
      <c r="B3933" s="18" t="str">
        <f>"155510"</f>
        <v>155510</v>
      </c>
      <c r="C3933" s="19" t="s">
        <v>3905</v>
      </c>
      <c r="D3933" s="19" t="s">
        <v>19360</v>
      </c>
      <c r="E3933" s="19" t="s">
        <v>32286</v>
      </c>
      <c r="F3933" s="19" t="s">
        <v>35988</v>
      </c>
      <c r="G3933" s="18" t="str">
        <f>"46936"</f>
        <v>46936</v>
      </c>
      <c r="H3933" s="19" t="s">
        <v>32644</v>
      </c>
      <c r="I3933" s="20">
        <v>19.466999999999999</v>
      </c>
      <c r="J3933" s="44" t="s">
        <v>8</v>
      </c>
      <c r="K3933" s="23" t="s">
        <v>8</v>
      </c>
      <c r="L3933" s="23" t="s">
        <v>8</v>
      </c>
      <c r="M3933" s="23" t="s">
        <v>8</v>
      </c>
    </row>
    <row r="3934" spans="1:13" s="21" customFormat="1" x14ac:dyDescent="0.25">
      <c r="A3934" s="22" t="s">
        <v>8</v>
      </c>
      <c r="B3934" s="18" t="str">
        <f>"155511"</f>
        <v>155511</v>
      </c>
      <c r="C3934" s="19" t="s">
        <v>3906</v>
      </c>
      <c r="D3934" s="19" t="s">
        <v>19361</v>
      </c>
      <c r="E3934" s="19" t="s">
        <v>32225</v>
      </c>
      <c r="F3934" s="19" t="s">
        <v>35988</v>
      </c>
      <c r="G3934" s="18" t="str">
        <f>"47807"</f>
        <v>47807</v>
      </c>
      <c r="H3934" s="19" t="s">
        <v>36257</v>
      </c>
      <c r="I3934" s="20">
        <v>16.876000000000001</v>
      </c>
      <c r="J3934" s="44" t="s">
        <v>8</v>
      </c>
      <c r="K3934" s="23" t="s">
        <v>8</v>
      </c>
      <c r="L3934" s="23" t="s">
        <v>8</v>
      </c>
      <c r="M3934" s="23" t="s">
        <v>8</v>
      </c>
    </row>
    <row r="3935" spans="1:13" s="21" customFormat="1" x14ac:dyDescent="0.25">
      <c r="A3935" s="22" t="s">
        <v>8</v>
      </c>
      <c r="B3935" s="18" t="str">
        <f>"155512"</f>
        <v>155512</v>
      </c>
      <c r="C3935" s="19" t="s">
        <v>3907</v>
      </c>
      <c r="D3935" s="19" t="s">
        <v>19362</v>
      </c>
      <c r="E3935" s="19" t="s">
        <v>32287</v>
      </c>
      <c r="F3935" s="19" t="s">
        <v>35988</v>
      </c>
      <c r="G3935" s="18" t="str">
        <f>"46710"</f>
        <v>46710</v>
      </c>
      <c r="H3935" s="19" t="s">
        <v>34672</v>
      </c>
      <c r="I3935" s="20">
        <v>15.64</v>
      </c>
      <c r="J3935" s="44" t="s">
        <v>8</v>
      </c>
      <c r="K3935" s="23" t="s">
        <v>8</v>
      </c>
      <c r="L3935" s="23" t="s">
        <v>8</v>
      </c>
      <c r="M3935" s="23" t="s">
        <v>8</v>
      </c>
    </row>
    <row r="3936" spans="1:13" s="21" customFormat="1" x14ac:dyDescent="0.25">
      <c r="A3936" s="22" t="s">
        <v>8</v>
      </c>
      <c r="B3936" s="18" t="str">
        <f>"155516"</f>
        <v>155516</v>
      </c>
      <c r="C3936" s="19" t="s">
        <v>3908</v>
      </c>
      <c r="D3936" s="19" t="s">
        <v>19363</v>
      </c>
      <c r="E3936" s="19" t="s">
        <v>32214</v>
      </c>
      <c r="F3936" s="19" t="s">
        <v>35988</v>
      </c>
      <c r="G3936" s="18" t="str">
        <f>"46805"</f>
        <v>46805</v>
      </c>
      <c r="H3936" s="19" t="s">
        <v>34710</v>
      </c>
      <c r="I3936" s="20">
        <v>12.831</v>
      </c>
      <c r="J3936" s="44" t="s">
        <v>8</v>
      </c>
      <c r="K3936" s="23" t="s">
        <v>8</v>
      </c>
      <c r="L3936" s="23" t="s">
        <v>8</v>
      </c>
      <c r="M3936" s="23" t="s">
        <v>8</v>
      </c>
    </row>
    <row r="3937" spans="1:13" s="21" customFormat="1" x14ac:dyDescent="0.25">
      <c r="A3937" s="22" t="s">
        <v>8</v>
      </c>
      <c r="B3937" s="18" t="str">
        <f>"155519"</f>
        <v>155519</v>
      </c>
      <c r="C3937" s="19" t="s">
        <v>3909</v>
      </c>
      <c r="D3937" s="19" t="s">
        <v>19364</v>
      </c>
      <c r="E3937" s="19" t="s">
        <v>32206</v>
      </c>
      <c r="F3937" s="19" t="s">
        <v>35988</v>
      </c>
      <c r="G3937" s="18" t="str">
        <f>"47591"</f>
        <v>47591</v>
      </c>
      <c r="H3937" s="19" t="s">
        <v>32252</v>
      </c>
      <c r="I3937" s="20">
        <v>16.768999999999998</v>
      </c>
      <c r="J3937" s="44" t="s">
        <v>8</v>
      </c>
      <c r="K3937" s="23" t="s">
        <v>8</v>
      </c>
      <c r="L3937" s="23" t="s">
        <v>8</v>
      </c>
      <c r="M3937" s="23" t="s">
        <v>8</v>
      </c>
    </row>
    <row r="3938" spans="1:13" s="21" customFormat="1" x14ac:dyDescent="0.25">
      <c r="A3938" s="22" t="s">
        <v>8</v>
      </c>
      <c r="B3938" s="18" t="str">
        <f>"155520"</f>
        <v>155520</v>
      </c>
      <c r="C3938" s="19" t="s">
        <v>3910</v>
      </c>
      <c r="D3938" s="19" t="s">
        <v>19365</v>
      </c>
      <c r="E3938" s="19" t="s">
        <v>32217</v>
      </c>
      <c r="F3938" s="19" t="s">
        <v>35988</v>
      </c>
      <c r="G3938" s="18" t="str">
        <f>"47710"</f>
        <v>47710</v>
      </c>
      <c r="H3938" s="19" t="s">
        <v>36252</v>
      </c>
      <c r="I3938" s="20">
        <v>18.477</v>
      </c>
      <c r="J3938" s="44" t="s">
        <v>8</v>
      </c>
      <c r="K3938" s="23" t="s">
        <v>8</v>
      </c>
      <c r="L3938" s="23" t="s">
        <v>8</v>
      </c>
      <c r="M3938" s="23" t="s">
        <v>8</v>
      </c>
    </row>
    <row r="3939" spans="1:13" s="21" customFormat="1" x14ac:dyDescent="0.25">
      <c r="A3939" s="22" t="s">
        <v>8</v>
      </c>
      <c r="B3939" s="18" t="str">
        <f>"155521"</f>
        <v>155521</v>
      </c>
      <c r="C3939" s="19" t="s">
        <v>1064</v>
      </c>
      <c r="D3939" s="19" t="s">
        <v>19366</v>
      </c>
      <c r="E3939" s="19" t="s">
        <v>32288</v>
      </c>
      <c r="F3939" s="19" t="s">
        <v>35988</v>
      </c>
      <c r="G3939" s="18" t="str">
        <f>"46001"</f>
        <v>46001</v>
      </c>
      <c r="H3939" s="19" t="s">
        <v>30899</v>
      </c>
      <c r="I3939" s="20">
        <v>18.564</v>
      </c>
      <c r="J3939" s="44" t="s">
        <v>8</v>
      </c>
      <c r="K3939" s="23" t="s">
        <v>8</v>
      </c>
      <c r="L3939" s="23" t="s">
        <v>8</v>
      </c>
      <c r="M3939" s="23" t="s">
        <v>8</v>
      </c>
    </row>
    <row r="3940" spans="1:13" s="21" customFormat="1" x14ac:dyDescent="0.25">
      <c r="A3940" s="22" t="s">
        <v>8</v>
      </c>
      <c r="B3940" s="18" t="str">
        <f>"155522"</f>
        <v>155522</v>
      </c>
      <c r="C3940" s="19" t="s">
        <v>3911</v>
      </c>
      <c r="D3940" s="19" t="s">
        <v>19367</v>
      </c>
      <c r="E3940" s="19" t="s">
        <v>32289</v>
      </c>
      <c r="F3940" s="19" t="s">
        <v>35988</v>
      </c>
      <c r="G3940" s="18" t="str">
        <f>"46036"</f>
        <v>46036</v>
      </c>
      <c r="H3940" s="19" t="s">
        <v>30899</v>
      </c>
      <c r="I3940" s="20">
        <v>16.855</v>
      </c>
      <c r="J3940" s="44" t="s">
        <v>8</v>
      </c>
      <c r="K3940" s="23" t="s">
        <v>8</v>
      </c>
      <c r="L3940" s="23" t="s">
        <v>8</v>
      </c>
      <c r="M3940" s="23" t="s">
        <v>8</v>
      </c>
    </row>
    <row r="3941" spans="1:13" s="21" customFormat="1" x14ac:dyDescent="0.25">
      <c r="A3941" s="22" t="s">
        <v>8</v>
      </c>
      <c r="B3941" s="18" t="str">
        <f>"155523"</f>
        <v>155523</v>
      </c>
      <c r="C3941" s="19" t="s">
        <v>3912</v>
      </c>
      <c r="D3941" s="19" t="s">
        <v>19368</v>
      </c>
      <c r="E3941" s="19" t="s">
        <v>32290</v>
      </c>
      <c r="F3941" s="19" t="s">
        <v>35988</v>
      </c>
      <c r="G3941" s="18" t="str">
        <f>"47429"</f>
        <v>47429</v>
      </c>
      <c r="H3941" s="19" t="s">
        <v>31711</v>
      </c>
      <c r="I3941" s="20">
        <v>16.074000000000002</v>
      </c>
      <c r="J3941" s="44" t="s">
        <v>8</v>
      </c>
      <c r="K3941" s="23" t="s">
        <v>8</v>
      </c>
      <c r="L3941" s="23" t="s">
        <v>8</v>
      </c>
      <c r="M3941" s="23" t="s">
        <v>8</v>
      </c>
    </row>
    <row r="3942" spans="1:13" s="21" customFormat="1" x14ac:dyDescent="0.25">
      <c r="A3942" s="22" t="s">
        <v>8</v>
      </c>
      <c r="B3942" s="18" t="str">
        <f>"155524"</f>
        <v>155524</v>
      </c>
      <c r="C3942" s="19" t="s">
        <v>3913</v>
      </c>
      <c r="D3942" s="19" t="s">
        <v>19369</v>
      </c>
      <c r="E3942" s="19" t="s">
        <v>32270</v>
      </c>
      <c r="F3942" s="19" t="s">
        <v>35988</v>
      </c>
      <c r="G3942" s="18" t="str">
        <f>"47441"</f>
        <v>47441</v>
      </c>
      <c r="H3942" s="19" t="s">
        <v>32455</v>
      </c>
      <c r="I3942" s="20">
        <v>19.032</v>
      </c>
      <c r="J3942" s="44" t="s">
        <v>8</v>
      </c>
      <c r="K3942" s="23" t="s">
        <v>8</v>
      </c>
      <c r="L3942" s="23" t="s">
        <v>8</v>
      </c>
      <c r="M3942" s="23" t="s">
        <v>8</v>
      </c>
    </row>
    <row r="3943" spans="1:13" s="21" customFormat="1" x14ac:dyDescent="0.25">
      <c r="A3943" s="22" t="s">
        <v>8</v>
      </c>
      <c r="B3943" s="18" t="str">
        <f>"155525"</f>
        <v>155525</v>
      </c>
      <c r="C3943" s="19" t="s">
        <v>3914</v>
      </c>
      <c r="D3943" s="19" t="s">
        <v>19370</v>
      </c>
      <c r="E3943" s="19" t="s">
        <v>32208</v>
      </c>
      <c r="F3943" s="19" t="s">
        <v>35988</v>
      </c>
      <c r="G3943" s="18" t="str">
        <f>"47025"</f>
        <v>47025</v>
      </c>
      <c r="H3943" s="19" t="s">
        <v>33273</v>
      </c>
      <c r="I3943" s="20">
        <v>20.309000000000001</v>
      </c>
      <c r="J3943" s="44" t="s">
        <v>8</v>
      </c>
      <c r="K3943" s="23" t="s">
        <v>8</v>
      </c>
      <c r="L3943" s="23" t="s">
        <v>8</v>
      </c>
      <c r="M3943" s="23" t="s">
        <v>8</v>
      </c>
    </row>
    <row r="3944" spans="1:13" s="21" customFormat="1" x14ac:dyDescent="0.25">
      <c r="A3944" s="22" t="s">
        <v>8</v>
      </c>
      <c r="B3944" s="18" t="str">
        <f>"155526"</f>
        <v>155526</v>
      </c>
      <c r="C3944" s="19" t="s">
        <v>3915</v>
      </c>
      <c r="D3944" s="19" t="s">
        <v>19371</v>
      </c>
      <c r="E3944" s="19" t="s">
        <v>31432</v>
      </c>
      <c r="F3944" s="19" t="s">
        <v>35988</v>
      </c>
      <c r="G3944" s="18" t="str">
        <f>"47371"</f>
        <v>47371</v>
      </c>
      <c r="H3944" s="19" t="s">
        <v>31501</v>
      </c>
      <c r="I3944" s="20">
        <v>22.228999999999999</v>
      </c>
      <c r="J3944" s="44" t="s">
        <v>8</v>
      </c>
      <c r="K3944" s="23" t="s">
        <v>8</v>
      </c>
      <c r="L3944" s="23" t="s">
        <v>8</v>
      </c>
      <c r="M3944" s="23" t="s">
        <v>8</v>
      </c>
    </row>
    <row r="3945" spans="1:13" s="21" customFormat="1" x14ac:dyDescent="0.25">
      <c r="A3945" s="22" t="s">
        <v>8</v>
      </c>
      <c r="B3945" s="18" t="str">
        <f>"155527"</f>
        <v>155527</v>
      </c>
      <c r="C3945" s="19" t="s">
        <v>3916</v>
      </c>
      <c r="D3945" s="19" t="s">
        <v>19372</v>
      </c>
      <c r="E3945" s="19" t="s">
        <v>32175</v>
      </c>
      <c r="F3945" s="19" t="s">
        <v>35988</v>
      </c>
      <c r="G3945" s="18" t="str">
        <f>"47394"</f>
        <v>47394</v>
      </c>
      <c r="H3945" s="19" t="s">
        <v>33068</v>
      </c>
      <c r="I3945" s="20">
        <v>18.349</v>
      </c>
      <c r="J3945" s="44" t="s">
        <v>8</v>
      </c>
      <c r="K3945" s="23" t="s">
        <v>8</v>
      </c>
      <c r="L3945" s="23" t="s">
        <v>8</v>
      </c>
      <c r="M3945" s="23" t="s">
        <v>8</v>
      </c>
    </row>
    <row r="3946" spans="1:13" s="21" customFormat="1" x14ac:dyDescent="0.25">
      <c r="A3946" s="22" t="s">
        <v>8</v>
      </c>
      <c r="B3946" s="18" t="str">
        <f>"155530"</f>
        <v>155530</v>
      </c>
      <c r="C3946" s="19" t="s">
        <v>3917</v>
      </c>
      <c r="D3946" s="19" t="s">
        <v>19373</v>
      </c>
      <c r="E3946" s="19" t="s">
        <v>32291</v>
      </c>
      <c r="F3946" s="19" t="s">
        <v>35988</v>
      </c>
      <c r="G3946" s="18" t="str">
        <f>"46402"</f>
        <v>46402</v>
      </c>
      <c r="H3946" s="19" t="s">
        <v>36096</v>
      </c>
      <c r="I3946" s="20">
        <v>21.135000000000002</v>
      </c>
      <c r="J3946" s="44" t="s">
        <v>8</v>
      </c>
      <c r="K3946" s="23" t="s">
        <v>8</v>
      </c>
      <c r="L3946" s="23" t="s">
        <v>8</v>
      </c>
      <c r="M3946" s="23" t="s">
        <v>8</v>
      </c>
    </row>
    <row r="3947" spans="1:13" s="21" customFormat="1" x14ac:dyDescent="0.25">
      <c r="A3947" s="22" t="s">
        <v>8</v>
      </c>
      <c r="B3947" s="18" t="str">
        <f>"155531"</f>
        <v>155531</v>
      </c>
      <c r="C3947" s="19" t="s">
        <v>3918</v>
      </c>
      <c r="D3947" s="19" t="s">
        <v>19374</v>
      </c>
      <c r="E3947" s="19" t="s">
        <v>32207</v>
      </c>
      <c r="F3947" s="19" t="s">
        <v>35988</v>
      </c>
      <c r="G3947" s="18" t="str">
        <f>"46750"</f>
        <v>46750</v>
      </c>
      <c r="H3947" s="19" t="s">
        <v>32207</v>
      </c>
      <c r="I3947" s="20">
        <v>18.006</v>
      </c>
      <c r="J3947" s="44" t="s">
        <v>8</v>
      </c>
      <c r="K3947" s="23" t="s">
        <v>8</v>
      </c>
      <c r="L3947" s="23" t="s">
        <v>8</v>
      </c>
      <c r="M3947" s="23" t="s">
        <v>8</v>
      </c>
    </row>
    <row r="3948" spans="1:13" s="21" customFormat="1" x14ac:dyDescent="0.25">
      <c r="A3948" s="22" t="s">
        <v>8</v>
      </c>
      <c r="B3948" s="18" t="str">
        <f>"155532"</f>
        <v>155532</v>
      </c>
      <c r="C3948" s="19" t="s">
        <v>3919</v>
      </c>
      <c r="D3948" s="19" t="s">
        <v>19375</v>
      </c>
      <c r="E3948" s="19" t="s">
        <v>31919</v>
      </c>
      <c r="F3948" s="19" t="s">
        <v>35988</v>
      </c>
      <c r="G3948" s="18" t="str">
        <f>"47401"</f>
        <v>47401</v>
      </c>
      <c r="H3948" s="19" t="s">
        <v>31711</v>
      </c>
      <c r="I3948" s="20">
        <v>18.823</v>
      </c>
      <c r="J3948" s="44" t="s">
        <v>8</v>
      </c>
      <c r="K3948" s="23" t="s">
        <v>8</v>
      </c>
      <c r="L3948" s="23" t="s">
        <v>8</v>
      </c>
      <c r="M3948" s="23" t="s">
        <v>8</v>
      </c>
    </row>
    <row r="3949" spans="1:13" s="21" customFormat="1" x14ac:dyDescent="0.25">
      <c r="A3949" s="22" t="s">
        <v>8</v>
      </c>
      <c r="B3949" s="18" t="str">
        <f>"155535"</f>
        <v>155535</v>
      </c>
      <c r="C3949" s="19" t="s">
        <v>3920</v>
      </c>
      <c r="D3949" s="19" t="s">
        <v>19376</v>
      </c>
      <c r="E3949" s="19" t="s">
        <v>31715</v>
      </c>
      <c r="F3949" s="19" t="s">
        <v>35988</v>
      </c>
      <c r="G3949" s="18" t="str">
        <f>"47203"</f>
        <v>47203</v>
      </c>
      <c r="H3949" s="19" t="s">
        <v>36255</v>
      </c>
      <c r="I3949" s="20">
        <v>19.225000000000001</v>
      </c>
      <c r="J3949" s="44" t="s">
        <v>8</v>
      </c>
      <c r="K3949" s="23" t="s">
        <v>8</v>
      </c>
      <c r="L3949" s="23" t="s">
        <v>8</v>
      </c>
      <c r="M3949" s="23" t="s">
        <v>8</v>
      </c>
    </row>
    <row r="3950" spans="1:13" s="21" customFormat="1" x14ac:dyDescent="0.25">
      <c r="A3950" s="22" t="s">
        <v>8</v>
      </c>
      <c r="B3950" s="18" t="str">
        <f>"155539"</f>
        <v>155539</v>
      </c>
      <c r="C3950" s="19" t="s">
        <v>3921</v>
      </c>
      <c r="D3950" s="19" t="s">
        <v>19377</v>
      </c>
      <c r="E3950" s="19" t="s">
        <v>32292</v>
      </c>
      <c r="F3950" s="19" t="s">
        <v>35988</v>
      </c>
      <c r="G3950" s="18" t="str">
        <f>"47562"</f>
        <v>47562</v>
      </c>
      <c r="H3950" s="19" t="s">
        <v>36258</v>
      </c>
      <c r="I3950" s="20">
        <v>19.797000000000001</v>
      </c>
      <c r="J3950" s="44" t="s">
        <v>8</v>
      </c>
      <c r="K3950" s="23" t="s">
        <v>8</v>
      </c>
      <c r="L3950" s="23" t="s">
        <v>8</v>
      </c>
      <c r="M3950" s="23" t="s">
        <v>8</v>
      </c>
    </row>
    <row r="3951" spans="1:13" s="21" customFormat="1" x14ac:dyDescent="0.25">
      <c r="A3951" s="22" t="s">
        <v>8</v>
      </c>
      <c r="B3951" s="18" t="str">
        <f>"155542"</f>
        <v>155542</v>
      </c>
      <c r="C3951" s="19" t="s">
        <v>3922</v>
      </c>
      <c r="D3951" s="19" t="s">
        <v>19378</v>
      </c>
      <c r="E3951" s="19" t="s">
        <v>32293</v>
      </c>
      <c r="F3951" s="19" t="s">
        <v>35988</v>
      </c>
      <c r="G3951" s="18" t="str">
        <f>"47857"</f>
        <v>47857</v>
      </c>
      <c r="H3951" s="19" t="s">
        <v>36030</v>
      </c>
      <c r="I3951" s="20">
        <v>19.657</v>
      </c>
      <c r="J3951" s="44" t="s">
        <v>8</v>
      </c>
      <c r="K3951" s="23" t="s">
        <v>8</v>
      </c>
      <c r="L3951" s="23" t="s">
        <v>8</v>
      </c>
      <c r="M3951" s="23" t="s">
        <v>8</v>
      </c>
    </row>
    <row r="3952" spans="1:13" s="21" customFormat="1" x14ac:dyDescent="0.25">
      <c r="A3952" s="22" t="s">
        <v>8</v>
      </c>
      <c r="B3952" s="18" t="str">
        <f>"155543"</f>
        <v>155543</v>
      </c>
      <c r="C3952" s="19" t="s">
        <v>3923</v>
      </c>
      <c r="D3952" s="19" t="s">
        <v>19379</v>
      </c>
      <c r="E3952" s="19" t="s">
        <v>32207</v>
      </c>
      <c r="F3952" s="19" t="s">
        <v>35988</v>
      </c>
      <c r="G3952" s="18" t="str">
        <f>"46750"</f>
        <v>46750</v>
      </c>
      <c r="H3952" s="19" t="s">
        <v>32207</v>
      </c>
      <c r="I3952" s="20">
        <v>18.739000000000001</v>
      </c>
      <c r="J3952" s="44" t="s">
        <v>8</v>
      </c>
      <c r="K3952" s="23" t="s">
        <v>8</v>
      </c>
      <c r="L3952" s="23" t="s">
        <v>8</v>
      </c>
      <c r="M3952" s="23" t="s">
        <v>8</v>
      </c>
    </row>
    <row r="3953" spans="1:13" s="21" customFormat="1" x14ac:dyDescent="0.25">
      <c r="A3953" s="22" t="s">
        <v>8</v>
      </c>
      <c r="B3953" s="18" t="str">
        <f>"155546"</f>
        <v>155546</v>
      </c>
      <c r="C3953" s="19" t="s">
        <v>3924</v>
      </c>
      <c r="D3953" s="19" t="s">
        <v>19380</v>
      </c>
      <c r="E3953" s="19" t="s">
        <v>32205</v>
      </c>
      <c r="F3953" s="19" t="s">
        <v>35988</v>
      </c>
      <c r="G3953" s="18" t="str">
        <f>"47304"</f>
        <v>47304</v>
      </c>
      <c r="H3953" s="19" t="s">
        <v>34462</v>
      </c>
      <c r="I3953" s="20">
        <v>18.521999999999998</v>
      </c>
      <c r="J3953" s="44" t="s">
        <v>8</v>
      </c>
      <c r="K3953" s="23" t="s">
        <v>8</v>
      </c>
      <c r="L3953" s="23" t="s">
        <v>8</v>
      </c>
      <c r="M3953" s="23" t="s">
        <v>8</v>
      </c>
    </row>
    <row r="3954" spans="1:13" s="21" customFormat="1" x14ac:dyDescent="0.25">
      <c r="A3954" s="22" t="s">
        <v>8</v>
      </c>
      <c r="B3954" s="18" t="str">
        <f>"155549"</f>
        <v>155549</v>
      </c>
      <c r="C3954" s="19" t="s">
        <v>3925</v>
      </c>
      <c r="D3954" s="19" t="s">
        <v>19381</v>
      </c>
      <c r="E3954" s="19" t="s">
        <v>32205</v>
      </c>
      <c r="F3954" s="19" t="s">
        <v>35988</v>
      </c>
      <c r="G3954" s="18" t="str">
        <f>"47302"</f>
        <v>47302</v>
      </c>
      <c r="H3954" s="19" t="s">
        <v>34462</v>
      </c>
      <c r="I3954" s="20">
        <v>18.847000000000001</v>
      </c>
      <c r="J3954" s="44" t="s">
        <v>8</v>
      </c>
      <c r="K3954" s="23" t="s">
        <v>8</v>
      </c>
      <c r="L3954" s="23" t="s">
        <v>8</v>
      </c>
      <c r="M3954" s="23" t="s">
        <v>8</v>
      </c>
    </row>
    <row r="3955" spans="1:13" s="21" customFormat="1" x14ac:dyDescent="0.25">
      <c r="A3955" s="22" t="s">
        <v>8</v>
      </c>
      <c r="B3955" s="18" t="str">
        <f>"155551"</f>
        <v>155551</v>
      </c>
      <c r="C3955" s="19" t="s">
        <v>3926</v>
      </c>
      <c r="D3955" s="19" t="s">
        <v>19382</v>
      </c>
      <c r="E3955" s="19" t="s">
        <v>32294</v>
      </c>
      <c r="F3955" s="19" t="s">
        <v>35988</v>
      </c>
      <c r="G3955" s="18" t="str">
        <f>"46940"</f>
        <v>46940</v>
      </c>
      <c r="H3955" s="19" t="s">
        <v>32203</v>
      </c>
      <c r="I3955" s="20">
        <v>17.725000000000001</v>
      </c>
      <c r="J3955" s="44" t="s">
        <v>8</v>
      </c>
      <c r="K3955" s="23" t="s">
        <v>8</v>
      </c>
      <c r="L3955" s="23" t="s">
        <v>8</v>
      </c>
      <c r="M3955" s="23" t="s">
        <v>8</v>
      </c>
    </row>
    <row r="3956" spans="1:13" s="21" customFormat="1" x14ac:dyDescent="0.25">
      <c r="A3956" s="22" t="s">
        <v>8</v>
      </c>
      <c r="B3956" s="18" t="str">
        <f>"155556"</f>
        <v>155556</v>
      </c>
      <c r="C3956" s="19" t="s">
        <v>3643</v>
      </c>
      <c r="D3956" s="19" t="s">
        <v>19383</v>
      </c>
      <c r="E3956" s="19" t="s">
        <v>32295</v>
      </c>
      <c r="F3956" s="19" t="s">
        <v>35988</v>
      </c>
      <c r="G3956" s="18" t="str">
        <f>"46072"</f>
        <v>46072</v>
      </c>
      <c r="H3956" s="19" t="s">
        <v>32295</v>
      </c>
      <c r="I3956" s="20">
        <v>16.478000000000002</v>
      </c>
      <c r="J3956" s="44" t="s">
        <v>8</v>
      </c>
      <c r="K3956" s="23" t="s">
        <v>8</v>
      </c>
      <c r="L3956" s="23" t="s">
        <v>8</v>
      </c>
      <c r="M3956" s="23" t="s">
        <v>8</v>
      </c>
    </row>
    <row r="3957" spans="1:13" s="21" customFormat="1" x14ac:dyDescent="0.25">
      <c r="A3957" s="22" t="s">
        <v>8</v>
      </c>
      <c r="B3957" s="18" t="str">
        <f>"155557"</f>
        <v>155557</v>
      </c>
      <c r="C3957" s="19" t="s">
        <v>3643</v>
      </c>
      <c r="D3957" s="19" t="s">
        <v>19384</v>
      </c>
      <c r="E3957" s="19" t="s">
        <v>32200</v>
      </c>
      <c r="F3957" s="19" t="s">
        <v>35988</v>
      </c>
      <c r="G3957" s="18" t="str">
        <f>"46218"</f>
        <v>46218</v>
      </c>
      <c r="H3957" s="19" t="s">
        <v>30850</v>
      </c>
      <c r="I3957" s="20">
        <v>17.670000000000002</v>
      </c>
      <c r="J3957" s="44" t="s">
        <v>8</v>
      </c>
      <c r="K3957" s="23" t="s">
        <v>8</v>
      </c>
      <c r="L3957" s="23" t="s">
        <v>8</v>
      </c>
      <c r="M3957" s="23" t="s">
        <v>8</v>
      </c>
    </row>
    <row r="3958" spans="1:13" s="21" customFormat="1" x14ac:dyDescent="0.25">
      <c r="A3958" s="22" t="s">
        <v>8</v>
      </c>
      <c r="B3958" s="18" t="str">
        <f>"155561"</f>
        <v>155561</v>
      </c>
      <c r="C3958" s="19" t="s">
        <v>3927</v>
      </c>
      <c r="D3958" s="19" t="s">
        <v>19385</v>
      </c>
      <c r="E3958" s="19" t="s">
        <v>32296</v>
      </c>
      <c r="F3958" s="19" t="s">
        <v>35988</v>
      </c>
      <c r="G3958" s="18" t="str">
        <f>"47660"</f>
        <v>47660</v>
      </c>
      <c r="H3958" s="19" t="s">
        <v>31829</v>
      </c>
      <c r="I3958" s="20">
        <v>18.859000000000002</v>
      </c>
      <c r="J3958" s="44" t="s">
        <v>8</v>
      </c>
      <c r="K3958" s="23" t="s">
        <v>8</v>
      </c>
      <c r="L3958" s="23" t="s">
        <v>8</v>
      </c>
      <c r="M3958" s="23" t="s">
        <v>8</v>
      </c>
    </row>
    <row r="3959" spans="1:13" s="21" customFormat="1" x14ac:dyDescent="0.25">
      <c r="A3959" s="22" t="s">
        <v>8</v>
      </c>
      <c r="B3959" s="18" t="str">
        <f>"155564"</f>
        <v>155564</v>
      </c>
      <c r="C3959" s="19" t="s">
        <v>3643</v>
      </c>
      <c r="D3959" s="19" t="s">
        <v>19386</v>
      </c>
      <c r="E3959" s="19" t="s">
        <v>32297</v>
      </c>
      <c r="F3959" s="19" t="s">
        <v>35988</v>
      </c>
      <c r="G3959" s="18" t="str">
        <f>"46158"</f>
        <v>46158</v>
      </c>
      <c r="H3959" s="19" t="s">
        <v>33505</v>
      </c>
      <c r="I3959" s="20">
        <v>19.934000000000001</v>
      </c>
      <c r="J3959" s="44" t="s">
        <v>8</v>
      </c>
      <c r="K3959" s="23" t="s">
        <v>8</v>
      </c>
      <c r="L3959" s="23" t="s">
        <v>8</v>
      </c>
      <c r="M3959" s="23" t="s">
        <v>8</v>
      </c>
    </row>
    <row r="3960" spans="1:13" s="21" customFormat="1" x14ac:dyDescent="0.25">
      <c r="A3960" s="22" t="s">
        <v>8</v>
      </c>
      <c r="B3960" s="18" t="str">
        <f>"155565"</f>
        <v>155565</v>
      </c>
      <c r="C3960" s="19" t="s">
        <v>3928</v>
      </c>
      <c r="D3960" s="19" t="s">
        <v>19387</v>
      </c>
      <c r="E3960" s="19" t="s">
        <v>32232</v>
      </c>
      <c r="F3960" s="19" t="s">
        <v>35988</v>
      </c>
      <c r="G3960" s="18" t="str">
        <f>"46135"</f>
        <v>46135</v>
      </c>
      <c r="H3960" s="19" t="s">
        <v>31482</v>
      </c>
      <c r="I3960" s="20">
        <v>18.872</v>
      </c>
      <c r="J3960" s="44" t="s">
        <v>8</v>
      </c>
      <c r="K3960" s="23" t="s">
        <v>8</v>
      </c>
      <c r="L3960" s="23" t="s">
        <v>8</v>
      </c>
      <c r="M3960" s="23" t="s">
        <v>8</v>
      </c>
    </row>
    <row r="3961" spans="1:13" s="21" customFormat="1" x14ac:dyDescent="0.25">
      <c r="A3961" s="22" t="s">
        <v>8</v>
      </c>
      <c r="B3961" s="18" t="str">
        <f>"155566"</f>
        <v>155566</v>
      </c>
      <c r="C3961" s="19" t="s">
        <v>3929</v>
      </c>
      <c r="D3961" s="19" t="s">
        <v>19388</v>
      </c>
      <c r="E3961" s="19" t="s">
        <v>32201</v>
      </c>
      <c r="F3961" s="19" t="s">
        <v>35988</v>
      </c>
      <c r="G3961" s="18" t="str">
        <f>"46580"</f>
        <v>46580</v>
      </c>
      <c r="H3961" s="19" t="s">
        <v>33546</v>
      </c>
      <c r="I3961" s="20">
        <v>18.234999999999999</v>
      </c>
      <c r="J3961" s="44" t="s">
        <v>8</v>
      </c>
      <c r="K3961" s="23" t="s">
        <v>8</v>
      </c>
      <c r="L3961" s="23" t="s">
        <v>8</v>
      </c>
      <c r="M3961" s="23" t="s">
        <v>8</v>
      </c>
    </row>
    <row r="3962" spans="1:13" s="21" customFormat="1" x14ac:dyDescent="0.25">
      <c r="A3962" s="22" t="s">
        <v>8</v>
      </c>
      <c r="B3962" s="18" t="str">
        <f>"155567"</f>
        <v>155567</v>
      </c>
      <c r="C3962" s="19" t="s">
        <v>3930</v>
      </c>
      <c r="D3962" s="19" t="s">
        <v>19389</v>
      </c>
      <c r="E3962" s="19" t="s">
        <v>32214</v>
      </c>
      <c r="F3962" s="19" t="s">
        <v>35988</v>
      </c>
      <c r="G3962" s="18" t="str">
        <f>"46825"</f>
        <v>46825</v>
      </c>
      <c r="H3962" s="19" t="s">
        <v>34710</v>
      </c>
      <c r="I3962" s="20">
        <v>17.908999999999999</v>
      </c>
      <c r="J3962" s="44" t="s">
        <v>8</v>
      </c>
      <c r="K3962" s="23" t="s">
        <v>8</v>
      </c>
      <c r="L3962" s="23" t="s">
        <v>8</v>
      </c>
      <c r="M3962" s="23" t="s">
        <v>8</v>
      </c>
    </row>
    <row r="3963" spans="1:13" s="21" customFormat="1" x14ac:dyDescent="0.25">
      <c r="A3963" s="22" t="s">
        <v>8</v>
      </c>
      <c r="B3963" s="18" t="str">
        <f>"155568"</f>
        <v>155568</v>
      </c>
      <c r="C3963" s="19" t="s">
        <v>3931</v>
      </c>
      <c r="D3963" s="19" t="s">
        <v>19390</v>
      </c>
      <c r="E3963" s="19" t="s">
        <v>32298</v>
      </c>
      <c r="F3963" s="19" t="s">
        <v>35988</v>
      </c>
      <c r="G3963" s="18" t="str">
        <f>"47993"</f>
        <v>47993</v>
      </c>
      <c r="H3963" s="19" t="s">
        <v>31025</v>
      </c>
      <c r="I3963" s="20">
        <v>19.515000000000001</v>
      </c>
      <c r="J3963" s="44" t="s">
        <v>8</v>
      </c>
      <c r="K3963" s="23" t="s">
        <v>8</v>
      </c>
      <c r="L3963" s="23" t="s">
        <v>8</v>
      </c>
      <c r="M3963" s="23" t="s">
        <v>8</v>
      </c>
    </row>
    <row r="3964" spans="1:13" s="21" customFormat="1" x14ac:dyDescent="0.25">
      <c r="A3964" s="22" t="s">
        <v>8</v>
      </c>
      <c r="B3964" s="18" t="str">
        <f>"155570"</f>
        <v>155570</v>
      </c>
      <c r="C3964" s="19" t="s">
        <v>3932</v>
      </c>
      <c r="D3964" s="19" t="s">
        <v>19391</v>
      </c>
      <c r="E3964" s="19" t="s">
        <v>32299</v>
      </c>
      <c r="F3964" s="19" t="s">
        <v>35988</v>
      </c>
      <c r="G3964" s="18" t="str">
        <f>"46055"</f>
        <v>46055</v>
      </c>
      <c r="H3964" s="19" t="s">
        <v>33144</v>
      </c>
      <c r="I3964" s="20">
        <v>18.742999999999999</v>
      </c>
      <c r="J3964" s="44" t="s">
        <v>8</v>
      </c>
      <c r="K3964" s="23" t="s">
        <v>8</v>
      </c>
      <c r="L3964" s="23" t="s">
        <v>8</v>
      </c>
      <c r="M3964" s="23" t="s">
        <v>8</v>
      </c>
    </row>
    <row r="3965" spans="1:13" s="21" customFormat="1" x14ac:dyDescent="0.25">
      <c r="A3965" s="22" t="s">
        <v>8</v>
      </c>
      <c r="B3965" s="18" t="str">
        <f>"155571"</f>
        <v>155571</v>
      </c>
      <c r="C3965" s="19" t="s">
        <v>3643</v>
      </c>
      <c r="D3965" s="19" t="s">
        <v>19392</v>
      </c>
      <c r="E3965" s="19" t="s">
        <v>32300</v>
      </c>
      <c r="F3965" s="19" t="s">
        <v>35988</v>
      </c>
      <c r="G3965" s="18" t="str">
        <f>"47336"</f>
        <v>47336</v>
      </c>
      <c r="H3965" s="19" t="s">
        <v>31501</v>
      </c>
      <c r="I3965" s="20">
        <v>16.504000000000001</v>
      </c>
      <c r="J3965" s="44" t="s">
        <v>8</v>
      </c>
      <c r="K3965" s="23" t="s">
        <v>8</v>
      </c>
      <c r="L3965" s="23" t="s">
        <v>8</v>
      </c>
      <c r="M3965" s="23" t="s">
        <v>8</v>
      </c>
    </row>
    <row r="3966" spans="1:13" s="21" customFormat="1" x14ac:dyDescent="0.25">
      <c r="A3966" s="22" t="s">
        <v>8</v>
      </c>
      <c r="B3966" s="18" t="str">
        <f>"155572"</f>
        <v>155572</v>
      </c>
      <c r="C3966" s="19" t="s">
        <v>3933</v>
      </c>
      <c r="D3966" s="19" t="s">
        <v>19393</v>
      </c>
      <c r="E3966" s="19" t="s">
        <v>32301</v>
      </c>
      <c r="F3966" s="19" t="s">
        <v>35988</v>
      </c>
      <c r="G3966" s="18" t="str">
        <f>"46310"</f>
        <v>46310</v>
      </c>
      <c r="H3966" s="19" t="s">
        <v>30854</v>
      </c>
      <c r="I3966" s="20">
        <v>16.457000000000001</v>
      </c>
      <c r="J3966" s="44" t="s">
        <v>8</v>
      </c>
      <c r="K3966" s="23" t="s">
        <v>8</v>
      </c>
      <c r="L3966" s="23" t="s">
        <v>8</v>
      </c>
      <c r="M3966" s="23" t="s">
        <v>8</v>
      </c>
    </row>
    <row r="3967" spans="1:13" s="21" customFormat="1" x14ac:dyDescent="0.25">
      <c r="A3967" s="22" t="s">
        <v>8</v>
      </c>
      <c r="B3967" s="18" t="str">
        <f>"155573"</f>
        <v>155573</v>
      </c>
      <c r="C3967" s="19" t="s">
        <v>3643</v>
      </c>
      <c r="D3967" s="19" t="s">
        <v>19394</v>
      </c>
      <c r="E3967" s="19" t="s">
        <v>31412</v>
      </c>
      <c r="F3967" s="19" t="s">
        <v>35988</v>
      </c>
      <c r="G3967" s="18" t="str">
        <f>"47356"</f>
        <v>47356</v>
      </c>
      <c r="H3967" s="19" t="s">
        <v>32041</v>
      </c>
      <c r="I3967" s="20">
        <v>23.184000000000001</v>
      </c>
      <c r="J3967" s="44" t="s">
        <v>8</v>
      </c>
      <c r="K3967" s="23" t="s">
        <v>8</v>
      </c>
      <c r="L3967" s="23" t="s">
        <v>8</v>
      </c>
      <c r="M3967" s="23" t="s">
        <v>8</v>
      </c>
    </row>
    <row r="3968" spans="1:13" s="21" customFormat="1" x14ac:dyDescent="0.25">
      <c r="A3968" s="22" t="s">
        <v>8</v>
      </c>
      <c r="B3968" s="18" t="str">
        <f>"155574"</f>
        <v>155574</v>
      </c>
      <c r="C3968" s="19" t="s">
        <v>3643</v>
      </c>
      <c r="D3968" s="19" t="s">
        <v>19395</v>
      </c>
      <c r="E3968" s="19" t="s">
        <v>32302</v>
      </c>
      <c r="F3968" s="19" t="s">
        <v>35988</v>
      </c>
      <c r="G3968" s="18" t="str">
        <f>"46574"</f>
        <v>46574</v>
      </c>
      <c r="H3968" s="19" t="s">
        <v>33301</v>
      </c>
      <c r="I3968" s="20">
        <v>17.010000000000002</v>
      </c>
      <c r="J3968" s="44" t="s">
        <v>8</v>
      </c>
      <c r="K3968" s="23" t="s">
        <v>8</v>
      </c>
      <c r="L3968" s="23" t="s">
        <v>8</v>
      </c>
      <c r="M3968" s="23" t="s">
        <v>8</v>
      </c>
    </row>
    <row r="3969" spans="1:13" s="21" customFormat="1" x14ac:dyDescent="0.25">
      <c r="A3969" s="22" t="s">
        <v>8</v>
      </c>
      <c r="B3969" s="18" t="str">
        <f>"155576"</f>
        <v>155576</v>
      </c>
      <c r="C3969" s="19" t="s">
        <v>3643</v>
      </c>
      <c r="D3969" s="19" t="s">
        <v>19396</v>
      </c>
      <c r="E3969" s="19" t="s">
        <v>32303</v>
      </c>
      <c r="F3969" s="19" t="s">
        <v>35988</v>
      </c>
      <c r="G3969" s="18" t="str">
        <f>"47348"</f>
        <v>47348</v>
      </c>
      <c r="H3969" s="19" t="s">
        <v>36266</v>
      </c>
      <c r="I3969" s="20">
        <v>20.295000000000002</v>
      </c>
      <c r="J3969" s="44" t="s">
        <v>8</v>
      </c>
      <c r="K3969" s="23" t="s">
        <v>8</v>
      </c>
      <c r="L3969" s="23" t="s">
        <v>8</v>
      </c>
      <c r="M3969" s="23" t="s">
        <v>8</v>
      </c>
    </row>
    <row r="3970" spans="1:13" s="21" customFormat="1" x14ac:dyDescent="0.25">
      <c r="A3970" s="22" t="s">
        <v>8</v>
      </c>
      <c r="B3970" s="18" t="str">
        <f>"155578"</f>
        <v>155578</v>
      </c>
      <c r="C3970" s="19" t="s">
        <v>3643</v>
      </c>
      <c r="D3970" s="19" t="s">
        <v>19397</v>
      </c>
      <c r="E3970" s="19" t="s">
        <v>32304</v>
      </c>
      <c r="F3970" s="19" t="s">
        <v>35988</v>
      </c>
      <c r="G3970" s="18" t="str">
        <f>"46552"</f>
        <v>46552</v>
      </c>
      <c r="H3970" s="19" t="s">
        <v>33301</v>
      </c>
      <c r="I3970" s="20">
        <v>17.552</v>
      </c>
      <c r="J3970" s="44" t="s">
        <v>8</v>
      </c>
      <c r="K3970" s="23" t="s">
        <v>8</v>
      </c>
      <c r="L3970" s="23" t="s">
        <v>8</v>
      </c>
      <c r="M3970" s="23" t="s">
        <v>8</v>
      </c>
    </row>
    <row r="3971" spans="1:13" s="21" customFormat="1" x14ac:dyDescent="0.25">
      <c r="A3971" s="22" t="s">
        <v>8</v>
      </c>
      <c r="B3971" s="18" t="str">
        <f>"155579"</f>
        <v>155579</v>
      </c>
      <c r="C3971" s="19" t="s">
        <v>3643</v>
      </c>
      <c r="D3971" s="19" t="s">
        <v>19398</v>
      </c>
      <c r="E3971" s="19" t="s">
        <v>31060</v>
      </c>
      <c r="F3971" s="19" t="s">
        <v>35988</v>
      </c>
      <c r="G3971" s="18" t="str">
        <f>"47246"</f>
        <v>47246</v>
      </c>
      <c r="H3971" s="19" t="s">
        <v>36255</v>
      </c>
      <c r="I3971" s="20">
        <v>17.922000000000001</v>
      </c>
      <c r="J3971" s="44" t="s">
        <v>8</v>
      </c>
      <c r="K3971" s="23" t="s">
        <v>8</v>
      </c>
      <c r="L3971" s="23" t="s">
        <v>8</v>
      </c>
      <c r="M3971" s="23" t="s">
        <v>8</v>
      </c>
    </row>
    <row r="3972" spans="1:13" s="21" customFormat="1" x14ac:dyDescent="0.25">
      <c r="A3972" s="22" t="s">
        <v>8</v>
      </c>
      <c r="B3972" s="18" t="str">
        <f>"155580"</f>
        <v>155580</v>
      </c>
      <c r="C3972" s="19" t="s">
        <v>3934</v>
      </c>
      <c r="D3972" s="19" t="s">
        <v>19399</v>
      </c>
      <c r="E3972" s="19" t="s">
        <v>32291</v>
      </c>
      <c r="F3972" s="19" t="s">
        <v>35988</v>
      </c>
      <c r="G3972" s="18" t="str">
        <f>"46404"</f>
        <v>46404</v>
      </c>
      <c r="H3972" s="19" t="s">
        <v>36096</v>
      </c>
      <c r="I3972" s="20">
        <v>22.292999999999999</v>
      </c>
      <c r="J3972" s="44" t="s">
        <v>8</v>
      </c>
      <c r="K3972" s="23" t="s">
        <v>8</v>
      </c>
      <c r="L3972" s="23" t="s">
        <v>8</v>
      </c>
      <c r="M3972" s="23" t="s">
        <v>8</v>
      </c>
    </row>
    <row r="3973" spans="1:13" s="21" customFormat="1" x14ac:dyDescent="0.25">
      <c r="A3973" s="22" t="s">
        <v>8</v>
      </c>
      <c r="B3973" s="18" t="str">
        <f>"155581"</f>
        <v>155581</v>
      </c>
      <c r="C3973" s="19" t="s">
        <v>3643</v>
      </c>
      <c r="D3973" s="19" t="s">
        <v>19400</v>
      </c>
      <c r="E3973" s="19" t="s">
        <v>32305</v>
      </c>
      <c r="F3973" s="19" t="s">
        <v>35988</v>
      </c>
      <c r="G3973" s="18" t="str">
        <f>"46567"</f>
        <v>46567</v>
      </c>
      <c r="H3973" s="19" t="s">
        <v>33546</v>
      </c>
      <c r="I3973" s="20">
        <v>19.513000000000002</v>
      </c>
      <c r="J3973" s="44" t="s">
        <v>8</v>
      </c>
      <c r="K3973" s="23" t="s">
        <v>8</v>
      </c>
      <c r="L3973" s="23" t="s">
        <v>8</v>
      </c>
      <c r="M3973" s="23" t="s">
        <v>8</v>
      </c>
    </row>
    <row r="3974" spans="1:13" s="21" customFormat="1" x14ac:dyDescent="0.25">
      <c r="A3974" s="22" t="s">
        <v>8</v>
      </c>
      <c r="B3974" s="18" t="str">
        <f>"155582"</f>
        <v>155582</v>
      </c>
      <c r="C3974" s="19" t="s">
        <v>3643</v>
      </c>
      <c r="D3974" s="19" t="s">
        <v>19401</v>
      </c>
      <c r="E3974" s="19" t="s">
        <v>32306</v>
      </c>
      <c r="F3974" s="19" t="s">
        <v>35988</v>
      </c>
      <c r="G3974" s="18" t="str">
        <f>"46573"</f>
        <v>46573</v>
      </c>
      <c r="H3974" s="19" t="s">
        <v>32213</v>
      </c>
      <c r="I3974" s="20">
        <v>17.937999999999999</v>
      </c>
      <c r="J3974" s="44" t="s">
        <v>8</v>
      </c>
      <c r="K3974" s="23" t="s">
        <v>8</v>
      </c>
      <c r="L3974" s="23" t="s">
        <v>8</v>
      </c>
      <c r="M3974" s="23" t="s">
        <v>8</v>
      </c>
    </row>
    <row r="3975" spans="1:13" s="21" customFormat="1" x14ac:dyDescent="0.25">
      <c r="A3975" s="22" t="s">
        <v>8</v>
      </c>
      <c r="B3975" s="18" t="str">
        <f>"155583"</f>
        <v>155583</v>
      </c>
      <c r="C3975" s="19" t="s">
        <v>3643</v>
      </c>
      <c r="D3975" s="19" t="s">
        <v>19402</v>
      </c>
      <c r="E3975" s="19" t="s">
        <v>32307</v>
      </c>
      <c r="F3975" s="19" t="s">
        <v>35988</v>
      </c>
      <c r="G3975" s="18" t="str">
        <f>"46738"</f>
        <v>46738</v>
      </c>
      <c r="H3975" s="19" t="s">
        <v>31954</v>
      </c>
      <c r="I3975" s="20">
        <v>17.896999999999998</v>
      </c>
      <c r="J3975" s="44" t="s">
        <v>8</v>
      </c>
      <c r="K3975" s="23" t="s">
        <v>8</v>
      </c>
      <c r="L3975" s="23" t="s">
        <v>8</v>
      </c>
      <c r="M3975" s="23" t="s">
        <v>8</v>
      </c>
    </row>
    <row r="3976" spans="1:13" s="21" customFormat="1" x14ac:dyDescent="0.25">
      <c r="A3976" s="22" t="s">
        <v>8</v>
      </c>
      <c r="B3976" s="18" t="str">
        <f>"155586"</f>
        <v>155586</v>
      </c>
      <c r="C3976" s="19" t="s">
        <v>3935</v>
      </c>
      <c r="D3976" s="19" t="s">
        <v>19403</v>
      </c>
      <c r="E3976" s="19" t="s">
        <v>32214</v>
      </c>
      <c r="F3976" s="19" t="s">
        <v>35988</v>
      </c>
      <c r="G3976" s="18" t="str">
        <f>"46816"</f>
        <v>46816</v>
      </c>
      <c r="H3976" s="19" t="s">
        <v>34710</v>
      </c>
      <c r="I3976" s="20">
        <v>23.13</v>
      </c>
      <c r="J3976" s="44" t="s">
        <v>8</v>
      </c>
      <c r="K3976" s="23" t="s">
        <v>8</v>
      </c>
      <c r="L3976" s="23" t="s">
        <v>8</v>
      </c>
      <c r="M3976" s="23" t="s">
        <v>8</v>
      </c>
    </row>
    <row r="3977" spans="1:13" s="21" customFormat="1" x14ac:dyDescent="0.25">
      <c r="A3977" s="22" t="s">
        <v>8</v>
      </c>
      <c r="B3977" s="18" t="str">
        <f>"155587"</f>
        <v>155587</v>
      </c>
      <c r="C3977" s="19" t="s">
        <v>3936</v>
      </c>
      <c r="D3977" s="19" t="s">
        <v>19404</v>
      </c>
      <c r="E3977" s="19" t="s">
        <v>31253</v>
      </c>
      <c r="F3977" s="19" t="s">
        <v>35988</v>
      </c>
      <c r="G3977" s="18" t="str">
        <f>"46120"</f>
        <v>46120</v>
      </c>
      <c r="H3977" s="19" t="s">
        <v>31482</v>
      </c>
      <c r="I3977" s="20">
        <v>18.515000000000001</v>
      </c>
      <c r="J3977" s="44" t="s">
        <v>8</v>
      </c>
      <c r="K3977" s="23" t="s">
        <v>8</v>
      </c>
      <c r="L3977" s="23" t="s">
        <v>8</v>
      </c>
      <c r="M3977" s="23" t="s">
        <v>8</v>
      </c>
    </row>
    <row r="3978" spans="1:13" s="21" customFormat="1" x14ac:dyDescent="0.25">
      <c r="A3978" s="22" t="s">
        <v>8</v>
      </c>
      <c r="B3978" s="18" t="str">
        <f>"155589"</f>
        <v>155589</v>
      </c>
      <c r="C3978" s="19" t="s">
        <v>3643</v>
      </c>
      <c r="D3978" s="19" t="s">
        <v>19405</v>
      </c>
      <c r="E3978" s="19" t="s">
        <v>32308</v>
      </c>
      <c r="F3978" s="19" t="s">
        <v>35988</v>
      </c>
      <c r="G3978" s="18" t="str">
        <f>"46511"</f>
        <v>46511</v>
      </c>
      <c r="H3978" s="19" t="s">
        <v>31063</v>
      </c>
      <c r="I3978" s="20">
        <v>18.978000000000002</v>
      </c>
      <c r="J3978" s="44" t="s">
        <v>8</v>
      </c>
      <c r="K3978" s="23" t="s">
        <v>8</v>
      </c>
      <c r="L3978" s="23" t="s">
        <v>8</v>
      </c>
      <c r="M3978" s="23" t="s">
        <v>8</v>
      </c>
    </row>
    <row r="3979" spans="1:13" s="21" customFormat="1" x14ac:dyDescent="0.25">
      <c r="A3979" s="22" t="s">
        <v>8</v>
      </c>
      <c r="B3979" s="18" t="str">
        <f>"155593"</f>
        <v>155593</v>
      </c>
      <c r="C3979" s="19" t="s">
        <v>3937</v>
      </c>
      <c r="D3979" s="19" t="s">
        <v>19406</v>
      </c>
      <c r="E3979" s="19" t="s">
        <v>5</v>
      </c>
      <c r="F3979" s="19" t="s">
        <v>35988</v>
      </c>
      <c r="G3979" s="18" t="str">
        <f>"46131"</f>
        <v>46131</v>
      </c>
      <c r="H3979" s="19" t="s">
        <v>36072</v>
      </c>
      <c r="I3979" s="20">
        <v>19.893999999999998</v>
      </c>
      <c r="J3979" s="44" t="s">
        <v>8</v>
      </c>
      <c r="K3979" s="23" t="s">
        <v>8</v>
      </c>
      <c r="L3979" s="23" t="s">
        <v>8</v>
      </c>
      <c r="M3979" s="23" t="s">
        <v>8</v>
      </c>
    </row>
    <row r="3980" spans="1:13" s="21" customFormat="1" x14ac:dyDescent="0.25">
      <c r="A3980" s="22" t="s">
        <v>8</v>
      </c>
      <c r="B3980" s="18" t="str">
        <f>"155596"</f>
        <v>155596</v>
      </c>
      <c r="C3980" s="19" t="s">
        <v>3938</v>
      </c>
      <c r="D3980" s="19" t="s">
        <v>19407</v>
      </c>
      <c r="E3980" s="19" t="s">
        <v>32274</v>
      </c>
      <c r="F3980" s="19" t="s">
        <v>35988</v>
      </c>
      <c r="G3980" s="18" t="str">
        <f>"46703"</f>
        <v>46703</v>
      </c>
      <c r="H3980" s="19" t="s">
        <v>36262</v>
      </c>
      <c r="I3980" s="20">
        <v>17.901</v>
      </c>
      <c r="J3980" s="44" t="s">
        <v>8</v>
      </c>
      <c r="K3980" s="23" t="s">
        <v>8</v>
      </c>
      <c r="L3980" s="23" t="s">
        <v>8</v>
      </c>
      <c r="M3980" s="23" t="s">
        <v>8</v>
      </c>
    </row>
    <row r="3981" spans="1:13" s="21" customFormat="1" x14ac:dyDescent="0.25">
      <c r="A3981" s="22" t="s">
        <v>8</v>
      </c>
      <c r="B3981" s="18" t="str">
        <f>"155600"</f>
        <v>155600</v>
      </c>
      <c r="C3981" s="19" t="s">
        <v>3939</v>
      </c>
      <c r="D3981" s="19" t="s">
        <v>19408</v>
      </c>
      <c r="E3981" s="19" t="s">
        <v>32309</v>
      </c>
      <c r="F3981" s="19" t="s">
        <v>35988</v>
      </c>
      <c r="G3981" s="18" t="str">
        <f>"46058"</f>
        <v>46058</v>
      </c>
      <c r="H3981" s="19" t="s">
        <v>31081</v>
      </c>
      <c r="I3981" s="20">
        <v>14.808</v>
      </c>
      <c r="J3981" s="44" t="s">
        <v>8</v>
      </c>
      <c r="K3981" s="23" t="s">
        <v>8</v>
      </c>
      <c r="L3981" s="23" t="s">
        <v>8</v>
      </c>
      <c r="M3981" s="23" t="s">
        <v>8</v>
      </c>
    </row>
    <row r="3982" spans="1:13" s="21" customFormat="1" x14ac:dyDescent="0.25">
      <c r="A3982" s="22" t="s">
        <v>8</v>
      </c>
      <c r="B3982" s="18" t="str">
        <f>"155604"</f>
        <v>155604</v>
      </c>
      <c r="C3982" s="19" t="s">
        <v>3940</v>
      </c>
      <c r="D3982" s="19" t="s">
        <v>19409</v>
      </c>
      <c r="E3982" s="19" t="s">
        <v>30892</v>
      </c>
      <c r="F3982" s="19" t="s">
        <v>35988</v>
      </c>
      <c r="G3982" s="18" t="str">
        <f>"47904"</f>
        <v>47904</v>
      </c>
      <c r="H3982" s="19" t="s">
        <v>36251</v>
      </c>
      <c r="I3982" s="20">
        <v>15.461</v>
      </c>
      <c r="J3982" s="44" t="s">
        <v>8</v>
      </c>
      <c r="K3982" s="23" t="s">
        <v>8</v>
      </c>
      <c r="L3982" s="23" t="s">
        <v>8</v>
      </c>
      <c r="M3982" s="23" t="s">
        <v>8</v>
      </c>
    </row>
    <row r="3983" spans="1:13" s="21" customFormat="1" x14ac:dyDescent="0.25">
      <c r="A3983" s="22" t="s">
        <v>8</v>
      </c>
      <c r="B3983" s="18" t="str">
        <f>"155605"</f>
        <v>155605</v>
      </c>
      <c r="C3983" s="19" t="s">
        <v>3941</v>
      </c>
      <c r="D3983" s="19" t="s">
        <v>19410</v>
      </c>
      <c r="E3983" s="19" t="s">
        <v>32229</v>
      </c>
      <c r="F3983" s="19" t="s">
        <v>35988</v>
      </c>
      <c r="G3983" s="18" t="str">
        <f>"46151"</f>
        <v>46151</v>
      </c>
      <c r="H3983" s="19" t="s">
        <v>33505</v>
      </c>
      <c r="I3983" s="20">
        <v>19.338000000000001</v>
      </c>
      <c r="J3983" s="44" t="s">
        <v>8</v>
      </c>
      <c r="K3983" s="23" t="s">
        <v>8</v>
      </c>
      <c r="L3983" s="23" t="s">
        <v>8</v>
      </c>
      <c r="M3983" s="23" t="s">
        <v>8</v>
      </c>
    </row>
    <row r="3984" spans="1:13" s="21" customFormat="1" x14ac:dyDescent="0.25">
      <c r="A3984" s="22" t="s">
        <v>8</v>
      </c>
      <c r="B3984" s="18" t="str">
        <f>"155606"</f>
        <v>155606</v>
      </c>
      <c r="C3984" s="19" t="s">
        <v>3942</v>
      </c>
      <c r="D3984" s="19" t="s">
        <v>19411</v>
      </c>
      <c r="E3984" s="19" t="s">
        <v>32200</v>
      </c>
      <c r="F3984" s="19" t="s">
        <v>35988</v>
      </c>
      <c r="G3984" s="18" t="str">
        <f>"46234"</f>
        <v>46234</v>
      </c>
      <c r="H3984" s="19" t="s">
        <v>30850</v>
      </c>
      <c r="I3984" s="20">
        <v>11.875999999999999</v>
      </c>
      <c r="J3984" s="44" t="s">
        <v>8</v>
      </c>
      <c r="K3984" s="23" t="s">
        <v>8</v>
      </c>
      <c r="L3984" s="23" t="s">
        <v>8</v>
      </c>
      <c r="M3984" s="23" t="s">
        <v>8</v>
      </c>
    </row>
    <row r="3985" spans="1:13" s="21" customFormat="1" x14ac:dyDescent="0.25">
      <c r="A3985" s="22" t="s">
        <v>8</v>
      </c>
      <c r="B3985" s="18" t="str">
        <f>"155607"</f>
        <v>155607</v>
      </c>
      <c r="C3985" s="19" t="s">
        <v>3943</v>
      </c>
      <c r="D3985" s="19" t="s">
        <v>19412</v>
      </c>
      <c r="E3985" s="19" t="s">
        <v>32217</v>
      </c>
      <c r="F3985" s="19" t="s">
        <v>35988</v>
      </c>
      <c r="G3985" s="18" t="str">
        <f>"47710"</f>
        <v>47710</v>
      </c>
      <c r="H3985" s="19" t="s">
        <v>36252</v>
      </c>
      <c r="I3985" s="20">
        <v>18.574000000000002</v>
      </c>
      <c r="J3985" s="44" t="s">
        <v>8</v>
      </c>
      <c r="K3985" s="23" t="s">
        <v>8</v>
      </c>
      <c r="L3985" s="23" t="s">
        <v>8</v>
      </c>
      <c r="M3985" s="23" t="s">
        <v>8</v>
      </c>
    </row>
    <row r="3986" spans="1:13" s="21" customFormat="1" x14ac:dyDescent="0.25">
      <c r="A3986" s="22" t="s">
        <v>8</v>
      </c>
      <c r="B3986" s="18" t="str">
        <f>"155608"</f>
        <v>155608</v>
      </c>
      <c r="C3986" s="19" t="s">
        <v>3944</v>
      </c>
      <c r="D3986" s="19" t="s">
        <v>19413</v>
      </c>
      <c r="E3986" s="19" t="s">
        <v>32237</v>
      </c>
      <c r="F3986" s="19" t="s">
        <v>35988</v>
      </c>
      <c r="G3986" s="18" t="str">
        <f>"46307"</f>
        <v>46307</v>
      </c>
      <c r="H3986" s="19" t="s">
        <v>36096</v>
      </c>
      <c r="I3986" s="20">
        <v>18.106000000000002</v>
      </c>
      <c r="J3986" s="44" t="s">
        <v>8</v>
      </c>
      <c r="K3986" s="23" t="s">
        <v>8</v>
      </c>
      <c r="L3986" s="23" t="s">
        <v>8</v>
      </c>
      <c r="M3986" s="23" t="s">
        <v>8</v>
      </c>
    </row>
    <row r="3987" spans="1:13" s="21" customFormat="1" x14ac:dyDescent="0.25">
      <c r="A3987" s="22" t="s">
        <v>8</v>
      </c>
      <c r="B3987" s="18" t="str">
        <f>"155611"</f>
        <v>155611</v>
      </c>
      <c r="C3987" s="19" t="s">
        <v>3945</v>
      </c>
      <c r="D3987" s="19" t="s">
        <v>19414</v>
      </c>
      <c r="E3987" s="19" t="s">
        <v>32310</v>
      </c>
      <c r="F3987" s="19" t="s">
        <v>35988</v>
      </c>
      <c r="G3987" s="18" t="str">
        <f>"47220"</f>
        <v>47220</v>
      </c>
      <c r="H3987" s="19" t="s">
        <v>30816</v>
      </c>
      <c r="I3987" s="20">
        <v>17.161000000000001</v>
      </c>
      <c r="J3987" s="44" t="s">
        <v>8</v>
      </c>
      <c r="K3987" s="23" t="s">
        <v>8</v>
      </c>
      <c r="L3987" s="23" t="s">
        <v>8</v>
      </c>
      <c r="M3987" s="23" t="s">
        <v>8</v>
      </c>
    </row>
    <row r="3988" spans="1:13" s="21" customFormat="1" x14ac:dyDescent="0.25">
      <c r="A3988" s="22" t="s">
        <v>8</v>
      </c>
      <c r="B3988" s="18" t="str">
        <f>"155614"</f>
        <v>155614</v>
      </c>
      <c r="C3988" s="19" t="s">
        <v>3946</v>
      </c>
      <c r="D3988" s="19" t="s">
        <v>19415</v>
      </c>
      <c r="E3988" s="19" t="s">
        <v>32211</v>
      </c>
      <c r="F3988" s="19" t="s">
        <v>35988</v>
      </c>
      <c r="G3988" s="18" t="str">
        <f>"47150"</f>
        <v>47150</v>
      </c>
      <c r="H3988" s="19" t="s">
        <v>35420</v>
      </c>
      <c r="I3988" s="20">
        <v>18.853000000000002</v>
      </c>
      <c r="J3988" s="44" t="s">
        <v>8</v>
      </c>
      <c r="K3988" s="23" t="s">
        <v>8</v>
      </c>
      <c r="L3988" s="23" t="s">
        <v>8</v>
      </c>
      <c r="M3988" s="23" t="s">
        <v>8</v>
      </c>
    </row>
    <row r="3989" spans="1:13" s="21" customFormat="1" x14ac:dyDescent="0.25">
      <c r="A3989" s="22" t="s">
        <v>8</v>
      </c>
      <c r="B3989" s="18" t="str">
        <f>"155616"</f>
        <v>155616</v>
      </c>
      <c r="C3989" s="19" t="s">
        <v>3947</v>
      </c>
      <c r="D3989" s="19" t="s">
        <v>19416</v>
      </c>
      <c r="E3989" s="19" t="s">
        <v>32211</v>
      </c>
      <c r="F3989" s="19" t="s">
        <v>35988</v>
      </c>
      <c r="G3989" s="18" t="str">
        <f>"47150"</f>
        <v>47150</v>
      </c>
      <c r="H3989" s="19" t="s">
        <v>35420</v>
      </c>
      <c r="I3989" s="20">
        <v>17.382000000000001</v>
      </c>
      <c r="J3989" s="44" t="s">
        <v>8</v>
      </c>
      <c r="K3989" s="23" t="s">
        <v>8</v>
      </c>
      <c r="L3989" s="23" t="s">
        <v>8</v>
      </c>
      <c r="M3989" s="23" t="s">
        <v>8</v>
      </c>
    </row>
    <row r="3990" spans="1:13" s="21" customFormat="1" x14ac:dyDescent="0.25">
      <c r="A3990" s="22" t="s">
        <v>8</v>
      </c>
      <c r="B3990" s="18" t="str">
        <f>"155617"</f>
        <v>155617</v>
      </c>
      <c r="C3990" s="19" t="s">
        <v>3643</v>
      </c>
      <c r="D3990" s="19" t="s">
        <v>19417</v>
      </c>
      <c r="E3990" s="19" t="s">
        <v>32311</v>
      </c>
      <c r="F3990" s="19" t="s">
        <v>35988</v>
      </c>
      <c r="G3990" s="18" t="str">
        <f>"46017"</f>
        <v>46017</v>
      </c>
      <c r="H3990" s="19" t="s">
        <v>30899</v>
      </c>
      <c r="I3990" s="20">
        <v>17.777000000000001</v>
      </c>
      <c r="J3990" s="44" t="s">
        <v>8</v>
      </c>
      <c r="K3990" s="23" t="s">
        <v>8</v>
      </c>
      <c r="L3990" s="23" t="s">
        <v>8</v>
      </c>
      <c r="M3990" s="23" t="s">
        <v>8</v>
      </c>
    </row>
    <row r="3991" spans="1:13" s="21" customFormat="1" x14ac:dyDescent="0.25">
      <c r="A3991" s="22" t="s">
        <v>8</v>
      </c>
      <c r="B3991" s="18" t="str">
        <f>"155618"</f>
        <v>155618</v>
      </c>
      <c r="C3991" s="19" t="s">
        <v>3948</v>
      </c>
      <c r="D3991" s="19" t="s">
        <v>19418</v>
      </c>
      <c r="E3991" s="19" t="s">
        <v>32228</v>
      </c>
      <c r="F3991" s="19" t="s">
        <v>35988</v>
      </c>
      <c r="G3991" s="18" t="str">
        <f>"46032"</f>
        <v>46032</v>
      </c>
      <c r="H3991" s="19" t="s">
        <v>30804</v>
      </c>
      <c r="I3991" s="20">
        <v>19.91</v>
      </c>
      <c r="J3991" s="44" t="s">
        <v>8</v>
      </c>
      <c r="K3991" s="23" t="s">
        <v>8</v>
      </c>
      <c r="L3991" s="23" t="s">
        <v>8</v>
      </c>
      <c r="M3991" s="23" t="s">
        <v>8</v>
      </c>
    </row>
    <row r="3992" spans="1:13" s="21" customFormat="1" x14ac:dyDescent="0.25">
      <c r="A3992" s="22" t="s">
        <v>8</v>
      </c>
      <c r="B3992" s="18" t="str">
        <f>"155620"</f>
        <v>155620</v>
      </c>
      <c r="C3992" s="19" t="s">
        <v>3949</v>
      </c>
      <c r="D3992" s="19" t="s">
        <v>19419</v>
      </c>
      <c r="E3992" s="19" t="s">
        <v>32312</v>
      </c>
      <c r="F3992" s="19" t="s">
        <v>35988</v>
      </c>
      <c r="G3992" s="18" t="str">
        <f>"46077"</f>
        <v>46077</v>
      </c>
      <c r="H3992" s="19" t="s">
        <v>32513</v>
      </c>
      <c r="I3992" s="20">
        <v>18.201000000000001</v>
      </c>
      <c r="J3992" s="44" t="s">
        <v>8</v>
      </c>
      <c r="K3992" s="23" t="s">
        <v>8</v>
      </c>
      <c r="L3992" s="23" t="s">
        <v>8</v>
      </c>
      <c r="M3992" s="23" t="s">
        <v>8</v>
      </c>
    </row>
    <row r="3993" spans="1:13" s="21" customFormat="1" x14ac:dyDescent="0.25">
      <c r="A3993" s="22" t="s">
        <v>8</v>
      </c>
      <c r="B3993" s="18" t="str">
        <f>"155621"</f>
        <v>155621</v>
      </c>
      <c r="C3993" s="19" t="s">
        <v>3950</v>
      </c>
      <c r="D3993" s="19" t="s">
        <v>19420</v>
      </c>
      <c r="E3993" s="19" t="s">
        <v>32217</v>
      </c>
      <c r="F3993" s="19" t="s">
        <v>35988</v>
      </c>
      <c r="G3993" s="18" t="str">
        <f>"47720"</f>
        <v>47720</v>
      </c>
      <c r="H3993" s="19" t="s">
        <v>36252</v>
      </c>
      <c r="I3993" s="20">
        <v>18.800999999999998</v>
      </c>
      <c r="J3993" s="44" t="s">
        <v>8</v>
      </c>
      <c r="K3993" s="23" t="s">
        <v>8</v>
      </c>
      <c r="L3993" s="23" t="s">
        <v>8</v>
      </c>
      <c r="M3993" s="23" t="s">
        <v>8</v>
      </c>
    </row>
    <row r="3994" spans="1:13" s="21" customFormat="1" x14ac:dyDescent="0.25">
      <c r="A3994" s="22" t="s">
        <v>8</v>
      </c>
      <c r="B3994" s="18" t="str">
        <f>"155625"</f>
        <v>155625</v>
      </c>
      <c r="C3994" s="19" t="s">
        <v>3951</v>
      </c>
      <c r="D3994" s="19" t="s">
        <v>19421</v>
      </c>
      <c r="E3994" s="19" t="s">
        <v>32236</v>
      </c>
      <c r="F3994" s="19" t="s">
        <v>35988</v>
      </c>
      <c r="G3994" s="18" t="str">
        <f>"47240"</f>
        <v>47240</v>
      </c>
      <c r="H3994" s="19" t="s">
        <v>30853</v>
      </c>
      <c r="I3994" s="20">
        <v>17.007000000000001</v>
      </c>
      <c r="J3994" s="44" t="s">
        <v>8</v>
      </c>
      <c r="K3994" s="23" t="s">
        <v>8</v>
      </c>
      <c r="L3994" s="23" t="s">
        <v>8</v>
      </c>
      <c r="M3994" s="23" t="s">
        <v>8</v>
      </c>
    </row>
    <row r="3995" spans="1:13" s="21" customFormat="1" x14ac:dyDescent="0.25">
      <c r="A3995" s="22" t="s">
        <v>8</v>
      </c>
      <c r="B3995" s="18" t="str">
        <f>"155627"</f>
        <v>155627</v>
      </c>
      <c r="C3995" s="19" t="s">
        <v>3643</v>
      </c>
      <c r="D3995" s="19" t="s">
        <v>19422</v>
      </c>
      <c r="E3995" s="19" t="s">
        <v>32203</v>
      </c>
      <c r="F3995" s="19" t="s">
        <v>35988</v>
      </c>
      <c r="G3995" s="18" t="str">
        <f>"46992"</f>
        <v>46992</v>
      </c>
      <c r="H3995" s="19" t="s">
        <v>32203</v>
      </c>
      <c r="I3995" s="20">
        <v>17.05</v>
      </c>
      <c r="J3995" s="44" t="s">
        <v>8</v>
      </c>
      <c r="K3995" s="23" t="s">
        <v>8</v>
      </c>
      <c r="L3995" s="23" t="s">
        <v>8</v>
      </c>
      <c r="M3995" s="23" t="s">
        <v>8</v>
      </c>
    </row>
    <row r="3996" spans="1:13" s="21" customFormat="1" x14ac:dyDescent="0.25">
      <c r="A3996" s="22" t="s">
        <v>8</v>
      </c>
      <c r="B3996" s="18" t="str">
        <f>"155628"</f>
        <v>155628</v>
      </c>
      <c r="C3996" s="19" t="s">
        <v>3952</v>
      </c>
      <c r="D3996" s="19" t="s">
        <v>19423</v>
      </c>
      <c r="E3996" s="19" t="s">
        <v>32200</v>
      </c>
      <c r="F3996" s="19" t="s">
        <v>35988</v>
      </c>
      <c r="G3996" s="18" t="str">
        <f>"46205"</f>
        <v>46205</v>
      </c>
      <c r="H3996" s="19" t="s">
        <v>30850</v>
      </c>
      <c r="I3996" s="20">
        <v>19.609000000000002</v>
      </c>
      <c r="J3996" s="44" t="s">
        <v>8</v>
      </c>
      <c r="K3996" s="23" t="s">
        <v>8</v>
      </c>
      <c r="L3996" s="23" t="s">
        <v>8</v>
      </c>
      <c r="M3996" s="23" t="s">
        <v>8</v>
      </c>
    </row>
    <row r="3997" spans="1:13" s="21" customFormat="1" x14ac:dyDescent="0.25">
      <c r="A3997" s="22" t="s">
        <v>8</v>
      </c>
      <c r="B3997" s="18" t="str">
        <f>"155630"</f>
        <v>155630</v>
      </c>
      <c r="C3997" s="19" t="s">
        <v>3953</v>
      </c>
      <c r="D3997" s="19" t="s">
        <v>19424</v>
      </c>
      <c r="E3997" s="19" t="s">
        <v>32017</v>
      </c>
      <c r="F3997" s="19" t="s">
        <v>35988</v>
      </c>
      <c r="G3997" s="18" t="str">
        <f>"46173"</f>
        <v>46173</v>
      </c>
      <c r="H3997" s="19" t="s">
        <v>36250</v>
      </c>
      <c r="I3997" s="20">
        <v>18.882000000000001</v>
      </c>
      <c r="J3997" s="44" t="s">
        <v>8</v>
      </c>
      <c r="K3997" s="23" t="s">
        <v>8</v>
      </c>
      <c r="L3997" s="23" t="s">
        <v>8</v>
      </c>
      <c r="M3997" s="23" t="s">
        <v>8</v>
      </c>
    </row>
    <row r="3998" spans="1:13" s="21" customFormat="1" x14ac:dyDescent="0.25">
      <c r="A3998" s="22" t="s">
        <v>8</v>
      </c>
      <c r="B3998" s="18" t="str">
        <f>"155631"</f>
        <v>155631</v>
      </c>
      <c r="C3998" s="19" t="s">
        <v>3954</v>
      </c>
      <c r="D3998" s="19" t="s">
        <v>19425</v>
      </c>
      <c r="E3998" s="19" t="s">
        <v>32215</v>
      </c>
      <c r="F3998" s="19" t="s">
        <v>35988</v>
      </c>
      <c r="G3998" s="18" t="str">
        <f>"47421"</f>
        <v>47421</v>
      </c>
      <c r="H3998" s="19" t="s">
        <v>32568</v>
      </c>
      <c r="I3998" s="20">
        <v>18.640999999999998</v>
      </c>
      <c r="J3998" s="44" t="s">
        <v>8</v>
      </c>
      <c r="K3998" s="23" t="s">
        <v>8</v>
      </c>
      <c r="L3998" s="23" t="s">
        <v>8</v>
      </c>
      <c r="M3998" s="23" t="s">
        <v>8</v>
      </c>
    </row>
    <row r="3999" spans="1:13" s="21" customFormat="1" x14ac:dyDescent="0.25">
      <c r="A3999" s="22" t="s">
        <v>8</v>
      </c>
      <c r="B3999" s="18" t="str">
        <f>"155632"</f>
        <v>155632</v>
      </c>
      <c r="C3999" s="19" t="s">
        <v>3955</v>
      </c>
      <c r="D3999" s="19" t="s">
        <v>19426</v>
      </c>
      <c r="E3999" s="19" t="s">
        <v>32206</v>
      </c>
      <c r="F3999" s="19" t="s">
        <v>35988</v>
      </c>
      <c r="G3999" s="18" t="str">
        <f>"47591"</f>
        <v>47591</v>
      </c>
      <c r="H3999" s="19" t="s">
        <v>32252</v>
      </c>
      <c r="I3999" s="20">
        <v>19.332999999999998</v>
      </c>
      <c r="J3999" s="44" t="s">
        <v>8</v>
      </c>
      <c r="K3999" s="23" t="s">
        <v>8</v>
      </c>
      <c r="L3999" s="23" t="s">
        <v>8</v>
      </c>
      <c r="M3999" s="23" t="s">
        <v>8</v>
      </c>
    </row>
    <row r="4000" spans="1:13" s="21" customFormat="1" x14ac:dyDescent="0.25">
      <c r="A4000" s="22" t="s">
        <v>8</v>
      </c>
      <c r="B4000" s="18" t="str">
        <f>"155635"</f>
        <v>155635</v>
      </c>
      <c r="C4000" s="19" t="s">
        <v>3956</v>
      </c>
      <c r="D4000" s="19" t="s">
        <v>19427</v>
      </c>
      <c r="E4000" s="19" t="s">
        <v>32313</v>
      </c>
      <c r="F4000" s="19" t="s">
        <v>35988</v>
      </c>
      <c r="G4000" s="18" t="str">
        <f>"46590"</f>
        <v>46590</v>
      </c>
      <c r="H4000" s="19" t="s">
        <v>33546</v>
      </c>
      <c r="I4000" s="20">
        <v>20.105</v>
      </c>
      <c r="J4000" s="44" t="s">
        <v>8</v>
      </c>
      <c r="K4000" s="23" t="s">
        <v>8</v>
      </c>
      <c r="L4000" s="23" t="s">
        <v>8</v>
      </c>
      <c r="M4000" s="23" t="s">
        <v>8</v>
      </c>
    </row>
    <row r="4001" spans="1:13" s="21" customFormat="1" x14ac:dyDescent="0.25">
      <c r="A4001" s="22" t="s">
        <v>8</v>
      </c>
      <c r="B4001" s="18" t="str">
        <f>"155636"</f>
        <v>155636</v>
      </c>
      <c r="C4001" s="19" t="s">
        <v>3957</v>
      </c>
      <c r="D4001" s="19" t="s">
        <v>19428</v>
      </c>
      <c r="E4001" s="19" t="s">
        <v>32200</v>
      </c>
      <c r="F4001" s="19" t="s">
        <v>35988</v>
      </c>
      <c r="G4001" s="18" t="str">
        <f>"46219"</f>
        <v>46219</v>
      </c>
      <c r="H4001" s="19" t="s">
        <v>30850</v>
      </c>
      <c r="I4001" s="20">
        <v>17.541</v>
      </c>
      <c r="J4001" s="44" t="s">
        <v>8</v>
      </c>
      <c r="K4001" s="23" t="s">
        <v>8</v>
      </c>
      <c r="L4001" s="23" t="s">
        <v>8</v>
      </c>
      <c r="M4001" s="23" t="s">
        <v>8</v>
      </c>
    </row>
    <row r="4002" spans="1:13" s="21" customFormat="1" x14ac:dyDescent="0.25">
      <c r="A4002" s="22" t="s">
        <v>8</v>
      </c>
      <c r="B4002" s="18" t="str">
        <f>"155637"</f>
        <v>155637</v>
      </c>
      <c r="C4002" s="19" t="s">
        <v>3958</v>
      </c>
      <c r="D4002" s="19" t="s">
        <v>19429</v>
      </c>
      <c r="E4002" s="19" t="s">
        <v>32237</v>
      </c>
      <c r="F4002" s="19" t="s">
        <v>35988</v>
      </c>
      <c r="G4002" s="18" t="str">
        <f>"46307"</f>
        <v>46307</v>
      </c>
      <c r="H4002" s="19" t="s">
        <v>36096</v>
      </c>
      <c r="I4002" s="20">
        <v>19.193999999999999</v>
      </c>
      <c r="J4002" s="44" t="s">
        <v>8</v>
      </c>
      <c r="K4002" s="23" t="s">
        <v>8</v>
      </c>
      <c r="L4002" s="23" t="s">
        <v>8</v>
      </c>
      <c r="M4002" s="23" t="s">
        <v>8</v>
      </c>
    </row>
    <row r="4003" spans="1:13" s="21" customFormat="1" x14ac:dyDescent="0.25">
      <c r="A4003" s="22" t="s">
        <v>8</v>
      </c>
      <c r="B4003" s="18" t="str">
        <f>"155649"</f>
        <v>155649</v>
      </c>
      <c r="C4003" s="19" t="s">
        <v>3959</v>
      </c>
      <c r="D4003" s="19" t="s">
        <v>19430</v>
      </c>
      <c r="E4003" s="19" t="s">
        <v>32314</v>
      </c>
      <c r="F4003" s="19" t="s">
        <v>35988</v>
      </c>
      <c r="G4003" s="18" t="str">
        <f>"47460"</f>
        <v>47460</v>
      </c>
      <c r="H4003" s="19" t="s">
        <v>35604</v>
      </c>
      <c r="I4003" s="20">
        <v>17.62</v>
      </c>
      <c r="J4003" s="44" t="s">
        <v>8</v>
      </c>
      <c r="K4003" s="23" t="s">
        <v>8</v>
      </c>
      <c r="L4003" s="23" t="s">
        <v>8</v>
      </c>
      <c r="M4003" s="23" t="s">
        <v>8</v>
      </c>
    </row>
    <row r="4004" spans="1:13" s="21" customFormat="1" x14ac:dyDescent="0.25">
      <c r="A4004" s="22" t="s">
        <v>8</v>
      </c>
      <c r="B4004" s="18" t="str">
        <f>"155650"</f>
        <v>155650</v>
      </c>
      <c r="C4004" s="19" t="s">
        <v>3960</v>
      </c>
      <c r="D4004" s="19" t="s">
        <v>19431</v>
      </c>
      <c r="E4004" s="19" t="s">
        <v>32263</v>
      </c>
      <c r="F4004" s="19" t="s">
        <v>35988</v>
      </c>
      <c r="G4004" s="18" t="str">
        <f>"46410"</f>
        <v>46410</v>
      </c>
      <c r="H4004" s="19" t="s">
        <v>36096</v>
      </c>
      <c r="I4004" s="20">
        <v>21.599</v>
      </c>
      <c r="J4004" s="44" t="s">
        <v>8</v>
      </c>
      <c r="K4004" s="23" t="s">
        <v>8</v>
      </c>
      <c r="L4004" s="23" t="s">
        <v>8</v>
      </c>
      <c r="M4004" s="23" t="s">
        <v>8</v>
      </c>
    </row>
    <row r="4005" spans="1:13" s="21" customFormat="1" x14ac:dyDescent="0.25">
      <c r="A4005" s="22" t="s">
        <v>8</v>
      </c>
      <c r="B4005" s="18" t="str">
        <f>"155651"</f>
        <v>155651</v>
      </c>
      <c r="C4005" s="19" t="s">
        <v>3961</v>
      </c>
      <c r="D4005" s="19" t="s">
        <v>19432</v>
      </c>
      <c r="E4005" s="19" t="s">
        <v>5</v>
      </c>
      <c r="F4005" s="19" t="s">
        <v>35988</v>
      </c>
      <c r="G4005" s="18" t="str">
        <f>"46131"</f>
        <v>46131</v>
      </c>
      <c r="H4005" s="19" t="s">
        <v>36072</v>
      </c>
      <c r="I4005" s="20">
        <v>19.454999999999998</v>
      </c>
      <c r="J4005" s="44" t="s">
        <v>8</v>
      </c>
      <c r="K4005" s="23" t="s">
        <v>8</v>
      </c>
      <c r="L4005" s="23" t="s">
        <v>8</v>
      </c>
      <c r="M4005" s="23" t="s">
        <v>8</v>
      </c>
    </row>
    <row r="4006" spans="1:13" s="21" customFormat="1" x14ac:dyDescent="0.25">
      <c r="A4006" s="22" t="s">
        <v>8</v>
      </c>
      <c r="B4006" s="18" t="str">
        <f>"155653"</f>
        <v>155653</v>
      </c>
      <c r="C4006" s="19" t="s">
        <v>3962</v>
      </c>
      <c r="D4006" s="19" t="s">
        <v>19433</v>
      </c>
      <c r="E4006" s="19" t="s">
        <v>32315</v>
      </c>
      <c r="F4006" s="19" t="s">
        <v>35988</v>
      </c>
      <c r="G4006" s="18" t="str">
        <f>"46312"</f>
        <v>46312</v>
      </c>
      <c r="H4006" s="19" t="s">
        <v>36096</v>
      </c>
      <c r="I4006" s="20">
        <v>19.41</v>
      </c>
      <c r="J4006" s="44" t="s">
        <v>8</v>
      </c>
      <c r="K4006" s="23" t="s">
        <v>8</v>
      </c>
      <c r="L4006" s="23" t="s">
        <v>8</v>
      </c>
      <c r="M4006" s="23" t="s">
        <v>8</v>
      </c>
    </row>
    <row r="4007" spans="1:13" s="21" customFormat="1" x14ac:dyDescent="0.25">
      <c r="A4007" s="22" t="s">
        <v>8</v>
      </c>
      <c r="B4007" s="18" t="str">
        <f>"155654"</f>
        <v>155654</v>
      </c>
      <c r="C4007" s="19" t="s">
        <v>3963</v>
      </c>
      <c r="D4007" s="19" t="s">
        <v>19434</v>
      </c>
      <c r="E4007" s="19" t="s">
        <v>32214</v>
      </c>
      <c r="F4007" s="19" t="s">
        <v>35988</v>
      </c>
      <c r="G4007" s="18" t="str">
        <f>"46809"</f>
        <v>46809</v>
      </c>
      <c r="H4007" s="19" t="s">
        <v>34710</v>
      </c>
      <c r="I4007" s="20">
        <v>19.474</v>
      </c>
      <c r="J4007" s="44" t="s">
        <v>8</v>
      </c>
      <c r="K4007" s="23" t="s">
        <v>8</v>
      </c>
      <c r="L4007" s="23" t="s">
        <v>8</v>
      </c>
      <c r="M4007" s="23" t="s">
        <v>8</v>
      </c>
    </row>
    <row r="4008" spans="1:13" s="21" customFormat="1" x14ac:dyDescent="0.25">
      <c r="A4008" s="22" t="s">
        <v>8</v>
      </c>
      <c r="B4008" s="18" t="str">
        <f>"155655"</f>
        <v>155655</v>
      </c>
      <c r="C4008" s="19" t="s">
        <v>3964</v>
      </c>
      <c r="D4008" s="19" t="s">
        <v>19435</v>
      </c>
      <c r="E4008" s="19" t="s">
        <v>32316</v>
      </c>
      <c r="F4008" s="19" t="s">
        <v>35988</v>
      </c>
      <c r="G4008" s="18" t="str">
        <f>"46962"</f>
        <v>46962</v>
      </c>
      <c r="H4008" s="19" t="s">
        <v>32203</v>
      </c>
      <c r="I4008" s="20">
        <v>17.396999999999998</v>
      </c>
      <c r="J4008" s="44" t="s">
        <v>8</v>
      </c>
      <c r="K4008" s="23" t="s">
        <v>8</v>
      </c>
      <c r="L4008" s="23" t="s">
        <v>8</v>
      </c>
      <c r="M4008" s="23" t="s">
        <v>8</v>
      </c>
    </row>
    <row r="4009" spans="1:13" s="21" customFormat="1" x14ac:dyDescent="0.25">
      <c r="A4009" s="22" t="s">
        <v>8</v>
      </c>
      <c r="B4009" s="18" t="str">
        <f>"155656"</f>
        <v>155656</v>
      </c>
      <c r="C4009" s="19" t="s">
        <v>3965</v>
      </c>
      <c r="D4009" s="19" t="s">
        <v>19436</v>
      </c>
      <c r="E4009" s="19" t="s">
        <v>32214</v>
      </c>
      <c r="F4009" s="19" t="s">
        <v>35988</v>
      </c>
      <c r="G4009" s="18" t="str">
        <f>"46835"</f>
        <v>46835</v>
      </c>
      <c r="H4009" s="19" t="s">
        <v>34710</v>
      </c>
      <c r="I4009" s="20">
        <v>18.745999999999999</v>
      </c>
      <c r="J4009" s="44" t="s">
        <v>8</v>
      </c>
      <c r="K4009" s="23" t="s">
        <v>8</v>
      </c>
      <c r="L4009" s="23" t="s">
        <v>8</v>
      </c>
      <c r="M4009" s="23" t="s">
        <v>8</v>
      </c>
    </row>
    <row r="4010" spans="1:13" s="21" customFormat="1" x14ac:dyDescent="0.25">
      <c r="A4010" s="22" t="s">
        <v>8</v>
      </c>
      <c r="B4010" s="18" t="str">
        <f>"155657"</f>
        <v>155657</v>
      </c>
      <c r="C4010" s="19" t="s">
        <v>3966</v>
      </c>
      <c r="D4010" s="19" t="s">
        <v>19437</v>
      </c>
      <c r="E4010" s="19" t="s">
        <v>32258</v>
      </c>
      <c r="F4010" s="19" t="s">
        <v>35988</v>
      </c>
      <c r="G4010" s="18" t="str">
        <f>"47112"</f>
        <v>47112</v>
      </c>
      <c r="H4010" s="19" t="s">
        <v>31020</v>
      </c>
      <c r="I4010" s="20">
        <v>18.286000000000001</v>
      </c>
      <c r="J4010" s="44" t="s">
        <v>8</v>
      </c>
      <c r="K4010" s="23" t="s">
        <v>8</v>
      </c>
      <c r="L4010" s="23" t="s">
        <v>8</v>
      </c>
      <c r="M4010" s="23" t="s">
        <v>8</v>
      </c>
    </row>
    <row r="4011" spans="1:13" s="21" customFormat="1" x14ac:dyDescent="0.25">
      <c r="A4011" s="22" t="s">
        <v>8</v>
      </c>
      <c r="B4011" s="18" t="str">
        <f>"155658"</f>
        <v>155658</v>
      </c>
      <c r="C4011" s="19" t="s">
        <v>3967</v>
      </c>
      <c r="D4011" s="19" t="s">
        <v>19438</v>
      </c>
      <c r="E4011" s="19" t="s">
        <v>32256</v>
      </c>
      <c r="F4011" s="19" t="s">
        <v>35988</v>
      </c>
      <c r="G4011" s="18" t="str">
        <f>"46041"</f>
        <v>46041</v>
      </c>
      <c r="H4011" s="19" t="s">
        <v>31081</v>
      </c>
      <c r="I4011" s="20">
        <v>18.847999999999999</v>
      </c>
      <c r="J4011" s="44" t="s">
        <v>8</v>
      </c>
      <c r="K4011" s="23" t="s">
        <v>8</v>
      </c>
      <c r="L4011" s="23" t="s">
        <v>8</v>
      </c>
      <c r="M4011" s="23" t="s">
        <v>8</v>
      </c>
    </row>
    <row r="4012" spans="1:13" s="21" customFormat="1" x14ac:dyDescent="0.25">
      <c r="A4012" s="22" t="s">
        <v>8</v>
      </c>
      <c r="B4012" s="18" t="str">
        <f>"155659"</f>
        <v>155659</v>
      </c>
      <c r="C4012" s="19" t="s">
        <v>3968</v>
      </c>
      <c r="D4012" s="19" t="s">
        <v>19439</v>
      </c>
      <c r="E4012" s="19" t="s">
        <v>32317</v>
      </c>
      <c r="F4012" s="19" t="s">
        <v>35988</v>
      </c>
      <c r="G4012" s="18" t="str">
        <f>"47172"</f>
        <v>47172</v>
      </c>
      <c r="H4012" s="19" t="s">
        <v>33967</v>
      </c>
      <c r="I4012" s="20">
        <v>17.13</v>
      </c>
      <c r="J4012" s="44" t="s">
        <v>8</v>
      </c>
      <c r="K4012" s="23" t="s">
        <v>8</v>
      </c>
      <c r="L4012" s="23" t="s">
        <v>8</v>
      </c>
      <c r="M4012" s="23" t="s">
        <v>8</v>
      </c>
    </row>
    <row r="4013" spans="1:13" s="21" customFormat="1" x14ac:dyDescent="0.25">
      <c r="A4013" s="22" t="s">
        <v>8</v>
      </c>
      <c r="B4013" s="18" t="str">
        <f>"155660"</f>
        <v>155660</v>
      </c>
      <c r="C4013" s="19" t="s">
        <v>3969</v>
      </c>
      <c r="D4013" s="19" t="s">
        <v>19440</v>
      </c>
      <c r="E4013" s="19" t="s">
        <v>32272</v>
      </c>
      <c r="F4013" s="19" t="s">
        <v>35988</v>
      </c>
      <c r="G4013" s="18" t="str">
        <f>"46996"</f>
        <v>46996</v>
      </c>
      <c r="H4013" s="19" t="s">
        <v>31795</v>
      </c>
      <c r="I4013" s="20">
        <v>17.523</v>
      </c>
      <c r="J4013" s="44" t="s">
        <v>8</v>
      </c>
      <c r="K4013" s="23" t="s">
        <v>8</v>
      </c>
      <c r="L4013" s="23" t="s">
        <v>8</v>
      </c>
      <c r="M4013" s="23" t="s">
        <v>8</v>
      </c>
    </row>
    <row r="4014" spans="1:13" s="21" customFormat="1" x14ac:dyDescent="0.25">
      <c r="A4014" s="22" t="s">
        <v>8</v>
      </c>
      <c r="B4014" s="18" t="str">
        <f>"155661"</f>
        <v>155661</v>
      </c>
      <c r="C4014" s="19" t="s">
        <v>3970</v>
      </c>
      <c r="D4014" s="19" t="s">
        <v>19441</v>
      </c>
      <c r="E4014" s="19" t="s">
        <v>32314</v>
      </c>
      <c r="F4014" s="19" t="s">
        <v>35988</v>
      </c>
      <c r="G4014" s="18" t="str">
        <f>"47460"</f>
        <v>47460</v>
      </c>
      <c r="H4014" s="19" t="s">
        <v>35604</v>
      </c>
      <c r="I4014" s="20">
        <v>17.399999999999999</v>
      </c>
      <c r="J4014" s="44" t="s">
        <v>8</v>
      </c>
      <c r="K4014" s="23" t="s">
        <v>8</v>
      </c>
      <c r="L4014" s="23" t="s">
        <v>8</v>
      </c>
      <c r="M4014" s="23" t="s">
        <v>8</v>
      </c>
    </row>
    <row r="4015" spans="1:13" s="21" customFormat="1" x14ac:dyDescent="0.25">
      <c r="A4015" s="22" t="s">
        <v>8</v>
      </c>
      <c r="B4015" s="18" t="str">
        <f>"155662"</f>
        <v>155662</v>
      </c>
      <c r="C4015" s="19" t="s">
        <v>3971</v>
      </c>
      <c r="D4015" s="19" t="s">
        <v>19442</v>
      </c>
      <c r="E4015" s="19" t="s">
        <v>32223</v>
      </c>
      <c r="F4015" s="19" t="s">
        <v>35988</v>
      </c>
      <c r="G4015" s="18" t="str">
        <f>"46321"</f>
        <v>46321</v>
      </c>
      <c r="H4015" s="19" t="s">
        <v>36096</v>
      </c>
      <c r="I4015" s="20">
        <v>17.762</v>
      </c>
      <c r="J4015" s="44" t="s">
        <v>8</v>
      </c>
      <c r="K4015" s="23" t="s">
        <v>8</v>
      </c>
      <c r="L4015" s="23" t="s">
        <v>8</v>
      </c>
      <c r="M4015" s="23" t="s">
        <v>8</v>
      </c>
    </row>
    <row r="4016" spans="1:13" s="21" customFormat="1" x14ac:dyDescent="0.25">
      <c r="A4016" s="22" t="s">
        <v>8</v>
      </c>
      <c r="B4016" s="18" t="str">
        <f>"155664"</f>
        <v>155664</v>
      </c>
      <c r="C4016" s="19" t="s">
        <v>3972</v>
      </c>
      <c r="D4016" s="19" t="s">
        <v>19443</v>
      </c>
      <c r="E4016" s="19" t="s">
        <v>32200</v>
      </c>
      <c r="F4016" s="19" t="s">
        <v>35988</v>
      </c>
      <c r="G4016" s="18" t="str">
        <f>"46254"</f>
        <v>46254</v>
      </c>
      <c r="H4016" s="19" t="s">
        <v>30850</v>
      </c>
      <c r="I4016" s="20">
        <v>16.155999999999999</v>
      </c>
      <c r="J4016" s="44" t="s">
        <v>8</v>
      </c>
      <c r="K4016" s="23" t="s">
        <v>8</v>
      </c>
      <c r="L4016" s="23" t="s">
        <v>8</v>
      </c>
      <c r="M4016" s="23" t="s">
        <v>8</v>
      </c>
    </row>
    <row r="4017" spans="1:13" s="21" customFormat="1" x14ac:dyDescent="0.25">
      <c r="A4017" s="22" t="s">
        <v>8</v>
      </c>
      <c r="B4017" s="18" t="str">
        <f>"155665"</f>
        <v>155665</v>
      </c>
      <c r="C4017" s="19" t="s">
        <v>3973</v>
      </c>
      <c r="D4017" s="19" t="s">
        <v>19444</v>
      </c>
      <c r="E4017" s="19" t="s">
        <v>32318</v>
      </c>
      <c r="F4017" s="19" t="s">
        <v>35988</v>
      </c>
      <c r="G4017" s="18" t="str">
        <f>"47265"</f>
        <v>47265</v>
      </c>
      <c r="H4017" s="19" t="s">
        <v>32774</v>
      </c>
      <c r="I4017" s="20">
        <v>17.283000000000001</v>
      </c>
      <c r="J4017" s="44" t="s">
        <v>8</v>
      </c>
      <c r="K4017" s="23" t="s">
        <v>8</v>
      </c>
      <c r="L4017" s="23" t="s">
        <v>8</v>
      </c>
      <c r="M4017" s="23" t="s">
        <v>8</v>
      </c>
    </row>
    <row r="4018" spans="1:13" s="21" customFormat="1" x14ac:dyDescent="0.25">
      <c r="A4018" s="22" t="s">
        <v>8</v>
      </c>
      <c r="B4018" s="18" t="str">
        <f>"155666"</f>
        <v>155666</v>
      </c>
      <c r="C4018" s="19" t="s">
        <v>3974</v>
      </c>
      <c r="D4018" s="19" t="s">
        <v>19445</v>
      </c>
      <c r="E4018" s="19" t="s">
        <v>30926</v>
      </c>
      <c r="F4018" s="19" t="s">
        <v>35988</v>
      </c>
      <c r="G4018" s="18" t="str">
        <f>"46706"</f>
        <v>46706</v>
      </c>
      <c r="H4018" s="19" t="s">
        <v>31954</v>
      </c>
      <c r="I4018" s="20">
        <v>19.747</v>
      </c>
      <c r="J4018" s="44" t="s">
        <v>8</v>
      </c>
      <c r="K4018" s="23" t="s">
        <v>8</v>
      </c>
      <c r="L4018" s="23" t="s">
        <v>8</v>
      </c>
      <c r="M4018" s="23" t="s">
        <v>8</v>
      </c>
    </row>
    <row r="4019" spans="1:13" s="21" customFormat="1" x14ac:dyDescent="0.25">
      <c r="A4019" s="22" t="s">
        <v>8</v>
      </c>
      <c r="B4019" s="18" t="str">
        <f>"155667"</f>
        <v>155667</v>
      </c>
      <c r="C4019" s="19" t="s">
        <v>3975</v>
      </c>
      <c r="D4019" s="19" t="s">
        <v>19446</v>
      </c>
      <c r="E4019" s="19" t="s">
        <v>32301</v>
      </c>
      <c r="F4019" s="19" t="s">
        <v>35988</v>
      </c>
      <c r="G4019" s="18" t="str">
        <f>"46310"</f>
        <v>46310</v>
      </c>
      <c r="H4019" s="19" t="s">
        <v>30854</v>
      </c>
      <c r="I4019" s="20">
        <v>19.527000000000001</v>
      </c>
      <c r="J4019" s="44" t="s">
        <v>8</v>
      </c>
      <c r="K4019" s="23" t="s">
        <v>8</v>
      </c>
      <c r="L4019" s="23" t="s">
        <v>8</v>
      </c>
      <c r="M4019" s="23" t="s">
        <v>8</v>
      </c>
    </row>
    <row r="4020" spans="1:13" s="21" customFormat="1" x14ac:dyDescent="0.25">
      <c r="A4020" s="22" t="s">
        <v>8</v>
      </c>
      <c r="B4020" s="18" t="str">
        <f>"155668"</f>
        <v>155668</v>
      </c>
      <c r="C4020" s="19" t="s">
        <v>3976</v>
      </c>
      <c r="D4020" s="19" t="s">
        <v>19447</v>
      </c>
      <c r="E4020" s="19" t="s">
        <v>32211</v>
      </c>
      <c r="F4020" s="19" t="s">
        <v>35988</v>
      </c>
      <c r="G4020" s="18" t="str">
        <f>"47150"</f>
        <v>47150</v>
      </c>
      <c r="H4020" s="19" t="s">
        <v>35420</v>
      </c>
      <c r="I4020" s="20">
        <v>18.905000000000001</v>
      </c>
      <c r="J4020" s="44" t="s">
        <v>8</v>
      </c>
      <c r="K4020" s="23" t="s">
        <v>8</v>
      </c>
      <c r="L4020" s="23" t="s">
        <v>8</v>
      </c>
      <c r="M4020" s="23" t="s">
        <v>8</v>
      </c>
    </row>
    <row r="4021" spans="1:13" s="21" customFormat="1" x14ac:dyDescent="0.25">
      <c r="A4021" s="22" t="s">
        <v>8</v>
      </c>
      <c r="B4021" s="18" t="str">
        <f>"155669"</f>
        <v>155669</v>
      </c>
      <c r="C4021" s="19" t="s">
        <v>3977</v>
      </c>
      <c r="D4021" s="19" t="s">
        <v>19448</v>
      </c>
      <c r="E4021" s="19" t="s">
        <v>32218</v>
      </c>
      <c r="F4021" s="19" t="s">
        <v>35988</v>
      </c>
      <c r="G4021" s="18" t="str">
        <f>"46060"</f>
        <v>46060</v>
      </c>
      <c r="H4021" s="19" t="s">
        <v>30804</v>
      </c>
      <c r="I4021" s="20">
        <v>21.49</v>
      </c>
      <c r="J4021" s="44" t="s">
        <v>8</v>
      </c>
      <c r="K4021" s="23" t="s">
        <v>8</v>
      </c>
      <c r="L4021" s="23" t="s">
        <v>8</v>
      </c>
      <c r="M4021" s="23" t="s">
        <v>8</v>
      </c>
    </row>
    <row r="4022" spans="1:13" s="21" customFormat="1" x14ac:dyDescent="0.25">
      <c r="A4022" s="22" t="s">
        <v>8</v>
      </c>
      <c r="B4022" s="18" t="str">
        <f>"155670"</f>
        <v>155670</v>
      </c>
      <c r="C4022" s="19" t="s">
        <v>3978</v>
      </c>
      <c r="D4022" s="19" t="s">
        <v>19449</v>
      </c>
      <c r="E4022" s="19" t="s">
        <v>32245</v>
      </c>
      <c r="F4022" s="19" t="s">
        <v>35988</v>
      </c>
      <c r="G4022" s="18" t="str">
        <f>"47630"</f>
        <v>47630</v>
      </c>
      <c r="H4022" s="19" t="s">
        <v>36260</v>
      </c>
      <c r="I4022" s="20">
        <v>16.317</v>
      </c>
      <c r="J4022" s="44" t="s">
        <v>8</v>
      </c>
      <c r="K4022" s="23" t="s">
        <v>8</v>
      </c>
      <c r="L4022" s="23" t="s">
        <v>8</v>
      </c>
      <c r="M4022" s="23" t="s">
        <v>8</v>
      </c>
    </row>
    <row r="4023" spans="1:13" s="21" customFormat="1" x14ac:dyDescent="0.25">
      <c r="A4023" s="22" t="s">
        <v>8</v>
      </c>
      <c r="B4023" s="18" t="str">
        <f>"155671"</f>
        <v>155671</v>
      </c>
      <c r="C4023" s="19" t="s">
        <v>3979</v>
      </c>
      <c r="D4023" s="19" t="s">
        <v>19450</v>
      </c>
      <c r="E4023" s="19" t="s">
        <v>32268</v>
      </c>
      <c r="F4023" s="19" t="s">
        <v>35988</v>
      </c>
      <c r="G4023" s="18" t="str">
        <f>"47586"</f>
        <v>47586</v>
      </c>
      <c r="H4023" s="19" t="s">
        <v>31503</v>
      </c>
      <c r="I4023" s="20">
        <v>18.55</v>
      </c>
      <c r="J4023" s="44" t="s">
        <v>8</v>
      </c>
      <c r="K4023" s="23" t="s">
        <v>8</v>
      </c>
      <c r="L4023" s="23" t="s">
        <v>8</v>
      </c>
      <c r="M4023" s="23" t="s">
        <v>8</v>
      </c>
    </row>
    <row r="4024" spans="1:13" s="21" customFormat="1" x14ac:dyDescent="0.25">
      <c r="A4024" s="22" t="s">
        <v>8</v>
      </c>
      <c r="B4024" s="18" t="str">
        <f>"155672"</f>
        <v>155672</v>
      </c>
      <c r="C4024" s="19" t="s">
        <v>3980</v>
      </c>
      <c r="D4024" s="19" t="s">
        <v>19451</v>
      </c>
      <c r="E4024" s="19" t="s">
        <v>32304</v>
      </c>
      <c r="F4024" s="19" t="s">
        <v>35988</v>
      </c>
      <c r="G4024" s="18" t="str">
        <f>"46552"</f>
        <v>46552</v>
      </c>
      <c r="H4024" s="19" t="s">
        <v>33301</v>
      </c>
      <c r="I4024" s="20">
        <v>18.827999999999999</v>
      </c>
      <c r="J4024" s="44" t="s">
        <v>8</v>
      </c>
      <c r="K4024" s="23" t="s">
        <v>8</v>
      </c>
      <c r="L4024" s="23" t="s">
        <v>8</v>
      </c>
      <c r="M4024" s="23" t="s">
        <v>8</v>
      </c>
    </row>
    <row r="4025" spans="1:13" s="21" customFormat="1" x14ac:dyDescent="0.25">
      <c r="A4025" s="22" t="s">
        <v>8</v>
      </c>
      <c r="B4025" s="18" t="str">
        <f>"155673"</f>
        <v>155673</v>
      </c>
      <c r="C4025" s="19" t="s">
        <v>3981</v>
      </c>
      <c r="D4025" s="19" t="s">
        <v>19452</v>
      </c>
      <c r="E4025" s="19" t="s">
        <v>32319</v>
      </c>
      <c r="F4025" s="19" t="s">
        <v>35988</v>
      </c>
      <c r="G4025" s="18" t="str">
        <f>"46770"</f>
        <v>46770</v>
      </c>
      <c r="H4025" s="19" t="s">
        <v>33439</v>
      </c>
      <c r="I4025" s="20">
        <v>20.276</v>
      </c>
      <c r="J4025" s="44" t="s">
        <v>8</v>
      </c>
      <c r="K4025" s="23" t="s">
        <v>8</v>
      </c>
      <c r="L4025" s="23" t="s">
        <v>8</v>
      </c>
      <c r="M4025" s="23" t="s">
        <v>8</v>
      </c>
    </row>
    <row r="4026" spans="1:13" s="21" customFormat="1" x14ac:dyDescent="0.25">
      <c r="A4026" s="22" t="s">
        <v>8</v>
      </c>
      <c r="B4026" s="18" t="str">
        <f>"155674"</f>
        <v>155674</v>
      </c>
      <c r="C4026" s="19" t="s">
        <v>3982</v>
      </c>
      <c r="D4026" s="19" t="s">
        <v>19453</v>
      </c>
      <c r="E4026" s="19" t="s">
        <v>30854</v>
      </c>
      <c r="F4026" s="19" t="s">
        <v>35988</v>
      </c>
      <c r="G4026" s="18" t="str">
        <f>"47546"</f>
        <v>47546</v>
      </c>
      <c r="H4026" s="19" t="s">
        <v>34787</v>
      </c>
      <c r="I4026" s="20">
        <v>16.027999999999999</v>
      </c>
      <c r="J4026" s="44" t="s">
        <v>8</v>
      </c>
      <c r="K4026" s="23" t="s">
        <v>8</v>
      </c>
      <c r="L4026" s="23" t="s">
        <v>8</v>
      </c>
      <c r="M4026" s="23" t="s">
        <v>8</v>
      </c>
    </row>
    <row r="4027" spans="1:13" s="21" customFormat="1" x14ac:dyDescent="0.25">
      <c r="A4027" s="22" t="s">
        <v>8</v>
      </c>
      <c r="B4027" s="18" t="str">
        <f>"155675"</f>
        <v>155675</v>
      </c>
      <c r="C4027" s="19" t="s">
        <v>3983</v>
      </c>
      <c r="D4027" s="19" t="s">
        <v>19454</v>
      </c>
      <c r="E4027" s="19" t="s">
        <v>32236</v>
      </c>
      <c r="F4027" s="19" t="s">
        <v>35988</v>
      </c>
      <c r="G4027" s="18" t="str">
        <f>"47240"</f>
        <v>47240</v>
      </c>
      <c r="H4027" s="19" t="s">
        <v>30853</v>
      </c>
      <c r="I4027" s="20">
        <v>18.385000000000002</v>
      </c>
      <c r="J4027" s="44" t="s">
        <v>8</v>
      </c>
      <c r="K4027" s="23" t="s">
        <v>8</v>
      </c>
      <c r="L4027" s="23" t="s">
        <v>8</v>
      </c>
      <c r="M4027" s="23" t="s">
        <v>8</v>
      </c>
    </row>
    <row r="4028" spans="1:13" s="21" customFormat="1" x14ac:dyDescent="0.25">
      <c r="A4028" s="22" t="s">
        <v>8</v>
      </c>
      <c r="B4028" s="18" t="str">
        <f>"155676"</f>
        <v>155676</v>
      </c>
      <c r="C4028" s="19" t="s">
        <v>3984</v>
      </c>
      <c r="D4028" s="19" t="s">
        <v>19455</v>
      </c>
      <c r="E4028" s="19" t="s">
        <v>31713</v>
      </c>
      <c r="F4028" s="19" t="s">
        <v>35988</v>
      </c>
      <c r="G4028" s="18" t="str">
        <f>"46065"</f>
        <v>46065</v>
      </c>
      <c r="H4028" s="19" t="s">
        <v>31081</v>
      </c>
      <c r="I4028" s="20">
        <v>19.361999999999998</v>
      </c>
      <c r="J4028" s="44" t="s">
        <v>8</v>
      </c>
      <c r="K4028" s="23" t="s">
        <v>8</v>
      </c>
      <c r="L4028" s="23" t="s">
        <v>8</v>
      </c>
      <c r="M4028" s="23" t="s">
        <v>8</v>
      </c>
    </row>
    <row r="4029" spans="1:13" s="21" customFormat="1" x14ac:dyDescent="0.25">
      <c r="A4029" s="22" t="s">
        <v>8</v>
      </c>
      <c r="B4029" s="18" t="str">
        <f>"155677"</f>
        <v>155677</v>
      </c>
      <c r="C4029" s="19" t="s">
        <v>3985</v>
      </c>
      <c r="D4029" s="19" t="s">
        <v>19456</v>
      </c>
      <c r="E4029" s="19" t="s">
        <v>31919</v>
      </c>
      <c r="F4029" s="19" t="s">
        <v>35988</v>
      </c>
      <c r="G4029" s="18" t="str">
        <f>"47408"</f>
        <v>47408</v>
      </c>
      <c r="H4029" s="19" t="s">
        <v>31711</v>
      </c>
      <c r="I4029" s="20">
        <v>17.341999999999999</v>
      </c>
      <c r="J4029" s="44" t="s">
        <v>8</v>
      </c>
      <c r="K4029" s="23" t="s">
        <v>8</v>
      </c>
      <c r="L4029" s="23" t="s">
        <v>8</v>
      </c>
      <c r="M4029" s="23" t="s">
        <v>8</v>
      </c>
    </row>
    <row r="4030" spans="1:13" s="21" customFormat="1" x14ac:dyDescent="0.25">
      <c r="A4030" s="22" t="s">
        <v>8</v>
      </c>
      <c r="B4030" s="18" t="str">
        <f>"155678"</f>
        <v>155678</v>
      </c>
      <c r="C4030" s="19" t="s">
        <v>3986</v>
      </c>
      <c r="D4030" s="19" t="s">
        <v>19457</v>
      </c>
      <c r="E4030" s="19" t="s">
        <v>32210</v>
      </c>
      <c r="F4030" s="19" t="s">
        <v>35988</v>
      </c>
      <c r="G4030" s="18" t="str">
        <f>"46901"</f>
        <v>46901</v>
      </c>
      <c r="H4030" s="19" t="s">
        <v>32644</v>
      </c>
      <c r="I4030" s="20">
        <v>16.417999999999999</v>
      </c>
      <c r="J4030" s="44" t="s">
        <v>8</v>
      </c>
      <c r="K4030" s="23" t="s">
        <v>8</v>
      </c>
      <c r="L4030" s="23" t="s">
        <v>8</v>
      </c>
      <c r="M4030" s="23" t="s">
        <v>8</v>
      </c>
    </row>
    <row r="4031" spans="1:13" s="21" customFormat="1" x14ac:dyDescent="0.25">
      <c r="A4031" s="22" t="s">
        <v>8</v>
      </c>
      <c r="B4031" s="18" t="str">
        <f>"155679"</f>
        <v>155679</v>
      </c>
      <c r="C4031" s="19" t="s">
        <v>3987</v>
      </c>
      <c r="D4031" s="19" t="s">
        <v>19458</v>
      </c>
      <c r="E4031" s="19" t="s">
        <v>32214</v>
      </c>
      <c r="F4031" s="19" t="s">
        <v>35988</v>
      </c>
      <c r="G4031" s="18" t="str">
        <f>"46835"</f>
        <v>46835</v>
      </c>
      <c r="H4031" s="19" t="s">
        <v>34710</v>
      </c>
      <c r="I4031" s="20">
        <v>20.105</v>
      </c>
      <c r="J4031" s="44" t="s">
        <v>8</v>
      </c>
      <c r="K4031" s="23" t="s">
        <v>8</v>
      </c>
      <c r="L4031" s="23" t="s">
        <v>8</v>
      </c>
      <c r="M4031" s="23" t="s">
        <v>8</v>
      </c>
    </row>
    <row r="4032" spans="1:13" s="21" customFormat="1" x14ac:dyDescent="0.25">
      <c r="A4032" s="22" t="s">
        <v>8</v>
      </c>
      <c r="B4032" s="18" t="str">
        <f>"155680"</f>
        <v>155680</v>
      </c>
      <c r="C4032" s="19" t="s">
        <v>3988</v>
      </c>
      <c r="D4032" s="19" t="s">
        <v>19459</v>
      </c>
      <c r="E4032" s="19" t="s">
        <v>32035</v>
      </c>
      <c r="F4032" s="19" t="s">
        <v>35988</v>
      </c>
      <c r="G4032" s="18" t="str">
        <f>"46052"</f>
        <v>46052</v>
      </c>
      <c r="H4032" s="19" t="s">
        <v>32513</v>
      </c>
      <c r="I4032" s="20">
        <v>16.850000000000001</v>
      </c>
      <c r="J4032" s="44" t="s">
        <v>8</v>
      </c>
      <c r="K4032" s="23" t="s">
        <v>8</v>
      </c>
      <c r="L4032" s="23" t="s">
        <v>8</v>
      </c>
      <c r="M4032" s="23" t="s">
        <v>8</v>
      </c>
    </row>
    <row r="4033" spans="1:13" s="21" customFormat="1" x14ac:dyDescent="0.25">
      <c r="A4033" s="22" t="s">
        <v>8</v>
      </c>
      <c r="B4033" s="18" t="str">
        <f>"155681"</f>
        <v>155681</v>
      </c>
      <c r="C4033" s="19" t="s">
        <v>3989</v>
      </c>
      <c r="D4033" s="19" t="s">
        <v>19460</v>
      </c>
      <c r="E4033" s="19" t="s">
        <v>32211</v>
      </c>
      <c r="F4033" s="19" t="s">
        <v>35988</v>
      </c>
      <c r="G4033" s="18" t="str">
        <f>"47150"</f>
        <v>47150</v>
      </c>
      <c r="H4033" s="19" t="s">
        <v>35420</v>
      </c>
      <c r="I4033" s="20">
        <v>22.63</v>
      </c>
      <c r="J4033" s="44" t="s">
        <v>8</v>
      </c>
      <c r="K4033" s="23" t="s">
        <v>8</v>
      </c>
      <c r="L4033" s="23" t="s">
        <v>8</v>
      </c>
      <c r="M4033" s="23" t="s">
        <v>8</v>
      </c>
    </row>
    <row r="4034" spans="1:13" s="21" customFormat="1" x14ac:dyDescent="0.25">
      <c r="A4034" s="22" t="s">
        <v>8</v>
      </c>
      <c r="B4034" s="18" t="str">
        <f>"155682"</f>
        <v>155682</v>
      </c>
      <c r="C4034" s="19" t="s">
        <v>3990</v>
      </c>
      <c r="D4034" s="19" t="s">
        <v>19461</v>
      </c>
      <c r="E4034" s="19" t="s">
        <v>32285</v>
      </c>
      <c r="F4034" s="19" t="s">
        <v>35988</v>
      </c>
      <c r="G4034" s="18" t="str">
        <f>"47601"</f>
        <v>47601</v>
      </c>
      <c r="H4034" s="19" t="s">
        <v>36260</v>
      </c>
      <c r="I4034" s="20">
        <v>18.420999999999999</v>
      </c>
      <c r="J4034" s="44" t="s">
        <v>8</v>
      </c>
      <c r="K4034" s="23" t="s">
        <v>8</v>
      </c>
      <c r="L4034" s="23" t="s">
        <v>8</v>
      </c>
      <c r="M4034" s="23" t="s">
        <v>8</v>
      </c>
    </row>
    <row r="4035" spans="1:13" s="21" customFormat="1" x14ac:dyDescent="0.25">
      <c r="A4035" s="22" t="s">
        <v>8</v>
      </c>
      <c r="B4035" s="18" t="str">
        <f>"155684"</f>
        <v>155684</v>
      </c>
      <c r="C4035" s="19" t="s">
        <v>3991</v>
      </c>
      <c r="D4035" s="19" t="s">
        <v>19462</v>
      </c>
      <c r="E4035" s="19" t="s">
        <v>32216</v>
      </c>
      <c r="F4035" s="19" t="s">
        <v>35988</v>
      </c>
      <c r="G4035" s="18" t="str">
        <f>"46614"</f>
        <v>46614</v>
      </c>
      <c r="H4035" s="19" t="s">
        <v>33301</v>
      </c>
      <c r="I4035" s="20">
        <v>16.367000000000001</v>
      </c>
      <c r="J4035" s="44" t="s">
        <v>8</v>
      </c>
      <c r="K4035" s="23" t="s">
        <v>8</v>
      </c>
      <c r="L4035" s="23" t="s">
        <v>8</v>
      </c>
      <c r="M4035" s="23" t="s">
        <v>8</v>
      </c>
    </row>
    <row r="4036" spans="1:13" s="21" customFormat="1" x14ac:dyDescent="0.25">
      <c r="A4036" s="22" t="s">
        <v>8</v>
      </c>
      <c r="B4036" s="18" t="str">
        <f>"155685"</f>
        <v>155685</v>
      </c>
      <c r="C4036" s="19" t="s">
        <v>3992</v>
      </c>
      <c r="D4036" s="19" t="s">
        <v>19463</v>
      </c>
      <c r="E4036" s="19" t="s">
        <v>32213</v>
      </c>
      <c r="F4036" s="19" t="s">
        <v>35988</v>
      </c>
      <c r="G4036" s="18" t="str">
        <f>"46517"</f>
        <v>46517</v>
      </c>
      <c r="H4036" s="19" t="s">
        <v>32213</v>
      </c>
      <c r="I4036" s="20">
        <v>18.04</v>
      </c>
      <c r="J4036" s="44" t="s">
        <v>8</v>
      </c>
      <c r="K4036" s="23" t="s">
        <v>8</v>
      </c>
      <c r="L4036" s="23" t="s">
        <v>8</v>
      </c>
      <c r="M4036" s="23" t="s">
        <v>8</v>
      </c>
    </row>
    <row r="4037" spans="1:13" s="21" customFormat="1" x14ac:dyDescent="0.25">
      <c r="A4037" s="22" t="s">
        <v>8</v>
      </c>
      <c r="B4037" s="18" t="str">
        <f>"155686"</f>
        <v>155686</v>
      </c>
      <c r="C4037" s="19" t="s">
        <v>3993</v>
      </c>
      <c r="D4037" s="19" t="s">
        <v>19464</v>
      </c>
      <c r="E4037" s="19" t="s">
        <v>32252</v>
      </c>
      <c r="F4037" s="19" t="s">
        <v>35988</v>
      </c>
      <c r="G4037" s="18" t="str">
        <f>"46534"</f>
        <v>46534</v>
      </c>
      <c r="H4037" s="19" t="s">
        <v>31616</v>
      </c>
      <c r="I4037" s="20">
        <v>18.957999999999998</v>
      </c>
      <c r="J4037" s="44" t="s">
        <v>8</v>
      </c>
      <c r="K4037" s="23" t="s">
        <v>8</v>
      </c>
      <c r="L4037" s="23" t="s">
        <v>8</v>
      </c>
      <c r="M4037" s="23" t="s">
        <v>8</v>
      </c>
    </row>
    <row r="4038" spans="1:13" s="21" customFormat="1" x14ac:dyDescent="0.25">
      <c r="A4038" s="22" t="s">
        <v>8</v>
      </c>
      <c r="B4038" s="18" t="str">
        <f>"155687"</f>
        <v>155687</v>
      </c>
      <c r="C4038" s="19" t="s">
        <v>3994</v>
      </c>
      <c r="D4038" s="19" t="s">
        <v>19465</v>
      </c>
      <c r="E4038" s="19" t="s">
        <v>32205</v>
      </c>
      <c r="F4038" s="19" t="s">
        <v>35988</v>
      </c>
      <c r="G4038" s="18" t="str">
        <f>"47304"</f>
        <v>47304</v>
      </c>
      <c r="H4038" s="19" t="s">
        <v>34462</v>
      </c>
      <c r="I4038" s="20">
        <v>18.001999999999999</v>
      </c>
      <c r="J4038" s="44" t="s">
        <v>8</v>
      </c>
      <c r="K4038" s="23" t="s">
        <v>8</v>
      </c>
      <c r="L4038" s="23" t="s">
        <v>8</v>
      </c>
      <c r="M4038" s="23" t="s">
        <v>8</v>
      </c>
    </row>
    <row r="4039" spans="1:13" s="21" customFormat="1" x14ac:dyDescent="0.25">
      <c r="A4039" s="22" t="s">
        <v>8</v>
      </c>
      <c r="B4039" s="18" t="str">
        <f>"155688"</f>
        <v>155688</v>
      </c>
      <c r="C4039" s="19" t="s">
        <v>3995</v>
      </c>
      <c r="D4039" s="19" t="s">
        <v>19466</v>
      </c>
      <c r="E4039" s="19" t="s">
        <v>32320</v>
      </c>
      <c r="F4039" s="19" t="s">
        <v>35988</v>
      </c>
      <c r="G4039" s="18" t="str">
        <f>"47535"</f>
        <v>47535</v>
      </c>
      <c r="H4039" s="19" t="s">
        <v>32252</v>
      </c>
      <c r="I4039" s="20">
        <v>19.876000000000001</v>
      </c>
      <c r="J4039" s="44" t="s">
        <v>8</v>
      </c>
      <c r="K4039" s="23" t="s">
        <v>8</v>
      </c>
      <c r="L4039" s="23" t="s">
        <v>8</v>
      </c>
      <c r="M4039" s="23" t="s">
        <v>8</v>
      </c>
    </row>
    <row r="4040" spans="1:13" s="21" customFormat="1" x14ac:dyDescent="0.25">
      <c r="A4040" s="22" t="s">
        <v>8</v>
      </c>
      <c r="B4040" s="18" t="str">
        <f>"155689"</f>
        <v>155689</v>
      </c>
      <c r="C4040" s="19" t="s">
        <v>2953</v>
      </c>
      <c r="D4040" s="19" t="s">
        <v>19467</v>
      </c>
      <c r="E4040" s="19" t="s">
        <v>32233</v>
      </c>
      <c r="F4040" s="19" t="s">
        <v>35988</v>
      </c>
      <c r="G4040" s="18" t="str">
        <f>"46526"</f>
        <v>46526</v>
      </c>
      <c r="H4040" s="19" t="s">
        <v>32213</v>
      </c>
      <c r="I4040" s="20">
        <v>16.902999999999999</v>
      </c>
      <c r="J4040" s="44" t="s">
        <v>8</v>
      </c>
      <c r="K4040" s="23" t="s">
        <v>8</v>
      </c>
      <c r="L4040" s="23" t="s">
        <v>8</v>
      </c>
      <c r="M4040" s="23" t="s">
        <v>8</v>
      </c>
    </row>
    <row r="4041" spans="1:13" s="21" customFormat="1" x14ac:dyDescent="0.25">
      <c r="A4041" s="22" t="s">
        <v>8</v>
      </c>
      <c r="B4041" s="18" t="str">
        <f>"155690"</f>
        <v>155690</v>
      </c>
      <c r="C4041" s="19" t="s">
        <v>3996</v>
      </c>
      <c r="D4041" s="19" t="s">
        <v>19468</v>
      </c>
      <c r="E4041" s="19" t="s">
        <v>32202</v>
      </c>
      <c r="F4041" s="19" t="s">
        <v>35988</v>
      </c>
      <c r="G4041" s="18" t="str">
        <f>"46012"</f>
        <v>46012</v>
      </c>
      <c r="H4041" s="19" t="s">
        <v>30899</v>
      </c>
      <c r="I4041" s="20">
        <v>20.798999999999999</v>
      </c>
      <c r="J4041" s="44" t="s">
        <v>8</v>
      </c>
      <c r="K4041" s="23" t="s">
        <v>8</v>
      </c>
      <c r="L4041" s="23" t="s">
        <v>8</v>
      </c>
      <c r="M4041" s="23" t="s">
        <v>8</v>
      </c>
    </row>
    <row r="4042" spans="1:13" s="21" customFormat="1" x14ac:dyDescent="0.25">
      <c r="A4042" s="22" t="s">
        <v>8</v>
      </c>
      <c r="B4042" s="18" t="str">
        <f>"155691"</f>
        <v>155691</v>
      </c>
      <c r="C4042" s="19" t="s">
        <v>3997</v>
      </c>
      <c r="D4042" s="19" t="s">
        <v>19469</v>
      </c>
      <c r="E4042" s="19" t="s">
        <v>32321</v>
      </c>
      <c r="F4042" s="19" t="s">
        <v>35988</v>
      </c>
      <c r="G4042" s="18" t="str">
        <f>"46161"</f>
        <v>46161</v>
      </c>
      <c r="H4042" s="19" t="s">
        <v>33565</v>
      </c>
      <c r="I4042" s="20">
        <v>19.834</v>
      </c>
      <c r="J4042" s="44" t="s">
        <v>8</v>
      </c>
      <c r="K4042" s="23" t="s">
        <v>8</v>
      </c>
      <c r="L4042" s="23" t="s">
        <v>8</v>
      </c>
      <c r="M4042" s="23" t="s">
        <v>8</v>
      </c>
    </row>
    <row r="4043" spans="1:13" s="21" customFormat="1" x14ac:dyDescent="0.25">
      <c r="A4043" s="22" t="s">
        <v>8</v>
      </c>
      <c r="B4043" s="18" t="str">
        <f>"155692"</f>
        <v>155692</v>
      </c>
      <c r="C4043" s="19" t="s">
        <v>3998</v>
      </c>
      <c r="D4043" s="19" t="s">
        <v>19470</v>
      </c>
      <c r="E4043" s="19" t="s">
        <v>32207</v>
      </c>
      <c r="F4043" s="19" t="s">
        <v>35988</v>
      </c>
      <c r="G4043" s="18" t="str">
        <f>"46750"</f>
        <v>46750</v>
      </c>
      <c r="H4043" s="19" t="s">
        <v>32207</v>
      </c>
      <c r="I4043" s="20">
        <v>21.398</v>
      </c>
      <c r="J4043" s="44" t="s">
        <v>8</v>
      </c>
      <c r="K4043" s="23" t="s">
        <v>8</v>
      </c>
      <c r="L4043" s="23" t="s">
        <v>8</v>
      </c>
      <c r="M4043" s="23" t="s">
        <v>8</v>
      </c>
    </row>
    <row r="4044" spans="1:13" s="21" customFormat="1" x14ac:dyDescent="0.25">
      <c r="A4044" s="22" t="s">
        <v>8</v>
      </c>
      <c r="B4044" s="18" t="str">
        <f>"155693"</f>
        <v>155693</v>
      </c>
      <c r="C4044" s="19" t="s">
        <v>3999</v>
      </c>
      <c r="D4044" s="19" t="s">
        <v>19471</v>
      </c>
      <c r="E4044" s="19" t="s">
        <v>31715</v>
      </c>
      <c r="F4044" s="19" t="s">
        <v>35988</v>
      </c>
      <c r="G4044" s="18" t="str">
        <f>"47203"</f>
        <v>47203</v>
      </c>
      <c r="H4044" s="19" t="s">
        <v>36255</v>
      </c>
      <c r="I4044" s="20">
        <v>20.786000000000001</v>
      </c>
      <c r="J4044" s="44" t="s">
        <v>8</v>
      </c>
      <c r="K4044" s="23" t="s">
        <v>8</v>
      </c>
      <c r="L4044" s="23" t="s">
        <v>8</v>
      </c>
      <c r="M4044" s="23" t="s">
        <v>8</v>
      </c>
    </row>
    <row r="4045" spans="1:13" s="21" customFormat="1" x14ac:dyDescent="0.25">
      <c r="A4045" s="22" t="s">
        <v>8</v>
      </c>
      <c r="B4045" s="18" t="str">
        <f>"155694"</f>
        <v>155694</v>
      </c>
      <c r="C4045" s="19" t="s">
        <v>4000</v>
      </c>
      <c r="D4045" s="19" t="s">
        <v>19472</v>
      </c>
      <c r="E4045" s="19" t="s">
        <v>30926</v>
      </c>
      <c r="F4045" s="19" t="s">
        <v>35988</v>
      </c>
      <c r="G4045" s="18" t="str">
        <f>"46706"</f>
        <v>46706</v>
      </c>
      <c r="H4045" s="19" t="s">
        <v>31954</v>
      </c>
      <c r="I4045" s="20">
        <v>19.632999999999999</v>
      </c>
      <c r="J4045" s="44" t="s">
        <v>8</v>
      </c>
      <c r="K4045" s="23" t="s">
        <v>8</v>
      </c>
      <c r="L4045" s="23" t="s">
        <v>8</v>
      </c>
      <c r="M4045" s="23" t="s">
        <v>8</v>
      </c>
    </row>
    <row r="4046" spans="1:13" s="21" customFormat="1" x14ac:dyDescent="0.25">
      <c r="A4046" s="22" t="s">
        <v>8</v>
      </c>
      <c r="B4046" s="18" t="str">
        <f>"155695"</f>
        <v>155695</v>
      </c>
      <c r="C4046" s="19" t="s">
        <v>4001</v>
      </c>
      <c r="D4046" s="19" t="s">
        <v>19473</v>
      </c>
      <c r="E4046" s="19" t="s">
        <v>32213</v>
      </c>
      <c r="F4046" s="19" t="s">
        <v>35988</v>
      </c>
      <c r="G4046" s="18" t="str">
        <f>"46516"</f>
        <v>46516</v>
      </c>
      <c r="H4046" s="19" t="s">
        <v>32213</v>
      </c>
      <c r="I4046" s="20">
        <v>17.533999999999999</v>
      </c>
      <c r="J4046" s="44" t="s">
        <v>8</v>
      </c>
      <c r="K4046" s="23" t="s">
        <v>8</v>
      </c>
      <c r="L4046" s="23" t="s">
        <v>8</v>
      </c>
      <c r="M4046" s="23" t="s">
        <v>8</v>
      </c>
    </row>
    <row r="4047" spans="1:13" s="21" customFormat="1" x14ac:dyDescent="0.25">
      <c r="A4047" s="22" t="s">
        <v>8</v>
      </c>
      <c r="B4047" s="18" t="str">
        <f>"155696"</f>
        <v>155696</v>
      </c>
      <c r="C4047" s="19" t="s">
        <v>4002</v>
      </c>
      <c r="D4047" s="19" t="s">
        <v>19474</v>
      </c>
      <c r="E4047" s="19" t="s">
        <v>32206</v>
      </c>
      <c r="F4047" s="19" t="s">
        <v>35988</v>
      </c>
      <c r="G4047" s="18" t="str">
        <f>"47591"</f>
        <v>47591</v>
      </c>
      <c r="H4047" s="19" t="s">
        <v>32252</v>
      </c>
      <c r="I4047" s="20">
        <v>17.448</v>
      </c>
      <c r="J4047" s="44" t="s">
        <v>8</v>
      </c>
      <c r="K4047" s="23" t="s">
        <v>8</v>
      </c>
      <c r="L4047" s="23" t="s">
        <v>8</v>
      </c>
      <c r="M4047" s="23" t="s">
        <v>8</v>
      </c>
    </row>
    <row r="4048" spans="1:13" s="21" customFormat="1" x14ac:dyDescent="0.25">
      <c r="A4048" s="22" t="s">
        <v>8</v>
      </c>
      <c r="B4048" s="18" t="str">
        <f>"155697"</f>
        <v>155697</v>
      </c>
      <c r="C4048" s="19" t="s">
        <v>4003</v>
      </c>
      <c r="D4048" s="19" t="s">
        <v>19475</v>
      </c>
      <c r="E4048" s="19" t="s">
        <v>31010</v>
      </c>
      <c r="F4048" s="19" t="s">
        <v>35988</v>
      </c>
      <c r="G4048" s="18" t="str">
        <f>"47129"</f>
        <v>47129</v>
      </c>
      <c r="H4048" s="19" t="s">
        <v>33967</v>
      </c>
      <c r="I4048" s="20">
        <v>15.669</v>
      </c>
      <c r="J4048" s="44" t="s">
        <v>8</v>
      </c>
      <c r="K4048" s="23" t="s">
        <v>8</v>
      </c>
      <c r="L4048" s="23" t="s">
        <v>8</v>
      </c>
      <c r="M4048" s="23" t="s">
        <v>8</v>
      </c>
    </row>
    <row r="4049" spans="1:13" s="21" customFormat="1" x14ac:dyDescent="0.25">
      <c r="A4049" s="22" t="s">
        <v>8</v>
      </c>
      <c r="B4049" s="18" t="str">
        <f>"155698"</f>
        <v>155698</v>
      </c>
      <c r="C4049" s="19" t="s">
        <v>4004</v>
      </c>
      <c r="D4049" s="19" t="s">
        <v>19476</v>
      </c>
      <c r="E4049" s="19" t="s">
        <v>32202</v>
      </c>
      <c r="F4049" s="19" t="s">
        <v>35988</v>
      </c>
      <c r="G4049" s="18" t="str">
        <f>"46012"</f>
        <v>46012</v>
      </c>
      <c r="H4049" s="19" t="s">
        <v>30899</v>
      </c>
      <c r="I4049" s="20">
        <v>22.748999999999999</v>
      </c>
      <c r="J4049" s="44" t="s">
        <v>8</v>
      </c>
      <c r="K4049" s="23" t="s">
        <v>8</v>
      </c>
      <c r="L4049" s="23" t="s">
        <v>8</v>
      </c>
      <c r="M4049" s="23" t="s">
        <v>8</v>
      </c>
    </row>
    <row r="4050" spans="1:13" s="21" customFormat="1" x14ac:dyDescent="0.25">
      <c r="A4050" s="22" t="s">
        <v>8</v>
      </c>
      <c r="B4050" s="18" t="str">
        <f>"155699"</f>
        <v>155699</v>
      </c>
      <c r="C4050" s="19" t="s">
        <v>4005</v>
      </c>
      <c r="D4050" s="19" t="s">
        <v>19477</v>
      </c>
      <c r="E4050" s="19" t="s">
        <v>32303</v>
      </c>
      <c r="F4050" s="19" t="s">
        <v>35988</v>
      </c>
      <c r="G4050" s="18" t="str">
        <f>"47348"</f>
        <v>47348</v>
      </c>
      <c r="H4050" s="19" t="s">
        <v>36266</v>
      </c>
      <c r="I4050" s="20">
        <v>19.016999999999999</v>
      </c>
      <c r="J4050" s="44" t="s">
        <v>8</v>
      </c>
      <c r="K4050" s="23" t="s">
        <v>8</v>
      </c>
      <c r="L4050" s="23" t="s">
        <v>8</v>
      </c>
      <c r="M4050" s="23" t="s">
        <v>8</v>
      </c>
    </row>
    <row r="4051" spans="1:13" s="21" customFormat="1" x14ac:dyDescent="0.25">
      <c r="A4051" s="22" t="s">
        <v>8</v>
      </c>
      <c r="B4051" s="18" t="str">
        <f>"155700"</f>
        <v>155700</v>
      </c>
      <c r="C4051" s="19" t="s">
        <v>4006</v>
      </c>
      <c r="D4051" s="19" t="s">
        <v>19478</v>
      </c>
      <c r="E4051" s="19" t="s">
        <v>32322</v>
      </c>
      <c r="F4051" s="19" t="s">
        <v>35988</v>
      </c>
      <c r="G4051" s="18" t="str">
        <f>"46513"</f>
        <v>46513</v>
      </c>
      <c r="H4051" s="19" t="s">
        <v>31063</v>
      </c>
      <c r="I4051" s="20">
        <v>16.481999999999999</v>
      </c>
      <c r="J4051" s="44" t="s">
        <v>8</v>
      </c>
      <c r="K4051" s="23" t="s">
        <v>8</v>
      </c>
      <c r="L4051" s="23" t="s">
        <v>8</v>
      </c>
      <c r="M4051" s="23" t="s">
        <v>8</v>
      </c>
    </row>
    <row r="4052" spans="1:13" s="21" customFormat="1" x14ac:dyDescent="0.25">
      <c r="A4052" s="22" t="s">
        <v>8</v>
      </c>
      <c r="B4052" s="18" t="str">
        <f>"155701"</f>
        <v>155701</v>
      </c>
      <c r="C4052" s="19" t="s">
        <v>4007</v>
      </c>
      <c r="D4052" s="19" t="s">
        <v>19479</v>
      </c>
      <c r="E4052" s="19" t="s">
        <v>32266</v>
      </c>
      <c r="F4052" s="19" t="s">
        <v>35988</v>
      </c>
      <c r="G4052" s="18" t="str">
        <f>"46714"</f>
        <v>46714</v>
      </c>
      <c r="H4052" s="19" t="s">
        <v>33439</v>
      </c>
      <c r="I4052" s="20">
        <v>17.556000000000001</v>
      </c>
      <c r="J4052" s="44" t="s">
        <v>8</v>
      </c>
      <c r="K4052" s="23" t="s">
        <v>8</v>
      </c>
      <c r="L4052" s="23" t="s">
        <v>8</v>
      </c>
      <c r="M4052" s="23" t="s">
        <v>8</v>
      </c>
    </row>
    <row r="4053" spans="1:13" s="21" customFormat="1" x14ac:dyDescent="0.25">
      <c r="A4053" s="22" t="s">
        <v>8</v>
      </c>
      <c r="B4053" s="18" t="str">
        <f>"155702"</f>
        <v>155702</v>
      </c>
      <c r="C4053" s="19" t="s">
        <v>4008</v>
      </c>
      <c r="D4053" s="19" t="s">
        <v>19480</v>
      </c>
      <c r="E4053" s="19" t="s">
        <v>31914</v>
      </c>
      <c r="F4053" s="19" t="s">
        <v>35988</v>
      </c>
      <c r="G4053" s="18" t="str">
        <f>"46970"</f>
        <v>46970</v>
      </c>
      <c r="H4053" s="19" t="s">
        <v>31507</v>
      </c>
      <c r="I4053" s="20">
        <v>17.225000000000001</v>
      </c>
      <c r="J4053" s="44" t="s">
        <v>8</v>
      </c>
      <c r="K4053" s="23" t="s">
        <v>8</v>
      </c>
      <c r="L4053" s="23" t="s">
        <v>8</v>
      </c>
      <c r="M4053" s="23" t="s">
        <v>8</v>
      </c>
    </row>
    <row r="4054" spans="1:13" s="21" customFormat="1" x14ac:dyDescent="0.25">
      <c r="A4054" s="22" t="s">
        <v>8</v>
      </c>
      <c r="B4054" s="18" t="str">
        <f>"155703"</f>
        <v>155703</v>
      </c>
      <c r="C4054" s="19" t="s">
        <v>4009</v>
      </c>
      <c r="D4054" s="19" t="s">
        <v>19481</v>
      </c>
      <c r="E4054" s="19" t="s">
        <v>30854</v>
      </c>
      <c r="F4054" s="19" t="s">
        <v>35988</v>
      </c>
      <c r="G4054" s="18" t="str">
        <f>"47546"</f>
        <v>47546</v>
      </c>
      <c r="H4054" s="19" t="s">
        <v>34787</v>
      </c>
      <c r="I4054" s="20">
        <v>15.532</v>
      </c>
      <c r="J4054" s="44" t="s">
        <v>8</v>
      </c>
      <c r="K4054" s="23" t="s">
        <v>8</v>
      </c>
      <c r="L4054" s="23" t="s">
        <v>8</v>
      </c>
      <c r="M4054" s="23" t="s">
        <v>8</v>
      </c>
    </row>
    <row r="4055" spans="1:13" s="21" customFormat="1" x14ac:dyDescent="0.25">
      <c r="A4055" s="22" t="s">
        <v>8</v>
      </c>
      <c r="B4055" s="18" t="str">
        <f>"155704"</f>
        <v>155704</v>
      </c>
      <c r="C4055" s="19" t="s">
        <v>4010</v>
      </c>
      <c r="D4055" s="19" t="s">
        <v>19482</v>
      </c>
      <c r="E4055" s="19" t="s">
        <v>31072</v>
      </c>
      <c r="F4055" s="19" t="s">
        <v>35988</v>
      </c>
      <c r="G4055" s="18" t="str">
        <f>"46182"</f>
        <v>46182</v>
      </c>
      <c r="H4055" s="19" t="s">
        <v>33565</v>
      </c>
      <c r="I4055" s="20">
        <v>20.282</v>
      </c>
      <c r="J4055" s="44" t="s">
        <v>8</v>
      </c>
      <c r="K4055" s="23" t="s">
        <v>8</v>
      </c>
      <c r="L4055" s="23" t="s">
        <v>8</v>
      </c>
      <c r="M4055" s="23" t="s">
        <v>8</v>
      </c>
    </row>
    <row r="4056" spans="1:13" s="21" customFormat="1" x14ac:dyDescent="0.25">
      <c r="A4056" s="22" t="s">
        <v>8</v>
      </c>
      <c r="B4056" s="18" t="str">
        <f>"155705"</f>
        <v>155705</v>
      </c>
      <c r="C4056" s="19" t="s">
        <v>4011</v>
      </c>
      <c r="D4056" s="19" t="s">
        <v>19483</v>
      </c>
      <c r="E4056" s="19" t="s">
        <v>31025</v>
      </c>
      <c r="F4056" s="19" t="s">
        <v>35988</v>
      </c>
      <c r="G4056" s="18" t="str">
        <f>"46792"</f>
        <v>46792</v>
      </c>
      <c r="H4056" s="19" t="s">
        <v>32207</v>
      </c>
      <c r="I4056" s="20">
        <v>16.227</v>
      </c>
      <c r="J4056" s="44" t="s">
        <v>8</v>
      </c>
      <c r="K4056" s="23" t="s">
        <v>8</v>
      </c>
      <c r="L4056" s="23" t="s">
        <v>8</v>
      </c>
      <c r="M4056" s="23" t="s">
        <v>8</v>
      </c>
    </row>
    <row r="4057" spans="1:13" s="21" customFormat="1" x14ac:dyDescent="0.25">
      <c r="A4057" s="22" t="s">
        <v>8</v>
      </c>
      <c r="B4057" s="18" t="str">
        <f>"155707"</f>
        <v>155707</v>
      </c>
      <c r="C4057" s="19" t="s">
        <v>4012</v>
      </c>
      <c r="D4057" s="19" t="s">
        <v>19484</v>
      </c>
      <c r="E4057" s="19" t="s">
        <v>32276</v>
      </c>
      <c r="F4057" s="19" t="s">
        <v>35988</v>
      </c>
      <c r="G4057" s="18" t="str">
        <f>"46711"</f>
        <v>46711</v>
      </c>
      <c r="H4057" s="19" t="s">
        <v>33467</v>
      </c>
      <c r="I4057" s="20">
        <v>17.629000000000001</v>
      </c>
      <c r="J4057" s="44" t="s">
        <v>8</v>
      </c>
      <c r="K4057" s="23" t="s">
        <v>8</v>
      </c>
      <c r="L4057" s="23" t="s">
        <v>8</v>
      </c>
      <c r="M4057" s="23" t="s">
        <v>8</v>
      </c>
    </row>
    <row r="4058" spans="1:13" s="21" customFormat="1" x14ac:dyDescent="0.25">
      <c r="A4058" s="22" t="s">
        <v>8</v>
      </c>
      <c r="B4058" s="18" t="str">
        <f>"155708"</f>
        <v>155708</v>
      </c>
      <c r="C4058" s="19" t="s">
        <v>4013</v>
      </c>
      <c r="D4058" s="19" t="s">
        <v>19485</v>
      </c>
      <c r="E4058" s="19" t="s">
        <v>31500</v>
      </c>
      <c r="F4058" s="19" t="s">
        <v>35988</v>
      </c>
      <c r="G4058" s="18" t="str">
        <f>"47501"</f>
        <v>47501</v>
      </c>
      <c r="H4058" s="19" t="s">
        <v>36258</v>
      </c>
      <c r="I4058" s="20">
        <v>20.047000000000001</v>
      </c>
      <c r="J4058" s="44" t="s">
        <v>8</v>
      </c>
      <c r="K4058" s="23" t="s">
        <v>8</v>
      </c>
      <c r="L4058" s="23" t="s">
        <v>8</v>
      </c>
      <c r="M4058" s="23" t="s">
        <v>8</v>
      </c>
    </row>
    <row r="4059" spans="1:13" s="21" customFormat="1" x14ac:dyDescent="0.25">
      <c r="A4059" s="22" t="s">
        <v>8</v>
      </c>
      <c r="B4059" s="18" t="str">
        <f>"155710"</f>
        <v>155710</v>
      </c>
      <c r="C4059" s="19" t="s">
        <v>4014</v>
      </c>
      <c r="D4059" s="19" t="s">
        <v>19486</v>
      </c>
      <c r="E4059" s="19" t="s">
        <v>32241</v>
      </c>
      <c r="F4059" s="19" t="s">
        <v>35988</v>
      </c>
      <c r="G4059" s="18" t="str">
        <f>"46947"</f>
        <v>46947</v>
      </c>
      <c r="H4059" s="19" t="s">
        <v>36246</v>
      </c>
      <c r="I4059" s="20">
        <v>18.538</v>
      </c>
      <c r="J4059" s="44" t="s">
        <v>8</v>
      </c>
      <c r="K4059" s="23" t="s">
        <v>8</v>
      </c>
      <c r="L4059" s="23" t="s">
        <v>8</v>
      </c>
      <c r="M4059" s="23" t="s">
        <v>8</v>
      </c>
    </row>
    <row r="4060" spans="1:13" s="21" customFormat="1" x14ac:dyDescent="0.25">
      <c r="A4060" s="22" t="s">
        <v>8</v>
      </c>
      <c r="B4060" s="18" t="str">
        <f>"155711"</f>
        <v>155711</v>
      </c>
      <c r="C4060" s="19" t="s">
        <v>4015</v>
      </c>
      <c r="D4060" s="19" t="s">
        <v>19487</v>
      </c>
      <c r="E4060" s="19" t="s">
        <v>32200</v>
      </c>
      <c r="F4060" s="19" t="s">
        <v>35988</v>
      </c>
      <c r="G4060" s="18" t="str">
        <f>"46208"</f>
        <v>46208</v>
      </c>
      <c r="H4060" s="19" t="s">
        <v>30850</v>
      </c>
      <c r="I4060" s="20">
        <v>16.797000000000001</v>
      </c>
      <c r="J4060" s="44" t="s">
        <v>8</v>
      </c>
      <c r="K4060" s="23" t="s">
        <v>8</v>
      </c>
      <c r="L4060" s="23" t="s">
        <v>8</v>
      </c>
      <c r="M4060" s="23" t="s">
        <v>8</v>
      </c>
    </row>
    <row r="4061" spans="1:13" s="21" customFormat="1" x14ac:dyDescent="0.25">
      <c r="A4061" s="22" t="s">
        <v>8</v>
      </c>
      <c r="B4061" s="18" t="str">
        <f>"155712"</f>
        <v>155712</v>
      </c>
      <c r="C4061" s="19" t="s">
        <v>4016</v>
      </c>
      <c r="D4061" s="19" t="s">
        <v>19488</v>
      </c>
      <c r="E4061" s="19" t="s">
        <v>31477</v>
      </c>
      <c r="F4061" s="19" t="s">
        <v>35988</v>
      </c>
      <c r="G4061" s="18" t="str">
        <f>"47274"</f>
        <v>47274</v>
      </c>
      <c r="H4061" s="19" t="s">
        <v>30816</v>
      </c>
      <c r="I4061" s="20">
        <v>15.77</v>
      </c>
      <c r="J4061" s="44" t="s">
        <v>8</v>
      </c>
      <c r="K4061" s="23" t="s">
        <v>8</v>
      </c>
      <c r="L4061" s="23" t="s">
        <v>8</v>
      </c>
      <c r="M4061" s="23" t="s">
        <v>8</v>
      </c>
    </row>
    <row r="4062" spans="1:13" s="21" customFormat="1" x14ac:dyDescent="0.25">
      <c r="A4062" s="22" t="s">
        <v>8</v>
      </c>
      <c r="B4062" s="18" t="str">
        <f>"155714"</f>
        <v>155714</v>
      </c>
      <c r="C4062" s="19" t="s">
        <v>4017</v>
      </c>
      <c r="D4062" s="19" t="s">
        <v>19489</v>
      </c>
      <c r="E4062" s="19" t="s">
        <v>32323</v>
      </c>
      <c r="F4062" s="19" t="s">
        <v>35988</v>
      </c>
      <c r="G4062" s="18" t="str">
        <f>"47561"</f>
        <v>47561</v>
      </c>
      <c r="H4062" s="19" t="s">
        <v>32252</v>
      </c>
      <c r="I4062" s="20">
        <v>19.085000000000001</v>
      </c>
      <c r="J4062" s="44" t="s">
        <v>8</v>
      </c>
      <c r="K4062" s="23" t="s">
        <v>8</v>
      </c>
      <c r="L4062" s="23" t="s">
        <v>8</v>
      </c>
      <c r="M4062" s="23" t="s">
        <v>8</v>
      </c>
    </row>
    <row r="4063" spans="1:13" s="21" customFormat="1" x14ac:dyDescent="0.25">
      <c r="A4063" s="22" t="s">
        <v>8</v>
      </c>
      <c r="B4063" s="18" t="str">
        <f>"155715"</f>
        <v>155715</v>
      </c>
      <c r="C4063" s="19" t="s">
        <v>4018</v>
      </c>
      <c r="D4063" s="19" t="s">
        <v>19490</v>
      </c>
      <c r="E4063" s="19" t="s">
        <v>31477</v>
      </c>
      <c r="F4063" s="19" t="s">
        <v>35988</v>
      </c>
      <c r="G4063" s="18" t="str">
        <f>"47274"</f>
        <v>47274</v>
      </c>
      <c r="H4063" s="19" t="s">
        <v>30816</v>
      </c>
      <c r="I4063" s="20">
        <v>16.088000000000001</v>
      </c>
      <c r="J4063" s="44" t="s">
        <v>8</v>
      </c>
      <c r="K4063" s="23" t="s">
        <v>8</v>
      </c>
      <c r="L4063" s="23" t="s">
        <v>8</v>
      </c>
      <c r="M4063" s="23" t="s">
        <v>8</v>
      </c>
    </row>
    <row r="4064" spans="1:13" s="21" customFormat="1" x14ac:dyDescent="0.25">
      <c r="A4064" s="22" t="s">
        <v>8</v>
      </c>
      <c r="B4064" s="18" t="str">
        <f>"155716"</f>
        <v>155716</v>
      </c>
      <c r="C4064" s="19" t="s">
        <v>4019</v>
      </c>
      <c r="D4064" s="19" t="s">
        <v>19491</v>
      </c>
      <c r="E4064" s="19" t="s">
        <v>32217</v>
      </c>
      <c r="F4064" s="19" t="s">
        <v>35988</v>
      </c>
      <c r="G4064" s="18" t="str">
        <f>"47711"</f>
        <v>47711</v>
      </c>
      <c r="H4064" s="19" t="s">
        <v>36252</v>
      </c>
      <c r="I4064" s="20">
        <v>17.867999999999999</v>
      </c>
      <c r="J4064" s="44" t="s">
        <v>8</v>
      </c>
      <c r="K4064" s="23" t="s">
        <v>8</v>
      </c>
      <c r="L4064" s="23" t="s">
        <v>8</v>
      </c>
      <c r="M4064" s="23" t="s">
        <v>8</v>
      </c>
    </row>
    <row r="4065" spans="1:13" s="21" customFormat="1" x14ac:dyDescent="0.25">
      <c r="A4065" s="22" t="s">
        <v>8</v>
      </c>
      <c r="B4065" s="18" t="str">
        <f>"155717"</f>
        <v>155717</v>
      </c>
      <c r="C4065" s="19" t="s">
        <v>4020</v>
      </c>
      <c r="D4065" s="19" t="s">
        <v>19492</v>
      </c>
      <c r="E4065" s="19" t="s">
        <v>32200</v>
      </c>
      <c r="F4065" s="19" t="s">
        <v>35988</v>
      </c>
      <c r="G4065" s="18" t="str">
        <f>"46222"</f>
        <v>46222</v>
      </c>
      <c r="H4065" s="19" t="s">
        <v>30850</v>
      </c>
      <c r="I4065" s="20">
        <v>19.481000000000002</v>
      </c>
      <c r="J4065" s="44" t="s">
        <v>8</v>
      </c>
      <c r="K4065" s="23" t="s">
        <v>8</v>
      </c>
      <c r="L4065" s="23" t="s">
        <v>8</v>
      </c>
      <c r="M4065" s="23" t="s">
        <v>8</v>
      </c>
    </row>
    <row r="4066" spans="1:13" s="21" customFormat="1" x14ac:dyDescent="0.25">
      <c r="A4066" s="22" t="s">
        <v>8</v>
      </c>
      <c r="B4066" s="18" t="str">
        <f>"155718"</f>
        <v>155718</v>
      </c>
      <c r="C4066" s="19" t="s">
        <v>4021</v>
      </c>
      <c r="D4066" s="19" t="s">
        <v>19493</v>
      </c>
      <c r="E4066" s="19" t="s">
        <v>32202</v>
      </c>
      <c r="F4066" s="19" t="s">
        <v>35988</v>
      </c>
      <c r="G4066" s="18" t="str">
        <f>"46011"</f>
        <v>46011</v>
      </c>
      <c r="H4066" s="19" t="s">
        <v>30899</v>
      </c>
      <c r="I4066" s="20">
        <v>17.587</v>
      </c>
      <c r="J4066" s="44" t="s">
        <v>8</v>
      </c>
      <c r="K4066" s="23" t="s">
        <v>8</v>
      </c>
      <c r="L4066" s="23" t="s">
        <v>8</v>
      </c>
      <c r="M4066" s="23" t="s">
        <v>8</v>
      </c>
    </row>
    <row r="4067" spans="1:13" s="21" customFormat="1" x14ac:dyDescent="0.25">
      <c r="A4067" s="22" t="s">
        <v>8</v>
      </c>
      <c r="B4067" s="18" t="str">
        <f>"155719"</f>
        <v>155719</v>
      </c>
      <c r="C4067" s="19" t="s">
        <v>4022</v>
      </c>
      <c r="D4067" s="19" t="s">
        <v>19494</v>
      </c>
      <c r="E4067" s="19" t="s">
        <v>32324</v>
      </c>
      <c r="F4067" s="19" t="s">
        <v>35988</v>
      </c>
      <c r="G4067" s="18" t="str">
        <f>"47922"</f>
        <v>47922</v>
      </c>
      <c r="H4067" s="19" t="s">
        <v>32101</v>
      </c>
      <c r="I4067" s="20">
        <v>23.242000000000001</v>
      </c>
      <c r="J4067" s="44" t="s">
        <v>8</v>
      </c>
      <c r="K4067" s="23" t="s">
        <v>8</v>
      </c>
      <c r="L4067" s="23" t="s">
        <v>8</v>
      </c>
      <c r="M4067" s="23" t="s">
        <v>8</v>
      </c>
    </row>
    <row r="4068" spans="1:13" s="21" customFormat="1" x14ac:dyDescent="0.25">
      <c r="A4068" s="22" t="s">
        <v>8</v>
      </c>
      <c r="B4068" s="18" t="str">
        <f>"155720"</f>
        <v>155720</v>
      </c>
      <c r="C4068" s="19" t="s">
        <v>4023</v>
      </c>
      <c r="D4068" s="19" t="s">
        <v>19495</v>
      </c>
      <c r="E4068" s="19" t="s">
        <v>30854</v>
      </c>
      <c r="F4068" s="19" t="s">
        <v>35988</v>
      </c>
      <c r="G4068" s="18" t="str">
        <f>"47546"</f>
        <v>47546</v>
      </c>
      <c r="H4068" s="19" t="s">
        <v>34787</v>
      </c>
      <c r="I4068" s="20">
        <v>18.797000000000001</v>
      </c>
      <c r="J4068" s="44" t="s">
        <v>8</v>
      </c>
      <c r="K4068" s="23" t="s">
        <v>8</v>
      </c>
      <c r="L4068" s="23" t="s">
        <v>8</v>
      </c>
      <c r="M4068" s="23" t="s">
        <v>8</v>
      </c>
    </row>
    <row r="4069" spans="1:13" s="21" customFormat="1" x14ac:dyDescent="0.25">
      <c r="A4069" s="22" t="s">
        <v>8</v>
      </c>
      <c r="B4069" s="18" t="str">
        <f>"155721"</f>
        <v>155721</v>
      </c>
      <c r="C4069" s="19" t="s">
        <v>4024</v>
      </c>
      <c r="D4069" s="19" t="s">
        <v>19496</v>
      </c>
      <c r="E4069" s="19" t="s">
        <v>32200</v>
      </c>
      <c r="F4069" s="19" t="s">
        <v>35988</v>
      </c>
      <c r="G4069" s="18" t="str">
        <f>"46226"</f>
        <v>46226</v>
      </c>
      <c r="H4069" s="19" t="s">
        <v>30850</v>
      </c>
      <c r="I4069" s="20">
        <v>19.158000000000001</v>
      </c>
      <c r="J4069" s="44" t="s">
        <v>8</v>
      </c>
      <c r="K4069" s="23" t="s">
        <v>8</v>
      </c>
      <c r="L4069" s="23" t="s">
        <v>8</v>
      </c>
      <c r="M4069" s="23" t="s">
        <v>8</v>
      </c>
    </row>
    <row r="4070" spans="1:13" s="21" customFormat="1" x14ac:dyDescent="0.25">
      <c r="A4070" s="22" t="s">
        <v>8</v>
      </c>
      <c r="B4070" s="18" t="str">
        <f>"155723"</f>
        <v>155723</v>
      </c>
      <c r="C4070" s="19" t="s">
        <v>4025</v>
      </c>
      <c r="D4070" s="19" t="s">
        <v>19497</v>
      </c>
      <c r="E4070" s="19" t="s">
        <v>32217</v>
      </c>
      <c r="F4070" s="19" t="s">
        <v>35988</v>
      </c>
      <c r="G4070" s="18" t="str">
        <f>"47715"</f>
        <v>47715</v>
      </c>
      <c r="H4070" s="19" t="s">
        <v>36252</v>
      </c>
      <c r="I4070" s="20">
        <v>18.462</v>
      </c>
      <c r="J4070" s="44" t="s">
        <v>8</v>
      </c>
      <c r="K4070" s="23" t="s">
        <v>8</v>
      </c>
      <c r="L4070" s="23" t="s">
        <v>8</v>
      </c>
      <c r="M4070" s="23" t="s">
        <v>8</v>
      </c>
    </row>
    <row r="4071" spans="1:13" s="21" customFormat="1" x14ac:dyDescent="0.25">
      <c r="A4071" s="22" t="s">
        <v>8</v>
      </c>
      <c r="B4071" s="18" t="str">
        <f>"155724"</f>
        <v>155724</v>
      </c>
      <c r="C4071" s="19" t="s">
        <v>4026</v>
      </c>
      <c r="D4071" s="19" t="s">
        <v>19498</v>
      </c>
      <c r="E4071" s="19" t="s">
        <v>32241</v>
      </c>
      <c r="F4071" s="19" t="s">
        <v>35988</v>
      </c>
      <c r="G4071" s="18" t="str">
        <f>"46947"</f>
        <v>46947</v>
      </c>
      <c r="H4071" s="19" t="s">
        <v>36246</v>
      </c>
      <c r="I4071" s="20">
        <v>16.233000000000001</v>
      </c>
      <c r="J4071" s="44" t="s">
        <v>8</v>
      </c>
      <c r="K4071" s="23" t="s">
        <v>8</v>
      </c>
      <c r="L4071" s="23" t="s">
        <v>8</v>
      </c>
      <c r="M4071" s="23" t="s">
        <v>8</v>
      </c>
    </row>
    <row r="4072" spans="1:13" s="21" customFormat="1" x14ac:dyDescent="0.25">
      <c r="A4072" s="22" t="s">
        <v>8</v>
      </c>
      <c r="B4072" s="18" t="str">
        <f>"155725"</f>
        <v>155725</v>
      </c>
      <c r="C4072" s="19" t="s">
        <v>4027</v>
      </c>
      <c r="D4072" s="19" t="s">
        <v>19499</v>
      </c>
      <c r="E4072" s="19" t="s">
        <v>32227</v>
      </c>
      <c r="F4072" s="19" t="s">
        <v>35988</v>
      </c>
      <c r="G4072" s="18" t="str">
        <f>"47906"</f>
        <v>47906</v>
      </c>
      <c r="H4072" s="19" t="s">
        <v>36251</v>
      </c>
      <c r="I4072" s="20">
        <v>21.434999999999999</v>
      </c>
      <c r="J4072" s="44" t="s">
        <v>8</v>
      </c>
      <c r="K4072" s="23" t="s">
        <v>8</v>
      </c>
      <c r="L4072" s="23" t="s">
        <v>8</v>
      </c>
      <c r="M4072" s="23" t="s">
        <v>8</v>
      </c>
    </row>
    <row r="4073" spans="1:13" s="21" customFormat="1" x14ac:dyDescent="0.25">
      <c r="A4073" s="22" t="s">
        <v>8</v>
      </c>
      <c r="B4073" s="18" t="str">
        <f>"155726"</f>
        <v>155726</v>
      </c>
      <c r="C4073" s="19" t="s">
        <v>4028</v>
      </c>
      <c r="D4073" s="19" t="s">
        <v>19500</v>
      </c>
      <c r="E4073" s="19" t="s">
        <v>32266</v>
      </c>
      <c r="F4073" s="19" t="s">
        <v>35988</v>
      </c>
      <c r="G4073" s="18" t="str">
        <f>"46714"</f>
        <v>46714</v>
      </c>
      <c r="H4073" s="19" t="s">
        <v>33439</v>
      </c>
      <c r="I4073" s="20">
        <v>17.077000000000002</v>
      </c>
      <c r="J4073" s="44" t="s">
        <v>8</v>
      </c>
      <c r="K4073" s="23" t="s">
        <v>8</v>
      </c>
      <c r="L4073" s="23" t="s">
        <v>8</v>
      </c>
      <c r="M4073" s="23" t="s">
        <v>8</v>
      </c>
    </row>
    <row r="4074" spans="1:13" s="21" customFormat="1" x14ac:dyDescent="0.25">
      <c r="A4074" s="22" t="s">
        <v>8</v>
      </c>
      <c r="B4074" s="18" t="str">
        <f>"155727"</f>
        <v>155727</v>
      </c>
      <c r="C4074" s="19" t="s">
        <v>4029</v>
      </c>
      <c r="D4074" s="19" t="s">
        <v>19501</v>
      </c>
      <c r="E4074" s="19" t="s">
        <v>32215</v>
      </c>
      <c r="F4074" s="19" t="s">
        <v>35988</v>
      </c>
      <c r="G4074" s="18" t="str">
        <f>"47421"</f>
        <v>47421</v>
      </c>
      <c r="H4074" s="19" t="s">
        <v>32568</v>
      </c>
      <c r="I4074" s="20">
        <v>19.010999999999999</v>
      </c>
      <c r="J4074" s="44" t="s">
        <v>8</v>
      </c>
      <c r="K4074" s="23" t="s">
        <v>8</v>
      </c>
      <c r="L4074" s="23" t="s">
        <v>8</v>
      </c>
      <c r="M4074" s="23" t="s">
        <v>8</v>
      </c>
    </row>
    <row r="4075" spans="1:13" s="21" customFormat="1" x14ac:dyDescent="0.25">
      <c r="A4075" s="22" t="s">
        <v>8</v>
      </c>
      <c r="B4075" s="18" t="str">
        <f>"155728"</f>
        <v>155728</v>
      </c>
      <c r="C4075" s="19" t="s">
        <v>4030</v>
      </c>
      <c r="D4075" s="19" t="s">
        <v>19502</v>
      </c>
      <c r="E4075" s="19" t="s">
        <v>32325</v>
      </c>
      <c r="F4075" s="19" t="s">
        <v>35988</v>
      </c>
      <c r="G4075" s="18" t="str">
        <f>"47037"</f>
        <v>47037</v>
      </c>
      <c r="H4075" s="19" t="s">
        <v>33524</v>
      </c>
      <c r="I4075" s="20">
        <v>20.673999999999999</v>
      </c>
      <c r="J4075" s="44" t="s">
        <v>8</v>
      </c>
      <c r="K4075" s="23" t="s">
        <v>8</v>
      </c>
      <c r="L4075" s="23" t="s">
        <v>8</v>
      </c>
      <c r="M4075" s="23" t="s">
        <v>8</v>
      </c>
    </row>
    <row r="4076" spans="1:13" s="21" customFormat="1" x14ac:dyDescent="0.25">
      <c r="A4076" s="22" t="s">
        <v>8</v>
      </c>
      <c r="B4076" s="18" t="str">
        <f>"155729"</f>
        <v>155729</v>
      </c>
      <c r="C4076" s="19" t="s">
        <v>4031</v>
      </c>
      <c r="D4076" s="19" t="s">
        <v>19503</v>
      </c>
      <c r="E4076" s="19" t="s">
        <v>30905</v>
      </c>
      <c r="F4076" s="19" t="s">
        <v>35988</v>
      </c>
      <c r="G4076" s="18" t="str">
        <f>"46773"</f>
        <v>46773</v>
      </c>
      <c r="H4076" s="19" t="s">
        <v>34710</v>
      </c>
      <c r="I4076" s="20">
        <v>19.856999999999999</v>
      </c>
      <c r="J4076" s="44" t="s">
        <v>8</v>
      </c>
      <c r="K4076" s="23" t="s">
        <v>8</v>
      </c>
      <c r="L4076" s="23" t="s">
        <v>8</v>
      </c>
      <c r="M4076" s="23" t="s">
        <v>8</v>
      </c>
    </row>
    <row r="4077" spans="1:13" s="21" customFormat="1" x14ac:dyDescent="0.25">
      <c r="A4077" s="22" t="s">
        <v>8</v>
      </c>
      <c r="B4077" s="18" t="str">
        <f>"155730"</f>
        <v>155730</v>
      </c>
      <c r="C4077" s="19" t="s">
        <v>4032</v>
      </c>
      <c r="D4077" s="19" t="s">
        <v>19504</v>
      </c>
      <c r="E4077" s="19" t="s">
        <v>32326</v>
      </c>
      <c r="F4077" s="19" t="s">
        <v>35988</v>
      </c>
      <c r="G4077" s="18" t="str">
        <f>"47031"</f>
        <v>47031</v>
      </c>
      <c r="H4077" s="19" t="s">
        <v>33524</v>
      </c>
      <c r="I4077" s="20">
        <v>18.11</v>
      </c>
      <c r="J4077" s="44" t="s">
        <v>8</v>
      </c>
      <c r="K4077" s="23" t="s">
        <v>8</v>
      </c>
      <c r="L4077" s="23" t="s">
        <v>8</v>
      </c>
      <c r="M4077" s="23" t="s">
        <v>8</v>
      </c>
    </row>
    <row r="4078" spans="1:13" s="21" customFormat="1" x14ac:dyDescent="0.25">
      <c r="A4078" s="22" t="s">
        <v>8</v>
      </c>
      <c r="B4078" s="18" t="str">
        <f>"155732"</f>
        <v>155732</v>
      </c>
      <c r="C4078" s="19" t="s">
        <v>4033</v>
      </c>
      <c r="D4078" s="19" t="s">
        <v>19505</v>
      </c>
      <c r="E4078" s="19" t="s">
        <v>31998</v>
      </c>
      <c r="F4078" s="19" t="s">
        <v>35988</v>
      </c>
      <c r="G4078" s="18" t="str">
        <f>"47670"</f>
        <v>47670</v>
      </c>
      <c r="H4078" s="19" t="s">
        <v>31829</v>
      </c>
      <c r="I4078" s="20">
        <v>21.539000000000001</v>
      </c>
      <c r="J4078" s="44" t="s">
        <v>8</v>
      </c>
      <c r="K4078" s="23" t="s">
        <v>8</v>
      </c>
      <c r="L4078" s="23" t="s">
        <v>8</v>
      </c>
      <c r="M4078" s="23" t="s">
        <v>8</v>
      </c>
    </row>
    <row r="4079" spans="1:13" s="21" customFormat="1" x14ac:dyDescent="0.25">
      <c r="A4079" s="22" t="s">
        <v>8</v>
      </c>
      <c r="B4079" s="18" t="str">
        <f>"155733"</f>
        <v>155733</v>
      </c>
      <c r="C4079" s="19" t="s">
        <v>4034</v>
      </c>
      <c r="D4079" s="19" t="s">
        <v>19506</v>
      </c>
      <c r="E4079" s="19" t="s">
        <v>32237</v>
      </c>
      <c r="F4079" s="19" t="s">
        <v>35988</v>
      </c>
      <c r="G4079" s="18" t="str">
        <f>"46307"</f>
        <v>46307</v>
      </c>
      <c r="H4079" s="19" t="s">
        <v>36096</v>
      </c>
      <c r="I4079" s="20">
        <v>19.45</v>
      </c>
      <c r="J4079" s="44" t="s">
        <v>8</v>
      </c>
      <c r="K4079" s="23" t="s">
        <v>8</v>
      </c>
      <c r="L4079" s="23" t="s">
        <v>8</v>
      </c>
      <c r="M4079" s="23" t="s">
        <v>8</v>
      </c>
    </row>
    <row r="4080" spans="1:13" s="21" customFormat="1" x14ac:dyDescent="0.25">
      <c r="A4080" s="22" t="s">
        <v>8</v>
      </c>
      <c r="B4080" s="18" t="str">
        <f>"155734"</f>
        <v>155734</v>
      </c>
      <c r="C4080" s="19" t="s">
        <v>4035</v>
      </c>
      <c r="D4080" s="19" t="s">
        <v>19507</v>
      </c>
      <c r="E4080" s="19" t="s">
        <v>32235</v>
      </c>
      <c r="F4080" s="19" t="s">
        <v>35988</v>
      </c>
      <c r="G4080" s="18" t="str">
        <f>"47243"</f>
        <v>47243</v>
      </c>
      <c r="H4080" s="19" t="s">
        <v>32391</v>
      </c>
      <c r="I4080" s="20">
        <v>18.654</v>
      </c>
      <c r="J4080" s="44" t="s">
        <v>8</v>
      </c>
      <c r="K4080" s="23" t="s">
        <v>8</v>
      </c>
      <c r="L4080" s="23" t="s">
        <v>8</v>
      </c>
      <c r="M4080" s="23" t="s">
        <v>8</v>
      </c>
    </row>
    <row r="4081" spans="1:13" s="21" customFormat="1" x14ac:dyDescent="0.25">
      <c r="A4081" s="22" t="s">
        <v>8</v>
      </c>
      <c r="B4081" s="18" t="str">
        <f>"155735"</f>
        <v>155735</v>
      </c>
      <c r="C4081" s="19" t="s">
        <v>4036</v>
      </c>
      <c r="D4081" s="19" t="s">
        <v>19508</v>
      </c>
      <c r="E4081" s="19" t="s">
        <v>31910</v>
      </c>
      <c r="F4081" s="19" t="s">
        <v>35988</v>
      </c>
      <c r="G4081" s="18" t="str">
        <f>"46176"</f>
        <v>46176</v>
      </c>
      <c r="H4081" s="19" t="s">
        <v>33565</v>
      </c>
      <c r="I4081" s="20">
        <v>19.891999999999999</v>
      </c>
      <c r="J4081" s="44" t="s">
        <v>8</v>
      </c>
      <c r="K4081" s="23" t="s">
        <v>8</v>
      </c>
      <c r="L4081" s="23" t="s">
        <v>8</v>
      </c>
      <c r="M4081" s="23" t="s">
        <v>8</v>
      </c>
    </row>
    <row r="4082" spans="1:13" s="21" customFormat="1" x14ac:dyDescent="0.25">
      <c r="A4082" s="22" t="s">
        <v>8</v>
      </c>
      <c r="B4082" s="18" t="str">
        <f>"155736"</f>
        <v>155736</v>
      </c>
      <c r="C4082" s="19" t="s">
        <v>4037</v>
      </c>
      <c r="D4082" s="19" t="s">
        <v>19509</v>
      </c>
      <c r="E4082" s="19" t="s">
        <v>32232</v>
      </c>
      <c r="F4082" s="19" t="s">
        <v>35988</v>
      </c>
      <c r="G4082" s="18" t="str">
        <f>"46135"</f>
        <v>46135</v>
      </c>
      <c r="H4082" s="19" t="s">
        <v>31482</v>
      </c>
      <c r="I4082" s="20">
        <v>21.277000000000001</v>
      </c>
      <c r="J4082" s="44" t="s">
        <v>8</v>
      </c>
      <c r="K4082" s="23" t="s">
        <v>8</v>
      </c>
      <c r="L4082" s="23" t="s">
        <v>8</v>
      </c>
      <c r="M4082" s="23" t="s">
        <v>8</v>
      </c>
    </row>
    <row r="4083" spans="1:13" s="21" customFormat="1" x14ac:dyDescent="0.25">
      <c r="A4083" s="22" t="s">
        <v>8</v>
      </c>
      <c r="B4083" s="18" t="str">
        <f>"155738"</f>
        <v>155738</v>
      </c>
      <c r="C4083" s="19" t="s">
        <v>4038</v>
      </c>
      <c r="D4083" s="19" t="s">
        <v>19510</v>
      </c>
      <c r="E4083" s="19" t="s">
        <v>32216</v>
      </c>
      <c r="F4083" s="19" t="s">
        <v>35988</v>
      </c>
      <c r="G4083" s="18" t="str">
        <f>"46601"</f>
        <v>46601</v>
      </c>
      <c r="H4083" s="19" t="s">
        <v>33301</v>
      </c>
      <c r="I4083" s="20">
        <v>17.899000000000001</v>
      </c>
      <c r="J4083" s="44" t="s">
        <v>8</v>
      </c>
      <c r="K4083" s="23" t="s">
        <v>8</v>
      </c>
      <c r="L4083" s="23" t="s">
        <v>8</v>
      </c>
      <c r="M4083" s="23" t="s">
        <v>8</v>
      </c>
    </row>
    <row r="4084" spans="1:13" s="21" customFormat="1" x14ac:dyDescent="0.25">
      <c r="A4084" s="22" t="s">
        <v>8</v>
      </c>
      <c r="B4084" s="18" t="str">
        <f>"155740"</f>
        <v>155740</v>
      </c>
      <c r="C4084" s="19" t="s">
        <v>4039</v>
      </c>
      <c r="D4084" s="19" t="s">
        <v>19511</v>
      </c>
      <c r="E4084" s="19" t="s">
        <v>32316</v>
      </c>
      <c r="F4084" s="19" t="s">
        <v>35988</v>
      </c>
      <c r="G4084" s="18" t="str">
        <f>"46962"</f>
        <v>46962</v>
      </c>
      <c r="H4084" s="19" t="s">
        <v>32203</v>
      </c>
      <c r="I4084" s="20">
        <v>18.687000000000001</v>
      </c>
      <c r="J4084" s="44" t="s">
        <v>8</v>
      </c>
      <c r="K4084" s="23" t="s">
        <v>8</v>
      </c>
      <c r="L4084" s="23" t="s">
        <v>8</v>
      </c>
      <c r="M4084" s="23" t="s">
        <v>8</v>
      </c>
    </row>
    <row r="4085" spans="1:13" s="21" customFormat="1" x14ac:dyDescent="0.25">
      <c r="A4085" s="22" t="s">
        <v>8</v>
      </c>
      <c r="B4085" s="18" t="str">
        <f>"155741"</f>
        <v>155741</v>
      </c>
      <c r="C4085" s="19" t="s">
        <v>4040</v>
      </c>
      <c r="D4085" s="19" t="s">
        <v>19512</v>
      </c>
      <c r="E4085" s="19" t="s">
        <v>32200</v>
      </c>
      <c r="F4085" s="19" t="s">
        <v>35988</v>
      </c>
      <c r="G4085" s="18" t="str">
        <f>"46203"</f>
        <v>46203</v>
      </c>
      <c r="H4085" s="19" t="s">
        <v>30850</v>
      </c>
      <c r="I4085" s="20">
        <v>19.475999999999999</v>
      </c>
      <c r="J4085" s="44" t="s">
        <v>8</v>
      </c>
      <c r="K4085" s="23" t="s">
        <v>8</v>
      </c>
      <c r="L4085" s="23" t="s">
        <v>8</v>
      </c>
      <c r="M4085" s="23" t="s">
        <v>8</v>
      </c>
    </row>
    <row r="4086" spans="1:13" s="21" customFormat="1" x14ac:dyDescent="0.25">
      <c r="A4086" s="22" t="s">
        <v>8</v>
      </c>
      <c r="B4086" s="18" t="str">
        <f>"155742"</f>
        <v>155742</v>
      </c>
      <c r="C4086" s="19" t="s">
        <v>4041</v>
      </c>
      <c r="D4086" s="19" t="s">
        <v>19513</v>
      </c>
      <c r="E4086" s="19" t="s">
        <v>30998</v>
      </c>
      <c r="F4086" s="19" t="s">
        <v>35988</v>
      </c>
      <c r="G4086" s="18" t="str">
        <f>"47006"</f>
        <v>47006</v>
      </c>
      <c r="H4086" s="19" t="s">
        <v>33524</v>
      </c>
      <c r="I4086" s="20">
        <v>19.001000000000001</v>
      </c>
      <c r="J4086" s="44" t="s">
        <v>8</v>
      </c>
      <c r="K4086" s="23" t="s">
        <v>8</v>
      </c>
      <c r="L4086" s="23" t="s">
        <v>8</v>
      </c>
      <c r="M4086" s="23" t="s">
        <v>8</v>
      </c>
    </row>
    <row r="4087" spans="1:13" s="21" customFormat="1" x14ac:dyDescent="0.25">
      <c r="A4087" s="22" t="s">
        <v>8</v>
      </c>
      <c r="B4087" s="18" t="str">
        <f>"155743"</f>
        <v>155743</v>
      </c>
      <c r="C4087" s="19" t="s">
        <v>4042</v>
      </c>
      <c r="D4087" s="19" t="s">
        <v>19514</v>
      </c>
      <c r="E4087" s="19" t="s">
        <v>31206</v>
      </c>
      <c r="F4087" s="19" t="s">
        <v>35988</v>
      </c>
      <c r="G4087" s="18" t="str">
        <f>"47944"</f>
        <v>47944</v>
      </c>
      <c r="H4087" s="19" t="s">
        <v>31024</v>
      </c>
      <c r="I4087" s="20">
        <v>20.863</v>
      </c>
      <c r="J4087" s="44" t="s">
        <v>8</v>
      </c>
      <c r="K4087" s="23" t="s">
        <v>8</v>
      </c>
      <c r="L4087" s="23" t="s">
        <v>8</v>
      </c>
      <c r="M4087" s="23" t="s">
        <v>8</v>
      </c>
    </row>
    <row r="4088" spans="1:13" s="21" customFormat="1" x14ac:dyDescent="0.25">
      <c r="A4088" s="22" t="s">
        <v>8</v>
      </c>
      <c r="B4088" s="18" t="str">
        <f>"155744"</f>
        <v>155744</v>
      </c>
      <c r="C4088" s="19" t="s">
        <v>3935</v>
      </c>
      <c r="D4088" s="19" t="s">
        <v>19515</v>
      </c>
      <c r="E4088" s="19" t="s">
        <v>32269</v>
      </c>
      <c r="F4088" s="19" t="s">
        <v>35988</v>
      </c>
      <c r="G4088" s="18" t="str">
        <f>"46755"</f>
        <v>46755</v>
      </c>
      <c r="H4088" s="19" t="s">
        <v>34672</v>
      </c>
      <c r="I4088" s="20">
        <v>19.350000000000001</v>
      </c>
      <c r="J4088" s="44" t="s">
        <v>8</v>
      </c>
      <c r="K4088" s="23" t="s">
        <v>8</v>
      </c>
      <c r="L4088" s="23" t="s">
        <v>8</v>
      </c>
      <c r="M4088" s="23" t="s">
        <v>8</v>
      </c>
    </row>
    <row r="4089" spans="1:13" s="21" customFormat="1" x14ac:dyDescent="0.25">
      <c r="A4089" s="22" t="s">
        <v>8</v>
      </c>
      <c r="B4089" s="18" t="str">
        <f>"155745"</f>
        <v>155745</v>
      </c>
      <c r="C4089" s="19" t="s">
        <v>4043</v>
      </c>
      <c r="D4089" s="19" t="s">
        <v>19516</v>
      </c>
      <c r="E4089" s="19" t="s">
        <v>32327</v>
      </c>
      <c r="F4089" s="19" t="s">
        <v>35988</v>
      </c>
      <c r="G4089" s="18" t="str">
        <f>"46556"</f>
        <v>46556</v>
      </c>
      <c r="H4089" s="19" t="s">
        <v>33301</v>
      </c>
      <c r="I4089" s="20">
        <v>18.146999999999998</v>
      </c>
      <c r="J4089" s="44" t="s">
        <v>8</v>
      </c>
      <c r="K4089" s="23" t="s">
        <v>8</v>
      </c>
      <c r="L4089" s="23" t="s">
        <v>8</v>
      </c>
      <c r="M4089" s="23" t="s">
        <v>8</v>
      </c>
    </row>
    <row r="4090" spans="1:13" s="21" customFormat="1" x14ac:dyDescent="0.25">
      <c r="A4090" s="22" t="s">
        <v>8</v>
      </c>
      <c r="B4090" s="18" t="str">
        <f>"155746"</f>
        <v>155746</v>
      </c>
      <c r="C4090" s="19" t="s">
        <v>4044</v>
      </c>
      <c r="D4090" s="19" t="s">
        <v>19517</v>
      </c>
      <c r="E4090" s="19" t="s">
        <v>32328</v>
      </c>
      <c r="F4090" s="19" t="s">
        <v>35988</v>
      </c>
      <c r="G4090" s="18" t="str">
        <f>"47946"</f>
        <v>47946</v>
      </c>
      <c r="H4090" s="19" t="s">
        <v>31795</v>
      </c>
      <c r="I4090" s="20">
        <v>19.315999999999999</v>
      </c>
      <c r="J4090" s="44" t="s">
        <v>8</v>
      </c>
      <c r="K4090" s="23" t="s">
        <v>8</v>
      </c>
      <c r="L4090" s="23" t="s">
        <v>8</v>
      </c>
      <c r="M4090" s="23" t="s">
        <v>8</v>
      </c>
    </row>
    <row r="4091" spans="1:13" s="21" customFormat="1" x14ac:dyDescent="0.25">
      <c r="A4091" s="22" t="s">
        <v>8</v>
      </c>
      <c r="B4091" s="18" t="str">
        <f>"155747"</f>
        <v>155747</v>
      </c>
      <c r="C4091" s="19" t="s">
        <v>4045</v>
      </c>
      <c r="D4091" s="19" t="s">
        <v>19518</v>
      </c>
      <c r="E4091" s="19" t="s">
        <v>30853</v>
      </c>
      <c r="F4091" s="19" t="s">
        <v>35988</v>
      </c>
      <c r="G4091" s="18" t="str">
        <f>"46733"</f>
        <v>46733</v>
      </c>
      <c r="H4091" s="19" t="s">
        <v>33467</v>
      </c>
      <c r="I4091" s="20">
        <v>18.878</v>
      </c>
      <c r="J4091" s="44" t="s">
        <v>8</v>
      </c>
      <c r="K4091" s="23" t="s">
        <v>8</v>
      </c>
      <c r="L4091" s="23" t="s">
        <v>8</v>
      </c>
      <c r="M4091" s="23" t="s">
        <v>8</v>
      </c>
    </row>
    <row r="4092" spans="1:13" s="21" customFormat="1" x14ac:dyDescent="0.25">
      <c r="A4092" s="22" t="s">
        <v>8</v>
      </c>
      <c r="B4092" s="18" t="str">
        <f>"155751"</f>
        <v>155751</v>
      </c>
      <c r="C4092" s="19" t="s">
        <v>4046</v>
      </c>
      <c r="D4092" s="19" t="s">
        <v>19519</v>
      </c>
      <c r="E4092" s="19" t="s">
        <v>32297</v>
      </c>
      <c r="F4092" s="19" t="s">
        <v>35988</v>
      </c>
      <c r="G4092" s="18" t="str">
        <f>"46158"</f>
        <v>46158</v>
      </c>
      <c r="H4092" s="19" t="s">
        <v>33505</v>
      </c>
      <c r="I4092" s="20">
        <v>21.553000000000001</v>
      </c>
      <c r="J4092" s="44" t="s">
        <v>8</v>
      </c>
      <c r="K4092" s="23" t="s">
        <v>8</v>
      </c>
      <c r="L4092" s="23" t="s">
        <v>8</v>
      </c>
      <c r="M4092" s="23" t="s">
        <v>8</v>
      </c>
    </row>
    <row r="4093" spans="1:13" s="21" customFormat="1" x14ac:dyDescent="0.25">
      <c r="A4093" s="22" t="s">
        <v>8</v>
      </c>
      <c r="B4093" s="18" t="str">
        <f>"155752"</f>
        <v>155752</v>
      </c>
      <c r="C4093" s="19" t="s">
        <v>4047</v>
      </c>
      <c r="D4093" s="19" t="s">
        <v>19520</v>
      </c>
      <c r="E4093" s="19" t="s">
        <v>32216</v>
      </c>
      <c r="F4093" s="19" t="s">
        <v>35988</v>
      </c>
      <c r="G4093" s="18" t="str">
        <f>"46637"</f>
        <v>46637</v>
      </c>
      <c r="H4093" s="19" t="s">
        <v>33301</v>
      </c>
      <c r="I4093" s="20">
        <v>20.102</v>
      </c>
      <c r="J4093" s="44" t="s">
        <v>8</v>
      </c>
      <c r="K4093" s="23" t="s">
        <v>8</v>
      </c>
      <c r="L4093" s="23" t="s">
        <v>8</v>
      </c>
      <c r="M4093" s="23" t="s">
        <v>8</v>
      </c>
    </row>
    <row r="4094" spans="1:13" s="21" customFormat="1" x14ac:dyDescent="0.25">
      <c r="A4094" s="22" t="s">
        <v>8</v>
      </c>
      <c r="B4094" s="18" t="str">
        <f>"155753"</f>
        <v>155753</v>
      </c>
      <c r="C4094" s="19" t="s">
        <v>4048</v>
      </c>
      <c r="D4094" s="19" t="s">
        <v>19521</v>
      </c>
      <c r="E4094" s="19" t="s">
        <v>32248</v>
      </c>
      <c r="F4094" s="19" t="s">
        <v>35988</v>
      </c>
      <c r="G4094" s="18" t="str">
        <f>"47170"</f>
        <v>47170</v>
      </c>
      <c r="H4094" s="19" t="s">
        <v>36083</v>
      </c>
      <c r="I4094" s="20">
        <v>17.321999999999999</v>
      </c>
      <c r="J4094" s="44" t="s">
        <v>8</v>
      </c>
      <c r="K4094" s="23" t="s">
        <v>8</v>
      </c>
      <c r="L4094" s="23" t="s">
        <v>8</v>
      </c>
      <c r="M4094" s="23" t="s">
        <v>8</v>
      </c>
    </row>
    <row r="4095" spans="1:13" s="21" customFormat="1" x14ac:dyDescent="0.25">
      <c r="A4095" s="22" t="s">
        <v>8</v>
      </c>
      <c r="B4095" s="18" t="str">
        <f>"155754"</f>
        <v>155754</v>
      </c>
      <c r="C4095" s="19" t="s">
        <v>4049</v>
      </c>
      <c r="D4095" s="19" t="s">
        <v>19522</v>
      </c>
      <c r="E4095" s="19" t="s">
        <v>32213</v>
      </c>
      <c r="F4095" s="19" t="s">
        <v>35988</v>
      </c>
      <c r="G4095" s="18" t="str">
        <f>"46517"</f>
        <v>46517</v>
      </c>
      <c r="H4095" s="19" t="s">
        <v>32213</v>
      </c>
      <c r="I4095" s="20">
        <v>15.548</v>
      </c>
      <c r="J4095" s="44" t="s">
        <v>8</v>
      </c>
      <c r="K4095" s="23" t="s">
        <v>8</v>
      </c>
      <c r="L4095" s="23" t="s">
        <v>8</v>
      </c>
      <c r="M4095" s="23" t="s">
        <v>8</v>
      </c>
    </row>
    <row r="4096" spans="1:13" s="21" customFormat="1" x14ac:dyDescent="0.25">
      <c r="A4096" s="22" t="s">
        <v>8</v>
      </c>
      <c r="B4096" s="18" t="str">
        <f>"155755"</f>
        <v>155755</v>
      </c>
      <c r="C4096" s="19" t="s">
        <v>4050</v>
      </c>
      <c r="D4096" s="19" t="s">
        <v>19523</v>
      </c>
      <c r="E4096" s="19" t="s">
        <v>32214</v>
      </c>
      <c r="F4096" s="19" t="s">
        <v>35988</v>
      </c>
      <c r="G4096" s="18" t="str">
        <f>"46815"</f>
        <v>46815</v>
      </c>
      <c r="H4096" s="19" t="s">
        <v>34710</v>
      </c>
      <c r="I4096" s="20">
        <v>16.832999999999998</v>
      </c>
      <c r="J4096" s="44" t="s">
        <v>8</v>
      </c>
      <c r="K4096" s="23" t="s">
        <v>8</v>
      </c>
      <c r="L4096" s="23" t="s">
        <v>8</v>
      </c>
      <c r="M4096" s="23" t="s">
        <v>8</v>
      </c>
    </row>
    <row r="4097" spans="1:13" s="21" customFormat="1" x14ac:dyDescent="0.25">
      <c r="A4097" s="22" t="s">
        <v>8</v>
      </c>
      <c r="B4097" s="18" t="str">
        <f>"155756"</f>
        <v>155756</v>
      </c>
      <c r="C4097" s="19" t="s">
        <v>4051</v>
      </c>
      <c r="D4097" s="19" t="s">
        <v>19524</v>
      </c>
      <c r="E4097" s="19" t="s">
        <v>32214</v>
      </c>
      <c r="F4097" s="19" t="s">
        <v>35988</v>
      </c>
      <c r="G4097" s="18" t="str">
        <f>"46804"</f>
        <v>46804</v>
      </c>
      <c r="H4097" s="19" t="s">
        <v>34710</v>
      </c>
      <c r="I4097" s="20">
        <v>18.744</v>
      </c>
      <c r="J4097" s="44" t="s">
        <v>8</v>
      </c>
      <c r="K4097" s="23" t="s">
        <v>8</v>
      </c>
      <c r="L4097" s="23" t="s">
        <v>8</v>
      </c>
      <c r="M4097" s="23" t="s">
        <v>8</v>
      </c>
    </row>
    <row r="4098" spans="1:13" s="21" customFormat="1" x14ac:dyDescent="0.25">
      <c r="A4098" s="22" t="s">
        <v>8</v>
      </c>
      <c r="B4098" s="18" t="str">
        <f>"155757"</f>
        <v>155757</v>
      </c>
      <c r="C4098" s="19" t="s">
        <v>4052</v>
      </c>
      <c r="D4098" s="19" t="s">
        <v>19525</v>
      </c>
      <c r="E4098" s="19" t="s">
        <v>32200</v>
      </c>
      <c r="F4098" s="19" t="s">
        <v>35988</v>
      </c>
      <c r="G4098" s="18" t="str">
        <f>"46237"</f>
        <v>46237</v>
      </c>
      <c r="H4098" s="19" t="s">
        <v>30850</v>
      </c>
      <c r="I4098" s="20">
        <v>19.866</v>
      </c>
      <c r="J4098" s="44" t="s">
        <v>8</v>
      </c>
      <c r="K4098" s="23" t="s">
        <v>8</v>
      </c>
      <c r="L4098" s="23" t="s">
        <v>8</v>
      </c>
      <c r="M4098" s="23" t="s">
        <v>8</v>
      </c>
    </row>
    <row r="4099" spans="1:13" s="21" customFormat="1" x14ac:dyDescent="0.25">
      <c r="A4099" s="22" t="s">
        <v>8</v>
      </c>
      <c r="B4099" s="18" t="str">
        <f>"155758"</f>
        <v>155758</v>
      </c>
      <c r="C4099" s="19" t="s">
        <v>4053</v>
      </c>
      <c r="D4099" s="19" t="s">
        <v>19526</v>
      </c>
      <c r="E4099" s="19" t="s">
        <v>32232</v>
      </c>
      <c r="F4099" s="19" t="s">
        <v>35988</v>
      </c>
      <c r="G4099" s="18" t="str">
        <f>"46135"</f>
        <v>46135</v>
      </c>
      <c r="H4099" s="19" t="s">
        <v>31482</v>
      </c>
      <c r="I4099" s="20">
        <v>17.584</v>
      </c>
      <c r="J4099" s="44" t="s">
        <v>8</v>
      </c>
      <c r="K4099" s="23" t="s">
        <v>8</v>
      </c>
      <c r="L4099" s="23" t="s">
        <v>8</v>
      </c>
      <c r="M4099" s="23" t="s">
        <v>8</v>
      </c>
    </row>
    <row r="4100" spans="1:13" s="21" customFormat="1" x14ac:dyDescent="0.25">
      <c r="A4100" s="22" t="s">
        <v>8</v>
      </c>
      <c r="B4100" s="18" t="str">
        <f>"155759"</f>
        <v>155759</v>
      </c>
      <c r="C4100" s="19" t="s">
        <v>4054</v>
      </c>
      <c r="D4100" s="19" t="s">
        <v>19527</v>
      </c>
      <c r="E4100" s="19" t="s">
        <v>31498</v>
      </c>
      <c r="F4100" s="19" t="s">
        <v>35988</v>
      </c>
      <c r="G4100" s="18" t="str">
        <f>"47362"</f>
        <v>47362</v>
      </c>
      <c r="H4100" s="19" t="s">
        <v>32041</v>
      </c>
      <c r="I4100" s="20">
        <v>20.279</v>
      </c>
      <c r="J4100" s="44" t="s">
        <v>8</v>
      </c>
      <c r="K4100" s="23" t="s">
        <v>8</v>
      </c>
      <c r="L4100" s="23" t="s">
        <v>8</v>
      </c>
      <c r="M4100" s="23" t="s">
        <v>8</v>
      </c>
    </row>
    <row r="4101" spans="1:13" s="21" customFormat="1" x14ac:dyDescent="0.25">
      <c r="A4101" s="22" t="s">
        <v>8</v>
      </c>
      <c r="B4101" s="18" t="str">
        <f>"155760"</f>
        <v>155760</v>
      </c>
      <c r="C4101" s="19" t="s">
        <v>4055</v>
      </c>
      <c r="D4101" s="19" t="s">
        <v>19528</v>
      </c>
      <c r="E4101" s="19" t="s">
        <v>32233</v>
      </c>
      <c r="F4101" s="19" t="s">
        <v>35988</v>
      </c>
      <c r="G4101" s="18" t="str">
        <f>"46526"</f>
        <v>46526</v>
      </c>
      <c r="H4101" s="19" t="s">
        <v>32213</v>
      </c>
      <c r="I4101" s="20">
        <v>17.523</v>
      </c>
      <c r="J4101" s="44" t="s">
        <v>8</v>
      </c>
      <c r="K4101" s="23" t="s">
        <v>8</v>
      </c>
      <c r="L4101" s="23" t="s">
        <v>8</v>
      </c>
      <c r="M4101" s="23" t="s">
        <v>8</v>
      </c>
    </row>
    <row r="4102" spans="1:13" s="21" customFormat="1" x14ac:dyDescent="0.25">
      <c r="A4102" s="22" t="s">
        <v>8</v>
      </c>
      <c r="B4102" s="18" t="str">
        <f>"155761"</f>
        <v>155761</v>
      </c>
      <c r="C4102" s="19" t="s">
        <v>4056</v>
      </c>
      <c r="D4102" s="19" t="s">
        <v>19529</v>
      </c>
      <c r="E4102" s="19" t="s">
        <v>32234</v>
      </c>
      <c r="F4102" s="19" t="s">
        <v>35988</v>
      </c>
      <c r="G4102" s="18" t="str">
        <f>"46112"</f>
        <v>46112</v>
      </c>
      <c r="H4102" s="19" t="s">
        <v>33449</v>
      </c>
      <c r="I4102" s="20">
        <v>14.954000000000001</v>
      </c>
      <c r="J4102" s="44" t="s">
        <v>8</v>
      </c>
      <c r="K4102" s="23" t="s">
        <v>8</v>
      </c>
      <c r="L4102" s="23" t="s">
        <v>8</v>
      </c>
      <c r="M4102" s="23" t="s">
        <v>8</v>
      </c>
    </row>
    <row r="4103" spans="1:13" s="21" customFormat="1" x14ac:dyDescent="0.25">
      <c r="A4103" s="22" t="s">
        <v>8</v>
      </c>
      <c r="B4103" s="18" t="str">
        <f>"155762"</f>
        <v>155762</v>
      </c>
      <c r="C4103" s="19" t="s">
        <v>4057</v>
      </c>
      <c r="D4103" s="19" t="s">
        <v>19530</v>
      </c>
      <c r="E4103" s="19" t="s">
        <v>31178</v>
      </c>
      <c r="F4103" s="19" t="s">
        <v>35988</v>
      </c>
      <c r="G4103" s="18" t="str">
        <f>"47374"</f>
        <v>47374</v>
      </c>
      <c r="H4103" s="19" t="s">
        <v>33280</v>
      </c>
      <c r="I4103" s="20">
        <v>19.501000000000001</v>
      </c>
      <c r="J4103" s="44" t="s">
        <v>8</v>
      </c>
      <c r="K4103" s="23" t="s">
        <v>8</v>
      </c>
      <c r="L4103" s="23" t="s">
        <v>8</v>
      </c>
      <c r="M4103" s="23" t="s">
        <v>8</v>
      </c>
    </row>
    <row r="4104" spans="1:13" s="21" customFormat="1" x14ac:dyDescent="0.25">
      <c r="A4104" s="22" t="s">
        <v>8</v>
      </c>
      <c r="B4104" s="18" t="str">
        <f>"155763"</f>
        <v>155763</v>
      </c>
      <c r="C4104" s="19" t="s">
        <v>4058</v>
      </c>
      <c r="D4104" s="19" t="s">
        <v>19531</v>
      </c>
      <c r="E4104" s="19" t="s">
        <v>32329</v>
      </c>
      <c r="F4104" s="19" t="s">
        <v>35988</v>
      </c>
      <c r="G4104" s="18" t="str">
        <f>"46701"</f>
        <v>46701</v>
      </c>
      <c r="H4104" s="19" t="s">
        <v>34672</v>
      </c>
      <c r="I4104" s="20">
        <v>21.420999999999999</v>
      </c>
      <c r="J4104" s="44" t="s">
        <v>8</v>
      </c>
      <c r="K4104" s="23" t="s">
        <v>8</v>
      </c>
      <c r="L4104" s="23" t="s">
        <v>8</v>
      </c>
      <c r="M4104" s="23" t="s">
        <v>8</v>
      </c>
    </row>
    <row r="4105" spans="1:13" s="21" customFormat="1" x14ac:dyDescent="0.25">
      <c r="A4105" s="22" t="s">
        <v>8</v>
      </c>
      <c r="B4105" s="18" t="str">
        <f>"155764"</f>
        <v>155764</v>
      </c>
      <c r="C4105" s="19" t="s">
        <v>4059</v>
      </c>
      <c r="D4105" s="19" t="s">
        <v>19532</v>
      </c>
      <c r="E4105" s="19" t="s">
        <v>32263</v>
      </c>
      <c r="F4105" s="19" t="s">
        <v>35988</v>
      </c>
      <c r="G4105" s="18" t="str">
        <f>"46410"</f>
        <v>46410</v>
      </c>
      <c r="H4105" s="19" t="s">
        <v>36096</v>
      </c>
      <c r="I4105" s="20">
        <v>20.481000000000002</v>
      </c>
      <c r="J4105" s="44" t="s">
        <v>8</v>
      </c>
      <c r="K4105" s="23" t="s">
        <v>8</v>
      </c>
      <c r="L4105" s="23" t="s">
        <v>8</v>
      </c>
      <c r="M4105" s="23" t="s">
        <v>8</v>
      </c>
    </row>
    <row r="4106" spans="1:13" s="21" customFormat="1" x14ac:dyDescent="0.25">
      <c r="A4106" s="22" t="s">
        <v>8</v>
      </c>
      <c r="B4106" s="18" t="str">
        <f>"155765"</f>
        <v>155765</v>
      </c>
      <c r="C4106" s="19" t="s">
        <v>4060</v>
      </c>
      <c r="D4106" s="19" t="s">
        <v>19533</v>
      </c>
      <c r="E4106" s="19" t="s">
        <v>32211</v>
      </c>
      <c r="F4106" s="19" t="s">
        <v>35988</v>
      </c>
      <c r="G4106" s="18" t="str">
        <f>"47150"</f>
        <v>47150</v>
      </c>
      <c r="H4106" s="19" t="s">
        <v>35420</v>
      </c>
      <c r="I4106" s="20">
        <v>19.184999999999999</v>
      </c>
      <c r="J4106" s="44" t="s">
        <v>8</v>
      </c>
      <c r="K4106" s="23" t="s">
        <v>8</v>
      </c>
      <c r="L4106" s="23" t="s">
        <v>8</v>
      </c>
      <c r="M4106" s="23" t="s">
        <v>8</v>
      </c>
    </row>
    <row r="4107" spans="1:13" s="21" customFormat="1" x14ac:dyDescent="0.25">
      <c r="A4107" s="22" t="s">
        <v>8</v>
      </c>
      <c r="B4107" s="18" t="str">
        <f>"155766"</f>
        <v>155766</v>
      </c>
      <c r="C4107" s="19" t="s">
        <v>4061</v>
      </c>
      <c r="D4107" s="19" t="s">
        <v>19534</v>
      </c>
      <c r="E4107" s="19" t="s">
        <v>32317</v>
      </c>
      <c r="F4107" s="19" t="s">
        <v>35988</v>
      </c>
      <c r="G4107" s="18" t="str">
        <f>"47172"</f>
        <v>47172</v>
      </c>
      <c r="H4107" s="19" t="s">
        <v>33967</v>
      </c>
      <c r="I4107" s="20">
        <v>19.497</v>
      </c>
      <c r="J4107" s="44" t="s">
        <v>8</v>
      </c>
      <c r="K4107" s="23" t="s">
        <v>8</v>
      </c>
      <c r="L4107" s="23" t="s">
        <v>8</v>
      </c>
      <c r="M4107" s="23" t="s">
        <v>8</v>
      </c>
    </row>
    <row r="4108" spans="1:13" s="21" customFormat="1" x14ac:dyDescent="0.25">
      <c r="A4108" s="22" t="s">
        <v>8</v>
      </c>
      <c r="B4108" s="18" t="str">
        <f>"155767"</f>
        <v>155767</v>
      </c>
      <c r="C4108" s="19" t="s">
        <v>4062</v>
      </c>
      <c r="D4108" s="19" t="s">
        <v>19535</v>
      </c>
      <c r="E4108" s="19" t="s">
        <v>32220</v>
      </c>
      <c r="F4108" s="19" t="s">
        <v>35988</v>
      </c>
      <c r="G4108" s="18" t="str">
        <f>"46140"</f>
        <v>46140</v>
      </c>
      <c r="H4108" s="19" t="s">
        <v>33144</v>
      </c>
      <c r="I4108" s="20">
        <v>20.977</v>
      </c>
      <c r="J4108" s="44" t="s">
        <v>8</v>
      </c>
      <c r="K4108" s="23" t="s">
        <v>8</v>
      </c>
      <c r="L4108" s="23" t="s">
        <v>8</v>
      </c>
      <c r="M4108" s="23" t="s">
        <v>8</v>
      </c>
    </row>
    <row r="4109" spans="1:13" s="21" customFormat="1" x14ac:dyDescent="0.25">
      <c r="A4109" s="22" t="s">
        <v>8</v>
      </c>
      <c r="B4109" s="18" t="str">
        <f>"155768"</f>
        <v>155768</v>
      </c>
      <c r="C4109" s="19" t="s">
        <v>4063</v>
      </c>
      <c r="D4109" s="19" t="s">
        <v>19536</v>
      </c>
      <c r="E4109" s="19" t="s">
        <v>32217</v>
      </c>
      <c r="F4109" s="19" t="s">
        <v>35988</v>
      </c>
      <c r="G4109" s="18" t="str">
        <f>"47714"</f>
        <v>47714</v>
      </c>
      <c r="H4109" s="19" t="s">
        <v>36252</v>
      </c>
      <c r="I4109" s="20">
        <v>15.625999999999999</v>
      </c>
      <c r="J4109" s="44" t="s">
        <v>8</v>
      </c>
      <c r="K4109" s="23" t="s">
        <v>8</v>
      </c>
      <c r="L4109" s="23" t="s">
        <v>8</v>
      </c>
      <c r="M4109" s="23" t="s">
        <v>8</v>
      </c>
    </row>
    <row r="4110" spans="1:13" s="21" customFormat="1" x14ac:dyDescent="0.25">
      <c r="A4110" s="22" t="s">
        <v>8</v>
      </c>
      <c r="B4110" s="18" t="str">
        <f>"155769"</f>
        <v>155769</v>
      </c>
      <c r="C4110" s="19" t="s">
        <v>4064</v>
      </c>
      <c r="D4110" s="19" t="s">
        <v>19537</v>
      </c>
      <c r="E4110" s="19" t="s">
        <v>32205</v>
      </c>
      <c r="F4110" s="19" t="s">
        <v>35988</v>
      </c>
      <c r="G4110" s="18" t="str">
        <f>"47304"</f>
        <v>47304</v>
      </c>
      <c r="H4110" s="19" t="s">
        <v>34462</v>
      </c>
      <c r="I4110" s="20">
        <v>19.454000000000001</v>
      </c>
      <c r="J4110" s="44" t="s">
        <v>8</v>
      </c>
      <c r="K4110" s="23" t="s">
        <v>8</v>
      </c>
      <c r="L4110" s="23" t="s">
        <v>8</v>
      </c>
      <c r="M4110" s="23" t="s">
        <v>8</v>
      </c>
    </row>
    <row r="4111" spans="1:13" s="21" customFormat="1" x14ac:dyDescent="0.25">
      <c r="A4111" s="22" t="s">
        <v>8</v>
      </c>
      <c r="B4111" s="18" t="str">
        <f>"155770"</f>
        <v>155770</v>
      </c>
      <c r="C4111" s="19" t="s">
        <v>4065</v>
      </c>
      <c r="D4111" s="19" t="s">
        <v>19538</v>
      </c>
      <c r="E4111" s="19" t="s">
        <v>31495</v>
      </c>
      <c r="F4111" s="19" t="s">
        <v>35988</v>
      </c>
      <c r="G4111" s="18" t="str">
        <f>"47122"</f>
        <v>47122</v>
      </c>
      <c r="H4111" s="19" t="s">
        <v>35420</v>
      </c>
      <c r="I4111" s="20">
        <v>19.088000000000001</v>
      </c>
      <c r="J4111" s="44" t="s">
        <v>8</v>
      </c>
      <c r="K4111" s="23" t="s">
        <v>8</v>
      </c>
      <c r="L4111" s="23" t="s">
        <v>8</v>
      </c>
      <c r="M4111" s="23" t="s">
        <v>8</v>
      </c>
    </row>
    <row r="4112" spans="1:13" s="21" customFormat="1" x14ac:dyDescent="0.25">
      <c r="A4112" s="22" t="s">
        <v>8</v>
      </c>
      <c r="B4112" s="18" t="str">
        <f>"155771"</f>
        <v>155771</v>
      </c>
      <c r="C4112" s="19" t="s">
        <v>4066</v>
      </c>
      <c r="D4112" s="19" t="s">
        <v>19539</v>
      </c>
      <c r="E4112" s="19" t="s">
        <v>5</v>
      </c>
      <c r="F4112" s="19" t="s">
        <v>35988</v>
      </c>
      <c r="G4112" s="18" t="str">
        <f>"46131"</f>
        <v>46131</v>
      </c>
      <c r="H4112" s="19" t="s">
        <v>36072</v>
      </c>
      <c r="I4112" s="20">
        <v>17.201000000000001</v>
      </c>
      <c r="J4112" s="44" t="s">
        <v>8</v>
      </c>
      <c r="K4112" s="23" t="s">
        <v>8</v>
      </c>
      <c r="L4112" s="23" t="s">
        <v>8</v>
      </c>
      <c r="M4112" s="23" t="s">
        <v>8</v>
      </c>
    </row>
    <row r="4113" spans="1:13" s="21" customFormat="1" x14ac:dyDescent="0.25">
      <c r="A4113" s="22" t="s">
        <v>8</v>
      </c>
      <c r="B4113" s="18" t="str">
        <f>"155772"</f>
        <v>155772</v>
      </c>
      <c r="C4113" s="19" t="s">
        <v>4067</v>
      </c>
      <c r="D4113" s="19" t="s">
        <v>19540</v>
      </c>
      <c r="E4113" s="19" t="s">
        <v>32225</v>
      </c>
      <c r="F4113" s="19" t="s">
        <v>35988</v>
      </c>
      <c r="G4113" s="18" t="str">
        <f>"47802"</f>
        <v>47802</v>
      </c>
      <c r="H4113" s="19" t="s">
        <v>36257</v>
      </c>
      <c r="I4113" s="20">
        <v>20.419</v>
      </c>
      <c r="J4113" s="44" t="s">
        <v>8</v>
      </c>
      <c r="K4113" s="23" t="s">
        <v>8</v>
      </c>
      <c r="L4113" s="23" t="s">
        <v>8</v>
      </c>
      <c r="M4113" s="23" t="s">
        <v>8</v>
      </c>
    </row>
    <row r="4114" spans="1:13" s="21" customFormat="1" x14ac:dyDescent="0.25">
      <c r="A4114" s="22" t="s">
        <v>8</v>
      </c>
      <c r="B4114" s="18" t="str">
        <f>"155773"</f>
        <v>155773</v>
      </c>
      <c r="C4114" s="19" t="s">
        <v>4068</v>
      </c>
      <c r="D4114" s="19" t="s">
        <v>19541</v>
      </c>
      <c r="E4114" s="19" t="s">
        <v>32217</v>
      </c>
      <c r="F4114" s="19" t="s">
        <v>35988</v>
      </c>
      <c r="G4114" s="18" t="str">
        <f>"47712"</f>
        <v>47712</v>
      </c>
      <c r="H4114" s="19" t="s">
        <v>36252</v>
      </c>
      <c r="I4114" s="20">
        <v>20.373000000000001</v>
      </c>
      <c r="J4114" s="44" t="s">
        <v>8</v>
      </c>
      <c r="K4114" s="23" t="s">
        <v>8</v>
      </c>
      <c r="L4114" s="23" t="s">
        <v>8</v>
      </c>
      <c r="M4114" s="23" t="s">
        <v>8</v>
      </c>
    </row>
    <row r="4115" spans="1:13" s="21" customFormat="1" x14ac:dyDescent="0.25">
      <c r="A4115" s="22" t="s">
        <v>8</v>
      </c>
      <c r="B4115" s="18" t="str">
        <f>"155774"</f>
        <v>155774</v>
      </c>
      <c r="C4115" s="19" t="s">
        <v>3643</v>
      </c>
      <c r="D4115" s="19" t="s">
        <v>19542</v>
      </c>
      <c r="E4115" s="19" t="s">
        <v>32241</v>
      </c>
      <c r="F4115" s="19" t="s">
        <v>35988</v>
      </c>
      <c r="G4115" s="18" t="str">
        <f>"46947"</f>
        <v>46947</v>
      </c>
      <c r="H4115" s="19" t="s">
        <v>36246</v>
      </c>
      <c r="I4115" s="20">
        <v>14.901999999999999</v>
      </c>
      <c r="J4115" s="44" t="s">
        <v>8</v>
      </c>
      <c r="K4115" s="23" t="s">
        <v>8</v>
      </c>
      <c r="L4115" s="23" t="s">
        <v>8</v>
      </c>
      <c r="M4115" s="23" t="s">
        <v>8</v>
      </c>
    </row>
    <row r="4116" spans="1:13" s="21" customFormat="1" x14ac:dyDescent="0.25">
      <c r="A4116" s="22" t="s">
        <v>8</v>
      </c>
      <c r="B4116" s="18" t="str">
        <f>"155775"</f>
        <v>155775</v>
      </c>
      <c r="C4116" s="19" t="s">
        <v>4069</v>
      </c>
      <c r="D4116" s="19" t="s">
        <v>19543</v>
      </c>
      <c r="E4116" s="19" t="s">
        <v>32227</v>
      </c>
      <c r="F4116" s="19" t="s">
        <v>35988</v>
      </c>
      <c r="G4116" s="18" t="str">
        <f>"47906"</f>
        <v>47906</v>
      </c>
      <c r="H4116" s="19" t="s">
        <v>36251</v>
      </c>
      <c r="I4116" s="20">
        <v>18.157</v>
      </c>
      <c r="J4116" s="44" t="s">
        <v>8</v>
      </c>
      <c r="K4116" s="23" t="s">
        <v>8</v>
      </c>
      <c r="L4116" s="23" t="s">
        <v>8</v>
      </c>
      <c r="M4116" s="23" t="s">
        <v>8</v>
      </c>
    </row>
    <row r="4117" spans="1:13" s="21" customFormat="1" x14ac:dyDescent="0.25">
      <c r="A4117" s="22" t="s">
        <v>8</v>
      </c>
      <c r="B4117" s="18" t="str">
        <f>"155776"</f>
        <v>155776</v>
      </c>
      <c r="C4117" s="19" t="s">
        <v>4070</v>
      </c>
      <c r="D4117" s="19" t="s">
        <v>19544</v>
      </c>
      <c r="E4117" s="19" t="s">
        <v>32225</v>
      </c>
      <c r="F4117" s="19" t="s">
        <v>35988</v>
      </c>
      <c r="G4117" s="18" t="str">
        <f>"47802"</f>
        <v>47802</v>
      </c>
      <c r="H4117" s="19" t="s">
        <v>36257</v>
      </c>
      <c r="I4117" s="20">
        <v>15.401</v>
      </c>
      <c r="J4117" s="44" t="s">
        <v>8</v>
      </c>
      <c r="K4117" s="23" t="s">
        <v>8</v>
      </c>
      <c r="L4117" s="23" t="s">
        <v>8</v>
      </c>
      <c r="M4117" s="23" t="s">
        <v>8</v>
      </c>
    </row>
    <row r="4118" spans="1:13" s="21" customFormat="1" x14ac:dyDescent="0.25">
      <c r="A4118" s="22" t="s">
        <v>8</v>
      </c>
      <c r="B4118" s="18" t="str">
        <f>"155777"</f>
        <v>155777</v>
      </c>
      <c r="C4118" s="19" t="s">
        <v>4071</v>
      </c>
      <c r="D4118" s="19" t="s">
        <v>19545</v>
      </c>
      <c r="E4118" s="19" t="s">
        <v>30892</v>
      </c>
      <c r="F4118" s="19" t="s">
        <v>35988</v>
      </c>
      <c r="G4118" s="18" t="str">
        <f>"47905"</f>
        <v>47905</v>
      </c>
      <c r="H4118" s="19" t="s">
        <v>36251</v>
      </c>
      <c r="I4118" s="20">
        <v>18.532</v>
      </c>
      <c r="J4118" s="44" t="s">
        <v>8</v>
      </c>
      <c r="K4118" s="23" t="s">
        <v>8</v>
      </c>
      <c r="L4118" s="23" t="s">
        <v>8</v>
      </c>
      <c r="M4118" s="23" t="s">
        <v>8</v>
      </c>
    </row>
    <row r="4119" spans="1:13" s="21" customFormat="1" x14ac:dyDescent="0.25">
      <c r="A4119" s="22" t="s">
        <v>8</v>
      </c>
      <c r="B4119" s="18" t="str">
        <f>"155778"</f>
        <v>155778</v>
      </c>
      <c r="C4119" s="19" t="s">
        <v>4072</v>
      </c>
      <c r="D4119" s="19" t="s">
        <v>19546</v>
      </c>
      <c r="E4119" s="19" t="s">
        <v>32330</v>
      </c>
      <c r="F4119" s="19" t="s">
        <v>35988</v>
      </c>
      <c r="G4119" s="18" t="str">
        <f>"47918"</f>
        <v>47918</v>
      </c>
      <c r="H4119" s="19" t="s">
        <v>36259</v>
      </c>
      <c r="I4119" s="20">
        <v>17.827000000000002</v>
      </c>
      <c r="J4119" s="44" t="s">
        <v>8</v>
      </c>
      <c r="K4119" s="23" t="s">
        <v>8</v>
      </c>
      <c r="L4119" s="23" t="s">
        <v>8</v>
      </c>
      <c r="M4119" s="23" t="s">
        <v>8</v>
      </c>
    </row>
    <row r="4120" spans="1:13" s="21" customFormat="1" x14ac:dyDescent="0.25">
      <c r="A4120" s="22" t="s">
        <v>8</v>
      </c>
      <c r="B4120" s="18" t="str">
        <f>"155779"</f>
        <v>155779</v>
      </c>
      <c r="C4120" s="19" t="s">
        <v>4073</v>
      </c>
      <c r="D4120" s="19" t="s">
        <v>19547</v>
      </c>
      <c r="E4120" s="19" t="s">
        <v>32218</v>
      </c>
      <c r="F4120" s="19" t="s">
        <v>35988</v>
      </c>
      <c r="G4120" s="18" t="str">
        <f>"46060"</f>
        <v>46060</v>
      </c>
      <c r="H4120" s="19" t="s">
        <v>30804</v>
      </c>
      <c r="I4120" s="20">
        <v>17.07</v>
      </c>
      <c r="J4120" s="44" t="s">
        <v>8</v>
      </c>
      <c r="K4120" s="23" t="s">
        <v>8</v>
      </c>
      <c r="L4120" s="23" t="s">
        <v>8</v>
      </c>
      <c r="M4120" s="23" t="s">
        <v>8</v>
      </c>
    </row>
    <row r="4121" spans="1:13" s="21" customFormat="1" x14ac:dyDescent="0.25">
      <c r="A4121" s="22" t="s">
        <v>8</v>
      </c>
      <c r="B4121" s="18" t="str">
        <f>"155780"</f>
        <v>155780</v>
      </c>
      <c r="C4121" s="19" t="s">
        <v>4074</v>
      </c>
      <c r="D4121" s="19" t="s">
        <v>19548</v>
      </c>
      <c r="E4121" s="19" t="s">
        <v>32200</v>
      </c>
      <c r="F4121" s="19" t="s">
        <v>35988</v>
      </c>
      <c r="G4121" s="18" t="str">
        <f>"46227"</f>
        <v>46227</v>
      </c>
      <c r="H4121" s="19" t="s">
        <v>30850</v>
      </c>
      <c r="I4121" s="20">
        <v>19.181000000000001</v>
      </c>
      <c r="J4121" s="44" t="s">
        <v>8</v>
      </c>
      <c r="K4121" s="23" t="s">
        <v>8</v>
      </c>
      <c r="L4121" s="23" t="s">
        <v>8</v>
      </c>
      <c r="M4121" s="23" t="s">
        <v>8</v>
      </c>
    </row>
    <row r="4122" spans="1:13" s="21" customFormat="1" x14ac:dyDescent="0.25">
      <c r="A4122" s="22" t="s">
        <v>8</v>
      </c>
      <c r="B4122" s="18" t="str">
        <f>"155782"</f>
        <v>155782</v>
      </c>
      <c r="C4122" s="19" t="s">
        <v>4075</v>
      </c>
      <c r="D4122" s="19" t="s">
        <v>19549</v>
      </c>
      <c r="E4122" s="19" t="s">
        <v>30986</v>
      </c>
      <c r="F4122" s="19" t="s">
        <v>35988</v>
      </c>
      <c r="G4122" s="18" t="str">
        <f>"47960"</f>
        <v>47960</v>
      </c>
      <c r="H4122" s="19" t="s">
        <v>35131</v>
      </c>
      <c r="I4122" s="20">
        <v>19.651</v>
      </c>
      <c r="J4122" s="44" t="s">
        <v>8</v>
      </c>
      <c r="K4122" s="23" t="s">
        <v>8</v>
      </c>
      <c r="L4122" s="23" t="s">
        <v>8</v>
      </c>
      <c r="M4122" s="23" t="s">
        <v>8</v>
      </c>
    </row>
    <row r="4123" spans="1:13" s="21" customFormat="1" x14ac:dyDescent="0.25">
      <c r="A4123" s="22" t="s">
        <v>8</v>
      </c>
      <c r="B4123" s="18" t="str">
        <f>"155783"</f>
        <v>155783</v>
      </c>
      <c r="C4123" s="19" t="s">
        <v>4076</v>
      </c>
      <c r="D4123" s="19" t="s">
        <v>19550</v>
      </c>
      <c r="E4123" s="19" t="s">
        <v>32213</v>
      </c>
      <c r="F4123" s="19" t="s">
        <v>35988</v>
      </c>
      <c r="G4123" s="18" t="str">
        <f>"46514"</f>
        <v>46514</v>
      </c>
      <c r="H4123" s="19" t="s">
        <v>32213</v>
      </c>
      <c r="I4123" s="20">
        <v>17.713999999999999</v>
      </c>
      <c r="J4123" s="44" t="s">
        <v>8</v>
      </c>
      <c r="K4123" s="23" t="s">
        <v>8</v>
      </c>
      <c r="L4123" s="23" t="s">
        <v>8</v>
      </c>
      <c r="M4123" s="23" t="s">
        <v>8</v>
      </c>
    </row>
    <row r="4124" spans="1:13" s="21" customFormat="1" x14ac:dyDescent="0.25">
      <c r="A4124" s="22" t="s">
        <v>8</v>
      </c>
      <c r="B4124" s="18" t="str">
        <f>"155784"</f>
        <v>155784</v>
      </c>
      <c r="C4124" s="19" t="s">
        <v>4077</v>
      </c>
      <c r="D4124" s="19" t="s">
        <v>19551</v>
      </c>
      <c r="E4124" s="19" t="s">
        <v>32219</v>
      </c>
      <c r="F4124" s="19" t="s">
        <v>35988</v>
      </c>
      <c r="G4124" s="18" t="str">
        <f>"46545"</f>
        <v>46545</v>
      </c>
      <c r="H4124" s="19" t="s">
        <v>33301</v>
      </c>
      <c r="I4124" s="20">
        <v>18.344000000000001</v>
      </c>
      <c r="J4124" s="44" t="s">
        <v>8</v>
      </c>
      <c r="K4124" s="23" t="s">
        <v>8</v>
      </c>
      <c r="L4124" s="23" t="s">
        <v>8</v>
      </c>
      <c r="M4124" s="23" t="s">
        <v>8</v>
      </c>
    </row>
    <row r="4125" spans="1:13" s="21" customFormat="1" x14ac:dyDescent="0.25">
      <c r="A4125" s="22" t="s">
        <v>8</v>
      </c>
      <c r="B4125" s="18" t="str">
        <f>"155785"</f>
        <v>155785</v>
      </c>
      <c r="C4125" s="19" t="s">
        <v>4078</v>
      </c>
      <c r="D4125" s="19" t="s">
        <v>19552</v>
      </c>
      <c r="E4125" s="19" t="s">
        <v>32217</v>
      </c>
      <c r="F4125" s="19" t="s">
        <v>35988</v>
      </c>
      <c r="G4125" s="18" t="str">
        <f>"47712"</f>
        <v>47712</v>
      </c>
      <c r="H4125" s="19" t="s">
        <v>36252</v>
      </c>
      <c r="I4125" s="20">
        <v>16.213000000000001</v>
      </c>
      <c r="J4125" s="44" t="s">
        <v>8</v>
      </c>
      <c r="K4125" s="23" t="s">
        <v>8</v>
      </c>
      <c r="L4125" s="23" t="s">
        <v>8</v>
      </c>
      <c r="M4125" s="23" t="s">
        <v>8</v>
      </c>
    </row>
    <row r="4126" spans="1:13" s="21" customFormat="1" x14ac:dyDescent="0.25">
      <c r="A4126" s="22" t="s">
        <v>8</v>
      </c>
      <c r="B4126" s="18" t="str">
        <f>"155786"</f>
        <v>155786</v>
      </c>
      <c r="C4126" s="19" t="s">
        <v>4079</v>
      </c>
      <c r="D4126" s="19" t="s">
        <v>19553</v>
      </c>
      <c r="E4126" s="19" t="s">
        <v>32331</v>
      </c>
      <c r="F4126" s="19" t="s">
        <v>35988</v>
      </c>
      <c r="G4126" s="18" t="str">
        <f>"46038"</f>
        <v>46038</v>
      </c>
      <c r="H4126" s="19" t="s">
        <v>30804</v>
      </c>
      <c r="I4126" s="20">
        <v>17.184999999999999</v>
      </c>
      <c r="J4126" s="44" t="s">
        <v>8</v>
      </c>
      <c r="K4126" s="23" t="s">
        <v>8</v>
      </c>
      <c r="L4126" s="23" t="s">
        <v>8</v>
      </c>
      <c r="M4126" s="23" t="s">
        <v>8</v>
      </c>
    </row>
    <row r="4127" spans="1:13" s="21" customFormat="1" x14ac:dyDescent="0.25">
      <c r="A4127" s="22" t="s">
        <v>8</v>
      </c>
      <c r="B4127" s="18" t="str">
        <f>"155787"</f>
        <v>155787</v>
      </c>
      <c r="C4127" s="19" t="s">
        <v>4080</v>
      </c>
      <c r="D4127" s="19" t="s">
        <v>19554</v>
      </c>
      <c r="E4127" s="19" t="s">
        <v>32227</v>
      </c>
      <c r="F4127" s="19" t="s">
        <v>35988</v>
      </c>
      <c r="G4127" s="18" t="str">
        <f>"47906"</f>
        <v>47906</v>
      </c>
      <c r="H4127" s="19" t="s">
        <v>36251</v>
      </c>
      <c r="I4127" s="20">
        <v>19.765000000000001</v>
      </c>
      <c r="J4127" s="44" t="s">
        <v>8</v>
      </c>
      <c r="K4127" s="23" t="s">
        <v>8</v>
      </c>
      <c r="L4127" s="23" t="s">
        <v>8</v>
      </c>
      <c r="M4127" s="23" t="s">
        <v>8</v>
      </c>
    </row>
    <row r="4128" spans="1:13" s="21" customFormat="1" x14ac:dyDescent="0.25">
      <c r="A4128" s="22" t="s">
        <v>8</v>
      </c>
      <c r="B4128" s="18" t="str">
        <f>"155788"</f>
        <v>155788</v>
      </c>
      <c r="C4128" s="19" t="s">
        <v>4081</v>
      </c>
      <c r="D4128" s="19" t="s">
        <v>19555</v>
      </c>
      <c r="E4128" s="19" t="s">
        <v>32204</v>
      </c>
      <c r="F4128" s="19" t="s">
        <v>35988</v>
      </c>
      <c r="G4128" s="18" t="str">
        <f>"46142"</f>
        <v>46142</v>
      </c>
      <c r="H4128" s="19" t="s">
        <v>36072</v>
      </c>
      <c r="I4128" s="20">
        <v>20.597999999999999</v>
      </c>
      <c r="J4128" s="44" t="s">
        <v>8</v>
      </c>
      <c r="K4128" s="23" t="s">
        <v>8</v>
      </c>
      <c r="L4128" s="23" t="s">
        <v>8</v>
      </c>
      <c r="M4128" s="23" t="s">
        <v>8</v>
      </c>
    </row>
    <row r="4129" spans="1:13" s="21" customFormat="1" x14ac:dyDescent="0.25">
      <c r="A4129" s="22" t="s">
        <v>8</v>
      </c>
      <c r="B4129" s="18" t="str">
        <f>"155789"</f>
        <v>155789</v>
      </c>
      <c r="C4129" s="19" t="s">
        <v>4082</v>
      </c>
      <c r="D4129" s="19" t="s">
        <v>19556</v>
      </c>
      <c r="E4129" s="19" t="s">
        <v>32208</v>
      </c>
      <c r="F4129" s="19" t="s">
        <v>35988</v>
      </c>
      <c r="G4129" s="18" t="str">
        <f>"47025"</f>
        <v>47025</v>
      </c>
      <c r="H4129" s="19" t="s">
        <v>33273</v>
      </c>
      <c r="I4129" s="20">
        <v>20.425999999999998</v>
      </c>
      <c r="J4129" s="44" t="s">
        <v>8</v>
      </c>
      <c r="K4129" s="23" t="s">
        <v>8</v>
      </c>
      <c r="L4129" s="23" t="s">
        <v>8</v>
      </c>
      <c r="M4129" s="23" t="s">
        <v>8</v>
      </c>
    </row>
    <row r="4130" spans="1:13" s="21" customFormat="1" x14ac:dyDescent="0.25">
      <c r="A4130" s="22" t="s">
        <v>8</v>
      </c>
      <c r="B4130" s="18" t="str">
        <f>"155790"</f>
        <v>155790</v>
      </c>
      <c r="C4130" s="19" t="s">
        <v>4083</v>
      </c>
      <c r="D4130" s="19" t="s">
        <v>19557</v>
      </c>
      <c r="E4130" s="19" t="s">
        <v>32228</v>
      </c>
      <c r="F4130" s="19" t="s">
        <v>35988</v>
      </c>
      <c r="G4130" s="18" t="str">
        <f>"46033"</f>
        <v>46033</v>
      </c>
      <c r="H4130" s="19" t="s">
        <v>30804</v>
      </c>
      <c r="I4130" s="20">
        <v>16.417000000000002</v>
      </c>
      <c r="J4130" s="44" t="s">
        <v>8</v>
      </c>
      <c r="K4130" s="23" t="s">
        <v>8</v>
      </c>
      <c r="L4130" s="23" t="s">
        <v>8</v>
      </c>
      <c r="M4130" s="23" t="s">
        <v>8</v>
      </c>
    </row>
    <row r="4131" spans="1:13" s="21" customFormat="1" x14ac:dyDescent="0.25">
      <c r="A4131" s="22" t="s">
        <v>8</v>
      </c>
      <c r="B4131" s="18" t="str">
        <f>"155791"</f>
        <v>155791</v>
      </c>
      <c r="C4131" s="19" t="s">
        <v>4084</v>
      </c>
      <c r="D4131" s="19" t="s">
        <v>19558</v>
      </c>
      <c r="E4131" s="19" t="s">
        <v>31914</v>
      </c>
      <c r="F4131" s="19" t="s">
        <v>35988</v>
      </c>
      <c r="G4131" s="18" t="str">
        <f>"46970"</f>
        <v>46970</v>
      </c>
      <c r="H4131" s="19" t="s">
        <v>31507</v>
      </c>
      <c r="I4131" s="20">
        <v>16.963999999999999</v>
      </c>
      <c r="J4131" s="44" t="s">
        <v>8</v>
      </c>
      <c r="K4131" s="23" t="s">
        <v>8</v>
      </c>
      <c r="L4131" s="23" t="s">
        <v>8</v>
      </c>
      <c r="M4131" s="23" t="s">
        <v>8</v>
      </c>
    </row>
    <row r="4132" spans="1:13" s="21" customFormat="1" x14ac:dyDescent="0.25">
      <c r="A4132" s="22" t="s">
        <v>8</v>
      </c>
      <c r="B4132" s="18" t="str">
        <f>"155792"</f>
        <v>155792</v>
      </c>
      <c r="C4132" s="19" t="s">
        <v>4085</v>
      </c>
      <c r="D4132" s="19" t="s">
        <v>19559</v>
      </c>
      <c r="E4132" s="19" t="s">
        <v>31444</v>
      </c>
      <c r="F4132" s="19" t="s">
        <v>35988</v>
      </c>
      <c r="G4132" s="18" t="str">
        <f>"46123"</f>
        <v>46123</v>
      </c>
      <c r="H4132" s="19" t="s">
        <v>33449</v>
      </c>
      <c r="I4132" s="20">
        <v>15.026999999999999</v>
      </c>
      <c r="J4132" s="44" t="s">
        <v>8</v>
      </c>
      <c r="K4132" s="23" t="s">
        <v>8</v>
      </c>
      <c r="L4132" s="23" t="s">
        <v>8</v>
      </c>
      <c r="M4132" s="23" t="s">
        <v>8</v>
      </c>
    </row>
    <row r="4133" spans="1:13" s="21" customFormat="1" x14ac:dyDescent="0.25">
      <c r="A4133" s="22" t="s">
        <v>8</v>
      </c>
      <c r="B4133" s="18" t="str">
        <f>"155793"</f>
        <v>155793</v>
      </c>
      <c r="C4133" s="19" t="s">
        <v>4086</v>
      </c>
      <c r="D4133" s="19" t="s">
        <v>19560</v>
      </c>
      <c r="E4133" s="19" t="s">
        <v>32331</v>
      </c>
      <c r="F4133" s="19" t="s">
        <v>35988</v>
      </c>
      <c r="G4133" s="18" t="str">
        <f>"46037"</f>
        <v>46037</v>
      </c>
      <c r="H4133" s="19" t="s">
        <v>30804</v>
      </c>
      <c r="I4133" s="20">
        <v>19.312999999999999</v>
      </c>
      <c r="J4133" s="44" t="s">
        <v>8</v>
      </c>
      <c r="K4133" s="23" t="s">
        <v>8</v>
      </c>
      <c r="L4133" s="23" t="s">
        <v>8</v>
      </c>
      <c r="M4133" s="23" t="s">
        <v>8</v>
      </c>
    </row>
    <row r="4134" spans="1:13" s="21" customFormat="1" x14ac:dyDescent="0.25">
      <c r="A4134" s="22" t="s">
        <v>8</v>
      </c>
      <c r="B4134" s="18" t="str">
        <f>"155794"</f>
        <v>155794</v>
      </c>
      <c r="C4134" s="19" t="s">
        <v>4087</v>
      </c>
      <c r="D4134" s="19" t="s">
        <v>19561</v>
      </c>
      <c r="E4134" s="19" t="s">
        <v>32228</v>
      </c>
      <c r="F4134" s="19" t="s">
        <v>35988</v>
      </c>
      <c r="G4134" s="18" t="str">
        <f>"46032"</f>
        <v>46032</v>
      </c>
      <c r="H4134" s="19" t="s">
        <v>30804</v>
      </c>
      <c r="I4134" s="20">
        <v>18.126999999999999</v>
      </c>
      <c r="J4134" s="44" t="s">
        <v>8</v>
      </c>
      <c r="K4134" s="23" t="s">
        <v>8</v>
      </c>
      <c r="L4134" s="23" t="s">
        <v>8</v>
      </c>
      <c r="M4134" s="23" t="s">
        <v>8</v>
      </c>
    </row>
    <row r="4135" spans="1:13" s="21" customFormat="1" x14ac:dyDescent="0.25">
      <c r="A4135" s="22" t="s">
        <v>8</v>
      </c>
      <c r="B4135" s="18" t="str">
        <f>"155795"</f>
        <v>155795</v>
      </c>
      <c r="C4135" s="19" t="s">
        <v>4088</v>
      </c>
      <c r="D4135" s="19" t="s">
        <v>19562</v>
      </c>
      <c r="E4135" s="19" t="s">
        <v>32224</v>
      </c>
      <c r="F4135" s="19" t="s">
        <v>35988</v>
      </c>
      <c r="G4135" s="18" t="str">
        <f>"46383"</f>
        <v>46383</v>
      </c>
      <c r="H4135" s="19" t="s">
        <v>36256</v>
      </c>
      <c r="I4135" s="20">
        <v>18.274999999999999</v>
      </c>
      <c r="J4135" s="44" t="s">
        <v>8</v>
      </c>
      <c r="K4135" s="23" t="s">
        <v>8</v>
      </c>
      <c r="L4135" s="23" t="s">
        <v>8</v>
      </c>
      <c r="M4135" s="23" t="s">
        <v>8</v>
      </c>
    </row>
    <row r="4136" spans="1:13" s="21" customFormat="1" x14ac:dyDescent="0.25">
      <c r="A4136" s="22" t="s">
        <v>8</v>
      </c>
      <c r="B4136" s="18" t="str">
        <f>"155796"</f>
        <v>155796</v>
      </c>
      <c r="C4136" s="19" t="s">
        <v>4089</v>
      </c>
      <c r="D4136" s="19" t="s">
        <v>19563</v>
      </c>
      <c r="E4136" s="19" t="s">
        <v>32332</v>
      </c>
      <c r="F4136" s="19" t="s">
        <v>35988</v>
      </c>
      <c r="G4136" s="18" t="str">
        <f>"46765"</f>
        <v>46765</v>
      </c>
      <c r="H4136" s="19" t="s">
        <v>34710</v>
      </c>
      <c r="I4136" s="20">
        <v>21.024999999999999</v>
      </c>
      <c r="J4136" s="44" t="s">
        <v>8</v>
      </c>
      <c r="K4136" s="23" t="s">
        <v>8</v>
      </c>
      <c r="L4136" s="23" t="s">
        <v>8</v>
      </c>
      <c r="M4136" s="23" t="s">
        <v>8</v>
      </c>
    </row>
    <row r="4137" spans="1:13" s="21" customFormat="1" x14ac:dyDescent="0.25">
      <c r="A4137" s="22" t="s">
        <v>8</v>
      </c>
      <c r="B4137" s="18" t="str">
        <f>"155797"</f>
        <v>155797</v>
      </c>
      <c r="C4137" s="19" t="s">
        <v>4090</v>
      </c>
      <c r="D4137" s="19" t="s">
        <v>19564</v>
      </c>
      <c r="E4137" s="19" t="s">
        <v>32236</v>
      </c>
      <c r="F4137" s="19" t="s">
        <v>35988</v>
      </c>
      <c r="G4137" s="18" t="str">
        <f>"47240"</f>
        <v>47240</v>
      </c>
      <c r="H4137" s="19" t="s">
        <v>30853</v>
      </c>
      <c r="I4137" s="20">
        <v>21.978999999999999</v>
      </c>
      <c r="J4137" s="44" t="s">
        <v>8</v>
      </c>
      <c r="K4137" s="23" t="s">
        <v>8</v>
      </c>
      <c r="L4137" s="23" t="s">
        <v>8</v>
      </c>
      <c r="M4137" s="23" t="s">
        <v>8</v>
      </c>
    </row>
    <row r="4138" spans="1:13" s="21" customFormat="1" x14ac:dyDescent="0.25">
      <c r="A4138" s="22" t="s">
        <v>8</v>
      </c>
      <c r="B4138" s="18" t="str">
        <f>"155798"</f>
        <v>155798</v>
      </c>
      <c r="C4138" s="19" t="s">
        <v>4091</v>
      </c>
      <c r="D4138" s="19" t="s">
        <v>19565</v>
      </c>
      <c r="E4138" s="19" t="s">
        <v>32214</v>
      </c>
      <c r="F4138" s="19" t="s">
        <v>35988</v>
      </c>
      <c r="G4138" s="18" t="str">
        <f>"46845"</f>
        <v>46845</v>
      </c>
      <c r="H4138" s="19" t="s">
        <v>34710</v>
      </c>
      <c r="I4138" s="20">
        <v>19.145</v>
      </c>
      <c r="J4138" s="44" t="s">
        <v>8</v>
      </c>
      <c r="K4138" s="23" t="s">
        <v>8</v>
      </c>
      <c r="L4138" s="23" t="s">
        <v>8</v>
      </c>
      <c r="M4138" s="23" t="s">
        <v>8</v>
      </c>
    </row>
    <row r="4139" spans="1:13" s="21" customFormat="1" x14ac:dyDescent="0.25">
      <c r="A4139" s="22" t="s">
        <v>8</v>
      </c>
      <c r="B4139" s="18" t="str">
        <f>"155799"</f>
        <v>155799</v>
      </c>
      <c r="C4139" s="19" t="s">
        <v>4092</v>
      </c>
      <c r="D4139" s="19" t="s">
        <v>19566</v>
      </c>
      <c r="E4139" s="19" t="s">
        <v>30850</v>
      </c>
      <c r="F4139" s="19" t="s">
        <v>35988</v>
      </c>
      <c r="G4139" s="18" t="str">
        <f>"46953"</f>
        <v>46953</v>
      </c>
      <c r="H4139" s="19" t="s">
        <v>36078</v>
      </c>
      <c r="I4139" s="20">
        <v>17.533999999999999</v>
      </c>
      <c r="J4139" s="44" t="s">
        <v>8</v>
      </c>
      <c r="K4139" s="23" t="s">
        <v>8</v>
      </c>
      <c r="L4139" s="23" t="s">
        <v>8</v>
      </c>
      <c r="M4139" s="23" t="s">
        <v>8</v>
      </c>
    </row>
    <row r="4140" spans="1:13" s="21" customFormat="1" x14ac:dyDescent="0.25">
      <c r="A4140" s="22" t="s">
        <v>8</v>
      </c>
      <c r="B4140" s="18" t="str">
        <f>"155800"</f>
        <v>155800</v>
      </c>
      <c r="C4140" s="19" t="s">
        <v>3935</v>
      </c>
      <c r="D4140" s="19" t="s">
        <v>19567</v>
      </c>
      <c r="E4140" s="19" t="s">
        <v>32214</v>
      </c>
      <c r="F4140" s="19" t="s">
        <v>35988</v>
      </c>
      <c r="G4140" s="18" t="str">
        <f>"46825"</f>
        <v>46825</v>
      </c>
      <c r="H4140" s="19" t="s">
        <v>34710</v>
      </c>
      <c r="I4140" s="20">
        <v>19.513000000000002</v>
      </c>
      <c r="J4140" s="44" t="s">
        <v>8</v>
      </c>
      <c r="K4140" s="23" t="s">
        <v>8</v>
      </c>
      <c r="L4140" s="23" t="s">
        <v>8</v>
      </c>
      <c r="M4140" s="23" t="s">
        <v>8</v>
      </c>
    </row>
    <row r="4141" spans="1:13" s="21" customFormat="1" x14ac:dyDescent="0.25">
      <c r="A4141" s="22" t="s">
        <v>8</v>
      </c>
      <c r="B4141" s="18" t="str">
        <f>"155801"</f>
        <v>155801</v>
      </c>
      <c r="C4141" s="19" t="s">
        <v>4093</v>
      </c>
      <c r="D4141" s="19" t="s">
        <v>19568</v>
      </c>
      <c r="E4141" s="19" t="s">
        <v>32285</v>
      </c>
      <c r="F4141" s="19" t="s">
        <v>35988</v>
      </c>
      <c r="G4141" s="18" t="str">
        <f>"47601"</f>
        <v>47601</v>
      </c>
      <c r="H4141" s="19" t="s">
        <v>36260</v>
      </c>
      <c r="I4141" s="20">
        <v>18.724</v>
      </c>
      <c r="J4141" s="44" t="s">
        <v>8</v>
      </c>
      <c r="K4141" s="23" t="s">
        <v>8</v>
      </c>
      <c r="L4141" s="23" t="s">
        <v>8</v>
      </c>
      <c r="M4141" s="23" t="s">
        <v>8</v>
      </c>
    </row>
    <row r="4142" spans="1:13" s="21" customFormat="1" x14ac:dyDescent="0.25">
      <c r="A4142" s="22" t="s">
        <v>8</v>
      </c>
      <c r="B4142" s="18" t="str">
        <f>"155802"</f>
        <v>155802</v>
      </c>
      <c r="C4142" s="19" t="s">
        <v>4094</v>
      </c>
      <c r="D4142" s="19" t="s">
        <v>19569</v>
      </c>
      <c r="E4142" s="19" t="s">
        <v>32333</v>
      </c>
      <c r="F4142" s="19" t="s">
        <v>35988</v>
      </c>
      <c r="G4142" s="18" t="str">
        <f>"47876"</f>
        <v>47876</v>
      </c>
      <c r="H4142" s="19" t="s">
        <v>36257</v>
      </c>
      <c r="I4142" s="20">
        <v>19.736000000000001</v>
      </c>
      <c r="J4142" s="44" t="s">
        <v>8</v>
      </c>
      <c r="K4142" s="23" t="s">
        <v>8</v>
      </c>
      <c r="L4142" s="23" t="s">
        <v>8</v>
      </c>
      <c r="M4142" s="23" t="s">
        <v>8</v>
      </c>
    </row>
    <row r="4143" spans="1:13" s="21" customFormat="1" x14ac:dyDescent="0.25">
      <c r="A4143" s="22" t="s">
        <v>8</v>
      </c>
      <c r="B4143" s="18" t="str">
        <f>"155803"</f>
        <v>155803</v>
      </c>
      <c r="C4143" s="19" t="s">
        <v>4095</v>
      </c>
      <c r="D4143" s="19" t="s">
        <v>19570</v>
      </c>
      <c r="E4143" s="19" t="s">
        <v>32245</v>
      </c>
      <c r="F4143" s="19" t="s">
        <v>35988</v>
      </c>
      <c r="G4143" s="18" t="str">
        <f>"47630"</f>
        <v>47630</v>
      </c>
      <c r="H4143" s="19" t="s">
        <v>36260</v>
      </c>
      <c r="I4143" s="20">
        <v>19.209</v>
      </c>
      <c r="J4143" s="44" t="s">
        <v>8</v>
      </c>
      <c r="K4143" s="23" t="s">
        <v>8</v>
      </c>
      <c r="L4143" s="23" t="s">
        <v>8</v>
      </c>
      <c r="M4143" s="23" t="s">
        <v>8</v>
      </c>
    </row>
    <row r="4144" spans="1:13" s="21" customFormat="1" x14ac:dyDescent="0.25">
      <c r="A4144" s="22" t="s">
        <v>8</v>
      </c>
      <c r="B4144" s="18" t="str">
        <f>"155804"</f>
        <v>155804</v>
      </c>
      <c r="C4144" s="19" t="s">
        <v>4096</v>
      </c>
      <c r="D4144" s="19" t="s">
        <v>19571</v>
      </c>
      <c r="E4144" s="19" t="s">
        <v>32219</v>
      </c>
      <c r="F4144" s="19" t="s">
        <v>35988</v>
      </c>
      <c r="G4144" s="18" t="str">
        <f>"46544"</f>
        <v>46544</v>
      </c>
      <c r="H4144" s="19" t="s">
        <v>33301</v>
      </c>
      <c r="I4144" s="20">
        <v>21.78</v>
      </c>
      <c r="J4144" s="44" t="s">
        <v>8</v>
      </c>
      <c r="K4144" s="23" t="s">
        <v>8</v>
      </c>
      <c r="L4144" s="23" t="s">
        <v>8</v>
      </c>
      <c r="M4144" s="23" t="s">
        <v>8</v>
      </c>
    </row>
    <row r="4145" spans="1:13" s="21" customFormat="1" x14ac:dyDescent="0.25">
      <c r="A4145" s="22" t="s">
        <v>8</v>
      </c>
      <c r="B4145" s="18" t="str">
        <f>"155805"</f>
        <v>155805</v>
      </c>
      <c r="C4145" s="19" t="s">
        <v>4097</v>
      </c>
      <c r="D4145" s="19" t="s">
        <v>19572</v>
      </c>
      <c r="E4145" s="19" t="s">
        <v>32243</v>
      </c>
      <c r="F4145" s="19" t="s">
        <v>35988</v>
      </c>
      <c r="G4145" s="18" t="str">
        <f>"46304"</f>
        <v>46304</v>
      </c>
      <c r="H4145" s="19" t="s">
        <v>36256</v>
      </c>
      <c r="I4145" s="20">
        <v>20.641999999999999</v>
      </c>
      <c r="J4145" s="44" t="s">
        <v>8</v>
      </c>
      <c r="K4145" s="23" t="s">
        <v>8</v>
      </c>
      <c r="L4145" s="23" t="s">
        <v>8</v>
      </c>
      <c r="M4145" s="23" t="s">
        <v>8</v>
      </c>
    </row>
    <row r="4146" spans="1:13" s="21" customFormat="1" x14ac:dyDescent="0.25">
      <c r="A4146" s="22" t="s">
        <v>8</v>
      </c>
      <c r="B4146" s="18" t="str">
        <f>"155806"</f>
        <v>155806</v>
      </c>
      <c r="C4146" s="19" t="s">
        <v>4098</v>
      </c>
      <c r="D4146" s="19" t="s">
        <v>19573</v>
      </c>
      <c r="E4146" s="19" t="s">
        <v>32203</v>
      </c>
      <c r="F4146" s="19" t="s">
        <v>35988</v>
      </c>
      <c r="G4146" s="18" t="str">
        <f>"46992"</f>
        <v>46992</v>
      </c>
      <c r="H4146" s="19" t="s">
        <v>32203</v>
      </c>
      <c r="I4146" s="20">
        <v>17.547999999999998</v>
      </c>
      <c r="J4146" s="44" t="s">
        <v>8</v>
      </c>
      <c r="K4146" s="23" t="s">
        <v>8</v>
      </c>
      <c r="L4146" s="23" t="s">
        <v>8</v>
      </c>
      <c r="M4146" s="23" t="s">
        <v>8</v>
      </c>
    </row>
    <row r="4147" spans="1:13" s="21" customFormat="1" x14ac:dyDescent="0.25">
      <c r="A4147" s="22" t="s">
        <v>8</v>
      </c>
      <c r="B4147" s="18" t="str">
        <f>"155807"</f>
        <v>155807</v>
      </c>
      <c r="C4147" s="19" t="s">
        <v>4099</v>
      </c>
      <c r="D4147" s="19" t="s">
        <v>19574</v>
      </c>
      <c r="E4147" s="19" t="s">
        <v>32200</v>
      </c>
      <c r="F4147" s="19" t="s">
        <v>35988</v>
      </c>
      <c r="G4147" s="18" t="str">
        <f>"46218"</f>
        <v>46218</v>
      </c>
      <c r="H4147" s="19" t="s">
        <v>30850</v>
      </c>
      <c r="I4147" s="20">
        <v>19.492000000000001</v>
      </c>
      <c r="J4147" s="44" t="s">
        <v>8</v>
      </c>
      <c r="K4147" s="23" t="s">
        <v>8</v>
      </c>
      <c r="L4147" s="23" t="s">
        <v>8</v>
      </c>
      <c r="M4147" s="23" t="s">
        <v>8</v>
      </c>
    </row>
    <row r="4148" spans="1:13" s="21" customFormat="1" x14ac:dyDescent="0.25">
      <c r="A4148" s="22" t="s">
        <v>8</v>
      </c>
      <c r="B4148" s="18" t="str">
        <f>"155808"</f>
        <v>155808</v>
      </c>
      <c r="C4148" s="19" t="s">
        <v>4100</v>
      </c>
      <c r="D4148" s="19" t="s">
        <v>19575</v>
      </c>
      <c r="E4148" s="19" t="s">
        <v>32231</v>
      </c>
      <c r="F4148" s="19" t="s">
        <v>35988</v>
      </c>
      <c r="G4148" s="18" t="str">
        <f>"46074"</f>
        <v>46074</v>
      </c>
      <c r="H4148" s="19" t="s">
        <v>30804</v>
      </c>
      <c r="I4148" s="20">
        <v>14.958</v>
      </c>
      <c r="J4148" s="44" t="s">
        <v>8</v>
      </c>
      <c r="K4148" s="23" t="s">
        <v>8</v>
      </c>
      <c r="L4148" s="23" t="s">
        <v>8</v>
      </c>
      <c r="M4148" s="23" t="s">
        <v>8</v>
      </c>
    </row>
    <row r="4149" spans="1:13" s="21" customFormat="1" x14ac:dyDescent="0.25">
      <c r="A4149" s="22" t="s">
        <v>8</v>
      </c>
      <c r="B4149" s="18" t="str">
        <f>"155809"</f>
        <v>155809</v>
      </c>
      <c r="C4149" s="19" t="s">
        <v>4101</v>
      </c>
      <c r="D4149" s="19" t="s">
        <v>19576</v>
      </c>
      <c r="E4149" s="19" t="s">
        <v>32214</v>
      </c>
      <c r="F4149" s="19" t="s">
        <v>35988</v>
      </c>
      <c r="G4149" s="18" t="str">
        <f>"46845"</f>
        <v>46845</v>
      </c>
      <c r="H4149" s="19" t="s">
        <v>34710</v>
      </c>
      <c r="I4149" s="20">
        <v>17.329999999999998</v>
      </c>
      <c r="J4149" s="44" t="s">
        <v>8</v>
      </c>
      <c r="K4149" s="23" t="s">
        <v>8</v>
      </c>
      <c r="L4149" s="23" t="s">
        <v>8</v>
      </c>
      <c r="M4149" s="23" t="s">
        <v>8</v>
      </c>
    </row>
    <row r="4150" spans="1:13" s="21" customFormat="1" x14ac:dyDescent="0.25">
      <c r="A4150" s="22" t="s">
        <v>8</v>
      </c>
      <c r="B4150" s="18" t="str">
        <f>"155810"</f>
        <v>155810</v>
      </c>
      <c r="C4150" s="19" t="s">
        <v>4102</v>
      </c>
      <c r="D4150" s="19" t="s">
        <v>19577</v>
      </c>
      <c r="E4150" s="19" t="s">
        <v>32203</v>
      </c>
      <c r="F4150" s="19" t="s">
        <v>35988</v>
      </c>
      <c r="G4150" s="18" t="str">
        <f>"46992"</f>
        <v>46992</v>
      </c>
      <c r="H4150" s="19" t="s">
        <v>32203</v>
      </c>
      <c r="I4150" s="20">
        <v>18.242999999999999</v>
      </c>
      <c r="J4150" s="44" t="s">
        <v>8</v>
      </c>
      <c r="K4150" s="23" t="s">
        <v>8</v>
      </c>
      <c r="L4150" s="23" t="s">
        <v>8</v>
      </c>
      <c r="M4150" s="23" t="s">
        <v>8</v>
      </c>
    </row>
    <row r="4151" spans="1:13" s="21" customFormat="1" x14ac:dyDescent="0.25">
      <c r="A4151" s="22" t="s">
        <v>8</v>
      </c>
      <c r="B4151" s="18" t="str">
        <f>"155811"</f>
        <v>155811</v>
      </c>
      <c r="C4151" s="19" t="s">
        <v>4103</v>
      </c>
      <c r="D4151" s="19" t="s">
        <v>19578</v>
      </c>
      <c r="E4151" s="19" t="s">
        <v>32200</v>
      </c>
      <c r="F4151" s="19" t="s">
        <v>35988</v>
      </c>
      <c r="G4151" s="18" t="str">
        <f>"46234"</f>
        <v>46234</v>
      </c>
      <c r="H4151" s="19" t="s">
        <v>30850</v>
      </c>
      <c r="I4151" s="20">
        <v>13.516</v>
      </c>
      <c r="J4151" s="44" t="s">
        <v>8</v>
      </c>
      <c r="K4151" s="23" t="s">
        <v>8</v>
      </c>
      <c r="L4151" s="23" t="s">
        <v>8</v>
      </c>
      <c r="M4151" s="23" t="s">
        <v>8</v>
      </c>
    </row>
    <row r="4152" spans="1:13" s="21" customFormat="1" x14ac:dyDescent="0.25">
      <c r="A4152" s="22" t="s">
        <v>8</v>
      </c>
      <c r="B4152" s="18" t="str">
        <f>"155812"</f>
        <v>155812</v>
      </c>
      <c r="C4152" s="19" t="s">
        <v>4104</v>
      </c>
      <c r="D4152" s="19" t="s">
        <v>19579</v>
      </c>
      <c r="E4152" s="19" t="s">
        <v>32246</v>
      </c>
      <c r="F4152" s="19" t="s">
        <v>35988</v>
      </c>
      <c r="G4152" s="18" t="str">
        <f>"47933"</f>
        <v>47933</v>
      </c>
      <c r="H4152" s="19" t="s">
        <v>30833</v>
      </c>
      <c r="I4152" s="20">
        <v>19.635000000000002</v>
      </c>
      <c r="J4152" s="44" t="s">
        <v>8</v>
      </c>
      <c r="K4152" s="23" t="s">
        <v>8</v>
      </c>
      <c r="L4152" s="23" t="s">
        <v>8</v>
      </c>
      <c r="M4152" s="23" t="s">
        <v>8</v>
      </c>
    </row>
    <row r="4153" spans="1:13" s="21" customFormat="1" x14ac:dyDescent="0.25">
      <c r="A4153" s="22" t="s">
        <v>8</v>
      </c>
      <c r="B4153" s="18" t="str">
        <f>"155813"</f>
        <v>155813</v>
      </c>
      <c r="C4153" s="19" t="s">
        <v>4105</v>
      </c>
      <c r="D4153" s="19" t="s">
        <v>19580</v>
      </c>
      <c r="E4153" s="19" t="s">
        <v>32211</v>
      </c>
      <c r="F4153" s="19" t="s">
        <v>35988</v>
      </c>
      <c r="G4153" s="18" t="str">
        <f>"47150"</f>
        <v>47150</v>
      </c>
      <c r="H4153" s="19" t="s">
        <v>35420</v>
      </c>
      <c r="I4153" s="20">
        <v>15.347</v>
      </c>
      <c r="J4153" s="44" t="s">
        <v>8</v>
      </c>
      <c r="K4153" s="23" t="s">
        <v>8</v>
      </c>
      <c r="L4153" s="23" t="s">
        <v>8</v>
      </c>
      <c r="M4153" s="23" t="s">
        <v>8</v>
      </c>
    </row>
    <row r="4154" spans="1:13" s="21" customFormat="1" x14ac:dyDescent="0.25">
      <c r="A4154" s="22" t="s">
        <v>8</v>
      </c>
      <c r="B4154" s="18" t="str">
        <f>"155814"</f>
        <v>155814</v>
      </c>
      <c r="C4154" s="19" t="s">
        <v>4106</v>
      </c>
      <c r="D4154" s="19" t="s">
        <v>19581</v>
      </c>
      <c r="E4154" s="19" t="s">
        <v>31444</v>
      </c>
      <c r="F4154" s="19" t="s">
        <v>35988</v>
      </c>
      <c r="G4154" s="18" t="str">
        <f>"46123"</f>
        <v>46123</v>
      </c>
      <c r="H4154" s="19" t="s">
        <v>33449</v>
      </c>
      <c r="I4154" s="20">
        <v>19.794</v>
      </c>
      <c r="J4154" s="44" t="s">
        <v>8</v>
      </c>
      <c r="K4154" s="23" t="s">
        <v>8</v>
      </c>
      <c r="L4154" s="23" t="s">
        <v>8</v>
      </c>
      <c r="M4154" s="23" t="s">
        <v>8</v>
      </c>
    </row>
    <row r="4155" spans="1:13" s="21" customFormat="1" x14ac:dyDescent="0.25">
      <c r="A4155" s="22" t="s">
        <v>8</v>
      </c>
      <c r="B4155" s="18" t="str">
        <f>"155815"</f>
        <v>155815</v>
      </c>
      <c r="C4155" s="19" t="s">
        <v>4107</v>
      </c>
      <c r="D4155" s="19" t="s">
        <v>19582</v>
      </c>
      <c r="E4155" s="19" t="s">
        <v>32200</v>
      </c>
      <c r="F4155" s="19" t="s">
        <v>35988</v>
      </c>
      <c r="G4155" s="18" t="str">
        <f>"46256"</f>
        <v>46256</v>
      </c>
      <c r="H4155" s="19" t="s">
        <v>30850</v>
      </c>
      <c r="I4155" s="20">
        <v>19.844000000000001</v>
      </c>
      <c r="J4155" s="44" t="s">
        <v>8</v>
      </c>
      <c r="K4155" s="23" t="s">
        <v>8</v>
      </c>
      <c r="L4155" s="23" t="s">
        <v>8</v>
      </c>
      <c r="M4155" s="23" t="s">
        <v>8</v>
      </c>
    </row>
    <row r="4156" spans="1:13" s="21" customFormat="1" x14ac:dyDescent="0.25">
      <c r="A4156" s="22" t="s">
        <v>8</v>
      </c>
      <c r="B4156" s="18" t="str">
        <f>"155816"</f>
        <v>155816</v>
      </c>
      <c r="C4156" s="19" t="s">
        <v>4108</v>
      </c>
      <c r="D4156" s="19" t="s">
        <v>19583</v>
      </c>
      <c r="E4156" s="19" t="s">
        <v>32200</v>
      </c>
      <c r="F4156" s="19" t="s">
        <v>35988</v>
      </c>
      <c r="G4156" s="18" t="str">
        <f>"46218"</f>
        <v>46218</v>
      </c>
      <c r="H4156" s="19" t="s">
        <v>30850</v>
      </c>
      <c r="I4156" s="20">
        <v>18.175999999999998</v>
      </c>
      <c r="J4156" s="44" t="s">
        <v>8</v>
      </c>
      <c r="K4156" s="23" t="s">
        <v>8</v>
      </c>
      <c r="L4156" s="23" t="s">
        <v>8</v>
      </c>
      <c r="M4156" s="23" t="s">
        <v>8</v>
      </c>
    </row>
    <row r="4157" spans="1:13" s="21" customFormat="1" x14ac:dyDescent="0.25">
      <c r="A4157" s="22" t="s">
        <v>8</v>
      </c>
      <c r="B4157" s="18" t="str">
        <f>"155817"</f>
        <v>155817</v>
      </c>
      <c r="C4157" s="19" t="s">
        <v>4109</v>
      </c>
      <c r="D4157" s="19" t="s">
        <v>19584</v>
      </c>
      <c r="E4157" s="19" t="s">
        <v>32228</v>
      </c>
      <c r="F4157" s="19" t="s">
        <v>35988</v>
      </c>
      <c r="G4157" s="18" t="str">
        <f>"46032"</f>
        <v>46032</v>
      </c>
      <c r="H4157" s="19" t="s">
        <v>30804</v>
      </c>
      <c r="I4157" s="20">
        <v>17.143000000000001</v>
      </c>
      <c r="J4157" s="44" t="s">
        <v>8</v>
      </c>
      <c r="K4157" s="23" t="s">
        <v>8</v>
      </c>
      <c r="L4157" s="23" t="s">
        <v>8</v>
      </c>
      <c r="M4157" s="23" t="s">
        <v>8</v>
      </c>
    </row>
    <row r="4158" spans="1:13" s="21" customFormat="1" x14ac:dyDescent="0.25">
      <c r="A4158" s="22" t="s">
        <v>8</v>
      </c>
      <c r="B4158" s="18" t="str">
        <f>"155818"</f>
        <v>155818</v>
      </c>
      <c r="C4158" s="19" t="s">
        <v>4110</v>
      </c>
      <c r="D4158" s="19" t="s">
        <v>19585</v>
      </c>
      <c r="E4158" s="19" t="s">
        <v>31919</v>
      </c>
      <c r="F4158" s="19" t="s">
        <v>35988</v>
      </c>
      <c r="G4158" s="18" t="str">
        <f>"47404"</f>
        <v>47404</v>
      </c>
      <c r="H4158" s="19" t="s">
        <v>31711</v>
      </c>
      <c r="I4158" s="20">
        <v>17.457999999999998</v>
      </c>
      <c r="J4158" s="44" t="s">
        <v>8</v>
      </c>
      <c r="K4158" s="23" t="s">
        <v>8</v>
      </c>
      <c r="L4158" s="23" t="s">
        <v>8</v>
      </c>
      <c r="M4158" s="23" t="s">
        <v>8</v>
      </c>
    </row>
    <row r="4159" spans="1:13" s="21" customFormat="1" x14ac:dyDescent="0.25">
      <c r="A4159" s="22" t="s">
        <v>8</v>
      </c>
      <c r="B4159" s="18" t="str">
        <f>"155819"</f>
        <v>155819</v>
      </c>
      <c r="C4159" s="19" t="s">
        <v>4111</v>
      </c>
      <c r="D4159" s="19" t="s">
        <v>19586</v>
      </c>
      <c r="E4159" s="19" t="s">
        <v>32210</v>
      </c>
      <c r="F4159" s="19" t="s">
        <v>35988</v>
      </c>
      <c r="G4159" s="18" t="str">
        <f>"46902"</f>
        <v>46902</v>
      </c>
      <c r="H4159" s="19" t="s">
        <v>32644</v>
      </c>
      <c r="I4159" s="20">
        <v>18.347000000000001</v>
      </c>
      <c r="J4159" s="44" t="s">
        <v>8</v>
      </c>
      <c r="K4159" s="23" t="s">
        <v>8</v>
      </c>
      <c r="L4159" s="23" t="s">
        <v>8</v>
      </c>
      <c r="M4159" s="23" t="s">
        <v>8</v>
      </c>
    </row>
    <row r="4160" spans="1:13" s="21" customFormat="1" x14ac:dyDescent="0.25">
      <c r="A4160" s="22" t="s">
        <v>8</v>
      </c>
      <c r="B4160" s="18" t="str">
        <f>"155820"</f>
        <v>155820</v>
      </c>
      <c r="C4160" s="19" t="s">
        <v>4112</v>
      </c>
      <c r="D4160" s="19" t="s">
        <v>19587</v>
      </c>
      <c r="E4160" s="19" t="s">
        <v>32217</v>
      </c>
      <c r="F4160" s="19" t="s">
        <v>35988</v>
      </c>
      <c r="G4160" s="18" t="str">
        <f>"47714"</f>
        <v>47714</v>
      </c>
      <c r="H4160" s="19" t="s">
        <v>36252</v>
      </c>
      <c r="I4160" s="20">
        <v>17.082000000000001</v>
      </c>
      <c r="J4160" s="44" t="s">
        <v>8</v>
      </c>
      <c r="K4160" s="23" t="s">
        <v>8</v>
      </c>
      <c r="L4160" s="23" t="s">
        <v>8</v>
      </c>
      <c r="M4160" s="23" t="s">
        <v>8</v>
      </c>
    </row>
    <row r="4161" spans="1:13" s="21" customFormat="1" x14ac:dyDescent="0.25">
      <c r="A4161" s="22" t="s">
        <v>8</v>
      </c>
      <c r="B4161" s="18" t="str">
        <f>"155821"</f>
        <v>155821</v>
      </c>
      <c r="C4161" s="19" t="s">
        <v>4113</v>
      </c>
      <c r="D4161" s="19" t="s">
        <v>19588</v>
      </c>
      <c r="E4161" s="19" t="s">
        <v>32204</v>
      </c>
      <c r="F4161" s="19" t="s">
        <v>35988</v>
      </c>
      <c r="G4161" s="18" t="str">
        <f>"46143"</f>
        <v>46143</v>
      </c>
      <c r="H4161" s="19" t="s">
        <v>36072</v>
      </c>
      <c r="I4161" s="20">
        <v>17.164999999999999</v>
      </c>
      <c r="J4161" s="44" t="s">
        <v>8</v>
      </c>
      <c r="K4161" s="23" t="s">
        <v>8</v>
      </c>
      <c r="L4161" s="23" t="s">
        <v>8</v>
      </c>
      <c r="M4161" s="23" t="s">
        <v>8</v>
      </c>
    </row>
    <row r="4162" spans="1:13" s="21" customFormat="1" x14ac:dyDescent="0.25">
      <c r="A4162" s="22" t="s">
        <v>8</v>
      </c>
      <c r="B4162" s="18" t="str">
        <f>"155822"</f>
        <v>155822</v>
      </c>
      <c r="C4162" s="19" t="s">
        <v>4114</v>
      </c>
      <c r="D4162" s="19" t="s">
        <v>19589</v>
      </c>
      <c r="E4162" s="19" t="s">
        <v>32273</v>
      </c>
      <c r="F4162" s="19" t="s">
        <v>35988</v>
      </c>
      <c r="G4162" s="18" t="str">
        <f>"46356"</f>
        <v>46356</v>
      </c>
      <c r="H4162" s="19" t="s">
        <v>36096</v>
      </c>
      <c r="I4162" s="20">
        <v>20.131</v>
      </c>
      <c r="J4162" s="44" t="s">
        <v>8</v>
      </c>
      <c r="K4162" s="23" t="s">
        <v>8</v>
      </c>
      <c r="L4162" s="23" t="s">
        <v>8</v>
      </c>
      <c r="M4162" s="23" t="s">
        <v>8</v>
      </c>
    </row>
    <row r="4163" spans="1:13" s="21" customFormat="1" x14ac:dyDescent="0.25">
      <c r="A4163" s="22" t="s">
        <v>8</v>
      </c>
      <c r="B4163" s="18" t="str">
        <f>"155823"</f>
        <v>155823</v>
      </c>
      <c r="C4163" s="19" t="s">
        <v>4115</v>
      </c>
      <c r="D4163" s="19" t="s">
        <v>19590</v>
      </c>
      <c r="E4163" s="19" t="s">
        <v>32200</v>
      </c>
      <c r="F4163" s="19" t="s">
        <v>35988</v>
      </c>
      <c r="G4163" s="18" t="str">
        <f>"46237"</f>
        <v>46237</v>
      </c>
      <c r="H4163" s="19" t="s">
        <v>30850</v>
      </c>
      <c r="I4163" s="20">
        <v>15.343</v>
      </c>
      <c r="J4163" s="44" t="s">
        <v>8</v>
      </c>
      <c r="K4163" s="23" t="s">
        <v>8</v>
      </c>
      <c r="L4163" s="23" t="s">
        <v>8</v>
      </c>
      <c r="M4163" s="23" t="s">
        <v>8</v>
      </c>
    </row>
    <row r="4164" spans="1:13" s="21" customFormat="1" x14ac:dyDescent="0.25">
      <c r="A4164" s="22" t="s">
        <v>8</v>
      </c>
      <c r="B4164" s="18" t="str">
        <f>"155824"</f>
        <v>155824</v>
      </c>
      <c r="C4164" s="19" t="s">
        <v>4116</v>
      </c>
      <c r="D4164" s="19" t="s">
        <v>19591</v>
      </c>
      <c r="E4164" s="19" t="s">
        <v>32216</v>
      </c>
      <c r="F4164" s="19" t="s">
        <v>35988</v>
      </c>
      <c r="G4164" s="18" t="str">
        <f>"46637"</f>
        <v>46637</v>
      </c>
      <c r="H4164" s="19" t="s">
        <v>33301</v>
      </c>
      <c r="I4164" s="20">
        <v>18.422000000000001</v>
      </c>
      <c r="J4164" s="44" t="s">
        <v>8</v>
      </c>
      <c r="K4164" s="23" t="s">
        <v>8</v>
      </c>
      <c r="L4164" s="23" t="s">
        <v>8</v>
      </c>
      <c r="M4164" s="23" t="s">
        <v>8</v>
      </c>
    </row>
    <row r="4165" spans="1:13" s="21" customFormat="1" x14ac:dyDescent="0.25">
      <c r="A4165" s="22" t="s">
        <v>8</v>
      </c>
      <c r="B4165" s="18" t="str">
        <f>"155825"</f>
        <v>155825</v>
      </c>
      <c r="C4165" s="19" t="s">
        <v>4117</v>
      </c>
      <c r="D4165" s="19" t="s">
        <v>19592</v>
      </c>
      <c r="E4165" s="19" t="s">
        <v>32200</v>
      </c>
      <c r="F4165" s="19" t="s">
        <v>35988</v>
      </c>
      <c r="G4165" s="18" t="str">
        <f>"46260"</f>
        <v>46260</v>
      </c>
      <c r="H4165" s="19" t="s">
        <v>30850</v>
      </c>
      <c r="I4165" s="20">
        <v>18.600000000000001</v>
      </c>
      <c r="J4165" s="44" t="s">
        <v>8</v>
      </c>
      <c r="K4165" s="23" t="s">
        <v>8</v>
      </c>
      <c r="L4165" s="23" t="s">
        <v>8</v>
      </c>
      <c r="M4165" s="23" t="s">
        <v>8</v>
      </c>
    </row>
    <row r="4166" spans="1:13" s="21" customFormat="1" x14ac:dyDescent="0.25">
      <c r="A4166" s="22" t="s">
        <v>8</v>
      </c>
      <c r="B4166" s="18" t="str">
        <f>"155826"</f>
        <v>155826</v>
      </c>
      <c r="C4166" s="19" t="s">
        <v>4118</v>
      </c>
      <c r="D4166" s="19" t="s">
        <v>19593</v>
      </c>
      <c r="E4166" s="19" t="s">
        <v>32200</v>
      </c>
      <c r="F4166" s="19" t="s">
        <v>35988</v>
      </c>
      <c r="G4166" s="18" t="str">
        <f>"46254"</f>
        <v>46254</v>
      </c>
      <c r="H4166" s="19" t="s">
        <v>30850</v>
      </c>
      <c r="I4166" s="20">
        <v>18.826000000000001</v>
      </c>
      <c r="J4166" s="44" t="s">
        <v>8</v>
      </c>
      <c r="K4166" s="23" t="s">
        <v>8</v>
      </c>
      <c r="L4166" s="23" t="s">
        <v>8</v>
      </c>
      <c r="M4166" s="23" t="s">
        <v>8</v>
      </c>
    </row>
    <row r="4167" spans="1:13" s="21" customFormat="1" x14ac:dyDescent="0.25">
      <c r="A4167" s="22" t="s">
        <v>8</v>
      </c>
      <c r="B4167" s="18" t="str">
        <f>"155827"</f>
        <v>155827</v>
      </c>
      <c r="C4167" s="19" t="s">
        <v>4119</v>
      </c>
      <c r="D4167" s="19" t="s">
        <v>19594</v>
      </c>
      <c r="E4167" s="19" t="s">
        <v>32214</v>
      </c>
      <c r="F4167" s="19" t="s">
        <v>35988</v>
      </c>
      <c r="G4167" s="18" t="str">
        <f>"46804"</f>
        <v>46804</v>
      </c>
      <c r="H4167" s="19" t="s">
        <v>34710</v>
      </c>
      <c r="I4167" s="20">
        <v>17.015999999999998</v>
      </c>
      <c r="J4167" s="44" t="s">
        <v>8</v>
      </c>
      <c r="K4167" s="23" t="s">
        <v>8</v>
      </c>
      <c r="L4167" s="23" t="s">
        <v>8</v>
      </c>
      <c r="M4167" s="23" t="s">
        <v>8</v>
      </c>
    </row>
    <row r="4168" spans="1:13" s="21" customFormat="1" x14ac:dyDescent="0.25">
      <c r="A4168" s="22" t="s">
        <v>8</v>
      </c>
      <c r="B4168" s="18" t="str">
        <f>"155828"</f>
        <v>155828</v>
      </c>
      <c r="C4168" s="19" t="s">
        <v>4120</v>
      </c>
      <c r="D4168" s="19" t="s">
        <v>19595</v>
      </c>
      <c r="E4168" s="19" t="s">
        <v>32214</v>
      </c>
      <c r="F4168" s="19" t="s">
        <v>35988</v>
      </c>
      <c r="G4168" s="18" t="str">
        <f>"46835"</f>
        <v>46835</v>
      </c>
      <c r="H4168" s="19" t="s">
        <v>34710</v>
      </c>
      <c r="I4168" s="20">
        <v>19.486999999999998</v>
      </c>
      <c r="J4168" s="44" t="s">
        <v>8</v>
      </c>
      <c r="K4168" s="23" t="s">
        <v>8</v>
      </c>
      <c r="L4168" s="23" t="s">
        <v>8</v>
      </c>
      <c r="M4168" s="23" t="s">
        <v>8</v>
      </c>
    </row>
    <row r="4169" spans="1:13" s="21" customFormat="1" x14ac:dyDescent="0.25">
      <c r="A4169" s="22" t="s">
        <v>8</v>
      </c>
      <c r="B4169" s="18" t="str">
        <f>"155829"</f>
        <v>155829</v>
      </c>
      <c r="C4169" s="19" t="s">
        <v>4121</v>
      </c>
      <c r="D4169" s="19" t="s">
        <v>19596</v>
      </c>
      <c r="E4169" s="19" t="s">
        <v>30892</v>
      </c>
      <c r="F4169" s="19" t="s">
        <v>35988</v>
      </c>
      <c r="G4169" s="18" t="str">
        <f>"47904"</f>
        <v>47904</v>
      </c>
      <c r="H4169" s="19" t="s">
        <v>36251</v>
      </c>
      <c r="I4169" s="20">
        <v>17.062999999999999</v>
      </c>
      <c r="J4169" s="44" t="s">
        <v>8</v>
      </c>
      <c r="K4169" s="23" t="s">
        <v>8</v>
      </c>
      <c r="L4169" s="23" t="s">
        <v>8</v>
      </c>
      <c r="M4169" s="23" t="s">
        <v>8</v>
      </c>
    </row>
    <row r="4170" spans="1:13" s="21" customFormat="1" x14ac:dyDescent="0.25">
      <c r="A4170" s="22" t="s">
        <v>8</v>
      </c>
      <c r="B4170" s="18" t="str">
        <f>"155830"</f>
        <v>155830</v>
      </c>
      <c r="C4170" s="19" t="s">
        <v>4122</v>
      </c>
      <c r="D4170" s="19" t="s">
        <v>19597</v>
      </c>
      <c r="E4170" s="19" t="s">
        <v>32225</v>
      </c>
      <c r="F4170" s="19" t="s">
        <v>35988</v>
      </c>
      <c r="G4170" s="18" t="str">
        <f>"47804"</f>
        <v>47804</v>
      </c>
      <c r="H4170" s="19" t="s">
        <v>36257</v>
      </c>
      <c r="I4170" s="20">
        <v>18.815999999999999</v>
      </c>
      <c r="J4170" s="44" t="s">
        <v>8</v>
      </c>
      <c r="K4170" s="23" t="s">
        <v>8</v>
      </c>
      <c r="L4170" s="23" t="s">
        <v>8</v>
      </c>
      <c r="M4170" s="23" t="s">
        <v>8</v>
      </c>
    </row>
    <row r="4171" spans="1:13" s="21" customFormat="1" x14ac:dyDescent="0.25">
      <c r="A4171" s="22" t="s">
        <v>8</v>
      </c>
      <c r="B4171" s="18" t="str">
        <f>"155831"</f>
        <v>155831</v>
      </c>
      <c r="C4171" s="19" t="s">
        <v>4123</v>
      </c>
      <c r="D4171" s="19" t="s">
        <v>19598</v>
      </c>
      <c r="E4171" s="19" t="s">
        <v>32216</v>
      </c>
      <c r="F4171" s="19" t="s">
        <v>35988</v>
      </c>
      <c r="G4171" s="18" t="str">
        <f>"46619"</f>
        <v>46619</v>
      </c>
      <c r="H4171" s="19" t="s">
        <v>33301</v>
      </c>
      <c r="I4171" s="20">
        <v>17.712</v>
      </c>
      <c r="J4171" s="44" t="s">
        <v>8</v>
      </c>
      <c r="K4171" s="23" t="s">
        <v>8</v>
      </c>
      <c r="L4171" s="23" t="s">
        <v>8</v>
      </c>
      <c r="M4171" s="23" t="s">
        <v>8</v>
      </c>
    </row>
    <row r="4172" spans="1:13" s="21" customFormat="1" x14ac:dyDescent="0.25">
      <c r="A4172" s="22" t="s">
        <v>8</v>
      </c>
      <c r="B4172" s="18" t="str">
        <f>"155832"</f>
        <v>155832</v>
      </c>
      <c r="C4172" s="19" t="s">
        <v>4124</v>
      </c>
      <c r="D4172" s="19" t="s">
        <v>19599</v>
      </c>
      <c r="E4172" s="19" t="s">
        <v>32035</v>
      </c>
      <c r="F4172" s="19" t="s">
        <v>35988</v>
      </c>
      <c r="G4172" s="18" t="str">
        <f>"46052"</f>
        <v>46052</v>
      </c>
      <c r="H4172" s="19" t="s">
        <v>32513</v>
      </c>
      <c r="I4172" s="20">
        <v>18.736999999999998</v>
      </c>
      <c r="J4172" s="44" t="s">
        <v>8</v>
      </c>
      <c r="K4172" s="23" t="s">
        <v>8</v>
      </c>
      <c r="L4172" s="23" t="s">
        <v>8</v>
      </c>
      <c r="M4172" s="23" t="s">
        <v>8</v>
      </c>
    </row>
    <row r="4173" spans="1:13" s="21" customFormat="1" x14ac:dyDescent="0.25">
      <c r="A4173" s="22" t="s">
        <v>8</v>
      </c>
      <c r="B4173" s="18" t="str">
        <f>"155833"</f>
        <v>155833</v>
      </c>
      <c r="C4173" s="19" t="s">
        <v>4125</v>
      </c>
      <c r="D4173" s="19" t="s">
        <v>19600</v>
      </c>
      <c r="E4173" s="19" t="s">
        <v>32228</v>
      </c>
      <c r="F4173" s="19" t="s">
        <v>35988</v>
      </c>
      <c r="G4173" s="18" t="str">
        <f>"46032"</f>
        <v>46032</v>
      </c>
      <c r="H4173" s="19" t="s">
        <v>30804</v>
      </c>
      <c r="I4173" s="20">
        <v>19.146000000000001</v>
      </c>
      <c r="J4173" s="44" t="s">
        <v>8</v>
      </c>
      <c r="K4173" s="23" t="s">
        <v>8</v>
      </c>
      <c r="L4173" s="23" t="s">
        <v>8</v>
      </c>
      <c r="M4173" s="23" t="s">
        <v>8</v>
      </c>
    </row>
    <row r="4174" spans="1:13" s="21" customFormat="1" x14ac:dyDescent="0.25">
      <c r="A4174" s="22" t="s">
        <v>8</v>
      </c>
      <c r="B4174" s="18" t="str">
        <f>"155835"</f>
        <v>155835</v>
      </c>
      <c r="C4174" s="19" t="s">
        <v>4126</v>
      </c>
      <c r="D4174" s="19" t="s">
        <v>19601</v>
      </c>
      <c r="E4174" s="19" t="s">
        <v>32237</v>
      </c>
      <c r="F4174" s="19" t="s">
        <v>35988</v>
      </c>
      <c r="G4174" s="18" t="str">
        <f>"46307"</f>
        <v>46307</v>
      </c>
      <c r="H4174" s="19" t="s">
        <v>36096</v>
      </c>
      <c r="I4174" s="20">
        <v>19.100000000000001</v>
      </c>
      <c r="J4174" s="44" t="s">
        <v>8</v>
      </c>
      <c r="K4174" s="23" t="s">
        <v>8</v>
      </c>
      <c r="L4174" s="23" t="s">
        <v>8</v>
      </c>
      <c r="M4174" s="23" t="s">
        <v>8</v>
      </c>
    </row>
    <row r="4175" spans="1:13" s="21" customFormat="1" x14ac:dyDescent="0.25">
      <c r="A4175" s="22" t="s">
        <v>8</v>
      </c>
      <c r="B4175" s="18" t="str">
        <f>"155836"</f>
        <v>155836</v>
      </c>
      <c r="C4175" s="19" t="s">
        <v>4127</v>
      </c>
      <c r="D4175" s="19" t="s">
        <v>19602</v>
      </c>
      <c r="E4175" s="19" t="s">
        <v>31411</v>
      </c>
      <c r="F4175" s="19" t="s">
        <v>35988</v>
      </c>
      <c r="G4175" s="18" t="str">
        <f>"46168"</f>
        <v>46168</v>
      </c>
      <c r="H4175" s="19" t="s">
        <v>33449</v>
      </c>
      <c r="I4175" s="20">
        <v>14.827</v>
      </c>
      <c r="J4175" s="44" t="s">
        <v>8</v>
      </c>
      <c r="K4175" s="23" t="s">
        <v>8</v>
      </c>
      <c r="L4175" s="23" t="s">
        <v>8</v>
      </c>
      <c r="M4175" s="23" t="s">
        <v>8</v>
      </c>
    </row>
    <row r="4176" spans="1:13" s="21" customFormat="1" x14ac:dyDescent="0.25">
      <c r="A4176" s="22" t="s">
        <v>8</v>
      </c>
      <c r="B4176" s="18" t="str">
        <f>"155837"</f>
        <v>155837</v>
      </c>
      <c r="C4176" s="19" t="s">
        <v>4128</v>
      </c>
      <c r="D4176" s="19" t="s">
        <v>19603</v>
      </c>
      <c r="E4176" s="19" t="s">
        <v>31500</v>
      </c>
      <c r="F4176" s="19" t="s">
        <v>35988</v>
      </c>
      <c r="G4176" s="18" t="str">
        <f>"47501"</f>
        <v>47501</v>
      </c>
      <c r="H4176" s="19" t="s">
        <v>36258</v>
      </c>
      <c r="I4176" s="20">
        <v>19.271000000000001</v>
      </c>
      <c r="J4176" s="44" t="s">
        <v>8</v>
      </c>
      <c r="K4176" s="23" t="s">
        <v>8</v>
      </c>
      <c r="L4176" s="23" t="s">
        <v>8</v>
      </c>
      <c r="M4176" s="23" t="s">
        <v>8</v>
      </c>
    </row>
    <row r="4177" spans="1:13" s="21" customFormat="1" x14ac:dyDescent="0.25">
      <c r="A4177" s="22" t="s">
        <v>8</v>
      </c>
      <c r="B4177" s="18" t="str">
        <f>"155838"</f>
        <v>155838</v>
      </c>
      <c r="C4177" s="19" t="s">
        <v>4129</v>
      </c>
      <c r="D4177" s="19" t="s">
        <v>19604</v>
      </c>
      <c r="E4177" s="19" t="s">
        <v>31919</v>
      </c>
      <c r="F4177" s="19" t="s">
        <v>35988</v>
      </c>
      <c r="G4177" s="18" t="str">
        <f>"47403"</f>
        <v>47403</v>
      </c>
      <c r="H4177" s="19" t="s">
        <v>31711</v>
      </c>
      <c r="I4177" s="20">
        <v>17.285</v>
      </c>
      <c r="J4177" s="44" t="s">
        <v>8</v>
      </c>
      <c r="K4177" s="23" t="s">
        <v>8</v>
      </c>
      <c r="L4177" s="23" t="s">
        <v>8</v>
      </c>
      <c r="M4177" s="23" t="s">
        <v>8</v>
      </c>
    </row>
    <row r="4178" spans="1:13" s="21" customFormat="1" x14ac:dyDescent="0.25">
      <c r="A4178" s="22" t="s">
        <v>8</v>
      </c>
      <c r="B4178" s="18" t="s">
        <v>15192</v>
      </c>
      <c r="C4178" s="19" t="s">
        <v>4130</v>
      </c>
      <c r="D4178" s="19" t="s">
        <v>19605</v>
      </c>
      <c r="E4178" s="19" t="s">
        <v>32334</v>
      </c>
      <c r="F4178" s="19" t="s">
        <v>35989</v>
      </c>
      <c r="G4178" s="18" t="str">
        <f>"51401"</f>
        <v>51401</v>
      </c>
      <c r="H4178" s="19" t="s">
        <v>32334</v>
      </c>
      <c r="I4178" s="20">
        <v>16.079000000000001</v>
      </c>
      <c r="J4178" s="44" t="s">
        <v>8</v>
      </c>
      <c r="K4178" s="23" t="s">
        <v>8</v>
      </c>
      <c r="L4178" s="23" t="s">
        <v>8</v>
      </c>
      <c r="M4178" s="23" t="s">
        <v>8</v>
      </c>
    </row>
    <row r="4179" spans="1:13" s="21" customFormat="1" x14ac:dyDescent="0.25">
      <c r="A4179" s="22" t="s">
        <v>8</v>
      </c>
      <c r="B4179" s="18" t="s">
        <v>15193</v>
      </c>
      <c r="C4179" s="19" t="s">
        <v>4131</v>
      </c>
      <c r="D4179" s="19" t="s">
        <v>19606</v>
      </c>
      <c r="E4179" s="19" t="s">
        <v>32335</v>
      </c>
      <c r="F4179" s="19" t="s">
        <v>35989</v>
      </c>
      <c r="G4179" s="18" t="str">
        <f>"52632"</f>
        <v>52632</v>
      </c>
      <c r="H4179" s="19" t="s">
        <v>33138</v>
      </c>
      <c r="I4179" s="20">
        <v>19.433</v>
      </c>
      <c r="J4179" s="44" t="s">
        <v>8</v>
      </c>
      <c r="K4179" s="23" t="s">
        <v>8</v>
      </c>
      <c r="L4179" s="23" t="s">
        <v>8</v>
      </c>
      <c r="M4179" s="23" t="s">
        <v>8</v>
      </c>
    </row>
    <row r="4180" spans="1:13" s="21" customFormat="1" x14ac:dyDescent="0.25">
      <c r="A4180" s="22" t="s">
        <v>8</v>
      </c>
      <c r="B4180" s="18" t="s">
        <v>15194</v>
      </c>
      <c r="C4180" s="19" t="s">
        <v>4132</v>
      </c>
      <c r="D4180" s="19" t="s">
        <v>19607</v>
      </c>
      <c r="E4180" s="19" t="s">
        <v>32101</v>
      </c>
      <c r="F4180" s="19" t="s">
        <v>35989</v>
      </c>
      <c r="G4180" s="18" t="str">
        <f>"50208"</f>
        <v>50208</v>
      </c>
      <c r="H4180" s="19" t="s">
        <v>30854</v>
      </c>
      <c r="I4180" s="20">
        <v>16.346</v>
      </c>
      <c r="J4180" s="44" t="s">
        <v>8</v>
      </c>
      <c r="K4180" s="23" t="s">
        <v>8</v>
      </c>
      <c r="L4180" s="23" t="s">
        <v>8</v>
      </c>
      <c r="M4180" s="23" t="s">
        <v>8</v>
      </c>
    </row>
    <row r="4181" spans="1:13" s="21" customFormat="1" x14ac:dyDescent="0.25">
      <c r="A4181" s="22" t="s">
        <v>8</v>
      </c>
      <c r="B4181" s="18" t="s">
        <v>15195</v>
      </c>
      <c r="C4181" s="19" t="s">
        <v>4133</v>
      </c>
      <c r="D4181" s="19" t="s">
        <v>19608</v>
      </c>
      <c r="E4181" s="19" t="s">
        <v>32314</v>
      </c>
      <c r="F4181" s="19" t="s">
        <v>35989</v>
      </c>
      <c r="G4181" s="18" t="str">
        <f>"51301"</f>
        <v>51301</v>
      </c>
      <c r="H4181" s="19" t="s">
        <v>36030</v>
      </c>
      <c r="I4181" s="20">
        <v>18.37</v>
      </c>
      <c r="J4181" s="44" t="s">
        <v>8</v>
      </c>
      <c r="K4181" s="23" t="s">
        <v>8</v>
      </c>
      <c r="L4181" s="23" t="s">
        <v>8</v>
      </c>
      <c r="M4181" s="23" t="s">
        <v>8</v>
      </c>
    </row>
    <row r="4182" spans="1:13" s="21" customFormat="1" x14ac:dyDescent="0.25">
      <c r="A4182" s="22" t="s">
        <v>8</v>
      </c>
      <c r="B4182" s="18" t="s">
        <v>15196</v>
      </c>
      <c r="C4182" s="19" t="s">
        <v>4134</v>
      </c>
      <c r="D4182" s="19" t="s">
        <v>19609</v>
      </c>
      <c r="E4182" s="19" t="s">
        <v>32336</v>
      </c>
      <c r="F4182" s="19" t="s">
        <v>35989</v>
      </c>
      <c r="G4182" s="18" t="str">
        <f>"52627"</f>
        <v>52627</v>
      </c>
      <c r="H4182" s="19" t="s">
        <v>33138</v>
      </c>
      <c r="I4182" s="20">
        <v>17.684999999999999</v>
      </c>
      <c r="J4182" s="44" t="s">
        <v>8</v>
      </c>
      <c r="K4182" s="23" t="s">
        <v>8</v>
      </c>
      <c r="L4182" s="23" t="s">
        <v>8</v>
      </c>
      <c r="M4182" s="23" t="s">
        <v>8</v>
      </c>
    </row>
    <row r="4183" spans="1:13" s="21" customFormat="1" x14ac:dyDescent="0.25">
      <c r="A4183" s="22" t="s">
        <v>8</v>
      </c>
      <c r="B4183" s="18" t="s">
        <v>15197</v>
      </c>
      <c r="C4183" s="19" t="s">
        <v>4135</v>
      </c>
      <c r="D4183" s="19" t="s">
        <v>19610</v>
      </c>
      <c r="E4183" s="19" t="s">
        <v>32337</v>
      </c>
      <c r="F4183" s="19" t="s">
        <v>35989</v>
      </c>
      <c r="G4183" s="18" t="str">
        <f>"51360"</f>
        <v>51360</v>
      </c>
      <c r="H4183" s="19" t="s">
        <v>34382</v>
      </c>
      <c r="I4183" s="20">
        <v>18.515999999999998</v>
      </c>
      <c r="J4183" s="44" t="s">
        <v>8</v>
      </c>
      <c r="K4183" s="23" t="s">
        <v>8</v>
      </c>
      <c r="L4183" s="23" t="s">
        <v>8</v>
      </c>
      <c r="M4183" s="23" t="s">
        <v>8</v>
      </c>
    </row>
    <row r="4184" spans="1:13" s="21" customFormat="1" x14ac:dyDescent="0.25">
      <c r="A4184" s="22" t="s">
        <v>8</v>
      </c>
      <c r="B4184" s="18" t="s">
        <v>15198</v>
      </c>
      <c r="C4184" s="19" t="s">
        <v>4136</v>
      </c>
      <c r="D4184" s="19" t="s">
        <v>19611</v>
      </c>
      <c r="E4184" s="19" t="s">
        <v>32338</v>
      </c>
      <c r="F4184" s="19" t="s">
        <v>35989</v>
      </c>
      <c r="G4184" s="18" t="str">
        <f>"50112"</f>
        <v>50112</v>
      </c>
      <c r="H4184" s="19" t="s">
        <v>36267</v>
      </c>
      <c r="I4184" s="20">
        <v>20.111999999999998</v>
      </c>
      <c r="J4184" s="44" t="s">
        <v>8</v>
      </c>
      <c r="K4184" s="23" t="s">
        <v>8</v>
      </c>
      <c r="L4184" s="23" t="s">
        <v>8</v>
      </c>
      <c r="M4184" s="23" t="s">
        <v>8</v>
      </c>
    </row>
    <row r="4185" spans="1:13" s="21" customFormat="1" x14ac:dyDescent="0.25">
      <c r="A4185" s="22" t="s">
        <v>8</v>
      </c>
      <c r="B4185" s="18" t="str">
        <f>"165006"</f>
        <v>165006</v>
      </c>
      <c r="C4185" s="19" t="s">
        <v>4137</v>
      </c>
      <c r="D4185" s="19" t="s">
        <v>19612</v>
      </c>
      <c r="E4185" s="19" t="s">
        <v>32339</v>
      </c>
      <c r="F4185" s="19" t="s">
        <v>35989</v>
      </c>
      <c r="G4185" s="18" t="str">
        <f>"50312"</f>
        <v>50312</v>
      </c>
      <c r="H4185" s="19" t="s">
        <v>36062</v>
      </c>
      <c r="I4185" s="20">
        <v>20.129000000000001</v>
      </c>
      <c r="J4185" s="44" t="s">
        <v>8</v>
      </c>
      <c r="K4185" s="23" t="s">
        <v>8</v>
      </c>
      <c r="L4185" s="23" t="s">
        <v>8</v>
      </c>
      <c r="M4185" s="23" t="s">
        <v>8</v>
      </c>
    </row>
    <row r="4186" spans="1:13" s="21" customFormat="1" x14ac:dyDescent="0.25">
      <c r="A4186" s="22" t="s">
        <v>8</v>
      </c>
      <c r="B4186" s="18" t="str">
        <f>"165017"</f>
        <v>165017</v>
      </c>
      <c r="C4186" s="19" t="s">
        <v>1990</v>
      </c>
      <c r="D4186" s="19" t="s">
        <v>19613</v>
      </c>
      <c r="E4186" s="19" t="s">
        <v>32340</v>
      </c>
      <c r="F4186" s="19" t="s">
        <v>35989</v>
      </c>
      <c r="G4186" s="18" t="str">
        <f>"52402"</f>
        <v>52402</v>
      </c>
      <c r="H4186" s="19" t="s">
        <v>32661</v>
      </c>
      <c r="I4186" s="20">
        <v>15.746</v>
      </c>
      <c r="J4186" s="44" t="s">
        <v>8</v>
      </c>
      <c r="K4186" s="23" t="s">
        <v>8</v>
      </c>
      <c r="L4186" s="23" t="s">
        <v>8</v>
      </c>
      <c r="M4186" s="23" t="s">
        <v>8</v>
      </c>
    </row>
    <row r="4187" spans="1:13" s="21" customFormat="1" x14ac:dyDescent="0.25">
      <c r="A4187" s="22" t="s">
        <v>8</v>
      </c>
      <c r="B4187" s="18" t="str">
        <f>"165019"</f>
        <v>165019</v>
      </c>
      <c r="C4187" s="19" t="s">
        <v>4138</v>
      </c>
      <c r="D4187" s="19" t="s">
        <v>19614</v>
      </c>
      <c r="E4187" s="19" t="s">
        <v>32341</v>
      </c>
      <c r="F4187" s="19" t="s">
        <v>35989</v>
      </c>
      <c r="G4187" s="18" t="str">
        <f>"50616"</f>
        <v>50616</v>
      </c>
      <c r="H4187" s="19" t="s">
        <v>35420</v>
      </c>
      <c r="I4187" s="20">
        <v>19.882999999999999</v>
      </c>
      <c r="J4187" s="44" t="s">
        <v>8</v>
      </c>
      <c r="K4187" s="23" t="s">
        <v>8</v>
      </c>
      <c r="L4187" s="23" t="s">
        <v>8</v>
      </c>
      <c r="M4187" s="23" t="s">
        <v>8</v>
      </c>
    </row>
    <row r="4188" spans="1:13" s="21" customFormat="1" x14ac:dyDescent="0.25">
      <c r="A4188" s="22" t="s">
        <v>8</v>
      </c>
      <c r="B4188" s="18" t="str">
        <f>"165030"</f>
        <v>165030</v>
      </c>
      <c r="C4188" s="19" t="s">
        <v>4139</v>
      </c>
      <c r="D4188" s="19" t="s">
        <v>19615</v>
      </c>
      <c r="E4188" s="19" t="s">
        <v>32342</v>
      </c>
      <c r="F4188" s="19" t="s">
        <v>35989</v>
      </c>
      <c r="G4188" s="18" t="str">
        <f>"52240"</f>
        <v>52240</v>
      </c>
      <c r="H4188" s="19" t="s">
        <v>36072</v>
      </c>
      <c r="I4188" s="20">
        <v>16.866</v>
      </c>
      <c r="J4188" s="44" t="s">
        <v>8</v>
      </c>
      <c r="K4188" s="23" t="s">
        <v>8</v>
      </c>
      <c r="L4188" s="23" t="s">
        <v>8</v>
      </c>
      <c r="M4188" s="23" t="s">
        <v>8</v>
      </c>
    </row>
    <row r="4189" spans="1:13" s="21" customFormat="1" x14ac:dyDescent="0.25">
      <c r="A4189" s="22" t="s">
        <v>8</v>
      </c>
      <c r="B4189" s="18" t="str">
        <f>"165033"</f>
        <v>165033</v>
      </c>
      <c r="C4189" s="19" t="s">
        <v>1990</v>
      </c>
      <c r="D4189" s="19" t="s">
        <v>19616</v>
      </c>
      <c r="E4189" s="19" t="s">
        <v>31658</v>
      </c>
      <c r="F4189" s="19" t="s">
        <v>35989</v>
      </c>
      <c r="G4189" s="18" t="str">
        <f>"52803"</f>
        <v>52803</v>
      </c>
      <c r="H4189" s="19" t="s">
        <v>36083</v>
      </c>
      <c r="I4189" s="20">
        <v>17.788</v>
      </c>
      <c r="J4189" s="44" t="s">
        <v>8</v>
      </c>
      <c r="K4189" s="23" t="s">
        <v>8</v>
      </c>
      <c r="L4189" s="23" t="s">
        <v>8</v>
      </c>
      <c r="M4189" s="23" t="s">
        <v>8</v>
      </c>
    </row>
    <row r="4190" spans="1:13" s="21" customFormat="1" x14ac:dyDescent="0.25">
      <c r="A4190" s="22" t="s">
        <v>8</v>
      </c>
      <c r="B4190" s="18" t="str">
        <f>"165034"</f>
        <v>165034</v>
      </c>
      <c r="C4190" s="19" t="s">
        <v>1990</v>
      </c>
      <c r="D4190" s="19" t="s">
        <v>19617</v>
      </c>
      <c r="E4190" s="19" t="s">
        <v>32003</v>
      </c>
      <c r="F4190" s="19" t="s">
        <v>35989</v>
      </c>
      <c r="G4190" s="18" t="str">
        <f>"50701"</f>
        <v>50701</v>
      </c>
      <c r="H4190" s="19" t="s">
        <v>36268</v>
      </c>
      <c r="I4190" s="20">
        <v>23.800999999999998</v>
      </c>
      <c r="J4190" s="44" t="s">
        <v>8</v>
      </c>
      <c r="K4190" s="23" t="s">
        <v>8</v>
      </c>
      <c r="L4190" s="23" t="s">
        <v>8</v>
      </c>
      <c r="M4190" s="23" t="s">
        <v>8</v>
      </c>
    </row>
    <row r="4191" spans="1:13" s="21" customFormat="1" x14ac:dyDescent="0.25">
      <c r="A4191" s="22" t="s">
        <v>8</v>
      </c>
      <c r="B4191" s="18" t="str">
        <f>"165046"</f>
        <v>165046</v>
      </c>
      <c r="C4191" s="19" t="s">
        <v>4140</v>
      </c>
      <c r="D4191" s="19" t="s">
        <v>19618</v>
      </c>
      <c r="E4191" s="19" t="s">
        <v>32340</v>
      </c>
      <c r="F4191" s="19" t="s">
        <v>35989</v>
      </c>
      <c r="G4191" s="18" t="str">
        <f>"52403"</f>
        <v>52403</v>
      </c>
      <c r="H4191" s="19" t="s">
        <v>32661</v>
      </c>
      <c r="I4191" s="20">
        <v>19.722999999999999</v>
      </c>
      <c r="J4191" s="44" t="s">
        <v>8</v>
      </c>
      <c r="K4191" s="23" t="s">
        <v>8</v>
      </c>
      <c r="L4191" s="23" t="s">
        <v>8</v>
      </c>
      <c r="M4191" s="23" t="s">
        <v>8</v>
      </c>
    </row>
    <row r="4192" spans="1:13" s="21" customFormat="1" x14ac:dyDescent="0.25">
      <c r="A4192" s="22" t="s">
        <v>8</v>
      </c>
      <c r="B4192" s="18" t="str">
        <f>"165049"</f>
        <v>165049</v>
      </c>
      <c r="C4192" s="19" t="s">
        <v>4141</v>
      </c>
      <c r="D4192" s="19" t="s">
        <v>19619</v>
      </c>
      <c r="E4192" s="19" t="s">
        <v>31658</v>
      </c>
      <c r="F4192" s="19" t="s">
        <v>35989</v>
      </c>
      <c r="G4192" s="18" t="str">
        <f>"52806"</f>
        <v>52806</v>
      </c>
      <c r="H4192" s="19" t="s">
        <v>36083</v>
      </c>
      <c r="I4192" s="20">
        <v>21.145</v>
      </c>
      <c r="J4192" s="44" t="s">
        <v>8</v>
      </c>
      <c r="K4192" s="23" t="s">
        <v>8</v>
      </c>
      <c r="L4192" s="23" t="s">
        <v>8</v>
      </c>
      <c r="M4192" s="23" t="s">
        <v>8</v>
      </c>
    </row>
    <row r="4193" spans="1:13" s="21" customFormat="1" x14ac:dyDescent="0.25">
      <c r="A4193" s="22" t="s">
        <v>8</v>
      </c>
      <c r="B4193" s="18" t="str">
        <f>"165072"</f>
        <v>165072</v>
      </c>
      <c r="C4193" s="19" t="s">
        <v>4142</v>
      </c>
      <c r="D4193" s="19" t="s">
        <v>19620</v>
      </c>
      <c r="E4193" s="19" t="s">
        <v>32048</v>
      </c>
      <c r="F4193" s="19" t="s">
        <v>35989</v>
      </c>
      <c r="G4193" s="18" t="str">
        <f>"50401"</f>
        <v>50401</v>
      </c>
      <c r="H4193" s="19" t="s">
        <v>36269</v>
      </c>
      <c r="I4193" s="20">
        <v>19.715</v>
      </c>
      <c r="J4193" s="44" t="s">
        <v>8</v>
      </c>
      <c r="K4193" s="23" t="s">
        <v>8</v>
      </c>
      <c r="L4193" s="23" t="s">
        <v>8</v>
      </c>
      <c r="M4193" s="23" t="s">
        <v>8</v>
      </c>
    </row>
    <row r="4194" spans="1:13" s="21" customFormat="1" x14ac:dyDescent="0.25">
      <c r="A4194" s="22" t="s">
        <v>8</v>
      </c>
      <c r="B4194" s="18" t="str">
        <f>"165081"</f>
        <v>165081</v>
      </c>
      <c r="C4194" s="19" t="s">
        <v>4143</v>
      </c>
      <c r="D4194" s="19" t="s">
        <v>19621</v>
      </c>
      <c r="E4194" s="19" t="s">
        <v>32003</v>
      </c>
      <c r="F4194" s="19" t="s">
        <v>35989</v>
      </c>
      <c r="G4194" s="18" t="str">
        <f>"50702"</f>
        <v>50702</v>
      </c>
      <c r="H4194" s="19" t="s">
        <v>36268</v>
      </c>
      <c r="I4194" s="20">
        <v>21.103999999999999</v>
      </c>
      <c r="J4194" s="44" t="s">
        <v>8</v>
      </c>
      <c r="K4194" s="23" t="s">
        <v>8</v>
      </c>
      <c r="L4194" s="23" t="s">
        <v>8</v>
      </c>
      <c r="M4194" s="23" t="s">
        <v>8</v>
      </c>
    </row>
    <row r="4195" spans="1:13" s="21" customFormat="1" x14ac:dyDescent="0.25">
      <c r="A4195" s="22" t="s">
        <v>8</v>
      </c>
      <c r="B4195" s="18" t="str">
        <f>"165082"</f>
        <v>165082</v>
      </c>
      <c r="C4195" s="19" t="s">
        <v>4144</v>
      </c>
      <c r="D4195" s="19" t="s">
        <v>19622</v>
      </c>
      <c r="E4195" s="19" t="s">
        <v>31055</v>
      </c>
      <c r="F4195" s="19" t="s">
        <v>35989</v>
      </c>
      <c r="G4195" s="18" t="str">
        <f>"51449"</f>
        <v>51449</v>
      </c>
      <c r="H4195" s="19" t="s">
        <v>31743</v>
      </c>
      <c r="I4195" s="20">
        <v>19.556000000000001</v>
      </c>
      <c r="J4195" s="44" t="s">
        <v>8</v>
      </c>
      <c r="K4195" s="23" t="s">
        <v>8</v>
      </c>
      <c r="L4195" s="23" t="s">
        <v>8</v>
      </c>
      <c r="M4195" s="23" t="s">
        <v>8</v>
      </c>
    </row>
    <row r="4196" spans="1:13" s="21" customFormat="1" x14ac:dyDescent="0.25">
      <c r="A4196" s="22" t="s">
        <v>8</v>
      </c>
      <c r="B4196" s="18" t="str">
        <f>"165104"</f>
        <v>165104</v>
      </c>
      <c r="C4196" s="19" t="s">
        <v>1990</v>
      </c>
      <c r="D4196" s="19" t="s">
        <v>19623</v>
      </c>
      <c r="E4196" s="19" t="s">
        <v>32343</v>
      </c>
      <c r="F4196" s="19" t="s">
        <v>35989</v>
      </c>
      <c r="G4196" s="18" t="str">
        <f>"52001"</f>
        <v>52001</v>
      </c>
      <c r="H4196" s="19" t="s">
        <v>32343</v>
      </c>
      <c r="I4196" s="20">
        <v>18.698</v>
      </c>
      <c r="J4196" s="44" t="s">
        <v>8</v>
      </c>
      <c r="K4196" s="23" t="s">
        <v>8</v>
      </c>
      <c r="L4196" s="23" t="s">
        <v>8</v>
      </c>
      <c r="M4196" s="23" t="s">
        <v>8</v>
      </c>
    </row>
    <row r="4197" spans="1:13" s="21" customFormat="1" x14ac:dyDescent="0.25">
      <c r="A4197" s="22" t="s">
        <v>8</v>
      </c>
      <c r="B4197" s="18" t="str">
        <f>"165110"</f>
        <v>165110</v>
      </c>
      <c r="C4197" s="19" t="s">
        <v>4145</v>
      </c>
      <c r="D4197" s="19" t="s">
        <v>19624</v>
      </c>
      <c r="E4197" s="19" t="s">
        <v>32344</v>
      </c>
      <c r="F4197" s="19" t="s">
        <v>35989</v>
      </c>
      <c r="G4197" s="18" t="str">
        <f>"52655"</f>
        <v>52655</v>
      </c>
      <c r="H4197" s="19" t="s">
        <v>32339</v>
      </c>
      <c r="I4197" s="20">
        <v>19.683</v>
      </c>
      <c r="J4197" s="44" t="s">
        <v>8</v>
      </c>
      <c r="K4197" s="23" t="s">
        <v>8</v>
      </c>
      <c r="L4197" s="23" t="s">
        <v>8</v>
      </c>
      <c r="M4197" s="23" t="s">
        <v>8</v>
      </c>
    </row>
    <row r="4198" spans="1:13" s="21" customFormat="1" x14ac:dyDescent="0.25">
      <c r="A4198" s="22" t="s">
        <v>8</v>
      </c>
      <c r="B4198" s="18" t="str">
        <f>"165116"</f>
        <v>165116</v>
      </c>
      <c r="C4198" s="19" t="s">
        <v>4146</v>
      </c>
      <c r="D4198" s="19" t="s">
        <v>19625</v>
      </c>
      <c r="E4198" s="19" t="s">
        <v>32343</v>
      </c>
      <c r="F4198" s="19" t="s">
        <v>35989</v>
      </c>
      <c r="G4198" s="18" t="str">
        <f>"52001"</f>
        <v>52001</v>
      </c>
      <c r="H4198" s="19" t="s">
        <v>32343</v>
      </c>
      <c r="I4198" s="20">
        <v>19.355</v>
      </c>
      <c r="J4198" s="44" t="s">
        <v>8</v>
      </c>
      <c r="K4198" s="23" t="s">
        <v>8</v>
      </c>
      <c r="L4198" s="23" t="s">
        <v>8</v>
      </c>
      <c r="M4198" s="23" t="s">
        <v>8</v>
      </c>
    </row>
    <row r="4199" spans="1:13" s="21" customFormat="1" x14ac:dyDescent="0.25">
      <c r="A4199" s="22" t="s">
        <v>8</v>
      </c>
      <c r="B4199" s="18" t="str">
        <f>"165118"</f>
        <v>165118</v>
      </c>
      <c r="C4199" s="19" t="s">
        <v>4147</v>
      </c>
      <c r="D4199" s="19" t="s">
        <v>19626</v>
      </c>
      <c r="E4199" s="19" t="s">
        <v>32345</v>
      </c>
      <c r="F4199" s="19" t="s">
        <v>35989</v>
      </c>
      <c r="G4199" s="18" t="str">
        <f>"50156"</f>
        <v>50156</v>
      </c>
      <c r="H4199" s="19" t="s">
        <v>32513</v>
      </c>
      <c r="I4199" s="20">
        <v>17.535</v>
      </c>
      <c r="J4199" s="44" t="s">
        <v>8</v>
      </c>
      <c r="K4199" s="23" t="s">
        <v>8</v>
      </c>
      <c r="L4199" s="23" t="s">
        <v>8</v>
      </c>
      <c r="M4199" s="23" t="s">
        <v>8</v>
      </c>
    </row>
    <row r="4200" spans="1:13" s="21" customFormat="1" x14ac:dyDescent="0.25">
      <c r="A4200" s="22" t="s">
        <v>8</v>
      </c>
      <c r="B4200" s="18" t="str">
        <f>"165119"</f>
        <v>165119</v>
      </c>
      <c r="C4200" s="19" t="s">
        <v>4148</v>
      </c>
      <c r="D4200" s="19" t="s">
        <v>19627</v>
      </c>
      <c r="E4200" s="19" t="s">
        <v>31081</v>
      </c>
      <c r="F4200" s="19" t="s">
        <v>35989</v>
      </c>
      <c r="G4200" s="18" t="str">
        <f>"52732"</f>
        <v>52732</v>
      </c>
      <c r="H4200" s="19" t="s">
        <v>31081</v>
      </c>
      <c r="I4200" s="20">
        <v>21.259</v>
      </c>
      <c r="J4200" s="44" t="s">
        <v>8</v>
      </c>
      <c r="K4200" s="23" t="s">
        <v>8</v>
      </c>
      <c r="L4200" s="23" t="s">
        <v>8</v>
      </c>
      <c r="M4200" s="23" t="s">
        <v>8</v>
      </c>
    </row>
    <row r="4201" spans="1:13" s="21" customFormat="1" x14ac:dyDescent="0.25">
      <c r="A4201" s="22" t="s">
        <v>8</v>
      </c>
      <c r="B4201" s="18" t="str">
        <f>"165130"</f>
        <v>165130</v>
      </c>
      <c r="C4201" s="19" t="s">
        <v>4149</v>
      </c>
      <c r="D4201" s="19" t="s">
        <v>19628</v>
      </c>
      <c r="E4201" s="19" t="s">
        <v>32339</v>
      </c>
      <c r="F4201" s="19" t="s">
        <v>35989</v>
      </c>
      <c r="G4201" s="18" t="str">
        <f>"50316"</f>
        <v>50316</v>
      </c>
      <c r="H4201" s="19" t="s">
        <v>36062</v>
      </c>
      <c r="I4201" s="20">
        <v>15.692</v>
      </c>
      <c r="J4201" s="44" t="s">
        <v>8</v>
      </c>
      <c r="K4201" s="23" t="s">
        <v>8</v>
      </c>
      <c r="L4201" s="23" t="s">
        <v>8</v>
      </c>
      <c r="M4201" s="23" t="s">
        <v>8</v>
      </c>
    </row>
    <row r="4202" spans="1:13" s="21" customFormat="1" x14ac:dyDescent="0.25">
      <c r="A4202" s="22" t="s">
        <v>8</v>
      </c>
      <c r="B4202" s="18" t="str">
        <f>"165135"</f>
        <v>165135</v>
      </c>
      <c r="C4202" s="19" t="s">
        <v>4150</v>
      </c>
      <c r="D4202" s="19" t="s">
        <v>19629</v>
      </c>
      <c r="E4202" s="19" t="s">
        <v>32346</v>
      </c>
      <c r="F4202" s="19" t="s">
        <v>35989</v>
      </c>
      <c r="G4202" s="18" t="str">
        <f>"52076"</f>
        <v>52076</v>
      </c>
      <c r="H4202" s="19" t="s">
        <v>31848</v>
      </c>
      <c r="I4202" s="20">
        <v>19.035</v>
      </c>
      <c r="J4202" s="44" t="s">
        <v>8</v>
      </c>
      <c r="K4202" s="23" t="s">
        <v>8</v>
      </c>
      <c r="L4202" s="23" t="s">
        <v>8</v>
      </c>
      <c r="M4202" s="23" t="s">
        <v>8</v>
      </c>
    </row>
    <row r="4203" spans="1:13" s="21" customFormat="1" x14ac:dyDescent="0.25">
      <c r="A4203" s="22" t="s">
        <v>8</v>
      </c>
      <c r="B4203" s="18" t="str">
        <f>"165136"</f>
        <v>165136</v>
      </c>
      <c r="C4203" s="19" t="s">
        <v>4151</v>
      </c>
      <c r="D4203" s="19" t="s">
        <v>19630</v>
      </c>
      <c r="E4203" s="19" t="s">
        <v>32342</v>
      </c>
      <c r="F4203" s="19" t="s">
        <v>35989</v>
      </c>
      <c r="G4203" s="18" t="str">
        <f>"52240"</f>
        <v>52240</v>
      </c>
      <c r="H4203" s="19" t="s">
        <v>36072</v>
      </c>
      <c r="I4203" s="20">
        <v>18.795999999999999</v>
      </c>
      <c r="J4203" s="44" t="s">
        <v>8</v>
      </c>
      <c r="K4203" s="23" t="s">
        <v>8</v>
      </c>
      <c r="L4203" s="23" t="s">
        <v>8</v>
      </c>
      <c r="M4203" s="23" t="s">
        <v>8</v>
      </c>
    </row>
    <row r="4204" spans="1:13" s="21" customFormat="1" x14ac:dyDescent="0.25">
      <c r="A4204" s="22" t="s">
        <v>8</v>
      </c>
      <c r="B4204" s="18" t="str">
        <f>"165145"</f>
        <v>165145</v>
      </c>
      <c r="C4204" s="19" t="s">
        <v>4152</v>
      </c>
      <c r="D4204" s="19" t="s">
        <v>19631</v>
      </c>
      <c r="E4204" s="19" t="s">
        <v>32347</v>
      </c>
      <c r="F4204" s="19" t="s">
        <v>35989</v>
      </c>
      <c r="G4204" s="18" t="str">
        <f>"51054"</f>
        <v>51054</v>
      </c>
      <c r="H4204" s="19" t="s">
        <v>33348</v>
      </c>
      <c r="I4204" s="20">
        <v>17.724</v>
      </c>
      <c r="J4204" s="44" t="s">
        <v>8</v>
      </c>
      <c r="K4204" s="23" t="s">
        <v>8</v>
      </c>
      <c r="L4204" s="23" t="s">
        <v>8</v>
      </c>
      <c r="M4204" s="23" t="s">
        <v>8</v>
      </c>
    </row>
    <row r="4205" spans="1:13" s="21" customFormat="1" x14ac:dyDescent="0.25">
      <c r="A4205" s="22" t="s">
        <v>8</v>
      </c>
      <c r="B4205" s="18" t="str">
        <f>"165146"</f>
        <v>165146</v>
      </c>
      <c r="C4205" s="19" t="s">
        <v>4153</v>
      </c>
      <c r="D4205" s="19" t="s">
        <v>19632</v>
      </c>
      <c r="E4205" s="19" t="s">
        <v>31658</v>
      </c>
      <c r="F4205" s="19" t="s">
        <v>35989</v>
      </c>
      <c r="G4205" s="18" t="str">
        <f>"52807"</f>
        <v>52807</v>
      </c>
      <c r="H4205" s="19" t="s">
        <v>36083</v>
      </c>
      <c r="I4205" s="20">
        <v>19.173999999999999</v>
      </c>
      <c r="J4205" s="44" t="s">
        <v>8</v>
      </c>
      <c r="K4205" s="23" t="s">
        <v>8</v>
      </c>
      <c r="L4205" s="23" t="s">
        <v>8</v>
      </c>
      <c r="M4205" s="23" t="s">
        <v>8</v>
      </c>
    </row>
    <row r="4206" spans="1:13" s="21" customFormat="1" x14ac:dyDescent="0.25">
      <c r="A4206" s="22" t="s">
        <v>8</v>
      </c>
      <c r="B4206" s="18" t="str">
        <f>"165147"</f>
        <v>165147</v>
      </c>
      <c r="C4206" s="19" t="s">
        <v>4154</v>
      </c>
      <c r="D4206" s="19" t="s">
        <v>19633</v>
      </c>
      <c r="E4206" s="19" t="s">
        <v>32348</v>
      </c>
      <c r="F4206" s="19" t="s">
        <v>35989</v>
      </c>
      <c r="G4206" s="18" t="str">
        <f>"52641"</f>
        <v>52641</v>
      </c>
      <c r="H4206" s="19" t="s">
        <v>32041</v>
      </c>
      <c r="I4206" s="20">
        <v>18.32</v>
      </c>
      <c r="J4206" s="44" t="s">
        <v>8</v>
      </c>
      <c r="K4206" s="23" t="s">
        <v>8</v>
      </c>
      <c r="L4206" s="23" t="s">
        <v>8</v>
      </c>
      <c r="M4206" s="23" t="s">
        <v>8</v>
      </c>
    </row>
    <row r="4207" spans="1:13" s="21" customFormat="1" x14ac:dyDescent="0.25">
      <c r="A4207" s="22" t="s">
        <v>8</v>
      </c>
      <c r="B4207" s="18" t="str">
        <f>"165149"</f>
        <v>165149</v>
      </c>
      <c r="C4207" s="19" t="s">
        <v>4155</v>
      </c>
      <c r="D4207" s="19" t="s">
        <v>19634</v>
      </c>
      <c r="E4207" s="19" t="s">
        <v>31503</v>
      </c>
      <c r="F4207" s="19" t="s">
        <v>35989</v>
      </c>
      <c r="G4207" s="18" t="str">
        <f>"50220"</f>
        <v>50220</v>
      </c>
      <c r="H4207" s="19" t="s">
        <v>31723</v>
      </c>
      <c r="I4207" s="20">
        <v>17.518000000000001</v>
      </c>
      <c r="J4207" s="44" t="s">
        <v>8</v>
      </c>
      <c r="K4207" s="23" t="s">
        <v>8</v>
      </c>
      <c r="L4207" s="23" t="s">
        <v>8</v>
      </c>
      <c r="M4207" s="23" t="s">
        <v>8</v>
      </c>
    </row>
    <row r="4208" spans="1:13" s="21" customFormat="1" x14ac:dyDescent="0.25">
      <c r="A4208" s="22" t="s">
        <v>8</v>
      </c>
      <c r="B4208" s="18" t="str">
        <f>"165151"</f>
        <v>165151</v>
      </c>
      <c r="C4208" s="19" t="s">
        <v>4156</v>
      </c>
      <c r="D4208" s="19" t="s">
        <v>19635</v>
      </c>
      <c r="E4208" s="19" t="s">
        <v>32335</v>
      </c>
      <c r="F4208" s="19" t="s">
        <v>35989</v>
      </c>
      <c r="G4208" s="18" t="str">
        <f>"52632"</f>
        <v>52632</v>
      </c>
      <c r="H4208" s="19" t="s">
        <v>33138</v>
      </c>
      <c r="I4208" s="20">
        <v>20.472999999999999</v>
      </c>
      <c r="J4208" s="44" t="s">
        <v>8</v>
      </c>
      <c r="K4208" s="23" t="s">
        <v>8</v>
      </c>
      <c r="L4208" s="23" t="s">
        <v>8</v>
      </c>
      <c r="M4208" s="23" t="s">
        <v>8</v>
      </c>
    </row>
    <row r="4209" spans="1:13" s="21" customFormat="1" x14ac:dyDescent="0.25">
      <c r="A4209" s="22" t="s">
        <v>8</v>
      </c>
      <c r="B4209" s="18" t="str">
        <f>"165152"</f>
        <v>165152</v>
      </c>
      <c r="C4209" s="19" t="s">
        <v>4157</v>
      </c>
      <c r="D4209" s="19" t="s">
        <v>19636</v>
      </c>
      <c r="E4209" s="19" t="s">
        <v>32003</v>
      </c>
      <c r="F4209" s="19" t="s">
        <v>35989</v>
      </c>
      <c r="G4209" s="18" t="str">
        <f>"50701"</f>
        <v>50701</v>
      </c>
      <c r="H4209" s="19" t="s">
        <v>36268</v>
      </c>
      <c r="I4209" s="20">
        <v>21.789000000000001</v>
      </c>
      <c r="J4209" s="44" t="s">
        <v>8</v>
      </c>
      <c r="K4209" s="23" t="s">
        <v>8</v>
      </c>
      <c r="L4209" s="23" t="s">
        <v>8</v>
      </c>
      <c r="M4209" s="23" t="s">
        <v>8</v>
      </c>
    </row>
    <row r="4210" spans="1:13" s="21" customFormat="1" x14ac:dyDescent="0.25">
      <c r="A4210" s="22" t="s">
        <v>8</v>
      </c>
      <c r="B4210" s="18" t="str">
        <f>"165155"</f>
        <v>165155</v>
      </c>
      <c r="C4210" s="19" t="s">
        <v>4158</v>
      </c>
      <c r="D4210" s="19" t="s">
        <v>19637</v>
      </c>
      <c r="E4210" s="19" t="s">
        <v>32349</v>
      </c>
      <c r="F4210" s="19" t="s">
        <v>35989</v>
      </c>
      <c r="G4210" s="18" t="str">
        <f>"51531"</f>
        <v>51531</v>
      </c>
      <c r="H4210" s="19" t="s">
        <v>33565</v>
      </c>
      <c r="I4210" s="20">
        <v>18.925999999999998</v>
      </c>
      <c r="J4210" s="44" t="s">
        <v>8</v>
      </c>
      <c r="K4210" s="23" t="s">
        <v>8</v>
      </c>
      <c r="L4210" s="23" t="s">
        <v>8</v>
      </c>
      <c r="M4210" s="23" t="s">
        <v>8</v>
      </c>
    </row>
    <row r="4211" spans="1:13" s="21" customFormat="1" x14ac:dyDescent="0.25">
      <c r="A4211" s="22" t="s">
        <v>8</v>
      </c>
      <c r="B4211" s="18" t="str">
        <f>"165156"</f>
        <v>165156</v>
      </c>
      <c r="C4211" s="19" t="s">
        <v>4159</v>
      </c>
      <c r="D4211" s="19" t="s">
        <v>19638</v>
      </c>
      <c r="E4211" s="19" t="s">
        <v>32350</v>
      </c>
      <c r="F4211" s="19" t="s">
        <v>35989</v>
      </c>
      <c r="G4211" s="18" t="str">
        <f>"50501"</f>
        <v>50501</v>
      </c>
      <c r="H4211" s="19" t="s">
        <v>33048</v>
      </c>
      <c r="I4211" s="20">
        <v>18.151</v>
      </c>
      <c r="J4211" s="44" t="s">
        <v>8</v>
      </c>
      <c r="K4211" s="23" t="s">
        <v>8</v>
      </c>
      <c r="L4211" s="23" t="s">
        <v>8</v>
      </c>
      <c r="M4211" s="23" t="s">
        <v>8</v>
      </c>
    </row>
    <row r="4212" spans="1:13" s="21" customFormat="1" x14ac:dyDescent="0.25">
      <c r="A4212" s="22" t="s">
        <v>8</v>
      </c>
      <c r="B4212" s="18" t="str">
        <f>"165158"</f>
        <v>165158</v>
      </c>
      <c r="C4212" s="19" t="s">
        <v>4160</v>
      </c>
      <c r="D4212" s="19" t="s">
        <v>19639</v>
      </c>
      <c r="E4212" s="19" t="s">
        <v>32351</v>
      </c>
      <c r="F4212" s="19" t="s">
        <v>35989</v>
      </c>
      <c r="G4212" s="18" t="str">
        <f>"51632"</f>
        <v>51632</v>
      </c>
      <c r="H4212" s="19" t="s">
        <v>36270</v>
      </c>
      <c r="I4212" s="20">
        <v>19.803999999999998</v>
      </c>
      <c r="J4212" s="44" t="s">
        <v>8</v>
      </c>
      <c r="K4212" s="23" t="s">
        <v>8</v>
      </c>
      <c r="L4212" s="23" t="s">
        <v>8</v>
      </c>
      <c r="M4212" s="23" t="s">
        <v>8</v>
      </c>
    </row>
    <row r="4213" spans="1:13" s="21" customFormat="1" x14ac:dyDescent="0.25">
      <c r="A4213" s="22" t="s">
        <v>8</v>
      </c>
      <c r="B4213" s="18" t="str">
        <f>"165161"</f>
        <v>165161</v>
      </c>
      <c r="C4213" s="19" t="s">
        <v>4161</v>
      </c>
      <c r="D4213" s="19" t="s">
        <v>19640</v>
      </c>
      <c r="E4213" s="19" t="s">
        <v>32352</v>
      </c>
      <c r="F4213" s="19" t="s">
        <v>35989</v>
      </c>
      <c r="G4213" s="18" t="str">
        <f>"51104"</f>
        <v>51104</v>
      </c>
      <c r="H4213" s="19" t="s">
        <v>33348</v>
      </c>
      <c r="I4213" s="20">
        <v>23.809000000000001</v>
      </c>
      <c r="J4213" s="44" t="s">
        <v>8</v>
      </c>
      <c r="K4213" s="23" t="s">
        <v>8</v>
      </c>
      <c r="L4213" s="23" t="s">
        <v>8</v>
      </c>
      <c r="M4213" s="23" t="s">
        <v>8</v>
      </c>
    </row>
    <row r="4214" spans="1:13" s="21" customFormat="1" x14ac:dyDescent="0.25">
      <c r="A4214" s="22" t="s">
        <v>8</v>
      </c>
      <c r="B4214" s="18" t="str">
        <f>"165162"</f>
        <v>165162</v>
      </c>
      <c r="C4214" s="19" t="s">
        <v>4162</v>
      </c>
      <c r="D4214" s="19" t="s">
        <v>19641</v>
      </c>
      <c r="E4214" s="19" t="s">
        <v>30849</v>
      </c>
      <c r="F4214" s="19" t="s">
        <v>35989</v>
      </c>
      <c r="G4214" s="18" t="str">
        <f>"50009"</f>
        <v>50009</v>
      </c>
      <c r="H4214" s="19" t="s">
        <v>36062</v>
      </c>
      <c r="I4214" s="20">
        <v>19.181000000000001</v>
      </c>
      <c r="J4214" s="44" t="s">
        <v>8</v>
      </c>
      <c r="K4214" s="23" t="s">
        <v>8</v>
      </c>
      <c r="L4214" s="23" t="s">
        <v>8</v>
      </c>
      <c r="M4214" s="23" t="s">
        <v>8</v>
      </c>
    </row>
    <row r="4215" spans="1:13" s="21" customFormat="1" x14ac:dyDescent="0.25">
      <c r="A4215" s="22" t="s">
        <v>8</v>
      </c>
      <c r="B4215" s="18" t="str">
        <f>"165163"</f>
        <v>165163</v>
      </c>
      <c r="C4215" s="19" t="s">
        <v>4163</v>
      </c>
      <c r="D4215" s="19" t="s">
        <v>19642</v>
      </c>
      <c r="E4215" s="19" t="s">
        <v>32353</v>
      </c>
      <c r="F4215" s="19" t="s">
        <v>35989</v>
      </c>
      <c r="G4215" s="18" t="str">
        <f>"50023"</f>
        <v>50023</v>
      </c>
      <c r="H4215" s="19" t="s">
        <v>36062</v>
      </c>
      <c r="I4215" s="20">
        <v>19.350999999999999</v>
      </c>
      <c r="J4215" s="44" t="s">
        <v>8</v>
      </c>
      <c r="K4215" s="23" t="s">
        <v>8</v>
      </c>
      <c r="L4215" s="23" t="s">
        <v>8</v>
      </c>
      <c r="M4215" s="23" t="s">
        <v>8</v>
      </c>
    </row>
    <row r="4216" spans="1:13" s="21" customFormat="1" x14ac:dyDescent="0.25">
      <c r="A4216" s="22" t="s">
        <v>8</v>
      </c>
      <c r="B4216" s="18" t="str">
        <f>"165165"</f>
        <v>165165</v>
      </c>
      <c r="C4216" s="19" t="s">
        <v>4164</v>
      </c>
      <c r="D4216" s="19" t="s">
        <v>19643</v>
      </c>
      <c r="E4216" s="19" t="s">
        <v>32003</v>
      </c>
      <c r="F4216" s="19" t="s">
        <v>35989</v>
      </c>
      <c r="G4216" s="18" t="str">
        <f>"50703"</f>
        <v>50703</v>
      </c>
      <c r="H4216" s="19" t="s">
        <v>36268</v>
      </c>
      <c r="I4216" s="20">
        <v>18.957000000000001</v>
      </c>
      <c r="J4216" s="44" t="s">
        <v>8</v>
      </c>
      <c r="K4216" s="23" t="s">
        <v>8</v>
      </c>
      <c r="L4216" s="23" t="s">
        <v>8</v>
      </c>
      <c r="M4216" s="23" t="s">
        <v>8</v>
      </c>
    </row>
    <row r="4217" spans="1:13" s="21" customFormat="1" x14ac:dyDescent="0.25">
      <c r="A4217" s="22" t="s">
        <v>8</v>
      </c>
      <c r="B4217" s="18" t="str">
        <f>"165167"</f>
        <v>165167</v>
      </c>
      <c r="C4217" s="19" t="s">
        <v>4165</v>
      </c>
      <c r="D4217" s="19" t="s">
        <v>19644</v>
      </c>
      <c r="E4217" s="19" t="s">
        <v>32354</v>
      </c>
      <c r="F4217" s="19" t="s">
        <v>35989</v>
      </c>
      <c r="G4217" s="18" t="str">
        <f>"50125"</f>
        <v>50125</v>
      </c>
      <c r="H4217" s="19" t="s">
        <v>31025</v>
      </c>
      <c r="I4217" s="20">
        <v>16.731999999999999</v>
      </c>
      <c r="J4217" s="44" t="s">
        <v>8</v>
      </c>
      <c r="K4217" s="23" t="s">
        <v>8</v>
      </c>
      <c r="L4217" s="23" t="s">
        <v>8</v>
      </c>
      <c r="M4217" s="23" t="s">
        <v>8</v>
      </c>
    </row>
    <row r="4218" spans="1:13" s="21" customFormat="1" x14ac:dyDescent="0.25">
      <c r="A4218" s="22" t="s">
        <v>8</v>
      </c>
      <c r="B4218" s="18" t="str">
        <f>"165169"</f>
        <v>165169</v>
      </c>
      <c r="C4218" s="19" t="s">
        <v>4166</v>
      </c>
      <c r="D4218" s="19" t="s">
        <v>19645</v>
      </c>
      <c r="E4218" s="19" t="s">
        <v>31658</v>
      </c>
      <c r="F4218" s="19" t="s">
        <v>35989</v>
      </c>
      <c r="G4218" s="18" t="str">
        <f>"52804"</f>
        <v>52804</v>
      </c>
      <c r="H4218" s="19" t="s">
        <v>36083</v>
      </c>
      <c r="I4218" s="20">
        <v>18.891999999999999</v>
      </c>
      <c r="J4218" s="44" t="s">
        <v>8</v>
      </c>
      <c r="K4218" s="23" t="s">
        <v>8</v>
      </c>
      <c r="L4218" s="23" t="s">
        <v>8</v>
      </c>
      <c r="M4218" s="23" t="s">
        <v>8</v>
      </c>
    </row>
    <row r="4219" spans="1:13" s="21" customFormat="1" x14ac:dyDescent="0.25">
      <c r="A4219" s="22" t="s">
        <v>8</v>
      </c>
      <c r="B4219" s="18" t="str">
        <f>"165170"</f>
        <v>165170</v>
      </c>
      <c r="C4219" s="19" t="s">
        <v>4167</v>
      </c>
      <c r="D4219" s="19" t="s">
        <v>19646</v>
      </c>
      <c r="E4219" s="19" t="s">
        <v>32355</v>
      </c>
      <c r="F4219" s="19" t="s">
        <v>35989</v>
      </c>
      <c r="G4219" s="18" t="str">
        <f>"50226"</f>
        <v>50226</v>
      </c>
      <c r="H4219" s="19" t="s">
        <v>36062</v>
      </c>
      <c r="I4219" s="20">
        <v>18.295000000000002</v>
      </c>
      <c r="J4219" s="44" t="s">
        <v>8</v>
      </c>
      <c r="K4219" s="23" t="s">
        <v>8</v>
      </c>
      <c r="L4219" s="23" t="s">
        <v>8</v>
      </c>
      <c r="M4219" s="23" t="s">
        <v>8</v>
      </c>
    </row>
    <row r="4220" spans="1:13" s="21" customFormat="1" x14ac:dyDescent="0.25">
      <c r="A4220" s="22" t="s">
        <v>8</v>
      </c>
      <c r="B4220" s="18" t="str">
        <f>"165171"</f>
        <v>165171</v>
      </c>
      <c r="C4220" s="19" t="s">
        <v>4168</v>
      </c>
      <c r="D4220" s="19" t="s">
        <v>19647</v>
      </c>
      <c r="E4220" s="19" t="s">
        <v>30850</v>
      </c>
      <c r="F4220" s="19" t="s">
        <v>35989</v>
      </c>
      <c r="G4220" s="18" t="str">
        <f>"52302"</f>
        <v>52302</v>
      </c>
      <c r="H4220" s="19" t="s">
        <v>32661</v>
      </c>
      <c r="I4220" s="20">
        <v>21.404</v>
      </c>
      <c r="J4220" s="44" t="s">
        <v>8</v>
      </c>
      <c r="K4220" s="23" t="s">
        <v>8</v>
      </c>
      <c r="L4220" s="23" t="s">
        <v>8</v>
      </c>
      <c r="M4220" s="23" t="s">
        <v>8</v>
      </c>
    </row>
    <row r="4221" spans="1:13" s="21" customFormat="1" x14ac:dyDescent="0.25">
      <c r="A4221" s="22" t="s">
        <v>8</v>
      </c>
      <c r="B4221" s="18" t="str">
        <f>"165172"</f>
        <v>165172</v>
      </c>
      <c r="C4221" s="19" t="s">
        <v>4169</v>
      </c>
      <c r="D4221" s="19" t="s">
        <v>19648</v>
      </c>
      <c r="E4221" s="19" t="s">
        <v>32342</v>
      </c>
      <c r="F4221" s="19" t="s">
        <v>35989</v>
      </c>
      <c r="G4221" s="18" t="str">
        <f>"52246"</f>
        <v>52246</v>
      </c>
      <c r="H4221" s="19" t="s">
        <v>36072</v>
      </c>
      <c r="I4221" s="20">
        <v>18.457000000000001</v>
      </c>
      <c r="J4221" s="44" t="s">
        <v>8</v>
      </c>
      <c r="K4221" s="23" t="s">
        <v>8</v>
      </c>
      <c r="L4221" s="23" t="s">
        <v>8</v>
      </c>
      <c r="M4221" s="23" t="s">
        <v>8</v>
      </c>
    </row>
    <row r="4222" spans="1:13" s="21" customFormat="1" x14ac:dyDescent="0.25">
      <c r="A4222" s="22" t="s">
        <v>8</v>
      </c>
      <c r="B4222" s="18" t="str">
        <f>"165173"</f>
        <v>165173</v>
      </c>
      <c r="C4222" s="19" t="s">
        <v>4170</v>
      </c>
      <c r="D4222" s="19" t="s">
        <v>19649</v>
      </c>
      <c r="E4222" s="19" t="s">
        <v>32356</v>
      </c>
      <c r="F4222" s="19" t="s">
        <v>35989</v>
      </c>
      <c r="G4222" s="18" t="str">
        <f>"50461"</f>
        <v>50461</v>
      </c>
      <c r="H4222" s="19" t="s">
        <v>32259</v>
      </c>
      <c r="I4222" s="20">
        <v>17.701000000000001</v>
      </c>
      <c r="J4222" s="44" t="s">
        <v>8</v>
      </c>
      <c r="K4222" s="23" t="s">
        <v>8</v>
      </c>
      <c r="L4222" s="23" t="s">
        <v>8</v>
      </c>
      <c r="M4222" s="23" t="s">
        <v>8</v>
      </c>
    </row>
    <row r="4223" spans="1:13" s="21" customFormat="1" x14ac:dyDescent="0.25">
      <c r="A4223" s="22" t="s">
        <v>8</v>
      </c>
      <c r="B4223" s="18" t="str">
        <f>"165174"</f>
        <v>165174</v>
      </c>
      <c r="C4223" s="19" t="s">
        <v>4171</v>
      </c>
      <c r="D4223" s="19" t="s">
        <v>19650</v>
      </c>
      <c r="E4223" s="19" t="s">
        <v>32352</v>
      </c>
      <c r="F4223" s="19" t="s">
        <v>35989</v>
      </c>
      <c r="G4223" s="18" t="str">
        <f>"51103"</f>
        <v>51103</v>
      </c>
      <c r="H4223" s="19" t="s">
        <v>33348</v>
      </c>
      <c r="I4223" s="20">
        <v>18.954000000000001</v>
      </c>
      <c r="J4223" s="44" t="s">
        <v>8</v>
      </c>
      <c r="K4223" s="23" t="s">
        <v>8</v>
      </c>
      <c r="L4223" s="23" t="s">
        <v>8</v>
      </c>
      <c r="M4223" s="23" t="s">
        <v>8</v>
      </c>
    </row>
    <row r="4224" spans="1:13" s="21" customFormat="1" x14ac:dyDescent="0.25">
      <c r="A4224" s="22" t="s">
        <v>8</v>
      </c>
      <c r="B4224" s="18" t="str">
        <f>"165175"</f>
        <v>165175</v>
      </c>
      <c r="C4224" s="19" t="s">
        <v>4172</v>
      </c>
      <c r="D4224" s="19" t="s">
        <v>19651</v>
      </c>
      <c r="E4224" s="19" t="s">
        <v>32339</v>
      </c>
      <c r="F4224" s="19" t="s">
        <v>35989</v>
      </c>
      <c r="G4224" s="18" t="str">
        <f>"50315"</f>
        <v>50315</v>
      </c>
      <c r="H4224" s="19" t="s">
        <v>36062</v>
      </c>
      <c r="I4224" s="20">
        <v>17.844000000000001</v>
      </c>
      <c r="J4224" s="44" t="s">
        <v>8</v>
      </c>
      <c r="K4224" s="23" t="s">
        <v>8</v>
      </c>
      <c r="L4224" s="23" t="s">
        <v>8</v>
      </c>
      <c r="M4224" s="23" t="s">
        <v>8</v>
      </c>
    </row>
    <row r="4225" spans="1:13" s="21" customFormat="1" x14ac:dyDescent="0.25">
      <c r="A4225" s="22" t="s">
        <v>8</v>
      </c>
      <c r="B4225" s="18" t="str">
        <f>"165176"</f>
        <v>165176</v>
      </c>
      <c r="C4225" s="19" t="s">
        <v>4173</v>
      </c>
      <c r="D4225" s="19" t="s">
        <v>19652</v>
      </c>
      <c r="E4225" s="19" t="s">
        <v>32357</v>
      </c>
      <c r="F4225" s="19" t="s">
        <v>35989</v>
      </c>
      <c r="G4225" s="18" t="str">
        <f>"50662"</f>
        <v>50662</v>
      </c>
      <c r="H4225" s="19" t="s">
        <v>30805</v>
      </c>
      <c r="I4225" s="20">
        <v>18.805</v>
      </c>
      <c r="J4225" s="44" t="s">
        <v>8</v>
      </c>
      <c r="K4225" s="23" t="s">
        <v>8</v>
      </c>
      <c r="L4225" s="23" t="s">
        <v>8</v>
      </c>
      <c r="M4225" s="23" t="s">
        <v>8</v>
      </c>
    </row>
    <row r="4226" spans="1:13" s="21" customFormat="1" x14ac:dyDescent="0.25">
      <c r="A4226" s="22" t="s">
        <v>8</v>
      </c>
      <c r="B4226" s="18" t="str">
        <f>"165177"</f>
        <v>165177</v>
      </c>
      <c r="C4226" s="19" t="s">
        <v>4174</v>
      </c>
      <c r="D4226" s="19" t="s">
        <v>19653</v>
      </c>
      <c r="E4226" s="19" t="s">
        <v>32358</v>
      </c>
      <c r="F4226" s="19" t="s">
        <v>35989</v>
      </c>
      <c r="G4226" s="18" t="str">
        <f>"51346"</f>
        <v>51346</v>
      </c>
      <c r="H4226" s="19" t="s">
        <v>36271</v>
      </c>
      <c r="I4226" s="20">
        <v>17.556000000000001</v>
      </c>
      <c r="J4226" s="44" t="s">
        <v>8</v>
      </c>
      <c r="K4226" s="23" t="s">
        <v>8</v>
      </c>
      <c r="L4226" s="23" t="s">
        <v>8</v>
      </c>
      <c r="M4226" s="23" t="s">
        <v>8</v>
      </c>
    </row>
    <row r="4227" spans="1:13" s="21" customFormat="1" x14ac:dyDescent="0.25">
      <c r="A4227" s="22" t="s">
        <v>8</v>
      </c>
      <c r="B4227" s="18" t="str">
        <f>"165178"</f>
        <v>165178</v>
      </c>
      <c r="C4227" s="19" t="s">
        <v>4175</v>
      </c>
      <c r="D4227" s="19" t="s">
        <v>19654</v>
      </c>
      <c r="E4227" s="19" t="s">
        <v>32359</v>
      </c>
      <c r="F4227" s="19" t="s">
        <v>35989</v>
      </c>
      <c r="G4227" s="18" t="str">
        <f>"52101"</f>
        <v>52101</v>
      </c>
      <c r="H4227" s="19" t="s">
        <v>36272</v>
      </c>
      <c r="I4227" s="20">
        <v>19.46</v>
      </c>
      <c r="J4227" s="44" t="s">
        <v>8</v>
      </c>
      <c r="K4227" s="23" t="s">
        <v>8</v>
      </c>
      <c r="L4227" s="23" t="s">
        <v>8</v>
      </c>
      <c r="M4227" s="23" t="s">
        <v>8</v>
      </c>
    </row>
    <row r="4228" spans="1:13" s="21" customFormat="1" x14ac:dyDescent="0.25">
      <c r="A4228" s="22" t="s">
        <v>8</v>
      </c>
      <c r="B4228" s="18" t="str">
        <f>"165179"</f>
        <v>165179</v>
      </c>
      <c r="C4228" s="19" t="s">
        <v>4176</v>
      </c>
      <c r="D4228" s="19" t="s">
        <v>19655</v>
      </c>
      <c r="E4228" s="19" t="s">
        <v>31181</v>
      </c>
      <c r="F4228" s="19" t="s">
        <v>35989</v>
      </c>
      <c r="G4228" s="18" t="str">
        <f>"50211"</f>
        <v>50211</v>
      </c>
      <c r="H4228" s="19" t="s">
        <v>31025</v>
      </c>
      <c r="I4228" s="20">
        <v>19.631</v>
      </c>
      <c r="J4228" s="44" t="s">
        <v>8</v>
      </c>
      <c r="K4228" s="23" t="s">
        <v>8</v>
      </c>
      <c r="L4228" s="23" t="s">
        <v>8</v>
      </c>
      <c r="M4228" s="23" t="s">
        <v>8</v>
      </c>
    </row>
    <row r="4229" spans="1:13" s="21" customFormat="1" x14ac:dyDescent="0.25">
      <c r="A4229" s="22" t="s">
        <v>8</v>
      </c>
      <c r="B4229" s="18" t="str">
        <f>"165180"</f>
        <v>165180</v>
      </c>
      <c r="C4229" s="19" t="s">
        <v>4177</v>
      </c>
      <c r="D4229" s="19" t="s">
        <v>19656</v>
      </c>
      <c r="E4229" s="19" t="s">
        <v>32360</v>
      </c>
      <c r="F4229" s="19" t="s">
        <v>35989</v>
      </c>
      <c r="G4229" s="18" t="str">
        <f>"51458"</f>
        <v>51458</v>
      </c>
      <c r="H4229" s="19" t="s">
        <v>36273</v>
      </c>
      <c r="I4229" s="20">
        <v>18.675000000000001</v>
      </c>
      <c r="J4229" s="44" t="s">
        <v>8</v>
      </c>
      <c r="K4229" s="23" t="s">
        <v>8</v>
      </c>
      <c r="L4229" s="23" t="s">
        <v>8</v>
      </c>
      <c r="M4229" s="23" t="s">
        <v>8</v>
      </c>
    </row>
    <row r="4230" spans="1:13" s="21" customFormat="1" x14ac:dyDescent="0.25">
      <c r="A4230" s="22" t="s">
        <v>8</v>
      </c>
      <c r="B4230" s="18" t="str">
        <f>"165181"</f>
        <v>165181</v>
      </c>
      <c r="C4230" s="19" t="s">
        <v>4178</v>
      </c>
      <c r="D4230" s="19" t="s">
        <v>19657</v>
      </c>
      <c r="E4230" s="19" t="s">
        <v>32361</v>
      </c>
      <c r="F4230" s="19" t="s">
        <v>35989</v>
      </c>
      <c r="G4230" s="18" t="str">
        <f>"51246"</f>
        <v>51246</v>
      </c>
      <c r="H4230" s="19" t="s">
        <v>36274</v>
      </c>
      <c r="I4230" s="20">
        <v>20.036000000000001</v>
      </c>
      <c r="J4230" s="44" t="s">
        <v>8</v>
      </c>
      <c r="K4230" s="23" t="s">
        <v>8</v>
      </c>
      <c r="L4230" s="23" t="s">
        <v>8</v>
      </c>
      <c r="M4230" s="23" t="s">
        <v>8</v>
      </c>
    </row>
    <row r="4231" spans="1:13" s="21" customFormat="1" x14ac:dyDescent="0.25">
      <c r="A4231" s="22" t="s">
        <v>8</v>
      </c>
      <c r="B4231" s="18" t="str">
        <f>"165183"</f>
        <v>165183</v>
      </c>
      <c r="C4231" s="19" t="s">
        <v>4179</v>
      </c>
      <c r="D4231" s="19" t="s">
        <v>19658</v>
      </c>
      <c r="E4231" s="19" t="s">
        <v>32048</v>
      </c>
      <c r="F4231" s="19" t="s">
        <v>35989</v>
      </c>
      <c r="G4231" s="18" t="str">
        <f>"50401"</f>
        <v>50401</v>
      </c>
      <c r="H4231" s="19" t="s">
        <v>36269</v>
      </c>
      <c r="I4231" s="20">
        <v>20.081</v>
      </c>
      <c r="J4231" s="44" t="s">
        <v>8</v>
      </c>
      <c r="K4231" s="23" t="s">
        <v>8</v>
      </c>
      <c r="L4231" s="23" t="s">
        <v>8</v>
      </c>
      <c r="M4231" s="23" t="s">
        <v>8</v>
      </c>
    </row>
    <row r="4232" spans="1:13" s="21" customFormat="1" x14ac:dyDescent="0.25">
      <c r="A4232" s="22" t="s">
        <v>8</v>
      </c>
      <c r="B4232" s="18" t="str">
        <f>"165185"</f>
        <v>165185</v>
      </c>
      <c r="C4232" s="19" t="s">
        <v>4180</v>
      </c>
      <c r="D4232" s="19" t="s">
        <v>19659</v>
      </c>
      <c r="E4232" s="19" t="s">
        <v>32362</v>
      </c>
      <c r="F4232" s="19" t="s">
        <v>35989</v>
      </c>
      <c r="G4232" s="18" t="str">
        <f>"51566"</f>
        <v>51566</v>
      </c>
      <c r="H4232" s="19" t="s">
        <v>30833</v>
      </c>
      <c r="I4232" s="20">
        <v>17.771999999999998</v>
      </c>
      <c r="J4232" s="44" t="s">
        <v>8</v>
      </c>
      <c r="K4232" s="23" t="s">
        <v>8</v>
      </c>
      <c r="L4232" s="23" t="s">
        <v>8</v>
      </c>
      <c r="M4232" s="23" t="s">
        <v>8</v>
      </c>
    </row>
    <row r="4233" spans="1:13" s="21" customFormat="1" x14ac:dyDescent="0.25">
      <c r="A4233" s="22" t="s">
        <v>8</v>
      </c>
      <c r="B4233" s="18" t="str">
        <f>"165186"</f>
        <v>165186</v>
      </c>
      <c r="C4233" s="19" t="s">
        <v>4181</v>
      </c>
      <c r="D4233" s="19" t="s">
        <v>19660</v>
      </c>
      <c r="E4233" s="19" t="s">
        <v>32354</v>
      </c>
      <c r="F4233" s="19" t="s">
        <v>35989</v>
      </c>
      <c r="G4233" s="18" t="str">
        <f>"50125"</f>
        <v>50125</v>
      </c>
      <c r="H4233" s="19" t="s">
        <v>31025</v>
      </c>
      <c r="I4233" s="20">
        <v>19.161999999999999</v>
      </c>
      <c r="J4233" s="44" t="s">
        <v>8</v>
      </c>
      <c r="K4233" s="23" t="s">
        <v>8</v>
      </c>
      <c r="L4233" s="23" t="s">
        <v>8</v>
      </c>
      <c r="M4233" s="23" t="s">
        <v>8</v>
      </c>
    </row>
    <row r="4234" spans="1:13" s="21" customFormat="1" x14ac:dyDescent="0.25">
      <c r="A4234" s="22" t="s">
        <v>8</v>
      </c>
      <c r="B4234" s="18" t="str">
        <f>"165187"</f>
        <v>165187</v>
      </c>
      <c r="C4234" s="19" t="s">
        <v>4182</v>
      </c>
      <c r="D4234" s="19" t="s">
        <v>19661</v>
      </c>
      <c r="E4234" s="19" t="s">
        <v>32363</v>
      </c>
      <c r="F4234" s="19" t="s">
        <v>35989</v>
      </c>
      <c r="G4234" s="18" t="str">
        <f>"52175"</f>
        <v>52175</v>
      </c>
      <c r="H4234" s="19" t="s">
        <v>30805</v>
      </c>
      <c r="I4234" s="20">
        <v>17.690000000000001</v>
      </c>
      <c r="J4234" s="44" t="s">
        <v>8</v>
      </c>
      <c r="K4234" s="23" t="s">
        <v>8</v>
      </c>
      <c r="L4234" s="23" t="s">
        <v>8</v>
      </c>
      <c r="M4234" s="23" t="s">
        <v>8</v>
      </c>
    </row>
    <row r="4235" spans="1:13" s="21" customFormat="1" x14ac:dyDescent="0.25">
      <c r="A4235" s="22" t="s">
        <v>8</v>
      </c>
      <c r="B4235" s="18" t="str">
        <f>"165188"</f>
        <v>165188</v>
      </c>
      <c r="C4235" s="19" t="s">
        <v>4183</v>
      </c>
      <c r="D4235" s="19" t="s">
        <v>19662</v>
      </c>
      <c r="E4235" s="19" t="s">
        <v>32364</v>
      </c>
      <c r="F4235" s="19" t="s">
        <v>35989</v>
      </c>
      <c r="G4235" s="18" t="str">
        <f>"50273"</f>
        <v>50273</v>
      </c>
      <c r="H4235" s="19" t="s">
        <v>30899</v>
      </c>
      <c r="I4235" s="20">
        <v>19.965</v>
      </c>
      <c r="J4235" s="44" t="s">
        <v>8</v>
      </c>
      <c r="K4235" s="23" t="s">
        <v>8</v>
      </c>
      <c r="L4235" s="23" t="s">
        <v>8</v>
      </c>
      <c r="M4235" s="23" t="s">
        <v>8</v>
      </c>
    </row>
    <row r="4236" spans="1:13" s="21" customFormat="1" x14ac:dyDescent="0.25">
      <c r="A4236" s="22" t="s">
        <v>8</v>
      </c>
      <c r="B4236" s="18" t="str">
        <f>"165189"</f>
        <v>165189</v>
      </c>
      <c r="C4236" s="19" t="s">
        <v>4184</v>
      </c>
      <c r="D4236" s="19" t="s">
        <v>19663</v>
      </c>
      <c r="E4236" s="19" t="s">
        <v>32365</v>
      </c>
      <c r="F4236" s="19" t="s">
        <v>35989</v>
      </c>
      <c r="G4236" s="18" t="str">
        <f>"50864"</f>
        <v>50864</v>
      </c>
      <c r="H4236" s="19" t="s">
        <v>30833</v>
      </c>
      <c r="I4236" s="20">
        <v>20.294</v>
      </c>
      <c r="J4236" s="44" t="s">
        <v>8</v>
      </c>
      <c r="K4236" s="23" t="s">
        <v>8</v>
      </c>
      <c r="L4236" s="23" t="s">
        <v>8</v>
      </c>
      <c r="M4236" s="23" t="s">
        <v>8</v>
      </c>
    </row>
    <row r="4237" spans="1:13" s="21" customFormat="1" x14ac:dyDescent="0.25">
      <c r="A4237" s="22" t="s">
        <v>8</v>
      </c>
      <c r="B4237" s="18" t="str">
        <f>"165190"</f>
        <v>165190</v>
      </c>
      <c r="C4237" s="19" t="s">
        <v>4185</v>
      </c>
      <c r="D4237" s="19" t="s">
        <v>19664</v>
      </c>
      <c r="E4237" s="19" t="s">
        <v>32366</v>
      </c>
      <c r="F4237" s="19" t="s">
        <v>35989</v>
      </c>
      <c r="G4237" s="18" t="str">
        <f>"50511"</f>
        <v>50511</v>
      </c>
      <c r="H4237" s="19" t="s">
        <v>36275</v>
      </c>
      <c r="I4237" s="20">
        <v>17.239999999999998</v>
      </c>
      <c r="J4237" s="44" t="s">
        <v>8</v>
      </c>
      <c r="K4237" s="23" t="s">
        <v>8</v>
      </c>
      <c r="L4237" s="23" t="s">
        <v>8</v>
      </c>
      <c r="M4237" s="23" t="s">
        <v>8</v>
      </c>
    </row>
    <row r="4238" spans="1:13" s="21" customFormat="1" x14ac:dyDescent="0.25">
      <c r="A4238" s="22" t="s">
        <v>8</v>
      </c>
      <c r="B4238" s="18" t="str">
        <f>"165191"</f>
        <v>165191</v>
      </c>
      <c r="C4238" s="19" t="s">
        <v>4186</v>
      </c>
      <c r="D4238" s="19" t="s">
        <v>19665</v>
      </c>
      <c r="E4238" s="19" t="s">
        <v>32362</v>
      </c>
      <c r="F4238" s="19" t="s">
        <v>35989</v>
      </c>
      <c r="G4238" s="18" t="str">
        <f>"51566"</f>
        <v>51566</v>
      </c>
      <c r="H4238" s="19" t="s">
        <v>30833</v>
      </c>
      <c r="I4238" s="20">
        <v>18.614000000000001</v>
      </c>
      <c r="J4238" s="44" t="s">
        <v>8</v>
      </c>
      <c r="K4238" s="23" t="s">
        <v>8</v>
      </c>
      <c r="L4238" s="23" t="s">
        <v>8</v>
      </c>
      <c r="M4238" s="23" t="s">
        <v>8</v>
      </c>
    </row>
    <row r="4239" spans="1:13" s="21" customFormat="1" x14ac:dyDescent="0.25">
      <c r="A4239" s="22" t="s">
        <v>8</v>
      </c>
      <c r="B4239" s="18" t="str">
        <f>"165192"</f>
        <v>165192</v>
      </c>
      <c r="C4239" s="19" t="s">
        <v>4187</v>
      </c>
      <c r="D4239" s="19" t="s">
        <v>19666</v>
      </c>
      <c r="E4239" s="19" t="s">
        <v>32367</v>
      </c>
      <c r="F4239" s="19" t="s">
        <v>35989</v>
      </c>
      <c r="G4239" s="18" t="str">
        <f>"51334"</f>
        <v>51334</v>
      </c>
      <c r="H4239" s="19" t="s">
        <v>36276</v>
      </c>
      <c r="I4239" s="20">
        <v>19.506</v>
      </c>
      <c r="J4239" s="44" t="s">
        <v>8</v>
      </c>
      <c r="K4239" s="23" t="s">
        <v>8</v>
      </c>
      <c r="L4239" s="23" t="s">
        <v>8</v>
      </c>
      <c r="M4239" s="23" t="s">
        <v>8</v>
      </c>
    </row>
    <row r="4240" spans="1:13" s="21" customFormat="1" x14ac:dyDescent="0.25">
      <c r="A4240" s="22" t="s">
        <v>8</v>
      </c>
      <c r="B4240" s="18" t="str">
        <f>"165193"</f>
        <v>165193</v>
      </c>
      <c r="C4240" s="19" t="s">
        <v>4188</v>
      </c>
      <c r="D4240" s="19" t="s">
        <v>19667</v>
      </c>
      <c r="E4240" s="19" t="s">
        <v>32368</v>
      </c>
      <c r="F4240" s="19" t="s">
        <v>35989</v>
      </c>
      <c r="G4240" s="18" t="str">
        <f>"51529"</f>
        <v>51529</v>
      </c>
      <c r="H4240" s="19" t="s">
        <v>31020</v>
      </c>
      <c r="I4240" s="20">
        <v>19.885000000000002</v>
      </c>
      <c r="J4240" s="44" t="s">
        <v>8</v>
      </c>
      <c r="K4240" s="23" t="s">
        <v>8</v>
      </c>
      <c r="L4240" s="23" t="s">
        <v>8</v>
      </c>
      <c r="M4240" s="23" t="s">
        <v>8</v>
      </c>
    </row>
    <row r="4241" spans="1:13" s="21" customFormat="1" x14ac:dyDescent="0.25">
      <c r="A4241" s="22" t="s">
        <v>8</v>
      </c>
      <c r="B4241" s="18" t="str">
        <f>"165196"</f>
        <v>165196</v>
      </c>
      <c r="C4241" s="19" t="s">
        <v>2625</v>
      </c>
      <c r="D4241" s="19" t="s">
        <v>19668</v>
      </c>
      <c r="E4241" s="19" t="s">
        <v>32369</v>
      </c>
      <c r="F4241" s="19" t="s">
        <v>35989</v>
      </c>
      <c r="G4241" s="18" t="str">
        <f>"50530"</f>
        <v>50530</v>
      </c>
      <c r="H4241" s="19" t="s">
        <v>33048</v>
      </c>
      <c r="I4241" s="20">
        <v>18.823</v>
      </c>
      <c r="J4241" s="44" t="s">
        <v>8</v>
      </c>
      <c r="K4241" s="23" t="s">
        <v>8</v>
      </c>
      <c r="L4241" s="23" t="s">
        <v>8</v>
      </c>
      <c r="M4241" s="23" t="s">
        <v>8</v>
      </c>
    </row>
    <row r="4242" spans="1:13" s="21" customFormat="1" x14ac:dyDescent="0.25">
      <c r="A4242" s="22" t="s">
        <v>8</v>
      </c>
      <c r="B4242" s="18" t="str">
        <f>"165197"</f>
        <v>165197</v>
      </c>
      <c r="C4242" s="19" t="s">
        <v>4189</v>
      </c>
      <c r="D4242" s="19" t="s">
        <v>19669</v>
      </c>
      <c r="E4242" s="19" t="s">
        <v>32370</v>
      </c>
      <c r="F4242" s="19" t="s">
        <v>35989</v>
      </c>
      <c r="G4242" s="18" t="str">
        <f>"50613"</f>
        <v>50613</v>
      </c>
      <c r="H4242" s="19" t="s">
        <v>36268</v>
      </c>
      <c r="I4242" s="20">
        <v>17.242000000000001</v>
      </c>
      <c r="J4242" s="44" t="s">
        <v>8</v>
      </c>
      <c r="K4242" s="23" t="s">
        <v>8</v>
      </c>
      <c r="L4242" s="23" t="s">
        <v>8</v>
      </c>
      <c r="M4242" s="23" t="s">
        <v>8</v>
      </c>
    </row>
    <row r="4243" spans="1:13" s="21" customFormat="1" x14ac:dyDescent="0.25">
      <c r="A4243" s="22" t="s">
        <v>8</v>
      </c>
      <c r="B4243" s="18" t="str">
        <f>"165198"</f>
        <v>165198</v>
      </c>
      <c r="C4243" s="19" t="s">
        <v>4190</v>
      </c>
      <c r="D4243" s="19" t="s">
        <v>19670</v>
      </c>
      <c r="E4243" s="19" t="s">
        <v>32342</v>
      </c>
      <c r="F4243" s="19" t="s">
        <v>35989</v>
      </c>
      <c r="G4243" s="18" t="str">
        <f>"52245"</f>
        <v>52245</v>
      </c>
      <c r="H4243" s="19" t="s">
        <v>36072</v>
      </c>
      <c r="I4243" s="20">
        <v>17.843</v>
      </c>
      <c r="J4243" s="44" t="s">
        <v>8</v>
      </c>
      <c r="K4243" s="23" t="s">
        <v>8</v>
      </c>
      <c r="L4243" s="23" t="s">
        <v>8</v>
      </c>
      <c r="M4243" s="23" t="s">
        <v>8</v>
      </c>
    </row>
    <row r="4244" spans="1:13" s="21" customFormat="1" x14ac:dyDescent="0.25">
      <c r="A4244" s="22" t="s">
        <v>8</v>
      </c>
      <c r="B4244" s="18" t="str">
        <f>"165199"</f>
        <v>165199</v>
      </c>
      <c r="C4244" s="19" t="s">
        <v>4191</v>
      </c>
      <c r="D4244" s="19" t="s">
        <v>19671</v>
      </c>
      <c r="E4244" s="19" t="s">
        <v>32371</v>
      </c>
      <c r="F4244" s="19" t="s">
        <v>35989</v>
      </c>
      <c r="G4244" s="18" t="str">
        <f>"50801"</f>
        <v>50801</v>
      </c>
      <c r="H4244" s="19" t="s">
        <v>33554</v>
      </c>
      <c r="I4244" s="20">
        <v>18.074000000000002</v>
      </c>
      <c r="J4244" s="44" t="s">
        <v>8</v>
      </c>
      <c r="K4244" s="23" t="s">
        <v>8</v>
      </c>
      <c r="L4244" s="23" t="s">
        <v>8</v>
      </c>
      <c r="M4244" s="23" t="s">
        <v>8</v>
      </c>
    </row>
    <row r="4245" spans="1:13" s="21" customFormat="1" x14ac:dyDescent="0.25">
      <c r="A4245" s="22" t="s">
        <v>8</v>
      </c>
      <c r="B4245" s="18" t="str">
        <f>"165200"</f>
        <v>165200</v>
      </c>
      <c r="C4245" s="19" t="s">
        <v>4192</v>
      </c>
      <c r="D4245" s="19" t="s">
        <v>19672</v>
      </c>
      <c r="E4245" s="19" t="s">
        <v>32372</v>
      </c>
      <c r="F4245" s="19" t="s">
        <v>35989</v>
      </c>
      <c r="G4245" s="18" t="str">
        <f>"51503"</f>
        <v>51503</v>
      </c>
      <c r="H4245" s="19" t="s">
        <v>36277</v>
      </c>
      <c r="I4245" s="20">
        <v>21.065000000000001</v>
      </c>
      <c r="J4245" s="44" t="s">
        <v>8</v>
      </c>
      <c r="K4245" s="23" t="s">
        <v>8</v>
      </c>
      <c r="L4245" s="23" t="s">
        <v>8</v>
      </c>
      <c r="M4245" s="23" t="s">
        <v>8</v>
      </c>
    </row>
    <row r="4246" spans="1:13" s="21" customFormat="1" x14ac:dyDescent="0.25">
      <c r="A4246" s="22" t="s">
        <v>8</v>
      </c>
      <c r="B4246" s="18" t="str">
        <f>"165202"</f>
        <v>165202</v>
      </c>
      <c r="C4246" s="19" t="s">
        <v>4193</v>
      </c>
      <c r="D4246" s="19" t="s">
        <v>19673</v>
      </c>
      <c r="E4246" s="19" t="s">
        <v>32339</v>
      </c>
      <c r="F4246" s="19" t="s">
        <v>35989</v>
      </c>
      <c r="G4246" s="18" t="str">
        <f>"50316"</f>
        <v>50316</v>
      </c>
      <c r="H4246" s="19" t="s">
        <v>36062</v>
      </c>
      <c r="I4246" s="20">
        <v>19.309999999999999</v>
      </c>
      <c r="J4246" s="44" t="s">
        <v>8</v>
      </c>
      <c r="K4246" s="23" t="s">
        <v>8</v>
      </c>
      <c r="L4246" s="23" t="s">
        <v>8</v>
      </c>
      <c r="M4246" s="23" t="s">
        <v>8</v>
      </c>
    </row>
    <row r="4247" spans="1:13" s="21" customFormat="1" x14ac:dyDescent="0.25">
      <c r="A4247" s="22" t="s">
        <v>8</v>
      </c>
      <c r="B4247" s="18" t="str">
        <f>"165203"</f>
        <v>165203</v>
      </c>
      <c r="C4247" s="19" t="s">
        <v>4194</v>
      </c>
      <c r="D4247" s="19" t="s">
        <v>19674</v>
      </c>
      <c r="E4247" s="19" t="s">
        <v>32373</v>
      </c>
      <c r="F4247" s="19" t="s">
        <v>35989</v>
      </c>
      <c r="G4247" s="18" t="str">
        <f>"51546"</f>
        <v>51546</v>
      </c>
      <c r="H4247" s="19" t="s">
        <v>31020</v>
      </c>
      <c r="I4247" s="20">
        <v>18.291</v>
      </c>
      <c r="J4247" s="44" t="s">
        <v>8</v>
      </c>
      <c r="K4247" s="23" t="s">
        <v>8</v>
      </c>
      <c r="L4247" s="23" t="s">
        <v>8</v>
      </c>
      <c r="M4247" s="23" t="s">
        <v>8</v>
      </c>
    </row>
    <row r="4248" spans="1:13" s="21" customFormat="1" x14ac:dyDescent="0.25">
      <c r="A4248" s="22" t="s">
        <v>8</v>
      </c>
      <c r="B4248" s="18" t="str">
        <f>"165204"</f>
        <v>165204</v>
      </c>
      <c r="C4248" s="19" t="s">
        <v>4195</v>
      </c>
      <c r="D4248" s="19" t="s">
        <v>19675</v>
      </c>
      <c r="E4248" s="19" t="s">
        <v>32374</v>
      </c>
      <c r="F4248" s="19" t="s">
        <v>35989</v>
      </c>
      <c r="G4248" s="18" t="str">
        <f>"52565"</f>
        <v>52565</v>
      </c>
      <c r="H4248" s="19" t="s">
        <v>30993</v>
      </c>
      <c r="I4248" s="20">
        <v>19.076000000000001</v>
      </c>
      <c r="J4248" s="44" t="s">
        <v>8</v>
      </c>
      <c r="K4248" s="23" t="s">
        <v>8</v>
      </c>
      <c r="L4248" s="23" t="s">
        <v>8</v>
      </c>
      <c r="M4248" s="23" t="s">
        <v>8</v>
      </c>
    </row>
    <row r="4249" spans="1:13" s="21" customFormat="1" x14ac:dyDescent="0.25">
      <c r="A4249" s="22" t="s">
        <v>8</v>
      </c>
      <c r="B4249" s="18" t="str">
        <f>"165205"</f>
        <v>165205</v>
      </c>
      <c r="C4249" s="19" t="s">
        <v>4196</v>
      </c>
      <c r="D4249" s="19" t="s">
        <v>19676</v>
      </c>
      <c r="E4249" s="19" t="s">
        <v>32375</v>
      </c>
      <c r="F4249" s="19" t="s">
        <v>35989</v>
      </c>
      <c r="G4249" s="18" t="str">
        <f>"51031"</f>
        <v>51031</v>
      </c>
      <c r="H4249" s="19" t="s">
        <v>31465</v>
      </c>
      <c r="I4249" s="20">
        <v>21.664000000000001</v>
      </c>
      <c r="J4249" s="44" t="s">
        <v>8</v>
      </c>
      <c r="K4249" s="23" t="s">
        <v>8</v>
      </c>
      <c r="L4249" s="23" t="s">
        <v>8</v>
      </c>
      <c r="M4249" s="23" t="s">
        <v>8</v>
      </c>
    </row>
    <row r="4250" spans="1:13" s="21" customFormat="1" x14ac:dyDescent="0.25">
      <c r="A4250" s="22" t="s">
        <v>8</v>
      </c>
      <c r="B4250" s="18" t="str">
        <f>"165206"</f>
        <v>165206</v>
      </c>
      <c r="C4250" s="19" t="s">
        <v>4197</v>
      </c>
      <c r="D4250" s="19" t="s">
        <v>19677</v>
      </c>
      <c r="E4250" s="19" t="s">
        <v>32376</v>
      </c>
      <c r="F4250" s="19" t="s">
        <v>35989</v>
      </c>
      <c r="G4250" s="18" t="str">
        <f>"51445"</f>
        <v>51445</v>
      </c>
      <c r="H4250" s="19" t="s">
        <v>36278</v>
      </c>
      <c r="I4250" s="20">
        <v>18.728000000000002</v>
      </c>
      <c r="J4250" s="44" t="s">
        <v>8</v>
      </c>
      <c r="K4250" s="23" t="s">
        <v>8</v>
      </c>
      <c r="L4250" s="23" t="s">
        <v>8</v>
      </c>
      <c r="M4250" s="23" t="s">
        <v>8</v>
      </c>
    </row>
    <row r="4251" spans="1:13" s="21" customFormat="1" x14ac:dyDescent="0.25">
      <c r="A4251" s="22" t="s">
        <v>8</v>
      </c>
      <c r="B4251" s="18" t="str">
        <f>"165207"</f>
        <v>165207</v>
      </c>
      <c r="C4251" s="19" t="s">
        <v>4198</v>
      </c>
      <c r="D4251" s="19" t="s">
        <v>19678</v>
      </c>
      <c r="E4251" s="19" t="s">
        <v>32377</v>
      </c>
      <c r="F4251" s="19" t="s">
        <v>35989</v>
      </c>
      <c r="G4251" s="18" t="str">
        <f>"51025"</f>
        <v>51025</v>
      </c>
      <c r="H4251" s="19" t="s">
        <v>36278</v>
      </c>
      <c r="I4251" s="20">
        <v>20.972999999999999</v>
      </c>
      <c r="J4251" s="44" t="s">
        <v>8</v>
      </c>
      <c r="K4251" s="23" t="s">
        <v>8</v>
      </c>
      <c r="L4251" s="23" t="s">
        <v>8</v>
      </c>
      <c r="M4251" s="23" t="s">
        <v>8</v>
      </c>
    </row>
    <row r="4252" spans="1:13" s="21" customFormat="1" x14ac:dyDescent="0.25">
      <c r="A4252" s="22" t="s">
        <v>8</v>
      </c>
      <c r="B4252" s="18" t="str">
        <f>"165208"</f>
        <v>165208</v>
      </c>
      <c r="C4252" s="19" t="s">
        <v>4199</v>
      </c>
      <c r="D4252" s="19" t="s">
        <v>19679</v>
      </c>
      <c r="E4252" s="19" t="s">
        <v>32378</v>
      </c>
      <c r="F4252" s="19" t="s">
        <v>35989</v>
      </c>
      <c r="G4252" s="18" t="str">
        <f>"50109"</f>
        <v>50109</v>
      </c>
      <c r="H4252" s="19" t="s">
        <v>31723</v>
      </c>
      <c r="I4252" s="20">
        <v>20.527999999999999</v>
      </c>
      <c r="J4252" s="44" t="s">
        <v>8</v>
      </c>
      <c r="K4252" s="23" t="s">
        <v>8</v>
      </c>
      <c r="L4252" s="23" t="s">
        <v>8</v>
      </c>
      <c r="M4252" s="23" t="s">
        <v>8</v>
      </c>
    </row>
    <row r="4253" spans="1:13" s="21" customFormat="1" x14ac:dyDescent="0.25">
      <c r="A4253" s="22" t="s">
        <v>8</v>
      </c>
      <c r="B4253" s="18" t="str">
        <f>"165209"</f>
        <v>165209</v>
      </c>
      <c r="C4253" s="19" t="s">
        <v>4200</v>
      </c>
      <c r="D4253" s="19" t="s">
        <v>19680</v>
      </c>
      <c r="E4253" s="19" t="s">
        <v>32379</v>
      </c>
      <c r="F4253" s="19" t="s">
        <v>35989</v>
      </c>
      <c r="G4253" s="18" t="str">
        <f>"50158"</f>
        <v>50158</v>
      </c>
      <c r="H4253" s="19" t="s">
        <v>31063</v>
      </c>
      <c r="I4253" s="20">
        <v>16.475999999999999</v>
      </c>
      <c r="J4253" s="44" t="s">
        <v>8</v>
      </c>
      <c r="K4253" s="23" t="s">
        <v>8</v>
      </c>
      <c r="L4253" s="23" t="s">
        <v>8</v>
      </c>
      <c r="M4253" s="23" t="s">
        <v>8</v>
      </c>
    </row>
    <row r="4254" spans="1:13" s="21" customFormat="1" x14ac:dyDescent="0.25">
      <c r="A4254" s="22" t="s">
        <v>8</v>
      </c>
      <c r="B4254" s="18" t="str">
        <f>"165210"</f>
        <v>165210</v>
      </c>
      <c r="C4254" s="19" t="s">
        <v>4201</v>
      </c>
      <c r="D4254" s="19" t="s">
        <v>19681</v>
      </c>
      <c r="E4254" s="19" t="s">
        <v>32380</v>
      </c>
      <c r="F4254" s="19" t="s">
        <v>35989</v>
      </c>
      <c r="G4254" s="18" t="str">
        <f>"50472"</f>
        <v>50472</v>
      </c>
      <c r="H4254" s="19" t="s">
        <v>32259</v>
      </c>
      <c r="I4254" s="20">
        <v>18.341999999999999</v>
      </c>
      <c r="J4254" s="44" t="s">
        <v>8</v>
      </c>
      <c r="K4254" s="23" t="s">
        <v>8</v>
      </c>
      <c r="L4254" s="23" t="s">
        <v>8</v>
      </c>
      <c r="M4254" s="23" t="s">
        <v>8</v>
      </c>
    </row>
    <row r="4255" spans="1:13" s="21" customFormat="1" x14ac:dyDescent="0.25">
      <c r="A4255" s="22" t="s">
        <v>8</v>
      </c>
      <c r="B4255" s="18" t="str">
        <f>"165211"</f>
        <v>165211</v>
      </c>
      <c r="C4255" s="19" t="s">
        <v>4202</v>
      </c>
      <c r="D4255" s="19" t="s">
        <v>19682</v>
      </c>
      <c r="E4255" s="19" t="s">
        <v>32381</v>
      </c>
      <c r="F4255" s="19" t="s">
        <v>35989</v>
      </c>
      <c r="G4255" s="18" t="str">
        <f>"52501"</f>
        <v>52501</v>
      </c>
      <c r="H4255" s="19" t="s">
        <v>32506</v>
      </c>
      <c r="I4255" s="20">
        <v>17.577999999999999</v>
      </c>
      <c r="J4255" s="44" t="s">
        <v>8</v>
      </c>
      <c r="K4255" s="23" t="s">
        <v>8</v>
      </c>
      <c r="L4255" s="23" t="s">
        <v>8</v>
      </c>
      <c r="M4255" s="23" t="s">
        <v>8</v>
      </c>
    </row>
    <row r="4256" spans="1:13" s="21" customFormat="1" x14ac:dyDescent="0.25">
      <c r="A4256" s="22" t="s">
        <v>8</v>
      </c>
      <c r="B4256" s="18" t="str">
        <f>"165213"</f>
        <v>165213</v>
      </c>
      <c r="C4256" s="19" t="s">
        <v>4203</v>
      </c>
      <c r="D4256" s="19" t="s">
        <v>19683</v>
      </c>
      <c r="E4256" s="19" t="s">
        <v>32382</v>
      </c>
      <c r="F4256" s="19" t="s">
        <v>35989</v>
      </c>
      <c r="G4256" s="18" t="str">
        <f>"50436"</f>
        <v>50436</v>
      </c>
      <c r="H4256" s="19" t="s">
        <v>36233</v>
      </c>
      <c r="I4256" s="20">
        <v>18.960999999999999</v>
      </c>
      <c r="J4256" s="44" t="s">
        <v>8</v>
      </c>
      <c r="K4256" s="23" t="s">
        <v>8</v>
      </c>
      <c r="L4256" s="23" t="s">
        <v>8</v>
      </c>
      <c r="M4256" s="23" t="s">
        <v>8</v>
      </c>
    </row>
    <row r="4257" spans="1:13" s="21" customFormat="1" x14ac:dyDescent="0.25">
      <c r="A4257" s="22" t="s">
        <v>8</v>
      </c>
      <c r="B4257" s="18" t="str">
        <f>"165214"</f>
        <v>165214</v>
      </c>
      <c r="C4257" s="19" t="s">
        <v>4204</v>
      </c>
      <c r="D4257" s="19" t="s">
        <v>19684</v>
      </c>
      <c r="E4257" s="19" t="s">
        <v>32383</v>
      </c>
      <c r="F4257" s="19" t="s">
        <v>35989</v>
      </c>
      <c r="G4257" s="18" t="str">
        <f>"52241"</f>
        <v>52241</v>
      </c>
      <c r="H4257" s="19" t="s">
        <v>36072</v>
      </c>
      <c r="I4257" s="20">
        <v>18.439</v>
      </c>
      <c r="J4257" s="44" t="s">
        <v>8</v>
      </c>
      <c r="K4257" s="23" t="s">
        <v>8</v>
      </c>
      <c r="L4257" s="23" t="s">
        <v>8</v>
      </c>
      <c r="M4257" s="23" t="s">
        <v>8</v>
      </c>
    </row>
    <row r="4258" spans="1:13" s="21" customFormat="1" x14ac:dyDescent="0.25">
      <c r="A4258" s="22" t="s">
        <v>8</v>
      </c>
      <c r="B4258" s="18" t="str">
        <f>"165215"</f>
        <v>165215</v>
      </c>
      <c r="C4258" s="19" t="s">
        <v>4205</v>
      </c>
      <c r="D4258" s="19" t="s">
        <v>19685</v>
      </c>
      <c r="E4258" s="19" t="s">
        <v>32361</v>
      </c>
      <c r="F4258" s="19" t="s">
        <v>35989</v>
      </c>
      <c r="G4258" s="18" t="str">
        <f>"51246"</f>
        <v>51246</v>
      </c>
      <c r="H4258" s="19" t="s">
        <v>36274</v>
      </c>
      <c r="I4258" s="20">
        <v>19.751000000000001</v>
      </c>
      <c r="J4258" s="44" t="s">
        <v>8</v>
      </c>
      <c r="K4258" s="23" t="s">
        <v>8</v>
      </c>
      <c r="L4258" s="23" t="s">
        <v>8</v>
      </c>
      <c r="M4258" s="23" t="s">
        <v>8</v>
      </c>
    </row>
    <row r="4259" spans="1:13" s="21" customFormat="1" x14ac:dyDescent="0.25">
      <c r="A4259" s="22" t="s">
        <v>8</v>
      </c>
      <c r="B4259" s="18" t="str">
        <f>"165216"</f>
        <v>165216</v>
      </c>
      <c r="C4259" s="19" t="s">
        <v>4206</v>
      </c>
      <c r="D4259" s="19" t="s">
        <v>19686</v>
      </c>
      <c r="E4259" s="19" t="s">
        <v>32384</v>
      </c>
      <c r="F4259" s="19" t="s">
        <v>35989</v>
      </c>
      <c r="G4259" s="18" t="str">
        <f>"50219"</f>
        <v>50219</v>
      </c>
      <c r="H4259" s="19" t="s">
        <v>30850</v>
      </c>
      <c r="I4259" s="20">
        <v>16.21</v>
      </c>
      <c r="J4259" s="44" t="s">
        <v>8</v>
      </c>
      <c r="K4259" s="23" t="s">
        <v>8</v>
      </c>
      <c r="L4259" s="23" t="s">
        <v>8</v>
      </c>
      <c r="M4259" s="23" t="s">
        <v>8</v>
      </c>
    </row>
    <row r="4260" spans="1:13" s="21" customFormat="1" x14ac:dyDescent="0.25">
      <c r="A4260" s="22" t="s">
        <v>8</v>
      </c>
      <c r="B4260" s="18" t="str">
        <f>"165217"</f>
        <v>165217</v>
      </c>
      <c r="C4260" s="19" t="s">
        <v>4207</v>
      </c>
      <c r="D4260" s="19" t="s">
        <v>19687</v>
      </c>
      <c r="E4260" s="19" t="s">
        <v>32385</v>
      </c>
      <c r="F4260" s="19" t="s">
        <v>35989</v>
      </c>
      <c r="G4260" s="18" t="str">
        <f>"50020"</f>
        <v>50020</v>
      </c>
      <c r="H4260" s="19" t="s">
        <v>36246</v>
      </c>
      <c r="I4260" s="20">
        <v>18.067</v>
      </c>
      <c r="J4260" s="44" t="s">
        <v>8</v>
      </c>
      <c r="K4260" s="23" t="s">
        <v>8</v>
      </c>
      <c r="L4260" s="23" t="s">
        <v>8</v>
      </c>
      <c r="M4260" s="23" t="s">
        <v>8</v>
      </c>
    </row>
    <row r="4261" spans="1:13" s="21" customFormat="1" x14ac:dyDescent="0.25">
      <c r="A4261" s="22" t="s">
        <v>8</v>
      </c>
      <c r="B4261" s="18" t="str">
        <f>"165218"</f>
        <v>165218</v>
      </c>
      <c r="C4261" s="19" t="s">
        <v>4208</v>
      </c>
      <c r="D4261" s="19" t="s">
        <v>19688</v>
      </c>
      <c r="E4261" s="19" t="s">
        <v>31081</v>
      </c>
      <c r="F4261" s="19" t="s">
        <v>35989</v>
      </c>
      <c r="G4261" s="18" t="str">
        <f>"52732"</f>
        <v>52732</v>
      </c>
      <c r="H4261" s="19" t="s">
        <v>31081</v>
      </c>
      <c r="I4261" s="20">
        <v>18.007999999999999</v>
      </c>
      <c r="J4261" s="44" t="s">
        <v>8</v>
      </c>
      <c r="K4261" s="23" t="s">
        <v>8</v>
      </c>
      <c r="L4261" s="23" t="s">
        <v>8</v>
      </c>
      <c r="M4261" s="23" t="s">
        <v>8</v>
      </c>
    </row>
    <row r="4262" spans="1:13" s="21" customFormat="1" x14ac:dyDescent="0.25">
      <c r="A4262" s="22" t="s">
        <v>8</v>
      </c>
      <c r="B4262" s="18" t="str">
        <f>"165219"</f>
        <v>165219</v>
      </c>
      <c r="C4262" s="19" t="s">
        <v>4209</v>
      </c>
      <c r="D4262" s="19" t="s">
        <v>19689</v>
      </c>
      <c r="E4262" s="19" t="s">
        <v>32386</v>
      </c>
      <c r="F4262" s="19" t="s">
        <v>35989</v>
      </c>
      <c r="G4262" s="18" t="str">
        <f>"50554"</f>
        <v>50554</v>
      </c>
      <c r="H4262" s="19" t="s">
        <v>30985</v>
      </c>
      <c r="I4262" s="20">
        <v>18.856999999999999</v>
      </c>
      <c r="J4262" s="44" t="s">
        <v>8</v>
      </c>
      <c r="K4262" s="23" t="s">
        <v>8</v>
      </c>
      <c r="L4262" s="23" t="s">
        <v>8</v>
      </c>
      <c r="M4262" s="23" t="s">
        <v>8</v>
      </c>
    </row>
    <row r="4263" spans="1:13" s="21" customFormat="1" x14ac:dyDescent="0.25">
      <c r="A4263" s="22" t="s">
        <v>8</v>
      </c>
      <c r="B4263" s="18" t="str">
        <f>"165220"</f>
        <v>165220</v>
      </c>
      <c r="C4263" s="19" t="s">
        <v>4210</v>
      </c>
      <c r="D4263" s="19" t="s">
        <v>19690</v>
      </c>
      <c r="E4263" s="19" t="s">
        <v>32387</v>
      </c>
      <c r="F4263" s="19" t="s">
        <v>35989</v>
      </c>
      <c r="G4263" s="18" t="str">
        <f>"52637"</f>
        <v>52637</v>
      </c>
      <c r="H4263" s="19" t="s">
        <v>32339</v>
      </c>
      <c r="I4263" s="20">
        <v>19.039000000000001</v>
      </c>
      <c r="J4263" s="44" t="s">
        <v>8</v>
      </c>
      <c r="K4263" s="23" t="s">
        <v>8</v>
      </c>
      <c r="L4263" s="23" t="s">
        <v>8</v>
      </c>
      <c r="M4263" s="23" t="s">
        <v>8</v>
      </c>
    </row>
    <row r="4264" spans="1:13" s="21" customFormat="1" x14ac:dyDescent="0.25">
      <c r="A4264" s="22" t="s">
        <v>8</v>
      </c>
      <c r="B4264" s="18" t="str">
        <f>"165222"</f>
        <v>165222</v>
      </c>
      <c r="C4264" s="19" t="s">
        <v>4211</v>
      </c>
      <c r="D4264" s="19" t="s">
        <v>19691</v>
      </c>
      <c r="E4264" s="19" t="s">
        <v>32258</v>
      </c>
      <c r="F4264" s="19" t="s">
        <v>35989</v>
      </c>
      <c r="G4264" s="18" t="str">
        <f>"50060"</f>
        <v>50060</v>
      </c>
      <c r="H4264" s="19" t="s">
        <v>33280</v>
      </c>
      <c r="I4264" s="20">
        <v>20</v>
      </c>
      <c r="J4264" s="44" t="s">
        <v>8</v>
      </c>
      <c r="K4264" s="23" t="s">
        <v>8</v>
      </c>
      <c r="L4264" s="23" t="s">
        <v>8</v>
      </c>
      <c r="M4264" s="23" t="s">
        <v>8</v>
      </c>
    </row>
    <row r="4265" spans="1:13" s="21" customFormat="1" x14ac:dyDescent="0.25">
      <c r="A4265" s="22" t="s">
        <v>8</v>
      </c>
      <c r="B4265" s="18" t="str">
        <f>"165223"</f>
        <v>165223</v>
      </c>
      <c r="C4265" s="19" t="s">
        <v>4212</v>
      </c>
      <c r="D4265" s="19" t="s">
        <v>19692</v>
      </c>
      <c r="E4265" s="19" t="s">
        <v>32381</v>
      </c>
      <c r="F4265" s="19" t="s">
        <v>35989</v>
      </c>
      <c r="G4265" s="18" t="str">
        <f>"52501"</f>
        <v>52501</v>
      </c>
      <c r="H4265" s="19" t="s">
        <v>32506</v>
      </c>
      <c r="I4265" s="20">
        <v>18.414000000000001</v>
      </c>
      <c r="J4265" s="44" t="s">
        <v>8</v>
      </c>
      <c r="K4265" s="23" t="s">
        <v>8</v>
      </c>
      <c r="L4265" s="23" t="s">
        <v>8</v>
      </c>
      <c r="M4265" s="23" t="s">
        <v>8</v>
      </c>
    </row>
    <row r="4266" spans="1:13" s="21" customFormat="1" x14ac:dyDescent="0.25">
      <c r="A4266" s="22" t="s">
        <v>8</v>
      </c>
      <c r="B4266" s="18" t="str">
        <f>"165224"</f>
        <v>165224</v>
      </c>
      <c r="C4266" s="19" t="s">
        <v>4213</v>
      </c>
      <c r="D4266" s="19" t="s">
        <v>19693</v>
      </c>
      <c r="E4266" s="19" t="s">
        <v>32388</v>
      </c>
      <c r="F4266" s="19" t="s">
        <v>35989</v>
      </c>
      <c r="G4266" s="18" t="str">
        <f>"50854"</f>
        <v>50854</v>
      </c>
      <c r="H4266" s="19" t="s">
        <v>32830</v>
      </c>
      <c r="I4266" s="20">
        <v>18.382000000000001</v>
      </c>
      <c r="J4266" s="44" t="s">
        <v>8</v>
      </c>
      <c r="K4266" s="23" t="s">
        <v>8</v>
      </c>
      <c r="L4266" s="23" t="s">
        <v>8</v>
      </c>
      <c r="M4266" s="23" t="s">
        <v>8</v>
      </c>
    </row>
    <row r="4267" spans="1:13" s="21" customFormat="1" x14ac:dyDescent="0.25">
      <c r="A4267" s="22" t="s">
        <v>8</v>
      </c>
      <c r="B4267" s="18" t="str">
        <f>"165225"</f>
        <v>165225</v>
      </c>
      <c r="C4267" s="19" t="s">
        <v>4214</v>
      </c>
      <c r="D4267" s="19" t="s">
        <v>19694</v>
      </c>
      <c r="E4267" s="19" t="s">
        <v>32280</v>
      </c>
      <c r="F4267" s="19" t="s">
        <v>35989</v>
      </c>
      <c r="G4267" s="18" t="str">
        <f>"52544"</f>
        <v>52544</v>
      </c>
      <c r="H4267" s="19" t="s">
        <v>36279</v>
      </c>
      <c r="I4267" s="20">
        <v>17.559999999999999</v>
      </c>
      <c r="J4267" s="44" t="s">
        <v>8</v>
      </c>
      <c r="K4267" s="23" t="s">
        <v>8</v>
      </c>
      <c r="L4267" s="23" t="s">
        <v>8</v>
      </c>
      <c r="M4267" s="23" t="s">
        <v>8</v>
      </c>
    </row>
    <row r="4268" spans="1:13" s="21" customFormat="1" x14ac:dyDescent="0.25">
      <c r="A4268" s="22" t="s">
        <v>8</v>
      </c>
      <c r="B4268" s="18" t="str">
        <f>"165226"</f>
        <v>165226</v>
      </c>
      <c r="C4268" s="19" t="s">
        <v>4215</v>
      </c>
      <c r="D4268" s="19" t="s">
        <v>19695</v>
      </c>
      <c r="E4268" s="19" t="s">
        <v>32389</v>
      </c>
      <c r="F4268" s="19" t="s">
        <v>35989</v>
      </c>
      <c r="G4268" s="18" t="str">
        <f>"50456"</f>
        <v>50456</v>
      </c>
      <c r="H4268" s="19" t="s">
        <v>36201</v>
      </c>
      <c r="I4268" s="20">
        <v>18.033000000000001</v>
      </c>
      <c r="J4268" s="44" t="s">
        <v>8</v>
      </c>
      <c r="K4268" s="23" t="s">
        <v>8</v>
      </c>
      <c r="L4268" s="23" t="s">
        <v>8</v>
      </c>
      <c r="M4268" s="23" t="s">
        <v>8</v>
      </c>
    </row>
    <row r="4269" spans="1:13" s="21" customFormat="1" x14ac:dyDescent="0.25">
      <c r="A4269" s="22" t="s">
        <v>8</v>
      </c>
      <c r="B4269" s="18" t="str">
        <f>"165227"</f>
        <v>165227</v>
      </c>
      <c r="C4269" s="19" t="s">
        <v>4216</v>
      </c>
      <c r="D4269" s="19" t="s">
        <v>19696</v>
      </c>
      <c r="E4269" s="19" t="s">
        <v>32336</v>
      </c>
      <c r="F4269" s="19" t="s">
        <v>35989</v>
      </c>
      <c r="G4269" s="18" t="str">
        <f>"52627"</f>
        <v>52627</v>
      </c>
      <c r="H4269" s="19" t="s">
        <v>33138</v>
      </c>
      <c r="I4269" s="20">
        <v>19.649999999999999</v>
      </c>
      <c r="J4269" s="44" t="s">
        <v>8</v>
      </c>
      <c r="K4269" s="23" t="s">
        <v>8</v>
      </c>
      <c r="L4269" s="23" t="s">
        <v>8</v>
      </c>
      <c r="M4269" s="23" t="s">
        <v>8</v>
      </c>
    </row>
    <row r="4270" spans="1:13" s="21" customFormat="1" x14ac:dyDescent="0.25">
      <c r="A4270" s="22" t="s">
        <v>8</v>
      </c>
      <c r="B4270" s="18" t="str">
        <f>"165228"</f>
        <v>165228</v>
      </c>
      <c r="C4270" s="19" t="s">
        <v>4217</v>
      </c>
      <c r="D4270" s="19" t="s">
        <v>19697</v>
      </c>
      <c r="E4270" s="19" t="s">
        <v>32343</v>
      </c>
      <c r="F4270" s="19" t="s">
        <v>35989</v>
      </c>
      <c r="G4270" s="18" t="str">
        <f>"52001"</f>
        <v>52001</v>
      </c>
      <c r="H4270" s="19" t="s">
        <v>32343</v>
      </c>
      <c r="I4270" s="20">
        <v>18.532</v>
      </c>
      <c r="J4270" s="44" t="s">
        <v>8</v>
      </c>
      <c r="K4270" s="23" t="s">
        <v>8</v>
      </c>
      <c r="L4270" s="23" t="s">
        <v>8</v>
      </c>
      <c r="M4270" s="23" t="s">
        <v>8</v>
      </c>
    </row>
    <row r="4271" spans="1:13" s="21" customFormat="1" x14ac:dyDescent="0.25">
      <c r="A4271" s="22" t="s">
        <v>8</v>
      </c>
      <c r="B4271" s="18" t="str">
        <f>"165230"</f>
        <v>165230</v>
      </c>
      <c r="C4271" s="19" t="s">
        <v>4218</v>
      </c>
      <c r="D4271" s="19" t="s">
        <v>19698</v>
      </c>
      <c r="E4271" s="19" t="s">
        <v>31143</v>
      </c>
      <c r="F4271" s="19" t="s">
        <v>35989</v>
      </c>
      <c r="G4271" s="18" t="str">
        <f>"51560"</f>
        <v>51560</v>
      </c>
      <c r="H4271" s="19" t="s">
        <v>36277</v>
      </c>
      <c r="I4271" s="20">
        <v>19.763000000000002</v>
      </c>
      <c r="J4271" s="44" t="s">
        <v>8</v>
      </c>
      <c r="K4271" s="23" t="s">
        <v>8</v>
      </c>
      <c r="L4271" s="23" t="s">
        <v>8</v>
      </c>
      <c r="M4271" s="23" t="s">
        <v>8</v>
      </c>
    </row>
    <row r="4272" spans="1:13" s="21" customFormat="1" x14ac:dyDescent="0.25">
      <c r="A4272" s="22" t="s">
        <v>8</v>
      </c>
      <c r="B4272" s="18" t="str">
        <f>"165231"</f>
        <v>165231</v>
      </c>
      <c r="C4272" s="19" t="s">
        <v>4219</v>
      </c>
      <c r="D4272" s="19" t="s">
        <v>19699</v>
      </c>
      <c r="E4272" s="19" t="s">
        <v>32334</v>
      </c>
      <c r="F4272" s="19" t="s">
        <v>35989</v>
      </c>
      <c r="G4272" s="18" t="str">
        <f>"51401"</f>
        <v>51401</v>
      </c>
      <c r="H4272" s="19" t="s">
        <v>32334</v>
      </c>
      <c r="I4272" s="20">
        <v>16.792000000000002</v>
      </c>
      <c r="J4272" s="44" t="s">
        <v>8</v>
      </c>
      <c r="K4272" s="23" t="s">
        <v>8</v>
      </c>
      <c r="L4272" s="23" t="s">
        <v>8</v>
      </c>
      <c r="M4272" s="23" t="s">
        <v>8</v>
      </c>
    </row>
    <row r="4273" spans="1:13" s="21" customFormat="1" x14ac:dyDescent="0.25">
      <c r="A4273" s="22" t="s">
        <v>8</v>
      </c>
      <c r="B4273" s="18" t="str">
        <f>"165232"</f>
        <v>165232</v>
      </c>
      <c r="C4273" s="19" t="s">
        <v>4220</v>
      </c>
      <c r="D4273" s="19" t="s">
        <v>19700</v>
      </c>
      <c r="E4273" s="19" t="s">
        <v>32390</v>
      </c>
      <c r="F4273" s="19" t="s">
        <v>35989</v>
      </c>
      <c r="G4273" s="18" t="str">
        <f>"50025"</f>
        <v>50025</v>
      </c>
      <c r="H4273" s="19" t="s">
        <v>32390</v>
      </c>
      <c r="I4273" s="20">
        <v>17.491</v>
      </c>
      <c r="J4273" s="44" t="s">
        <v>8</v>
      </c>
      <c r="K4273" s="23" t="s">
        <v>8</v>
      </c>
      <c r="L4273" s="23" t="s">
        <v>8</v>
      </c>
      <c r="M4273" s="23" t="s">
        <v>8</v>
      </c>
    </row>
    <row r="4274" spans="1:13" s="21" customFormat="1" x14ac:dyDescent="0.25">
      <c r="A4274" s="22" t="s">
        <v>8</v>
      </c>
      <c r="B4274" s="18" t="str">
        <f>"165233"</f>
        <v>165233</v>
      </c>
      <c r="C4274" s="19" t="s">
        <v>4221</v>
      </c>
      <c r="D4274" s="19" t="s">
        <v>19701</v>
      </c>
      <c r="E4274" s="19" t="s">
        <v>32391</v>
      </c>
      <c r="F4274" s="19" t="s">
        <v>35989</v>
      </c>
      <c r="G4274" s="18" t="str">
        <f>"50129"</f>
        <v>50129</v>
      </c>
      <c r="H4274" s="19" t="s">
        <v>32455</v>
      </c>
      <c r="I4274" s="20">
        <v>17.388999999999999</v>
      </c>
      <c r="J4274" s="44" t="s">
        <v>8</v>
      </c>
      <c r="K4274" s="23" t="s">
        <v>8</v>
      </c>
      <c r="L4274" s="23" t="s">
        <v>8</v>
      </c>
      <c r="M4274" s="23" t="s">
        <v>8</v>
      </c>
    </row>
    <row r="4275" spans="1:13" s="21" customFormat="1" x14ac:dyDescent="0.25">
      <c r="A4275" s="22" t="s">
        <v>8</v>
      </c>
      <c r="B4275" s="18" t="str">
        <f>"165234"</f>
        <v>165234</v>
      </c>
      <c r="C4275" s="19" t="s">
        <v>4222</v>
      </c>
      <c r="D4275" s="19" t="s">
        <v>19702</v>
      </c>
      <c r="E4275" s="19" t="s">
        <v>32392</v>
      </c>
      <c r="F4275" s="19" t="s">
        <v>35989</v>
      </c>
      <c r="G4275" s="18" t="str">
        <f>"52356"</f>
        <v>52356</v>
      </c>
      <c r="H4275" s="19" t="s">
        <v>31500</v>
      </c>
      <c r="I4275" s="20">
        <v>17.776</v>
      </c>
      <c r="J4275" s="44" t="s">
        <v>8</v>
      </c>
      <c r="K4275" s="23" t="s">
        <v>8</v>
      </c>
      <c r="L4275" s="23" t="s">
        <v>8</v>
      </c>
      <c r="M4275" s="23" t="s">
        <v>8</v>
      </c>
    </row>
    <row r="4276" spans="1:13" s="21" customFormat="1" x14ac:dyDescent="0.25">
      <c r="A4276" s="22" t="s">
        <v>8</v>
      </c>
      <c r="B4276" s="18" t="str">
        <f>"165235"</f>
        <v>165235</v>
      </c>
      <c r="C4276" s="19" t="s">
        <v>4223</v>
      </c>
      <c r="D4276" s="19" t="s">
        <v>19703</v>
      </c>
      <c r="E4276" s="19" t="s">
        <v>32393</v>
      </c>
      <c r="F4276" s="19" t="s">
        <v>35989</v>
      </c>
      <c r="G4276" s="18" t="str">
        <f>"50851"</f>
        <v>50851</v>
      </c>
      <c r="H4276" s="19" t="s">
        <v>31080</v>
      </c>
      <c r="I4276" s="20">
        <v>17.262</v>
      </c>
      <c r="J4276" s="44" t="s">
        <v>8</v>
      </c>
      <c r="K4276" s="23" t="s">
        <v>8</v>
      </c>
      <c r="L4276" s="23" t="s">
        <v>8</v>
      </c>
      <c r="M4276" s="23" t="s">
        <v>8</v>
      </c>
    </row>
    <row r="4277" spans="1:13" s="21" customFormat="1" x14ac:dyDescent="0.25">
      <c r="A4277" s="22" t="s">
        <v>8</v>
      </c>
      <c r="B4277" s="18" t="str">
        <f>"165236"</f>
        <v>165236</v>
      </c>
      <c r="C4277" s="19" t="s">
        <v>4224</v>
      </c>
      <c r="D4277" s="19" t="s">
        <v>19704</v>
      </c>
      <c r="E4277" s="19" t="s">
        <v>32394</v>
      </c>
      <c r="F4277" s="19" t="s">
        <v>35989</v>
      </c>
      <c r="G4277" s="18" t="str">
        <f>"50563"</f>
        <v>50563</v>
      </c>
      <c r="H4277" s="19" t="s">
        <v>31743</v>
      </c>
      <c r="I4277" s="20">
        <v>17.728000000000002</v>
      </c>
      <c r="J4277" s="44" t="s">
        <v>8</v>
      </c>
      <c r="K4277" s="23" t="s">
        <v>8</v>
      </c>
      <c r="L4277" s="23" t="s">
        <v>8</v>
      </c>
      <c r="M4277" s="23" t="s">
        <v>8</v>
      </c>
    </row>
    <row r="4278" spans="1:13" s="21" customFormat="1" x14ac:dyDescent="0.25">
      <c r="A4278" s="22" t="s">
        <v>8</v>
      </c>
      <c r="B4278" s="18" t="str">
        <f>"165237"</f>
        <v>165237</v>
      </c>
      <c r="C4278" s="19" t="s">
        <v>4225</v>
      </c>
      <c r="D4278" s="19" t="s">
        <v>19705</v>
      </c>
      <c r="E4278" s="19" t="s">
        <v>32395</v>
      </c>
      <c r="F4278" s="19" t="s">
        <v>35989</v>
      </c>
      <c r="G4278" s="18" t="str">
        <f>"50846"</f>
        <v>50846</v>
      </c>
      <c r="H4278" s="19" t="s">
        <v>36280</v>
      </c>
      <c r="I4278" s="20">
        <v>18.391999999999999</v>
      </c>
      <c r="J4278" s="44" t="s">
        <v>8</v>
      </c>
      <c r="K4278" s="23" t="s">
        <v>8</v>
      </c>
      <c r="L4278" s="23" t="s">
        <v>8</v>
      </c>
      <c r="M4278" s="23" t="s">
        <v>8</v>
      </c>
    </row>
    <row r="4279" spans="1:13" s="21" customFormat="1" x14ac:dyDescent="0.25">
      <c r="A4279" s="22" t="s">
        <v>8</v>
      </c>
      <c r="B4279" s="18" t="str">
        <f>"165238"</f>
        <v>165238</v>
      </c>
      <c r="C4279" s="19" t="s">
        <v>4226</v>
      </c>
      <c r="D4279" s="19" t="s">
        <v>19706</v>
      </c>
      <c r="E4279" s="19" t="s">
        <v>32396</v>
      </c>
      <c r="F4279" s="19" t="s">
        <v>35989</v>
      </c>
      <c r="G4279" s="18" t="str">
        <f>"51442"</f>
        <v>51442</v>
      </c>
      <c r="H4279" s="19" t="s">
        <v>31759</v>
      </c>
      <c r="I4279" s="20">
        <v>17.178999999999998</v>
      </c>
      <c r="J4279" s="44" t="s">
        <v>8</v>
      </c>
      <c r="K4279" s="23" t="s">
        <v>8</v>
      </c>
      <c r="L4279" s="23" t="s">
        <v>8</v>
      </c>
      <c r="M4279" s="23" t="s">
        <v>8</v>
      </c>
    </row>
    <row r="4280" spans="1:13" s="21" customFormat="1" x14ac:dyDescent="0.25">
      <c r="A4280" s="22" t="s">
        <v>8</v>
      </c>
      <c r="B4280" s="18" t="str">
        <f>"165239"</f>
        <v>165239</v>
      </c>
      <c r="C4280" s="19" t="s">
        <v>4227</v>
      </c>
      <c r="D4280" s="19" t="s">
        <v>19707</v>
      </c>
      <c r="E4280" s="19" t="s">
        <v>32397</v>
      </c>
      <c r="F4280" s="19" t="s">
        <v>35989</v>
      </c>
      <c r="G4280" s="18" t="str">
        <f>"52162"</f>
        <v>52162</v>
      </c>
      <c r="H4280" s="19" t="s">
        <v>36281</v>
      </c>
      <c r="I4280" s="20">
        <v>17.373999999999999</v>
      </c>
      <c r="J4280" s="44" t="s">
        <v>8</v>
      </c>
      <c r="K4280" s="23" t="s">
        <v>8</v>
      </c>
      <c r="L4280" s="23" t="s">
        <v>8</v>
      </c>
      <c r="M4280" s="23" t="s">
        <v>8</v>
      </c>
    </row>
    <row r="4281" spans="1:13" s="21" customFormat="1" x14ac:dyDescent="0.25">
      <c r="A4281" s="22" t="s">
        <v>8</v>
      </c>
      <c r="B4281" s="18" t="str">
        <f>"165240"</f>
        <v>165240</v>
      </c>
      <c r="C4281" s="19" t="s">
        <v>4228</v>
      </c>
      <c r="D4281" s="19" t="s">
        <v>19708</v>
      </c>
      <c r="E4281" s="19" t="s">
        <v>32398</v>
      </c>
      <c r="F4281" s="19" t="s">
        <v>35989</v>
      </c>
      <c r="G4281" s="18" t="str">
        <f>"52172"</f>
        <v>52172</v>
      </c>
      <c r="H4281" s="19" t="s">
        <v>36281</v>
      </c>
      <c r="I4281" s="20">
        <v>18.434999999999999</v>
      </c>
      <c r="J4281" s="44" t="s">
        <v>8</v>
      </c>
      <c r="K4281" s="23" t="s">
        <v>8</v>
      </c>
      <c r="L4281" s="23" t="s">
        <v>8</v>
      </c>
      <c r="M4281" s="23" t="s">
        <v>8</v>
      </c>
    </row>
    <row r="4282" spans="1:13" s="21" customFormat="1" x14ac:dyDescent="0.25">
      <c r="A4282" s="22" t="s">
        <v>8</v>
      </c>
      <c r="B4282" s="18" t="str">
        <f>"165241"</f>
        <v>165241</v>
      </c>
      <c r="C4282" s="19" t="s">
        <v>4229</v>
      </c>
      <c r="D4282" s="19" t="s">
        <v>19709</v>
      </c>
      <c r="E4282" s="19" t="s">
        <v>32399</v>
      </c>
      <c r="F4282" s="19" t="s">
        <v>35989</v>
      </c>
      <c r="G4282" s="18" t="str">
        <f>"50638"</f>
        <v>50638</v>
      </c>
      <c r="H4282" s="19" t="s">
        <v>35400</v>
      </c>
      <c r="I4282" s="20">
        <v>19.648</v>
      </c>
      <c r="J4282" s="44" t="s">
        <v>8</v>
      </c>
      <c r="K4282" s="23" t="s">
        <v>8</v>
      </c>
      <c r="L4282" s="23" t="s">
        <v>8</v>
      </c>
      <c r="M4282" s="23" t="s">
        <v>8</v>
      </c>
    </row>
    <row r="4283" spans="1:13" s="21" customFormat="1" x14ac:dyDescent="0.25">
      <c r="A4283" s="22" t="s">
        <v>8</v>
      </c>
      <c r="B4283" s="18" t="str">
        <f>"165243"</f>
        <v>165243</v>
      </c>
      <c r="C4283" s="19" t="s">
        <v>4230</v>
      </c>
      <c r="D4283" s="19" t="s">
        <v>19710</v>
      </c>
      <c r="E4283" s="19" t="s">
        <v>32341</v>
      </c>
      <c r="F4283" s="19" t="s">
        <v>35989</v>
      </c>
      <c r="G4283" s="18" t="str">
        <f>"50616"</f>
        <v>50616</v>
      </c>
      <c r="H4283" s="19" t="s">
        <v>35420</v>
      </c>
      <c r="I4283" s="20">
        <v>19.445</v>
      </c>
      <c r="J4283" s="44" t="s">
        <v>8</v>
      </c>
      <c r="K4283" s="23" t="s">
        <v>8</v>
      </c>
      <c r="L4283" s="23" t="s">
        <v>8</v>
      </c>
      <c r="M4283" s="23" t="s">
        <v>8</v>
      </c>
    </row>
    <row r="4284" spans="1:13" s="21" customFormat="1" x14ac:dyDescent="0.25">
      <c r="A4284" s="22" t="s">
        <v>8</v>
      </c>
      <c r="B4284" s="18" t="str">
        <f>"165245"</f>
        <v>165245</v>
      </c>
      <c r="C4284" s="19" t="s">
        <v>4231</v>
      </c>
      <c r="D4284" s="19" t="s">
        <v>19711</v>
      </c>
      <c r="E4284" s="19" t="s">
        <v>32400</v>
      </c>
      <c r="F4284" s="19" t="s">
        <v>35989</v>
      </c>
      <c r="G4284" s="18" t="str">
        <f>"51023"</f>
        <v>51023</v>
      </c>
      <c r="H4284" s="19" t="s">
        <v>36282</v>
      </c>
      <c r="I4284" s="20">
        <v>17.488</v>
      </c>
      <c r="J4284" s="44" t="s">
        <v>8</v>
      </c>
      <c r="K4284" s="23" t="s">
        <v>8</v>
      </c>
      <c r="L4284" s="23" t="s">
        <v>8</v>
      </c>
      <c r="M4284" s="23" t="s">
        <v>8</v>
      </c>
    </row>
    <row r="4285" spans="1:13" s="21" customFormat="1" x14ac:dyDescent="0.25">
      <c r="A4285" s="22" t="s">
        <v>8</v>
      </c>
      <c r="B4285" s="18" t="str">
        <f>"165247"</f>
        <v>165247</v>
      </c>
      <c r="C4285" s="19" t="s">
        <v>4232</v>
      </c>
      <c r="D4285" s="19" t="s">
        <v>19712</v>
      </c>
      <c r="E4285" s="19" t="s">
        <v>32401</v>
      </c>
      <c r="F4285" s="19" t="s">
        <v>35989</v>
      </c>
      <c r="G4285" s="18" t="str">
        <f>"51237"</f>
        <v>51237</v>
      </c>
      <c r="H4285" s="19" t="s">
        <v>36274</v>
      </c>
      <c r="I4285" s="20">
        <v>18.824999999999999</v>
      </c>
      <c r="J4285" s="44" t="s">
        <v>8</v>
      </c>
      <c r="K4285" s="23" t="s">
        <v>8</v>
      </c>
      <c r="L4285" s="23" t="s">
        <v>8</v>
      </c>
      <c r="M4285" s="23" t="s">
        <v>8</v>
      </c>
    </row>
    <row r="4286" spans="1:13" s="21" customFormat="1" x14ac:dyDescent="0.25">
      <c r="A4286" s="22" t="s">
        <v>8</v>
      </c>
      <c r="B4286" s="18" t="str">
        <f>"165248"</f>
        <v>165248</v>
      </c>
      <c r="C4286" s="19" t="s">
        <v>4233</v>
      </c>
      <c r="D4286" s="19" t="s">
        <v>19713</v>
      </c>
      <c r="E4286" s="19" t="s">
        <v>32402</v>
      </c>
      <c r="F4286" s="19" t="s">
        <v>35989</v>
      </c>
      <c r="G4286" s="18" t="str">
        <f>"51239"</f>
        <v>51239</v>
      </c>
      <c r="H4286" s="19" t="s">
        <v>36282</v>
      </c>
      <c r="I4286" s="20">
        <v>17.984000000000002</v>
      </c>
      <c r="J4286" s="44" t="s">
        <v>8</v>
      </c>
      <c r="K4286" s="23" t="s">
        <v>8</v>
      </c>
      <c r="L4286" s="23" t="s">
        <v>8</v>
      </c>
      <c r="M4286" s="23" t="s">
        <v>8</v>
      </c>
    </row>
    <row r="4287" spans="1:13" s="21" customFormat="1" x14ac:dyDescent="0.25">
      <c r="A4287" s="22" t="s">
        <v>8</v>
      </c>
      <c r="B4287" s="18" t="str">
        <f>"165249"</f>
        <v>165249</v>
      </c>
      <c r="C4287" s="19" t="s">
        <v>4234</v>
      </c>
      <c r="D4287" s="19" t="s">
        <v>19714</v>
      </c>
      <c r="E4287" s="19" t="s">
        <v>32403</v>
      </c>
      <c r="F4287" s="19" t="s">
        <v>35989</v>
      </c>
      <c r="G4287" s="18" t="str">
        <f>"50568"</f>
        <v>50568</v>
      </c>
      <c r="H4287" s="19" t="s">
        <v>31824</v>
      </c>
      <c r="I4287" s="20">
        <v>17.870999999999999</v>
      </c>
      <c r="J4287" s="44" t="s">
        <v>8</v>
      </c>
      <c r="K4287" s="23" t="s">
        <v>8</v>
      </c>
      <c r="L4287" s="23" t="s">
        <v>8</v>
      </c>
      <c r="M4287" s="23" t="s">
        <v>8</v>
      </c>
    </row>
    <row r="4288" spans="1:13" s="21" customFormat="1" x14ac:dyDescent="0.25">
      <c r="A4288" s="22" t="s">
        <v>8</v>
      </c>
      <c r="B4288" s="18" t="str">
        <f>"165251"</f>
        <v>165251</v>
      </c>
      <c r="C4288" s="19" t="s">
        <v>4235</v>
      </c>
      <c r="D4288" s="19" t="s">
        <v>19715</v>
      </c>
      <c r="E4288" s="19" t="s">
        <v>32003</v>
      </c>
      <c r="F4288" s="19" t="s">
        <v>35989</v>
      </c>
      <c r="G4288" s="18" t="str">
        <f>"50702"</f>
        <v>50702</v>
      </c>
      <c r="H4288" s="19" t="s">
        <v>36268</v>
      </c>
      <c r="I4288" s="20">
        <v>21.428000000000001</v>
      </c>
      <c r="J4288" s="44" t="s">
        <v>8</v>
      </c>
      <c r="K4288" s="23" t="s">
        <v>8</v>
      </c>
      <c r="L4288" s="23" t="s">
        <v>8</v>
      </c>
      <c r="M4288" s="23" t="s">
        <v>8</v>
      </c>
    </row>
    <row r="4289" spans="1:13" s="21" customFormat="1" x14ac:dyDescent="0.25">
      <c r="A4289" s="22" t="s">
        <v>8</v>
      </c>
      <c r="B4289" s="18" t="str">
        <f>"165252"</f>
        <v>165252</v>
      </c>
      <c r="C4289" s="19" t="s">
        <v>4236</v>
      </c>
      <c r="D4289" s="19" t="s">
        <v>19716</v>
      </c>
      <c r="E4289" s="19" t="s">
        <v>32404</v>
      </c>
      <c r="F4289" s="19" t="s">
        <v>35989</v>
      </c>
      <c r="G4289" s="18" t="str">
        <f>"50144"</f>
        <v>50144</v>
      </c>
      <c r="H4289" s="19" t="s">
        <v>30853</v>
      </c>
      <c r="I4289" s="20">
        <v>18.366</v>
      </c>
      <c r="J4289" s="44" t="s">
        <v>8</v>
      </c>
      <c r="K4289" s="23" t="s">
        <v>8</v>
      </c>
      <c r="L4289" s="23" t="s">
        <v>8</v>
      </c>
      <c r="M4289" s="23" t="s">
        <v>8</v>
      </c>
    </row>
    <row r="4290" spans="1:13" s="21" customFormat="1" x14ac:dyDescent="0.25">
      <c r="A4290" s="22" t="s">
        <v>8</v>
      </c>
      <c r="B4290" s="18" t="str">
        <f>"165253"</f>
        <v>165253</v>
      </c>
      <c r="C4290" s="19" t="s">
        <v>4237</v>
      </c>
      <c r="D4290" s="19" t="s">
        <v>19717</v>
      </c>
      <c r="E4290" s="19" t="s">
        <v>32405</v>
      </c>
      <c r="F4290" s="19" t="s">
        <v>35989</v>
      </c>
      <c r="G4290" s="18" t="str">
        <f>"50216"</f>
        <v>50216</v>
      </c>
      <c r="H4290" s="19" t="s">
        <v>34700</v>
      </c>
      <c r="I4290" s="20">
        <v>18.646999999999998</v>
      </c>
      <c r="J4290" s="44" t="s">
        <v>8</v>
      </c>
      <c r="K4290" s="23" t="s">
        <v>8</v>
      </c>
      <c r="L4290" s="23" t="s">
        <v>8</v>
      </c>
      <c r="M4290" s="23" t="s">
        <v>8</v>
      </c>
    </row>
    <row r="4291" spans="1:13" s="21" customFormat="1" x14ac:dyDescent="0.25">
      <c r="A4291" s="22" t="s">
        <v>8</v>
      </c>
      <c r="B4291" s="18" t="str">
        <f>"165254"</f>
        <v>165254</v>
      </c>
      <c r="C4291" s="19" t="s">
        <v>4238</v>
      </c>
      <c r="D4291" s="19" t="s">
        <v>19718</v>
      </c>
      <c r="E4291" s="19" t="s">
        <v>32406</v>
      </c>
      <c r="F4291" s="19" t="s">
        <v>35989</v>
      </c>
      <c r="G4291" s="18" t="str">
        <f>"50621"</f>
        <v>50621</v>
      </c>
      <c r="H4291" s="19" t="s">
        <v>35400</v>
      </c>
      <c r="I4291" s="20">
        <v>18.5</v>
      </c>
      <c r="J4291" s="44" t="s">
        <v>8</v>
      </c>
      <c r="K4291" s="23" t="s">
        <v>8</v>
      </c>
      <c r="L4291" s="23" t="s">
        <v>8</v>
      </c>
      <c r="M4291" s="23" t="s">
        <v>8</v>
      </c>
    </row>
    <row r="4292" spans="1:13" s="21" customFormat="1" x14ac:dyDescent="0.25">
      <c r="A4292" s="22" t="s">
        <v>8</v>
      </c>
      <c r="B4292" s="18" t="str">
        <f>"165255"</f>
        <v>165255</v>
      </c>
      <c r="C4292" s="19" t="s">
        <v>4239</v>
      </c>
      <c r="D4292" s="19" t="s">
        <v>19719</v>
      </c>
      <c r="E4292" s="19" t="s">
        <v>31056</v>
      </c>
      <c r="F4292" s="19" t="s">
        <v>35989</v>
      </c>
      <c r="G4292" s="18" t="str">
        <f>"50047"</f>
        <v>50047</v>
      </c>
      <c r="H4292" s="19" t="s">
        <v>31025</v>
      </c>
      <c r="I4292" s="20">
        <v>19.02</v>
      </c>
      <c r="J4292" s="44" t="s">
        <v>8</v>
      </c>
      <c r="K4292" s="23" t="s">
        <v>8</v>
      </c>
      <c r="L4292" s="23" t="s">
        <v>8</v>
      </c>
      <c r="M4292" s="23" t="s">
        <v>8</v>
      </c>
    </row>
    <row r="4293" spans="1:13" s="21" customFormat="1" x14ac:dyDescent="0.25">
      <c r="A4293" s="22" t="s">
        <v>8</v>
      </c>
      <c r="B4293" s="18" t="str">
        <f>"165256"</f>
        <v>165256</v>
      </c>
      <c r="C4293" s="19" t="s">
        <v>4240</v>
      </c>
      <c r="D4293" s="19" t="s">
        <v>19720</v>
      </c>
      <c r="E4293" s="19" t="s">
        <v>32407</v>
      </c>
      <c r="F4293" s="19" t="s">
        <v>35989</v>
      </c>
      <c r="G4293" s="18" t="str">
        <f>"51040"</f>
        <v>51040</v>
      </c>
      <c r="H4293" s="19" t="s">
        <v>36283</v>
      </c>
      <c r="I4293" s="20">
        <v>17.741</v>
      </c>
      <c r="J4293" s="44" t="s">
        <v>8</v>
      </c>
      <c r="K4293" s="23" t="s">
        <v>8</v>
      </c>
      <c r="L4293" s="23" t="s">
        <v>8</v>
      </c>
      <c r="M4293" s="23" t="s">
        <v>8</v>
      </c>
    </row>
    <row r="4294" spans="1:13" s="21" customFormat="1" x14ac:dyDescent="0.25">
      <c r="A4294" s="22" t="s">
        <v>8</v>
      </c>
      <c r="B4294" s="18" t="str">
        <f>"165257"</f>
        <v>165257</v>
      </c>
      <c r="C4294" s="19" t="s">
        <v>4241</v>
      </c>
      <c r="D4294" s="19" t="s">
        <v>19721</v>
      </c>
      <c r="E4294" s="19" t="s">
        <v>32280</v>
      </c>
      <c r="F4294" s="19" t="s">
        <v>35989</v>
      </c>
      <c r="G4294" s="18" t="str">
        <f>"52544"</f>
        <v>52544</v>
      </c>
      <c r="H4294" s="19" t="s">
        <v>36279</v>
      </c>
      <c r="I4294" s="20">
        <v>17.475999999999999</v>
      </c>
      <c r="J4294" s="44" t="s">
        <v>8</v>
      </c>
      <c r="K4294" s="23" t="s">
        <v>8</v>
      </c>
      <c r="L4294" s="23" t="s">
        <v>8</v>
      </c>
      <c r="M4294" s="23" t="s">
        <v>8</v>
      </c>
    </row>
    <row r="4295" spans="1:13" s="21" customFormat="1" x14ac:dyDescent="0.25">
      <c r="A4295" s="22" t="s">
        <v>8</v>
      </c>
      <c r="B4295" s="18" t="str">
        <f>"165259"</f>
        <v>165259</v>
      </c>
      <c r="C4295" s="19" t="s">
        <v>4242</v>
      </c>
      <c r="D4295" s="19" t="s">
        <v>19722</v>
      </c>
      <c r="E4295" s="19" t="s">
        <v>32113</v>
      </c>
      <c r="F4295" s="19" t="s">
        <v>35989</v>
      </c>
      <c r="G4295" s="18" t="str">
        <f>"52151"</f>
        <v>52151</v>
      </c>
      <c r="H4295" s="19" t="s">
        <v>36281</v>
      </c>
      <c r="I4295" s="20">
        <v>18.693000000000001</v>
      </c>
      <c r="J4295" s="44" t="s">
        <v>8</v>
      </c>
      <c r="K4295" s="23" t="s">
        <v>8</v>
      </c>
      <c r="L4295" s="23" t="s">
        <v>8</v>
      </c>
      <c r="M4295" s="23" t="s">
        <v>8</v>
      </c>
    </row>
    <row r="4296" spans="1:13" s="21" customFormat="1" x14ac:dyDescent="0.25">
      <c r="A4296" s="22" t="s">
        <v>8</v>
      </c>
      <c r="B4296" s="18" t="str">
        <f>"165260"</f>
        <v>165260</v>
      </c>
      <c r="C4296" s="19" t="s">
        <v>4243</v>
      </c>
      <c r="D4296" s="19" t="s">
        <v>19723</v>
      </c>
      <c r="E4296" s="19" t="s">
        <v>32408</v>
      </c>
      <c r="F4296" s="19" t="s">
        <v>35989</v>
      </c>
      <c r="G4296" s="18" t="str">
        <f>"52625"</f>
        <v>52625</v>
      </c>
      <c r="H4296" s="19" t="s">
        <v>33138</v>
      </c>
      <c r="I4296" s="20">
        <v>20.93</v>
      </c>
      <c r="J4296" s="44" t="s">
        <v>8</v>
      </c>
      <c r="K4296" s="23" t="s">
        <v>8</v>
      </c>
      <c r="L4296" s="23" t="s">
        <v>8</v>
      </c>
      <c r="M4296" s="23" t="s">
        <v>8</v>
      </c>
    </row>
    <row r="4297" spans="1:13" s="21" customFormat="1" x14ac:dyDescent="0.25">
      <c r="A4297" s="22" t="s">
        <v>8</v>
      </c>
      <c r="B4297" s="18" t="str">
        <f>"165261"</f>
        <v>165261</v>
      </c>
      <c r="C4297" s="19" t="s">
        <v>4244</v>
      </c>
      <c r="D4297" s="19" t="s">
        <v>19724</v>
      </c>
      <c r="E4297" s="19" t="s">
        <v>32353</v>
      </c>
      <c r="F4297" s="19" t="s">
        <v>35989</v>
      </c>
      <c r="G4297" s="18" t="str">
        <f>"50021"</f>
        <v>50021</v>
      </c>
      <c r="H4297" s="19" t="s">
        <v>36062</v>
      </c>
      <c r="I4297" s="20">
        <v>16.968</v>
      </c>
      <c r="J4297" s="44" t="s">
        <v>8</v>
      </c>
      <c r="K4297" s="23" t="s">
        <v>8</v>
      </c>
      <c r="L4297" s="23" t="s">
        <v>8</v>
      </c>
      <c r="M4297" s="23" t="s">
        <v>8</v>
      </c>
    </row>
    <row r="4298" spans="1:13" s="21" customFormat="1" x14ac:dyDescent="0.25">
      <c r="A4298" s="22" t="s">
        <v>8</v>
      </c>
      <c r="B4298" s="18" t="str">
        <f>"165262"</f>
        <v>165262</v>
      </c>
      <c r="C4298" s="19" t="s">
        <v>4245</v>
      </c>
      <c r="D4298" s="19" t="s">
        <v>19725</v>
      </c>
      <c r="E4298" s="19" t="s">
        <v>32338</v>
      </c>
      <c r="F4298" s="19" t="s">
        <v>35989</v>
      </c>
      <c r="G4298" s="18" t="str">
        <f>"50112"</f>
        <v>50112</v>
      </c>
      <c r="H4298" s="19" t="s">
        <v>36267</v>
      </c>
      <c r="I4298" s="20">
        <v>19.466999999999999</v>
      </c>
      <c r="J4298" s="44" t="s">
        <v>8</v>
      </c>
      <c r="K4298" s="23" t="s">
        <v>8</v>
      </c>
      <c r="L4298" s="23" t="s">
        <v>8</v>
      </c>
      <c r="M4298" s="23" t="s">
        <v>8</v>
      </c>
    </row>
    <row r="4299" spans="1:13" s="21" customFormat="1" x14ac:dyDescent="0.25">
      <c r="A4299" s="22" t="s">
        <v>8</v>
      </c>
      <c r="B4299" s="18" t="str">
        <f>"165263"</f>
        <v>165263</v>
      </c>
      <c r="C4299" s="19" t="s">
        <v>4246</v>
      </c>
      <c r="D4299" s="19" t="s">
        <v>19726</v>
      </c>
      <c r="E4299" s="19" t="s">
        <v>32409</v>
      </c>
      <c r="F4299" s="19" t="s">
        <v>35989</v>
      </c>
      <c r="G4299" s="18" t="str">
        <f>"52306"</f>
        <v>52306</v>
      </c>
      <c r="H4299" s="19" t="s">
        <v>36284</v>
      </c>
      <c r="I4299" s="20">
        <v>19.385000000000002</v>
      </c>
      <c r="J4299" s="44" t="s">
        <v>8</v>
      </c>
      <c r="K4299" s="23" t="s">
        <v>8</v>
      </c>
      <c r="L4299" s="23" t="s">
        <v>8</v>
      </c>
      <c r="M4299" s="23" t="s">
        <v>8</v>
      </c>
    </row>
    <row r="4300" spans="1:13" s="21" customFormat="1" x14ac:dyDescent="0.25">
      <c r="A4300" s="22" t="s">
        <v>8</v>
      </c>
      <c r="B4300" s="18" t="str">
        <f>"165264"</f>
        <v>165264</v>
      </c>
      <c r="C4300" s="19" t="s">
        <v>4247</v>
      </c>
      <c r="D4300" s="19" t="s">
        <v>19727</v>
      </c>
      <c r="E4300" s="19" t="s">
        <v>32410</v>
      </c>
      <c r="F4300" s="19" t="s">
        <v>35989</v>
      </c>
      <c r="G4300" s="18" t="str">
        <f>"50169"</f>
        <v>50169</v>
      </c>
      <c r="H4300" s="19" t="s">
        <v>36062</v>
      </c>
      <c r="I4300" s="20">
        <v>18.47</v>
      </c>
      <c r="J4300" s="44" t="s">
        <v>8</v>
      </c>
      <c r="K4300" s="23" t="s">
        <v>8</v>
      </c>
      <c r="L4300" s="23" t="s">
        <v>8</v>
      </c>
      <c r="M4300" s="23" t="s">
        <v>8</v>
      </c>
    </row>
    <row r="4301" spans="1:13" s="21" customFormat="1" x14ac:dyDescent="0.25">
      <c r="A4301" s="22" t="s">
        <v>8</v>
      </c>
      <c r="B4301" s="18" t="str">
        <f>"165265"</f>
        <v>165265</v>
      </c>
      <c r="C4301" s="19" t="s">
        <v>4248</v>
      </c>
      <c r="D4301" s="19" t="s">
        <v>19728</v>
      </c>
      <c r="E4301" s="19" t="s">
        <v>32350</v>
      </c>
      <c r="F4301" s="19" t="s">
        <v>35989</v>
      </c>
      <c r="G4301" s="18" t="str">
        <f>"50501"</f>
        <v>50501</v>
      </c>
      <c r="H4301" s="19" t="s">
        <v>33048</v>
      </c>
      <c r="I4301" s="20">
        <v>17.77</v>
      </c>
      <c r="J4301" s="44" t="s">
        <v>8</v>
      </c>
      <c r="K4301" s="23" t="s">
        <v>8</v>
      </c>
      <c r="L4301" s="23" t="s">
        <v>8</v>
      </c>
      <c r="M4301" s="23" t="s">
        <v>8</v>
      </c>
    </row>
    <row r="4302" spans="1:13" s="21" customFormat="1" x14ac:dyDescent="0.25">
      <c r="A4302" s="22" t="s">
        <v>8</v>
      </c>
      <c r="B4302" s="18" t="str">
        <f>"165266"</f>
        <v>165266</v>
      </c>
      <c r="C4302" s="19" t="s">
        <v>4249</v>
      </c>
      <c r="D4302" s="19" t="s">
        <v>19729</v>
      </c>
      <c r="E4302" s="19" t="s">
        <v>32352</v>
      </c>
      <c r="F4302" s="19" t="s">
        <v>35989</v>
      </c>
      <c r="G4302" s="18" t="str">
        <f>"51103"</f>
        <v>51103</v>
      </c>
      <c r="H4302" s="19" t="s">
        <v>33348</v>
      </c>
      <c r="I4302" s="20">
        <v>20.693999999999999</v>
      </c>
      <c r="J4302" s="44" t="s">
        <v>8</v>
      </c>
      <c r="K4302" s="23" t="s">
        <v>8</v>
      </c>
      <c r="L4302" s="23" t="s">
        <v>8</v>
      </c>
      <c r="M4302" s="23" t="s">
        <v>8</v>
      </c>
    </row>
    <row r="4303" spans="1:13" s="21" customFormat="1" x14ac:dyDescent="0.25">
      <c r="A4303" s="22" t="s">
        <v>8</v>
      </c>
      <c r="B4303" s="18" t="str">
        <f>"165267"</f>
        <v>165267</v>
      </c>
      <c r="C4303" s="19" t="s">
        <v>4250</v>
      </c>
      <c r="D4303" s="19" t="s">
        <v>19730</v>
      </c>
      <c r="E4303" s="19" t="s">
        <v>32411</v>
      </c>
      <c r="F4303" s="19" t="s">
        <v>35989</v>
      </c>
      <c r="G4303" s="18" t="str">
        <f>"51034"</f>
        <v>51034</v>
      </c>
      <c r="H4303" s="19" t="s">
        <v>36283</v>
      </c>
      <c r="I4303" s="20">
        <v>19.768999999999998</v>
      </c>
      <c r="J4303" s="44" t="s">
        <v>8</v>
      </c>
      <c r="K4303" s="23" t="s">
        <v>8</v>
      </c>
      <c r="L4303" s="23" t="s">
        <v>8</v>
      </c>
      <c r="M4303" s="23" t="s">
        <v>8</v>
      </c>
    </row>
    <row r="4304" spans="1:13" s="21" customFormat="1" x14ac:dyDescent="0.25">
      <c r="A4304" s="22" t="s">
        <v>8</v>
      </c>
      <c r="B4304" s="18" t="str">
        <f>"165268"</f>
        <v>165268</v>
      </c>
      <c r="C4304" s="19" t="s">
        <v>4251</v>
      </c>
      <c r="D4304" s="19" t="s">
        <v>19731</v>
      </c>
      <c r="E4304" s="19" t="s">
        <v>32339</v>
      </c>
      <c r="F4304" s="19" t="s">
        <v>35989</v>
      </c>
      <c r="G4304" s="18" t="str">
        <f>"50316"</f>
        <v>50316</v>
      </c>
      <c r="H4304" s="19" t="s">
        <v>36062</v>
      </c>
      <c r="I4304" s="20">
        <v>19.638000000000002</v>
      </c>
      <c r="J4304" s="44" t="s">
        <v>8</v>
      </c>
      <c r="K4304" s="23" t="s">
        <v>8</v>
      </c>
      <c r="L4304" s="23" t="s">
        <v>8</v>
      </c>
      <c r="M4304" s="23" t="s">
        <v>8</v>
      </c>
    </row>
    <row r="4305" spans="1:13" s="21" customFormat="1" x14ac:dyDescent="0.25">
      <c r="A4305" s="22" t="s">
        <v>8</v>
      </c>
      <c r="B4305" s="18" t="str">
        <f>"165269"</f>
        <v>165269</v>
      </c>
      <c r="C4305" s="19" t="s">
        <v>4252</v>
      </c>
      <c r="D4305" s="19" t="s">
        <v>19732</v>
      </c>
      <c r="E4305" s="19" t="s">
        <v>32388</v>
      </c>
      <c r="F4305" s="19" t="s">
        <v>35989</v>
      </c>
      <c r="G4305" s="18" t="str">
        <f>"50854"</f>
        <v>50854</v>
      </c>
      <c r="H4305" s="19" t="s">
        <v>32830</v>
      </c>
      <c r="I4305" s="20">
        <v>18.984000000000002</v>
      </c>
      <c r="J4305" s="44" t="s">
        <v>8</v>
      </c>
      <c r="K4305" s="23" t="s">
        <v>8</v>
      </c>
      <c r="L4305" s="23" t="s">
        <v>8</v>
      </c>
      <c r="M4305" s="23" t="s">
        <v>8</v>
      </c>
    </row>
    <row r="4306" spans="1:13" s="21" customFormat="1" x14ac:dyDescent="0.25">
      <c r="A4306" s="22" t="s">
        <v>8</v>
      </c>
      <c r="B4306" s="18" t="str">
        <f>"165270"</f>
        <v>165270</v>
      </c>
      <c r="C4306" s="19" t="s">
        <v>4253</v>
      </c>
      <c r="D4306" s="19" t="s">
        <v>19733</v>
      </c>
      <c r="E4306" s="19" t="s">
        <v>31462</v>
      </c>
      <c r="F4306" s="19" t="s">
        <v>35989</v>
      </c>
      <c r="G4306" s="18" t="str">
        <f>"50249"</f>
        <v>50249</v>
      </c>
      <c r="H4306" s="19" t="s">
        <v>30804</v>
      </c>
      <c r="I4306" s="20">
        <v>18.891999999999999</v>
      </c>
      <c r="J4306" s="44" t="s">
        <v>8</v>
      </c>
      <c r="K4306" s="23" t="s">
        <v>8</v>
      </c>
      <c r="L4306" s="23" t="s">
        <v>8</v>
      </c>
      <c r="M4306" s="23" t="s">
        <v>8</v>
      </c>
    </row>
    <row r="4307" spans="1:13" s="21" customFormat="1" x14ac:dyDescent="0.25">
      <c r="A4307" s="22" t="s">
        <v>8</v>
      </c>
      <c r="B4307" s="18" t="str">
        <f>"165271"</f>
        <v>165271</v>
      </c>
      <c r="C4307" s="19" t="s">
        <v>4254</v>
      </c>
      <c r="D4307" s="19" t="s">
        <v>19734</v>
      </c>
      <c r="E4307" s="19" t="s">
        <v>32352</v>
      </c>
      <c r="F4307" s="19" t="s">
        <v>35989</v>
      </c>
      <c r="G4307" s="18" t="str">
        <f>"51104"</f>
        <v>51104</v>
      </c>
      <c r="H4307" s="19" t="s">
        <v>33348</v>
      </c>
      <c r="I4307" s="20">
        <v>19.556000000000001</v>
      </c>
      <c r="J4307" s="44" t="s">
        <v>8</v>
      </c>
      <c r="K4307" s="23" t="s">
        <v>8</v>
      </c>
      <c r="L4307" s="23" t="s">
        <v>8</v>
      </c>
      <c r="M4307" s="23" t="s">
        <v>8</v>
      </c>
    </row>
    <row r="4308" spans="1:13" s="21" customFormat="1" x14ac:dyDescent="0.25">
      <c r="A4308" s="22" t="s">
        <v>8</v>
      </c>
      <c r="B4308" s="18" t="str">
        <f>"165272"</f>
        <v>165272</v>
      </c>
      <c r="C4308" s="19" t="s">
        <v>4255</v>
      </c>
      <c r="D4308" s="19" t="s">
        <v>19735</v>
      </c>
      <c r="E4308" s="19" t="s">
        <v>32339</v>
      </c>
      <c r="F4308" s="19" t="s">
        <v>35989</v>
      </c>
      <c r="G4308" s="18" t="str">
        <f>"50314"</f>
        <v>50314</v>
      </c>
      <c r="H4308" s="19" t="s">
        <v>36062</v>
      </c>
      <c r="I4308" s="20">
        <v>18.393999999999998</v>
      </c>
      <c r="J4308" s="44" t="s">
        <v>8</v>
      </c>
      <c r="K4308" s="23" t="s">
        <v>8</v>
      </c>
      <c r="L4308" s="23" t="s">
        <v>8</v>
      </c>
      <c r="M4308" s="23" t="s">
        <v>8</v>
      </c>
    </row>
    <row r="4309" spans="1:13" s="21" customFormat="1" x14ac:dyDescent="0.25">
      <c r="A4309" s="22" t="s">
        <v>8</v>
      </c>
      <c r="B4309" s="18" t="str">
        <f>"165273"</f>
        <v>165273</v>
      </c>
      <c r="C4309" s="19" t="s">
        <v>4256</v>
      </c>
      <c r="D4309" s="19" t="s">
        <v>19736</v>
      </c>
      <c r="E4309" s="19" t="s">
        <v>32339</v>
      </c>
      <c r="F4309" s="19" t="s">
        <v>35989</v>
      </c>
      <c r="G4309" s="18" t="str">
        <f>"50315"</f>
        <v>50315</v>
      </c>
      <c r="H4309" s="19" t="s">
        <v>36062</v>
      </c>
      <c r="I4309" s="20">
        <v>24.306000000000001</v>
      </c>
      <c r="J4309" s="44" t="s">
        <v>8</v>
      </c>
      <c r="K4309" s="23" t="s">
        <v>8</v>
      </c>
      <c r="L4309" s="23" t="s">
        <v>8</v>
      </c>
      <c r="M4309" s="23" t="s">
        <v>8</v>
      </c>
    </row>
    <row r="4310" spans="1:13" s="21" customFormat="1" x14ac:dyDescent="0.25">
      <c r="A4310" s="22" t="s">
        <v>8</v>
      </c>
      <c r="B4310" s="18" t="str">
        <f>"165274"</f>
        <v>165274</v>
      </c>
      <c r="C4310" s="19" t="s">
        <v>4257</v>
      </c>
      <c r="D4310" s="19" t="s">
        <v>19737</v>
      </c>
      <c r="E4310" s="19" t="s">
        <v>32412</v>
      </c>
      <c r="F4310" s="19" t="s">
        <v>35989</v>
      </c>
      <c r="G4310" s="18" t="str">
        <f>"52577"</f>
        <v>52577</v>
      </c>
      <c r="H4310" s="19" t="s">
        <v>36285</v>
      </c>
      <c r="I4310" s="20">
        <v>16.88</v>
      </c>
      <c r="J4310" s="44" t="s">
        <v>8</v>
      </c>
      <c r="K4310" s="23" t="s">
        <v>8</v>
      </c>
      <c r="L4310" s="23" t="s">
        <v>8</v>
      </c>
      <c r="M4310" s="23" t="s">
        <v>8</v>
      </c>
    </row>
    <row r="4311" spans="1:13" s="21" customFormat="1" x14ac:dyDescent="0.25">
      <c r="A4311" s="22" t="s">
        <v>8</v>
      </c>
      <c r="B4311" s="18" t="str">
        <f>"165275"</f>
        <v>165275</v>
      </c>
      <c r="C4311" s="19" t="s">
        <v>4258</v>
      </c>
      <c r="D4311" s="19" t="s">
        <v>19738</v>
      </c>
      <c r="E4311" s="19" t="s">
        <v>32371</v>
      </c>
      <c r="F4311" s="19" t="s">
        <v>35989</v>
      </c>
      <c r="G4311" s="18" t="str">
        <f>"50801"</f>
        <v>50801</v>
      </c>
      <c r="H4311" s="19" t="s">
        <v>33554</v>
      </c>
      <c r="I4311" s="20">
        <v>19.178999999999998</v>
      </c>
      <c r="J4311" s="44" t="s">
        <v>8</v>
      </c>
      <c r="K4311" s="23" t="s">
        <v>8</v>
      </c>
      <c r="L4311" s="23" t="s">
        <v>8</v>
      </c>
      <c r="M4311" s="23" t="s">
        <v>8</v>
      </c>
    </row>
    <row r="4312" spans="1:13" s="21" customFormat="1" x14ac:dyDescent="0.25">
      <c r="A4312" s="22" t="s">
        <v>8</v>
      </c>
      <c r="B4312" s="18" t="str">
        <f>"165278"</f>
        <v>165278</v>
      </c>
      <c r="C4312" s="19" t="s">
        <v>4259</v>
      </c>
      <c r="D4312" s="19" t="s">
        <v>19739</v>
      </c>
      <c r="E4312" s="19" t="s">
        <v>32340</v>
      </c>
      <c r="F4312" s="19" t="s">
        <v>35989</v>
      </c>
      <c r="G4312" s="18" t="str">
        <f>"52403"</f>
        <v>52403</v>
      </c>
      <c r="H4312" s="19" t="s">
        <v>32661</v>
      </c>
      <c r="I4312" s="20">
        <v>18.420999999999999</v>
      </c>
      <c r="J4312" s="44" t="s">
        <v>8</v>
      </c>
      <c r="K4312" s="23" t="s">
        <v>8</v>
      </c>
      <c r="L4312" s="23" t="s">
        <v>8</v>
      </c>
      <c r="M4312" s="23" t="s">
        <v>8</v>
      </c>
    </row>
    <row r="4313" spans="1:13" s="21" customFormat="1" x14ac:dyDescent="0.25">
      <c r="A4313" s="22" t="s">
        <v>8</v>
      </c>
      <c r="B4313" s="18" t="str">
        <f>"165279"</f>
        <v>165279</v>
      </c>
      <c r="C4313" s="19" t="s">
        <v>4260</v>
      </c>
      <c r="D4313" s="19" t="s">
        <v>19740</v>
      </c>
      <c r="E4313" s="19" t="s">
        <v>30986</v>
      </c>
      <c r="F4313" s="19" t="s">
        <v>35989</v>
      </c>
      <c r="G4313" s="18" t="str">
        <f>"52310"</f>
        <v>52310</v>
      </c>
      <c r="H4313" s="19" t="s">
        <v>34651</v>
      </c>
      <c r="I4313" s="20">
        <v>18.216000000000001</v>
      </c>
      <c r="J4313" s="44" t="s">
        <v>8</v>
      </c>
      <c r="K4313" s="23" t="s">
        <v>8</v>
      </c>
      <c r="L4313" s="23" t="s">
        <v>8</v>
      </c>
      <c r="M4313" s="23" t="s">
        <v>8</v>
      </c>
    </row>
    <row r="4314" spans="1:13" s="21" customFormat="1" x14ac:dyDescent="0.25">
      <c r="A4314" s="22" t="s">
        <v>8</v>
      </c>
      <c r="B4314" s="18" t="str">
        <f>"165280"</f>
        <v>165280</v>
      </c>
      <c r="C4314" s="19" t="s">
        <v>4261</v>
      </c>
      <c r="D4314" s="19" t="s">
        <v>19741</v>
      </c>
      <c r="E4314" s="19" t="s">
        <v>32413</v>
      </c>
      <c r="F4314" s="19" t="s">
        <v>35989</v>
      </c>
      <c r="G4314" s="18" t="str">
        <f>"52722"</f>
        <v>52722</v>
      </c>
      <c r="H4314" s="19" t="s">
        <v>36083</v>
      </c>
      <c r="I4314" s="20">
        <v>19.259</v>
      </c>
      <c r="J4314" s="44" t="s">
        <v>8</v>
      </c>
      <c r="K4314" s="23" t="s">
        <v>8</v>
      </c>
      <c r="L4314" s="23" t="s">
        <v>8</v>
      </c>
      <c r="M4314" s="23" t="s">
        <v>8</v>
      </c>
    </row>
    <row r="4315" spans="1:13" s="21" customFormat="1" x14ac:dyDescent="0.25">
      <c r="A4315" s="22" t="s">
        <v>8</v>
      </c>
      <c r="B4315" s="18" t="str">
        <f>"165282"</f>
        <v>165282</v>
      </c>
      <c r="C4315" s="19" t="s">
        <v>4262</v>
      </c>
      <c r="D4315" s="19" t="s">
        <v>19742</v>
      </c>
      <c r="E4315" s="19" t="s">
        <v>32414</v>
      </c>
      <c r="F4315" s="19" t="s">
        <v>35989</v>
      </c>
      <c r="G4315" s="18" t="str">
        <f>"50627"</f>
        <v>50627</v>
      </c>
      <c r="H4315" s="19" t="s">
        <v>32124</v>
      </c>
      <c r="I4315" s="20">
        <v>17.501000000000001</v>
      </c>
      <c r="J4315" s="44" t="s">
        <v>8</v>
      </c>
      <c r="K4315" s="23" t="s">
        <v>8</v>
      </c>
      <c r="L4315" s="23" t="s">
        <v>8</v>
      </c>
      <c r="M4315" s="23" t="s">
        <v>8</v>
      </c>
    </row>
    <row r="4316" spans="1:13" s="21" customFormat="1" x14ac:dyDescent="0.25">
      <c r="A4316" s="22" t="s">
        <v>8</v>
      </c>
      <c r="B4316" s="18" t="str">
        <f>"165283"</f>
        <v>165283</v>
      </c>
      <c r="C4316" s="19" t="s">
        <v>4263</v>
      </c>
      <c r="D4316" s="19" t="s">
        <v>19743</v>
      </c>
      <c r="E4316" s="19" t="s">
        <v>32415</v>
      </c>
      <c r="F4316" s="19" t="s">
        <v>35989</v>
      </c>
      <c r="G4316" s="18" t="str">
        <f>"51240"</f>
        <v>51240</v>
      </c>
      <c r="H4316" s="19" t="s">
        <v>36274</v>
      </c>
      <c r="I4316" s="20">
        <v>18.364000000000001</v>
      </c>
      <c r="J4316" s="44" t="s">
        <v>8</v>
      </c>
      <c r="K4316" s="23" t="s">
        <v>8</v>
      </c>
      <c r="L4316" s="23" t="s">
        <v>8</v>
      </c>
      <c r="M4316" s="23" t="s">
        <v>8</v>
      </c>
    </row>
    <row r="4317" spans="1:13" s="21" customFormat="1" x14ac:dyDescent="0.25">
      <c r="A4317" s="22" t="s">
        <v>8</v>
      </c>
      <c r="B4317" s="18" t="str">
        <f>"165284"</f>
        <v>165284</v>
      </c>
      <c r="C4317" s="19" t="s">
        <v>4264</v>
      </c>
      <c r="D4317" s="19" t="s">
        <v>19744</v>
      </c>
      <c r="E4317" s="19" t="s">
        <v>32416</v>
      </c>
      <c r="F4317" s="19" t="s">
        <v>35989</v>
      </c>
      <c r="G4317" s="18" t="str">
        <f>"50579"</f>
        <v>50579</v>
      </c>
      <c r="H4317" s="19" t="s">
        <v>31743</v>
      </c>
      <c r="I4317" s="20">
        <v>19.178999999999998</v>
      </c>
      <c r="J4317" s="44" t="s">
        <v>8</v>
      </c>
      <c r="K4317" s="23" t="s">
        <v>8</v>
      </c>
      <c r="L4317" s="23" t="s">
        <v>8</v>
      </c>
      <c r="M4317" s="23" t="s">
        <v>8</v>
      </c>
    </row>
    <row r="4318" spans="1:13" s="21" customFormat="1" x14ac:dyDescent="0.25">
      <c r="A4318" s="22" t="s">
        <v>8</v>
      </c>
      <c r="B4318" s="18" t="str">
        <f>"165285"</f>
        <v>165285</v>
      </c>
      <c r="C4318" s="19" t="s">
        <v>4265</v>
      </c>
      <c r="D4318" s="19" t="s">
        <v>19745</v>
      </c>
      <c r="E4318" s="19" t="s">
        <v>31087</v>
      </c>
      <c r="F4318" s="19" t="s">
        <v>35989</v>
      </c>
      <c r="G4318" s="18" t="str">
        <f>"50841"</f>
        <v>50841</v>
      </c>
      <c r="H4318" s="19" t="s">
        <v>33467</v>
      </c>
      <c r="I4318" s="20">
        <v>18.446999999999999</v>
      </c>
      <c r="J4318" s="44" t="s">
        <v>8</v>
      </c>
      <c r="K4318" s="23" t="s">
        <v>8</v>
      </c>
      <c r="L4318" s="23" t="s">
        <v>8</v>
      </c>
      <c r="M4318" s="23" t="s">
        <v>8</v>
      </c>
    </row>
    <row r="4319" spans="1:13" s="21" customFormat="1" x14ac:dyDescent="0.25">
      <c r="A4319" s="22" t="s">
        <v>8</v>
      </c>
      <c r="B4319" s="18" t="str">
        <f>"165286"</f>
        <v>165286</v>
      </c>
      <c r="C4319" s="19" t="s">
        <v>4266</v>
      </c>
      <c r="D4319" s="19" t="s">
        <v>19746</v>
      </c>
      <c r="E4319" s="19" t="s">
        <v>32417</v>
      </c>
      <c r="F4319" s="19" t="s">
        <v>35989</v>
      </c>
      <c r="G4319" s="18" t="str">
        <f>"50675"</f>
        <v>50675</v>
      </c>
      <c r="H4319" s="19" t="s">
        <v>32511</v>
      </c>
      <c r="I4319" s="20">
        <v>18.34</v>
      </c>
      <c r="J4319" s="44" t="s">
        <v>8</v>
      </c>
      <c r="K4319" s="23" t="s">
        <v>8</v>
      </c>
      <c r="L4319" s="23" t="s">
        <v>8</v>
      </c>
      <c r="M4319" s="23" t="s">
        <v>8</v>
      </c>
    </row>
    <row r="4320" spans="1:13" s="21" customFormat="1" x14ac:dyDescent="0.25">
      <c r="A4320" s="22" t="s">
        <v>8</v>
      </c>
      <c r="B4320" s="18" t="str">
        <f>"165287"</f>
        <v>165287</v>
      </c>
      <c r="C4320" s="19" t="s">
        <v>4267</v>
      </c>
      <c r="D4320" s="19" t="s">
        <v>19747</v>
      </c>
      <c r="E4320" s="19" t="s">
        <v>32418</v>
      </c>
      <c r="F4320" s="19" t="s">
        <v>35989</v>
      </c>
      <c r="G4320" s="18" t="str">
        <f>"52358"</f>
        <v>52358</v>
      </c>
      <c r="H4320" s="19" t="s">
        <v>36284</v>
      </c>
      <c r="I4320" s="20">
        <v>19.867000000000001</v>
      </c>
      <c r="J4320" s="44" t="s">
        <v>8</v>
      </c>
      <c r="K4320" s="23" t="s">
        <v>8</v>
      </c>
      <c r="L4320" s="23" t="s">
        <v>8</v>
      </c>
      <c r="M4320" s="23" t="s">
        <v>8</v>
      </c>
    </row>
    <row r="4321" spans="1:13" s="21" customFormat="1" x14ac:dyDescent="0.25">
      <c r="A4321" s="22" t="s">
        <v>8</v>
      </c>
      <c r="B4321" s="18" t="str">
        <f>"165288"</f>
        <v>165288</v>
      </c>
      <c r="C4321" s="19" t="s">
        <v>4268</v>
      </c>
      <c r="D4321" s="19" t="s">
        <v>19748</v>
      </c>
      <c r="E4321" s="19" t="s">
        <v>32419</v>
      </c>
      <c r="F4321" s="19" t="s">
        <v>35989</v>
      </c>
      <c r="G4321" s="18" t="str">
        <f>"50022"</f>
        <v>50022</v>
      </c>
      <c r="H4321" s="19" t="s">
        <v>36246</v>
      </c>
      <c r="I4321" s="20">
        <v>19.738</v>
      </c>
      <c r="J4321" s="44" t="s">
        <v>8</v>
      </c>
      <c r="K4321" s="23" t="s">
        <v>8</v>
      </c>
      <c r="L4321" s="23" t="s">
        <v>8</v>
      </c>
      <c r="M4321" s="23" t="s">
        <v>8</v>
      </c>
    </row>
    <row r="4322" spans="1:13" s="21" customFormat="1" x14ac:dyDescent="0.25">
      <c r="A4322" s="22" t="s">
        <v>8</v>
      </c>
      <c r="B4322" s="18" t="str">
        <f>"165290"</f>
        <v>165290</v>
      </c>
      <c r="C4322" s="19" t="s">
        <v>4269</v>
      </c>
      <c r="D4322" s="19" t="s">
        <v>19749</v>
      </c>
      <c r="E4322" s="19" t="s">
        <v>32372</v>
      </c>
      <c r="F4322" s="19" t="s">
        <v>35989</v>
      </c>
      <c r="G4322" s="18" t="str">
        <f>"51503"</f>
        <v>51503</v>
      </c>
      <c r="H4322" s="19" t="s">
        <v>36277</v>
      </c>
      <c r="I4322" s="20">
        <v>17.91</v>
      </c>
      <c r="J4322" s="44" t="s">
        <v>8</v>
      </c>
      <c r="K4322" s="23" t="s">
        <v>8</v>
      </c>
      <c r="L4322" s="23" t="s">
        <v>8</v>
      </c>
      <c r="M4322" s="23" t="s">
        <v>8</v>
      </c>
    </row>
    <row r="4323" spans="1:13" s="21" customFormat="1" x14ac:dyDescent="0.25">
      <c r="A4323" s="22" t="s">
        <v>8</v>
      </c>
      <c r="B4323" s="18" t="str">
        <f>"165291"</f>
        <v>165291</v>
      </c>
      <c r="C4323" s="19" t="s">
        <v>4270</v>
      </c>
      <c r="D4323" s="19" t="s">
        <v>19750</v>
      </c>
      <c r="E4323" s="19" t="s">
        <v>32350</v>
      </c>
      <c r="F4323" s="19" t="s">
        <v>35989</v>
      </c>
      <c r="G4323" s="18" t="str">
        <f>"50501"</f>
        <v>50501</v>
      </c>
      <c r="H4323" s="19" t="s">
        <v>33048</v>
      </c>
      <c r="I4323" s="20">
        <v>19.106000000000002</v>
      </c>
      <c r="J4323" s="44" t="s">
        <v>8</v>
      </c>
      <c r="K4323" s="23" t="s">
        <v>8</v>
      </c>
      <c r="L4323" s="23" t="s">
        <v>8</v>
      </c>
      <c r="M4323" s="23" t="s">
        <v>8</v>
      </c>
    </row>
    <row r="4324" spans="1:13" s="21" customFormat="1" x14ac:dyDescent="0.25">
      <c r="A4324" s="22" t="s">
        <v>8</v>
      </c>
      <c r="B4324" s="18" t="str">
        <f>"165292"</f>
        <v>165292</v>
      </c>
      <c r="C4324" s="19" t="s">
        <v>4271</v>
      </c>
      <c r="D4324" s="19" t="s">
        <v>19751</v>
      </c>
      <c r="E4324" s="19" t="s">
        <v>32215</v>
      </c>
      <c r="F4324" s="19" t="s">
        <v>35989</v>
      </c>
      <c r="G4324" s="18" t="str">
        <f>"50833"</f>
        <v>50833</v>
      </c>
      <c r="H4324" s="19" t="s">
        <v>31080</v>
      </c>
      <c r="I4324" s="20">
        <v>18.280999999999999</v>
      </c>
      <c r="J4324" s="44" t="s">
        <v>8</v>
      </c>
      <c r="K4324" s="23" t="s">
        <v>8</v>
      </c>
      <c r="L4324" s="23" t="s">
        <v>8</v>
      </c>
      <c r="M4324" s="23" t="s">
        <v>8</v>
      </c>
    </row>
    <row r="4325" spans="1:13" s="21" customFormat="1" x14ac:dyDescent="0.25">
      <c r="A4325" s="22" t="s">
        <v>8</v>
      </c>
      <c r="B4325" s="18" t="str">
        <f>"165293"</f>
        <v>165293</v>
      </c>
      <c r="C4325" s="19" t="s">
        <v>4272</v>
      </c>
      <c r="D4325" s="19" t="s">
        <v>19752</v>
      </c>
      <c r="E4325" s="19" t="s">
        <v>31089</v>
      </c>
      <c r="F4325" s="19" t="s">
        <v>35989</v>
      </c>
      <c r="G4325" s="18" t="str">
        <f>"50213"</f>
        <v>50213</v>
      </c>
      <c r="H4325" s="19" t="s">
        <v>36034</v>
      </c>
      <c r="I4325" s="20">
        <v>17.186</v>
      </c>
      <c r="J4325" s="44" t="s">
        <v>8</v>
      </c>
      <c r="K4325" s="23" t="s">
        <v>8</v>
      </c>
      <c r="L4325" s="23" t="s">
        <v>8</v>
      </c>
      <c r="M4325" s="23" t="s">
        <v>8</v>
      </c>
    </row>
    <row r="4326" spans="1:13" s="21" customFormat="1" x14ac:dyDescent="0.25">
      <c r="A4326" s="22" t="s">
        <v>8</v>
      </c>
      <c r="B4326" s="18" t="str">
        <f>"165294"</f>
        <v>165294</v>
      </c>
      <c r="C4326" s="19" t="s">
        <v>4273</v>
      </c>
      <c r="D4326" s="19" t="s">
        <v>19753</v>
      </c>
      <c r="E4326" s="19" t="s">
        <v>32420</v>
      </c>
      <c r="F4326" s="19" t="s">
        <v>35989</v>
      </c>
      <c r="G4326" s="18" t="str">
        <f>"51521"</f>
        <v>51521</v>
      </c>
      <c r="H4326" s="19" t="s">
        <v>36277</v>
      </c>
      <c r="I4326" s="20">
        <v>19.991</v>
      </c>
      <c r="J4326" s="44" t="s">
        <v>8</v>
      </c>
      <c r="K4326" s="23" t="s">
        <v>8</v>
      </c>
      <c r="L4326" s="23" t="s">
        <v>8</v>
      </c>
      <c r="M4326" s="23" t="s">
        <v>8</v>
      </c>
    </row>
    <row r="4327" spans="1:13" s="21" customFormat="1" x14ac:dyDescent="0.25">
      <c r="A4327" s="22" t="s">
        <v>8</v>
      </c>
      <c r="B4327" s="18" t="str">
        <f>"165295"</f>
        <v>165295</v>
      </c>
      <c r="C4327" s="19" t="s">
        <v>4274</v>
      </c>
      <c r="D4327" s="19" t="s">
        <v>19754</v>
      </c>
      <c r="E4327" s="19" t="s">
        <v>31750</v>
      </c>
      <c r="F4327" s="19" t="s">
        <v>35989</v>
      </c>
      <c r="G4327" s="18" t="str">
        <f>"50171"</f>
        <v>50171</v>
      </c>
      <c r="H4327" s="19" t="s">
        <v>36267</v>
      </c>
      <c r="I4327" s="20">
        <v>18.37</v>
      </c>
      <c r="J4327" s="44" t="s">
        <v>8</v>
      </c>
      <c r="K4327" s="23" t="s">
        <v>8</v>
      </c>
      <c r="L4327" s="23" t="s">
        <v>8</v>
      </c>
      <c r="M4327" s="23" t="s">
        <v>8</v>
      </c>
    </row>
    <row r="4328" spans="1:13" s="21" customFormat="1" x14ac:dyDescent="0.25">
      <c r="A4328" s="22" t="s">
        <v>8</v>
      </c>
      <c r="B4328" s="18" t="str">
        <f>"165296"</f>
        <v>165296</v>
      </c>
      <c r="C4328" s="19" t="s">
        <v>4275</v>
      </c>
      <c r="D4328" s="19" t="s">
        <v>19755</v>
      </c>
      <c r="E4328" s="19" t="s">
        <v>32271</v>
      </c>
      <c r="F4328" s="19" t="s">
        <v>35989</v>
      </c>
      <c r="G4328" s="18" t="str">
        <f>"51063"</f>
        <v>51063</v>
      </c>
      <c r="H4328" s="19" t="s">
        <v>36283</v>
      </c>
      <c r="I4328" s="20">
        <v>20.260000000000002</v>
      </c>
      <c r="J4328" s="44" t="s">
        <v>8</v>
      </c>
      <c r="K4328" s="23" t="s">
        <v>8</v>
      </c>
      <c r="L4328" s="23" t="s">
        <v>8</v>
      </c>
      <c r="M4328" s="23" t="s">
        <v>8</v>
      </c>
    </row>
    <row r="4329" spans="1:13" s="21" customFormat="1" x14ac:dyDescent="0.25">
      <c r="A4329" s="22" t="s">
        <v>8</v>
      </c>
      <c r="B4329" s="18" t="str">
        <f>"165297"</f>
        <v>165297</v>
      </c>
      <c r="C4329" s="19" t="s">
        <v>4276</v>
      </c>
      <c r="D4329" s="19" t="s">
        <v>19756</v>
      </c>
      <c r="E4329" s="19" t="s">
        <v>32421</v>
      </c>
      <c r="F4329" s="19" t="s">
        <v>35989</v>
      </c>
      <c r="G4329" s="18" t="str">
        <f>"50659"</f>
        <v>50659</v>
      </c>
      <c r="H4329" s="19" t="s">
        <v>36286</v>
      </c>
      <c r="I4329" s="20">
        <v>18.646999999999998</v>
      </c>
      <c r="J4329" s="44" t="s">
        <v>8</v>
      </c>
      <c r="K4329" s="23" t="s">
        <v>8</v>
      </c>
      <c r="L4329" s="23" t="s">
        <v>8</v>
      </c>
      <c r="M4329" s="23" t="s">
        <v>8</v>
      </c>
    </row>
    <row r="4330" spans="1:13" s="21" customFormat="1" x14ac:dyDescent="0.25">
      <c r="A4330" s="22" t="s">
        <v>8</v>
      </c>
      <c r="B4330" s="18" t="str">
        <f>"165298"</f>
        <v>165298</v>
      </c>
      <c r="C4330" s="19" t="s">
        <v>4277</v>
      </c>
      <c r="D4330" s="19" t="s">
        <v>19757</v>
      </c>
      <c r="E4330" s="19" t="s">
        <v>32370</v>
      </c>
      <c r="F4330" s="19" t="s">
        <v>35989</v>
      </c>
      <c r="G4330" s="18" t="str">
        <f>"50613"</f>
        <v>50613</v>
      </c>
      <c r="H4330" s="19" t="s">
        <v>36268</v>
      </c>
      <c r="I4330" s="20">
        <v>17.486000000000001</v>
      </c>
      <c r="J4330" s="44" t="s">
        <v>8</v>
      </c>
      <c r="K4330" s="23" t="s">
        <v>8</v>
      </c>
      <c r="L4330" s="23" t="s">
        <v>8</v>
      </c>
      <c r="M4330" s="23" t="s">
        <v>8</v>
      </c>
    </row>
    <row r="4331" spans="1:13" s="21" customFormat="1" x14ac:dyDescent="0.25">
      <c r="A4331" s="22" t="s">
        <v>8</v>
      </c>
      <c r="B4331" s="18" t="str">
        <f>"165299"</f>
        <v>165299</v>
      </c>
      <c r="C4331" s="19" t="s">
        <v>4278</v>
      </c>
      <c r="D4331" s="19" t="s">
        <v>19758</v>
      </c>
      <c r="E4331" s="19" t="s">
        <v>30850</v>
      </c>
      <c r="F4331" s="19" t="s">
        <v>35989</v>
      </c>
      <c r="G4331" s="18" t="str">
        <f>"52302"</f>
        <v>52302</v>
      </c>
      <c r="H4331" s="19" t="s">
        <v>32661</v>
      </c>
      <c r="I4331" s="20">
        <v>21.085000000000001</v>
      </c>
      <c r="J4331" s="44" t="s">
        <v>8</v>
      </c>
      <c r="K4331" s="23" t="s">
        <v>8</v>
      </c>
      <c r="L4331" s="23" t="s">
        <v>8</v>
      </c>
      <c r="M4331" s="23" t="s">
        <v>8</v>
      </c>
    </row>
    <row r="4332" spans="1:13" s="21" customFormat="1" x14ac:dyDescent="0.25">
      <c r="A4332" s="22" t="s">
        <v>8</v>
      </c>
      <c r="B4332" s="18" t="str">
        <f>"165300"</f>
        <v>165300</v>
      </c>
      <c r="C4332" s="19" t="s">
        <v>4279</v>
      </c>
      <c r="D4332" s="19" t="s">
        <v>19759</v>
      </c>
      <c r="E4332" s="19" t="s">
        <v>32422</v>
      </c>
      <c r="F4332" s="19" t="s">
        <v>35989</v>
      </c>
      <c r="G4332" s="18" t="str">
        <f>"50651"</f>
        <v>50651</v>
      </c>
      <c r="H4332" s="19" t="s">
        <v>36268</v>
      </c>
      <c r="I4332" s="20">
        <v>19.693000000000001</v>
      </c>
      <c r="J4332" s="44" t="s">
        <v>8</v>
      </c>
      <c r="K4332" s="23" t="s">
        <v>8</v>
      </c>
      <c r="L4332" s="23" t="s">
        <v>8</v>
      </c>
      <c r="M4332" s="23" t="s">
        <v>8</v>
      </c>
    </row>
    <row r="4333" spans="1:13" s="21" customFormat="1" x14ac:dyDescent="0.25">
      <c r="A4333" s="22" t="s">
        <v>8</v>
      </c>
      <c r="B4333" s="18" t="str">
        <f>"165301"</f>
        <v>165301</v>
      </c>
      <c r="C4333" s="19" t="s">
        <v>4280</v>
      </c>
      <c r="D4333" s="19" t="s">
        <v>19760</v>
      </c>
      <c r="E4333" s="19" t="s">
        <v>32423</v>
      </c>
      <c r="F4333" s="19" t="s">
        <v>35989</v>
      </c>
      <c r="G4333" s="18" t="str">
        <f>"52157"</f>
        <v>52157</v>
      </c>
      <c r="H4333" s="19" t="s">
        <v>31848</v>
      </c>
      <c r="I4333" s="20">
        <v>19.131</v>
      </c>
      <c r="J4333" s="44" t="s">
        <v>8</v>
      </c>
      <c r="K4333" s="23" t="s">
        <v>8</v>
      </c>
      <c r="L4333" s="23" t="s">
        <v>8</v>
      </c>
      <c r="M4333" s="23" t="s">
        <v>8</v>
      </c>
    </row>
    <row r="4334" spans="1:13" s="21" customFormat="1" x14ac:dyDescent="0.25">
      <c r="A4334" s="22" t="s">
        <v>8</v>
      </c>
      <c r="B4334" s="18" t="str">
        <f>"165302"</f>
        <v>165302</v>
      </c>
      <c r="C4334" s="19" t="s">
        <v>4281</v>
      </c>
      <c r="D4334" s="19" t="s">
        <v>19761</v>
      </c>
      <c r="E4334" s="19" t="s">
        <v>32421</v>
      </c>
      <c r="F4334" s="19" t="s">
        <v>35989</v>
      </c>
      <c r="G4334" s="18" t="str">
        <f>"50659"</f>
        <v>50659</v>
      </c>
      <c r="H4334" s="19" t="s">
        <v>36286</v>
      </c>
      <c r="I4334" s="20">
        <v>17.690000000000001</v>
      </c>
      <c r="J4334" s="44" t="s">
        <v>8</v>
      </c>
      <c r="K4334" s="23" t="s">
        <v>8</v>
      </c>
      <c r="L4334" s="23" t="s">
        <v>8</v>
      </c>
      <c r="M4334" s="23" t="s">
        <v>8</v>
      </c>
    </row>
    <row r="4335" spans="1:13" s="21" customFormat="1" x14ac:dyDescent="0.25">
      <c r="A4335" s="22" t="s">
        <v>8</v>
      </c>
      <c r="B4335" s="18" t="str">
        <f>"165303"</f>
        <v>165303</v>
      </c>
      <c r="C4335" s="19" t="s">
        <v>4282</v>
      </c>
      <c r="D4335" s="19" t="s">
        <v>19762</v>
      </c>
      <c r="E4335" s="19" t="s">
        <v>32424</v>
      </c>
      <c r="F4335" s="19" t="s">
        <v>35989</v>
      </c>
      <c r="G4335" s="18" t="str">
        <f>"50644"</f>
        <v>50644</v>
      </c>
      <c r="H4335" s="19" t="s">
        <v>31819</v>
      </c>
      <c r="I4335" s="20">
        <v>17.754999999999999</v>
      </c>
      <c r="J4335" s="44" t="s">
        <v>8</v>
      </c>
      <c r="K4335" s="23" t="s">
        <v>8</v>
      </c>
      <c r="L4335" s="23" t="s">
        <v>8</v>
      </c>
      <c r="M4335" s="23" t="s">
        <v>8</v>
      </c>
    </row>
    <row r="4336" spans="1:13" s="21" customFormat="1" x14ac:dyDescent="0.25">
      <c r="A4336" s="22" t="s">
        <v>8</v>
      </c>
      <c r="B4336" s="18" t="str">
        <f>"165304"</f>
        <v>165304</v>
      </c>
      <c r="C4336" s="19" t="s">
        <v>4283</v>
      </c>
      <c r="D4336" s="19" t="s">
        <v>19763</v>
      </c>
      <c r="E4336" s="19" t="s">
        <v>30923</v>
      </c>
      <c r="F4336" s="19" t="s">
        <v>35989</v>
      </c>
      <c r="G4336" s="18" t="str">
        <f>"52639"</f>
        <v>52639</v>
      </c>
      <c r="H4336" s="19" t="s">
        <v>33138</v>
      </c>
      <c r="I4336" s="20">
        <v>19.783000000000001</v>
      </c>
      <c r="J4336" s="44" t="s">
        <v>8</v>
      </c>
      <c r="K4336" s="23" t="s">
        <v>8</v>
      </c>
      <c r="L4336" s="23" t="s">
        <v>8</v>
      </c>
      <c r="M4336" s="23" t="s">
        <v>8</v>
      </c>
    </row>
    <row r="4337" spans="1:13" s="21" customFormat="1" x14ac:dyDescent="0.25">
      <c r="A4337" s="22" t="s">
        <v>8</v>
      </c>
      <c r="B4337" s="18" t="str">
        <f>"165305"</f>
        <v>165305</v>
      </c>
      <c r="C4337" s="19" t="s">
        <v>4284</v>
      </c>
      <c r="D4337" s="19" t="s">
        <v>19764</v>
      </c>
      <c r="E4337" s="19" t="s">
        <v>32425</v>
      </c>
      <c r="F4337" s="19" t="s">
        <v>35989</v>
      </c>
      <c r="G4337" s="18" t="str">
        <f>"50049"</f>
        <v>50049</v>
      </c>
      <c r="H4337" s="19" t="s">
        <v>36287</v>
      </c>
      <c r="I4337" s="20">
        <v>18.559000000000001</v>
      </c>
      <c r="J4337" s="44" t="s">
        <v>8</v>
      </c>
      <c r="K4337" s="23" t="s">
        <v>8</v>
      </c>
      <c r="L4337" s="23" t="s">
        <v>8</v>
      </c>
      <c r="M4337" s="23" t="s">
        <v>8</v>
      </c>
    </row>
    <row r="4338" spans="1:13" s="21" customFormat="1" x14ac:dyDescent="0.25">
      <c r="A4338" s="22" t="s">
        <v>8</v>
      </c>
      <c r="B4338" s="18" t="str">
        <f>"165306"</f>
        <v>165306</v>
      </c>
      <c r="C4338" s="19" t="s">
        <v>1387</v>
      </c>
      <c r="D4338" s="19" t="s">
        <v>19765</v>
      </c>
      <c r="E4338" s="19" t="s">
        <v>31103</v>
      </c>
      <c r="F4338" s="19" t="s">
        <v>35989</v>
      </c>
      <c r="G4338" s="18" t="str">
        <f>"52556"</f>
        <v>52556</v>
      </c>
      <c r="H4338" s="19" t="s">
        <v>32391</v>
      </c>
      <c r="I4338" s="20">
        <v>18.934999999999999</v>
      </c>
      <c r="J4338" s="44" t="s">
        <v>8</v>
      </c>
      <c r="K4338" s="23" t="s">
        <v>8</v>
      </c>
      <c r="L4338" s="23" t="s">
        <v>8</v>
      </c>
      <c r="M4338" s="23" t="s">
        <v>8</v>
      </c>
    </row>
    <row r="4339" spans="1:13" s="21" customFormat="1" x14ac:dyDescent="0.25">
      <c r="A4339" s="22" t="s">
        <v>8</v>
      </c>
      <c r="B4339" s="18" t="str">
        <f>"165307"</f>
        <v>165307</v>
      </c>
      <c r="C4339" s="19" t="s">
        <v>4285</v>
      </c>
      <c r="D4339" s="19" t="s">
        <v>19766</v>
      </c>
      <c r="E4339" s="19" t="s">
        <v>32003</v>
      </c>
      <c r="F4339" s="19" t="s">
        <v>35989</v>
      </c>
      <c r="G4339" s="18" t="str">
        <f>"50703"</f>
        <v>50703</v>
      </c>
      <c r="H4339" s="19" t="s">
        <v>36268</v>
      </c>
      <c r="I4339" s="20">
        <v>17.902999999999999</v>
      </c>
      <c r="J4339" s="44" t="s">
        <v>8</v>
      </c>
      <c r="K4339" s="23" t="s">
        <v>8</v>
      </c>
      <c r="L4339" s="23" t="s">
        <v>8</v>
      </c>
      <c r="M4339" s="23" t="s">
        <v>8</v>
      </c>
    </row>
    <row r="4340" spans="1:13" s="21" customFormat="1" x14ac:dyDescent="0.25">
      <c r="A4340" s="22" t="s">
        <v>8</v>
      </c>
      <c r="B4340" s="18" t="str">
        <f>"165308"</f>
        <v>165308</v>
      </c>
      <c r="C4340" s="19" t="s">
        <v>4286</v>
      </c>
      <c r="D4340" s="19" t="s">
        <v>19767</v>
      </c>
      <c r="E4340" s="19" t="s">
        <v>32067</v>
      </c>
      <c r="F4340" s="19" t="s">
        <v>35989</v>
      </c>
      <c r="G4340" s="18" t="str">
        <f>"50138"</f>
        <v>50138</v>
      </c>
      <c r="H4340" s="19" t="s">
        <v>30850</v>
      </c>
      <c r="I4340" s="20">
        <v>18.984999999999999</v>
      </c>
      <c r="J4340" s="44" t="s">
        <v>8</v>
      </c>
      <c r="K4340" s="23" t="s">
        <v>8</v>
      </c>
      <c r="L4340" s="23" t="s">
        <v>8</v>
      </c>
      <c r="M4340" s="23" t="s">
        <v>8</v>
      </c>
    </row>
    <row r="4341" spans="1:13" s="21" customFormat="1" x14ac:dyDescent="0.25">
      <c r="A4341" s="22" t="s">
        <v>8</v>
      </c>
      <c r="B4341" s="18" t="str">
        <f>"165309"</f>
        <v>165309</v>
      </c>
      <c r="C4341" s="19" t="s">
        <v>4287</v>
      </c>
      <c r="D4341" s="19" t="s">
        <v>19768</v>
      </c>
      <c r="E4341" s="19" t="s">
        <v>32426</v>
      </c>
      <c r="F4341" s="19" t="s">
        <v>35989</v>
      </c>
      <c r="G4341" s="18" t="str">
        <f>"50670"</f>
        <v>50670</v>
      </c>
      <c r="H4341" s="19" t="s">
        <v>30876</v>
      </c>
      <c r="I4341" s="20">
        <v>20.545999999999999</v>
      </c>
      <c r="J4341" s="44" t="s">
        <v>8</v>
      </c>
      <c r="K4341" s="23" t="s">
        <v>8</v>
      </c>
      <c r="L4341" s="23" t="s">
        <v>8</v>
      </c>
      <c r="M4341" s="23" t="s">
        <v>8</v>
      </c>
    </row>
    <row r="4342" spans="1:13" s="21" customFormat="1" x14ac:dyDescent="0.25">
      <c r="A4342" s="22" t="s">
        <v>8</v>
      </c>
      <c r="B4342" s="18" t="str">
        <f>"165310"</f>
        <v>165310</v>
      </c>
      <c r="C4342" s="19" t="s">
        <v>4288</v>
      </c>
      <c r="D4342" s="19" t="s">
        <v>19769</v>
      </c>
      <c r="E4342" s="19" t="s">
        <v>32340</v>
      </c>
      <c r="F4342" s="19" t="s">
        <v>35989</v>
      </c>
      <c r="G4342" s="18" t="str">
        <f>"52404"</f>
        <v>52404</v>
      </c>
      <c r="H4342" s="19" t="s">
        <v>32661</v>
      </c>
      <c r="I4342" s="20">
        <v>22.582000000000001</v>
      </c>
      <c r="J4342" s="44" t="s">
        <v>8</v>
      </c>
      <c r="K4342" s="23" t="s">
        <v>8</v>
      </c>
      <c r="L4342" s="23" t="s">
        <v>8</v>
      </c>
      <c r="M4342" s="23" t="s">
        <v>8</v>
      </c>
    </row>
    <row r="4343" spans="1:13" s="21" customFormat="1" x14ac:dyDescent="0.25">
      <c r="A4343" s="22" t="s">
        <v>8</v>
      </c>
      <c r="B4343" s="18" t="str">
        <f>"165311"</f>
        <v>165311</v>
      </c>
      <c r="C4343" s="19" t="s">
        <v>4289</v>
      </c>
      <c r="D4343" s="19" t="s">
        <v>19770</v>
      </c>
      <c r="E4343" s="19" t="s">
        <v>32375</v>
      </c>
      <c r="F4343" s="19" t="s">
        <v>35989</v>
      </c>
      <c r="G4343" s="18" t="str">
        <f>"51031"</f>
        <v>51031</v>
      </c>
      <c r="H4343" s="19" t="s">
        <v>31465</v>
      </c>
      <c r="I4343" s="20">
        <v>19.544</v>
      </c>
      <c r="J4343" s="44" t="s">
        <v>8</v>
      </c>
      <c r="K4343" s="23" t="s">
        <v>8</v>
      </c>
      <c r="L4343" s="23" t="s">
        <v>8</v>
      </c>
      <c r="M4343" s="23" t="s">
        <v>8</v>
      </c>
    </row>
    <row r="4344" spans="1:13" s="21" customFormat="1" x14ac:dyDescent="0.25">
      <c r="A4344" s="22" t="s">
        <v>8</v>
      </c>
      <c r="B4344" s="18" t="str">
        <f>"165312"</f>
        <v>165312</v>
      </c>
      <c r="C4344" s="19" t="s">
        <v>4290</v>
      </c>
      <c r="D4344" s="19" t="s">
        <v>19771</v>
      </c>
      <c r="E4344" s="19" t="s">
        <v>32427</v>
      </c>
      <c r="F4344" s="19" t="s">
        <v>35989</v>
      </c>
      <c r="G4344" s="18" t="str">
        <f>"50540"</f>
        <v>50540</v>
      </c>
      <c r="H4344" s="19" t="s">
        <v>30985</v>
      </c>
      <c r="I4344" s="20">
        <v>19.966000000000001</v>
      </c>
      <c r="J4344" s="44" t="s">
        <v>8</v>
      </c>
      <c r="K4344" s="23" t="s">
        <v>8</v>
      </c>
      <c r="L4344" s="23" t="s">
        <v>8</v>
      </c>
      <c r="M4344" s="23" t="s">
        <v>8</v>
      </c>
    </row>
    <row r="4345" spans="1:13" s="21" customFormat="1" x14ac:dyDescent="0.25">
      <c r="A4345" s="22" t="s">
        <v>8</v>
      </c>
      <c r="B4345" s="18" t="str">
        <f>"165313"</f>
        <v>165313</v>
      </c>
      <c r="C4345" s="19" t="s">
        <v>4291</v>
      </c>
      <c r="D4345" s="19" t="s">
        <v>19772</v>
      </c>
      <c r="E4345" s="19" t="s">
        <v>32428</v>
      </c>
      <c r="F4345" s="19" t="s">
        <v>35989</v>
      </c>
      <c r="G4345" s="18" t="str">
        <f>"52531"</f>
        <v>52531</v>
      </c>
      <c r="H4345" s="19" t="s">
        <v>31711</v>
      </c>
      <c r="I4345" s="20">
        <v>18.311</v>
      </c>
      <c r="J4345" s="44" t="s">
        <v>8</v>
      </c>
      <c r="K4345" s="23" t="s">
        <v>8</v>
      </c>
      <c r="L4345" s="23" t="s">
        <v>8</v>
      </c>
      <c r="M4345" s="23" t="s">
        <v>8</v>
      </c>
    </row>
    <row r="4346" spans="1:13" s="21" customFormat="1" x14ac:dyDescent="0.25">
      <c r="A4346" s="22" t="s">
        <v>8</v>
      </c>
      <c r="B4346" s="18" t="str">
        <f>"165314"</f>
        <v>165314</v>
      </c>
      <c r="C4346" s="19" t="s">
        <v>4292</v>
      </c>
      <c r="D4346" s="19" t="s">
        <v>19773</v>
      </c>
      <c r="E4346" s="19" t="s">
        <v>32429</v>
      </c>
      <c r="F4346" s="19" t="s">
        <v>35989</v>
      </c>
      <c r="G4346" s="18" t="str">
        <f>"50140"</f>
        <v>50140</v>
      </c>
      <c r="H4346" s="19" t="s">
        <v>30853</v>
      </c>
      <c r="I4346" s="20">
        <v>18.306000000000001</v>
      </c>
      <c r="J4346" s="44" t="s">
        <v>8</v>
      </c>
      <c r="K4346" s="23" t="s">
        <v>8</v>
      </c>
      <c r="L4346" s="23" t="s">
        <v>8</v>
      </c>
      <c r="M4346" s="23" t="s">
        <v>8</v>
      </c>
    </row>
    <row r="4347" spans="1:13" s="21" customFormat="1" x14ac:dyDescent="0.25">
      <c r="A4347" s="22" t="s">
        <v>8</v>
      </c>
      <c r="B4347" s="18" t="str">
        <f>"165316"</f>
        <v>165316</v>
      </c>
      <c r="C4347" s="19" t="s">
        <v>4293</v>
      </c>
      <c r="D4347" s="19" t="s">
        <v>19774</v>
      </c>
      <c r="E4347" s="19" t="s">
        <v>32414</v>
      </c>
      <c r="F4347" s="19" t="s">
        <v>35989</v>
      </c>
      <c r="G4347" s="18" t="str">
        <f>"50627"</f>
        <v>50627</v>
      </c>
      <c r="H4347" s="19" t="s">
        <v>32124</v>
      </c>
      <c r="I4347" s="20">
        <v>18.02</v>
      </c>
      <c r="J4347" s="44" t="s">
        <v>8</v>
      </c>
      <c r="K4347" s="23" t="s">
        <v>8</v>
      </c>
      <c r="L4347" s="23" t="s">
        <v>8</v>
      </c>
      <c r="M4347" s="23" t="s">
        <v>8</v>
      </c>
    </row>
    <row r="4348" spans="1:13" s="21" customFormat="1" x14ac:dyDescent="0.25">
      <c r="A4348" s="22" t="s">
        <v>8</v>
      </c>
      <c r="B4348" s="18" t="str">
        <f>"165318"</f>
        <v>165318</v>
      </c>
      <c r="C4348" s="19" t="s">
        <v>4294</v>
      </c>
      <c r="D4348" s="19" t="s">
        <v>19775</v>
      </c>
      <c r="E4348" s="19" t="s">
        <v>32430</v>
      </c>
      <c r="F4348" s="19" t="s">
        <v>35989</v>
      </c>
      <c r="G4348" s="18" t="str">
        <f>"52203"</f>
        <v>52203</v>
      </c>
      <c r="H4348" s="19" t="s">
        <v>36288</v>
      </c>
      <c r="I4348" s="20">
        <v>21.608000000000001</v>
      </c>
      <c r="J4348" s="44" t="s">
        <v>8</v>
      </c>
      <c r="K4348" s="23" t="s">
        <v>8</v>
      </c>
      <c r="L4348" s="23" t="s">
        <v>8</v>
      </c>
      <c r="M4348" s="23" t="s">
        <v>8</v>
      </c>
    </row>
    <row r="4349" spans="1:13" s="21" customFormat="1" x14ac:dyDescent="0.25">
      <c r="A4349" s="22" t="s">
        <v>8</v>
      </c>
      <c r="B4349" s="18" t="str">
        <f>"165320"</f>
        <v>165320</v>
      </c>
      <c r="C4349" s="19" t="s">
        <v>4295</v>
      </c>
      <c r="D4349" s="19" t="s">
        <v>19776</v>
      </c>
      <c r="E4349" s="19" t="s">
        <v>32431</v>
      </c>
      <c r="F4349" s="19" t="s">
        <v>35989</v>
      </c>
      <c r="G4349" s="18" t="str">
        <f>"50278"</f>
        <v>50278</v>
      </c>
      <c r="H4349" s="19" t="s">
        <v>36289</v>
      </c>
      <c r="I4349" s="20">
        <v>18.451000000000001</v>
      </c>
      <c r="J4349" s="44" t="s">
        <v>8</v>
      </c>
      <c r="K4349" s="23" t="s">
        <v>8</v>
      </c>
      <c r="L4349" s="23" t="s">
        <v>8</v>
      </c>
      <c r="M4349" s="23" t="s">
        <v>8</v>
      </c>
    </row>
    <row r="4350" spans="1:13" s="21" customFormat="1" x14ac:dyDescent="0.25">
      <c r="A4350" s="22" t="s">
        <v>8</v>
      </c>
      <c r="B4350" s="18" t="str">
        <f>"165322"</f>
        <v>165322</v>
      </c>
      <c r="C4350" s="19" t="s">
        <v>4296</v>
      </c>
      <c r="D4350" s="19" t="s">
        <v>19777</v>
      </c>
      <c r="E4350" s="19" t="s">
        <v>32340</v>
      </c>
      <c r="F4350" s="19" t="s">
        <v>35989</v>
      </c>
      <c r="G4350" s="18" t="str">
        <f>"52402"</f>
        <v>52402</v>
      </c>
      <c r="H4350" s="19" t="s">
        <v>32661</v>
      </c>
      <c r="I4350" s="20">
        <v>18.765999999999998</v>
      </c>
      <c r="J4350" s="44" t="s">
        <v>8</v>
      </c>
      <c r="K4350" s="23" t="s">
        <v>8</v>
      </c>
      <c r="L4350" s="23" t="s">
        <v>8</v>
      </c>
      <c r="M4350" s="23" t="s">
        <v>8</v>
      </c>
    </row>
    <row r="4351" spans="1:13" s="21" customFormat="1" x14ac:dyDescent="0.25">
      <c r="A4351" s="22" t="s">
        <v>8</v>
      </c>
      <c r="B4351" s="18" t="str">
        <f>"165323"</f>
        <v>165323</v>
      </c>
      <c r="C4351" s="19" t="s">
        <v>4297</v>
      </c>
      <c r="D4351" s="19" t="s">
        <v>19778</v>
      </c>
      <c r="E4351" s="19" t="s">
        <v>32432</v>
      </c>
      <c r="F4351" s="19" t="s">
        <v>35989</v>
      </c>
      <c r="G4351" s="18" t="str">
        <f>"51016"</f>
        <v>51016</v>
      </c>
      <c r="H4351" s="19" t="s">
        <v>33348</v>
      </c>
      <c r="I4351" s="20">
        <v>18.888000000000002</v>
      </c>
      <c r="J4351" s="44" t="s">
        <v>8</v>
      </c>
      <c r="K4351" s="23" t="s">
        <v>8</v>
      </c>
      <c r="L4351" s="23" t="s">
        <v>8</v>
      </c>
      <c r="M4351" s="23" t="s">
        <v>8</v>
      </c>
    </row>
    <row r="4352" spans="1:13" s="21" customFormat="1" x14ac:dyDescent="0.25">
      <c r="A4352" s="22" t="s">
        <v>8</v>
      </c>
      <c r="B4352" s="18" t="str">
        <f>"165324"</f>
        <v>165324</v>
      </c>
      <c r="C4352" s="19" t="s">
        <v>4298</v>
      </c>
      <c r="D4352" s="19" t="s">
        <v>19779</v>
      </c>
      <c r="E4352" s="19" t="s">
        <v>32433</v>
      </c>
      <c r="F4352" s="19" t="s">
        <v>35989</v>
      </c>
      <c r="G4352" s="18" t="str">
        <f>"50225"</f>
        <v>50225</v>
      </c>
      <c r="H4352" s="19" t="s">
        <v>30850</v>
      </c>
      <c r="I4352" s="20">
        <v>18.911999999999999</v>
      </c>
      <c r="J4352" s="44" t="s">
        <v>8</v>
      </c>
      <c r="K4352" s="23" t="s">
        <v>8</v>
      </c>
      <c r="L4352" s="23" t="s">
        <v>8</v>
      </c>
      <c r="M4352" s="23" t="s">
        <v>8</v>
      </c>
    </row>
    <row r="4353" spans="1:13" s="21" customFormat="1" x14ac:dyDescent="0.25">
      <c r="A4353" s="22" t="s">
        <v>8</v>
      </c>
      <c r="B4353" s="18" t="str">
        <f>"165325"</f>
        <v>165325</v>
      </c>
      <c r="C4353" s="19" t="s">
        <v>4299</v>
      </c>
      <c r="D4353" s="19" t="s">
        <v>19780</v>
      </c>
      <c r="E4353" s="19" t="s">
        <v>32434</v>
      </c>
      <c r="F4353" s="19" t="s">
        <v>35989</v>
      </c>
      <c r="G4353" s="18" t="str">
        <f>"52591"</f>
        <v>52591</v>
      </c>
      <c r="H4353" s="19" t="s">
        <v>32335</v>
      </c>
      <c r="I4353" s="20">
        <v>18.385000000000002</v>
      </c>
      <c r="J4353" s="44" t="s">
        <v>8</v>
      </c>
      <c r="K4353" s="23" t="s">
        <v>8</v>
      </c>
      <c r="L4353" s="23" t="s">
        <v>8</v>
      </c>
      <c r="M4353" s="23" t="s">
        <v>8</v>
      </c>
    </row>
    <row r="4354" spans="1:13" s="21" customFormat="1" x14ac:dyDescent="0.25">
      <c r="A4354" s="22" t="s">
        <v>8</v>
      </c>
      <c r="B4354" s="18" t="str">
        <f>"165326"</f>
        <v>165326</v>
      </c>
      <c r="C4354" s="19" t="s">
        <v>4300</v>
      </c>
      <c r="D4354" s="19" t="s">
        <v>19781</v>
      </c>
      <c r="E4354" s="19" t="s">
        <v>31416</v>
      </c>
      <c r="F4354" s="19" t="s">
        <v>35989</v>
      </c>
      <c r="G4354" s="18" t="str">
        <f>"52537"</f>
        <v>52537</v>
      </c>
      <c r="H4354" s="19" t="s">
        <v>31269</v>
      </c>
      <c r="I4354" s="20">
        <v>16.527000000000001</v>
      </c>
      <c r="J4354" s="44" t="s">
        <v>8</v>
      </c>
      <c r="K4354" s="23" t="s">
        <v>8</v>
      </c>
      <c r="L4354" s="23" t="s">
        <v>8</v>
      </c>
      <c r="M4354" s="23" t="s">
        <v>8</v>
      </c>
    </row>
    <row r="4355" spans="1:13" s="21" customFormat="1" x14ac:dyDescent="0.25">
      <c r="A4355" s="22" t="s">
        <v>8</v>
      </c>
      <c r="B4355" s="18" t="str">
        <f>"165327"</f>
        <v>165327</v>
      </c>
      <c r="C4355" s="19" t="s">
        <v>4301</v>
      </c>
      <c r="D4355" s="19" t="s">
        <v>19782</v>
      </c>
      <c r="E4355" s="19" t="s">
        <v>30810</v>
      </c>
      <c r="F4355" s="19" t="s">
        <v>35989</v>
      </c>
      <c r="G4355" s="18" t="str">
        <f>"52659"</f>
        <v>52659</v>
      </c>
      <c r="H4355" s="19" t="s">
        <v>32041</v>
      </c>
      <c r="I4355" s="20">
        <v>18.707999999999998</v>
      </c>
      <c r="J4355" s="44" t="s">
        <v>8</v>
      </c>
      <c r="K4355" s="23" t="s">
        <v>8</v>
      </c>
      <c r="L4355" s="23" t="s">
        <v>8</v>
      </c>
      <c r="M4355" s="23" t="s">
        <v>8</v>
      </c>
    </row>
    <row r="4356" spans="1:13" s="21" customFormat="1" x14ac:dyDescent="0.25">
      <c r="A4356" s="22" t="s">
        <v>8</v>
      </c>
      <c r="B4356" s="18" t="str">
        <f>"165329"</f>
        <v>165329</v>
      </c>
      <c r="C4356" s="19" t="s">
        <v>4302</v>
      </c>
      <c r="D4356" s="19" t="s">
        <v>19783</v>
      </c>
      <c r="E4356" s="19" t="s">
        <v>32435</v>
      </c>
      <c r="F4356" s="19" t="s">
        <v>35989</v>
      </c>
      <c r="G4356" s="18" t="str">
        <f>"51028"</f>
        <v>51028</v>
      </c>
      <c r="H4356" s="19" t="s">
        <v>31465</v>
      </c>
      <c r="I4356" s="20">
        <v>19.512</v>
      </c>
      <c r="J4356" s="44" t="s">
        <v>8</v>
      </c>
      <c r="K4356" s="23" t="s">
        <v>8</v>
      </c>
      <c r="L4356" s="23" t="s">
        <v>8</v>
      </c>
      <c r="M4356" s="23" t="s">
        <v>8</v>
      </c>
    </row>
    <row r="4357" spans="1:13" s="21" customFormat="1" x14ac:dyDescent="0.25">
      <c r="A4357" s="22" t="s">
        <v>8</v>
      </c>
      <c r="B4357" s="18" t="str">
        <f>"165330"</f>
        <v>165330</v>
      </c>
      <c r="C4357" s="19" t="s">
        <v>4303</v>
      </c>
      <c r="D4357" s="19" t="s">
        <v>19784</v>
      </c>
      <c r="E4357" s="19" t="s">
        <v>32436</v>
      </c>
      <c r="F4357" s="19" t="s">
        <v>35989</v>
      </c>
      <c r="G4357" s="18" t="str">
        <f>"51012"</f>
        <v>51012</v>
      </c>
      <c r="H4357" s="19" t="s">
        <v>32436</v>
      </c>
      <c r="I4357" s="20">
        <v>18.663</v>
      </c>
      <c r="J4357" s="44" t="s">
        <v>8</v>
      </c>
      <c r="K4357" s="23" t="s">
        <v>8</v>
      </c>
      <c r="L4357" s="23" t="s">
        <v>8</v>
      </c>
      <c r="M4357" s="23" t="s">
        <v>8</v>
      </c>
    </row>
    <row r="4358" spans="1:13" s="21" customFormat="1" x14ac:dyDescent="0.25">
      <c r="A4358" s="22" t="s">
        <v>8</v>
      </c>
      <c r="B4358" s="18" t="str">
        <f>"165331"</f>
        <v>165331</v>
      </c>
      <c r="C4358" s="19" t="s">
        <v>4304</v>
      </c>
      <c r="D4358" s="19" t="s">
        <v>19785</v>
      </c>
      <c r="E4358" s="19" t="s">
        <v>32437</v>
      </c>
      <c r="F4358" s="19" t="s">
        <v>35989</v>
      </c>
      <c r="G4358" s="18" t="str">
        <f>"52640"</f>
        <v>52640</v>
      </c>
      <c r="H4358" s="19" t="s">
        <v>32685</v>
      </c>
      <c r="I4358" s="20">
        <v>17.744</v>
      </c>
      <c r="J4358" s="44" t="s">
        <v>8</v>
      </c>
      <c r="K4358" s="23" t="s">
        <v>8</v>
      </c>
      <c r="L4358" s="23" t="s">
        <v>8</v>
      </c>
      <c r="M4358" s="23" t="s">
        <v>8</v>
      </c>
    </row>
    <row r="4359" spans="1:13" s="21" customFormat="1" x14ac:dyDescent="0.25">
      <c r="A4359" s="22" t="s">
        <v>8</v>
      </c>
      <c r="B4359" s="18" t="str">
        <f>"165332"</f>
        <v>165332</v>
      </c>
      <c r="C4359" s="19" t="s">
        <v>4305</v>
      </c>
      <c r="D4359" s="19" t="s">
        <v>19786</v>
      </c>
      <c r="E4359" s="19" t="s">
        <v>32438</v>
      </c>
      <c r="F4359" s="19" t="s">
        <v>35989</v>
      </c>
      <c r="G4359" s="18" t="str">
        <f>"51573"</f>
        <v>51573</v>
      </c>
      <c r="H4359" s="19" t="s">
        <v>30833</v>
      </c>
      <c r="I4359" s="20">
        <v>18.512</v>
      </c>
      <c r="J4359" s="44" t="s">
        <v>8</v>
      </c>
      <c r="K4359" s="23" t="s">
        <v>8</v>
      </c>
      <c r="L4359" s="23" t="s">
        <v>8</v>
      </c>
      <c r="M4359" s="23" t="s">
        <v>8</v>
      </c>
    </row>
    <row r="4360" spans="1:13" s="21" customFormat="1" x14ac:dyDescent="0.25">
      <c r="A4360" s="22" t="s">
        <v>8</v>
      </c>
      <c r="B4360" s="18" t="str">
        <f>"165333"</f>
        <v>165333</v>
      </c>
      <c r="C4360" s="19" t="s">
        <v>4306</v>
      </c>
      <c r="D4360" s="19" t="s">
        <v>19787</v>
      </c>
      <c r="E4360" s="19" t="s">
        <v>32023</v>
      </c>
      <c r="F4360" s="19" t="s">
        <v>35989</v>
      </c>
      <c r="G4360" s="18" t="str">
        <f>"52314"</f>
        <v>52314</v>
      </c>
      <c r="H4360" s="19" t="s">
        <v>32661</v>
      </c>
      <c r="I4360" s="20">
        <v>18.651</v>
      </c>
      <c r="J4360" s="44" t="s">
        <v>8</v>
      </c>
      <c r="K4360" s="23" t="s">
        <v>8</v>
      </c>
      <c r="L4360" s="23" t="s">
        <v>8</v>
      </c>
      <c r="M4360" s="23" t="s">
        <v>8</v>
      </c>
    </row>
    <row r="4361" spans="1:13" s="21" customFormat="1" x14ac:dyDescent="0.25">
      <c r="A4361" s="22" t="s">
        <v>8</v>
      </c>
      <c r="B4361" s="18" t="str">
        <f>"165334"</f>
        <v>165334</v>
      </c>
      <c r="C4361" s="19" t="s">
        <v>4307</v>
      </c>
      <c r="D4361" s="19" t="s">
        <v>19788</v>
      </c>
      <c r="E4361" s="19" t="s">
        <v>32439</v>
      </c>
      <c r="F4361" s="19" t="s">
        <v>35989</v>
      </c>
      <c r="G4361" s="18" t="str">
        <f>"52052"</f>
        <v>52052</v>
      </c>
      <c r="H4361" s="19" t="s">
        <v>31848</v>
      </c>
      <c r="I4361" s="20">
        <v>18.645</v>
      </c>
      <c r="J4361" s="44" t="s">
        <v>8</v>
      </c>
      <c r="K4361" s="23" t="s">
        <v>8</v>
      </c>
      <c r="L4361" s="23" t="s">
        <v>8</v>
      </c>
      <c r="M4361" s="23" t="s">
        <v>8</v>
      </c>
    </row>
    <row r="4362" spans="1:13" s="21" customFormat="1" x14ac:dyDescent="0.25">
      <c r="A4362" s="22" t="s">
        <v>8</v>
      </c>
      <c r="B4362" s="18" t="str">
        <f>"165335"</f>
        <v>165335</v>
      </c>
      <c r="C4362" s="19" t="s">
        <v>4308</v>
      </c>
      <c r="D4362" s="19" t="s">
        <v>19789</v>
      </c>
      <c r="E4362" s="19" t="s">
        <v>32440</v>
      </c>
      <c r="F4362" s="19" t="s">
        <v>35989</v>
      </c>
      <c r="G4362" s="18" t="str">
        <f>"50122"</f>
        <v>50122</v>
      </c>
      <c r="H4362" s="19" t="s">
        <v>32124</v>
      </c>
      <c r="I4362" s="20">
        <v>17.16</v>
      </c>
      <c r="J4362" s="44" t="s">
        <v>8</v>
      </c>
      <c r="K4362" s="23" t="s">
        <v>8</v>
      </c>
      <c r="L4362" s="23" t="s">
        <v>8</v>
      </c>
      <c r="M4362" s="23" t="s">
        <v>8</v>
      </c>
    </row>
    <row r="4363" spans="1:13" s="21" customFormat="1" x14ac:dyDescent="0.25">
      <c r="A4363" s="22" t="s">
        <v>8</v>
      </c>
      <c r="B4363" s="18" t="str">
        <f>"165336"</f>
        <v>165336</v>
      </c>
      <c r="C4363" s="19" t="s">
        <v>4309</v>
      </c>
      <c r="D4363" s="19" t="s">
        <v>19790</v>
      </c>
      <c r="E4363" s="19" t="s">
        <v>32441</v>
      </c>
      <c r="F4363" s="19" t="s">
        <v>35989</v>
      </c>
      <c r="G4363" s="18" t="str">
        <f>"50602"</f>
        <v>50602</v>
      </c>
      <c r="H4363" s="19" t="s">
        <v>30876</v>
      </c>
      <c r="I4363" s="20">
        <v>17.524999999999999</v>
      </c>
      <c r="J4363" s="44" t="s">
        <v>8</v>
      </c>
      <c r="K4363" s="23" t="s">
        <v>8</v>
      </c>
      <c r="L4363" s="23" t="s">
        <v>8</v>
      </c>
      <c r="M4363" s="23" t="s">
        <v>8</v>
      </c>
    </row>
    <row r="4364" spans="1:13" s="21" customFormat="1" x14ac:dyDescent="0.25">
      <c r="A4364" s="22" t="s">
        <v>8</v>
      </c>
      <c r="B4364" s="18" t="str">
        <f>"165337"</f>
        <v>165337</v>
      </c>
      <c r="C4364" s="19" t="s">
        <v>4310</v>
      </c>
      <c r="D4364" s="19" t="s">
        <v>19791</v>
      </c>
      <c r="E4364" s="19" t="s">
        <v>32424</v>
      </c>
      <c r="F4364" s="19" t="s">
        <v>35989</v>
      </c>
      <c r="G4364" s="18" t="str">
        <f>"50644"</f>
        <v>50644</v>
      </c>
      <c r="H4364" s="19" t="s">
        <v>31819</v>
      </c>
      <c r="I4364" s="20">
        <v>19.143000000000001</v>
      </c>
      <c r="J4364" s="44" t="s">
        <v>8</v>
      </c>
      <c r="K4364" s="23" t="s">
        <v>8</v>
      </c>
      <c r="L4364" s="23" t="s">
        <v>8</v>
      </c>
      <c r="M4364" s="23" t="s">
        <v>8</v>
      </c>
    </row>
    <row r="4365" spans="1:13" s="21" customFormat="1" x14ac:dyDescent="0.25">
      <c r="A4365" s="22" t="s">
        <v>8</v>
      </c>
      <c r="B4365" s="18" t="str">
        <f>"165338"</f>
        <v>165338</v>
      </c>
      <c r="C4365" s="19" t="s">
        <v>4311</v>
      </c>
      <c r="D4365" s="19" t="s">
        <v>19792</v>
      </c>
      <c r="E4365" s="19" t="s">
        <v>32398</v>
      </c>
      <c r="F4365" s="19" t="s">
        <v>35989</v>
      </c>
      <c r="G4365" s="18" t="str">
        <f>"52172"</f>
        <v>52172</v>
      </c>
      <c r="H4365" s="19" t="s">
        <v>36281</v>
      </c>
      <c r="I4365" s="20">
        <v>18.274000000000001</v>
      </c>
      <c r="J4365" s="44" t="s">
        <v>8</v>
      </c>
      <c r="K4365" s="23" t="s">
        <v>8</v>
      </c>
      <c r="L4365" s="23" t="s">
        <v>8</v>
      </c>
      <c r="M4365" s="23" t="s">
        <v>8</v>
      </c>
    </row>
    <row r="4366" spans="1:13" s="21" customFormat="1" x14ac:dyDescent="0.25">
      <c r="A4366" s="22" t="s">
        <v>8</v>
      </c>
      <c r="B4366" s="18" t="str">
        <f>"165339"</f>
        <v>165339</v>
      </c>
      <c r="C4366" s="19" t="s">
        <v>4312</v>
      </c>
      <c r="D4366" s="19" t="s">
        <v>19793</v>
      </c>
      <c r="E4366" s="19" t="s">
        <v>32442</v>
      </c>
      <c r="F4366" s="19" t="s">
        <v>35989</v>
      </c>
      <c r="G4366" s="18" t="str">
        <f>"50625"</f>
        <v>50625</v>
      </c>
      <c r="H4366" s="19" t="s">
        <v>30876</v>
      </c>
      <c r="I4366" s="20">
        <v>19.661000000000001</v>
      </c>
      <c r="J4366" s="44" t="s">
        <v>8</v>
      </c>
      <c r="K4366" s="23" t="s">
        <v>8</v>
      </c>
      <c r="L4366" s="23" t="s">
        <v>8</v>
      </c>
      <c r="M4366" s="23" t="s">
        <v>8</v>
      </c>
    </row>
    <row r="4367" spans="1:13" s="21" customFormat="1" x14ac:dyDescent="0.25">
      <c r="A4367" s="22" t="s">
        <v>8</v>
      </c>
      <c r="B4367" s="18" t="str">
        <f>"165340"</f>
        <v>165340</v>
      </c>
      <c r="C4367" s="19" t="s">
        <v>4313</v>
      </c>
      <c r="D4367" s="19" t="s">
        <v>19794</v>
      </c>
      <c r="E4367" s="19" t="s">
        <v>32357</v>
      </c>
      <c r="F4367" s="19" t="s">
        <v>35989</v>
      </c>
      <c r="G4367" s="18" t="str">
        <f>"50662"</f>
        <v>50662</v>
      </c>
      <c r="H4367" s="19" t="s">
        <v>30805</v>
      </c>
      <c r="I4367" s="20">
        <v>17.59</v>
      </c>
      <c r="J4367" s="44" t="s">
        <v>8</v>
      </c>
      <c r="K4367" s="23" t="s">
        <v>8</v>
      </c>
      <c r="L4367" s="23" t="s">
        <v>8</v>
      </c>
      <c r="M4367" s="23" t="s">
        <v>8</v>
      </c>
    </row>
    <row r="4368" spans="1:13" s="21" customFormat="1" x14ac:dyDescent="0.25">
      <c r="A4368" s="22" t="s">
        <v>8</v>
      </c>
      <c r="B4368" s="18" t="str">
        <f>"165341"</f>
        <v>165341</v>
      </c>
      <c r="C4368" s="19" t="s">
        <v>4314</v>
      </c>
      <c r="D4368" s="19" t="s">
        <v>19795</v>
      </c>
      <c r="E4368" s="19" t="s">
        <v>32357</v>
      </c>
      <c r="F4368" s="19" t="s">
        <v>35989</v>
      </c>
      <c r="G4368" s="18" t="str">
        <f>"50662"</f>
        <v>50662</v>
      </c>
      <c r="H4368" s="19" t="s">
        <v>30805</v>
      </c>
      <c r="I4368" s="20">
        <v>18.529</v>
      </c>
      <c r="J4368" s="44" t="s">
        <v>8</v>
      </c>
      <c r="K4368" s="23" t="s">
        <v>8</v>
      </c>
      <c r="L4368" s="23" t="s">
        <v>8</v>
      </c>
      <c r="M4368" s="23" t="s">
        <v>8</v>
      </c>
    </row>
    <row r="4369" spans="1:13" s="21" customFormat="1" x14ac:dyDescent="0.25">
      <c r="A4369" s="22" t="s">
        <v>8</v>
      </c>
      <c r="B4369" s="18" t="str">
        <f>"165342"</f>
        <v>165342</v>
      </c>
      <c r="C4369" s="19" t="s">
        <v>4315</v>
      </c>
      <c r="D4369" s="19" t="s">
        <v>19796</v>
      </c>
      <c r="E4369" s="19" t="s">
        <v>32443</v>
      </c>
      <c r="F4369" s="19" t="s">
        <v>35989</v>
      </c>
      <c r="G4369" s="18" t="str">
        <f>"51006"</f>
        <v>51006</v>
      </c>
      <c r="H4369" s="19" t="s">
        <v>36278</v>
      </c>
      <c r="I4369" s="20">
        <v>17.748999999999999</v>
      </c>
      <c r="J4369" s="44" t="s">
        <v>8</v>
      </c>
      <c r="K4369" s="23" t="s">
        <v>8</v>
      </c>
      <c r="L4369" s="23" t="s">
        <v>8</v>
      </c>
      <c r="M4369" s="23" t="s">
        <v>8</v>
      </c>
    </row>
    <row r="4370" spans="1:13" s="21" customFormat="1" x14ac:dyDescent="0.25">
      <c r="A4370" s="22" t="s">
        <v>8</v>
      </c>
      <c r="B4370" s="18" t="str">
        <f>"165343"</f>
        <v>165343</v>
      </c>
      <c r="C4370" s="19" t="s">
        <v>4316</v>
      </c>
      <c r="D4370" s="19" t="s">
        <v>19797</v>
      </c>
      <c r="E4370" s="19" t="s">
        <v>32444</v>
      </c>
      <c r="F4370" s="19" t="s">
        <v>35989</v>
      </c>
      <c r="G4370" s="18" t="str">
        <f>"50583"</f>
        <v>50583</v>
      </c>
      <c r="H4370" s="19" t="s">
        <v>36273</v>
      </c>
      <c r="I4370" s="20">
        <v>18.436</v>
      </c>
      <c r="J4370" s="44" t="s">
        <v>8</v>
      </c>
      <c r="K4370" s="23" t="s">
        <v>8</v>
      </c>
      <c r="L4370" s="23" t="s">
        <v>8</v>
      </c>
      <c r="M4370" s="23" t="s">
        <v>8</v>
      </c>
    </row>
    <row r="4371" spans="1:13" s="21" customFormat="1" x14ac:dyDescent="0.25">
      <c r="A4371" s="22" t="s">
        <v>8</v>
      </c>
      <c r="B4371" s="18" t="str">
        <f>"165344"</f>
        <v>165344</v>
      </c>
      <c r="C4371" s="19" t="s">
        <v>4317</v>
      </c>
      <c r="D4371" s="19" t="s">
        <v>19798</v>
      </c>
      <c r="E4371" s="19" t="s">
        <v>32445</v>
      </c>
      <c r="F4371" s="19" t="s">
        <v>35989</v>
      </c>
      <c r="G4371" s="18" t="str">
        <f>"50543"</f>
        <v>50543</v>
      </c>
      <c r="H4371" s="19" t="s">
        <v>33048</v>
      </c>
      <c r="I4371" s="20">
        <v>19.425000000000001</v>
      </c>
      <c r="J4371" s="44" t="s">
        <v>8</v>
      </c>
      <c r="K4371" s="23" t="s">
        <v>8</v>
      </c>
      <c r="L4371" s="23" t="s">
        <v>8</v>
      </c>
      <c r="M4371" s="23" t="s">
        <v>8</v>
      </c>
    </row>
    <row r="4372" spans="1:13" s="21" customFormat="1" x14ac:dyDescent="0.25">
      <c r="A4372" s="22" t="s">
        <v>8</v>
      </c>
      <c r="B4372" s="18" t="str">
        <f>"165345"</f>
        <v>165345</v>
      </c>
      <c r="C4372" s="19" t="s">
        <v>4318</v>
      </c>
      <c r="D4372" s="19" t="s">
        <v>19799</v>
      </c>
      <c r="E4372" s="19" t="s">
        <v>31115</v>
      </c>
      <c r="F4372" s="19" t="s">
        <v>35989</v>
      </c>
      <c r="G4372" s="18" t="str">
        <f>"50327"</f>
        <v>50327</v>
      </c>
      <c r="H4372" s="19" t="s">
        <v>36062</v>
      </c>
      <c r="I4372" s="20">
        <v>19.242999999999999</v>
      </c>
      <c r="J4372" s="44" t="s">
        <v>8</v>
      </c>
      <c r="K4372" s="23" t="s">
        <v>8</v>
      </c>
      <c r="L4372" s="23" t="s">
        <v>8</v>
      </c>
      <c r="M4372" s="23" t="s">
        <v>8</v>
      </c>
    </row>
    <row r="4373" spans="1:13" s="21" customFormat="1" x14ac:dyDescent="0.25">
      <c r="A4373" s="22" t="s">
        <v>8</v>
      </c>
      <c r="B4373" s="18" t="str">
        <f>"165346"</f>
        <v>165346</v>
      </c>
      <c r="C4373" s="19" t="s">
        <v>4319</v>
      </c>
      <c r="D4373" s="19" t="s">
        <v>19800</v>
      </c>
      <c r="E4373" s="19" t="s">
        <v>32446</v>
      </c>
      <c r="F4373" s="19" t="s">
        <v>35989</v>
      </c>
      <c r="G4373" s="18" t="str">
        <f>"50604"</f>
        <v>50604</v>
      </c>
      <c r="H4373" s="19" t="s">
        <v>30876</v>
      </c>
      <c r="I4373" s="20">
        <v>19.042999999999999</v>
      </c>
      <c r="J4373" s="44" t="s">
        <v>8</v>
      </c>
      <c r="K4373" s="23" t="s">
        <v>8</v>
      </c>
      <c r="L4373" s="23" t="s">
        <v>8</v>
      </c>
      <c r="M4373" s="23" t="s">
        <v>8</v>
      </c>
    </row>
    <row r="4374" spans="1:13" s="21" customFormat="1" x14ac:dyDescent="0.25">
      <c r="A4374" s="22" t="s">
        <v>8</v>
      </c>
      <c r="B4374" s="18" t="str">
        <f>"165347"</f>
        <v>165347</v>
      </c>
      <c r="C4374" s="19" t="s">
        <v>4320</v>
      </c>
      <c r="D4374" s="19" t="s">
        <v>19801</v>
      </c>
      <c r="E4374" s="19" t="s">
        <v>32447</v>
      </c>
      <c r="F4374" s="19" t="s">
        <v>35989</v>
      </c>
      <c r="G4374" s="18" t="str">
        <f>"50458"</f>
        <v>50458</v>
      </c>
      <c r="H4374" s="19" t="s">
        <v>35420</v>
      </c>
      <c r="I4374" s="20">
        <v>17.419</v>
      </c>
      <c r="J4374" s="44" t="s">
        <v>8</v>
      </c>
      <c r="K4374" s="23" t="s">
        <v>8</v>
      </c>
      <c r="L4374" s="23" t="s">
        <v>8</v>
      </c>
      <c r="M4374" s="23" t="s">
        <v>8</v>
      </c>
    </row>
    <row r="4375" spans="1:13" s="21" customFormat="1" x14ac:dyDescent="0.25">
      <c r="A4375" s="22" t="s">
        <v>8</v>
      </c>
      <c r="B4375" s="18" t="str">
        <f>"165349"</f>
        <v>165349</v>
      </c>
      <c r="C4375" s="19" t="s">
        <v>4321</v>
      </c>
      <c r="D4375" s="19" t="s">
        <v>19802</v>
      </c>
      <c r="E4375" s="19" t="s">
        <v>32448</v>
      </c>
      <c r="F4375" s="19" t="s">
        <v>35989</v>
      </c>
      <c r="G4375" s="18" t="str">
        <f>"52208"</f>
        <v>52208</v>
      </c>
      <c r="H4375" s="19" t="s">
        <v>31024</v>
      </c>
      <c r="I4375" s="20">
        <v>18.599</v>
      </c>
      <c r="J4375" s="44" t="s">
        <v>8</v>
      </c>
      <c r="K4375" s="23" t="s">
        <v>8</v>
      </c>
      <c r="L4375" s="23" t="s">
        <v>8</v>
      </c>
      <c r="M4375" s="23" t="s">
        <v>8</v>
      </c>
    </row>
    <row r="4376" spans="1:13" s="21" customFormat="1" x14ac:dyDescent="0.25">
      <c r="A4376" s="22" t="s">
        <v>8</v>
      </c>
      <c r="B4376" s="18" t="str">
        <f>"165350"</f>
        <v>165350</v>
      </c>
      <c r="C4376" s="19" t="s">
        <v>4322</v>
      </c>
      <c r="D4376" s="19" t="s">
        <v>19803</v>
      </c>
      <c r="E4376" s="19" t="s">
        <v>32449</v>
      </c>
      <c r="F4376" s="19" t="s">
        <v>35989</v>
      </c>
      <c r="G4376" s="18" t="str">
        <f>"50265"</f>
        <v>50265</v>
      </c>
      <c r="H4376" s="19" t="s">
        <v>36062</v>
      </c>
      <c r="I4376" s="20">
        <v>17.047999999999998</v>
      </c>
      <c r="J4376" s="44" t="s">
        <v>8</v>
      </c>
      <c r="K4376" s="23" t="s">
        <v>8</v>
      </c>
      <c r="L4376" s="23" t="s">
        <v>8</v>
      </c>
      <c r="M4376" s="23" t="s">
        <v>8</v>
      </c>
    </row>
    <row r="4377" spans="1:13" s="21" customFormat="1" x14ac:dyDescent="0.25">
      <c r="A4377" s="22" t="s">
        <v>8</v>
      </c>
      <c r="B4377" s="18" t="str">
        <f>"165351"</f>
        <v>165351</v>
      </c>
      <c r="C4377" s="19" t="s">
        <v>4323</v>
      </c>
      <c r="D4377" s="19" t="s">
        <v>19804</v>
      </c>
      <c r="E4377" s="19" t="s">
        <v>32450</v>
      </c>
      <c r="F4377" s="19" t="s">
        <v>35989</v>
      </c>
      <c r="G4377" s="18" t="str">
        <f>"51535"</f>
        <v>51535</v>
      </c>
      <c r="H4377" s="19" t="s">
        <v>36246</v>
      </c>
      <c r="I4377" s="20">
        <v>18.617000000000001</v>
      </c>
      <c r="J4377" s="44" t="s">
        <v>8</v>
      </c>
      <c r="K4377" s="23" t="s">
        <v>8</v>
      </c>
      <c r="L4377" s="23" t="s">
        <v>8</v>
      </c>
      <c r="M4377" s="23" t="s">
        <v>8</v>
      </c>
    </row>
    <row r="4378" spans="1:13" s="21" customFormat="1" x14ac:dyDescent="0.25">
      <c r="A4378" s="22" t="s">
        <v>8</v>
      </c>
      <c r="B4378" s="18" t="str">
        <f>"165352"</f>
        <v>165352</v>
      </c>
      <c r="C4378" s="19" t="s">
        <v>4324</v>
      </c>
      <c r="D4378" s="19" t="s">
        <v>19805</v>
      </c>
      <c r="E4378" s="19" t="s">
        <v>32451</v>
      </c>
      <c r="F4378" s="19" t="s">
        <v>35989</v>
      </c>
      <c r="G4378" s="18" t="str">
        <f>"50536"</f>
        <v>50536</v>
      </c>
      <c r="H4378" s="19" t="s">
        <v>31242</v>
      </c>
      <c r="I4378" s="20">
        <v>18.773</v>
      </c>
      <c r="J4378" s="44" t="s">
        <v>8</v>
      </c>
      <c r="K4378" s="23" t="s">
        <v>8</v>
      </c>
      <c r="L4378" s="23" t="s">
        <v>8</v>
      </c>
      <c r="M4378" s="23" t="s">
        <v>8</v>
      </c>
    </row>
    <row r="4379" spans="1:13" s="21" customFormat="1" x14ac:dyDescent="0.25">
      <c r="A4379" s="22" t="s">
        <v>8</v>
      </c>
      <c r="B4379" s="18" t="str">
        <f>"165353"</f>
        <v>165353</v>
      </c>
      <c r="C4379" s="19" t="s">
        <v>4325</v>
      </c>
      <c r="D4379" s="19" t="s">
        <v>19806</v>
      </c>
      <c r="E4379" s="19" t="s">
        <v>32452</v>
      </c>
      <c r="F4379" s="19" t="s">
        <v>35989</v>
      </c>
      <c r="G4379" s="18" t="str">
        <f>"50514"</f>
        <v>50514</v>
      </c>
      <c r="H4379" s="19" t="s">
        <v>36276</v>
      </c>
      <c r="I4379" s="20">
        <v>19.439</v>
      </c>
      <c r="J4379" s="44" t="s">
        <v>8</v>
      </c>
      <c r="K4379" s="23" t="s">
        <v>8</v>
      </c>
      <c r="L4379" s="23" t="s">
        <v>8</v>
      </c>
      <c r="M4379" s="23" t="s">
        <v>8</v>
      </c>
    </row>
    <row r="4380" spans="1:13" s="21" customFormat="1" x14ac:dyDescent="0.25">
      <c r="A4380" s="22" t="s">
        <v>8</v>
      </c>
      <c r="B4380" s="18" t="str">
        <f>"165354"</f>
        <v>165354</v>
      </c>
      <c r="C4380" s="19" t="s">
        <v>4326</v>
      </c>
      <c r="D4380" s="19" t="s">
        <v>19807</v>
      </c>
      <c r="E4380" s="19" t="s">
        <v>32453</v>
      </c>
      <c r="F4380" s="19" t="s">
        <v>35989</v>
      </c>
      <c r="G4380" s="18" t="str">
        <f>"50441"</f>
        <v>50441</v>
      </c>
      <c r="H4380" s="19" t="s">
        <v>5</v>
      </c>
      <c r="I4380" s="20">
        <v>17.151</v>
      </c>
      <c r="J4380" s="44" t="s">
        <v>8</v>
      </c>
      <c r="K4380" s="23" t="s">
        <v>8</v>
      </c>
      <c r="L4380" s="23" t="s">
        <v>8</v>
      </c>
      <c r="M4380" s="23" t="s">
        <v>8</v>
      </c>
    </row>
    <row r="4381" spans="1:13" s="21" customFormat="1" x14ac:dyDescent="0.25">
      <c r="A4381" s="22" t="s">
        <v>8</v>
      </c>
      <c r="B4381" s="18" t="str">
        <f>"165355"</f>
        <v>165355</v>
      </c>
      <c r="C4381" s="19" t="s">
        <v>4327</v>
      </c>
      <c r="D4381" s="19" t="s">
        <v>19808</v>
      </c>
      <c r="E4381" s="19" t="s">
        <v>32454</v>
      </c>
      <c r="F4381" s="19" t="s">
        <v>35989</v>
      </c>
      <c r="G4381" s="18" t="str">
        <f>"52248"</f>
        <v>52248</v>
      </c>
      <c r="H4381" s="19" t="s">
        <v>32335</v>
      </c>
      <c r="I4381" s="20">
        <v>18.806000000000001</v>
      </c>
      <c r="J4381" s="44" t="s">
        <v>8</v>
      </c>
      <c r="K4381" s="23" t="s">
        <v>8</v>
      </c>
      <c r="L4381" s="23" t="s">
        <v>8</v>
      </c>
      <c r="M4381" s="23" t="s">
        <v>8</v>
      </c>
    </row>
    <row r="4382" spans="1:13" s="21" customFormat="1" x14ac:dyDescent="0.25">
      <c r="A4382" s="22" t="s">
        <v>8</v>
      </c>
      <c r="B4382" s="18" t="str">
        <f>"165356"</f>
        <v>165356</v>
      </c>
      <c r="C4382" s="19" t="s">
        <v>4328</v>
      </c>
      <c r="D4382" s="19" t="s">
        <v>19809</v>
      </c>
      <c r="E4382" s="19" t="s">
        <v>32455</v>
      </c>
      <c r="F4382" s="19" t="s">
        <v>35989</v>
      </c>
      <c r="G4382" s="18" t="str">
        <f>"50636"</f>
        <v>50636</v>
      </c>
      <c r="H4382" s="19" t="s">
        <v>30876</v>
      </c>
      <c r="I4382" s="20">
        <v>18.131</v>
      </c>
      <c r="J4382" s="44" t="s">
        <v>8</v>
      </c>
      <c r="K4382" s="23" t="s">
        <v>8</v>
      </c>
      <c r="L4382" s="23" t="s">
        <v>8</v>
      </c>
      <c r="M4382" s="23" t="s">
        <v>8</v>
      </c>
    </row>
    <row r="4383" spans="1:13" s="21" customFormat="1" x14ac:dyDescent="0.25">
      <c r="A4383" s="22" t="s">
        <v>8</v>
      </c>
      <c r="B4383" s="18" t="str">
        <f>"165357"</f>
        <v>165357</v>
      </c>
      <c r="C4383" s="19" t="s">
        <v>4329</v>
      </c>
      <c r="D4383" s="19" t="s">
        <v>19810</v>
      </c>
      <c r="E4383" s="19" t="s">
        <v>32456</v>
      </c>
      <c r="F4383" s="19" t="s">
        <v>35989</v>
      </c>
      <c r="G4383" s="18" t="str">
        <f>"51579"</f>
        <v>51579</v>
      </c>
      <c r="H4383" s="19" t="s">
        <v>31020</v>
      </c>
      <c r="I4383" s="20">
        <v>18.024000000000001</v>
      </c>
      <c r="J4383" s="44" t="s">
        <v>8</v>
      </c>
      <c r="K4383" s="23" t="s">
        <v>8</v>
      </c>
      <c r="L4383" s="23" t="s">
        <v>8</v>
      </c>
      <c r="M4383" s="23" t="s">
        <v>8</v>
      </c>
    </row>
    <row r="4384" spans="1:13" s="21" customFormat="1" x14ac:dyDescent="0.25">
      <c r="A4384" s="22" t="s">
        <v>8</v>
      </c>
      <c r="B4384" s="18" t="str">
        <f>"165358"</f>
        <v>165358</v>
      </c>
      <c r="C4384" s="19" t="s">
        <v>4330</v>
      </c>
      <c r="D4384" s="19" t="s">
        <v>19811</v>
      </c>
      <c r="E4384" s="19" t="s">
        <v>32457</v>
      </c>
      <c r="F4384" s="19" t="s">
        <v>35989</v>
      </c>
      <c r="G4384" s="18" t="str">
        <f>"50058"</f>
        <v>50058</v>
      </c>
      <c r="H4384" s="19" t="s">
        <v>32334</v>
      </c>
      <c r="I4384" s="20">
        <v>18.411999999999999</v>
      </c>
      <c r="J4384" s="44" t="s">
        <v>8</v>
      </c>
      <c r="K4384" s="23" t="s">
        <v>8</v>
      </c>
      <c r="L4384" s="23" t="s">
        <v>8</v>
      </c>
      <c r="M4384" s="23" t="s">
        <v>8</v>
      </c>
    </row>
    <row r="4385" spans="1:13" s="21" customFormat="1" x14ac:dyDescent="0.25">
      <c r="A4385" s="22" t="s">
        <v>8</v>
      </c>
      <c r="B4385" s="18" t="str">
        <f>"165359"</f>
        <v>165359</v>
      </c>
      <c r="C4385" s="19" t="s">
        <v>4331</v>
      </c>
      <c r="D4385" s="19" t="s">
        <v>19812</v>
      </c>
      <c r="E4385" s="19" t="s">
        <v>32458</v>
      </c>
      <c r="F4385" s="19" t="s">
        <v>35989</v>
      </c>
      <c r="G4385" s="18" t="str">
        <f>"50588"</f>
        <v>50588</v>
      </c>
      <c r="H4385" s="19" t="s">
        <v>31824</v>
      </c>
      <c r="I4385" s="20">
        <v>19.082999999999998</v>
      </c>
      <c r="J4385" s="44" t="s">
        <v>8</v>
      </c>
      <c r="K4385" s="23" t="s">
        <v>8</v>
      </c>
      <c r="L4385" s="23" t="s">
        <v>8</v>
      </c>
      <c r="M4385" s="23" t="s">
        <v>8</v>
      </c>
    </row>
    <row r="4386" spans="1:13" s="21" customFormat="1" x14ac:dyDescent="0.25">
      <c r="A4386" s="22" t="s">
        <v>8</v>
      </c>
      <c r="B4386" s="18" t="str">
        <f>"165361"</f>
        <v>165361</v>
      </c>
      <c r="C4386" s="19" t="s">
        <v>4332</v>
      </c>
      <c r="D4386" s="19" t="s">
        <v>19813</v>
      </c>
      <c r="E4386" s="19" t="s">
        <v>32459</v>
      </c>
      <c r="F4386" s="19" t="s">
        <v>35989</v>
      </c>
      <c r="G4386" s="18" t="str">
        <f>"50201"</f>
        <v>50201</v>
      </c>
      <c r="H4386" s="19" t="s">
        <v>36289</v>
      </c>
      <c r="I4386" s="20">
        <v>19.291</v>
      </c>
      <c r="J4386" s="44" t="s">
        <v>8</v>
      </c>
      <c r="K4386" s="23" t="s">
        <v>8</v>
      </c>
      <c r="L4386" s="23" t="s">
        <v>8</v>
      </c>
      <c r="M4386" s="23" t="s">
        <v>8</v>
      </c>
    </row>
    <row r="4387" spans="1:13" s="21" customFormat="1" x14ac:dyDescent="0.25">
      <c r="A4387" s="22" t="s">
        <v>8</v>
      </c>
      <c r="B4387" s="18" t="str">
        <f>"165362"</f>
        <v>165362</v>
      </c>
      <c r="C4387" s="19" t="s">
        <v>4333</v>
      </c>
      <c r="D4387" s="19" t="s">
        <v>19814</v>
      </c>
      <c r="E4387" s="19" t="s">
        <v>32460</v>
      </c>
      <c r="F4387" s="19" t="s">
        <v>35989</v>
      </c>
      <c r="G4387" s="18" t="str">
        <f>"50525"</f>
        <v>50525</v>
      </c>
      <c r="H4387" s="19" t="s">
        <v>36290</v>
      </c>
      <c r="I4387" s="20">
        <v>18.225999999999999</v>
      </c>
      <c r="J4387" s="44" t="s">
        <v>8</v>
      </c>
      <c r="K4387" s="23" t="s">
        <v>8</v>
      </c>
      <c r="L4387" s="23" t="s">
        <v>8</v>
      </c>
      <c r="M4387" s="23" t="s">
        <v>8</v>
      </c>
    </row>
    <row r="4388" spans="1:13" s="21" customFormat="1" x14ac:dyDescent="0.25">
      <c r="A4388" s="22" t="s">
        <v>8</v>
      </c>
      <c r="B4388" s="18" t="str">
        <f>"165363"</f>
        <v>165363</v>
      </c>
      <c r="C4388" s="19" t="s">
        <v>4334</v>
      </c>
      <c r="D4388" s="19" t="s">
        <v>19815</v>
      </c>
      <c r="E4388" s="19" t="s">
        <v>32461</v>
      </c>
      <c r="F4388" s="19" t="s">
        <v>35989</v>
      </c>
      <c r="G4388" s="18" t="str">
        <f>"50423"</f>
        <v>50423</v>
      </c>
      <c r="H4388" s="19" t="s">
        <v>33144</v>
      </c>
      <c r="I4388" s="20">
        <v>18.8</v>
      </c>
      <c r="J4388" s="44" t="s">
        <v>8</v>
      </c>
      <c r="K4388" s="23" t="s">
        <v>8</v>
      </c>
      <c r="L4388" s="23" t="s">
        <v>8</v>
      </c>
      <c r="M4388" s="23" t="s">
        <v>8</v>
      </c>
    </row>
    <row r="4389" spans="1:13" s="21" customFormat="1" x14ac:dyDescent="0.25">
      <c r="A4389" s="22" t="s">
        <v>8</v>
      </c>
      <c r="B4389" s="18" t="str">
        <f>"165364"</f>
        <v>165364</v>
      </c>
      <c r="C4389" s="19" t="s">
        <v>4335</v>
      </c>
      <c r="D4389" s="19" t="s">
        <v>19816</v>
      </c>
      <c r="E4389" s="19" t="s">
        <v>32462</v>
      </c>
      <c r="F4389" s="19" t="s">
        <v>35989</v>
      </c>
      <c r="G4389" s="18" t="str">
        <f>"50438"</f>
        <v>50438</v>
      </c>
      <c r="H4389" s="19" t="s">
        <v>33144</v>
      </c>
      <c r="I4389" s="20">
        <v>17.748999999999999</v>
      </c>
      <c r="J4389" s="44" t="s">
        <v>8</v>
      </c>
      <c r="K4389" s="23" t="s">
        <v>8</v>
      </c>
      <c r="L4389" s="23" t="s">
        <v>8</v>
      </c>
      <c r="M4389" s="23" t="s">
        <v>8</v>
      </c>
    </row>
    <row r="4390" spans="1:13" s="21" customFormat="1" x14ac:dyDescent="0.25">
      <c r="A4390" s="22" t="s">
        <v>8</v>
      </c>
      <c r="B4390" s="18" t="str">
        <f>"165365"</f>
        <v>165365</v>
      </c>
      <c r="C4390" s="19" t="s">
        <v>4336</v>
      </c>
      <c r="D4390" s="19" t="s">
        <v>19817</v>
      </c>
      <c r="E4390" s="19" t="s">
        <v>32463</v>
      </c>
      <c r="F4390" s="19" t="s">
        <v>35989</v>
      </c>
      <c r="G4390" s="18" t="str">
        <f>"50428"</f>
        <v>50428</v>
      </c>
      <c r="H4390" s="19" t="s">
        <v>36269</v>
      </c>
      <c r="I4390" s="20">
        <v>19.786000000000001</v>
      </c>
      <c r="J4390" s="44" t="s">
        <v>8</v>
      </c>
      <c r="K4390" s="23" t="s">
        <v>8</v>
      </c>
      <c r="L4390" s="23" t="s">
        <v>8</v>
      </c>
      <c r="M4390" s="23" t="s">
        <v>8</v>
      </c>
    </row>
    <row r="4391" spans="1:13" s="21" customFormat="1" x14ac:dyDescent="0.25">
      <c r="A4391" s="22" t="s">
        <v>8</v>
      </c>
      <c r="B4391" s="18" t="str">
        <f>"165366"</f>
        <v>165366</v>
      </c>
      <c r="C4391" s="19" t="s">
        <v>4337</v>
      </c>
      <c r="D4391" s="19" t="s">
        <v>19818</v>
      </c>
      <c r="E4391" s="19" t="s">
        <v>32464</v>
      </c>
      <c r="F4391" s="19" t="s">
        <v>35989</v>
      </c>
      <c r="G4391" s="18" t="str">
        <f>"50450"</f>
        <v>50450</v>
      </c>
      <c r="H4391" s="19" t="s">
        <v>36233</v>
      </c>
      <c r="I4391" s="20">
        <v>18.882999999999999</v>
      </c>
      <c r="J4391" s="44" t="s">
        <v>8</v>
      </c>
      <c r="K4391" s="23" t="s">
        <v>8</v>
      </c>
      <c r="L4391" s="23" t="s">
        <v>8</v>
      </c>
      <c r="M4391" s="23" t="s">
        <v>8</v>
      </c>
    </row>
    <row r="4392" spans="1:13" s="21" customFormat="1" x14ac:dyDescent="0.25">
      <c r="A4392" s="22" t="s">
        <v>8</v>
      </c>
      <c r="B4392" s="18" t="str">
        <f>"165367"</f>
        <v>165367</v>
      </c>
      <c r="C4392" s="19" t="s">
        <v>4338</v>
      </c>
      <c r="D4392" s="19" t="s">
        <v>19819</v>
      </c>
      <c r="E4392" s="19" t="s">
        <v>32048</v>
      </c>
      <c r="F4392" s="19" t="s">
        <v>35989</v>
      </c>
      <c r="G4392" s="18" t="str">
        <f>"50401"</f>
        <v>50401</v>
      </c>
      <c r="H4392" s="19" t="s">
        <v>36269</v>
      </c>
      <c r="I4392" s="20">
        <v>19.882000000000001</v>
      </c>
      <c r="J4392" s="44" t="s">
        <v>8</v>
      </c>
      <c r="K4392" s="23" t="s">
        <v>8</v>
      </c>
      <c r="L4392" s="23" t="s">
        <v>8</v>
      </c>
      <c r="M4392" s="23" t="s">
        <v>8</v>
      </c>
    </row>
    <row r="4393" spans="1:13" s="21" customFormat="1" x14ac:dyDescent="0.25">
      <c r="A4393" s="22" t="s">
        <v>8</v>
      </c>
      <c r="B4393" s="18" t="str">
        <f>"165368"</f>
        <v>165368</v>
      </c>
      <c r="C4393" s="19" t="s">
        <v>4339</v>
      </c>
      <c r="D4393" s="19" t="s">
        <v>19820</v>
      </c>
      <c r="E4393" s="19" t="s">
        <v>32465</v>
      </c>
      <c r="F4393" s="19" t="s">
        <v>35989</v>
      </c>
      <c r="G4393" s="18" t="str">
        <f>"51530"</f>
        <v>51530</v>
      </c>
      <c r="H4393" s="19" t="s">
        <v>33565</v>
      </c>
      <c r="I4393" s="20">
        <v>19.510999999999999</v>
      </c>
      <c r="J4393" s="44" t="s">
        <v>8</v>
      </c>
      <c r="K4393" s="23" t="s">
        <v>8</v>
      </c>
      <c r="L4393" s="23" t="s">
        <v>8</v>
      </c>
      <c r="M4393" s="23" t="s">
        <v>8</v>
      </c>
    </row>
    <row r="4394" spans="1:13" s="21" customFormat="1" x14ac:dyDescent="0.25">
      <c r="A4394" s="22" t="s">
        <v>8</v>
      </c>
      <c r="B4394" s="18" t="str">
        <f>"165369"</f>
        <v>165369</v>
      </c>
      <c r="C4394" s="19" t="s">
        <v>4340</v>
      </c>
      <c r="D4394" s="19" t="s">
        <v>19821</v>
      </c>
      <c r="E4394" s="19" t="s">
        <v>32354</v>
      </c>
      <c r="F4394" s="19" t="s">
        <v>35989</v>
      </c>
      <c r="G4394" s="18" t="str">
        <f>"50125"</f>
        <v>50125</v>
      </c>
      <c r="H4394" s="19" t="s">
        <v>31025</v>
      </c>
      <c r="I4394" s="20">
        <v>20.004999999999999</v>
      </c>
      <c r="J4394" s="44" t="s">
        <v>8</v>
      </c>
      <c r="K4394" s="23" t="s">
        <v>8</v>
      </c>
      <c r="L4394" s="23" t="s">
        <v>8</v>
      </c>
      <c r="M4394" s="23" t="s">
        <v>8</v>
      </c>
    </row>
    <row r="4395" spans="1:13" s="21" customFormat="1" x14ac:dyDescent="0.25">
      <c r="A4395" s="22" t="s">
        <v>8</v>
      </c>
      <c r="B4395" s="18" t="str">
        <f>"165371"</f>
        <v>165371</v>
      </c>
      <c r="C4395" s="19" t="s">
        <v>4341</v>
      </c>
      <c r="D4395" s="19" t="s">
        <v>19822</v>
      </c>
      <c r="E4395" s="19" t="s">
        <v>32466</v>
      </c>
      <c r="F4395" s="19" t="s">
        <v>35989</v>
      </c>
      <c r="G4395" s="18" t="str">
        <f>"51454"</f>
        <v>51454</v>
      </c>
      <c r="H4395" s="19" t="s">
        <v>31759</v>
      </c>
      <c r="I4395" s="20">
        <v>18.195</v>
      </c>
      <c r="J4395" s="44" t="s">
        <v>8</v>
      </c>
      <c r="K4395" s="23" t="s">
        <v>8</v>
      </c>
      <c r="L4395" s="23" t="s">
        <v>8</v>
      </c>
      <c r="M4395" s="23" t="s">
        <v>8</v>
      </c>
    </row>
    <row r="4396" spans="1:13" s="21" customFormat="1" x14ac:dyDescent="0.25">
      <c r="A4396" s="22" t="s">
        <v>8</v>
      </c>
      <c r="B4396" s="18" t="str">
        <f>"165372"</f>
        <v>165372</v>
      </c>
      <c r="C4396" s="19" t="s">
        <v>4342</v>
      </c>
      <c r="D4396" s="19" t="s">
        <v>19823</v>
      </c>
      <c r="E4396" s="19" t="s">
        <v>32467</v>
      </c>
      <c r="F4396" s="19" t="s">
        <v>35989</v>
      </c>
      <c r="G4396" s="18" t="str">
        <f>"51537"</f>
        <v>51537</v>
      </c>
      <c r="H4396" s="19" t="s">
        <v>33565</v>
      </c>
      <c r="I4396" s="20">
        <v>18.998999999999999</v>
      </c>
      <c r="J4396" s="44" t="s">
        <v>8</v>
      </c>
      <c r="K4396" s="23" t="s">
        <v>8</v>
      </c>
      <c r="L4396" s="23" t="s">
        <v>8</v>
      </c>
      <c r="M4396" s="23" t="s">
        <v>8</v>
      </c>
    </row>
    <row r="4397" spans="1:13" s="21" customFormat="1" x14ac:dyDescent="0.25">
      <c r="A4397" s="22" t="s">
        <v>8</v>
      </c>
      <c r="B4397" s="18" t="str">
        <f>"165373"</f>
        <v>165373</v>
      </c>
      <c r="C4397" s="19" t="s">
        <v>4343</v>
      </c>
      <c r="D4397" s="19" t="s">
        <v>19824</v>
      </c>
      <c r="E4397" s="19" t="s">
        <v>32468</v>
      </c>
      <c r="F4397" s="19" t="s">
        <v>35989</v>
      </c>
      <c r="G4397" s="18" t="str">
        <f>"51555"</f>
        <v>51555</v>
      </c>
      <c r="H4397" s="19" t="s">
        <v>31020</v>
      </c>
      <c r="I4397" s="20">
        <v>16.686</v>
      </c>
      <c r="J4397" s="44" t="s">
        <v>8</v>
      </c>
      <c r="K4397" s="23" t="s">
        <v>8</v>
      </c>
      <c r="L4397" s="23" t="s">
        <v>8</v>
      </c>
      <c r="M4397" s="23" t="s">
        <v>8</v>
      </c>
    </row>
    <row r="4398" spans="1:13" s="21" customFormat="1" x14ac:dyDescent="0.25">
      <c r="A4398" s="22" t="s">
        <v>8</v>
      </c>
      <c r="B4398" s="18" t="str">
        <f>"165374"</f>
        <v>165374</v>
      </c>
      <c r="C4398" s="19" t="s">
        <v>4344</v>
      </c>
      <c r="D4398" s="19" t="s">
        <v>19825</v>
      </c>
      <c r="E4398" s="19" t="s">
        <v>31892</v>
      </c>
      <c r="F4398" s="19" t="s">
        <v>35989</v>
      </c>
      <c r="G4398" s="18" t="str">
        <f>"52031"</f>
        <v>52031</v>
      </c>
      <c r="H4398" s="19" t="s">
        <v>30816</v>
      </c>
      <c r="I4398" s="20">
        <v>19.164999999999999</v>
      </c>
      <c r="J4398" s="44" t="s">
        <v>8</v>
      </c>
      <c r="K4398" s="23" t="s">
        <v>8</v>
      </c>
      <c r="L4398" s="23" t="s">
        <v>8</v>
      </c>
      <c r="M4398" s="23" t="s">
        <v>8</v>
      </c>
    </row>
    <row r="4399" spans="1:13" s="21" customFormat="1" x14ac:dyDescent="0.25">
      <c r="A4399" s="22" t="s">
        <v>8</v>
      </c>
      <c r="B4399" s="18" t="str">
        <f>"165375"</f>
        <v>165375</v>
      </c>
      <c r="C4399" s="19" t="s">
        <v>4345</v>
      </c>
      <c r="D4399" s="19" t="s">
        <v>19826</v>
      </c>
      <c r="E4399" s="19" t="s">
        <v>32469</v>
      </c>
      <c r="F4399" s="19" t="s">
        <v>35989</v>
      </c>
      <c r="G4399" s="18" t="str">
        <f>"52205"</f>
        <v>52205</v>
      </c>
      <c r="H4399" s="19" t="s">
        <v>34651</v>
      </c>
      <c r="I4399" s="20">
        <v>18.885999999999999</v>
      </c>
      <c r="J4399" s="44" t="s">
        <v>8</v>
      </c>
      <c r="K4399" s="23" t="s">
        <v>8</v>
      </c>
      <c r="L4399" s="23" t="s">
        <v>8</v>
      </c>
      <c r="M4399" s="23" t="s">
        <v>8</v>
      </c>
    </row>
    <row r="4400" spans="1:13" s="21" customFormat="1" x14ac:dyDescent="0.25">
      <c r="A4400" s="22" t="s">
        <v>8</v>
      </c>
      <c r="B4400" s="18" t="str">
        <f>"165376"</f>
        <v>165376</v>
      </c>
      <c r="C4400" s="19" t="s">
        <v>4346</v>
      </c>
      <c r="D4400" s="19" t="s">
        <v>19827</v>
      </c>
      <c r="E4400" s="19" t="s">
        <v>32470</v>
      </c>
      <c r="F4400" s="19" t="s">
        <v>35989</v>
      </c>
      <c r="G4400" s="18" t="str">
        <f>"52767"</f>
        <v>52767</v>
      </c>
      <c r="H4400" s="19" t="s">
        <v>36083</v>
      </c>
      <c r="I4400" s="20">
        <v>21.736999999999998</v>
      </c>
      <c r="J4400" s="44" t="s">
        <v>8</v>
      </c>
      <c r="K4400" s="23" t="s">
        <v>8</v>
      </c>
      <c r="L4400" s="23" t="s">
        <v>8</v>
      </c>
      <c r="M4400" s="23" t="s">
        <v>8</v>
      </c>
    </row>
    <row r="4401" spans="1:13" s="21" customFormat="1" x14ac:dyDescent="0.25">
      <c r="A4401" s="22" t="s">
        <v>8</v>
      </c>
      <c r="B4401" s="18" t="str">
        <f>"165377"</f>
        <v>165377</v>
      </c>
      <c r="C4401" s="19" t="s">
        <v>4347</v>
      </c>
      <c r="D4401" s="19" t="s">
        <v>19828</v>
      </c>
      <c r="E4401" s="19" t="s">
        <v>32471</v>
      </c>
      <c r="F4401" s="19" t="s">
        <v>35989</v>
      </c>
      <c r="G4401" s="18" t="str">
        <f>"52777"</f>
        <v>52777</v>
      </c>
      <c r="H4401" s="19" t="s">
        <v>31081</v>
      </c>
      <c r="I4401" s="20">
        <v>18.887</v>
      </c>
      <c r="J4401" s="44" t="s">
        <v>8</v>
      </c>
      <c r="K4401" s="23" t="s">
        <v>8</v>
      </c>
      <c r="L4401" s="23" t="s">
        <v>8</v>
      </c>
      <c r="M4401" s="23" t="s">
        <v>8</v>
      </c>
    </row>
    <row r="4402" spans="1:13" s="21" customFormat="1" x14ac:dyDescent="0.25">
      <c r="A4402" s="22" t="s">
        <v>8</v>
      </c>
      <c r="B4402" s="18" t="str">
        <f>"165379"</f>
        <v>165379</v>
      </c>
      <c r="C4402" s="19" t="s">
        <v>4348</v>
      </c>
      <c r="D4402" s="19" t="s">
        <v>19829</v>
      </c>
      <c r="E4402" s="19" t="s">
        <v>32472</v>
      </c>
      <c r="F4402" s="19" t="s">
        <v>35989</v>
      </c>
      <c r="G4402" s="18" t="str">
        <f>"52042"</f>
        <v>52042</v>
      </c>
      <c r="H4402" s="19" t="s">
        <v>31848</v>
      </c>
      <c r="I4402" s="20">
        <v>18.47</v>
      </c>
      <c r="J4402" s="44" t="s">
        <v>8</v>
      </c>
      <c r="K4402" s="23" t="s">
        <v>8</v>
      </c>
      <c r="L4402" s="23" t="s">
        <v>8</v>
      </c>
      <c r="M4402" s="23" t="s">
        <v>8</v>
      </c>
    </row>
    <row r="4403" spans="1:13" s="21" customFormat="1" x14ac:dyDescent="0.25">
      <c r="A4403" s="22" t="s">
        <v>8</v>
      </c>
      <c r="B4403" s="18" t="str">
        <f>"165380"</f>
        <v>165380</v>
      </c>
      <c r="C4403" s="19" t="s">
        <v>4349</v>
      </c>
      <c r="D4403" s="19" t="s">
        <v>19830</v>
      </c>
      <c r="E4403" s="19" t="s">
        <v>32473</v>
      </c>
      <c r="F4403" s="19" t="s">
        <v>35989</v>
      </c>
      <c r="G4403" s="18" t="str">
        <f>"50421"</f>
        <v>50421</v>
      </c>
      <c r="H4403" s="19" t="s">
        <v>36290</v>
      </c>
      <c r="I4403" s="20">
        <v>17.215</v>
      </c>
      <c r="J4403" s="44" t="s">
        <v>8</v>
      </c>
      <c r="K4403" s="23" t="s">
        <v>8</v>
      </c>
      <c r="L4403" s="23" t="s">
        <v>8</v>
      </c>
      <c r="M4403" s="23" t="s">
        <v>8</v>
      </c>
    </row>
    <row r="4404" spans="1:13" s="21" customFormat="1" x14ac:dyDescent="0.25">
      <c r="A4404" s="22" t="s">
        <v>8</v>
      </c>
      <c r="B4404" s="18" t="str">
        <f>"165381"</f>
        <v>165381</v>
      </c>
      <c r="C4404" s="19" t="s">
        <v>4350</v>
      </c>
      <c r="D4404" s="19" t="s">
        <v>19831</v>
      </c>
      <c r="E4404" s="19" t="s">
        <v>32434</v>
      </c>
      <c r="F4404" s="19" t="s">
        <v>35989</v>
      </c>
      <c r="G4404" s="18" t="str">
        <f>"52591"</f>
        <v>52591</v>
      </c>
      <c r="H4404" s="19" t="s">
        <v>32335</v>
      </c>
      <c r="I4404" s="20">
        <v>18.603999999999999</v>
      </c>
      <c r="J4404" s="44" t="s">
        <v>8</v>
      </c>
      <c r="K4404" s="23" t="s">
        <v>8</v>
      </c>
      <c r="L4404" s="23" t="s">
        <v>8</v>
      </c>
      <c r="M4404" s="23" t="s">
        <v>8</v>
      </c>
    </row>
    <row r="4405" spans="1:13" s="21" customFormat="1" x14ac:dyDescent="0.25">
      <c r="A4405" s="22" t="s">
        <v>8</v>
      </c>
      <c r="B4405" s="18" t="str">
        <f>"165382"</f>
        <v>165382</v>
      </c>
      <c r="C4405" s="19" t="s">
        <v>4351</v>
      </c>
      <c r="D4405" s="19" t="s">
        <v>19832</v>
      </c>
      <c r="E4405" s="19" t="s">
        <v>32067</v>
      </c>
      <c r="F4405" s="19" t="s">
        <v>35989</v>
      </c>
      <c r="G4405" s="18" t="str">
        <f>"50138"</f>
        <v>50138</v>
      </c>
      <c r="H4405" s="19" t="s">
        <v>30850</v>
      </c>
      <c r="I4405" s="20">
        <v>19.193000000000001</v>
      </c>
      <c r="J4405" s="44" t="s">
        <v>8</v>
      </c>
      <c r="K4405" s="23" t="s">
        <v>8</v>
      </c>
      <c r="L4405" s="23" t="s">
        <v>8</v>
      </c>
      <c r="M4405" s="23" t="s">
        <v>8</v>
      </c>
    </row>
    <row r="4406" spans="1:13" s="21" customFormat="1" x14ac:dyDescent="0.25">
      <c r="A4406" s="22" t="s">
        <v>8</v>
      </c>
      <c r="B4406" s="18" t="str">
        <f>"165383"</f>
        <v>165383</v>
      </c>
      <c r="C4406" s="19" t="s">
        <v>4352</v>
      </c>
      <c r="D4406" s="19" t="s">
        <v>19833</v>
      </c>
      <c r="E4406" s="19" t="s">
        <v>32220</v>
      </c>
      <c r="F4406" s="19" t="s">
        <v>35989</v>
      </c>
      <c r="G4406" s="18" t="str">
        <f>"50849"</f>
        <v>50849</v>
      </c>
      <c r="H4406" s="19" t="s">
        <v>36280</v>
      </c>
      <c r="I4406" s="20">
        <v>19.061</v>
      </c>
      <c r="J4406" s="44" t="s">
        <v>8</v>
      </c>
      <c r="K4406" s="23" t="s">
        <v>8</v>
      </c>
      <c r="L4406" s="23" t="s">
        <v>8</v>
      </c>
      <c r="M4406" s="23" t="s">
        <v>8</v>
      </c>
    </row>
    <row r="4407" spans="1:13" s="21" customFormat="1" x14ac:dyDescent="0.25">
      <c r="A4407" s="22" t="s">
        <v>8</v>
      </c>
      <c r="B4407" s="18" t="str">
        <f>"165384"</f>
        <v>165384</v>
      </c>
      <c r="C4407" s="19" t="s">
        <v>4353</v>
      </c>
      <c r="D4407" s="19" t="s">
        <v>19834</v>
      </c>
      <c r="E4407" s="19" t="s">
        <v>32474</v>
      </c>
      <c r="F4407" s="19" t="s">
        <v>35989</v>
      </c>
      <c r="G4407" s="18" t="str">
        <f>"50475"</f>
        <v>50475</v>
      </c>
      <c r="H4407" s="19" t="s">
        <v>5</v>
      </c>
      <c r="I4407" s="20">
        <v>19.321000000000002</v>
      </c>
      <c r="J4407" s="44" t="s">
        <v>8</v>
      </c>
      <c r="K4407" s="23" t="s">
        <v>8</v>
      </c>
      <c r="L4407" s="23" t="s">
        <v>8</v>
      </c>
      <c r="M4407" s="23" t="s">
        <v>8</v>
      </c>
    </row>
    <row r="4408" spans="1:13" s="21" customFormat="1" x14ac:dyDescent="0.25">
      <c r="A4408" s="22" t="s">
        <v>8</v>
      </c>
      <c r="B4408" s="18" t="str">
        <f>"165385"</f>
        <v>165385</v>
      </c>
      <c r="C4408" s="19" t="s">
        <v>4354</v>
      </c>
      <c r="D4408" s="19" t="s">
        <v>19835</v>
      </c>
      <c r="E4408" s="19" t="s">
        <v>32379</v>
      </c>
      <c r="F4408" s="19" t="s">
        <v>35989</v>
      </c>
      <c r="G4408" s="18" t="str">
        <f>"50158"</f>
        <v>50158</v>
      </c>
      <c r="H4408" s="19" t="s">
        <v>31063</v>
      </c>
      <c r="I4408" s="20">
        <v>17.997</v>
      </c>
      <c r="J4408" s="44" t="s">
        <v>8</v>
      </c>
      <c r="K4408" s="23" t="s">
        <v>8</v>
      </c>
      <c r="L4408" s="23" t="s">
        <v>8</v>
      </c>
      <c r="M4408" s="23" t="s">
        <v>8</v>
      </c>
    </row>
    <row r="4409" spans="1:13" s="21" customFormat="1" x14ac:dyDescent="0.25">
      <c r="A4409" s="22" t="s">
        <v>8</v>
      </c>
      <c r="B4409" s="18" t="str">
        <f>"165386"</f>
        <v>165386</v>
      </c>
      <c r="C4409" s="19" t="s">
        <v>4355</v>
      </c>
      <c r="D4409" s="19" t="s">
        <v>19836</v>
      </c>
      <c r="E4409" s="19" t="s">
        <v>32475</v>
      </c>
      <c r="F4409" s="19" t="s">
        <v>35989</v>
      </c>
      <c r="G4409" s="18" t="str">
        <f>"50628"</f>
        <v>50628</v>
      </c>
      <c r="H4409" s="19" t="s">
        <v>32644</v>
      </c>
      <c r="I4409" s="20">
        <v>18.853000000000002</v>
      </c>
      <c r="J4409" s="44" t="s">
        <v>8</v>
      </c>
      <c r="K4409" s="23" t="s">
        <v>8</v>
      </c>
      <c r="L4409" s="23" t="s">
        <v>8</v>
      </c>
      <c r="M4409" s="23" t="s">
        <v>8</v>
      </c>
    </row>
    <row r="4410" spans="1:13" s="21" customFormat="1" x14ac:dyDescent="0.25">
      <c r="A4410" s="22" t="s">
        <v>8</v>
      </c>
      <c r="B4410" s="18" t="str">
        <f>"165387"</f>
        <v>165387</v>
      </c>
      <c r="C4410" s="19" t="s">
        <v>4356</v>
      </c>
      <c r="D4410" s="19" t="s">
        <v>19837</v>
      </c>
      <c r="E4410" s="19" t="s">
        <v>32476</v>
      </c>
      <c r="F4410" s="19" t="s">
        <v>35989</v>
      </c>
      <c r="G4410" s="18" t="str">
        <f>"51245"</f>
        <v>51245</v>
      </c>
      <c r="H4410" s="19" t="s">
        <v>36271</v>
      </c>
      <c r="I4410" s="20">
        <v>17.928000000000001</v>
      </c>
      <c r="J4410" s="44" t="s">
        <v>8</v>
      </c>
      <c r="K4410" s="23" t="s">
        <v>8</v>
      </c>
      <c r="L4410" s="23" t="s">
        <v>8</v>
      </c>
      <c r="M4410" s="23" t="s">
        <v>8</v>
      </c>
    </row>
    <row r="4411" spans="1:13" s="21" customFormat="1" x14ac:dyDescent="0.25">
      <c r="A4411" s="22" t="s">
        <v>8</v>
      </c>
      <c r="B4411" s="18" t="str">
        <f>"165388"</f>
        <v>165388</v>
      </c>
      <c r="C4411" s="19" t="s">
        <v>4357</v>
      </c>
      <c r="D4411" s="19" t="s">
        <v>19838</v>
      </c>
      <c r="E4411" s="19" t="s">
        <v>32477</v>
      </c>
      <c r="F4411" s="19" t="s">
        <v>35989</v>
      </c>
      <c r="G4411" s="18" t="str">
        <f>"52755"</f>
        <v>52755</v>
      </c>
      <c r="H4411" s="19" t="s">
        <v>36072</v>
      </c>
      <c r="I4411" s="20">
        <v>18.8</v>
      </c>
      <c r="J4411" s="44" t="s">
        <v>8</v>
      </c>
      <c r="K4411" s="23" t="s">
        <v>8</v>
      </c>
      <c r="L4411" s="23" t="s">
        <v>8</v>
      </c>
      <c r="M4411" s="23" t="s">
        <v>8</v>
      </c>
    </row>
    <row r="4412" spans="1:13" s="21" customFormat="1" x14ac:dyDescent="0.25">
      <c r="A4412" s="22" t="s">
        <v>8</v>
      </c>
      <c r="B4412" s="18" t="str">
        <f>"165389"</f>
        <v>165389</v>
      </c>
      <c r="C4412" s="19" t="s">
        <v>4358</v>
      </c>
      <c r="D4412" s="19" t="s">
        <v>19839</v>
      </c>
      <c r="E4412" s="19" t="s">
        <v>32340</v>
      </c>
      <c r="F4412" s="19" t="s">
        <v>35989</v>
      </c>
      <c r="G4412" s="18" t="str">
        <f>"52403"</f>
        <v>52403</v>
      </c>
      <c r="H4412" s="19" t="s">
        <v>32661</v>
      </c>
      <c r="I4412" s="20">
        <v>16.155999999999999</v>
      </c>
      <c r="J4412" s="44" t="s">
        <v>8</v>
      </c>
      <c r="K4412" s="23" t="s">
        <v>8</v>
      </c>
      <c r="L4412" s="23" t="s">
        <v>8</v>
      </c>
      <c r="M4412" s="23" t="s">
        <v>8</v>
      </c>
    </row>
    <row r="4413" spans="1:13" s="21" customFormat="1" x14ac:dyDescent="0.25">
      <c r="A4413" s="22" t="s">
        <v>8</v>
      </c>
      <c r="B4413" s="18" t="str">
        <f>"165390"</f>
        <v>165390</v>
      </c>
      <c r="C4413" s="19" t="s">
        <v>4359</v>
      </c>
      <c r="D4413" s="19" t="s">
        <v>19840</v>
      </c>
      <c r="E4413" s="19" t="s">
        <v>32478</v>
      </c>
      <c r="F4413" s="19" t="s">
        <v>35989</v>
      </c>
      <c r="G4413" s="18" t="str">
        <f>"50247"</f>
        <v>50247</v>
      </c>
      <c r="H4413" s="19" t="s">
        <v>31063</v>
      </c>
      <c r="I4413" s="20">
        <v>17.757999999999999</v>
      </c>
      <c r="J4413" s="44" t="s">
        <v>8</v>
      </c>
      <c r="K4413" s="23" t="s">
        <v>8</v>
      </c>
      <c r="L4413" s="23" t="s">
        <v>8</v>
      </c>
      <c r="M4413" s="23" t="s">
        <v>8</v>
      </c>
    </row>
    <row r="4414" spans="1:13" s="21" customFormat="1" x14ac:dyDescent="0.25">
      <c r="A4414" s="22" t="s">
        <v>8</v>
      </c>
      <c r="B4414" s="18" t="str">
        <f>"165391"</f>
        <v>165391</v>
      </c>
      <c r="C4414" s="19" t="s">
        <v>4360</v>
      </c>
      <c r="D4414" s="19" t="s">
        <v>19841</v>
      </c>
      <c r="E4414" s="19" t="s">
        <v>32479</v>
      </c>
      <c r="F4414" s="19" t="s">
        <v>35989</v>
      </c>
      <c r="G4414" s="18" t="str">
        <f>"52043"</f>
        <v>52043</v>
      </c>
      <c r="H4414" s="19" t="s">
        <v>31848</v>
      </c>
      <c r="I4414" s="20">
        <v>18.574999999999999</v>
      </c>
      <c r="J4414" s="44" t="s">
        <v>8</v>
      </c>
      <c r="K4414" s="23" t="s">
        <v>8</v>
      </c>
      <c r="L4414" s="23" t="s">
        <v>8</v>
      </c>
      <c r="M4414" s="23" t="s">
        <v>8</v>
      </c>
    </row>
    <row r="4415" spans="1:13" s="21" customFormat="1" x14ac:dyDescent="0.25">
      <c r="A4415" s="22" t="s">
        <v>8</v>
      </c>
      <c r="B4415" s="18" t="str">
        <f>"165394"</f>
        <v>165394</v>
      </c>
      <c r="C4415" s="19" t="s">
        <v>4361</v>
      </c>
      <c r="D4415" s="19" t="s">
        <v>19842</v>
      </c>
      <c r="E4415" s="19" t="s">
        <v>32480</v>
      </c>
      <c r="F4415" s="19" t="s">
        <v>35989</v>
      </c>
      <c r="G4415" s="18" t="str">
        <f>"50126"</f>
        <v>50126</v>
      </c>
      <c r="H4415" s="19" t="s">
        <v>32124</v>
      </c>
      <c r="I4415" s="20">
        <v>18.622</v>
      </c>
      <c r="J4415" s="44" t="s">
        <v>8</v>
      </c>
      <c r="K4415" s="23" t="s">
        <v>8</v>
      </c>
      <c r="L4415" s="23" t="s">
        <v>8</v>
      </c>
      <c r="M4415" s="23" t="s">
        <v>8</v>
      </c>
    </row>
    <row r="4416" spans="1:13" s="21" customFormat="1" x14ac:dyDescent="0.25">
      <c r="A4416" s="22" t="s">
        <v>8</v>
      </c>
      <c r="B4416" s="18" t="str">
        <f>"165395"</f>
        <v>165395</v>
      </c>
      <c r="C4416" s="19" t="s">
        <v>3291</v>
      </c>
      <c r="D4416" s="19" t="s">
        <v>19843</v>
      </c>
      <c r="E4416" s="19" t="s">
        <v>30981</v>
      </c>
      <c r="F4416" s="19" t="s">
        <v>35989</v>
      </c>
      <c r="G4416" s="18" t="str">
        <f>"52623"</f>
        <v>52623</v>
      </c>
      <c r="H4416" s="19" t="s">
        <v>32339</v>
      </c>
      <c r="I4416" s="20">
        <v>20.300999999999998</v>
      </c>
      <c r="J4416" s="44" t="s">
        <v>8</v>
      </c>
      <c r="K4416" s="23" t="s">
        <v>8</v>
      </c>
      <c r="L4416" s="23" t="s">
        <v>8</v>
      </c>
      <c r="M4416" s="23" t="s">
        <v>8</v>
      </c>
    </row>
    <row r="4417" spans="1:13" s="21" customFormat="1" x14ac:dyDescent="0.25">
      <c r="A4417" s="22" t="s">
        <v>8</v>
      </c>
      <c r="B4417" s="18" t="str">
        <f>"165396"</f>
        <v>165396</v>
      </c>
      <c r="C4417" s="19" t="s">
        <v>4362</v>
      </c>
      <c r="D4417" s="19" t="s">
        <v>19844</v>
      </c>
      <c r="E4417" s="19" t="s">
        <v>32335</v>
      </c>
      <c r="F4417" s="19" t="s">
        <v>35989</v>
      </c>
      <c r="G4417" s="18" t="str">
        <f>"52632"</f>
        <v>52632</v>
      </c>
      <c r="H4417" s="19" t="s">
        <v>33138</v>
      </c>
      <c r="I4417" s="20">
        <v>20.018999999999998</v>
      </c>
      <c r="J4417" s="44" t="s">
        <v>8</v>
      </c>
      <c r="K4417" s="23" t="s">
        <v>8</v>
      </c>
      <c r="L4417" s="23" t="s">
        <v>8</v>
      </c>
      <c r="M4417" s="23" t="s">
        <v>8</v>
      </c>
    </row>
    <row r="4418" spans="1:13" s="21" customFormat="1" x14ac:dyDescent="0.25">
      <c r="A4418" s="22" t="s">
        <v>8</v>
      </c>
      <c r="B4418" s="18" t="str">
        <f>"165397"</f>
        <v>165397</v>
      </c>
      <c r="C4418" s="19" t="s">
        <v>4363</v>
      </c>
      <c r="D4418" s="19" t="s">
        <v>19845</v>
      </c>
      <c r="E4418" s="19" t="s">
        <v>32481</v>
      </c>
      <c r="F4418" s="19" t="s">
        <v>35989</v>
      </c>
      <c r="G4418" s="18" t="str">
        <f>"51035"</f>
        <v>51035</v>
      </c>
      <c r="H4418" s="19" t="s">
        <v>32436</v>
      </c>
      <c r="I4418" s="20">
        <v>18.460999999999999</v>
      </c>
      <c r="J4418" s="44" t="s">
        <v>8</v>
      </c>
      <c r="K4418" s="23" t="s">
        <v>8</v>
      </c>
      <c r="L4418" s="23" t="s">
        <v>8</v>
      </c>
      <c r="M4418" s="23" t="s">
        <v>8</v>
      </c>
    </row>
    <row r="4419" spans="1:13" s="21" customFormat="1" x14ac:dyDescent="0.25">
      <c r="A4419" s="22" t="s">
        <v>8</v>
      </c>
      <c r="B4419" s="18" t="str">
        <f>"165398"</f>
        <v>165398</v>
      </c>
      <c r="C4419" s="19" t="s">
        <v>4364</v>
      </c>
      <c r="D4419" s="19" t="s">
        <v>19846</v>
      </c>
      <c r="E4419" s="19" t="s">
        <v>32482</v>
      </c>
      <c r="F4419" s="19" t="s">
        <v>35989</v>
      </c>
      <c r="G4419" s="18" t="str">
        <f>"50028"</f>
        <v>50028</v>
      </c>
      <c r="H4419" s="19" t="s">
        <v>30854</v>
      </c>
      <c r="I4419" s="20">
        <v>17.861999999999998</v>
      </c>
      <c r="J4419" s="44" t="s">
        <v>8</v>
      </c>
      <c r="K4419" s="23" t="s">
        <v>8</v>
      </c>
      <c r="L4419" s="23" t="s">
        <v>8</v>
      </c>
      <c r="M4419" s="23" t="s">
        <v>8</v>
      </c>
    </row>
    <row r="4420" spans="1:13" s="21" customFormat="1" x14ac:dyDescent="0.25">
      <c r="A4420" s="22" t="s">
        <v>8</v>
      </c>
      <c r="B4420" s="18" t="str">
        <f>"165399"</f>
        <v>165399</v>
      </c>
      <c r="C4420" s="19" t="s">
        <v>4365</v>
      </c>
      <c r="D4420" s="19" t="s">
        <v>19847</v>
      </c>
      <c r="E4420" s="19" t="s">
        <v>31181</v>
      </c>
      <c r="F4420" s="19" t="s">
        <v>35989</v>
      </c>
      <c r="G4420" s="18" t="str">
        <f>"50211"</f>
        <v>50211</v>
      </c>
      <c r="H4420" s="19" t="s">
        <v>31025</v>
      </c>
      <c r="I4420" s="20">
        <v>17.244</v>
      </c>
      <c r="J4420" s="44" t="s">
        <v>8</v>
      </c>
      <c r="K4420" s="23" t="s">
        <v>8</v>
      </c>
      <c r="L4420" s="23" t="s">
        <v>8</v>
      </c>
      <c r="M4420" s="23" t="s">
        <v>8</v>
      </c>
    </row>
    <row r="4421" spans="1:13" s="21" customFormat="1" x14ac:dyDescent="0.25">
      <c r="A4421" s="22" t="s">
        <v>8</v>
      </c>
      <c r="B4421" s="18" t="str">
        <f>"165401"</f>
        <v>165401</v>
      </c>
      <c r="C4421" s="19" t="s">
        <v>4366</v>
      </c>
      <c r="D4421" s="19" t="s">
        <v>19848</v>
      </c>
      <c r="E4421" s="19" t="s">
        <v>32483</v>
      </c>
      <c r="F4421" s="19" t="s">
        <v>35989</v>
      </c>
      <c r="G4421" s="18" t="str">
        <f>"51249"</f>
        <v>51249</v>
      </c>
      <c r="H4421" s="19" t="s">
        <v>31089</v>
      </c>
      <c r="I4421" s="20">
        <v>18.021999999999998</v>
      </c>
      <c r="J4421" s="44" t="s">
        <v>8</v>
      </c>
      <c r="K4421" s="23" t="s">
        <v>8</v>
      </c>
      <c r="L4421" s="23" t="s">
        <v>8</v>
      </c>
      <c r="M4421" s="23" t="s">
        <v>8</v>
      </c>
    </row>
    <row r="4422" spans="1:13" s="21" customFormat="1" x14ac:dyDescent="0.25">
      <c r="A4422" s="22" t="s">
        <v>8</v>
      </c>
      <c r="B4422" s="18" t="str">
        <f>"165402"</f>
        <v>165402</v>
      </c>
      <c r="C4422" s="19" t="s">
        <v>4367</v>
      </c>
      <c r="D4422" s="19" t="s">
        <v>19849</v>
      </c>
      <c r="E4422" s="19" t="s">
        <v>31405</v>
      </c>
      <c r="F4422" s="19" t="s">
        <v>35989</v>
      </c>
      <c r="G4422" s="18" t="str">
        <f>"51351"</f>
        <v>51351</v>
      </c>
      <c r="H4422" s="19" t="s">
        <v>34382</v>
      </c>
      <c r="I4422" s="20">
        <v>21.681999999999999</v>
      </c>
      <c r="J4422" s="44" t="s">
        <v>8</v>
      </c>
      <c r="K4422" s="23" t="s">
        <v>8</v>
      </c>
      <c r="L4422" s="23" t="s">
        <v>8</v>
      </c>
      <c r="M4422" s="23" t="s">
        <v>8</v>
      </c>
    </row>
    <row r="4423" spans="1:13" s="21" customFormat="1" x14ac:dyDescent="0.25">
      <c r="A4423" s="22" t="s">
        <v>8</v>
      </c>
      <c r="B4423" s="18" t="str">
        <f>"165403"</f>
        <v>165403</v>
      </c>
      <c r="C4423" s="19" t="s">
        <v>4368</v>
      </c>
      <c r="D4423" s="19" t="s">
        <v>19850</v>
      </c>
      <c r="E4423" s="19" t="s">
        <v>32484</v>
      </c>
      <c r="F4423" s="19" t="s">
        <v>35989</v>
      </c>
      <c r="G4423" s="18" t="str">
        <f>"50585"</f>
        <v>50585</v>
      </c>
      <c r="H4423" s="19" t="s">
        <v>31824</v>
      </c>
      <c r="I4423" s="20">
        <v>17.931000000000001</v>
      </c>
      <c r="J4423" s="44" t="s">
        <v>8</v>
      </c>
      <c r="K4423" s="23" t="s">
        <v>8</v>
      </c>
      <c r="L4423" s="23" t="s">
        <v>8</v>
      </c>
      <c r="M4423" s="23" t="s">
        <v>8</v>
      </c>
    </row>
    <row r="4424" spans="1:13" s="21" customFormat="1" x14ac:dyDescent="0.25">
      <c r="A4424" s="22" t="s">
        <v>8</v>
      </c>
      <c r="B4424" s="18" t="str">
        <f>"165404"</f>
        <v>165404</v>
      </c>
      <c r="C4424" s="19" t="s">
        <v>4369</v>
      </c>
      <c r="D4424" s="19" t="s">
        <v>19851</v>
      </c>
      <c r="E4424" s="19" t="s">
        <v>31423</v>
      </c>
      <c r="F4424" s="19" t="s">
        <v>35989</v>
      </c>
      <c r="G4424" s="18" t="str">
        <f>"52645"</f>
        <v>52645</v>
      </c>
      <c r="H4424" s="19" t="s">
        <v>32041</v>
      </c>
      <c r="I4424" s="20">
        <v>18.626000000000001</v>
      </c>
      <c r="J4424" s="44" t="s">
        <v>8</v>
      </c>
      <c r="K4424" s="23" t="s">
        <v>8</v>
      </c>
      <c r="L4424" s="23" t="s">
        <v>8</v>
      </c>
      <c r="M4424" s="23" t="s">
        <v>8</v>
      </c>
    </row>
    <row r="4425" spans="1:13" s="21" customFormat="1" x14ac:dyDescent="0.25">
      <c r="A4425" s="22" t="s">
        <v>8</v>
      </c>
      <c r="B4425" s="18" t="str">
        <f>"165405"</f>
        <v>165405</v>
      </c>
      <c r="C4425" s="19" t="s">
        <v>4370</v>
      </c>
      <c r="D4425" s="19" t="s">
        <v>19852</v>
      </c>
      <c r="E4425" s="19" t="s">
        <v>32485</v>
      </c>
      <c r="F4425" s="19" t="s">
        <v>35989</v>
      </c>
      <c r="G4425" s="18" t="str">
        <f>"51050"</f>
        <v>51050</v>
      </c>
      <c r="H4425" s="19" t="s">
        <v>31465</v>
      </c>
      <c r="I4425" s="20">
        <v>19.611999999999998</v>
      </c>
      <c r="J4425" s="44" t="s">
        <v>8</v>
      </c>
      <c r="K4425" s="23" t="s">
        <v>8</v>
      </c>
      <c r="L4425" s="23" t="s">
        <v>8</v>
      </c>
      <c r="M4425" s="23" t="s">
        <v>8</v>
      </c>
    </row>
    <row r="4426" spans="1:13" s="21" customFormat="1" x14ac:dyDescent="0.25">
      <c r="A4426" s="22" t="s">
        <v>8</v>
      </c>
      <c r="B4426" s="18" t="str">
        <f>"165406"</f>
        <v>165406</v>
      </c>
      <c r="C4426" s="19" t="s">
        <v>4371</v>
      </c>
      <c r="D4426" s="19" t="s">
        <v>19853</v>
      </c>
      <c r="E4426" s="19" t="s">
        <v>32486</v>
      </c>
      <c r="F4426" s="19" t="s">
        <v>35989</v>
      </c>
      <c r="G4426" s="18" t="str">
        <f>"50469"</f>
        <v>50469</v>
      </c>
      <c r="H4426" s="19" t="s">
        <v>36269</v>
      </c>
      <c r="I4426" s="20">
        <v>19.013000000000002</v>
      </c>
      <c r="J4426" s="44" t="s">
        <v>8</v>
      </c>
      <c r="K4426" s="23" t="s">
        <v>8</v>
      </c>
      <c r="L4426" s="23" t="s">
        <v>8</v>
      </c>
      <c r="M4426" s="23" t="s">
        <v>8</v>
      </c>
    </row>
    <row r="4427" spans="1:13" s="21" customFormat="1" x14ac:dyDescent="0.25">
      <c r="A4427" s="22" t="s">
        <v>8</v>
      </c>
      <c r="B4427" s="18" t="str">
        <f>"165408"</f>
        <v>165408</v>
      </c>
      <c r="C4427" s="19" t="s">
        <v>4372</v>
      </c>
      <c r="D4427" s="19" t="s">
        <v>19854</v>
      </c>
      <c r="E4427" s="19" t="s">
        <v>32487</v>
      </c>
      <c r="F4427" s="19" t="s">
        <v>35989</v>
      </c>
      <c r="G4427" s="18" t="str">
        <f>"50517"</f>
        <v>50517</v>
      </c>
      <c r="H4427" s="19" t="s">
        <v>36275</v>
      </c>
      <c r="I4427" s="20">
        <v>18.196999999999999</v>
      </c>
      <c r="J4427" s="44" t="s">
        <v>8</v>
      </c>
      <c r="K4427" s="23" t="s">
        <v>8</v>
      </c>
      <c r="L4427" s="23" t="s">
        <v>8</v>
      </c>
      <c r="M4427" s="23" t="s">
        <v>8</v>
      </c>
    </row>
    <row r="4428" spans="1:13" s="21" customFormat="1" x14ac:dyDescent="0.25">
      <c r="A4428" s="22" t="s">
        <v>8</v>
      </c>
      <c r="B4428" s="18" t="str">
        <f>"165411"</f>
        <v>165411</v>
      </c>
      <c r="C4428" s="19" t="s">
        <v>4373</v>
      </c>
      <c r="D4428" s="19" t="s">
        <v>19855</v>
      </c>
      <c r="E4428" s="19" t="s">
        <v>32488</v>
      </c>
      <c r="F4428" s="19" t="s">
        <v>35989</v>
      </c>
      <c r="G4428" s="18" t="str">
        <f>"50595"</f>
        <v>50595</v>
      </c>
      <c r="H4428" s="19" t="s">
        <v>30804</v>
      </c>
      <c r="I4428" s="20">
        <v>18.533000000000001</v>
      </c>
      <c r="J4428" s="44" t="s">
        <v>8</v>
      </c>
      <c r="K4428" s="23" t="s">
        <v>8</v>
      </c>
      <c r="L4428" s="23" t="s">
        <v>8</v>
      </c>
      <c r="M4428" s="23" t="s">
        <v>8</v>
      </c>
    </row>
    <row r="4429" spans="1:13" s="21" customFormat="1" x14ac:dyDescent="0.25">
      <c r="A4429" s="22" t="s">
        <v>8</v>
      </c>
      <c r="B4429" s="18" t="str">
        <f>"165412"</f>
        <v>165412</v>
      </c>
      <c r="C4429" s="19" t="s">
        <v>4374</v>
      </c>
      <c r="D4429" s="19" t="s">
        <v>19856</v>
      </c>
      <c r="E4429" s="19" t="s">
        <v>32489</v>
      </c>
      <c r="F4429" s="19" t="s">
        <v>35989</v>
      </c>
      <c r="G4429" s="18" t="str">
        <f>"50076"</f>
        <v>50076</v>
      </c>
      <c r="H4429" s="19" t="s">
        <v>32390</v>
      </c>
      <c r="I4429" s="20">
        <v>17.983000000000001</v>
      </c>
      <c r="J4429" s="44" t="s">
        <v>8</v>
      </c>
      <c r="K4429" s="23" t="s">
        <v>8</v>
      </c>
      <c r="L4429" s="23" t="s">
        <v>8</v>
      </c>
      <c r="M4429" s="23" t="s">
        <v>8</v>
      </c>
    </row>
    <row r="4430" spans="1:13" s="21" customFormat="1" x14ac:dyDescent="0.25">
      <c r="A4430" s="22" t="s">
        <v>8</v>
      </c>
      <c r="B4430" s="18" t="str">
        <f>"165413"</f>
        <v>165413</v>
      </c>
      <c r="C4430" s="19" t="s">
        <v>4375</v>
      </c>
      <c r="D4430" s="19" t="s">
        <v>19857</v>
      </c>
      <c r="E4430" s="19" t="s">
        <v>32490</v>
      </c>
      <c r="F4430" s="19" t="s">
        <v>35989</v>
      </c>
      <c r="G4430" s="18" t="str">
        <f>"50510"</f>
        <v>50510</v>
      </c>
      <c r="H4430" s="19" t="s">
        <v>31824</v>
      </c>
      <c r="I4430" s="20">
        <v>17.995000000000001</v>
      </c>
      <c r="J4430" s="44" t="s">
        <v>8</v>
      </c>
      <c r="K4430" s="23" t="s">
        <v>8</v>
      </c>
      <c r="L4430" s="23" t="s">
        <v>8</v>
      </c>
      <c r="M4430" s="23" t="s">
        <v>8</v>
      </c>
    </row>
    <row r="4431" spans="1:13" s="21" customFormat="1" x14ac:dyDescent="0.25">
      <c r="A4431" s="22" t="s">
        <v>8</v>
      </c>
      <c r="B4431" s="18" t="str">
        <f>"165414"</f>
        <v>165414</v>
      </c>
      <c r="C4431" s="19" t="s">
        <v>4376</v>
      </c>
      <c r="D4431" s="19" t="s">
        <v>19858</v>
      </c>
      <c r="E4431" s="19" t="s">
        <v>32491</v>
      </c>
      <c r="F4431" s="19" t="s">
        <v>35989</v>
      </c>
      <c r="G4431" s="18" t="str">
        <f>"50575"</f>
        <v>50575</v>
      </c>
      <c r="H4431" s="19" t="s">
        <v>31743</v>
      </c>
      <c r="I4431" s="20">
        <v>18.469000000000001</v>
      </c>
      <c r="J4431" s="44" t="s">
        <v>8</v>
      </c>
      <c r="K4431" s="23" t="s">
        <v>8</v>
      </c>
      <c r="L4431" s="23" t="s">
        <v>8</v>
      </c>
      <c r="M4431" s="23" t="s">
        <v>8</v>
      </c>
    </row>
    <row r="4432" spans="1:13" s="21" customFormat="1" x14ac:dyDescent="0.25">
      <c r="A4432" s="22" t="s">
        <v>8</v>
      </c>
      <c r="B4432" s="18" t="str">
        <f>"165416"</f>
        <v>165416</v>
      </c>
      <c r="C4432" s="19" t="s">
        <v>4377</v>
      </c>
      <c r="D4432" s="19" t="s">
        <v>19859</v>
      </c>
      <c r="E4432" s="19" t="s">
        <v>32492</v>
      </c>
      <c r="F4432" s="19" t="s">
        <v>35989</v>
      </c>
      <c r="G4432" s="18" t="str">
        <f>"50830"</f>
        <v>50830</v>
      </c>
      <c r="H4432" s="19" t="s">
        <v>33554</v>
      </c>
      <c r="I4432" s="20">
        <v>18.722000000000001</v>
      </c>
      <c r="J4432" s="44" t="s">
        <v>8</v>
      </c>
      <c r="K4432" s="23" t="s">
        <v>8</v>
      </c>
      <c r="L4432" s="23" t="s">
        <v>8</v>
      </c>
      <c r="M4432" s="23" t="s">
        <v>8</v>
      </c>
    </row>
    <row r="4433" spans="1:13" s="21" customFormat="1" x14ac:dyDescent="0.25">
      <c r="A4433" s="22" t="s">
        <v>8</v>
      </c>
      <c r="B4433" s="18" t="str">
        <f>"165418"</f>
        <v>165418</v>
      </c>
      <c r="C4433" s="19" t="s">
        <v>4378</v>
      </c>
      <c r="D4433" s="19" t="s">
        <v>19860</v>
      </c>
      <c r="E4433" s="19" t="s">
        <v>32493</v>
      </c>
      <c r="F4433" s="19" t="s">
        <v>35989</v>
      </c>
      <c r="G4433" s="18" t="str">
        <f>"52776"</f>
        <v>52776</v>
      </c>
      <c r="H4433" s="19" t="s">
        <v>32497</v>
      </c>
      <c r="I4433" s="20">
        <v>17.466999999999999</v>
      </c>
      <c r="J4433" s="44" t="s">
        <v>8</v>
      </c>
      <c r="K4433" s="23" t="s">
        <v>8</v>
      </c>
      <c r="L4433" s="23" t="s">
        <v>8</v>
      </c>
      <c r="M4433" s="23" t="s">
        <v>8</v>
      </c>
    </row>
    <row r="4434" spans="1:13" s="21" customFormat="1" x14ac:dyDescent="0.25">
      <c r="A4434" s="22" t="s">
        <v>8</v>
      </c>
      <c r="B4434" s="18" t="str">
        <f>"165420"</f>
        <v>165420</v>
      </c>
      <c r="C4434" s="19" t="s">
        <v>4379</v>
      </c>
      <c r="D4434" s="19" t="s">
        <v>19861</v>
      </c>
      <c r="E4434" s="19" t="s">
        <v>32101</v>
      </c>
      <c r="F4434" s="19" t="s">
        <v>35989</v>
      </c>
      <c r="G4434" s="18" t="str">
        <f>"50208"</f>
        <v>50208</v>
      </c>
      <c r="H4434" s="19" t="s">
        <v>30854</v>
      </c>
      <c r="I4434" s="20">
        <v>17.814</v>
      </c>
      <c r="J4434" s="44" t="s">
        <v>8</v>
      </c>
      <c r="K4434" s="23" t="s">
        <v>8</v>
      </c>
      <c r="L4434" s="23" t="s">
        <v>8</v>
      </c>
      <c r="M4434" s="23" t="s">
        <v>8</v>
      </c>
    </row>
    <row r="4435" spans="1:13" s="21" customFormat="1" x14ac:dyDescent="0.25">
      <c r="A4435" s="22" t="s">
        <v>8</v>
      </c>
      <c r="B4435" s="18" t="str">
        <f>"165421"</f>
        <v>165421</v>
      </c>
      <c r="C4435" s="19" t="s">
        <v>4380</v>
      </c>
      <c r="D4435" s="19" t="s">
        <v>19862</v>
      </c>
      <c r="E4435" s="19" t="s">
        <v>32101</v>
      </c>
      <c r="F4435" s="19" t="s">
        <v>35989</v>
      </c>
      <c r="G4435" s="18" t="str">
        <f>"50208"</f>
        <v>50208</v>
      </c>
      <c r="H4435" s="19" t="s">
        <v>30854</v>
      </c>
      <c r="I4435" s="20">
        <v>17.994</v>
      </c>
      <c r="J4435" s="44" t="s">
        <v>8</v>
      </c>
      <c r="K4435" s="23" t="s">
        <v>8</v>
      </c>
      <c r="L4435" s="23" t="s">
        <v>8</v>
      </c>
      <c r="M4435" s="23" t="s">
        <v>8</v>
      </c>
    </row>
    <row r="4436" spans="1:13" s="21" customFormat="1" x14ac:dyDescent="0.25">
      <c r="A4436" s="22" t="s">
        <v>8</v>
      </c>
      <c r="B4436" s="18" t="str">
        <f>"165422"</f>
        <v>165422</v>
      </c>
      <c r="C4436" s="19" t="s">
        <v>4381</v>
      </c>
      <c r="D4436" s="19" t="s">
        <v>19863</v>
      </c>
      <c r="E4436" s="19" t="s">
        <v>32494</v>
      </c>
      <c r="F4436" s="19" t="s">
        <v>35989</v>
      </c>
      <c r="G4436" s="18" t="str">
        <f>"50010"</f>
        <v>50010</v>
      </c>
      <c r="H4436" s="19" t="s">
        <v>36289</v>
      </c>
      <c r="I4436" s="20">
        <v>19.7</v>
      </c>
      <c r="J4436" s="44" t="s">
        <v>8</v>
      </c>
      <c r="K4436" s="23" t="s">
        <v>8</v>
      </c>
      <c r="L4436" s="23" t="s">
        <v>8</v>
      </c>
      <c r="M4436" s="23" t="s">
        <v>8</v>
      </c>
    </row>
    <row r="4437" spans="1:13" s="21" customFormat="1" x14ac:dyDescent="0.25">
      <c r="A4437" s="22" t="s">
        <v>8</v>
      </c>
      <c r="B4437" s="18" t="str">
        <f>"165423"</f>
        <v>165423</v>
      </c>
      <c r="C4437" s="19" t="s">
        <v>4382</v>
      </c>
      <c r="D4437" s="19" t="s">
        <v>19864</v>
      </c>
      <c r="E4437" s="19" t="s">
        <v>32494</v>
      </c>
      <c r="F4437" s="19" t="s">
        <v>35989</v>
      </c>
      <c r="G4437" s="18" t="str">
        <f>"50010"</f>
        <v>50010</v>
      </c>
      <c r="H4437" s="19" t="s">
        <v>36289</v>
      </c>
      <c r="I4437" s="20">
        <v>20.161000000000001</v>
      </c>
      <c r="J4437" s="44" t="s">
        <v>8</v>
      </c>
      <c r="K4437" s="23" t="s">
        <v>8</v>
      </c>
      <c r="L4437" s="23" t="s">
        <v>8</v>
      </c>
      <c r="M4437" s="23" t="s">
        <v>8</v>
      </c>
    </row>
    <row r="4438" spans="1:13" s="21" customFormat="1" x14ac:dyDescent="0.25">
      <c r="A4438" s="22" t="s">
        <v>8</v>
      </c>
      <c r="B4438" s="18" t="str">
        <f>"165424"</f>
        <v>165424</v>
      </c>
      <c r="C4438" s="19" t="s">
        <v>4383</v>
      </c>
      <c r="D4438" s="19" t="s">
        <v>19865</v>
      </c>
      <c r="E4438" s="19" t="s">
        <v>32495</v>
      </c>
      <c r="F4438" s="19" t="s">
        <v>35989</v>
      </c>
      <c r="G4438" s="18" t="str">
        <f>"50248"</f>
        <v>50248</v>
      </c>
      <c r="H4438" s="19" t="s">
        <v>36289</v>
      </c>
      <c r="I4438" s="20">
        <v>18.721</v>
      </c>
      <c r="J4438" s="44" t="s">
        <v>8</v>
      </c>
      <c r="K4438" s="23" t="s">
        <v>8</v>
      </c>
      <c r="L4438" s="23" t="s">
        <v>8</v>
      </c>
      <c r="M4438" s="23" t="s">
        <v>8</v>
      </c>
    </row>
    <row r="4439" spans="1:13" s="21" customFormat="1" x14ac:dyDescent="0.25">
      <c r="A4439" s="22" t="s">
        <v>8</v>
      </c>
      <c r="B4439" s="18" t="str">
        <f>"165425"</f>
        <v>165425</v>
      </c>
      <c r="C4439" s="19" t="s">
        <v>4384</v>
      </c>
      <c r="D4439" s="19" t="s">
        <v>19866</v>
      </c>
      <c r="E4439" s="19" t="s">
        <v>32436</v>
      </c>
      <c r="F4439" s="19" t="s">
        <v>35989</v>
      </c>
      <c r="G4439" s="18" t="str">
        <f>"51012"</f>
        <v>51012</v>
      </c>
      <c r="H4439" s="19" t="s">
        <v>32436</v>
      </c>
      <c r="I4439" s="20">
        <v>20.963000000000001</v>
      </c>
      <c r="J4439" s="44" t="s">
        <v>8</v>
      </c>
      <c r="K4439" s="23" t="s">
        <v>8</v>
      </c>
      <c r="L4439" s="23" t="s">
        <v>8</v>
      </c>
      <c r="M4439" s="23" t="s">
        <v>8</v>
      </c>
    </row>
    <row r="4440" spans="1:13" s="21" customFormat="1" x14ac:dyDescent="0.25">
      <c r="A4440" s="22" t="s">
        <v>8</v>
      </c>
      <c r="B4440" s="18" t="str">
        <f>"165426"</f>
        <v>165426</v>
      </c>
      <c r="C4440" s="19" t="s">
        <v>4385</v>
      </c>
      <c r="D4440" s="19" t="s">
        <v>19867</v>
      </c>
      <c r="E4440" s="19" t="s">
        <v>31503</v>
      </c>
      <c r="F4440" s="19" t="s">
        <v>35989</v>
      </c>
      <c r="G4440" s="18" t="str">
        <f>"50220"</f>
        <v>50220</v>
      </c>
      <c r="H4440" s="19" t="s">
        <v>31723</v>
      </c>
      <c r="I4440" s="20">
        <v>17.707999999999998</v>
      </c>
      <c r="J4440" s="44" t="s">
        <v>8</v>
      </c>
      <c r="K4440" s="23" t="s">
        <v>8</v>
      </c>
      <c r="L4440" s="23" t="s">
        <v>8</v>
      </c>
      <c r="M4440" s="23" t="s">
        <v>8</v>
      </c>
    </row>
    <row r="4441" spans="1:13" s="21" customFormat="1" x14ac:dyDescent="0.25">
      <c r="A4441" s="22" t="s">
        <v>8</v>
      </c>
      <c r="B4441" s="18" t="str">
        <f>"165427"</f>
        <v>165427</v>
      </c>
      <c r="C4441" s="19" t="s">
        <v>4386</v>
      </c>
      <c r="D4441" s="19" t="s">
        <v>19868</v>
      </c>
      <c r="E4441" s="19" t="s">
        <v>32101</v>
      </c>
      <c r="F4441" s="19" t="s">
        <v>35989</v>
      </c>
      <c r="G4441" s="18" t="str">
        <f>"50208"</f>
        <v>50208</v>
      </c>
      <c r="H4441" s="19" t="s">
        <v>30854</v>
      </c>
      <c r="I4441" s="20">
        <v>18.204000000000001</v>
      </c>
      <c r="J4441" s="44" t="s">
        <v>8</v>
      </c>
      <c r="K4441" s="23" t="s">
        <v>8</v>
      </c>
      <c r="L4441" s="23" t="s">
        <v>8</v>
      </c>
      <c r="M4441" s="23" t="s">
        <v>8</v>
      </c>
    </row>
    <row r="4442" spans="1:13" s="21" customFormat="1" x14ac:dyDescent="0.25">
      <c r="A4442" s="22" t="s">
        <v>8</v>
      </c>
      <c r="B4442" s="18" t="str">
        <f>"165428"</f>
        <v>165428</v>
      </c>
      <c r="C4442" s="19" t="s">
        <v>4387</v>
      </c>
      <c r="D4442" s="19" t="s">
        <v>19869</v>
      </c>
      <c r="E4442" s="19" t="s">
        <v>32436</v>
      </c>
      <c r="F4442" s="19" t="s">
        <v>35989</v>
      </c>
      <c r="G4442" s="18" t="str">
        <f>"51012"</f>
        <v>51012</v>
      </c>
      <c r="H4442" s="19" t="s">
        <v>32436</v>
      </c>
      <c r="I4442" s="20">
        <v>18.538</v>
      </c>
      <c r="J4442" s="44" t="s">
        <v>8</v>
      </c>
      <c r="K4442" s="23" t="s">
        <v>8</v>
      </c>
      <c r="L4442" s="23" t="s">
        <v>8</v>
      </c>
      <c r="M4442" s="23" t="s">
        <v>8</v>
      </c>
    </row>
    <row r="4443" spans="1:13" s="21" customFormat="1" x14ac:dyDescent="0.25">
      <c r="A4443" s="22" t="s">
        <v>8</v>
      </c>
      <c r="B4443" s="18" t="str">
        <f>"165431"</f>
        <v>165431</v>
      </c>
      <c r="C4443" s="19" t="s">
        <v>4388</v>
      </c>
      <c r="D4443" s="19" t="s">
        <v>19870</v>
      </c>
      <c r="E4443" s="19" t="s">
        <v>32496</v>
      </c>
      <c r="F4443" s="19" t="s">
        <v>35989</v>
      </c>
      <c r="G4443" s="18" t="str">
        <f>"50480"</f>
        <v>50480</v>
      </c>
      <c r="H4443" s="19" t="s">
        <v>36275</v>
      </c>
      <c r="I4443" s="20">
        <v>19.062999999999999</v>
      </c>
      <c r="J4443" s="44" t="s">
        <v>8</v>
      </c>
      <c r="K4443" s="23" t="s">
        <v>8</v>
      </c>
      <c r="L4443" s="23" t="s">
        <v>8</v>
      </c>
      <c r="M4443" s="23" t="s">
        <v>8</v>
      </c>
    </row>
    <row r="4444" spans="1:13" s="21" customFormat="1" x14ac:dyDescent="0.25">
      <c r="A4444" s="22" t="s">
        <v>8</v>
      </c>
      <c r="B4444" s="18" t="str">
        <f>"165432"</f>
        <v>165432</v>
      </c>
      <c r="C4444" s="19" t="s">
        <v>4389</v>
      </c>
      <c r="D4444" s="19" t="s">
        <v>19871</v>
      </c>
      <c r="E4444" s="19" t="s">
        <v>32497</v>
      </c>
      <c r="F4444" s="19" t="s">
        <v>35989</v>
      </c>
      <c r="G4444" s="18" t="str">
        <f>"52761"</f>
        <v>52761</v>
      </c>
      <c r="H4444" s="19" t="s">
        <v>32497</v>
      </c>
      <c r="I4444" s="20">
        <v>18.443999999999999</v>
      </c>
      <c r="J4444" s="44" t="s">
        <v>8</v>
      </c>
      <c r="K4444" s="23" t="s">
        <v>8</v>
      </c>
      <c r="L4444" s="23" t="s">
        <v>8</v>
      </c>
      <c r="M4444" s="23" t="s">
        <v>8</v>
      </c>
    </row>
    <row r="4445" spans="1:13" s="21" customFormat="1" x14ac:dyDescent="0.25">
      <c r="A4445" s="22" t="s">
        <v>8</v>
      </c>
      <c r="B4445" s="18" t="str">
        <f>"165433"</f>
        <v>165433</v>
      </c>
      <c r="C4445" s="19" t="s">
        <v>4390</v>
      </c>
      <c r="D4445" s="19" t="s">
        <v>19872</v>
      </c>
      <c r="E4445" s="19" t="s">
        <v>32356</v>
      </c>
      <c r="F4445" s="19" t="s">
        <v>35989</v>
      </c>
      <c r="G4445" s="18" t="str">
        <f>"50461"</f>
        <v>50461</v>
      </c>
      <c r="H4445" s="19" t="s">
        <v>32259</v>
      </c>
      <c r="I4445" s="20">
        <v>18.079999999999998</v>
      </c>
      <c r="J4445" s="44" t="s">
        <v>8</v>
      </c>
      <c r="K4445" s="23" t="s">
        <v>8</v>
      </c>
      <c r="L4445" s="23" t="s">
        <v>8</v>
      </c>
      <c r="M4445" s="23" t="s">
        <v>8</v>
      </c>
    </row>
    <row r="4446" spans="1:13" s="21" customFormat="1" x14ac:dyDescent="0.25">
      <c r="A4446" s="22" t="s">
        <v>8</v>
      </c>
      <c r="B4446" s="18" t="str">
        <f>"165434"</f>
        <v>165434</v>
      </c>
      <c r="C4446" s="19" t="s">
        <v>4391</v>
      </c>
      <c r="D4446" s="19" t="s">
        <v>19873</v>
      </c>
      <c r="E4446" s="19" t="s">
        <v>32498</v>
      </c>
      <c r="F4446" s="19" t="s">
        <v>35989</v>
      </c>
      <c r="G4446" s="18" t="str">
        <f>"50212"</f>
        <v>50212</v>
      </c>
      <c r="H4446" s="19" t="s">
        <v>32513</v>
      </c>
      <c r="I4446" s="20">
        <v>20.457000000000001</v>
      </c>
      <c r="J4446" s="44" t="s">
        <v>8</v>
      </c>
      <c r="K4446" s="23" t="s">
        <v>8</v>
      </c>
      <c r="L4446" s="23" t="s">
        <v>8</v>
      </c>
      <c r="M4446" s="23" t="s">
        <v>8</v>
      </c>
    </row>
    <row r="4447" spans="1:13" s="21" customFormat="1" x14ac:dyDescent="0.25">
      <c r="A4447" s="22" t="s">
        <v>8</v>
      </c>
      <c r="B4447" s="18" t="str">
        <f>"165435"</f>
        <v>165435</v>
      </c>
      <c r="C4447" s="19" t="s">
        <v>4392</v>
      </c>
      <c r="D4447" s="19" t="s">
        <v>19874</v>
      </c>
      <c r="E4447" s="19" t="s">
        <v>32352</v>
      </c>
      <c r="F4447" s="19" t="s">
        <v>35989</v>
      </c>
      <c r="G4447" s="18" t="str">
        <f>"51104"</f>
        <v>51104</v>
      </c>
      <c r="H4447" s="19" t="s">
        <v>33348</v>
      </c>
      <c r="I4447" s="20">
        <v>19.245000000000001</v>
      </c>
      <c r="J4447" s="44" t="s">
        <v>8</v>
      </c>
      <c r="K4447" s="23" t="s">
        <v>8</v>
      </c>
      <c r="L4447" s="23" t="s">
        <v>8</v>
      </c>
      <c r="M4447" s="23" t="s">
        <v>8</v>
      </c>
    </row>
    <row r="4448" spans="1:13" s="21" customFormat="1" x14ac:dyDescent="0.25">
      <c r="A4448" s="22" t="s">
        <v>8</v>
      </c>
      <c r="B4448" s="18" t="str">
        <f>"165436"</f>
        <v>165436</v>
      </c>
      <c r="C4448" s="19" t="s">
        <v>4393</v>
      </c>
      <c r="D4448" s="19" t="s">
        <v>19875</v>
      </c>
      <c r="E4448" s="19" t="s">
        <v>31658</v>
      </c>
      <c r="F4448" s="19" t="s">
        <v>35989</v>
      </c>
      <c r="G4448" s="18" t="str">
        <f>"52803"</f>
        <v>52803</v>
      </c>
      <c r="H4448" s="19" t="s">
        <v>36083</v>
      </c>
      <c r="I4448" s="20">
        <v>18.863</v>
      </c>
      <c r="J4448" s="44" t="s">
        <v>8</v>
      </c>
      <c r="K4448" s="23" t="s">
        <v>8</v>
      </c>
      <c r="L4448" s="23" t="s">
        <v>8</v>
      </c>
      <c r="M4448" s="23" t="s">
        <v>8</v>
      </c>
    </row>
    <row r="4449" spans="1:13" s="21" customFormat="1" x14ac:dyDescent="0.25">
      <c r="A4449" s="22" t="s">
        <v>8</v>
      </c>
      <c r="B4449" s="18" t="str">
        <f>"165437"</f>
        <v>165437</v>
      </c>
      <c r="C4449" s="19" t="s">
        <v>4394</v>
      </c>
      <c r="D4449" s="19" t="s">
        <v>19876</v>
      </c>
      <c r="E4449" s="19" t="s">
        <v>30805</v>
      </c>
      <c r="F4449" s="19" t="s">
        <v>35989</v>
      </c>
      <c r="G4449" s="18" t="str">
        <f>"52142"</f>
        <v>52142</v>
      </c>
      <c r="H4449" s="19" t="s">
        <v>30805</v>
      </c>
      <c r="I4449" s="20">
        <v>17.844999999999999</v>
      </c>
      <c r="J4449" s="44" t="s">
        <v>8</v>
      </c>
      <c r="K4449" s="23" t="s">
        <v>8</v>
      </c>
      <c r="L4449" s="23" t="s">
        <v>8</v>
      </c>
      <c r="M4449" s="23" t="s">
        <v>8</v>
      </c>
    </row>
    <row r="4450" spans="1:13" s="21" customFormat="1" x14ac:dyDescent="0.25">
      <c r="A4450" s="22" t="s">
        <v>8</v>
      </c>
      <c r="B4450" s="18" t="str">
        <f>"165438"</f>
        <v>165438</v>
      </c>
      <c r="C4450" s="19" t="s">
        <v>4395</v>
      </c>
      <c r="D4450" s="19" t="s">
        <v>19877</v>
      </c>
      <c r="E4450" s="19" t="s">
        <v>32499</v>
      </c>
      <c r="F4450" s="19" t="s">
        <v>35989</v>
      </c>
      <c r="G4450" s="18" t="str">
        <f>"50476"</f>
        <v>50476</v>
      </c>
      <c r="H4450" s="19" t="s">
        <v>32259</v>
      </c>
      <c r="I4450" s="20">
        <v>19.259</v>
      </c>
      <c r="J4450" s="44" t="s">
        <v>8</v>
      </c>
      <c r="K4450" s="23" t="s">
        <v>8</v>
      </c>
      <c r="L4450" s="23" t="s">
        <v>8</v>
      </c>
      <c r="M4450" s="23" t="s">
        <v>8</v>
      </c>
    </row>
    <row r="4451" spans="1:13" s="21" customFormat="1" x14ac:dyDescent="0.25">
      <c r="A4451" s="22" t="s">
        <v>8</v>
      </c>
      <c r="B4451" s="18" t="str">
        <f>"165439"</f>
        <v>165439</v>
      </c>
      <c r="C4451" s="19" t="s">
        <v>4396</v>
      </c>
      <c r="D4451" s="19" t="s">
        <v>19878</v>
      </c>
      <c r="E4451" s="19" t="s">
        <v>31369</v>
      </c>
      <c r="F4451" s="19" t="s">
        <v>35989</v>
      </c>
      <c r="G4451" s="18" t="str">
        <f>"52601"</f>
        <v>52601</v>
      </c>
      <c r="H4451" s="19" t="s">
        <v>32339</v>
      </c>
      <c r="I4451" s="20">
        <v>19.062000000000001</v>
      </c>
      <c r="J4451" s="44" t="s">
        <v>8</v>
      </c>
      <c r="K4451" s="23" t="s">
        <v>8</v>
      </c>
      <c r="L4451" s="23" t="s">
        <v>8</v>
      </c>
      <c r="M4451" s="23" t="s">
        <v>8</v>
      </c>
    </row>
    <row r="4452" spans="1:13" s="21" customFormat="1" x14ac:dyDescent="0.25">
      <c r="A4452" s="22" t="s">
        <v>8</v>
      </c>
      <c r="B4452" s="18" t="str">
        <f>"165440"</f>
        <v>165440</v>
      </c>
      <c r="C4452" s="19" t="s">
        <v>4397</v>
      </c>
      <c r="D4452" s="19" t="s">
        <v>19879</v>
      </c>
      <c r="E4452" s="19" t="s">
        <v>30850</v>
      </c>
      <c r="F4452" s="19" t="s">
        <v>35989</v>
      </c>
      <c r="G4452" s="18" t="str">
        <f>"52302"</f>
        <v>52302</v>
      </c>
      <c r="H4452" s="19" t="s">
        <v>32661</v>
      </c>
      <c r="I4452" s="20">
        <v>17.373999999999999</v>
      </c>
      <c r="J4452" s="44" t="s">
        <v>8</v>
      </c>
      <c r="K4452" s="23" t="s">
        <v>8</v>
      </c>
      <c r="L4452" s="23" t="s">
        <v>8</v>
      </c>
      <c r="M4452" s="23" t="s">
        <v>8</v>
      </c>
    </row>
    <row r="4453" spans="1:13" s="21" customFormat="1" x14ac:dyDescent="0.25">
      <c r="A4453" s="22" t="s">
        <v>8</v>
      </c>
      <c r="B4453" s="18" t="str">
        <f>"165441"</f>
        <v>165441</v>
      </c>
      <c r="C4453" s="19" t="s">
        <v>725</v>
      </c>
      <c r="D4453" s="19" t="s">
        <v>19880</v>
      </c>
      <c r="E4453" s="19" t="s">
        <v>32353</v>
      </c>
      <c r="F4453" s="19" t="s">
        <v>35989</v>
      </c>
      <c r="G4453" s="18" t="str">
        <f>"50023"</f>
        <v>50023</v>
      </c>
      <c r="H4453" s="19" t="s">
        <v>36062</v>
      </c>
      <c r="I4453" s="20">
        <v>17.879000000000001</v>
      </c>
      <c r="J4453" s="44" t="s">
        <v>8</v>
      </c>
      <c r="K4453" s="23" t="s">
        <v>8</v>
      </c>
      <c r="L4453" s="23" t="s">
        <v>8</v>
      </c>
      <c r="M4453" s="23" t="s">
        <v>8</v>
      </c>
    </row>
    <row r="4454" spans="1:13" s="21" customFormat="1" x14ac:dyDescent="0.25">
      <c r="A4454" s="22" t="s">
        <v>8</v>
      </c>
      <c r="B4454" s="18" t="str">
        <f>"165442"</f>
        <v>165442</v>
      </c>
      <c r="C4454" s="19" t="s">
        <v>4398</v>
      </c>
      <c r="D4454" s="19" t="s">
        <v>19881</v>
      </c>
      <c r="E4454" s="19" t="s">
        <v>32500</v>
      </c>
      <c r="F4454" s="19" t="s">
        <v>35989</v>
      </c>
      <c r="G4454" s="18" t="str">
        <f>"50677"</f>
        <v>50677</v>
      </c>
      <c r="H4454" s="19" t="s">
        <v>36291</v>
      </c>
      <c r="I4454" s="20">
        <v>17.696000000000002</v>
      </c>
      <c r="J4454" s="44" t="s">
        <v>8</v>
      </c>
      <c r="K4454" s="23" t="s">
        <v>8</v>
      </c>
      <c r="L4454" s="23" t="s">
        <v>8</v>
      </c>
      <c r="M4454" s="23" t="s">
        <v>8</v>
      </c>
    </row>
    <row r="4455" spans="1:13" s="21" customFormat="1" x14ac:dyDescent="0.25">
      <c r="A4455" s="22" t="s">
        <v>8</v>
      </c>
      <c r="B4455" s="18" t="str">
        <f>"165443"</f>
        <v>165443</v>
      </c>
      <c r="C4455" s="19" t="s">
        <v>4399</v>
      </c>
      <c r="D4455" s="19" t="s">
        <v>19882</v>
      </c>
      <c r="E4455" s="19" t="s">
        <v>32501</v>
      </c>
      <c r="F4455" s="19" t="s">
        <v>35989</v>
      </c>
      <c r="G4455" s="18" t="str">
        <f>"50601"</f>
        <v>50601</v>
      </c>
      <c r="H4455" s="19" t="s">
        <v>32124</v>
      </c>
      <c r="I4455" s="20">
        <v>18.748000000000001</v>
      </c>
      <c r="J4455" s="44" t="s">
        <v>8</v>
      </c>
      <c r="K4455" s="23" t="s">
        <v>8</v>
      </c>
      <c r="L4455" s="23" t="s">
        <v>8</v>
      </c>
      <c r="M4455" s="23" t="s">
        <v>8</v>
      </c>
    </row>
    <row r="4456" spans="1:13" s="21" customFormat="1" x14ac:dyDescent="0.25">
      <c r="A4456" s="22" t="s">
        <v>8</v>
      </c>
      <c r="B4456" s="18" t="str">
        <f>"165444"</f>
        <v>165444</v>
      </c>
      <c r="C4456" s="19" t="s">
        <v>4400</v>
      </c>
      <c r="D4456" s="19" t="s">
        <v>19883</v>
      </c>
      <c r="E4456" s="19" t="s">
        <v>32502</v>
      </c>
      <c r="F4456" s="19" t="s">
        <v>35989</v>
      </c>
      <c r="G4456" s="18" t="str">
        <f>"50597"</f>
        <v>50597</v>
      </c>
      <c r="H4456" s="19" t="s">
        <v>31242</v>
      </c>
      <c r="I4456" s="20">
        <v>18.372</v>
      </c>
      <c r="J4456" s="44" t="s">
        <v>8</v>
      </c>
      <c r="K4456" s="23" t="s">
        <v>8</v>
      </c>
      <c r="L4456" s="23" t="s">
        <v>8</v>
      </c>
      <c r="M4456" s="23" t="s">
        <v>8</v>
      </c>
    </row>
    <row r="4457" spans="1:13" s="21" customFormat="1" x14ac:dyDescent="0.25">
      <c r="A4457" s="22" t="s">
        <v>8</v>
      </c>
      <c r="B4457" s="18" t="str">
        <f>"165445"</f>
        <v>165445</v>
      </c>
      <c r="C4457" s="19" t="s">
        <v>4401</v>
      </c>
      <c r="D4457" s="19" t="s">
        <v>19884</v>
      </c>
      <c r="E4457" s="19" t="s">
        <v>31641</v>
      </c>
      <c r="F4457" s="19" t="s">
        <v>35989</v>
      </c>
      <c r="G4457" s="18" t="str">
        <f>"51347"</f>
        <v>51347</v>
      </c>
      <c r="H4457" s="19" t="s">
        <v>34382</v>
      </c>
      <c r="I4457" s="20">
        <v>17.895</v>
      </c>
      <c r="J4457" s="44" t="s">
        <v>8</v>
      </c>
      <c r="K4457" s="23" t="s">
        <v>8</v>
      </c>
      <c r="L4457" s="23" t="s">
        <v>8</v>
      </c>
      <c r="M4457" s="23" t="s">
        <v>8</v>
      </c>
    </row>
    <row r="4458" spans="1:13" s="21" customFormat="1" x14ac:dyDescent="0.25">
      <c r="A4458" s="22" t="s">
        <v>8</v>
      </c>
      <c r="B4458" s="18" t="str">
        <f>"165446"</f>
        <v>165446</v>
      </c>
      <c r="C4458" s="19" t="s">
        <v>4402</v>
      </c>
      <c r="D4458" s="19" t="s">
        <v>19885</v>
      </c>
      <c r="E4458" s="19" t="s">
        <v>32503</v>
      </c>
      <c r="F4458" s="19" t="s">
        <v>35989</v>
      </c>
      <c r="G4458" s="18" t="str">
        <f>"50635"</f>
        <v>50635</v>
      </c>
      <c r="H4458" s="19" t="s">
        <v>32511</v>
      </c>
      <c r="I4458" s="20">
        <v>21.567</v>
      </c>
      <c r="J4458" s="44" t="s">
        <v>8</v>
      </c>
      <c r="K4458" s="23" t="s">
        <v>8</v>
      </c>
      <c r="L4458" s="23" t="s">
        <v>8</v>
      </c>
      <c r="M4458" s="23" t="s">
        <v>8</v>
      </c>
    </row>
    <row r="4459" spans="1:13" s="21" customFormat="1" x14ac:dyDescent="0.25">
      <c r="A4459" s="22" t="s">
        <v>8</v>
      </c>
      <c r="B4459" s="18" t="str">
        <f>"165447"</f>
        <v>165447</v>
      </c>
      <c r="C4459" s="19" t="s">
        <v>4403</v>
      </c>
      <c r="D4459" s="19" t="s">
        <v>19886</v>
      </c>
      <c r="E4459" s="19" t="s">
        <v>32372</v>
      </c>
      <c r="F4459" s="19" t="s">
        <v>35989</v>
      </c>
      <c r="G4459" s="18" t="str">
        <f>"51503"</f>
        <v>51503</v>
      </c>
      <c r="H4459" s="19" t="s">
        <v>36277</v>
      </c>
      <c r="I4459" s="20">
        <v>17.946999999999999</v>
      </c>
      <c r="J4459" s="44" t="s">
        <v>8</v>
      </c>
      <c r="K4459" s="23" t="s">
        <v>8</v>
      </c>
      <c r="L4459" s="23" t="s">
        <v>8</v>
      </c>
      <c r="M4459" s="23" t="s">
        <v>8</v>
      </c>
    </row>
    <row r="4460" spans="1:13" s="21" customFormat="1" x14ac:dyDescent="0.25">
      <c r="A4460" s="22" t="s">
        <v>8</v>
      </c>
      <c r="B4460" s="18" t="str">
        <f>"165448"</f>
        <v>165448</v>
      </c>
      <c r="C4460" s="19" t="s">
        <v>4404</v>
      </c>
      <c r="D4460" s="19" t="s">
        <v>19887</v>
      </c>
      <c r="E4460" s="19" t="s">
        <v>32504</v>
      </c>
      <c r="F4460" s="19" t="s">
        <v>35989</v>
      </c>
      <c r="G4460" s="18" t="str">
        <f>"50131"</f>
        <v>50131</v>
      </c>
      <c r="H4460" s="19" t="s">
        <v>36062</v>
      </c>
      <c r="I4460" s="20">
        <v>18.422999999999998</v>
      </c>
      <c r="J4460" s="44" t="s">
        <v>8</v>
      </c>
      <c r="K4460" s="23" t="s">
        <v>8</v>
      </c>
      <c r="L4460" s="23" t="s">
        <v>8</v>
      </c>
      <c r="M4460" s="23" t="s">
        <v>8</v>
      </c>
    </row>
    <row r="4461" spans="1:13" s="21" customFormat="1" x14ac:dyDescent="0.25">
      <c r="A4461" s="22" t="s">
        <v>8</v>
      </c>
      <c r="B4461" s="18" t="str">
        <f>"165449"</f>
        <v>165449</v>
      </c>
      <c r="C4461" s="19" t="s">
        <v>4405</v>
      </c>
      <c r="D4461" s="19" t="s">
        <v>19888</v>
      </c>
      <c r="E4461" s="19" t="s">
        <v>32314</v>
      </c>
      <c r="F4461" s="19" t="s">
        <v>35989</v>
      </c>
      <c r="G4461" s="18" t="str">
        <f>"51301"</f>
        <v>51301</v>
      </c>
      <c r="H4461" s="19" t="s">
        <v>36030</v>
      </c>
      <c r="I4461" s="20">
        <v>16.494</v>
      </c>
      <c r="J4461" s="44" t="s">
        <v>8</v>
      </c>
      <c r="K4461" s="23" t="s">
        <v>8</v>
      </c>
      <c r="L4461" s="23" t="s">
        <v>8</v>
      </c>
      <c r="M4461" s="23" t="s">
        <v>8</v>
      </c>
    </row>
    <row r="4462" spans="1:13" s="21" customFormat="1" x14ac:dyDescent="0.25">
      <c r="A4462" s="22" t="s">
        <v>8</v>
      </c>
      <c r="B4462" s="18" t="str">
        <f>"165450"</f>
        <v>165450</v>
      </c>
      <c r="C4462" s="19" t="s">
        <v>4406</v>
      </c>
      <c r="D4462" s="19" t="s">
        <v>19889</v>
      </c>
      <c r="E4462" s="19" t="s">
        <v>32505</v>
      </c>
      <c r="F4462" s="19" t="s">
        <v>35989</v>
      </c>
      <c r="G4462" s="18" t="str">
        <f>"52342"</f>
        <v>52342</v>
      </c>
      <c r="H4462" s="19" t="s">
        <v>32511</v>
      </c>
      <c r="I4462" s="20">
        <v>19.559999999999999</v>
      </c>
      <c r="J4462" s="44" t="s">
        <v>8</v>
      </c>
      <c r="K4462" s="23" t="s">
        <v>8</v>
      </c>
      <c r="L4462" s="23" t="s">
        <v>8</v>
      </c>
      <c r="M4462" s="23" t="s">
        <v>8</v>
      </c>
    </row>
    <row r="4463" spans="1:13" s="21" customFormat="1" x14ac:dyDescent="0.25">
      <c r="A4463" s="22" t="s">
        <v>8</v>
      </c>
      <c r="B4463" s="18" t="str">
        <f>"165451"</f>
        <v>165451</v>
      </c>
      <c r="C4463" s="19" t="s">
        <v>4407</v>
      </c>
      <c r="D4463" s="19" t="s">
        <v>19890</v>
      </c>
      <c r="E4463" s="19" t="s">
        <v>32379</v>
      </c>
      <c r="F4463" s="19" t="s">
        <v>35989</v>
      </c>
      <c r="G4463" s="18" t="str">
        <f>"50158"</f>
        <v>50158</v>
      </c>
      <c r="H4463" s="19" t="s">
        <v>31063</v>
      </c>
      <c r="I4463" s="20">
        <v>20.111000000000001</v>
      </c>
      <c r="J4463" s="44" t="s">
        <v>8</v>
      </c>
      <c r="K4463" s="23" t="s">
        <v>8</v>
      </c>
      <c r="L4463" s="23" t="s">
        <v>8</v>
      </c>
      <c r="M4463" s="23" t="s">
        <v>8</v>
      </c>
    </row>
    <row r="4464" spans="1:13" s="21" customFormat="1" x14ac:dyDescent="0.25">
      <c r="A4464" s="22" t="s">
        <v>8</v>
      </c>
      <c r="B4464" s="18" t="str">
        <f>"165452"</f>
        <v>165452</v>
      </c>
      <c r="C4464" s="19" t="s">
        <v>4408</v>
      </c>
      <c r="D4464" s="19" t="s">
        <v>19891</v>
      </c>
      <c r="E4464" s="19" t="s">
        <v>32506</v>
      </c>
      <c r="F4464" s="19" t="s">
        <v>35989</v>
      </c>
      <c r="G4464" s="18" t="str">
        <f>"52653"</f>
        <v>52653</v>
      </c>
      <c r="H4464" s="19" t="s">
        <v>32685</v>
      </c>
      <c r="I4464" s="20">
        <v>19.800999999999998</v>
      </c>
      <c r="J4464" s="44" t="s">
        <v>8</v>
      </c>
      <c r="K4464" s="23" t="s">
        <v>8</v>
      </c>
      <c r="L4464" s="23" t="s">
        <v>8</v>
      </c>
      <c r="M4464" s="23" t="s">
        <v>8</v>
      </c>
    </row>
    <row r="4465" spans="1:13" s="21" customFormat="1" x14ac:dyDescent="0.25">
      <c r="A4465" s="22" t="s">
        <v>8</v>
      </c>
      <c r="B4465" s="18" t="str">
        <f>"165453"</f>
        <v>165453</v>
      </c>
      <c r="C4465" s="19" t="s">
        <v>4409</v>
      </c>
      <c r="D4465" s="19" t="s">
        <v>19892</v>
      </c>
      <c r="E4465" s="19" t="s">
        <v>31500</v>
      </c>
      <c r="F4465" s="19" t="s">
        <v>35989</v>
      </c>
      <c r="G4465" s="18" t="str">
        <f>"52353"</f>
        <v>52353</v>
      </c>
      <c r="H4465" s="19" t="s">
        <v>31500</v>
      </c>
      <c r="I4465" s="20">
        <v>18.623999999999999</v>
      </c>
      <c r="J4465" s="44" t="s">
        <v>8</v>
      </c>
      <c r="K4465" s="23" t="s">
        <v>8</v>
      </c>
      <c r="L4465" s="23" t="s">
        <v>8</v>
      </c>
      <c r="M4465" s="23" t="s">
        <v>8</v>
      </c>
    </row>
    <row r="4466" spans="1:13" s="21" customFormat="1" x14ac:dyDescent="0.25">
      <c r="A4466" s="22" t="s">
        <v>8</v>
      </c>
      <c r="B4466" s="18" t="str">
        <f>"165455"</f>
        <v>165455</v>
      </c>
      <c r="C4466" s="19" t="s">
        <v>4410</v>
      </c>
      <c r="D4466" s="19" t="s">
        <v>19893</v>
      </c>
      <c r="E4466" s="19" t="s">
        <v>32334</v>
      </c>
      <c r="F4466" s="19" t="s">
        <v>35989</v>
      </c>
      <c r="G4466" s="18" t="str">
        <f>"51401"</f>
        <v>51401</v>
      </c>
      <c r="H4466" s="19" t="s">
        <v>32334</v>
      </c>
      <c r="I4466" s="20">
        <v>16.526</v>
      </c>
      <c r="J4466" s="44" t="s">
        <v>8</v>
      </c>
      <c r="K4466" s="23" t="s">
        <v>8</v>
      </c>
      <c r="L4466" s="23" t="s">
        <v>8</v>
      </c>
      <c r="M4466" s="23" t="s">
        <v>8</v>
      </c>
    </row>
    <row r="4467" spans="1:13" s="21" customFormat="1" x14ac:dyDescent="0.25">
      <c r="A4467" s="22" t="s">
        <v>8</v>
      </c>
      <c r="B4467" s="18" t="str">
        <f>"165456"</f>
        <v>165456</v>
      </c>
      <c r="C4467" s="19" t="s">
        <v>4411</v>
      </c>
      <c r="D4467" s="19" t="s">
        <v>19894</v>
      </c>
      <c r="E4467" s="19" t="s">
        <v>32507</v>
      </c>
      <c r="F4467" s="19" t="s">
        <v>35989</v>
      </c>
      <c r="G4467" s="18" t="str">
        <f>"52316"</f>
        <v>52316</v>
      </c>
      <c r="H4467" s="19" t="s">
        <v>36288</v>
      </c>
      <c r="I4467" s="20">
        <v>17.129000000000001</v>
      </c>
      <c r="J4467" s="44" t="s">
        <v>8</v>
      </c>
      <c r="K4467" s="23" t="s">
        <v>8</v>
      </c>
      <c r="L4467" s="23" t="s">
        <v>8</v>
      </c>
      <c r="M4467" s="23" t="s">
        <v>8</v>
      </c>
    </row>
    <row r="4468" spans="1:13" s="21" customFormat="1" x14ac:dyDescent="0.25">
      <c r="A4468" s="22" t="s">
        <v>8</v>
      </c>
      <c r="B4468" s="18" t="str">
        <f>"165457"</f>
        <v>165457</v>
      </c>
      <c r="C4468" s="19" t="s">
        <v>4252</v>
      </c>
      <c r="D4468" s="19" t="s">
        <v>19895</v>
      </c>
      <c r="E4468" s="19" t="s">
        <v>32508</v>
      </c>
      <c r="F4468" s="19" t="s">
        <v>35989</v>
      </c>
      <c r="G4468" s="18" t="str">
        <f>"50840"</f>
        <v>50840</v>
      </c>
      <c r="H4468" s="19" t="s">
        <v>31080</v>
      </c>
      <c r="I4468" s="20">
        <v>18.521999999999998</v>
      </c>
      <c r="J4468" s="44" t="s">
        <v>8</v>
      </c>
      <c r="K4468" s="23" t="s">
        <v>8</v>
      </c>
      <c r="L4468" s="23" t="s">
        <v>8</v>
      </c>
      <c r="M4468" s="23" t="s">
        <v>8</v>
      </c>
    </row>
    <row r="4469" spans="1:13" s="21" customFormat="1" x14ac:dyDescent="0.25">
      <c r="A4469" s="22" t="s">
        <v>8</v>
      </c>
      <c r="B4469" s="18" t="str">
        <f>"165458"</f>
        <v>165458</v>
      </c>
      <c r="C4469" s="19" t="s">
        <v>4412</v>
      </c>
      <c r="D4469" s="19" t="s">
        <v>19896</v>
      </c>
      <c r="E4469" s="19" t="s">
        <v>32509</v>
      </c>
      <c r="F4469" s="19" t="s">
        <v>35989</v>
      </c>
      <c r="G4469" s="18" t="str">
        <f>"51058"</f>
        <v>51058</v>
      </c>
      <c r="H4469" s="19" t="s">
        <v>36271</v>
      </c>
      <c r="I4469" s="20">
        <v>18.178999999999998</v>
      </c>
      <c r="J4469" s="44" t="s">
        <v>8</v>
      </c>
      <c r="K4469" s="23" t="s">
        <v>8</v>
      </c>
      <c r="L4469" s="23" t="s">
        <v>8</v>
      </c>
      <c r="M4469" s="23" t="s">
        <v>8</v>
      </c>
    </row>
    <row r="4470" spans="1:13" s="21" customFormat="1" x14ac:dyDescent="0.25">
      <c r="A4470" s="22" t="s">
        <v>8</v>
      </c>
      <c r="B4470" s="18" t="str">
        <f>"165460"</f>
        <v>165460</v>
      </c>
      <c r="C4470" s="19" t="s">
        <v>4413</v>
      </c>
      <c r="D4470" s="19" t="s">
        <v>19897</v>
      </c>
      <c r="E4470" s="19" t="s">
        <v>32510</v>
      </c>
      <c r="F4470" s="19" t="s">
        <v>35989</v>
      </c>
      <c r="G4470" s="18" t="str">
        <f>"50322"</f>
        <v>50322</v>
      </c>
      <c r="H4470" s="19" t="s">
        <v>36062</v>
      </c>
      <c r="I4470" s="20">
        <v>18.567</v>
      </c>
      <c r="J4470" s="44" t="s">
        <v>8</v>
      </c>
      <c r="K4470" s="23" t="s">
        <v>8</v>
      </c>
      <c r="L4470" s="23" t="s">
        <v>8</v>
      </c>
      <c r="M4470" s="23" t="s">
        <v>8</v>
      </c>
    </row>
    <row r="4471" spans="1:13" s="21" customFormat="1" x14ac:dyDescent="0.25">
      <c r="A4471" s="22" t="s">
        <v>8</v>
      </c>
      <c r="B4471" s="18" t="str">
        <f>"165461"</f>
        <v>165461</v>
      </c>
      <c r="C4471" s="19" t="s">
        <v>4414</v>
      </c>
      <c r="D4471" s="19" t="s">
        <v>19898</v>
      </c>
      <c r="E4471" s="19" t="s">
        <v>30985</v>
      </c>
      <c r="F4471" s="19" t="s">
        <v>35989</v>
      </c>
      <c r="G4471" s="18" t="str">
        <f>"50574"</f>
        <v>50574</v>
      </c>
      <c r="H4471" s="19" t="s">
        <v>30985</v>
      </c>
      <c r="I4471" s="20">
        <v>17.556999999999999</v>
      </c>
      <c r="J4471" s="44" t="s">
        <v>8</v>
      </c>
      <c r="K4471" s="23" t="s">
        <v>8</v>
      </c>
      <c r="L4471" s="23" t="s">
        <v>8</v>
      </c>
      <c r="M4471" s="23" t="s">
        <v>8</v>
      </c>
    </row>
    <row r="4472" spans="1:13" s="21" customFormat="1" x14ac:dyDescent="0.25">
      <c r="A4472" s="22" t="s">
        <v>8</v>
      </c>
      <c r="B4472" s="18" t="str">
        <f>"165462"</f>
        <v>165462</v>
      </c>
      <c r="C4472" s="19" t="s">
        <v>4415</v>
      </c>
      <c r="D4472" s="19" t="s">
        <v>19899</v>
      </c>
      <c r="E4472" s="19" t="s">
        <v>32511</v>
      </c>
      <c r="F4472" s="19" t="s">
        <v>35989</v>
      </c>
      <c r="G4472" s="18" t="str">
        <f>"52339"</f>
        <v>52339</v>
      </c>
      <c r="H4472" s="19" t="s">
        <v>32511</v>
      </c>
      <c r="I4472" s="20">
        <v>18.385000000000002</v>
      </c>
      <c r="J4472" s="44" t="s">
        <v>8</v>
      </c>
      <c r="K4472" s="23" t="s">
        <v>8</v>
      </c>
      <c r="L4472" s="23" t="s">
        <v>8</v>
      </c>
      <c r="M4472" s="23" t="s">
        <v>8</v>
      </c>
    </row>
    <row r="4473" spans="1:13" s="21" customFormat="1" x14ac:dyDescent="0.25">
      <c r="A4473" s="22" t="s">
        <v>8</v>
      </c>
      <c r="B4473" s="18" t="str">
        <f>"165463"</f>
        <v>165463</v>
      </c>
      <c r="C4473" s="19" t="s">
        <v>4416</v>
      </c>
      <c r="D4473" s="19" t="s">
        <v>19900</v>
      </c>
      <c r="E4473" s="19" t="s">
        <v>32488</v>
      </c>
      <c r="F4473" s="19" t="s">
        <v>35989</v>
      </c>
      <c r="G4473" s="18" t="str">
        <f>"50595"</f>
        <v>50595</v>
      </c>
      <c r="H4473" s="19" t="s">
        <v>30804</v>
      </c>
      <c r="I4473" s="20">
        <v>18.405000000000001</v>
      </c>
      <c r="J4473" s="44" t="s">
        <v>8</v>
      </c>
      <c r="K4473" s="23" t="s">
        <v>8</v>
      </c>
      <c r="L4473" s="23" t="s">
        <v>8</v>
      </c>
      <c r="M4473" s="23" t="s">
        <v>8</v>
      </c>
    </row>
    <row r="4474" spans="1:13" s="21" customFormat="1" x14ac:dyDescent="0.25">
      <c r="A4474" s="22" t="s">
        <v>8</v>
      </c>
      <c r="B4474" s="18" t="str">
        <f>"165465"</f>
        <v>165465</v>
      </c>
      <c r="C4474" s="19" t="s">
        <v>4417</v>
      </c>
      <c r="D4474" s="19" t="s">
        <v>19901</v>
      </c>
      <c r="E4474" s="19" t="s">
        <v>32370</v>
      </c>
      <c r="F4474" s="19" t="s">
        <v>35989</v>
      </c>
      <c r="G4474" s="18" t="str">
        <f>"50613"</f>
        <v>50613</v>
      </c>
      <c r="H4474" s="19" t="s">
        <v>36268</v>
      </c>
      <c r="I4474" s="20">
        <v>17.491</v>
      </c>
      <c r="J4474" s="44" t="s">
        <v>8</v>
      </c>
      <c r="K4474" s="23" t="s">
        <v>8</v>
      </c>
      <c r="L4474" s="23" t="s">
        <v>8</v>
      </c>
      <c r="M4474" s="23" t="s">
        <v>8</v>
      </c>
    </row>
    <row r="4475" spans="1:13" s="21" customFormat="1" x14ac:dyDescent="0.25">
      <c r="A4475" s="22" t="s">
        <v>8</v>
      </c>
      <c r="B4475" s="18" t="str">
        <f>"165466"</f>
        <v>165466</v>
      </c>
      <c r="C4475" s="19" t="s">
        <v>4418</v>
      </c>
      <c r="D4475" s="19" t="s">
        <v>19902</v>
      </c>
      <c r="E4475" s="19" t="s">
        <v>32372</v>
      </c>
      <c r="F4475" s="19" t="s">
        <v>35989</v>
      </c>
      <c r="G4475" s="18" t="str">
        <f>"51503"</f>
        <v>51503</v>
      </c>
      <c r="H4475" s="19" t="s">
        <v>36277</v>
      </c>
      <c r="I4475" s="20">
        <v>20.004000000000001</v>
      </c>
      <c r="J4475" s="44" t="s">
        <v>8</v>
      </c>
      <c r="K4475" s="23" t="s">
        <v>8</v>
      </c>
      <c r="L4475" s="23" t="s">
        <v>8</v>
      </c>
      <c r="M4475" s="23" t="s">
        <v>8</v>
      </c>
    </row>
    <row r="4476" spans="1:13" s="21" customFormat="1" x14ac:dyDescent="0.25">
      <c r="A4476" s="22" t="s">
        <v>8</v>
      </c>
      <c r="B4476" s="18" t="str">
        <f>"165467"</f>
        <v>165467</v>
      </c>
      <c r="C4476" s="19" t="s">
        <v>4419</v>
      </c>
      <c r="D4476" s="19" t="s">
        <v>19903</v>
      </c>
      <c r="E4476" s="19" t="s">
        <v>32512</v>
      </c>
      <c r="F4476" s="19" t="s">
        <v>35989</v>
      </c>
      <c r="G4476" s="18" t="str">
        <f>"50447"</f>
        <v>50447</v>
      </c>
      <c r="H4476" s="19" t="s">
        <v>33144</v>
      </c>
      <c r="I4476" s="20">
        <v>20.411000000000001</v>
      </c>
      <c r="J4476" s="44" t="s">
        <v>8</v>
      </c>
      <c r="K4476" s="23" t="s">
        <v>8</v>
      </c>
      <c r="L4476" s="23" t="s">
        <v>8</v>
      </c>
      <c r="M4476" s="23" t="s">
        <v>8</v>
      </c>
    </row>
    <row r="4477" spans="1:13" s="21" customFormat="1" x14ac:dyDescent="0.25">
      <c r="A4477" s="22" t="s">
        <v>8</v>
      </c>
      <c r="B4477" s="18" t="str">
        <f>"165468"</f>
        <v>165468</v>
      </c>
      <c r="C4477" s="19" t="s">
        <v>4420</v>
      </c>
      <c r="D4477" s="19" t="s">
        <v>19904</v>
      </c>
      <c r="E4477" s="19" t="s">
        <v>32513</v>
      </c>
      <c r="F4477" s="19" t="s">
        <v>35989</v>
      </c>
      <c r="G4477" s="18" t="str">
        <f>"50036"</f>
        <v>50036</v>
      </c>
      <c r="H4477" s="19" t="s">
        <v>32513</v>
      </c>
      <c r="I4477" s="20">
        <v>19.344000000000001</v>
      </c>
      <c r="J4477" s="44" t="s">
        <v>8</v>
      </c>
      <c r="K4477" s="23" t="s">
        <v>8</v>
      </c>
      <c r="L4477" s="23" t="s">
        <v>8</v>
      </c>
      <c r="M4477" s="23" t="s">
        <v>8</v>
      </c>
    </row>
    <row r="4478" spans="1:13" s="21" customFormat="1" x14ac:dyDescent="0.25">
      <c r="A4478" s="22" t="s">
        <v>8</v>
      </c>
      <c r="B4478" s="18" t="str">
        <f>"165469"</f>
        <v>165469</v>
      </c>
      <c r="C4478" s="19" t="s">
        <v>4421</v>
      </c>
      <c r="D4478" s="19" t="s">
        <v>19905</v>
      </c>
      <c r="E4478" s="19" t="s">
        <v>32341</v>
      </c>
      <c r="F4478" s="19" t="s">
        <v>35989</v>
      </c>
      <c r="G4478" s="18" t="str">
        <f>"50616"</f>
        <v>50616</v>
      </c>
      <c r="H4478" s="19" t="s">
        <v>35420</v>
      </c>
      <c r="I4478" s="20">
        <v>18.675000000000001</v>
      </c>
      <c r="J4478" s="44" t="s">
        <v>8</v>
      </c>
      <c r="K4478" s="23" t="s">
        <v>8</v>
      </c>
      <c r="L4478" s="23" t="s">
        <v>8</v>
      </c>
      <c r="M4478" s="23" t="s">
        <v>8</v>
      </c>
    </row>
    <row r="4479" spans="1:13" s="21" customFormat="1" x14ac:dyDescent="0.25">
      <c r="A4479" s="22" t="s">
        <v>8</v>
      </c>
      <c r="B4479" s="18" t="str">
        <f>"165470"</f>
        <v>165470</v>
      </c>
      <c r="C4479" s="19" t="s">
        <v>4422</v>
      </c>
      <c r="D4479" s="19" t="s">
        <v>19906</v>
      </c>
      <c r="E4479" s="19" t="s">
        <v>32514</v>
      </c>
      <c r="F4479" s="19" t="s">
        <v>35989</v>
      </c>
      <c r="G4479" s="18" t="str">
        <f>"52247"</f>
        <v>52247</v>
      </c>
      <c r="H4479" s="19" t="s">
        <v>31500</v>
      </c>
      <c r="I4479" s="20">
        <v>18.561</v>
      </c>
      <c r="J4479" s="44" t="s">
        <v>8</v>
      </c>
      <c r="K4479" s="23" t="s">
        <v>8</v>
      </c>
      <c r="L4479" s="23" t="s">
        <v>8</v>
      </c>
      <c r="M4479" s="23" t="s">
        <v>8</v>
      </c>
    </row>
    <row r="4480" spans="1:13" s="21" customFormat="1" x14ac:dyDescent="0.25">
      <c r="A4480" s="22" t="s">
        <v>8</v>
      </c>
      <c r="B4480" s="18" t="str">
        <f>"165471"</f>
        <v>165471</v>
      </c>
      <c r="C4480" s="19" t="s">
        <v>4423</v>
      </c>
      <c r="D4480" s="19" t="s">
        <v>19907</v>
      </c>
      <c r="E4480" s="19" t="s">
        <v>32343</v>
      </c>
      <c r="F4480" s="19" t="s">
        <v>35989</v>
      </c>
      <c r="G4480" s="18" t="str">
        <f>"52001"</f>
        <v>52001</v>
      </c>
      <c r="H4480" s="19" t="s">
        <v>32343</v>
      </c>
      <c r="I4480" s="20">
        <v>20.454000000000001</v>
      </c>
      <c r="J4480" s="44" t="s">
        <v>8</v>
      </c>
      <c r="K4480" s="23" t="s">
        <v>8</v>
      </c>
      <c r="L4480" s="23" t="s">
        <v>8</v>
      </c>
      <c r="M4480" s="23" t="s">
        <v>8</v>
      </c>
    </row>
    <row r="4481" spans="1:13" s="21" customFormat="1" x14ac:dyDescent="0.25">
      <c r="A4481" s="22" t="s">
        <v>8</v>
      </c>
      <c r="B4481" s="18" t="str">
        <f>"165472"</f>
        <v>165472</v>
      </c>
      <c r="C4481" s="19" t="s">
        <v>4424</v>
      </c>
      <c r="D4481" s="19" t="s">
        <v>19908</v>
      </c>
      <c r="E4481" s="19" t="s">
        <v>32480</v>
      </c>
      <c r="F4481" s="19" t="s">
        <v>35989</v>
      </c>
      <c r="G4481" s="18" t="str">
        <f>"50126"</f>
        <v>50126</v>
      </c>
      <c r="H4481" s="19" t="s">
        <v>32124</v>
      </c>
      <c r="I4481" s="20">
        <v>20.402000000000001</v>
      </c>
      <c r="J4481" s="44" t="s">
        <v>8</v>
      </c>
      <c r="K4481" s="23" t="s">
        <v>8</v>
      </c>
      <c r="L4481" s="23" t="s">
        <v>8</v>
      </c>
      <c r="M4481" s="23" t="s">
        <v>8</v>
      </c>
    </row>
    <row r="4482" spans="1:13" s="21" customFormat="1" x14ac:dyDescent="0.25">
      <c r="A4482" s="22" t="s">
        <v>8</v>
      </c>
      <c r="B4482" s="18" t="str">
        <f>"165473"</f>
        <v>165473</v>
      </c>
      <c r="C4482" s="19" t="s">
        <v>4425</v>
      </c>
      <c r="D4482" s="19" t="s">
        <v>19909</v>
      </c>
      <c r="E4482" s="19" t="s">
        <v>32352</v>
      </c>
      <c r="F4482" s="19" t="s">
        <v>35989</v>
      </c>
      <c r="G4482" s="18" t="str">
        <f>"51106"</f>
        <v>51106</v>
      </c>
      <c r="H4482" s="19" t="s">
        <v>33348</v>
      </c>
      <c r="I4482" s="20">
        <v>20.562000000000001</v>
      </c>
      <c r="J4482" s="44" t="s">
        <v>8</v>
      </c>
      <c r="K4482" s="23" t="s">
        <v>8</v>
      </c>
      <c r="L4482" s="23" t="s">
        <v>8</v>
      </c>
      <c r="M4482" s="23" t="s">
        <v>8</v>
      </c>
    </row>
    <row r="4483" spans="1:13" s="21" customFormat="1" x14ac:dyDescent="0.25">
      <c r="A4483" s="22" t="s">
        <v>8</v>
      </c>
      <c r="B4483" s="18" t="str">
        <f>"165474"</f>
        <v>165474</v>
      </c>
      <c r="C4483" s="19" t="s">
        <v>4426</v>
      </c>
      <c r="D4483" s="19" t="s">
        <v>19910</v>
      </c>
      <c r="E4483" s="19" t="s">
        <v>32515</v>
      </c>
      <c r="F4483" s="19" t="s">
        <v>35989</v>
      </c>
      <c r="G4483" s="18" t="str">
        <f>"51652"</f>
        <v>51652</v>
      </c>
      <c r="H4483" s="19" t="s">
        <v>31175</v>
      </c>
      <c r="I4483" s="20">
        <v>18.669</v>
      </c>
      <c r="J4483" s="44" t="s">
        <v>8</v>
      </c>
      <c r="K4483" s="23" t="s">
        <v>8</v>
      </c>
      <c r="L4483" s="23" t="s">
        <v>8</v>
      </c>
      <c r="M4483" s="23" t="s">
        <v>8</v>
      </c>
    </row>
    <row r="4484" spans="1:13" s="21" customFormat="1" x14ac:dyDescent="0.25">
      <c r="A4484" s="22" t="s">
        <v>8</v>
      </c>
      <c r="B4484" s="18" t="str">
        <f>"165475"</f>
        <v>165475</v>
      </c>
      <c r="C4484" s="19" t="s">
        <v>4427</v>
      </c>
      <c r="D4484" s="19" t="s">
        <v>19911</v>
      </c>
      <c r="E4484" s="19" t="s">
        <v>32359</v>
      </c>
      <c r="F4484" s="19" t="s">
        <v>35989</v>
      </c>
      <c r="G4484" s="18" t="str">
        <f>"52101"</f>
        <v>52101</v>
      </c>
      <c r="H4484" s="19" t="s">
        <v>36272</v>
      </c>
      <c r="I4484" s="20">
        <v>18.012</v>
      </c>
      <c r="J4484" s="44" t="s">
        <v>8</v>
      </c>
      <c r="K4484" s="23" t="s">
        <v>8</v>
      </c>
      <c r="L4484" s="23" t="s">
        <v>8</v>
      </c>
      <c r="M4484" s="23" t="s">
        <v>8</v>
      </c>
    </row>
    <row r="4485" spans="1:13" s="21" customFormat="1" x14ac:dyDescent="0.25">
      <c r="A4485" s="22" t="s">
        <v>8</v>
      </c>
      <c r="B4485" s="18" t="str">
        <f>"165476"</f>
        <v>165476</v>
      </c>
      <c r="C4485" s="19" t="s">
        <v>4428</v>
      </c>
      <c r="D4485" s="19" t="s">
        <v>19912</v>
      </c>
      <c r="E4485" s="19" t="s">
        <v>32516</v>
      </c>
      <c r="F4485" s="19" t="s">
        <v>35989</v>
      </c>
      <c r="G4485" s="18" t="str">
        <f>"52738"</f>
        <v>52738</v>
      </c>
      <c r="H4485" s="19" t="s">
        <v>32685</v>
      </c>
      <c r="I4485" s="20">
        <v>17.361000000000001</v>
      </c>
      <c r="J4485" s="44" t="s">
        <v>8</v>
      </c>
      <c r="K4485" s="23" t="s">
        <v>8</v>
      </c>
      <c r="L4485" s="23" t="s">
        <v>8</v>
      </c>
      <c r="M4485" s="23" t="s">
        <v>8</v>
      </c>
    </row>
    <row r="4486" spans="1:13" s="21" customFormat="1" x14ac:dyDescent="0.25">
      <c r="A4486" s="22" t="s">
        <v>8</v>
      </c>
      <c r="B4486" s="18" t="str">
        <f>"165478"</f>
        <v>165478</v>
      </c>
      <c r="C4486" s="19" t="s">
        <v>4429</v>
      </c>
      <c r="D4486" s="19" t="s">
        <v>19913</v>
      </c>
      <c r="E4486" s="19" t="s">
        <v>32348</v>
      </c>
      <c r="F4486" s="19" t="s">
        <v>35989</v>
      </c>
      <c r="G4486" s="18" t="str">
        <f>"52641"</f>
        <v>52641</v>
      </c>
      <c r="H4486" s="19" t="s">
        <v>32041</v>
      </c>
      <c r="I4486" s="20">
        <v>18.832999999999998</v>
      </c>
      <c r="J4486" s="44" t="s">
        <v>8</v>
      </c>
      <c r="K4486" s="23" t="s">
        <v>8</v>
      </c>
      <c r="L4486" s="23" t="s">
        <v>8</v>
      </c>
      <c r="M4486" s="23" t="s">
        <v>8</v>
      </c>
    </row>
    <row r="4487" spans="1:13" s="21" customFormat="1" x14ac:dyDescent="0.25">
      <c r="A4487" s="22" t="s">
        <v>8</v>
      </c>
      <c r="B4487" s="18" t="str">
        <f>"165479"</f>
        <v>165479</v>
      </c>
      <c r="C4487" s="19" t="s">
        <v>4430</v>
      </c>
      <c r="D4487" s="19" t="s">
        <v>19914</v>
      </c>
      <c r="E4487" s="19" t="s">
        <v>32339</v>
      </c>
      <c r="F4487" s="19" t="s">
        <v>35989</v>
      </c>
      <c r="G4487" s="18" t="str">
        <f>"50310"</f>
        <v>50310</v>
      </c>
      <c r="H4487" s="19" t="s">
        <v>36062</v>
      </c>
      <c r="I4487" s="20">
        <v>19.434999999999999</v>
      </c>
      <c r="J4487" s="44" t="s">
        <v>8</v>
      </c>
      <c r="K4487" s="23" t="s">
        <v>8</v>
      </c>
      <c r="L4487" s="23" t="s">
        <v>8</v>
      </c>
      <c r="M4487" s="23" t="s">
        <v>8</v>
      </c>
    </row>
    <row r="4488" spans="1:13" s="21" customFormat="1" x14ac:dyDescent="0.25">
      <c r="A4488" s="22" t="s">
        <v>8</v>
      </c>
      <c r="B4488" s="18" t="str">
        <f>"165480"</f>
        <v>165480</v>
      </c>
      <c r="C4488" s="19" t="s">
        <v>4431</v>
      </c>
      <c r="D4488" s="19" t="s">
        <v>19915</v>
      </c>
      <c r="E4488" s="19" t="s">
        <v>32338</v>
      </c>
      <c r="F4488" s="19" t="s">
        <v>35989</v>
      </c>
      <c r="G4488" s="18" t="str">
        <f>"50112"</f>
        <v>50112</v>
      </c>
      <c r="H4488" s="19" t="s">
        <v>36267</v>
      </c>
      <c r="I4488" s="20">
        <v>17.137</v>
      </c>
      <c r="J4488" s="44" t="s">
        <v>8</v>
      </c>
      <c r="K4488" s="23" t="s">
        <v>8</v>
      </c>
      <c r="L4488" s="23" t="s">
        <v>8</v>
      </c>
      <c r="M4488" s="23" t="s">
        <v>8</v>
      </c>
    </row>
    <row r="4489" spans="1:13" s="21" customFormat="1" x14ac:dyDescent="0.25">
      <c r="A4489" s="22" t="s">
        <v>8</v>
      </c>
      <c r="B4489" s="18" t="str">
        <f>"165481"</f>
        <v>165481</v>
      </c>
      <c r="C4489" s="19" t="s">
        <v>4432</v>
      </c>
      <c r="D4489" s="19" t="s">
        <v>19916</v>
      </c>
      <c r="E4489" s="19" t="s">
        <v>32338</v>
      </c>
      <c r="F4489" s="19" t="s">
        <v>35989</v>
      </c>
      <c r="G4489" s="18" t="str">
        <f>"50112"</f>
        <v>50112</v>
      </c>
      <c r="H4489" s="19" t="s">
        <v>36267</v>
      </c>
      <c r="I4489" s="20">
        <v>17.972000000000001</v>
      </c>
      <c r="J4489" s="44" t="s">
        <v>8</v>
      </c>
      <c r="K4489" s="23" t="s">
        <v>8</v>
      </c>
      <c r="L4489" s="23" t="s">
        <v>8</v>
      </c>
      <c r="M4489" s="23" t="s">
        <v>8</v>
      </c>
    </row>
    <row r="4490" spans="1:13" s="21" customFormat="1" x14ac:dyDescent="0.25">
      <c r="A4490" s="22" t="s">
        <v>8</v>
      </c>
      <c r="B4490" s="18" t="str">
        <f>"165482"</f>
        <v>165482</v>
      </c>
      <c r="C4490" s="19" t="s">
        <v>4433</v>
      </c>
      <c r="D4490" s="19" t="s">
        <v>19917</v>
      </c>
      <c r="E4490" s="19" t="s">
        <v>31500</v>
      </c>
      <c r="F4490" s="19" t="s">
        <v>35989</v>
      </c>
      <c r="G4490" s="18" t="str">
        <f>"52353"</f>
        <v>52353</v>
      </c>
      <c r="H4490" s="19" t="s">
        <v>31500</v>
      </c>
      <c r="I4490" s="20">
        <v>17.959</v>
      </c>
      <c r="J4490" s="44" t="s">
        <v>8</v>
      </c>
      <c r="K4490" s="23" t="s">
        <v>8</v>
      </c>
      <c r="L4490" s="23" t="s">
        <v>8</v>
      </c>
      <c r="M4490" s="23" t="s">
        <v>8</v>
      </c>
    </row>
    <row r="4491" spans="1:13" s="21" customFormat="1" x14ac:dyDescent="0.25">
      <c r="A4491" s="22" t="s">
        <v>8</v>
      </c>
      <c r="B4491" s="18" t="str">
        <f>"165483"</f>
        <v>165483</v>
      </c>
      <c r="C4491" s="19" t="s">
        <v>4434</v>
      </c>
      <c r="D4491" s="19" t="s">
        <v>19918</v>
      </c>
      <c r="E4491" s="19" t="s">
        <v>31500</v>
      </c>
      <c r="F4491" s="19" t="s">
        <v>35989</v>
      </c>
      <c r="G4491" s="18" t="str">
        <f>"52353"</f>
        <v>52353</v>
      </c>
      <c r="H4491" s="19" t="s">
        <v>31500</v>
      </c>
      <c r="I4491" s="20">
        <v>19.152000000000001</v>
      </c>
      <c r="J4491" s="44" t="s">
        <v>8</v>
      </c>
      <c r="K4491" s="23" t="s">
        <v>8</v>
      </c>
      <c r="L4491" s="23" t="s">
        <v>8</v>
      </c>
      <c r="M4491" s="23" t="s">
        <v>8</v>
      </c>
    </row>
    <row r="4492" spans="1:13" s="21" customFormat="1" x14ac:dyDescent="0.25">
      <c r="A4492" s="22" t="s">
        <v>8</v>
      </c>
      <c r="B4492" s="18" t="str">
        <f>"165484"</f>
        <v>165484</v>
      </c>
      <c r="C4492" s="19" t="s">
        <v>4435</v>
      </c>
      <c r="D4492" s="19" t="s">
        <v>19919</v>
      </c>
      <c r="E4492" s="19" t="s">
        <v>32314</v>
      </c>
      <c r="F4492" s="19" t="s">
        <v>35989</v>
      </c>
      <c r="G4492" s="18" t="str">
        <f>"51301"</f>
        <v>51301</v>
      </c>
      <c r="H4492" s="19" t="s">
        <v>36030</v>
      </c>
      <c r="I4492" s="20">
        <v>17.300999999999998</v>
      </c>
      <c r="J4492" s="44" t="s">
        <v>8</v>
      </c>
      <c r="K4492" s="23" t="s">
        <v>8</v>
      </c>
      <c r="L4492" s="23" t="s">
        <v>8</v>
      </c>
      <c r="M4492" s="23" t="s">
        <v>8</v>
      </c>
    </row>
    <row r="4493" spans="1:13" s="21" customFormat="1" x14ac:dyDescent="0.25">
      <c r="A4493" s="22" t="s">
        <v>8</v>
      </c>
      <c r="B4493" s="18" t="str">
        <f>"165485"</f>
        <v>165485</v>
      </c>
      <c r="C4493" s="19" t="s">
        <v>4436</v>
      </c>
      <c r="D4493" s="19" t="s">
        <v>19920</v>
      </c>
      <c r="E4493" s="19" t="s">
        <v>32517</v>
      </c>
      <c r="F4493" s="19" t="s">
        <v>35989</v>
      </c>
      <c r="G4493" s="18" t="str">
        <f>"50459"</f>
        <v>50459</v>
      </c>
      <c r="H4493" s="19" t="s">
        <v>36201</v>
      </c>
      <c r="I4493" s="20">
        <v>19.591999999999999</v>
      </c>
      <c r="J4493" s="44" t="s">
        <v>8</v>
      </c>
      <c r="K4493" s="23" t="s">
        <v>8</v>
      </c>
      <c r="L4493" s="23" t="s">
        <v>8</v>
      </c>
      <c r="M4493" s="23" t="s">
        <v>8</v>
      </c>
    </row>
    <row r="4494" spans="1:13" s="21" customFormat="1" x14ac:dyDescent="0.25">
      <c r="A4494" s="22" t="s">
        <v>8</v>
      </c>
      <c r="B4494" s="18" t="str">
        <f>"165486"</f>
        <v>165486</v>
      </c>
      <c r="C4494" s="19" t="s">
        <v>4437</v>
      </c>
      <c r="D4494" s="19" t="s">
        <v>19921</v>
      </c>
      <c r="E4494" s="19" t="s">
        <v>32518</v>
      </c>
      <c r="F4494" s="19" t="s">
        <v>35989</v>
      </c>
      <c r="G4494" s="18" t="str">
        <f>"51358"</f>
        <v>51358</v>
      </c>
      <c r="H4494" s="19" t="s">
        <v>31242</v>
      </c>
      <c r="I4494" s="20">
        <v>17.952000000000002</v>
      </c>
      <c r="J4494" s="44" t="s">
        <v>8</v>
      </c>
      <c r="K4494" s="23" t="s">
        <v>8</v>
      </c>
      <c r="L4494" s="23" t="s">
        <v>8</v>
      </c>
      <c r="M4494" s="23" t="s">
        <v>8</v>
      </c>
    </row>
    <row r="4495" spans="1:13" s="21" customFormat="1" x14ac:dyDescent="0.25">
      <c r="A4495" s="22" t="s">
        <v>8</v>
      </c>
      <c r="B4495" s="18" t="str">
        <f>"165487"</f>
        <v>165487</v>
      </c>
      <c r="C4495" s="19" t="s">
        <v>4438</v>
      </c>
      <c r="D4495" s="19" t="s">
        <v>19922</v>
      </c>
      <c r="E4495" s="19" t="s">
        <v>32339</v>
      </c>
      <c r="F4495" s="19" t="s">
        <v>35989</v>
      </c>
      <c r="G4495" s="18" t="str">
        <f>"50312"</f>
        <v>50312</v>
      </c>
      <c r="H4495" s="19" t="s">
        <v>36062</v>
      </c>
      <c r="I4495" s="20">
        <v>19.885000000000002</v>
      </c>
      <c r="J4495" s="44" t="s">
        <v>8</v>
      </c>
      <c r="K4495" s="23" t="s">
        <v>8</v>
      </c>
      <c r="L4495" s="23" t="s">
        <v>8</v>
      </c>
      <c r="M4495" s="23" t="s">
        <v>8</v>
      </c>
    </row>
    <row r="4496" spans="1:13" s="21" customFormat="1" x14ac:dyDescent="0.25">
      <c r="A4496" s="22" t="s">
        <v>8</v>
      </c>
      <c r="B4496" s="18" t="str">
        <f>"165488"</f>
        <v>165488</v>
      </c>
      <c r="C4496" s="19" t="s">
        <v>4439</v>
      </c>
      <c r="D4496" s="19" t="s">
        <v>19923</v>
      </c>
      <c r="E4496" s="19" t="s">
        <v>32519</v>
      </c>
      <c r="F4496" s="19" t="s">
        <v>35989</v>
      </c>
      <c r="G4496" s="18" t="str">
        <f>"51466"</f>
        <v>51466</v>
      </c>
      <c r="H4496" s="19" t="s">
        <v>36273</v>
      </c>
      <c r="I4496" s="20">
        <v>18.861000000000001</v>
      </c>
      <c r="J4496" s="44" t="s">
        <v>8</v>
      </c>
      <c r="K4496" s="23" t="s">
        <v>8</v>
      </c>
      <c r="L4496" s="23" t="s">
        <v>8</v>
      </c>
      <c r="M4496" s="23" t="s">
        <v>8</v>
      </c>
    </row>
    <row r="4497" spans="1:13" s="21" customFormat="1" x14ac:dyDescent="0.25">
      <c r="A4497" s="22" t="s">
        <v>8</v>
      </c>
      <c r="B4497" s="18" t="str">
        <f>"165489"</f>
        <v>165489</v>
      </c>
      <c r="C4497" s="19" t="s">
        <v>4440</v>
      </c>
      <c r="D4497" s="19" t="s">
        <v>19924</v>
      </c>
      <c r="E4497" s="19" t="s">
        <v>32351</v>
      </c>
      <c r="F4497" s="19" t="s">
        <v>35989</v>
      </c>
      <c r="G4497" s="18" t="str">
        <f>"51632"</f>
        <v>51632</v>
      </c>
      <c r="H4497" s="19" t="s">
        <v>36270</v>
      </c>
      <c r="I4497" s="20">
        <v>19.192</v>
      </c>
      <c r="J4497" s="44" t="s">
        <v>8</v>
      </c>
      <c r="K4497" s="23" t="s">
        <v>8</v>
      </c>
      <c r="L4497" s="23" t="s">
        <v>8</v>
      </c>
      <c r="M4497" s="23" t="s">
        <v>8</v>
      </c>
    </row>
    <row r="4498" spans="1:13" s="21" customFormat="1" x14ac:dyDescent="0.25">
      <c r="A4498" s="22" t="s">
        <v>8</v>
      </c>
      <c r="B4498" s="18" t="str">
        <f>"165490"</f>
        <v>165490</v>
      </c>
      <c r="C4498" s="19" t="s">
        <v>4441</v>
      </c>
      <c r="D4498" s="19" t="s">
        <v>19925</v>
      </c>
      <c r="E4498" s="19" t="s">
        <v>32520</v>
      </c>
      <c r="F4498" s="19" t="s">
        <v>35989</v>
      </c>
      <c r="G4498" s="18" t="str">
        <f>"52136"</f>
        <v>52136</v>
      </c>
      <c r="H4498" s="19" t="s">
        <v>32644</v>
      </c>
      <c r="I4498" s="20">
        <v>18.077000000000002</v>
      </c>
      <c r="J4498" s="44" t="s">
        <v>8</v>
      </c>
      <c r="K4498" s="23" t="s">
        <v>8</v>
      </c>
      <c r="L4498" s="23" t="s">
        <v>8</v>
      </c>
      <c r="M4498" s="23" t="s">
        <v>8</v>
      </c>
    </row>
    <row r="4499" spans="1:13" s="21" customFormat="1" x14ac:dyDescent="0.25">
      <c r="A4499" s="22" t="s">
        <v>8</v>
      </c>
      <c r="B4499" s="18" t="str">
        <f>"165491"</f>
        <v>165491</v>
      </c>
      <c r="C4499" s="19" t="s">
        <v>4442</v>
      </c>
      <c r="D4499" s="19" t="s">
        <v>19926</v>
      </c>
      <c r="E4499" s="19" t="s">
        <v>32520</v>
      </c>
      <c r="F4499" s="19" t="s">
        <v>35989</v>
      </c>
      <c r="G4499" s="18" t="str">
        <f>"52136"</f>
        <v>52136</v>
      </c>
      <c r="H4499" s="19" t="s">
        <v>32644</v>
      </c>
      <c r="I4499" s="20">
        <v>17.638999999999999</v>
      </c>
      <c r="J4499" s="44" t="s">
        <v>8</v>
      </c>
      <c r="K4499" s="23" t="s">
        <v>8</v>
      </c>
      <c r="L4499" s="23" t="s">
        <v>8</v>
      </c>
      <c r="M4499" s="23" t="s">
        <v>8</v>
      </c>
    </row>
    <row r="4500" spans="1:13" s="21" customFormat="1" x14ac:dyDescent="0.25">
      <c r="A4500" s="22" t="s">
        <v>8</v>
      </c>
      <c r="B4500" s="18" t="str">
        <f>"165492"</f>
        <v>165492</v>
      </c>
      <c r="C4500" s="19" t="s">
        <v>4443</v>
      </c>
      <c r="D4500" s="19" t="s">
        <v>19927</v>
      </c>
      <c r="E4500" s="19" t="s">
        <v>32451</v>
      </c>
      <c r="F4500" s="19" t="s">
        <v>35989</v>
      </c>
      <c r="G4500" s="18" t="str">
        <f>"50536"</f>
        <v>50536</v>
      </c>
      <c r="H4500" s="19" t="s">
        <v>31242</v>
      </c>
      <c r="I4500" s="20">
        <v>18.256</v>
      </c>
      <c r="J4500" s="44" t="s">
        <v>8</v>
      </c>
      <c r="K4500" s="23" t="s">
        <v>8</v>
      </c>
      <c r="L4500" s="23" t="s">
        <v>8</v>
      </c>
      <c r="M4500" s="23" t="s">
        <v>8</v>
      </c>
    </row>
    <row r="4501" spans="1:13" s="21" customFormat="1" x14ac:dyDescent="0.25">
      <c r="A4501" s="22" t="s">
        <v>8</v>
      </c>
      <c r="B4501" s="18" t="str">
        <f>"165494"</f>
        <v>165494</v>
      </c>
      <c r="C4501" s="19" t="s">
        <v>4444</v>
      </c>
      <c r="D4501" s="19" t="s">
        <v>19928</v>
      </c>
      <c r="E4501" s="19" t="s">
        <v>32521</v>
      </c>
      <c r="F4501" s="19" t="s">
        <v>35989</v>
      </c>
      <c r="G4501" s="18" t="str">
        <f>"50676"</f>
        <v>50676</v>
      </c>
      <c r="H4501" s="19" t="s">
        <v>36291</v>
      </c>
      <c r="I4501" s="20">
        <v>18.881</v>
      </c>
      <c r="J4501" s="44" t="s">
        <v>8</v>
      </c>
      <c r="K4501" s="23" t="s">
        <v>8</v>
      </c>
      <c r="L4501" s="23" t="s">
        <v>8</v>
      </c>
      <c r="M4501" s="23" t="s">
        <v>8</v>
      </c>
    </row>
    <row r="4502" spans="1:13" s="21" customFormat="1" x14ac:dyDescent="0.25">
      <c r="A4502" s="22" t="s">
        <v>8</v>
      </c>
      <c r="B4502" s="18" t="str">
        <f>"165495"</f>
        <v>165495</v>
      </c>
      <c r="C4502" s="19" t="s">
        <v>4445</v>
      </c>
      <c r="D4502" s="19" t="s">
        <v>19929</v>
      </c>
      <c r="E4502" s="19" t="s">
        <v>31010</v>
      </c>
      <c r="F4502" s="19" t="s">
        <v>35989</v>
      </c>
      <c r="G4502" s="18" t="str">
        <f>"50619"</f>
        <v>50619</v>
      </c>
      <c r="H4502" s="19" t="s">
        <v>30876</v>
      </c>
      <c r="I4502" s="20">
        <v>19.038</v>
      </c>
      <c r="J4502" s="44" t="s">
        <v>8</v>
      </c>
      <c r="K4502" s="23" t="s">
        <v>8</v>
      </c>
      <c r="L4502" s="23" t="s">
        <v>8</v>
      </c>
      <c r="M4502" s="23" t="s">
        <v>8</v>
      </c>
    </row>
    <row r="4503" spans="1:13" s="21" customFormat="1" x14ac:dyDescent="0.25">
      <c r="A4503" s="22" t="s">
        <v>8</v>
      </c>
      <c r="B4503" s="18" t="str">
        <f>"165497"</f>
        <v>165497</v>
      </c>
      <c r="C4503" s="19" t="s">
        <v>4446</v>
      </c>
      <c r="D4503" s="19" t="s">
        <v>19930</v>
      </c>
      <c r="E4503" s="19" t="s">
        <v>32364</v>
      </c>
      <c r="F4503" s="19" t="s">
        <v>35989</v>
      </c>
      <c r="G4503" s="18" t="str">
        <f>"50273"</f>
        <v>50273</v>
      </c>
      <c r="H4503" s="19" t="s">
        <v>30899</v>
      </c>
      <c r="I4503" s="20">
        <v>18.587</v>
      </c>
      <c r="J4503" s="44" t="s">
        <v>8</v>
      </c>
      <c r="K4503" s="23" t="s">
        <v>8</v>
      </c>
      <c r="L4503" s="23" t="s">
        <v>8</v>
      </c>
      <c r="M4503" s="23" t="s">
        <v>8</v>
      </c>
    </row>
    <row r="4504" spans="1:13" s="21" customFormat="1" x14ac:dyDescent="0.25">
      <c r="A4504" s="22" t="s">
        <v>8</v>
      </c>
      <c r="B4504" s="18" t="str">
        <f>"165498"</f>
        <v>165498</v>
      </c>
      <c r="C4504" s="19" t="s">
        <v>4447</v>
      </c>
      <c r="D4504" s="19" t="s">
        <v>19931</v>
      </c>
      <c r="E4504" s="19" t="s">
        <v>32513</v>
      </c>
      <c r="F4504" s="19" t="s">
        <v>35989</v>
      </c>
      <c r="G4504" s="18" t="str">
        <f>"50036"</f>
        <v>50036</v>
      </c>
      <c r="H4504" s="19" t="s">
        <v>32513</v>
      </c>
      <c r="I4504" s="20">
        <v>21.045000000000002</v>
      </c>
      <c r="J4504" s="44" t="s">
        <v>8</v>
      </c>
      <c r="K4504" s="23" t="s">
        <v>8</v>
      </c>
      <c r="L4504" s="23" t="s">
        <v>8</v>
      </c>
      <c r="M4504" s="23" t="s">
        <v>8</v>
      </c>
    </row>
    <row r="4505" spans="1:13" s="21" customFormat="1" x14ac:dyDescent="0.25">
      <c r="A4505" s="22" t="s">
        <v>8</v>
      </c>
      <c r="B4505" s="18" t="str">
        <f>"165499"</f>
        <v>165499</v>
      </c>
      <c r="C4505" s="19" t="s">
        <v>4448</v>
      </c>
      <c r="D4505" s="19" t="s">
        <v>19932</v>
      </c>
      <c r="E4505" s="19" t="s">
        <v>32522</v>
      </c>
      <c r="F4505" s="19" t="s">
        <v>35989</v>
      </c>
      <c r="G4505" s="18" t="str">
        <f>"51450"</f>
        <v>51450</v>
      </c>
      <c r="H4505" s="19" t="s">
        <v>36273</v>
      </c>
      <c r="I4505" s="20">
        <v>17.916</v>
      </c>
      <c r="J4505" s="44" t="s">
        <v>8</v>
      </c>
      <c r="K4505" s="23" t="s">
        <v>8</v>
      </c>
      <c r="L4505" s="23" t="s">
        <v>8</v>
      </c>
      <c r="M4505" s="23" t="s">
        <v>8</v>
      </c>
    </row>
    <row r="4506" spans="1:13" s="21" customFormat="1" x14ac:dyDescent="0.25">
      <c r="A4506" s="22" t="s">
        <v>8</v>
      </c>
      <c r="B4506" s="18" t="str">
        <f>"165500"</f>
        <v>165500</v>
      </c>
      <c r="C4506" s="19" t="s">
        <v>4449</v>
      </c>
      <c r="D4506" s="19" t="s">
        <v>19933</v>
      </c>
      <c r="E4506" s="19" t="s">
        <v>32523</v>
      </c>
      <c r="F4506" s="19" t="s">
        <v>35989</v>
      </c>
      <c r="G4506" s="18" t="str">
        <f>"50533"</f>
        <v>50533</v>
      </c>
      <c r="H4506" s="19" t="s">
        <v>36290</v>
      </c>
      <c r="I4506" s="20">
        <v>18.013000000000002</v>
      </c>
      <c r="J4506" s="44" t="s">
        <v>8</v>
      </c>
      <c r="K4506" s="23" t="s">
        <v>8</v>
      </c>
      <c r="L4506" s="23" t="s">
        <v>8</v>
      </c>
      <c r="M4506" s="23" t="s">
        <v>8</v>
      </c>
    </row>
    <row r="4507" spans="1:13" s="21" customFormat="1" x14ac:dyDescent="0.25">
      <c r="A4507" s="22" t="s">
        <v>8</v>
      </c>
      <c r="B4507" s="18" t="str">
        <f>"165501"</f>
        <v>165501</v>
      </c>
      <c r="C4507" s="19" t="s">
        <v>966</v>
      </c>
      <c r="D4507" s="19" t="s">
        <v>19934</v>
      </c>
      <c r="E4507" s="19" t="s">
        <v>31552</v>
      </c>
      <c r="F4507" s="19" t="s">
        <v>35989</v>
      </c>
      <c r="G4507" s="18" t="str">
        <f>"50250"</f>
        <v>50250</v>
      </c>
      <c r="H4507" s="19" t="s">
        <v>34700</v>
      </c>
      <c r="I4507" s="20">
        <v>16.66</v>
      </c>
      <c r="J4507" s="44" t="s">
        <v>8</v>
      </c>
      <c r="K4507" s="23" t="s">
        <v>8</v>
      </c>
      <c r="L4507" s="23" t="s">
        <v>8</v>
      </c>
      <c r="M4507" s="23" t="s">
        <v>8</v>
      </c>
    </row>
    <row r="4508" spans="1:13" s="21" customFormat="1" x14ac:dyDescent="0.25">
      <c r="A4508" s="22" t="s">
        <v>8</v>
      </c>
      <c r="B4508" s="18" t="str">
        <f>"165502"</f>
        <v>165502</v>
      </c>
      <c r="C4508" s="19" t="s">
        <v>622</v>
      </c>
      <c r="D4508" s="19" t="s">
        <v>19935</v>
      </c>
      <c r="E4508" s="19" t="s">
        <v>32524</v>
      </c>
      <c r="F4508" s="19" t="s">
        <v>35989</v>
      </c>
      <c r="G4508" s="18" t="str">
        <f>"50674"</f>
        <v>50674</v>
      </c>
      <c r="H4508" s="19" t="s">
        <v>36291</v>
      </c>
      <c r="I4508" s="20">
        <v>18.561</v>
      </c>
      <c r="J4508" s="44" t="s">
        <v>8</v>
      </c>
      <c r="K4508" s="23" t="s">
        <v>8</v>
      </c>
      <c r="L4508" s="23" t="s">
        <v>8</v>
      </c>
      <c r="M4508" s="23" t="s">
        <v>8</v>
      </c>
    </row>
    <row r="4509" spans="1:13" s="21" customFormat="1" x14ac:dyDescent="0.25">
      <c r="A4509" s="22" t="s">
        <v>8</v>
      </c>
      <c r="B4509" s="18" t="str">
        <f>"165503"</f>
        <v>165503</v>
      </c>
      <c r="C4509" s="19" t="s">
        <v>4450</v>
      </c>
      <c r="D4509" s="19" t="s">
        <v>19936</v>
      </c>
      <c r="E4509" s="19" t="s">
        <v>31394</v>
      </c>
      <c r="F4509" s="19" t="s">
        <v>35989</v>
      </c>
      <c r="G4509" s="18" t="str">
        <f>"52057"</f>
        <v>52057</v>
      </c>
      <c r="H4509" s="19" t="s">
        <v>34462</v>
      </c>
      <c r="I4509" s="20">
        <v>18.495999999999999</v>
      </c>
      <c r="J4509" s="44" t="s">
        <v>8</v>
      </c>
      <c r="K4509" s="23" t="s">
        <v>8</v>
      </c>
      <c r="L4509" s="23" t="s">
        <v>8</v>
      </c>
      <c r="M4509" s="23" t="s">
        <v>8</v>
      </c>
    </row>
    <row r="4510" spans="1:13" s="21" customFormat="1" x14ac:dyDescent="0.25">
      <c r="A4510" s="22" t="s">
        <v>8</v>
      </c>
      <c r="B4510" s="18" t="str">
        <f>"165504"</f>
        <v>165504</v>
      </c>
      <c r="C4510" s="19" t="s">
        <v>4451</v>
      </c>
      <c r="D4510" s="19" t="s">
        <v>19937</v>
      </c>
      <c r="E4510" s="19" t="s">
        <v>32366</v>
      </c>
      <c r="F4510" s="19" t="s">
        <v>35989</v>
      </c>
      <c r="G4510" s="18" t="str">
        <f>"50511"</f>
        <v>50511</v>
      </c>
      <c r="H4510" s="19" t="s">
        <v>36275</v>
      </c>
      <c r="I4510" s="20">
        <v>20.422999999999998</v>
      </c>
      <c r="J4510" s="44" t="s">
        <v>8</v>
      </c>
      <c r="K4510" s="23" t="s">
        <v>8</v>
      </c>
      <c r="L4510" s="23" t="s">
        <v>8</v>
      </c>
      <c r="M4510" s="23" t="s">
        <v>8</v>
      </c>
    </row>
    <row r="4511" spans="1:13" s="21" customFormat="1" x14ac:dyDescent="0.25">
      <c r="A4511" s="22" t="s">
        <v>8</v>
      </c>
      <c r="B4511" s="18" t="str">
        <f>"165506"</f>
        <v>165506</v>
      </c>
      <c r="C4511" s="19" t="s">
        <v>4452</v>
      </c>
      <c r="D4511" s="19" t="s">
        <v>19938</v>
      </c>
      <c r="E4511" s="19" t="s">
        <v>32364</v>
      </c>
      <c r="F4511" s="19" t="s">
        <v>35989</v>
      </c>
      <c r="G4511" s="18" t="str">
        <f>"50273"</f>
        <v>50273</v>
      </c>
      <c r="H4511" s="19" t="s">
        <v>30899</v>
      </c>
      <c r="I4511" s="20">
        <v>18.911999999999999</v>
      </c>
      <c r="J4511" s="44" t="s">
        <v>8</v>
      </c>
      <c r="K4511" s="23" t="s">
        <v>8</v>
      </c>
      <c r="L4511" s="23" t="s">
        <v>8</v>
      </c>
      <c r="M4511" s="23" t="s">
        <v>8</v>
      </c>
    </row>
    <row r="4512" spans="1:13" s="21" customFormat="1" x14ac:dyDescent="0.25">
      <c r="A4512" s="22" t="s">
        <v>8</v>
      </c>
      <c r="B4512" s="18" t="str">
        <f>"165507"</f>
        <v>165507</v>
      </c>
      <c r="C4512" s="19" t="s">
        <v>4453</v>
      </c>
      <c r="D4512" s="19" t="s">
        <v>19939</v>
      </c>
      <c r="E4512" s="19" t="s">
        <v>32339</v>
      </c>
      <c r="F4512" s="19" t="s">
        <v>35989</v>
      </c>
      <c r="G4512" s="18" t="str">
        <f>"50317"</f>
        <v>50317</v>
      </c>
      <c r="H4512" s="19" t="s">
        <v>36062</v>
      </c>
      <c r="I4512" s="20">
        <v>17.47</v>
      </c>
      <c r="J4512" s="44" t="s">
        <v>8</v>
      </c>
      <c r="K4512" s="23" t="s">
        <v>8</v>
      </c>
      <c r="L4512" s="23" t="s">
        <v>8</v>
      </c>
      <c r="M4512" s="23" t="s">
        <v>8</v>
      </c>
    </row>
    <row r="4513" spans="1:13" s="21" customFormat="1" x14ac:dyDescent="0.25">
      <c r="A4513" s="22" t="s">
        <v>8</v>
      </c>
      <c r="B4513" s="18" t="str">
        <f>"165508"</f>
        <v>165508</v>
      </c>
      <c r="C4513" s="19" t="s">
        <v>4454</v>
      </c>
      <c r="D4513" s="19" t="s">
        <v>19940</v>
      </c>
      <c r="E4513" s="19" t="s">
        <v>32370</v>
      </c>
      <c r="F4513" s="19" t="s">
        <v>35989</v>
      </c>
      <c r="G4513" s="18" t="str">
        <f>"50613"</f>
        <v>50613</v>
      </c>
      <c r="H4513" s="19" t="s">
        <v>36268</v>
      </c>
      <c r="I4513" s="20">
        <v>17.989000000000001</v>
      </c>
      <c r="J4513" s="44" t="s">
        <v>8</v>
      </c>
      <c r="K4513" s="23" t="s">
        <v>8</v>
      </c>
      <c r="L4513" s="23" t="s">
        <v>8</v>
      </c>
      <c r="M4513" s="23" t="s">
        <v>8</v>
      </c>
    </row>
    <row r="4514" spans="1:13" s="21" customFormat="1" x14ac:dyDescent="0.25">
      <c r="A4514" s="22" t="s">
        <v>8</v>
      </c>
      <c r="B4514" s="18" t="str">
        <f>"165509"</f>
        <v>165509</v>
      </c>
      <c r="C4514" s="19" t="s">
        <v>4455</v>
      </c>
      <c r="D4514" s="19" t="s">
        <v>19941</v>
      </c>
      <c r="E4514" s="19" t="s">
        <v>31081</v>
      </c>
      <c r="F4514" s="19" t="s">
        <v>35989</v>
      </c>
      <c r="G4514" s="18" t="str">
        <f>"52732"</f>
        <v>52732</v>
      </c>
      <c r="H4514" s="19" t="s">
        <v>31081</v>
      </c>
      <c r="I4514" s="20">
        <v>21.79</v>
      </c>
      <c r="J4514" s="44" t="s">
        <v>8</v>
      </c>
      <c r="K4514" s="23" t="s">
        <v>8</v>
      </c>
      <c r="L4514" s="23" t="s">
        <v>8</v>
      </c>
      <c r="M4514" s="23" t="s">
        <v>8</v>
      </c>
    </row>
    <row r="4515" spans="1:13" s="21" customFormat="1" x14ac:dyDescent="0.25">
      <c r="A4515" s="22" t="s">
        <v>8</v>
      </c>
      <c r="B4515" s="18" t="str">
        <f>"165510"</f>
        <v>165510</v>
      </c>
      <c r="C4515" s="19" t="s">
        <v>4456</v>
      </c>
      <c r="D4515" s="19" t="s">
        <v>19942</v>
      </c>
      <c r="E4515" s="19" t="s">
        <v>31658</v>
      </c>
      <c r="F4515" s="19" t="s">
        <v>35989</v>
      </c>
      <c r="G4515" s="18" t="str">
        <f>"52806"</f>
        <v>52806</v>
      </c>
      <c r="H4515" s="19" t="s">
        <v>36083</v>
      </c>
      <c r="I4515" s="20">
        <v>20.814</v>
      </c>
      <c r="J4515" s="44" t="s">
        <v>8</v>
      </c>
      <c r="K4515" s="23" t="s">
        <v>8</v>
      </c>
      <c r="L4515" s="23" t="s">
        <v>8</v>
      </c>
      <c r="M4515" s="23" t="s">
        <v>8</v>
      </c>
    </row>
    <row r="4516" spans="1:13" s="21" customFormat="1" x14ac:dyDescent="0.25">
      <c r="A4516" s="22" t="s">
        <v>8</v>
      </c>
      <c r="B4516" s="18" t="str">
        <f>"165511"</f>
        <v>165511</v>
      </c>
      <c r="C4516" s="19" t="s">
        <v>4457</v>
      </c>
      <c r="D4516" s="19" t="s">
        <v>19943</v>
      </c>
      <c r="E4516" s="19" t="s">
        <v>30850</v>
      </c>
      <c r="F4516" s="19" t="s">
        <v>35989</v>
      </c>
      <c r="G4516" s="18" t="str">
        <f>"52302"</f>
        <v>52302</v>
      </c>
      <c r="H4516" s="19" t="s">
        <v>32661</v>
      </c>
      <c r="I4516" s="20">
        <v>20.059999999999999</v>
      </c>
      <c r="J4516" s="44" t="s">
        <v>8</v>
      </c>
      <c r="K4516" s="23" t="s">
        <v>8</v>
      </c>
      <c r="L4516" s="23" t="s">
        <v>8</v>
      </c>
      <c r="M4516" s="23" t="s">
        <v>8</v>
      </c>
    </row>
    <row r="4517" spans="1:13" s="21" customFormat="1" x14ac:dyDescent="0.25">
      <c r="A4517" s="22" t="s">
        <v>8</v>
      </c>
      <c r="B4517" s="18" t="str">
        <f>"165512"</f>
        <v>165512</v>
      </c>
      <c r="C4517" s="19" t="s">
        <v>4458</v>
      </c>
      <c r="D4517" s="19" t="s">
        <v>19944</v>
      </c>
      <c r="E4517" s="19" t="s">
        <v>31081</v>
      </c>
      <c r="F4517" s="19" t="s">
        <v>35989</v>
      </c>
      <c r="G4517" s="18" t="str">
        <f>"52732"</f>
        <v>52732</v>
      </c>
      <c r="H4517" s="19" t="s">
        <v>31081</v>
      </c>
      <c r="I4517" s="20">
        <v>18.064</v>
      </c>
      <c r="J4517" s="44" t="s">
        <v>8</v>
      </c>
      <c r="K4517" s="23" t="s">
        <v>8</v>
      </c>
      <c r="L4517" s="23" t="s">
        <v>8</v>
      </c>
      <c r="M4517" s="23" t="s">
        <v>8</v>
      </c>
    </row>
    <row r="4518" spans="1:13" s="21" customFormat="1" x14ac:dyDescent="0.25">
      <c r="A4518" s="22" t="s">
        <v>8</v>
      </c>
      <c r="B4518" s="18" t="str">
        <f>"165513"</f>
        <v>165513</v>
      </c>
      <c r="C4518" s="19" t="s">
        <v>4459</v>
      </c>
      <c r="D4518" s="19" t="s">
        <v>19945</v>
      </c>
      <c r="E4518" s="19" t="s">
        <v>32343</v>
      </c>
      <c r="F4518" s="19" t="s">
        <v>35989</v>
      </c>
      <c r="G4518" s="18" t="str">
        <f>"52001"</f>
        <v>52001</v>
      </c>
      <c r="H4518" s="19" t="s">
        <v>32343</v>
      </c>
      <c r="I4518" s="20">
        <v>20.901</v>
      </c>
      <c r="J4518" s="44" t="s">
        <v>8</v>
      </c>
      <c r="K4518" s="23" t="s">
        <v>8</v>
      </c>
      <c r="L4518" s="23" t="s">
        <v>8</v>
      </c>
      <c r="M4518" s="23" t="s">
        <v>8</v>
      </c>
    </row>
    <row r="4519" spans="1:13" s="21" customFormat="1" x14ac:dyDescent="0.25">
      <c r="A4519" s="22" t="s">
        <v>8</v>
      </c>
      <c r="B4519" s="18" t="str">
        <f>"165514"</f>
        <v>165514</v>
      </c>
      <c r="C4519" s="19" t="s">
        <v>4460</v>
      </c>
      <c r="D4519" s="19" t="s">
        <v>19946</v>
      </c>
      <c r="E4519" s="19" t="s">
        <v>32339</v>
      </c>
      <c r="F4519" s="19" t="s">
        <v>35989</v>
      </c>
      <c r="G4519" s="18" t="str">
        <f>"50310"</f>
        <v>50310</v>
      </c>
      <c r="H4519" s="19" t="s">
        <v>36062</v>
      </c>
      <c r="I4519" s="20">
        <v>18.861999999999998</v>
      </c>
      <c r="J4519" s="44" t="s">
        <v>8</v>
      </c>
      <c r="K4519" s="23" t="s">
        <v>8</v>
      </c>
      <c r="L4519" s="23" t="s">
        <v>8</v>
      </c>
      <c r="M4519" s="23" t="s">
        <v>8</v>
      </c>
    </row>
    <row r="4520" spans="1:13" s="21" customFormat="1" x14ac:dyDescent="0.25">
      <c r="A4520" s="22" t="s">
        <v>8</v>
      </c>
      <c r="B4520" s="18" t="str">
        <f>"165515"</f>
        <v>165515</v>
      </c>
      <c r="C4520" s="19" t="s">
        <v>4461</v>
      </c>
      <c r="D4520" s="19" t="s">
        <v>19947</v>
      </c>
      <c r="E4520" s="19" t="s">
        <v>32525</v>
      </c>
      <c r="F4520" s="19" t="s">
        <v>35989</v>
      </c>
      <c r="G4520" s="18" t="str">
        <f>"52224"</f>
        <v>52224</v>
      </c>
      <c r="H4520" s="19" t="s">
        <v>32511</v>
      </c>
      <c r="I4520" s="20">
        <v>19.02</v>
      </c>
      <c r="J4520" s="44" t="s">
        <v>8</v>
      </c>
      <c r="K4520" s="23" t="s">
        <v>8</v>
      </c>
      <c r="L4520" s="23" t="s">
        <v>8</v>
      </c>
      <c r="M4520" s="23" t="s">
        <v>8</v>
      </c>
    </row>
    <row r="4521" spans="1:13" s="21" customFormat="1" x14ac:dyDescent="0.25">
      <c r="A4521" s="22" t="s">
        <v>8</v>
      </c>
      <c r="B4521" s="18" t="str">
        <f>"165516"</f>
        <v>165516</v>
      </c>
      <c r="C4521" s="19" t="s">
        <v>4462</v>
      </c>
      <c r="D4521" s="19" t="s">
        <v>19948</v>
      </c>
      <c r="E4521" s="19" t="s">
        <v>32526</v>
      </c>
      <c r="F4521" s="19" t="s">
        <v>35989</v>
      </c>
      <c r="G4521" s="18" t="str">
        <f>"52060"</f>
        <v>52060</v>
      </c>
      <c r="H4521" s="19" t="s">
        <v>30816</v>
      </c>
      <c r="I4521" s="20">
        <v>17.408000000000001</v>
      </c>
      <c r="J4521" s="44" t="s">
        <v>8</v>
      </c>
      <c r="K4521" s="23" t="s">
        <v>8</v>
      </c>
      <c r="L4521" s="23" t="s">
        <v>8</v>
      </c>
      <c r="M4521" s="23" t="s">
        <v>8</v>
      </c>
    </row>
    <row r="4522" spans="1:13" s="21" customFormat="1" x14ac:dyDescent="0.25">
      <c r="A4522" s="22" t="s">
        <v>8</v>
      </c>
      <c r="B4522" s="18" t="str">
        <f>"165521"</f>
        <v>165521</v>
      </c>
      <c r="C4522" s="19" t="s">
        <v>4463</v>
      </c>
      <c r="D4522" s="19" t="s">
        <v>19949</v>
      </c>
      <c r="E4522" s="19" t="s">
        <v>32101</v>
      </c>
      <c r="F4522" s="19" t="s">
        <v>35989</v>
      </c>
      <c r="G4522" s="18" t="str">
        <f>"50208"</f>
        <v>50208</v>
      </c>
      <c r="H4522" s="19" t="s">
        <v>30854</v>
      </c>
      <c r="I4522" s="20">
        <v>19.184999999999999</v>
      </c>
      <c r="J4522" s="44" t="s">
        <v>8</v>
      </c>
      <c r="K4522" s="23" t="s">
        <v>8</v>
      </c>
      <c r="L4522" s="23" t="s">
        <v>8</v>
      </c>
      <c r="M4522" s="23" t="s">
        <v>8</v>
      </c>
    </row>
    <row r="4523" spans="1:13" s="21" customFormat="1" x14ac:dyDescent="0.25">
      <c r="A4523" s="22" t="s">
        <v>8</v>
      </c>
      <c r="B4523" s="18" t="str">
        <f>"165522"</f>
        <v>165522</v>
      </c>
      <c r="C4523" s="19" t="s">
        <v>4464</v>
      </c>
      <c r="D4523" s="19" t="s">
        <v>19950</v>
      </c>
      <c r="E4523" s="19" t="s">
        <v>32527</v>
      </c>
      <c r="F4523" s="19" t="s">
        <v>35989</v>
      </c>
      <c r="G4523" s="18" t="str">
        <f>"50669"</f>
        <v>50669</v>
      </c>
      <c r="H4523" s="19" t="s">
        <v>35400</v>
      </c>
      <c r="I4523" s="20">
        <v>18.274000000000001</v>
      </c>
      <c r="J4523" s="44" t="s">
        <v>8</v>
      </c>
      <c r="K4523" s="23" t="s">
        <v>8</v>
      </c>
      <c r="L4523" s="23" t="s">
        <v>8</v>
      </c>
      <c r="M4523" s="23" t="s">
        <v>8</v>
      </c>
    </row>
    <row r="4524" spans="1:13" s="21" customFormat="1" x14ac:dyDescent="0.25">
      <c r="A4524" s="22" t="s">
        <v>8</v>
      </c>
      <c r="B4524" s="18" t="str">
        <f>"165523"</f>
        <v>165523</v>
      </c>
      <c r="C4524" s="19" t="s">
        <v>4465</v>
      </c>
      <c r="D4524" s="19" t="s">
        <v>19951</v>
      </c>
      <c r="E4524" s="19" t="s">
        <v>32367</v>
      </c>
      <c r="F4524" s="19" t="s">
        <v>35989</v>
      </c>
      <c r="G4524" s="18" t="str">
        <f>"51334"</f>
        <v>51334</v>
      </c>
      <c r="H4524" s="19" t="s">
        <v>36276</v>
      </c>
      <c r="I4524" s="20">
        <v>18.754000000000001</v>
      </c>
      <c r="J4524" s="44" t="s">
        <v>8</v>
      </c>
      <c r="K4524" s="23" t="s">
        <v>8</v>
      </c>
      <c r="L4524" s="23" t="s">
        <v>8</v>
      </c>
      <c r="M4524" s="23" t="s">
        <v>8</v>
      </c>
    </row>
    <row r="4525" spans="1:13" s="21" customFormat="1" x14ac:dyDescent="0.25">
      <c r="A4525" s="22" t="s">
        <v>8</v>
      </c>
      <c r="B4525" s="18" t="str">
        <f>"165524"</f>
        <v>165524</v>
      </c>
      <c r="C4525" s="19" t="s">
        <v>4466</v>
      </c>
      <c r="D4525" s="19" t="s">
        <v>19952</v>
      </c>
      <c r="E4525" s="19" t="s">
        <v>32372</v>
      </c>
      <c r="F4525" s="19" t="s">
        <v>35989</v>
      </c>
      <c r="G4525" s="18" t="str">
        <f>"51503"</f>
        <v>51503</v>
      </c>
      <c r="H4525" s="19" t="s">
        <v>36277</v>
      </c>
      <c r="I4525" s="20">
        <v>18.134</v>
      </c>
      <c r="J4525" s="44" t="s">
        <v>8</v>
      </c>
      <c r="K4525" s="23" t="s">
        <v>8</v>
      </c>
      <c r="L4525" s="23" t="s">
        <v>8</v>
      </c>
      <c r="M4525" s="23" t="s">
        <v>8</v>
      </c>
    </row>
    <row r="4526" spans="1:13" s="21" customFormat="1" x14ac:dyDescent="0.25">
      <c r="A4526" s="22" t="s">
        <v>8</v>
      </c>
      <c r="B4526" s="18" t="str">
        <f>"165525"</f>
        <v>165525</v>
      </c>
      <c r="C4526" s="19" t="s">
        <v>4467</v>
      </c>
      <c r="D4526" s="19" t="s">
        <v>19953</v>
      </c>
      <c r="E4526" s="19" t="s">
        <v>32528</v>
      </c>
      <c r="F4526" s="19" t="s">
        <v>35989</v>
      </c>
      <c r="G4526" s="18" t="str">
        <f>"50115"</f>
        <v>50115</v>
      </c>
      <c r="H4526" s="19" t="s">
        <v>34700</v>
      </c>
      <c r="I4526" s="20">
        <v>19.048999999999999</v>
      </c>
      <c r="J4526" s="44" t="s">
        <v>8</v>
      </c>
      <c r="K4526" s="23" t="s">
        <v>8</v>
      </c>
      <c r="L4526" s="23" t="s">
        <v>8</v>
      </c>
      <c r="M4526" s="23" t="s">
        <v>8</v>
      </c>
    </row>
    <row r="4527" spans="1:13" s="21" customFormat="1" x14ac:dyDescent="0.25">
      <c r="A4527" s="22" t="s">
        <v>8</v>
      </c>
      <c r="B4527" s="18" t="str">
        <f>"165527"</f>
        <v>165527</v>
      </c>
      <c r="C4527" s="19" t="s">
        <v>4468</v>
      </c>
      <c r="D4527" s="19" t="s">
        <v>19954</v>
      </c>
      <c r="E4527" s="19" t="s">
        <v>32520</v>
      </c>
      <c r="F4527" s="19" t="s">
        <v>35989</v>
      </c>
      <c r="G4527" s="18" t="str">
        <f>"52136"</f>
        <v>52136</v>
      </c>
      <c r="H4527" s="19" t="s">
        <v>32644</v>
      </c>
      <c r="I4527" s="20">
        <v>18.562999999999999</v>
      </c>
      <c r="J4527" s="44" t="s">
        <v>8</v>
      </c>
      <c r="K4527" s="23" t="s">
        <v>8</v>
      </c>
      <c r="L4527" s="23" t="s">
        <v>8</v>
      </c>
      <c r="M4527" s="23" t="s">
        <v>8</v>
      </c>
    </row>
    <row r="4528" spans="1:13" s="21" customFormat="1" x14ac:dyDescent="0.25">
      <c r="A4528" s="22" t="s">
        <v>8</v>
      </c>
      <c r="B4528" s="18" t="str">
        <f>"165528"</f>
        <v>165528</v>
      </c>
      <c r="C4528" s="19" t="s">
        <v>4469</v>
      </c>
      <c r="D4528" s="19" t="s">
        <v>19955</v>
      </c>
      <c r="E4528" s="19" t="s">
        <v>32337</v>
      </c>
      <c r="F4528" s="19" t="s">
        <v>35989</v>
      </c>
      <c r="G4528" s="18" t="str">
        <f>"51360"</f>
        <v>51360</v>
      </c>
      <c r="H4528" s="19" t="s">
        <v>34382</v>
      </c>
      <c r="I4528" s="20">
        <v>15.978</v>
      </c>
      <c r="J4528" s="44" t="s">
        <v>8</v>
      </c>
      <c r="K4528" s="23" t="s">
        <v>8</v>
      </c>
      <c r="L4528" s="23" t="s">
        <v>8</v>
      </c>
      <c r="M4528" s="23" t="s">
        <v>8</v>
      </c>
    </row>
    <row r="4529" spans="1:13" s="21" customFormat="1" x14ac:dyDescent="0.25">
      <c r="A4529" s="22" t="s">
        <v>8</v>
      </c>
      <c r="B4529" s="18" t="str">
        <f>"165529"</f>
        <v>165529</v>
      </c>
      <c r="C4529" s="19" t="s">
        <v>4470</v>
      </c>
      <c r="D4529" s="19" t="s">
        <v>19956</v>
      </c>
      <c r="E4529" s="19" t="s">
        <v>32529</v>
      </c>
      <c r="F4529" s="19" t="s">
        <v>35989</v>
      </c>
      <c r="G4529" s="18" t="str">
        <f>"51601"</f>
        <v>51601</v>
      </c>
      <c r="H4529" s="19" t="s">
        <v>36270</v>
      </c>
      <c r="I4529" s="20">
        <v>18.452999999999999</v>
      </c>
      <c r="J4529" s="44" t="s">
        <v>8</v>
      </c>
      <c r="K4529" s="23" t="s">
        <v>8</v>
      </c>
      <c r="L4529" s="23" t="s">
        <v>8</v>
      </c>
      <c r="M4529" s="23" t="s">
        <v>8</v>
      </c>
    </row>
    <row r="4530" spans="1:13" s="21" customFormat="1" x14ac:dyDescent="0.25">
      <c r="A4530" s="22" t="s">
        <v>8</v>
      </c>
      <c r="B4530" s="18" t="str">
        <f>"165530"</f>
        <v>165530</v>
      </c>
      <c r="C4530" s="19" t="s">
        <v>4471</v>
      </c>
      <c r="D4530" s="19" t="s">
        <v>19957</v>
      </c>
      <c r="E4530" s="19" t="s">
        <v>31078</v>
      </c>
      <c r="F4530" s="19" t="s">
        <v>35989</v>
      </c>
      <c r="G4530" s="18" t="str">
        <f>"51534"</f>
        <v>51534</v>
      </c>
      <c r="H4530" s="19" t="s">
        <v>36292</v>
      </c>
      <c r="I4530" s="20">
        <v>19.106999999999999</v>
      </c>
      <c r="J4530" s="44" t="s">
        <v>8</v>
      </c>
      <c r="K4530" s="23" t="s">
        <v>8</v>
      </c>
      <c r="L4530" s="23" t="s">
        <v>8</v>
      </c>
      <c r="M4530" s="23" t="s">
        <v>8</v>
      </c>
    </row>
    <row r="4531" spans="1:13" s="21" customFormat="1" x14ac:dyDescent="0.25">
      <c r="A4531" s="22" t="s">
        <v>8</v>
      </c>
      <c r="B4531" s="18" t="str">
        <f>"165531"</f>
        <v>165531</v>
      </c>
      <c r="C4531" s="19" t="s">
        <v>4472</v>
      </c>
      <c r="D4531" s="19" t="s">
        <v>19958</v>
      </c>
      <c r="E4531" s="19" t="s">
        <v>32529</v>
      </c>
      <c r="F4531" s="19" t="s">
        <v>35989</v>
      </c>
      <c r="G4531" s="18" t="str">
        <f>"51601"</f>
        <v>51601</v>
      </c>
      <c r="H4531" s="19" t="s">
        <v>36270</v>
      </c>
      <c r="I4531" s="20">
        <v>18.251999999999999</v>
      </c>
      <c r="J4531" s="44" t="s">
        <v>8</v>
      </c>
      <c r="K4531" s="23" t="s">
        <v>8</v>
      </c>
      <c r="L4531" s="23" t="s">
        <v>8</v>
      </c>
      <c r="M4531" s="23" t="s">
        <v>8</v>
      </c>
    </row>
    <row r="4532" spans="1:13" s="21" customFormat="1" x14ac:dyDescent="0.25">
      <c r="A4532" s="22" t="s">
        <v>8</v>
      </c>
      <c r="B4532" s="18" t="str">
        <f>"165532"</f>
        <v>165532</v>
      </c>
      <c r="C4532" s="19" t="s">
        <v>4473</v>
      </c>
      <c r="D4532" s="19" t="s">
        <v>19959</v>
      </c>
      <c r="E4532" s="19" t="s">
        <v>32396</v>
      </c>
      <c r="F4532" s="19" t="s">
        <v>35989</v>
      </c>
      <c r="G4532" s="18" t="str">
        <f>"51442"</f>
        <v>51442</v>
      </c>
      <c r="H4532" s="19" t="s">
        <v>31759</v>
      </c>
      <c r="I4532" s="20">
        <v>16.89</v>
      </c>
      <c r="J4532" s="44" t="s">
        <v>8</v>
      </c>
      <c r="K4532" s="23" t="s">
        <v>8</v>
      </c>
      <c r="L4532" s="23" t="s">
        <v>8</v>
      </c>
      <c r="M4532" s="23" t="s">
        <v>8</v>
      </c>
    </row>
    <row r="4533" spans="1:13" s="21" customFormat="1" x14ac:dyDescent="0.25">
      <c r="A4533" s="22" t="s">
        <v>8</v>
      </c>
      <c r="B4533" s="18" t="str">
        <f>"165533"</f>
        <v>165533</v>
      </c>
      <c r="C4533" s="19" t="s">
        <v>4474</v>
      </c>
      <c r="D4533" s="19" t="s">
        <v>19960</v>
      </c>
      <c r="E4533" s="19" t="s">
        <v>32530</v>
      </c>
      <c r="F4533" s="19" t="s">
        <v>35989</v>
      </c>
      <c r="G4533" s="18" t="str">
        <f>"50548"</f>
        <v>50548</v>
      </c>
      <c r="H4533" s="19" t="s">
        <v>32530</v>
      </c>
      <c r="I4533" s="20">
        <v>17.905000000000001</v>
      </c>
      <c r="J4533" s="44" t="s">
        <v>8</v>
      </c>
      <c r="K4533" s="23" t="s">
        <v>8</v>
      </c>
      <c r="L4533" s="23" t="s">
        <v>8</v>
      </c>
      <c r="M4533" s="23" t="s">
        <v>8</v>
      </c>
    </row>
    <row r="4534" spans="1:13" s="21" customFormat="1" x14ac:dyDescent="0.25">
      <c r="A4534" s="22" t="s">
        <v>8</v>
      </c>
      <c r="B4534" s="18" t="str">
        <f>"165534"</f>
        <v>165534</v>
      </c>
      <c r="C4534" s="19" t="s">
        <v>4475</v>
      </c>
      <c r="D4534" s="19" t="s">
        <v>19961</v>
      </c>
      <c r="E4534" s="19" t="s">
        <v>32530</v>
      </c>
      <c r="F4534" s="19" t="s">
        <v>35989</v>
      </c>
      <c r="G4534" s="18" t="str">
        <f>"50548"</f>
        <v>50548</v>
      </c>
      <c r="H4534" s="19" t="s">
        <v>32530</v>
      </c>
      <c r="I4534" s="20">
        <v>18.082000000000001</v>
      </c>
      <c r="J4534" s="44" t="s">
        <v>8</v>
      </c>
      <c r="K4534" s="23" t="s">
        <v>8</v>
      </c>
      <c r="L4534" s="23" t="s">
        <v>8</v>
      </c>
      <c r="M4534" s="23" t="s">
        <v>8</v>
      </c>
    </row>
    <row r="4535" spans="1:13" s="21" customFormat="1" x14ac:dyDescent="0.25">
      <c r="A4535" s="22" t="s">
        <v>8</v>
      </c>
      <c r="B4535" s="18" t="str">
        <f>"165535"</f>
        <v>165535</v>
      </c>
      <c r="C4535" s="19" t="s">
        <v>4476</v>
      </c>
      <c r="D4535" s="19" t="s">
        <v>19962</v>
      </c>
      <c r="E4535" s="19" t="s">
        <v>32531</v>
      </c>
      <c r="F4535" s="19" t="s">
        <v>35989</v>
      </c>
      <c r="G4535" s="18" t="str">
        <f>"51005"</f>
        <v>51005</v>
      </c>
      <c r="H4535" s="19" t="s">
        <v>32436</v>
      </c>
      <c r="I4535" s="20">
        <v>19.565999999999999</v>
      </c>
      <c r="J4535" s="44" t="s">
        <v>8</v>
      </c>
      <c r="K4535" s="23" t="s">
        <v>8</v>
      </c>
      <c r="L4535" s="23" t="s">
        <v>8</v>
      </c>
      <c r="M4535" s="23" t="s">
        <v>8</v>
      </c>
    </row>
    <row r="4536" spans="1:13" s="21" customFormat="1" x14ac:dyDescent="0.25">
      <c r="A4536" s="22" t="s">
        <v>8</v>
      </c>
      <c r="B4536" s="18" t="str">
        <f>"165536"</f>
        <v>165536</v>
      </c>
      <c r="C4536" s="19" t="s">
        <v>4477</v>
      </c>
      <c r="D4536" s="19" t="s">
        <v>19963</v>
      </c>
      <c r="E4536" s="19" t="s">
        <v>32048</v>
      </c>
      <c r="F4536" s="19" t="s">
        <v>35989</v>
      </c>
      <c r="G4536" s="18" t="str">
        <f>"50401"</f>
        <v>50401</v>
      </c>
      <c r="H4536" s="19" t="s">
        <v>36269</v>
      </c>
      <c r="I4536" s="20">
        <v>17.073</v>
      </c>
      <c r="J4536" s="44" t="s">
        <v>8</v>
      </c>
      <c r="K4536" s="23" t="s">
        <v>8</v>
      </c>
      <c r="L4536" s="23" t="s">
        <v>8</v>
      </c>
      <c r="M4536" s="23" t="s">
        <v>8</v>
      </c>
    </row>
    <row r="4537" spans="1:13" s="21" customFormat="1" x14ac:dyDescent="0.25">
      <c r="A4537" s="22" t="s">
        <v>8</v>
      </c>
      <c r="B4537" s="18" t="str">
        <f>"165537"</f>
        <v>165537</v>
      </c>
      <c r="C4537" s="19" t="s">
        <v>4478</v>
      </c>
      <c r="D4537" s="19" t="s">
        <v>19964</v>
      </c>
      <c r="E4537" s="19" t="s">
        <v>32532</v>
      </c>
      <c r="F4537" s="19" t="s">
        <v>35989</v>
      </c>
      <c r="G4537" s="18" t="str">
        <f>"52233"</f>
        <v>52233</v>
      </c>
      <c r="H4537" s="19" t="s">
        <v>32661</v>
      </c>
      <c r="I4537" s="20">
        <v>17.981000000000002</v>
      </c>
      <c r="J4537" s="44" t="s">
        <v>8</v>
      </c>
      <c r="K4537" s="23" t="s">
        <v>8</v>
      </c>
      <c r="L4537" s="23" t="s">
        <v>8</v>
      </c>
      <c r="M4537" s="23" t="s">
        <v>8</v>
      </c>
    </row>
    <row r="4538" spans="1:13" s="21" customFormat="1" x14ac:dyDescent="0.25">
      <c r="A4538" s="22" t="s">
        <v>8</v>
      </c>
      <c r="B4538" s="18" t="str">
        <f>"165538"</f>
        <v>165538</v>
      </c>
      <c r="C4538" s="19" t="s">
        <v>4479</v>
      </c>
      <c r="D4538" s="19" t="s">
        <v>19965</v>
      </c>
      <c r="E4538" s="19" t="s">
        <v>31582</v>
      </c>
      <c r="F4538" s="19" t="s">
        <v>35989</v>
      </c>
      <c r="G4538" s="18" t="str">
        <f>"51041"</f>
        <v>51041</v>
      </c>
      <c r="H4538" s="19" t="s">
        <v>36282</v>
      </c>
      <c r="I4538" s="20">
        <v>18.917999999999999</v>
      </c>
      <c r="J4538" s="44" t="s">
        <v>8</v>
      </c>
      <c r="K4538" s="23" t="s">
        <v>8</v>
      </c>
      <c r="L4538" s="23" t="s">
        <v>8</v>
      </c>
      <c r="M4538" s="23" t="s">
        <v>8</v>
      </c>
    </row>
    <row r="4539" spans="1:13" s="21" customFormat="1" x14ac:dyDescent="0.25">
      <c r="A4539" s="22" t="s">
        <v>8</v>
      </c>
      <c r="B4539" s="18" t="str">
        <f>"165539"</f>
        <v>165539</v>
      </c>
      <c r="C4539" s="19" t="s">
        <v>4480</v>
      </c>
      <c r="D4539" s="19" t="s">
        <v>19966</v>
      </c>
      <c r="E4539" s="19" t="s">
        <v>32350</v>
      </c>
      <c r="F4539" s="19" t="s">
        <v>35989</v>
      </c>
      <c r="G4539" s="18" t="str">
        <f>"50501"</f>
        <v>50501</v>
      </c>
      <c r="H4539" s="19" t="s">
        <v>33048</v>
      </c>
      <c r="I4539" s="20">
        <v>16.47</v>
      </c>
      <c r="J4539" s="44" t="s">
        <v>8</v>
      </c>
      <c r="K4539" s="23" t="s">
        <v>8</v>
      </c>
      <c r="L4539" s="23" t="s">
        <v>8</v>
      </c>
      <c r="M4539" s="23" t="s">
        <v>8</v>
      </c>
    </row>
    <row r="4540" spans="1:13" s="21" customFormat="1" x14ac:dyDescent="0.25">
      <c r="A4540" s="22" t="s">
        <v>8</v>
      </c>
      <c r="B4540" s="18" t="str">
        <f>"165540"</f>
        <v>165540</v>
      </c>
      <c r="C4540" s="19" t="s">
        <v>4481</v>
      </c>
      <c r="D4540" s="19" t="s">
        <v>19967</v>
      </c>
      <c r="E4540" s="19" t="s">
        <v>32352</v>
      </c>
      <c r="F4540" s="19" t="s">
        <v>35989</v>
      </c>
      <c r="G4540" s="18" t="str">
        <f>"51106"</f>
        <v>51106</v>
      </c>
      <c r="H4540" s="19" t="s">
        <v>33348</v>
      </c>
      <c r="I4540" s="20">
        <v>20.434000000000001</v>
      </c>
      <c r="J4540" s="44" t="s">
        <v>8</v>
      </c>
      <c r="K4540" s="23" t="s">
        <v>8</v>
      </c>
      <c r="L4540" s="23" t="s">
        <v>8</v>
      </c>
      <c r="M4540" s="23" t="s">
        <v>8</v>
      </c>
    </row>
    <row r="4541" spans="1:13" s="21" customFormat="1" x14ac:dyDescent="0.25">
      <c r="A4541" s="22" t="s">
        <v>8</v>
      </c>
      <c r="B4541" s="18" t="str">
        <f>"165541"</f>
        <v>165541</v>
      </c>
      <c r="C4541" s="19" t="s">
        <v>4482</v>
      </c>
      <c r="D4541" s="19" t="s">
        <v>19968</v>
      </c>
      <c r="E4541" s="19" t="s">
        <v>32533</v>
      </c>
      <c r="F4541" s="19" t="s">
        <v>35989</v>
      </c>
      <c r="G4541" s="18" t="str">
        <f>"50466"</f>
        <v>50466</v>
      </c>
      <c r="H4541" s="19" t="s">
        <v>32644</v>
      </c>
      <c r="I4541" s="20">
        <v>19.689</v>
      </c>
      <c r="J4541" s="44" t="s">
        <v>8</v>
      </c>
      <c r="K4541" s="23" t="s">
        <v>8</v>
      </c>
      <c r="L4541" s="23" t="s">
        <v>8</v>
      </c>
      <c r="M4541" s="23" t="s">
        <v>8</v>
      </c>
    </row>
    <row r="4542" spans="1:13" s="21" customFormat="1" x14ac:dyDescent="0.25">
      <c r="A4542" s="22" t="s">
        <v>8</v>
      </c>
      <c r="B4542" s="18" t="str">
        <f>"165542"</f>
        <v>165542</v>
      </c>
      <c r="C4542" s="19" t="s">
        <v>4483</v>
      </c>
      <c r="D4542" s="19" t="s">
        <v>19969</v>
      </c>
      <c r="E4542" s="19" t="s">
        <v>32340</v>
      </c>
      <c r="F4542" s="19" t="s">
        <v>35989</v>
      </c>
      <c r="G4542" s="18" t="str">
        <f>"52405"</f>
        <v>52405</v>
      </c>
      <c r="H4542" s="19" t="s">
        <v>32661</v>
      </c>
      <c r="I4542" s="20">
        <v>19.922999999999998</v>
      </c>
      <c r="J4542" s="44" t="s">
        <v>8</v>
      </c>
      <c r="K4542" s="23" t="s">
        <v>8</v>
      </c>
      <c r="L4542" s="23" t="s">
        <v>8</v>
      </c>
      <c r="M4542" s="23" t="s">
        <v>8</v>
      </c>
    </row>
    <row r="4543" spans="1:13" s="21" customFormat="1" x14ac:dyDescent="0.25">
      <c r="A4543" s="22" t="s">
        <v>8</v>
      </c>
      <c r="B4543" s="18" t="str">
        <f>"165543"</f>
        <v>165543</v>
      </c>
      <c r="C4543" s="19" t="s">
        <v>4484</v>
      </c>
      <c r="D4543" s="19" t="s">
        <v>19970</v>
      </c>
      <c r="E4543" s="19" t="s">
        <v>32101</v>
      </c>
      <c r="F4543" s="19" t="s">
        <v>35989</v>
      </c>
      <c r="G4543" s="18" t="str">
        <f>"50208"</f>
        <v>50208</v>
      </c>
      <c r="H4543" s="19" t="s">
        <v>30854</v>
      </c>
      <c r="I4543" s="20">
        <v>18.768000000000001</v>
      </c>
      <c r="J4543" s="44" t="s">
        <v>8</v>
      </c>
      <c r="K4543" s="23" t="s">
        <v>8</v>
      </c>
      <c r="L4543" s="23" t="s">
        <v>8</v>
      </c>
      <c r="M4543" s="23" t="s">
        <v>8</v>
      </c>
    </row>
    <row r="4544" spans="1:13" s="21" customFormat="1" x14ac:dyDescent="0.25">
      <c r="A4544" s="22" t="s">
        <v>8</v>
      </c>
      <c r="B4544" s="18" t="str">
        <f>"165545"</f>
        <v>165545</v>
      </c>
      <c r="C4544" s="19" t="s">
        <v>4485</v>
      </c>
      <c r="D4544" s="19" t="s">
        <v>19971</v>
      </c>
      <c r="E4544" s="19" t="s">
        <v>32383</v>
      </c>
      <c r="F4544" s="19" t="s">
        <v>35989</v>
      </c>
      <c r="G4544" s="18" t="str">
        <f>"52241"</f>
        <v>52241</v>
      </c>
      <c r="H4544" s="19" t="s">
        <v>36072</v>
      </c>
      <c r="I4544" s="20">
        <v>19.890999999999998</v>
      </c>
      <c r="J4544" s="44" t="s">
        <v>8</v>
      </c>
      <c r="K4544" s="23" t="s">
        <v>8</v>
      </c>
      <c r="L4544" s="23" t="s">
        <v>8</v>
      </c>
      <c r="M4544" s="23" t="s">
        <v>8</v>
      </c>
    </row>
    <row r="4545" spans="1:13" s="21" customFormat="1" x14ac:dyDescent="0.25">
      <c r="A4545" s="22" t="s">
        <v>8</v>
      </c>
      <c r="B4545" s="18" t="str">
        <f>"165546"</f>
        <v>165546</v>
      </c>
      <c r="C4545" s="19" t="s">
        <v>4486</v>
      </c>
      <c r="D4545" s="19" t="s">
        <v>19972</v>
      </c>
      <c r="E4545" s="19" t="s">
        <v>32534</v>
      </c>
      <c r="F4545" s="19" t="s">
        <v>35989</v>
      </c>
      <c r="G4545" s="18" t="str">
        <f>"51653"</f>
        <v>51653</v>
      </c>
      <c r="H4545" s="19" t="s">
        <v>31175</v>
      </c>
      <c r="I4545" s="20">
        <v>17.22</v>
      </c>
      <c r="J4545" s="44" t="s">
        <v>8</v>
      </c>
      <c r="K4545" s="23" t="s">
        <v>8</v>
      </c>
      <c r="L4545" s="23" t="s">
        <v>8</v>
      </c>
      <c r="M4545" s="23" t="s">
        <v>8</v>
      </c>
    </row>
    <row r="4546" spans="1:13" s="21" customFormat="1" x14ac:dyDescent="0.25">
      <c r="A4546" s="22" t="s">
        <v>8</v>
      </c>
      <c r="B4546" s="18" t="str">
        <f>"165547"</f>
        <v>165547</v>
      </c>
      <c r="C4546" s="19" t="s">
        <v>4487</v>
      </c>
      <c r="D4546" s="19" t="s">
        <v>19973</v>
      </c>
      <c r="E4546" s="19" t="s">
        <v>32535</v>
      </c>
      <c r="F4546" s="19" t="s">
        <v>35989</v>
      </c>
      <c r="G4546" s="18" t="str">
        <f>"52654"</f>
        <v>52654</v>
      </c>
      <c r="H4546" s="19" t="s">
        <v>32041</v>
      </c>
      <c r="I4546" s="20">
        <v>19.332999999999998</v>
      </c>
      <c r="J4546" s="44" t="s">
        <v>8</v>
      </c>
      <c r="K4546" s="23" t="s">
        <v>8</v>
      </c>
      <c r="L4546" s="23" t="s">
        <v>8</v>
      </c>
      <c r="M4546" s="23" t="s">
        <v>8</v>
      </c>
    </row>
    <row r="4547" spans="1:13" s="21" customFormat="1" x14ac:dyDescent="0.25">
      <c r="A4547" s="22" t="s">
        <v>8</v>
      </c>
      <c r="B4547" s="18" t="str">
        <f>"165548"</f>
        <v>165548</v>
      </c>
      <c r="C4547" s="19" t="s">
        <v>4488</v>
      </c>
      <c r="D4547" s="19" t="s">
        <v>19974</v>
      </c>
      <c r="E4547" s="19" t="s">
        <v>32449</v>
      </c>
      <c r="F4547" s="19" t="s">
        <v>35989</v>
      </c>
      <c r="G4547" s="18" t="str">
        <f>"50266"</f>
        <v>50266</v>
      </c>
      <c r="H4547" s="19" t="s">
        <v>36062</v>
      </c>
      <c r="I4547" s="20">
        <v>17.884</v>
      </c>
      <c r="J4547" s="44" t="s">
        <v>8</v>
      </c>
      <c r="K4547" s="23" t="s">
        <v>8</v>
      </c>
      <c r="L4547" s="23" t="s">
        <v>8</v>
      </c>
      <c r="M4547" s="23" t="s">
        <v>8</v>
      </c>
    </row>
    <row r="4548" spans="1:13" s="21" customFormat="1" x14ac:dyDescent="0.25">
      <c r="A4548" s="22" t="s">
        <v>8</v>
      </c>
      <c r="B4548" s="18" t="str">
        <f>"165549"</f>
        <v>165549</v>
      </c>
      <c r="C4548" s="19" t="s">
        <v>4489</v>
      </c>
      <c r="D4548" s="19" t="s">
        <v>19975</v>
      </c>
      <c r="E4548" s="19" t="s">
        <v>32381</v>
      </c>
      <c r="F4548" s="19" t="s">
        <v>35989</v>
      </c>
      <c r="G4548" s="18" t="str">
        <f>"52501"</f>
        <v>52501</v>
      </c>
      <c r="H4548" s="19" t="s">
        <v>32506</v>
      </c>
      <c r="I4548" s="20">
        <v>18.456</v>
      </c>
      <c r="J4548" s="44" t="s">
        <v>8</v>
      </c>
      <c r="K4548" s="23" t="s">
        <v>8</v>
      </c>
      <c r="L4548" s="23" t="s">
        <v>8</v>
      </c>
      <c r="M4548" s="23" t="s">
        <v>8</v>
      </c>
    </row>
    <row r="4549" spans="1:13" s="21" customFormat="1" x14ac:dyDescent="0.25">
      <c r="A4549" s="22" t="s">
        <v>8</v>
      </c>
      <c r="B4549" s="18" t="str">
        <f>"165550"</f>
        <v>165550</v>
      </c>
      <c r="C4549" s="19" t="s">
        <v>4490</v>
      </c>
      <c r="D4549" s="19" t="s">
        <v>19976</v>
      </c>
      <c r="E4549" s="19" t="s">
        <v>32536</v>
      </c>
      <c r="F4549" s="19" t="s">
        <v>35989</v>
      </c>
      <c r="G4549" s="18" t="str">
        <f>"52333"</f>
        <v>52333</v>
      </c>
      <c r="H4549" s="19" t="s">
        <v>36072</v>
      </c>
      <c r="I4549" s="20">
        <v>18.013000000000002</v>
      </c>
      <c r="J4549" s="44" t="s">
        <v>8</v>
      </c>
      <c r="K4549" s="23" t="s">
        <v>8</v>
      </c>
      <c r="L4549" s="23" t="s">
        <v>8</v>
      </c>
      <c r="M4549" s="23" t="s">
        <v>8</v>
      </c>
    </row>
    <row r="4550" spans="1:13" s="21" customFormat="1" x14ac:dyDescent="0.25">
      <c r="A4550" s="22" t="s">
        <v>8</v>
      </c>
      <c r="B4550" s="18" t="str">
        <f>"165552"</f>
        <v>165552</v>
      </c>
      <c r="C4550" s="19" t="s">
        <v>4491</v>
      </c>
      <c r="D4550" s="19" t="s">
        <v>19977</v>
      </c>
      <c r="E4550" s="19" t="s">
        <v>32537</v>
      </c>
      <c r="F4550" s="19" t="s">
        <v>35989</v>
      </c>
      <c r="G4550" s="18" t="str">
        <f>"52349"</f>
        <v>52349</v>
      </c>
      <c r="H4550" s="19" t="s">
        <v>31024</v>
      </c>
      <c r="I4550" s="20">
        <v>16.695</v>
      </c>
      <c r="J4550" s="44" t="s">
        <v>8</v>
      </c>
      <c r="K4550" s="23" t="s">
        <v>8</v>
      </c>
      <c r="L4550" s="23" t="s">
        <v>8</v>
      </c>
      <c r="M4550" s="23" t="s">
        <v>8</v>
      </c>
    </row>
    <row r="4551" spans="1:13" s="21" customFormat="1" x14ac:dyDescent="0.25">
      <c r="A4551" s="22" t="s">
        <v>8</v>
      </c>
      <c r="B4551" s="18" t="str">
        <f>"165553"</f>
        <v>165553</v>
      </c>
      <c r="C4551" s="19" t="s">
        <v>4492</v>
      </c>
      <c r="D4551" s="19" t="s">
        <v>19978</v>
      </c>
      <c r="E4551" s="19" t="s">
        <v>32413</v>
      </c>
      <c r="F4551" s="19" t="s">
        <v>35989</v>
      </c>
      <c r="G4551" s="18" t="str">
        <f>"52722"</f>
        <v>52722</v>
      </c>
      <c r="H4551" s="19" t="s">
        <v>36083</v>
      </c>
      <c r="I4551" s="20">
        <v>21.707000000000001</v>
      </c>
      <c r="J4551" s="44" t="s">
        <v>8</v>
      </c>
      <c r="K4551" s="23" t="s">
        <v>8</v>
      </c>
      <c r="L4551" s="23" t="s">
        <v>8</v>
      </c>
      <c r="M4551" s="23" t="s">
        <v>8</v>
      </c>
    </row>
    <row r="4552" spans="1:13" s="21" customFormat="1" x14ac:dyDescent="0.25">
      <c r="A4552" s="22" t="s">
        <v>8</v>
      </c>
      <c r="B4552" s="18" t="str">
        <f>"165554"</f>
        <v>165554</v>
      </c>
      <c r="C4552" s="19" t="s">
        <v>4493</v>
      </c>
      <c r="D4552" s="19" t="s">
        <v>19979</v>
      </c>
      <c r="E4552" s="19" t="s">
        <v>32483</v>
      </c>
      <c r="F4552" s="19" t="s">
        <v>35989</v>
      </c>
      <c r="G4552" s="18" t="str">
        <f>"51249"</f>
        <v>51249</v>
      </c>
      <c r="H4552" s="19" t="s">
        <v>31089</v>
      </c>
      <c r="I4552" s="20">
        <v>18.765999999999998</v>
      </c>
      <c r="J4552" s="44" t="s">
        <v>8</v>
      </c>
      <c r="K4552" s="23" t="s">
        <v>8</v>
      </c>
      <c r="L4552" s="23" t="s">
        <v>8</v>
      </c>
      <c r="M4552" s="23" t="s">
        <v>8</v>
      </c>
    </row>
    <row r="4553" spans="1:13" s="21" customFormat="1" x14ac:dyDescent="0.25">
      <c r="A4553" s="22" t="s">
        <v>8</v>
      </c>
      <c r="B4553" s="18" t="str">
        <f>"165555"</f>
        <v>165555</v>
      </c>
      <c r="C4553" s="19" t="s">
        <v>4494</v>
      </c>
      <c r="D4553" s="19" t="s">
        <v>19980</v>
      </c>
      <c r="E4553" s="19" t="s">
        <v>31697</v>
      </c>
      <c r="F4553" s="19" t="s">
        <v>35989</v>
      </c>
      <c r="G4553" s="18" t="str">
        <f>"50003"</f>
        <v>50003</v>
      </c>
      <c r="H4553" s="19" t="s">
        <v>31723</v>
      </c>
      <c r="I4553" s="20">
        <v>19.995000000000001</v>
      </c>
      <c r="J4553" s="44" t="s">
        <v>8</v>
      </c>
      <c r="K4553" s="23" t="s">
        <v>8</v>
      </c>
      <c r="L4553" s="23" t="s">
        <v>8</v>
      </c>
      <c r="M4553" s="23" t="s">
        <v>8</v>
      </c>
    </row>
    <row r="4554" spans="1:13" s="21" customFormat="1" x14ac:dyDescent="0.25">
      <c r="A4554" s="22" t="s">
        <v>8</v>
      </c>
      <c r="B4554" s="18" t="str">
        <f>"165556"</f>
        <v>165556</v>
      </c>
      <c r="C4554" s="19" t="s">
        <v>4495</v>
      </c>
      <c r="D4554" s="19" t="s">
        <v>19981</v>
      </c>
      <c r="E4554" s="19" t="s">
        <v>32343</v>
      </c>
      <c r="F4554" s="19" t="s">
        <v>35989</v>
      </c>
      <c r="G4554" s="18" t="str">
        <f>"52001"</f>
        <v>52001</v>
      </c>
      <c r="H4554" s="19" t="s">
        <v>32343</v>
      </c>
      <c r="I4554" s="20">
        <v>18.132000000000001</v>
      </c>
      <c r="J4554" s="44" t="s">
        <v>8</v>
      </c>
      <c r="K4554" s="23" t="s">
        <v>8</v>
      </c>
      <c r="L4554" s="23" t="s">
        <v>8</v>
      </c>
      <c r="M4554" s="23" t="s">
        <v>8</v>
      </c>
    </row>
    <row r="4555" spans="1:13" s="21" customFormat="1" x14ac:dyDescent="0.25">
      <c r="A4555" s="22" t="s">
        <v>8</v>
      </c>
      <c r="B4555" s="18" t="str">
        <f>"165557"</f>
        <v>165557</v>
      </c>
      <c r="C4555" s="19" t="s">
        <v>4496</v>
      </c>
      <c r="D4555" s="19" t="s">
        <v>19982</v>
      </c>
      <c r="E4555" s="19" t="s">
        <v>32510</v>
      </c>
      <c r="F4555" s="19" t="s">
        <v>35989</v>
      </c>
      <c r="G4555" s="18" t="str">
        <f>"50323"</f>
        <v>50323</v>
      </c>
      <c r="H4555" s="19" t="s">
        <v>36062</v>
      </c>
      <c r="I4555" s="20">
        <v>20.068999999999999</v>
      </c>
      <c r="J4555" s="44" t="s">
        <v>8</v>
      </c>
      <c r="K4555" s="23" t="s">
        <v>8</v>
      </c>
      <c r="L4555" s="23" t="s">
        <v>8</v>
      </c>
      <c r="M4555" s="23" t="s">
        <v>8</v>
      </c>
    </row>
    <row r="4556" spans="1:13" s="21" customFormat="1" x14ac:dyDescent="0.25">
      <c r="A4556" s="22" t="s">
        <v>8</v>
      </c>
      <c r="B4556" s="18" t="str">
        <f>"165558"</f>
        <v>165558</v>
      </c>
      <c r="C4556" s="19" t="s">
        <v>4497</v>
      </c>
      <c r="D4556" s="19" t="s">
        <v>19983</v>
      </c>
      <c r="E4556" s="19" t="s">
        <v>32513</v>
      </c>
      <c r="F4556" s="19" t="s">
        <v>35989</v>
      </c>
      <c r="G4556" s="18" t="str">
        <f>"50036"</f>
        <v>50036</v>
      </c>
      <c r="H4556" s="19" t="s">
        <v>32513</v>
      </c>
      <c r="I4556" s="20">
        <v>18.934999999999999</v>
      </c>
      <c r="J4556" s="44" t="s">
        <v>8</v>
      </c>
      <c r="K4556" s="23" t="s">
        <v>8</v>
      </c>
      <c r="L4556" s="23" t="s">
        <v>8</v>
      </c>
      <c r="M4556" s="23" t="s">
        <v>8</v>
      </c>
    </row>
    <row r="4557" spans="1:13" s="21" customFormat="1" x14ac:dyDescent="0.25">
      <c r="A4557" s="22" t="s">
        <v>8</v>
      </c>
      <c r="B4557" s="18" t="str">
        <f>"165559"</f>
        <v>165559</v>
      </c>
      <c r="C4557" s="19" t="s">
        <v>4498</v>
      </c>
      <c r="D4557" s="19" t="s">
        <v>19984</v>
      </c>
      <c r="E4557" s="19" t="s">
        <v>32343</v>
      </c>
      <c r="F4557" s="19" t="s">
        <v>35989</v>
      </c>
      <c r="G4557" s="18" t="str">
        <f>"52001"</f>
        <v>52001</v>
      </c>
      <c r="H4557" s="19" t="s">
        <v>32343</v>
      </c>
      <c r="I4557" s="20">
        <v>19.260999999999999</v>
      </c>
      <c r="J4557" s="44" t="s">
        <v>8</v>
      </c>
      <c r="K4557" s="23" t="s">
        <v>8</v>
      </c>
      <c r="L4557" s="23" t="s">
        <v>8</v>
      </c>
      <c r="M4557" s="23" t="s">
        <v>8</v>
      </c>
    </row>
    <row r="4558" spans="1:13" s="21" customFormat="1" x14ac:dyDescent="0.25">
      <c r="A4558" s="22" t="s">
        <v>8</v>
      </c>
      <c r="B4558" s="18" t="str">
        <f>"165561"</f>
        <v>165561</v>
      </c>
      <c r="C4558" s="19" t="s">
        <v>4499</v>
      </c>
      <c r="D4558" s="19" t="s">
        <v>19985</v>
      </c>
      <c r="E4558" s="19" t="s">
        <v>32419</v>
      </c>
      <c r="F4558" s="19" t="s">
        <v>35989</v>
      </c>
      <c r="G4558" s="18" t="str">
        <f>"50022"</f>
        <v>50022</v>
      </c>
      <c r="H4558" s="19" t="s">
        <v>36246</v>
      </c>
      <c r="I4558" s="20">
        <v>19.131</v>
      </c>
      <c r="J4558" s="44" t="s">
        <v>8</v>
      </c>
      <c r="K4558" s="23" t="s">
        <v>8</v>
      </c>
      <c r="L4558" s="23" t="s">
        <v>8</v>
      </c>
      <c r="M4558" s="23" t="s">
        <v>8</v>
      </c>
    </row>
    <row r="4559" spans="1:13" s="21" customFormat="1" x14ac:dyDescent="0.25">
      <c r="A4559" s="22" t="s">
        <v>8</v>
      </c>
      <c r="B4559" s="18" t="str">
        <f>"165562"</f>
        <v>165562</v>
      </c>
      <c r="C4559" s="19" t="s">
        <v>4500</v>
      </c>
      <c r="D4559" s="19" t="s">
        <v>19986</v>
      </c>
      <c r="E4559" s="19" t="s">
        <v>32428</v>
      </c>
      <c r="F4559" s="19" t="s">
        <v>35989</v>
      </c>
      <c r="G4559" s="18" t="str">
        <f>"52531"</f>
        <v>52531</v>
      </c>
      <c r="H4559" s="19" t="s">
        <v>31711</v>
      </c>
      <c r="I4559" s="20">
        <v>18.126000000000001</v>
      </c>
      <c r="J4559" s="44" t="s">
        <v>8</v>
      </c>
      <c r="K4559" s="23" t="s">
        <v>8</v>
      </c>
      <c r="L4559" s="23" t="s">
        <v>8</v>
      </c>
      <c r="M4559" s="23" t="s">
        <v>8</v>
      </c>
    </row>
    <row r="4560" spans="1:13" s="21" customFormat="1" x14ac:dyDescent="0.25">
      <c r="A4560" s="22" t="s">
        <v>8</v>
      </c>
      <c r="B4560" s="18" t="str">
        <f>"165565"</f>
        <v>165565</v>
      </c>
      <c r="C4560" s="19" t="s">
        <v>4501</v>
      </c>
      <c r="D4560" s="19" t="s">
        <v>19987</v>
      </c>
      <c r="E4560" s="19" t="s">
        <v>32343</v>
      </c>
      <c r="F4560" s="19" t="s">
        <v>35989</v>
      </c>
      <c r="G4560" s="18" t="str">
        <f>"52002"</f>
        <v>52002</v>
      </c>
      <c r="H4560" s="19" t="s">
        <v>32343</v>
      </c>
      <c r="I4560" s="20">
        <v>21.852</v>
      </c>
      <c r="J4560" s="44" t="s">
        <v>8</v>
      </c>
      <c r="K4560" s="23" t="s">
        <v>8</v>
      </c>
      <c r="L4560" s="23" t="s">
        <v>8</v>
      </c>
      <c r="M4560" s="23" t="s">
        <v>8</v>
      </c>
    </row>
    <row r="4561" spans="1:13" s="21" customFormat="1" x14ac:dyDescent="0.25">
      <c r="A4561" s="22" t="s">
        <v>8</v>
      </c>
      <c r="B4561" s="18" t="str">
        <f>"165566"</f>
        <v>165566</v>
      </c>
      <c r="C4561" s="19" t="s">
        <v>4502</v>
      </c>
      <c r="D4561" s="19" t="s">
        <v>19988</v>
      </c>
      <c r="E4561" s="19" t="s">
        <v>32538</v>
      </c>
      <c r="F4561" s="19" t="s">
        <v>35989</v>
      </c>
      <c r="G4561" s="18" t="str">
        <f>"52361"</f>
        <v>52361</v>
      </c>
      <c r="H4561" s="19" t="s">
        <v>36288</v>
      </c>
      <c r="I4561" s="20">
        <v>19.431999999999999</v>
      </c>
      <c r="J4561" s="44" t="s">
        <v>8</v>
      </c>
      <c r="K4561" s="23" t="s">
        <v>8</v>
      </c>
      <c r="L4561" s="23" t="s">
        <v>8</v>
      </c>
      <c r="M4561" s="23" t="s">
        <v>8</v>
      </c>
    </row>
    <row r="4562" spans="1:13" s="21" customFormat="1" x14ac:dyDescent="0.25">
      <c r="A4562" s="22" t="s">
        <v>8</v>
      </c>
      <c r="B4562" s="18" t="str">
        <f>"165567"</f>
        <v>165567</v>
      </c>
      <c r="C4562" s="19" t="s">
        <v>4503</v>
      </c>
      <c r="D4562" s="19" t="s">
        <v>19989</v>
      </c>
      <c r="E4562" s="19" t="s">
        <v>32340</v>
      </c>
      <c r="F4562" s="19" t="s">
        <v>35989</v>
      </c>
      <c r="G4562" s="18" t="str">
        <f>"52405"</f>
        <v>52405</v>
      </c>
      <c r="H4562" s="19" t="s">
        <v>32661</v>
      </c>
      <c r="I4562" s="20">
        <v>20.651</v>
      </c>
      <c r="J4562" s="44" t="s">
        <v>8</v>
      </c>
      <c r="K4562" s="23" t="s">
        <v>8</v>
      </c>
      <c r="L4562" s="23" t="s">
        <v>8</v>
      </c>
      <c r="M4562" s="23" t="s">
        <v>8</v>
      </c>
    </row>
    <row r="4563" spans="1:13" s="21" customFormat="1" x14ac:dyDescent="0.25">
      <c r="A4563" s="22" t="s">
        <v>8</v>
      </c>
      <c r="B4563" s="18" t="str">
        <f>"165568"</f>
        <v>165568</v>
      </c>
      <c r="C4563" s="19" t="s">
        <v>4504</v>
      </c>
      <c r="D4563" s="19" t="s">
        <v>19990</v>
      </c>
      <c r="E4563" s="19" t="s">
        <v>32539</v>
      </c>
      <c r="F4563" s="19" t="s">
        <v>35989</v>
      </c>
      <c r="G4563" s="18" t="str">
        <f>"52033"</f>
        <v>52033</v>
      </c>
      <c r="H4563" s="19" t="s">
        <v>32343</v>
      </c>
      <c r="I4563" s="20">
        <v>19.190000000000001</v>
      </c>
      <c r="J4563" s="44" t="s">
        <v>8</v>
      </c>
      <c r="K4563" s="23" t="s">
        <v>8</v>
      </c>
      <c r="L4563" s="23" t="s">
        <v>8</v>
      </c>
      <c r="M4563" s="23" t="s">
        <v>8</v>
      </c>
    </row>
    <row r="4564" spans="1:13" s="21" customFormat="1" x14ac:dyDescent="0.25">
      <c r="A4564" s="22" t="s">
        <v>8</v>
      </c>
      <c r="B4564" s="18" t="str">
        <f>"165569"</f>
        <v>165569</v>
      </c>
      <c r="C4564" s="19" t="s">
        <v>4505</v>
      </c>
      <c r="D4564" s="19" t="s">
        <v>19991</v>
      </c>
      <c r="E4564" s="19" t="s">
        <v>32540</v>
      </c>
      <c r="F4564" s="19" t="s">
        <v>35989</v>
      </c>
      <c r="G4564" s="18" t="str">
        <f>"52656"</f>
        <v>52656</v>
      </c>
      <c r="H4564" s="19" t="s">
        <v>33138</v>
      </c>
      <c r="I4564" s="20">
        <v>16.989999999999998</v>
      </c>
      <c r="J4564" s="44" t="s">
        <v>8</v>
      </c>
      <c r="K4564" s="23" t="s">
        <v>8</v>
      </c>
      <c r="L4564" s="23" t="s">
        <v>8</v>
      </c>
      <c r="M4564" s="23" t="s">
        <v>8</v>
      </c>
    </row>
    <row r="4565" spans="1:13" s="21" customFormat="1" x14ac:dyDescent="0.25">
      <c r="A4565" s="22" t="s">
        <v>8</v>
      </c>
      <c r="B4565" s="18" t="str">
        <f>"165570"</f>
        <v>165570</v>
      </c>
      <c r="C4565" s="19" t="s">
        <v>4506</v>
      </c>
      <c r="D4565" s="19" t="s">
        <v>19992</v>
      </c>
      <c r="E4565" s="19" t="s">
        <v>32412</v>
      </c>
      <c r="F4565" s="19" t="s">
        <v>35989</v>
      </c>
      <c r="G4565" s="18" t="str">
        <f>"52577"</f>
        <v>52577</v>
      </c>
      <c r="H4565" s="19" t="s">
        <v>36285</v>
      </c>
      <c r="I4565" s="20">
        <v>17.832999999999998</v>
      </c>
      <c r="J4565" s="44" t="s">
        <v>8</v>
      </c>
      <c r="K4565" s="23" t="s">
        <v>8</v>
      </c>
      <c r="L4565" s="23" t="s">
        <v>8</v>
      </c>
      <c r="M4565" s="23" t="s">
        <v>8</v>
      </c>
    </row>
    <row r="4566" spans="1:13" s="21" customFormat="1" x14ac:dyDescent="0.25">
      <c r="A4566" s="22" t="s">
        <v>8</v>
      </c>
      <c r="B4566" s="18" t="str">
        <f>"165572"</f>
        <v>165572</v>
      </c>
      <c r="C4566" s="19" t="s">
        <v>4507</v>
      </c>
      <c r="D4566" s="19" t="s">
        <v>19993</v>
      </c>
      <c r="E4566" s="19" t="s">
        <v>31369</v>
      </c>
      <c r="F4566" s="19" t="s">
        <v>35989</v>
      </c>
      <c r="G4566" s="18" t="str">
        <f>"52601"</f>
        <v>52601</v>
      </c>
      <c r="H4566" s="19" t="s">
        <v>32339</v>
      </c>
      <c r="I4566" s="20">
        <v>19.34</v>
      </c>
      <c r="J4566" s="44" t="s">
        <v>8</v>
      </c>
      <c r="K4566" s="23" t="s">
        <v>8</v>
      </c>
      <c r="L4566" s="23" t="s">
        <v>8</v>
      </c>
      <c r="M4566" s="23" t="s">
        <v>8</v>
      </c>
    </row>
    <row r="4567" spans="1:13" s="21" customFormat="1" x14ac:dyDescent="0.25">
      <c r="A4567" s="22" t="s">
        <v>8</v>
      </c>
      <c r="B4567" s="18" t="str">
        <f>"165574"</f>
        <v>165574</v>
      </c>
      <c r="C4567" s="19" t="s">
        <v>4508</v>
      </c>
      <c r="D4567" s="19" t="s">
        <v>19994</v>
      </c>
      <c r="E4567" s="19" t="s">
        <v>32541</v>
      </c>
      <c r="F4567" s="19" t="s">
        <v>35989</v>
      </c>
      <c r="G4567" s="18" t="str">
        <f>"51248"</f>
        <v>51248</v>
      </c>
      <c r="H4567" s="19" t="s">
        <v>36271</v>
      </c>
      <c r="I4567" s="20">
        <v>17.062999999999999</v>
      </c>
      <c r="J4567" s="44" t="s">
        <v>8</v>
      </c>
      <c r="K4567" s="23" t="s">
        <v>8</v>
      </c>
      <c r="L4567" s="23" t="s">
        <v>8</v>
      </c>
      <c r="M4567" s="23" t="s">
        <v>8</v>
      </c>
    </row>
    <row r="4568" spans="1:13" s="21" customFormat="1" x14ac:dyDescent="0.25">
      <c r="A4568" s="22" t="s">
        <v>8</v>
      </c>
      <c r="B4568" s="18" t="str">
        <f>"165575"</f>
        <v>165575</v>
      </c>
      <c r="C4568" s="19" t="s">
        <v>4509</v>
      </c>
      <c r="D4568" s="19" t="s">
        <v>19995</v>
      </c>
      <c r="E4568" s="19" t="s">
        <v>31658</v>
      </c>
      <c r="F4568" s="19" t="s">
        <v>35989</v>
      </c>
      <c r="G4568" s="18" t="str">
        <f>"52807"</f>
        <v>52807</v>
      </c>
      <c r="H4568" s="19" t="s">
        <v>36083</v>
      </c>
      <c r="I4568" s="20">
        <v>23.143999999999998</v>
      </c>
      <c r="J4568" s="44" t="s">
        <v>8</v>
      </c>
      <c r="K4568" s="23" t="s">
        <v>8</v>
      </c>
      <c r="L4568" s="23" t="s">
        <v>8</v>
      </c>
      <c r="M4568" s="23" t="s">
        <v>8</v>
      </c>
    </row>
    <row r="4569" spans="1:13" s="21" customFormat="1" x14ac:dyDescent="0.25">
      <c r="A4569" s="22" t="s">
        <v>8</v>
      </c>
      <c r="B4569" s="18" t="str">
        <f>"165576"</f>
        <v>165576</v>
      </c>
      <c r="C4569" s="19" t="s">
        <v>4510</v>
      </c>
      <c r="D4569" s="19" t="s">
        <v>19996</v>
      </c>
      <c r="E4569" s="19" t="s">
        <v>32261</v>
      </c>
      <c r="F4569" s="19" t="s">
        <v>35989</v>
      </c>
      <c r="G4569" s="18" t="str">
        <f>"52161"</f>
        <v>52161</v>
      </c>
      <c r="H4569" s="19" t="s">
        <v>36272</v>
      </c>
      <c r="I4569" s="20">
        <v>17.478000000000002</v>
      </c>
      <c r="J4569" s="44" t="s">
        <v>8</v>
      </c>
      <c r="K4569" s="23" t="s">
        <v>8</v>
      </c>
      <c r="L4569" s="23" t="s">
        <v>8</v>
      </c>
      <c r="M4569" s="23" t="s">
        <v>8</v>
      </c>
    </row>
    <row r="4570" spans="1:13" s="21" customFormat="1" x14ac:dyDescent="0.25">
      <c r="A4570" s="22" t="s">
        <v>8</v>
      </c>
      <c r="B4570" s="18" t="str">
        <f>"165577"</f>
        <v>165577</v>
      </c>
      <c r="C4570" s="19" t="s">
        <v>4511</v>
      </c>
      <c r="D4570" s="19" t="s">
        <v>19997</v>
      </c>
      <c r="E4570" s="19" t="s">
        <v>32494</v>
      </c>
      <c r="F4570" s="19" t="s">
        <v>35989</v>
      </c>
      <c r="G4570" s="18" t="str">
        <f>"50014"</f>
        <v>50014</v>
      </c>
      <c r="H4570" s="19" t="s">
        <v>36289</v>
      </c>
      <c r="I4570" s="20">
        <v>19.451000000000001</v>
      </c>
      <c r="J4570" s="44" t="s">
        <v>8</v>
      </c>
      <c r="K4570" s="23" t="s">
        <v>8</v>
      </c>
      <c r="L4570" s="23" t="s">
        <v>8</v>
      </c>
      <c r="M4570" s="23" t="s">
        <v>8</v>
      </c>
    </row>
    <row r="4571" spans="1:13" s="21" customFormat="1" x14ac:dyDescent="0.25">
      <c r="A4571" s="22" t="s">
        <v>8</v>
      </c>
      <c r="B4571" s="18" t="str">
        <f>"165578"</f>
        <v>165578</v>
      </c>
      <c r="C4571" s="19" t="s">
        <v>4512</v>
      </c>
      <c r="D4571" s="19" t="s">
        <v>19998</v>
      </c>
      <c r="E4571" s="19" t="s">
        <v>32497</v>
      </c>
      <c r="F4571" s="19" t="s">
        <v>35989</v>
      </c>
      <c r="G4571" s="18" t="str">
        <f>"52761"</f>
        <v>52761</v>
      </c>
      <c r="H4571" s="19" t="s">
        <v>32497</v>
      </c>
      <c r="I4571" s="20">
        <v>19.616</v>
      </c>
      <c r="J4571" s="44" t="s">
        <v>8</v>
      </c>
      <c r="K4571" s="23" t="s">
        <v>8</v>
      </c>
      <c r="L4571" s="23" t="s">
        <v>8</v>
      </c>
      <c r="M4571" s="23" t="s">
        <v>8</v>
      </c>
    </row>
    <row r="4572" spans="1:13" s="21" customFormat="1" x14ac:dyDescent="0.25">
      <c r="A4572" s="22" t="s">
        <v>8</v>
      </c>
      <c r="B4572" s="18" t="str">
        <f>"165579"</f>
        <v>165579</v>
      </c>
      <c r="C4572" s="19" t="s">
        <v>4513</v>
      </c>
      <c r="D4572" s="19" t="s">
        <v>19999</v>
      </c>
      <c r="E4572" s="19" t="s">
        <v>32526</v>
      </c>
      <c r="F4572" s="19" t="s">
        <v>35989</v>
      </c>
      <c r="G4572" s="18" t="str">
        <f>"52060"</f>
        <v>52060</v>
      </c>
      <c r="H4572" s="19" t="s">
        <v>30816</v>
      </c>
      <c r="I4572" s="20">
        <v>18.795999999999999</v>
      </c>
      <c r="J4572" s="44" t="s">
        <v>8</v>
      </c>
      <c r="K4572" s="23" t="s">
        <v>8</v>
      </c>
      <c r="L4572" s="23" t="s">
        <v>8</v>
      </c>
      <c r="M4572" s="23" t="s">
        <v>8</v>
      </c>
    </row>
    <row r="4573" spans="1:13" s="21" customFormat="1" x14ac:dyDescent="0.25">
      <c r="A4573" s="22" t="s">
        <v>8</v>
      </c>
      <c r="B4573" s="18" t="str">
        <f>"165580"</f>
        <v>165580</v>
      </c>
      <c r="C4573" s="19" t="s">
        <v>4514</v>
      </c>
      <c r="D4573" s="19" t="s">
        <v>20000</v>
      </c>
      <c r="E4573" s="19" t="s">
        <v>32510</v>
      </c>
      <c r="F4573" s="19" t="s">
        <v>35989</v>
      </c>
      <c r="G4573" s="18" t="str">
        <f>"50322"</f>
        <v>50322</v>
      </c>
      <c r="H4573" s="19" t="s">
        <v>36062</v>
      </c>
      <c r="I4573" s="20">
        <v>22.518999999999998</v>
      </c>
      <c r="J4573" s="44" t="s">
        <v>8</v>
      </c>
      <c r="K4573" s="23" t="s">
        <v>8</v>
      </c>
      <c r="L4573" s="23" t="s">
        <v>8</v>
      </c>
      <c r="M4573" s="23" t="s">
        <v>8</v>
      </c>
    </row>
    <row r="4574" spans="1:13" s="21" customFormat="1" x14ac:dyDescent="0.25">
      <c r="A4574" s="22" t="s">
        <v>8</v>
      </c>
      <c r="B4574" s="18" t="str">
        <f>"165583"</f>
        <v>165583</v>
      </c>
      <c r="C4574" s="19" t="s">
        <v>4515</v>
      </c>
      <c r="D4574" s="19" t="s">
        <v>20001</v>
      </c>
      <c r="E4574" s="19" t="s">
        <v>32542</v>
      </c>
      <c r="F4574" s="19" t="s">
        <v>35989</v>
      </c>
      <c r="G4574" s="18" t="str">
        <f>"50263"</f>
        <v>50263</v>
      </c>
      <c r="H4574" s="19" t="s">
        <v>31723</v>
      </c>
      <c r="I4574" s="20">
        <v>21.149000000000001</v>
      </c>
      <c r="J4574" s="44" t="s">
        <v>8</v>
      </c>
      <c r="K4574" s="23" t="s">
        <v>8</v>
      </c>
      <c r="L4574" s="23" t="s">
        <v>8</v>
      </c>
      <c r="M4574" s="23" t="s">
        <v>8</v>
      </c>
    </row>
    <row r="4575" spans="1:13" s="21" customFormat="1" x14ac:dyDescent="0.25">
      <c r="A4575" s="22" t="s">
        <v>8</v>
      </c>
      <c r="B4575" s="18" t="str">
        <f>"165584"</f>
        <v>165584</v>
      </c>
      <c r="C4575" s="19" t="s">
        <v>4516</v>
      </c>
      <c r="D4575" s="19" t="s">
        <v>20002</v>
      </c>
      <c r="E4575" s="19" t="s">
        <v>32343</v>
      </c>
      <c r="F4575" s="19" t="s">
        <v>35989</v>
      </c>
      <c r="G4575" s="18" t="str">
        <f>"52001"</f>
        <v>52001</v>
      </c>
      <c r="H4575" s="19" t="s">
        <v>32343</v>
      </c>
      <c r="I4575" s="20">
        <v>22.201000000000001</v>
      </c>
      <c r="J4575" s="44" t="s">
        <v>8</v>
      </c>
      <c r="K4575" s="23" t="s">
        <v>8</v>
      </c>
      <c r="L4575" s="23" t="s">
        <v>8</v>
      </c>
      <c r="M4575" s="23" t="s">
        <v>8</v>
      </c>
    </row>
    <row r="4576" spans="1:13" s="21" customFormat="1" x14ac:dyDescent="0.25">
      <c r="A4576" s="22" t="s">
        <v>8</v>
      </c>
      <c r="B4576" s="18" t="str">
        <f>"165585"</f>
        <v>165585</v>
      </c>
      <c r="C4576" s="19" t="s">
        <v>4517</v>
      </c>
      <c r="D4576" s="19" t="s">
        <v>20003</v>
      </c>
      <c r="E4576" s="19" t="s">
        <v>32497</v>
      </c>
      <c r="F4576" s="19" t="s">
        <v>35989</v>
      </c>
      <c r="G4576" s="18" t="str">
        <f>"52761"</f>
        <v>52761</v>
      </c>
      <c r="H4576" s="19" t="s">
        <v>32497</v>
      </c>
      <c r="I4576" s="20">
        <v>16.763999999999999</v>
      </c>
      <c r="J4576" s="44" t="s">
        <v>8</v>
      </c>
      <c r="K4576" s="23" t="s">
        <v>8</v>
      </c>
      <c r="L4576" s="23" t="s">
        <v>8</v>
      </c>
      <c r="M4576" s="23" t="s">
        <v>8</v>
      </c>
    </row>
    <row r="4577" spans="1:13" s="21" customFormat="1" x14ac:dyDescent="0.25">
      <c r="A4577" s="22" t="s">
        <v>8</v>
      </c>
      <c r="B4577" s="18" t="str">
        <f>"165586"</f>
        <v>165586</v>
      </c>
      <c r="C4577" s="19" t="s">
        <v>4518</v>
      </c>
      <c r="D4577" s="19" t="s">
        <v>20004</v>
      </c>
      <c r="E4577" s="19" t="s">
        <v>32543</v>
      </c>
      <c r="F4577" s="19" t="s">
        <v>35989</v>
      </c>
      <c r="G4577" s="18" t="str">
        <f>"50424"</f>
        <v>50424</v>
      </c>
      <c r="H4577" s="19" t="s">
        <v>36233</v>
      </c>
      <c r="I4577" s="20">
        <v>19.388000000000002</v>
      </c>
      <c r="J4577" s="44" t="s">
        <v>8</v>
      </c>
      <c r="K4577" s="23" t="s">
        <v>8</v>
      </c>
      <c r="L4577" s="23" t="s">
        <v>8</v>
      </c>
      <c r="M4577" s="23" t="s">
        <v>8</v>
      </c>
    </row>
    <row r="4578" spans="1:13" s="21" customFormat="1" x14ac:dyDescent="0.25">
      <c r="A4578" s="22" t="s">
        <v>8</v>
      </c>
      <c r="B4578" s="18" t="str">
        <f>"165587"</f>
        <v>165587</v>
      </c>
      <c r="C4578" s="19" t="s">
        <v>4519</v>
      </c>
      <c r="D4578" s="19" t="s">
        <v>20005</v>
      </c>
      <c r="E4578" s="19" t="s">
        <v>32340</v>
      </c>
      <c r="F4578" s="19" t="s">
        <v>35989</v>
      </c>
      <c r="G4578" s="18" t="str">
        <f>"52402"</f>
        <v>52402</v>
      </c>
      <c r="H4578" s="19" t="s">
        <v>32661</v>
      </c>
      <c r="I4578" s="20">
        <v>18.690000000000001</v>
      </c>
      <c r="J4578" s="44" t="s">
        <v>8</v>
      </c>
      <c r="K4578" s="23" t="s">
        <v>8</v>
      </c>
      <c r="L4578" s="23" t="s">
        <v>8</v>
      </c>
      <c r="M4578" s="23" t="s">
        <v>8</v>
      </c>
    </row>
    <row r="4579" spans="1:13" s="21" customFormat="1" x14ac:dyDescent="0.25">
      <c r="A4579" s="22" t="s">
        <v>8</v>
      </c>
      <c r="B4579" s="18" t="str">
        <f>"165589"</f>
        <v>165589</v>
      </c>
      <c r="C4579" s="19" t="s">
        <v>4520</v>
      </c>
      <c r="D4579" s="19" t="s">
        <v>20006</v>
      </c>
      <c r="E4579" s="19" t="s">
        <v>32412</v>
      </c>
      <c r="F4579" s="19" t="s">
        <v>35989</v>
      </c>
      <c r="G4579" s="18" t="str">
        <f>"52577"</f>
        <v>52577</v>
      </c>
      <c r="H4579" s="19" t="s">
        <v>36285</v>
      </c>
      <c r="I4579" s="20">
        <v>17.989999999999998</v>
      </c>
      <c r="J4579" s="44" t="s">
        <v>8</v>
      </c>
      <c r="K4579" s="23" t="s">
        <v>8</v>
      </c>
      <c r="L4579" s="23" t="s">
        <v>8</v>
      </c>
      <c r="M4579" s="23" t="s">
        <v>8</v>
      </c>
    </row>
    <row r="4580" spans="1:13" s="21" customFormat="1" x14ac:dyDescent="0.25">
      <c r="A4580" s="22" t="s">
        <v>8</v>
      </c>
      <c r="B4580" s="18" t="str">
        <f>"165590"</f>
        <v>165590</v>
      </c>
      <c r="C4580" s="19" t="s">
        <v>4521</v>
      </c>
      <c r="D4580" s="19" t="s">
        <v>20007</v>
      </c>
      <c r="E4580" s="19" t="s">
        <v>32544</v>
      </c>
      <c r="F4580" s="19" t="s">
        <v>35989</v>
      </c>
      <c r="G4580" s="18" t="str">
        <f>"52216"</f>
        <v>52216</v>
      </c>
      <c r="H4580" s="19" t="s">
        <v>36284</v>
      </c>
      <c r="I4580" s="20">
        <v>17.494</v>
      </c>
      <c r="J4580" s="44" t="s">
        <v>8</v>
      </c>
      <c r="K4580" s="23" t="s">
        <v>8</v>
      </c>
      <c r="L4580" s="23" t="s">
        <v>8</v>
      </c>
      <c r="M4580" s="23" t="s">
        <v>8</v>
      </c>
    </row>
    <row r="4581" spans="1:13" s="21" customFormat="1" x14ac:dyDescent="0.25">
      <c r="A4581" s="22" t="s">
        <v>8</v>
      </c>
      <c r="B4581" s="18" t="str">
        <f>"165591"</f>
        <v>165591</v>
      </c>
      <c r="C4581" s="19" t="s">
        <v>4522</v>
      </c>
      <c r="D4581" s="19" t="s">
        <v>20008</v>
      </c>
      <c r="E4581" s="19" t="s">
        <v>32545</v>
      </c>
      <c r="F4581" s="19" t="s">
        <v>35989</v>
      </c>
      <c r="G4581" s="18" t="str">
        <f>"50063"</f>
        <v>50063</v>
      </c>
      <c r="H4581" s="19" t="s">
        <v>31723</v>
      </c>
      <c r="I4581" s="20">
        <v>18.37</v>
      </c>
      <c r="J4581" s="44" t="s">
        <v>8</v>
      </c>
      <c r="K4581" s="23" t="s">
        <v>8</v>
      </c>
      <c r="L4581" s="23" t="s">
        <v>8</v>
      </c>
      <c r="M4581" s="23" t="s">
        <v>8</v>
      </c>
    </row>
    <row r="4582" spans="1:13" s="21" customFormat="1" x14ac:dyDescent="0.25">
      <c r="A4582" s="22" t="s">
        <v>8</v>
      </c>
      <c r="B4582" s="18" t="str">
        <f>"165592"</f>
        <v>165592</v>
      </c>
      <c r="C4582" s="19" t="s">
        <v>4523</v>
      </c>
      <c r="D4582" s="19" t="s">
        <v>20009</v>
      </c>
      <c r="E4582" s="19" t="s">
        <v>32348</v>
      </c>
      <c r="F4582" s="19" t="s">
        <v>35989</v>
      </c>
      <c r="G4582" s="18" t="str">
        <f>"52641"</f>
        <v>52641</v>
      </c>
      <c r="H4582" s="19" t="s">
        <v>32041</v>
      </c>
      <c r="I4582" s="20">
        <v>17.405999999999999</v>
      </c>
      <c r="J4582" s="44" t="s">
        <v>8</v>
      </c>
      <c r="K4582" s="23" t="s">
        <v>8</v>
      </c>
      <c r="L4582" s="23" t="s">
        <v>8</v>
      </c>
      <c r="M4582" s="23" t="s">
        <v>8</v>
      </c>
    </row>
    <row r="4583" spans="1:13" s="21" customFormat="1" x14ac:dyDescent="0.25">
      <c r="A4583" s="22" t="s">
        <v>8</v>
      </c>
      <c r="B4583" s="18" t="str">
        <f>"165593"</f>
        <v>165593</v>
      </c>
      <c r="C4583" s="19" t="s">
        <v>4524</v>
      </c>
      <c r="D4583" s="19" t="s">
        <v>20010</v>
      </c>
      <c r="E4583" s="19" t="s">
        <v>32339</v>
      </c>
      <c r="F4583" s="19" t="s">
        <v>35989</v>
      </c>
      <c r="G4583" s="18" t="str">
        <f>"50312"</f>
        <v>50312</v>
      </c>
      <c r="H4583" s="19" t="s">
        <v>36062</v>
      </c>
      <c r="I4583" s="20">
        <v>17.524999999999999</v>
      </c>
      <c r="J4583" s="44" t="s">
        <v>8</v>
      </c>
      <c r="K4583" s="23" t="s">
        <v>8</v>
      </c>
      <c r="L4583" s="23" t="s">
        <v>8</v>
      </c>
      <c r="M4583" s="23" t="s">
        <v>8</v>
      </c>
    </row>
    <row r="4584" spans="1:13" s="21" customFormat="1" x14ac:dyDescent="0.25">
      <c r="A4584" s="22" t="s">
        <v>8</v>
      </c>
      <c r="B4584" s="18" t="str">
        <f>"165594"</f>
        <v>165594</v>
      </c>
      <c r="C4584" s="19" t="s">
        <v>4525</v>
      </c>
      <c r="D4584" s="19" t="s">
        <v>20011</v>
      </c>
      <c r="E4584" s="19" t="s">
        <v>31443</v>
      </c>
      <c r="F4584" s="19" t="s">
        <v>35989</v>
      </c>
      <c r="G4584" s="18" t="str">
        <f>"52211"</f>
        <v>52211</v>
      </c>
      <c r="H4584" s="19" t="s">
        <v>36267</v>
      </c>
      <c r="I4584" s="20">
        <v>19.701000000000001</v>
      </c>
      <c r="J4584" s="44" t="s">
        <v>8</v>
      </c>
      <c r="K4584" s="23" t="s">
        <v>8</v>
      </c>
      <c r="L4584" s="23" t="s">
        <v>8</v>
      </c>
      <c r="M4584" s="23" t="s">
        <v>8</v>
      </c>
    </row>
    <row r="4585" spans="1:13" s="21" customFormat="1" x14ac:dyDescent="0.25">
      <c r="A4585" s="22" t="s">
        <v>8</v>
      </c>
      <c r="B4585" s="18" t="str">
        <f>"165595"</f>
        <v>165595</v>
      </c>
      <c r="C4585" s="19" t="s">
        <v>4526</v>
      </c>
      <c r="D4585" s="19" t="s">
        <v>20012</v>
      </c>
      <c r="E4585" s="19" t="s">
        <v>31375</v>
      </c>
      <c r="F4585" s="19" t="s">
        <v>35989</v>
      </c>
      <c r="G4585" s="18" t="str">
        <f>"51001"</f>
        <v>51001</v>
      </c>
      <c r="H4585" s="19" t="s">
        <v>31465</v>
      </c>
      <c r="I4585" s="20">
        <v>18.625</v>
      </c>
      <c r="J4585" s="44" t="s">
        <v>8</v>
      </c>
      <c r="K4585" s="23" t="s">
        <v>8</v>
      </c>
      <c r="L4585" s="23" t="s">
        <v>8</v>
      </c>
      <c r="M4585" s="23" t="s">
        <v>8</v>
      </c>
    </row>
    <row r="4586" spans="1:13" s="21" customFormat="1" x14ac:dyDescent="0.25">
      <c r="A4586" s="22" t="s">
        <v>8</v>
      </c>
      <c r="B4586" s="18" t="str">
        <f>"165596"</f>
        <v>165596</v>
      </c>
      <c r="C4586" s="19" t="s">
        <v>4527</v>
      </c>
      <c r="D4586" s="19" t="s">
        <v>20013</v>
      </c>
      <c r="E4586" s="19" t="s">
        <v>32458</v>
      </c>
      <c r="F4586" s="19" t="s">
        <v>35989</v>
      </c>
      <c r="G4586" s="18" t="str">
        <f>"50588"</f>
        <v>50588</v>
      </c>
      <c r="H4586" s="19" t="s">
        <v>31824</v>
      </c>
      <c r="I4586" s="20">
        <v>17.661000000000001</v>
      </c>
      <c r="J4586" s="44" t="s">
        <v>8</v>
      </c>
      <c r="K4586" s="23" t="s">
        <v>8</v>
      </c>
      <c r="L4586" s="23" t="s">
        <v>8</v>
      </c>
      <c r="M4586" s="23" t="s">
        <v>8</v>
      </c>
    </row>
    <row r="4587" spans="1:13" s="21" customFormat="1" x14ac:dyDescent="0.25">
      <c r="A4587" s="22" t="s">
        <v>8</v>
      </c>
      <c r="B4587" s="18" t="str">
        <f>"165597"</f>
        <v>165597</v>
      </c>
      <c r="C4587" s="19" t="s">
        <v>4528</v>
      </c>
      <c r="D4587" s="19" t="s">
        <v>20014</v>
      </c>
      <c r="E4587" s="19" t="s">
        <v>32449</v>
      </c>
      <c r="F4587" s="19" t="s">
        <v>35989</v>
      </c>
      <c r="G4587" s="18" t="str">
        <f>"50266"</f>
        <v>50266</v>
      </c>
      <c r="H4587" s="19" t="s">
        <v>36062</v>
      </c>
      <c r="I4587" s="20">
        <v>17.181000000000001</v>
      </c>
      <c r="J4587" s="44" t="s">
        <v>8</v>
      </c>
      <c r="K4587" s="23" t="s">
        <v>8</v>
      </c>
      <c r="L4587" s="23" t="s">
        <v>8</v>
      </c>
      <c r="M4587" s="23" t="s">
        <v>8</v>
      </c>
    </row>
    <row r="4588" spans="1:13" s="21" customFormat="1" x14ac:dyDescent="0.25">
      <c r="A4588" s="22" t="s">
        <v>8</v>
      </c>
      <c r="B4588" s="18" t="str">
        <f>"165598"</f>
        <v>165598</v>
      </c>
      <c r="C4588" s="19" t="s">
        <v>4529</v>
      </c>
      <c r="D4588" s="19" t="s">
        <v>20015</v>
      </c>
      <c r="E4588" s="19" t="s">
        <v>32384</v>
      </c>
      <c r="F4588" s="19" t="s">
        <v>35989</v>
      </c>
      <c r="G4588" s="18" t="str">
        <f>"50219"</f>
        <v>50219</v>
      </c>
      <c r="H4588" s="19" t="s">
        <v>30850</v>
      </c>
      <c r="I4588" s="20">
        <v>18.137</v>
      </c>
      <c r="J4588" s="44" t="s">
        <v>8</v>
      </c>
      <c r="K4588" s="23" t="s">
        <v>8</v>
      </c>
      <c r="L4588" s="23" t="s">
        <v>8</v>
      </c>
      <c r="M4588" s="23" t="s">
        <v>8</v>
      </c>
    </row>
    <row r="4589" spans="1:13" s="21" customFormat="1" x14ac:dyDescent="0.25">
      <c r="A4589" s="22" t="s">
        <v>8</v>
      </c>
      <c r="B4589" s="18" t="str">
        <f>"165599"</f>
        <v>165599</v>
      </c>
      <c r="C4589" s="19" t="s">
        <v>4530</v>
      </c>
      <c r="D4589" s="19" t="s">
        <v>20016</v>
      </c>
      <c r="E4589" s="19" t="s">
        <v>32295</v>
      </c>
      <c r="F4589" s="19" t="s">
        <v>35989</v>
      </c>
      <c r="G4589" s="18" t="str">
        <f>"52772"</f>
        <v>52772</v>
      </c>
      <c r="H4589" s="19" t="s">
        <v>36284</v>
      </c>
      <c r="I4589" s="20">
        <v>18.896000000000001</v>
      </c>
      <c r="J4589" s="44" t="s">
        <v>8</v>
      </c>
      <c r="K4589" s="23" t="s">
        <v>8</v>
      </c>
      <c r="L4589" s="23" t="s">
        <v>8</v>
      </c>
      <c r="M4589" s="23" t="s">
        <v>8</v>
      </c>
    </row>
    <row r="4590" spans="1:13" s="21" customFormat="1" x14ac:dyDescent="0.25">
      <c r="A4590" s="22" t="s">
        <v>8</v>
      </c>
      <c r="B4590" s="18" t="str">
        <f>"165601"</f>
        <v>165601</v>
      </c>
      <c r="C4590" s="19" t="s">
        <v>4531</v>
      </c>
      <c r="D4590" s="19" t="s">
        <v>20017</v>
      </c>
      <c r="E4590" s="19" t="s">
        <v>32449</v>
      </c>
      <c r="F4590" s="19" t="s">
        <v>35989</v>
      </c>
      <c r="G4590" s="18" t="str">
        <f>"50265"</f>
        <v>50265</v>
      </c>
      <c r="H4590" s="19" t="s">
        <v>36062</v>
      </c>
      <c r="I4590" s="20">
        <v>17.457999999999998</v>
      </c>
      <c r="J4590" s="44" t="s">
        <v>8</v>
      </c>
      <c r="K4590" s="23" t="s">
        <v>8</v>
      </c>
      <c r="L4590" s="23" t="s">
        <v>8</v>
      </c>
      <c r="M4590" s="23" t="s">
        <v>8</v>
      </c>
    </row>
    <row r="4591" spans="1:13" s="21" customFormat="1" x14ac:dyDescent="0.25">
      <c r="A4591" s="22" t="s">
        <v>8</v>
      </c>
      <c r="B4591" s="18" t="str">
        <f>"165602"</f>
        <v>165602</v>
      </c>
      <c r="C4591" s="19" t="s">
        <v>4532</v>
      </c>
      <c r="D4591" s="19" t="s">
        <v>20018</v>
      </c>
      <c r="E4591" s="19" t="s">
        <v>31103</v>
      </c>
      <c r="F4591" s="19" t="s">
        <v>35989</v>
      </c>
      <c r="G4591" s="18" t="str">
        <f>"52556"</f>
        <v>52556</v>
      </c>
      <c r="H4591" s="19" t="s">
        <v>32391</v>
      </c>
      <c r="I4591" s="20">
        <v>19.695</v>
      </c>
      <c r="J4591" s="44" t="s">
        <v>8</v>
      </c>
      <c r="K4591" s="23" t="s">
        <v>8</v>
      </c>
      <c r="L4591" s="23" t="s">
        <v>8</v>
      </c>
      <c r="M4591" s="23" t="s">
        <v>8</v>
      </c>
    </row>
    <row r="4592" spans="1:13" s="21" customFormat="1" x14ac:dyDescent="0.25">
      <c r="A4592" s="22" t="s">
        <v>8</v>
      </c>
      <c r="B4592" s="18" t="str">
        <f>"165603"</f>
        <v>165603</v>
      </c>
      <c r="C4592" s="19" t="s">
        <v>4533</v>
      </c>
      <c r="D4592" s="19" t="s">
        <v>20019</v>
      </c>
      <c r="E4592" s="19" t="s">
        <v>31334</v>
      </c>
      <c r="F4592" s="19" t="s">
        <v>35989</v>
      </c>
      <c r="G4592" s="18" t="str">
        <f>"50622"</f>
        <v>50622</v>
      </c>
      <c r="H4592" s="19" t="s">
        <v>36291</v>
      </c>
      <c r="I4592" s="20">
        <v>18.506</v>
      </c>
      <c r="J4592" s="44" t="s">
        <v>8</v>
      </c>
      <c r="K4592" s="23" t="s">
        <v>8</v>
      </c>
      <c r="L4592" s="23" t="s">
        <v>8</v>
      </c>
      <c r="M4592" s="23" t="s">
        <v>8</v>
      </c>
    </row>
    <row r="4593" spans="1:13" s="21" customFormat="1" x14ac:dyDescent="0.25">
      <c r="A4593" s="22" t="s">
        <v>8</v>
      </c>
      <c r="B4593" s="18" t="str">
        <f>"165604"</f>
        <v>165604</v>
      </c>
      <c r="C4593" s="19" t="s">
        <v>4534</v>
      </c>
      <c r="D4593" s="19" t="s">
        <v>20020</v>
      </c>
      <c r="E4593" s="19" t="s">
        <v>32546</v>
      </c>
      <c r="F4593" s="19" t="s">
        <v>35989</v>
      </c>
      <c r="G4593" s="18" t="str">
        <f>"52249"</f>
        <v>52249</v>
      </c>
      <c r="H4593" s="19" t="s">
        <v>31024</v>
      </c>
      <c r="I4593" s="20">
        <v>18.079000000000001</v>
      </c>
      <c r="J4593" s="44" t="s">
        <v>8</v>
      </c>
      <c r="K4593" s="23" t="s">
        <v>8</v>
      </c>
      <c r="L4593" s="23" t="s">
        <v>8</v>
      </c>
      <c r="M4593" s="23" t="s">
        <v>8</v>
      </c>
    </row>
    <row r="4594" spans="1:13" s="21" customFormat="1" x14ac:dyDescent="0.25">
      <c r="A4594" s="22" t="s">
        <v>8</v>
      </c>
      <c r="B4594" s="18" t="str">
        <f>"165605"</f>
        <v>165605</v>
      </c>
      <c r="C4594" s="19" t="s">
        <v>4535</v>
      </c>
      <c r="D4594" s="19" t="s">
        <v>20021</v>
      </c>
      <c r="E4594" s="19" t="s">
        <v>32547</v>
      </c>
      <c r="F4594" s="19" t="s">
        <v>35989</v>
      </c>
      <c r="G4594" s="18" t="str">
        <f>"50111"</f>
        <v>50111</v>
      </c>
      <c r="H4594" s="19" t="s">
        <v>36062</v>
      </c>
      <c r="I4594" s="20">
        <v>19.469000000000001</v>
      </c>
      <c r="J4594" s="44" t="s">
        <v>8</v>
      </c>
      <c r="K4594" s="23" t="s">
        <v>8</v>
      </c>
      <c r="L4594" s="23" t="s">
        <v>8</v>
      </c>
      <c r="M4594" s="23" t="s">
        <v>8</v>
      </c>
    </row>
    <row r="4595" spans="1:13" s="21" customFormat="1" x14ac:dyDescent="0.25">
      <c r="A4595" s="22" t="s">
        <v>8</v>
      </c>
      <c r="B4595" s="18" t="str">
        <f>"165606"</f>
        <v>165606</v>
      </c>
      <c r="C4595" s="19" t="s">
        <v>4536</v>
      </c>
      <c r="D4595" s="19" t="s">
        <v>20022</v>
      </c>
      <c r="E4595" s="19" t="s">
        <v>31503</v>
      </c>
      <c r="F4595" s="19" t="s">
        <v>35989</v>
      </c>
      <c r="G4595" s="18" t="str">
        <f>"50220"</f>
        <v>50220</v>
      </c>
      <c r="H4595" s="19" t="s">
        <v>31723</v>
      </c>
      <c r="I4595" s="20">
        <v>18.510000000000002</v>
      </c>
      <c r="J4595" s="44" t="s">
        <v>8</v>
      </c>
      <c r="K4595" s="23" t="s">
        <v>8</v>
      </c>
      <c r="L4595" s="23" t="s">
        <v>8</v>
      </c>
      <c r="M4595" s="23" t="s">
        <v>8</v>
      </c>
    </row>
    <row r="4596" spans="1:13" s="21" customFormat="1" x14ac:dyDescent="0.25">
      <c r="A4596" s="22" t="s">
        <v>8</v>
      </c>
      <c r="B4596" s="18" t="str">
        <f>"165607"</f>
        <v>165607</v>
      </c>
      <c r="C4596" s="19" t="s">
        <v>4537</v>
      </c>
      <c r="D4596" s="19" t="s">
        <v>20023</v>
      </c>
      <c r="E4596" s="19" t="s">
        <v>32384</v>
      </c>
      <c r="F4596" s="19" t="s">
        <v>35989</v>
      </c>
      <c r="G4596" s="18" t="str">
        <f>"50219"</f>
        <v>50219</v>
      </c>
      <c r="H4596" s="19" t="s">
        <v>30850</v>
      </c>
      <c r="I4596" s="20">
        <v>18.835000000000001</v>
      </c>
      <c r="J4596" s="44" t="s">
        <v>8</v>
      </c>
      <c r="K4596" s="23" t="s">
        <v>8</v>
      </c>
      <c r="L4596" s="23" t="s">
        <v>8</v>
      </c>
      <c r="M4596" s="23" t="s">
        <v>8</v>
      </c>
    </row>
    <row r="4597" spans="1:13" s="21" customFormat="1" x14ac:dyDescent="0.25">
      <c r="A4597" s="22" t="s">
        <v>8</v>
      </c>
      <c r="B4597" s="18" t="str">
        <f>"165608"</f>
        <v>165608</v>
      </c>
      <c r="C4597" s="19" t="s">
        <v>4538</v>
      </c>
      <c r="D4597" s="19" t="s">
        <v>20024</v>
      </c>
      <c r="E4597" s="19" t="s">
        <v>32339</v>
      </c>
      <c r="F4597" s="19" t="s">
        <v>35989</v>
      </c>
      <c r="G4597" s="18" t="str">
        <f>"50309"</f>
        <v>50309</v>
      </c>
      <c r="H4597" s="19" t="s">
        <v>36062</v>
      </c>
      <c r="I4597" s="20">
        <v>20.670999999999999</v>
      </c>
      <c r="J4597" s="44" t="s">
        <v>8</v>
      </c>
      <c r="K4597" s="23" t="s">
        <v>8</v>
      </c>
      <c r="L4597" s="23" t="s">
        <v>8</v>
      </c>
      <c r="M4597" s="23" t="s">
        <v>8</v>
      </c>
    </row>
    <row r="4598" spans="1:13" s="21" customFormat="1" x14ac:dyDescent="0.25">
      <c r="A4598" s="22" t="s">
        <v>8</v>
      </c>
      <c r="B4598" s="18" t="str">
        <f>"165609"</f>
        <v>165609</v>
      </c>
      <c r="C4598" s="19" t="s">
        <v>4539</v>
      </c>
      <c r="D4598" s="19" t="s">
        <v>20025</v>
      </c>
      <c r="E4598" s="19" t="s">
        <v>32101</v>
      </c>
      <c r="F4598" s="19" t="s">
        <v>35989</v>
      </c>
      <c r="G4598" s="18" t="str">
        <f>"50208"</f>
        <v>50208</v>
      </c>
      <c r="H4598" s="19" t="s">
        <v>30854</v>
      </c>
      <c r="I4598" s="20">
        <v>18.972999999999999</v>
      </c>
      <c r="J4598" s="44" t="s">
        <v>8</v>
      </c>
      <c r="K4598" s="23" t="s">
        <v>8</v>
      </c>
      <c r="L4598" s="23" t="s">
        <v>8</v>
      </c>
      <c r="M4598" s="23" t="s">
        <v>8</v>
      </c>
    </row>
    <row r="4599" spans="1:13" s="21" customFormat="1" x14ac:dyDescent="0.25">
      <c r="A4599" s="22" t="s">
        <v>8</v>
      </c>
      <c r="B4599" s="18" t="str">
        <f>"165610"</f>
        <v>165610</v>
      </c>
      <c r="C4599" s="19" t="s">
        <v>4540</v>
      </c>
      <c r="D4599" s="19" t="s">
        <v>20026</v>
      </c>
      <c r="E4599" s="19" t="s">
        <v>30849</v>
      </c>
      <c r="F4599" s="19" t="s">
        <v>35989</v>
      </c>
      <c r="G4599" s="18" t="str">
        <f>"50009"</f>
        <v>50009</v>
      </c>
      <c r="H4599" s="19" t="s">
        <v>36062</v>
      </c>
      <c r="I4599" s="20">
        <v>22.434999999999999</v>
      </c>
      <c r="J4599" s="44" t="s">
        <v>8</v>
      </c>
      <c r="K4599" s="23" t="s">
        <v>8</v>
      </c>
      <c r="L4599" s="23" t="s">
        <v>8</v>
      </c>
      <c r="M4599" s="23" t="s">
        <v>8</v>
      </c>
    </row>
    <row r="4600" spans="1:13" s="21" customFormat="1" x14ac:dyDescent="0.25">
      <c r="A4600" s="22" t="s">
        <v>8</v>
      </c>
      <c r="B4600" s="18" t="str">
        <f>"165611"</f>
        <v>165611</v>
      </c>
      <c r="C4600" s="19" t="s">
        <v>4541</v>
      </c>
      <c r="D4600" s="19" t="s">
        <v>20027</v>
      </c>
      <c r="E4600" s="19" t="s">
        <v>31457</v>
      </c>
      <c r="F4600" s="19" t="s">
        <v>35989</v>
      </c>
      <c r="G4600" s="18" t="str">
        <f>"52778"</f>
        <v>52778</v>
      </c>
      <c r="H4600" s="19" t="s">
        <v>32497</v>
      </c>
      <c r="I4600" s="20">
        <v>17.937000000000001</v>
      </c>
      <c r="J4600" s="44" t="s">
        <v>8</v>
      </c>
      <c r="K4600" s="23" t="s">
        <v>8</v>
      </c>
      <c r="L4600" s="23" t="s">
        <v>8</v>
      </c>
      <c r="M4600" s="23" t="s">
        <v>8</v>
      </c>
    </row>
    <row r="4601" spans="1:13" s="21" customFormat="1" x14ac:dyDescent="0.25">
      <c r="A4601" s="22" t="s">
        <v>8</v>
      </c>
      <c r="B4601" s="18" t="str">
        <f>"165612"</f>
        <v>165612</v>
      </c>
      <c r="C4601" s="19" t="s">
        <v>4542</v>
      </c>
      <c r="D4601" s="19" t="s">
        <v>20028</v>
      </c>
      <c r="E4601" s="19" t="s">
        <v>32339</v>
      </c>
      <c r="F4601" s="19" t="s">
        <v>35989</v>
      </c>
      <c r="G4601" s="18" t="str">
        <f>"50316"</f>
        <v>50316</v>
      </c>
      <c r="H4601" s="19" t="s">
        <v>36062</v>
      </c>
      <c r="I4601" s="20">
        <v>20.212</v>
      </c>
      <c r="J4601" s="44" t="s">
        <v>8</v>
      </c>
      <c r="K4601" s="23" t="s">
        <v>8</v>
      </c>
      <c r="L4601" s="23" t="s">
        <v>8</v>
      </c>
      <c r="M4601" s="23" t="s">
        <v>8</v>
      </c>
    </row>
    <row r="4602" spans="1:13" s="21" customFormat="1" x14ac:dyDescent="0.25">
      <c r="A4602" s="22" t="s">
        <v>8</v>
      </c>
      <c r="B4602" s="18" t="str">
        <f>"165613"</f>
        <v>165613</v>
      </c>
      <c r="C4602" s="19" t="s">
        <v>4543</v>
      </c>
      <c r="D4602" s="19" t="s">
        <v>20029</v>
      </c>
      <c r="E4602" s="19" t="s">
        <v>32494</v>
      </c>
      <c r="F4602" s="19" t="s">
        <v>35989</v>
      </c>
      <c r="G4602" s="18" t="str">
        <f>"50010"</f>
        <v>50010</v>
      </c>
      <c r="H4602" s="19" t="s">
        <v>36289</v>
      </c>
      <c r="I4602" s="20">
        <v>20.498999999999999</v>
      </c>
      <c r="J4602" s="44" t="s">
        <v>8</v>
      </c>
      <c r="K4602" s="23" t="s">
        <v>8</v>
      </c>
      <c r="L4602" s="23" t="s">
        <v>8</v>
      </c>
      <c r="M4602" s="23" t="s">
        <v>8</v>
      </c>
    </row>
    <row r="4603" spans="1:13" s="21" customFormat="1" x14ac:dyDescent="0.25">
      <c r="A4603" s="22" t="s">
        <v>8</v>
      </c>
      <c r="B4603" s="18" t="s">
        <v>15199</v>
      </c>
      <c r="C4603" s="19" t="s">
        <v>4544</v>
      </c>
      <c r="D4603" s="19" t="s">
        <v>20030</v>
      </c>
      <c r="E4603" s="19" t="s">
        <v>31245</v>
      </c>
      <c r="F4603" s="19" t="s">
        <v>35990</v>
      </c>
      <c r="G4603" s="18" t="str">
        <f>"66762"</f>
        <v>66762</v>
      </c>
      <c r="H4603" s="19" t="s">
        <v>31759</v>
      </c>
      <c r="I4603" s="20">
        <v>17.837</v>
      </c>
      <c r="J4603" s="44" t="s">
        <v>8</v>
      </c>
      <c r="K4603" s="23" t="s">
        <v>8</v>
      </c>
      <c r="L4603" s="23" t="s">
        <v>8</v>
      </c>
      <c r="M4603" s="23" t="s">
        <v>8</v>
      </c>
    </row>
    <row r="4604" spans="1:13" s="21" customFormat="1" x14ac:dyDescent="0.25">
      <c r="A4604" s="22" t="s">
        <v>8</v>
      </c>
      <c r="B4604" s="18" t="s">
        <v>15200</v>
      </c>
      <c r="C4604" s="19" t="s">
        <v>4545</v>
      </c>
      <c r="D4604" s="19" t="s">
        <v>20031</v>
      </c>
      <c r="E4604" s="19" t="s">
        <v>32264</v>
      </c>
      <c r="F4604" s="19" t="s">
        <v>35990</v>
      </c>
      <c r="G4604" s="18" t="str">
        <f>"66048"</f>
        <v>66048</v>
      </c>
      <c r="H4604" s="19" t="s">
        <v>32264</v>
      </c>
      <c r="I4604" s="20">
        <v>18.690999999999999</v>
      </c>
      <c r="J4604" s="44" t="s">
        <v>8</v>
      </c>
      <c r="K4604" s="23" t="s">
        <v>8</v>
      </c>
      <c r="L4604" s="23" t="s">
        <v>8</v>
      </c>
      <c r="M4604" s="23" t="s">
        <v>8</v>
      </c>
    </row>
    <row r="4605" spans="1:13" s="21" customFormat="1" x14ac:dyDescent="0.25">
      <c r="A4605" s="22" t="s">
        <v>8</v>
      </c>
      <c r="B4605" s="18" t="s">
        <v>15201</v>
      </c>
      <c r="C4605" s="19" t="s">
        <v>4546</v>
      </c>
      <c r="D4605" s="19" t="s">
        <v>20032</v>
      </c>
      <c r="E4605" s="19" t="s">
        <v>32424</v>
      </c>
      <c r="F4605" s="19" t="s">
        <v>35990</v>
      </c>
      <c r="G4605" s="18" t="str">
        <f>"67301"</f>
        <v>67301</v>
      </c>
      <c r="H4605" s="19" t="s">
        <v>30833</v>
      </c>
      <c r="I4605" s="20">
        <v>21.704000000000001</v>
      </c>
      <c r="J4605" s="44" t="s">
        <v>8</v>
      </c>
      <c r="K4605" s="23" t="s">
        <v>8</v>
      </c>
      <c r="L4605" s="23" t="s">
        <v>8</v>
      </c>
      <c r="M4605" s="23" t="s">
        <v>8</v>
      </c>
    </row>
    <row r="4606" spans="1:13" s="21" customFormat="1" x14ac:dyDescent="0.25">
      <c r="A4606" s="22" t="s">
        <v>8</v>
      </c>
      <c r="B4606" s="18" t="s">
        <v>15202</v>
      </c>
      <c r="C4606" s="19" t="s">
        <v>4547</v>
      </c>
      <c r="D4606" s="19" t="s">
        <v>20033</v>
      </c>
      <c r="E4606" s="19" t="s">
        <v>31015</v>
      </c>
      <c r="F4606" s="19" t="s">
        <v>35990</v>
      </c>
      <c r="G4606" s="18" t="str">
        <f>"67042"</f>
        <v>67042</v>
      </c>
      <c r="H4606" s="19" t="s">
        <v>30876</v>
      </c>
      <c r="I4606" s="20">
        <v>20.568999999999999</v>
      </c>
      <c r="J4606" s="44" t="s">
        <v>8</v>
      </c>
      <c r="K4606" s="23" t="s">
        <v>8</v>
      </c>
      <c r="L4606" s="23" t="s">
        <v>8</v>
      </c>
      <c r="M4606" s="23" t="s">
        <v>8</v>
      </c>
    </row>
    <row r="4607" spans="1:13" s="21" customFormat="1" x14ac:dyDescent="0.25">
      <c r="A4607" s="22" t="s">
        <v>8</v>
      </c>
      <c r="B4607" s="18" t="s">
        <v>15203</v>
      </c>
      <c r="C4607" s="19" t="s">
        <v>4548</v>
      </c>
      <c r="D4607" s="19" t="s">
        <v>20034</v>
      </c>
      <c r="E4607" s="19" t="s">
        <v>32548</v>
      </c>
      <c r="F4607" s="19" t="s">
        <v>35990</v>
      </c>
      <c r="G4607" s="18" t="str">
        <f>"66701"</f>
        <v>66701</v>
      </c>
      <c r="H4607" s="19" t="s">
        <v>36293</v>
      </c>
      <c r="I4607" s="20">
        <v>17.600999999999999</v>
      </c>
      <c r="J4607" s="44" t="s">
        <v>8</v>
      </c>
      <c r="K4607" s="23" t="s">
        <v>8</v>
      </c>
      <c r="L4607" s="23" t="s">
        <v>8</v>
      </c>
      <c r="M4607" s="23" t="s">
        <v>8</v>
      </c>
    </row>
    <row r="4608" spans="1:13" s="21" customFormat="1" x14ac:dyDescent="0.25">
      <c r="A4608" s="22" t="s">
        <v>8</v>
      </c>
      <c r="B4608" s="18" t="s">
        <v>15204</v>
      </c>
      <c r="C4608" s="19" t="s">
        <v>4549</v>
      </c>
      <c r="D4608" s="19" t="s">
        <v>20035</v>
      </c>
      <c r="E4608" s="19" t="s">
        <v>32549</v>
      </c>
      <c r="F4608" s="19" t="s">
        <v>35990</v>
      </c>
      <c r="G4608" s="18" t="str">
        <f>"66441"</f>
        <v>66441</v>
      </c>
      <c r="H4608" s="19" t="s">
        <v>34735</v>
      </c>
      <c r="I4608" s="20">
        <v>19.503</v>
      </c>
      <c r="J4608" s="44" t="s">
        <v>8</v>
      </c>
      <c r="K4608" s="23" t="s">
        <v>8</v>
      </c>
      <c r="L4608" s="23" t="s">
        <v>8</v>
      </c>
      <c r="M4608" s="23" t="s">
        <v>8</v>
      </c>
    </row>
    <row r="4609" spans="1:13" s="21" customFormat="1" x14ac:dyDescent="0.25">
      <c r="A4609" s="22" t="s">
        <v>8</v>
      </c>
      <c r="B4609" s="18" t="s">
        <v>15205</v>
      </c>
      <c r="C4609" s="19" t="s">
        <v>4151</v>
      </c>
      <c r="D4609" s="19" t="s">
        <v>20036</v>
      </c>
      <c r="E4609" s="19" t="s">
        <v>32550</v>
      </c>
      <c r="F4609" s="19" t="s">
        <v>35990</v>
      </c>
      <c r="G4609" s="18" t="str">
        <f>"67107"</f>
        <v>67107</v>
      </c>
      <c r="H4609" s="19" t="s">
        <v>32551</v>
      </c>
      <c r="I4609" s="20">
        <v>16.234999999999999</v>
      </c>
      <c r="J4609" s="44" t="s">
        <v>8</v>
      </c>
      <c r="K4609" s="23" t="s">
        <v>8</v>
      </c>
      <c r="L4609" s="23" t="s">
        <v>8</v>
      </c>
      <c r="M4609" s="23" t="s">
        <v>8</v>
      </c>
    </row>
    <row r="4610" spans="1:13" s="21" customFormat="1" x14ac:dyDescent="0.25">
      <c r="A4610" s="22" t="s">
        <v>8</v>
      </c>
      <c r="B4610" s="18" t="s">
        <v>15206</v>
      </c>
      <c r="C4610" s="19" t="s">
        <v>4550</v>
      </c>
      <c r="D4610" s="19" t="s">
        <v>20037</v>
      </c>
      <c r="E4610" s="19" t="s">
        <v>31369</v>
      </c>
      <c r="F4610" s="19" t="s">
        <v>35990</v>
      </c>
      <c r="G4610" s="18" t="str">
        <f>"66839"</f>
        <v>66839</v>
      </c>
      <c r="H4610" s="19" t="s">
        <v>36294</v>
      </c>
      <c r="I4610" s="20">
        <v>20.085999999999999</v>
      </c>
      <c r="J4610" s="44" t="s">
        <v>8</v>
      </c>
      <c r="K4610" s="23" t="s">
        <v>8</v>
      </c>
      <c r="L4610" s="23" t="s">
        <v>8</v>
      </c>
      <c r="M4610" s="23" t="s">
        <v>8</v>
      </c>
    </row>
    <row r="4611" spans="1:13" s="21" customFormat="1" x14ac:dyDescent="0.25">
      <c r="A4611" s="22" t="s">
        <v>8</v>
      </c>
      <c r="B4611" s="18" t="s">
        <v>15207</v>
      </c>
      <c r="C4611" s="19" t="s">
        <v>4551</v>
      </c>
      <c r="D4611" s="19" t="s">
        <v>20038</v>
      </c>
      <c r="E4611" s="19" t="s">
        <v>32101</v>
      </c>
      <c r="F4611" s="19" t="s">
        <v>35990</v>
      </c>
      <c r="G4611" s="18" t="str">
        <f>"67114"</f>
        <v>67114</v>
      </c>
      <c r="H4611" s="19" t="s">
        <v>31938</v>
      </c>
      <c r="I4611" s="20">
        <v>22.184999999999999</v>
      </c>
      <c r="J4611" s="44" t="s">
        <v>8</v>
      </c>
      <c r="K4611" s="23" t="s">
        <v>8</v>
      </c>
      <c r="L4611" s="23" t="s">
        <v>8</v>
      </c>
      <c r="M4611" s="23" t="s">
        <v>8</v>
      </c>
    </row>
    <row r="4612" spans="1:13" s="21" customFormat="1" x14ac:dyDescent="0.25">
      <c r="A4612" s="22" t="s">
        <v>8</v>
      </c>
      <c r="B4612" s="18" t="s">
        <v>15208</v>
      </c>
      <c r="C4612" s="19" t="s">
        <v>4552</v>
      </c>
      <c r="D4612" s="19" t="s">
        <v>20039</v>
      </c>
      <c r="E4612" s="19" t="s">
        <v>32551</v>
      </c>
      <c r="F4612" s="19" t="s">
        <v>35990</v>
      </c>
      <c r="G4612" s="18" t="str">
        <f>"67460"</f>
        <v>67460</v>
      </c>
      <c r="H4612" s="19" t="s">
        <v>32551</v>
      </c>
      <c r="I4612" s="20">
        <v>21.056999999999999</v>
      </c>
      <c r="J4612" s="44" t="s">
        <v>8</v>
      </c>
      <c r="K4612" s="23" t="s">
        <v>8</v>
      </c>
      <c r="L4612" s="23" t="s">
        <v>8</v>
      </c>
      <c r="M4612" s="23" t="s">
        <v>8</v>
      </c>
    </row>
    <row r="4613" spans="1:13" s="21" customFormat="1" x14ac:dyDescent="0.25">
      <c r="A4613" s="22" t="s">
        <v>8</v>
      </c>
      <c r="B4613" s="18" t="s">
        <v>15209</v>
      </c>
      <c r="C4613" s="19" t="s">
        <v>4553</v>
      </c>
      <c r="D4613" s="19" t="s">
        <v>20040</v>
      </c>
      <c r="E4613" s="19" t="s">
        <v>32552</v>
      </c>
      <c r="F4613" s="19" t="s">
        <v>35990</v>
      </c>
      <c r="G4613" s="18" t="str">
        <f>"67880"</f>
        <v>67880</v>
      </c>
      <c r="H4613" s="19" t="s">
        <v>36078</v>
      </c>
      <c r="I4613" s="20">
        <v>17.614999999999998</v>
      </c>
      <c r="J4613" s="44" t="s">
        <v>8</v>
      </c>
      <c r="K4613" s="23" t="s">
        <v>8</v>
      </c>
      <c r="L4613" s="23" t="s">
        <v>8</v>
      </c>
      <c r="M4613" s="23" t="s">
        <v>8</v>
      </c>
    </row>
    <row r="4614" spans="1:13" s="21" customFormat="1" x14ac:dyDescent="0.25">
      <c r="A4614" s="22" t="s">
        <v>8</v>
      </c>
      <c r="B4614" s="18" t="s">
        <v>15210</v>
      </c>
      <c r="C4614" s="19" t="s">
        <v>4554</v>
      </c>
      <c r="D4614" s="19" t="s">
        <v>20041</v>
      </c>
      <c r="E4614" s="19" t="s">
        <v>32553</v>
      </c>
      <c r="F4614" s="19" t="s">
        <v>35990</v>
      </c>
      <c r="G4614" s="18" t="str">
        <f>"67005"</f>
        <v>67005</v>
      </c>
      <c r="H4614" s="19" t="s">
        <v>36295</v>
      </c>
      <c r="I4614" s="20">
        <v>17.861999999999998</v>
      </c>
      <c r="J4614" s="44" t="s">
        <v>8</v>
      </c>
      <c r="K4614" s="23" t="s">
        <v>8</v>
      </c>
      <c r="L4614" s="23" t="s">
        <v>8</v>
      </c>
      <c r="M4614" s="23" t="s">
        <v>8</v>
      </c>
    </row>
    <row r="4615" spans="1:13" s="21" customFormat="1" x14ac:dyDescent="0.25">
      <c r="A4615" s="22" t="s">
        <v>8</v>
      </c>
      <c r="B4615" s="18" t="s">
        <v>15211</v>
      </c>
      <c r="C4615" s="19" t="s">
        <v>4555</v>
      </c>
      <c r="D4615" s="19" t="s">
        <v>20042</v>
      </c>
      <c r="E4615" s="19" t="s">
        <v>32213</v>
      </c>
      <c r="F4615" s="19" t="s">
        <v>35990</v>
      </c>
      <c r="G4615" s="18" t="str">
        <f>"67950"</f>
        <v>67950</v>
      </c>
      <c r="H4615" s="19" t="s">
        <v>31951</v>
      </c>
      <c r="I4615" s="20">
        <v>16.616</v>
      </c>
      <c r="J4615" s="44" t="s">
        <v>8</v>
      </c>
      <c r="K4615" s="23" t="s">
        <v>8</v>
      </c>
      <c r="L4615" s="23" t="s">
        <v>8</v>
      </c>
      <c r="M4615" s="23" t="s">
        <v>8</v>
      </c>
    </row>
    <row r="4616" spans="1:13" s="21" customFormat="1" x14ac:dyDescent="0.25">
      <c r="A4616" s="22" t="s">
        <v>8</v>
      </c>
      <c r="B4616" s="18" t="s">
        <v>15212</v>
      </c>
      <c r="C4616" s="19" t="s">
        <v>4556</v>
      </c>
      <c r="D4616" s="19" t="s">
        <v>20043</v>
      </c>
      <c r="E4616" s="19" t="s">
        <v>32554</v>
      </c>
      <c r="F4616" s="19" t="s">
        <v>35990</v>
      </c>
      <c r="G4616" s="18" t="str">
        <f>"67801"</f>
        <v>67801</v>
      </c>
      <c r="H4616" s="19" t="s">
        <v>36241</v>
      </c>
      <c r="I4616" s="20">
        <v>20.145</v>
      </c>
      <c r="J4616" s="44" t="s">
        <v>8</v>
      </c>
      <c r="K4616" s="23" t="s">
        <v>8</v>
      </c>
      <c r="L4616" s="23" t="s">
        <v>8</v>
      </c>
      <c r="M4616" s="23" t="s">
        <v>8</v>
      </c>
    </row>
    <row r="4617" spans="1:13" s="21" customFormat="1" x14ac:dyDescent="0.25">
      <c r="A4617" s="22" t="s">
        <v>8</v>
      </c>
      <c r="B4617" s="18" t="str">
        <f>"175008"</f>
        <v>175008</v>
      </c>
      <c r="C4617" s="19" t="s">
        <v>4557</v>
      </c>
      <c r="D4617" s="19" t="s">
        <v>20044</v>
      </c>
      <c r="E4617" s="19" t="s">
        <v>32555</v>
      </c>
      <c r="F4617" s="19" t="s">
        <v>35990</v>
      </c>
      <c r="G4617" s="18" t="str">
        <f>"67211"</f>
        <v>67211</v>
      </c>
      <c r="H4617" s="19" t="s">
        <v>32595</v>
      </c>
      <c r="I4617" s="20">
        <v>18.867999999999999</v>
      </c>
      <c r="J4617" s="44" t="s">
        <v>8</v>
      </c>
      <c r="K4617" s="23" t="s">
        <v>8</v>
      </c>
      <c r="L4617" s="23" t="s">
        <v>8</v>
      </c>
      <c r="M4617" s="23" t="s">
        <v>8</v>
      </c>
    </row>
    <row r="4618" spans="1:13" s="21" customFormat="1" x14ac:dyDescent="0.25">
      <c r="A4618" s="22" t="s">
        <v>8</v>
      </c>
      <c r="B4618" s="18" t="str">
        <f>"175044"</f>
        <v>175044</v>
      </c>
      <c r="C4618" s="19" t="s">
        <v>4558</v>
      </c>
      <c r="D4618" s="19" t="s">
        <v>20045</v>
      </c>
      <c r="E4618" s="19" t="s">
        <v>32556</v>
      </c>
      <c r="F4618" s="19" t="s">
        <v>35990</v>
      </c>
      <c r="G4618" s="18" t="str">
        <f>"66611"</f>
        <v>66611</v>
      </c>
      <c r="H4618" s="19" t="s">
        <v>32597</v>
      </c>
      <c r="I4618" s="20">
        <v>16.209</v>
      </c>
      <c r="J4618" s="44" t="s">
        <v>8</v>
      </c>
      <c r="K4618" s="23" t="s">
        <v>8</v>
      </c>
      <c r="L4618" s="23" t="s">
        <v>8</v>
      </c>
      <c r="M4618" s="23" t="s">
        <v>8</v>
      </c>
    </row>
    <row r="4619" spans="1:13" s="21" customFormat="1" x14ac:dyDescent="0.25">
      <c r="A4619" s="22" t="s">
        <v>8</v>
      </c>
      <c r="B4619" s="18" t="str">
        <f>"175070"</f>
        <v>175070</v>
      </c>
      <c r="C4619" s="19" t="s">
        <v>4559</v>
      </c>
      <c r="D4619" s="19" t="s">
        <v>20046</v>
      </c>
      <c r="E4619" s="19" t="s">
        <v>31245</v>
      </c>
      <c r="F4619" s="19" t="s">
        <v>35990</v>
      </c>
      <c r="G4619" s="18" t="str">
        <f>"66762"</f>
        <v>66762</v>
      </c>
      <c r="H4619" s="19" t="s">
        <v>31759</v>
      </c>
      <c r="I4619" s="20">
        <v>17.622</v>
      </c>
      <c r="J4619" s="44" t="s">
        <v>8</v>
      </c>
      <c r="K4619" s="23" t="s">
        <v>8</v>
      </c>
      <c r="L4619" s="23" t="s">
        <v>8</v>
      </c>
      <c r="M4619" s="23" t="s">
        <v>8</v>
      </c>
    </row>
    <row r="4620" spans="1:13" s="21" customFormat="1" x14ac:dyDescent="0.25">
      <c r="A4620" s="22" t="s">
        <v>8</v>
      </c>
      <c r="B4620" s="18" t="str">
        <f>"175077"</f>
        <v>175077</v>
      </c>
      <c r="C4620" s="19" t="s">
        <v>4560</v>
      </c>
      <c r="D4620" s="19" t="s">
        <v>20047</v>
      </c>
      <c r="E4620" s="19" t="s">
        <v>32557</v>
      </c>
      <c r="F4620" s="19" t="s">
        <v>35990</v>
      </c>
      <c r="G4620" s="18" t="str">
        <f>"66064"</f>
        <v>66064</v>
      </c>
      <c r="H4620" s="19" t="s">
        <v>31507</v>
      </c>
      <c r="I4620" s="20">
        <v>17.79</v>
      </c>
      <c r="J4620" s="44" t="s">
        <v>8</v>
      </c>
      <c r="K4620" s="23" t="s">
        <v>8</v>
      </c>
      <c r="L4620" s="23" t="s">
        <v>8</v>
      </c>
      <c r="M4620" s="23" t="s">
        <v>8</v>
      </c>
    </row>
    <row r="4621" spans="1:13" s="21" customFormat="1" x14ac:dyDescent="0.25">
      <c r="A4621" s="22" t="s">
        <v>8</v>
      </c>
      <c r="B4621" s="18" t="str">
        <f>"175078"</f>
        <v>175078</v>
      </c>
      <c r="C4621" s="19" t="s">
        <v>4561</v>
      </c>
      <c r="D4621" s="19" t="s">
        <v>20048</v>
      </c>
      <c r="E4621" s="19" t="s">
        <v>32555</v>
      </c>
      <c r="F4621" s="19" t="s">
        <v>35990</v>
      </c>
      <c r="G4621" s="18" t="str">
        <f>"67208"</f>
        <v>67208</v>
      </c>
      <c r="H4621" s="19" t="s">
        <v>32595</v>
      </c>
      <c r="I4621" s="20">
        <v>20.204999999999998</v>
      </c>
      <c r="J4621" s="44" t="s">
        <v>8</v>
      </c>
      <c r="K4621" s="23" t="s">
        <v>8</v>
      </c>
      <c r="L4621" s="23" t="s">
        <v>8</v>
      </c>
      <c r="M4621" s="23" t="s">
        <v>8</v>
      </c>
    </row>
    <row r="4622" spans="1:13" s="21" customFormat="1" x14ac:dyDescent="0.25">
      <c r="A4622" s="22" t="s">
        <v>8</v>
      </c>
      <c r="B4622" s="18" t="str">
        <f>"175100"</f>
        <v>175100</v>
      </c>
      <c r="C4622" s="19" t="s">
        <v>4562</v>
      </c>
      <c r="D4622" s="19" t="s">
        <v>20049</v>
      </c>
      <c r="E4622" s="19" t="s">
        <v>32558</v>
      </c>
      <c r="F4622" s="19" t="s">
        <v>35990</v>
      </c>
      <c r="G4622" s="18" t="str">
        <f>"66502"</f>
        <v>66502</v>
      </c>
      <c r="H4622" s="19" t="s">
        <v>36296</v>
      </c>
      <c r="I4622" s="20">
        <v>19.306000000000001</v>
      </c>
      <c r="J4622" s="44" t="s">
        <v>8</v>
      </c>
      <c r="K4622" s="23" t="s">
        <v>8</v>
      </c>
      <c r="L4622" s="23" t="s">
        <v>8</v>
      </c>
      <c r="M4622" s="23" t="s">
        <v>8</v>
      </c>
    </row>
    <row r="4623" spans="1:13" s="21" customFormat="1" x14ac:dyDescent="0.25">
      <c r="A4623" s="22" t="s">
        <v>8</v>
      </c>
      <c r="B4623" s="18" t="str">
        <f>"175113"</f>
        <v>175113</v>
      </c>
      <c r="C4623" s="19" t="s">
        <v>4563</v>
      </c>
      <c r="D4623" s="19" t="s">
        <v>20050</v>
      </c>
      <c r="E4623" s="19" t="s">
        <v>32556</v>
      </c>
      <c r="F4623" s="19" t="s">
        <v>35990</v>
      </c>
      <c r="G4623" s="18" t="str">
        <f>"66607"</f>
        <v>66607</v>
      </c>
      <c r="H4623" s="19" t="s">
        <v>32597</v>
      </c>
      <c r="I4623" s="20">
        <v>18.303999999999998</v>
      </c>
      <c r="J4623" s="44" t="s">
        <v>8</v>
      </c>
      <c r="K4623" s="23" t="s">
        <v>8</v>
      </c>
      <c r="L4623" s="23" t="s">
        <v>8</v>
      </c>
      <c r="M4623" s="23" t="s">
        <v>8</v>
      </c>
    </row>
    <row r="4624" spans="1:13" s="21" customFormat="1" x14ac:dyDescent="0.25">
      <c r="A4624" s="22" t="s">
        <v>8</v>
      </c>
      <c r="B4624" s="18" t="str">
        <f>"175114"</f>
        <v>175114</v>
      </c>
      <c r="C4624" s="19" t="s">
        <v>4564</v>
      </c>
      <c r="D4624" s="19" t="s">
        <v>20051</v>
      </c>
      <c r="E4624" s="19" t="s">
        <v>32559</v>
      </c>
      <c r="F4624" s="19" t="s">
        <v>35990</v>
      </c>
      <c r="G4624" s="18" t="str">
        <f>"67502"</f>
        <v>67502</v>
      </c>
      <c r="H4624" s="19" t="s">
        <v>33839</v>
      </c>
      <c r="I4624" s="20">
        <v>18.521000000000001</v>
      </c>
      <c r="J4624" s="44" t="s">
        <v>8</v>
      </c>
      <c r="K4624" s="23" t="s">
        <v>8</v>
      </c>
      <c r="L4624" s="23" t="s">
        <v>8</v>
      </c>
      <c r="M4624" s="23" t="s">
        <v>8</v>
      </c>
    </row>
    <row r="4625" spans="1:13" s="21" customFormat="1" x14ac:dyDescent="0.25">
      <c r="A4625" s="22" t="s">
        <v>8</v>
      </c>
      <c r="B4625" s="18" t="str">
        <f>"175115"</f>
        <v>175115</v>
      </c>
      <c r="C4625" s="19" t="s">
        <v>4565</v>
      </c>
      <c r="D4625" s="19" t="s">
        <v>20052</v>
      </c>
      <c r="E4625" s="19" t="s">
        <v>31382</v>
      </c>
      <c r="F4625" s="19" t="s">
        <v>35990</v>
      </c>
      <c r="G4625" s="18" t="str">
        <f>"66062"</f>
        <v>66062</v>
      </c>
      <c r="H4625" s="19" t="s">
        <v>36072</v>
      </c>
      <c r="I4625" s="20">
        <v>19.030999999999999</v>
      </c>
      <c r="J4625" s="44" t="s">
        <v>8</v>
      </c>
      <c r="K4625" s="23" t="s">
        <v>8</v>
      </c>
      <c r="L4625" s="23" t="s">
        <v>8</v>
      </c>
      <c r="M4625" s="23" t="s">
        <v>8</v>
      </c>
    </row>
    <row r="4626" spans="1:13" s="21" customFormat="1" x14ac:dyDescent="0.25">
      <c r="A4626" s="22" t="s">
        <v>8</v>
      </c>
      <c r="B4626" s="18" t="str">
        <f>"175116"</f>
        <v>175116</v>
      </c>
      <c r="C4626" s="19" t="s">
        <v>4566</v>
      </c>
      <c r="D4626" s="19" t="s">
        <v>20053</v>
      </c>
      <c r="E4626" s="19" t="s">
        <v>31683</v>
      </c>
      <c r="F4626" s="19" t="s">
        <v>35990</v>
      </c>
      <c r="G4626" s="18" t="str">
        <f>"67152"</f>
        <v>67152</v>
      </c>
      <c r="H4626" s="19" t="s">
        <v>32524</v>
      </c>
      <c r="I4626" s="20">
        <v>18.645</v>
      </c>
      <c r="J4626" s="44" t="s">
        <v>8</v>
      </c>
      <c r="K4626" s="23" t="s">
        <v>8</v>
      </c>
      <c r="L4626" s="23" t="s">
        <v>8</v>
      </c>
      <c r="M4626" s="23" t="s">
        <v>8</v>
      </c>
    </row>
    <row r="4627" spans="1:13" s="21" customFormat="1" x14ac:dyDescent="0.25">
      <c r="A4627" s="22" t="s">
        <v>8</v>
      </c>
      <c r="B4627" s="18" t="str">
        <f>"175118"</f>
        <v>175118</v>
      </c>
      <c r="C4627" s="19" t="s">
        <v>4567</v>
      </c>
      <c r="D4627" s="19" t="s">
        <v>20054</v>
      </c>
      <c r="E4627" s="19" t="s">
        <v>32555</v>
      </c>
      <c r="F4627" s="19" t="s">
        <v>35990</v>
      </c>
      <c r="G4627" s="18" t="str">
        <f>"67213"</f>
        <v>67213</v>
      </c>
      <c r="H4627" s="19" t="s">
        <v>32595</v>
      </c>
      <c r="I4627" s="20">
        <v>15.038</v>
      </c>
      <c r="J4627" s="44" t="s">
        <v>8</v>
      </c>
      <c r="K4627" s="23" t="s">
        <v>8</v>
      </c>
      <c r="L4627" s="23" t="s">
        <v>8</v>
      </c>
      <c r="M4627" s="23" t="s">
        <v>8</v>
      </c>
    </row>
    <row r="4628" spans="1:13" s="21" customFormat="1" x14ac:dyDescent="0.25">
      <c r="A4628" s="22" t="s">
        <v>8</v>
      </c>
      <c r="B4628" s="18" t="str">
        <f>"175122"</f>
        <v>175122</v>
      </c>
      <c r="C4628" s="19" t="s">
        <v>4568</v>
      </c>
      <c r="D4628" s="19" t="s">
        <v>20055</v>
      </c>
      <c r="E4628" s="19" t="s">
        <v>32560</v>
      </c>
      <c r="F4628" s="19" t="s">
        <v>35990</v>
      </c>
      <c r="G4628" s="18" t="str">
        <f>"66215"</f>
        <v>66215</v>
      </c>
      <c r="H4628" s="19" t="s">
        <v>36072</v>
      </c>
      <c r="I4628" s="20">
        <v>23.677</v>
      </c>
      <c r="J4628" s="44" t="s">
        <v>8</v>
      </c>
      <c r="K4628" s="23" t="s">
        <v>8</v>
      </c>
      <c r="L4628" s="23" t="s">
        <v>8</v>
      </c>
      <c r="M4628" s="23" t="s">
        <v>8</v>
      </c>
    </row>
    <row r="4629" spans="1:13" s="21" customFormat="1" x14ac:dyDescent="0.25">
      <c r="A4629" s="22" t="s">
        <v>8</v>
      </c>
      <c r="B4629" s="18" t="str">
        <f>"175123"</f>
        <v>175123</v>
      </c>
      <c r="C4629" s="19" t="s">
        <v>4569</v>
      </c>
      <c r="D4629" s="19" t="s">
        <v>20056</v>
      </c>
      <c r="E4629" s="19" t="s">
        <v>32561</v>
      </c>
      <c r="F4629" s="19" t="s">
        <v>35990</v>
      </c>
      <c r="G4629" s="18" t="str">
        <f>"66203"</f>
        <v>66203</v>
      </c>
      <c r="H4629" s="19" t="s">
        <v>36072</v>
      </c>
      <c r="I4629" s="20">
        <v>17.95</v>
      </c>
      <c r="J4629" s="44" t="s">
        <v>8</v>
      </c>
      <c r="K4629" s="23" t="s">
        <v>8</v>
      </c>
      <c r="L4629" s="23" t="s">
        <v>8</v>
      </c>
      <c r="M4629" s="23" t="s">
        <v>8</v>
      </c>
    </row>
    <row r="4630" spans="1:13" s="21" customFormat="1" x14ac:dyDescent="0.25">
      <c r="A4630" s="22" t="s">
        <v>8</v>
      </c>
      <c r="B4630" s="18" t="str">
        <f>"175124"</f>
        <v>175124</v>
      </c>
      <c r="C4630" s="19" t="s">
        <v>4570</v>
      </c>
      <c r="D4630" s="19" t="s">
        <v>20057</v>
      </c>
      <c r="E4630" s="19" t="s">
        <v>31015</v>
      </c>
      <c r="F4630" s="19" t="s">
        <v>35990</v>
      </c>
      <c r="G4630" s="18" t="str">
        <f>"67042"</f>
        <v>67042</v>
      </c>
      <c r="H4630" s="19" t="s">
        <v>30876</v>
      </c>
      <c r="I4630" s="20">
        <v>18.187000000000001</v>
      </c>
      <c r="J4630" s="44" t="s">
        <v>8</v>
      </c>
      <c r="K4630" s="23" t="s">
        <v>8</v>
      </c>
      <c r="L4630" s="23" t="s">
        <v>8</v>
      </c>
      <c r="M4630" s="23" t="s">
        <v>8</v>
      </c>
    </row>
    <row r="4631" spans="1:13" s="21" customFormat="1" x14ac:dyDescent="0.25">
      <c r="A4631" s="22" t="s">
        <v>8</v>
      </c>
      <c r="B4631" s="18" t="str">
        <f>"175126"</f>
        <v>175126</v>
      </c>
      <c r="C4631" s="19" t="s">
        <v>4571</v>
      </c>
      <c r="D4631" s="19" t="s">
        <v>20058</v>
      </c>
      <c r="E4631" s="19" t="s">
        <v>32549</v>
      </c>
      <c r="F4631" s="19" t="s">
        <v>35990</v>
      </c>
      <c r="G4631" s="18" t="str">
        <f>"66441"</f>
        <v>66441</v>
      </c>
      <c r="H4631" s="19" t="s">
        <v>34735</v>
      </c>
      <c r="I4631" s="20">
        <v>21.625</v>
      </c>
      <c r="J4631" s="44" t="s">
        <v>8</v>
      </c>
      <c r="K4631" s="23" t="s">
        <v>8</v>
      </c>
      <c r="L4631" s="23" t="s">
        <v>8</v>
      </c>
      <c r="M4631" s="23" t="s">
        <v>8</v>
      </c>
    </row>
    <row r="4632" spans="1:13" s="21" customFormat="1" x14ac:dyDescent="0.25">
      <c r="A4632" s="22" t="s">
        <v>8</v>
      </c>
      <c r="B4632" s="18" t="str">
        <f>"175127"</f>
        <v>175127</v>
      </c>
      <c r="C4632" s="19" t="s">
        <v>4572</v>
      </c>
      <c r="D4632" s="19" t="s">
        <v>20059</v>
      </c>
      <c r="E4632" s="19" t="s">
        <v>32562</v>
      </c>
      <c r="F4632" s="19" t="s">
        <v>35990</v>
      </c>
      <c r="G4632" s="18" t="str">
        <f>"67401"</f>
        <v>67401</v>
      </c>
      <c r="H4632" s="19" t="s">
        <v>33206</v>
      </c>
      <c r="I4632" s="20">
        <v>18.516999999999999</v>
      </c>
      <c r="J4632" s="44" t="s">
        <v>8</v>
      </c>
      <c r="K4632" s="23" t="s">
        <v>8</v>
      </c>
      <c r="L4632" s="23" t="s">
        <v>8</v>
      </c>
      <c r="M4632" s="23" t="s">
        <v>8</v>
      </c>
    </row>
    <row r="4633" spans="1:13" s="21" customFormat="1" x14ac:dyDescent="0.25">
      <c r="A4633" s="22" t="s">
        <v>8</v>
      </c>
      <c r="B4633" s="18" t="str">
        <f>"175130"</f>
        <v>175130</v>
      </c>
      <c r="C4633" s="19" t="s">
        <v>4573</v>
      </c>
      <c r="D4633" s="19" t="s">
        <v>20060</v>
      </c>
      <c r="E4633" s="19" t="s">
        <v>32563</v>
      </c>
      <c r="F4633" s="19" t="s">
        <v>35990</v>
      </c>
      <c r="G4633" s="18" t="str">
        <f>"66030"</f>
        <v>66030</v>
      </c>
      <c r="H4633" s="19" t="s">
        <v>36072</v>
      </c>
      <c r="I4633" s="20">
        <v>20.515999999999998</v>
      </c>
      <c r="J4633" s="44" t="s">
        <v>8</v>
      </c>
      <c r="K4633" s="23" t="s">
        <v>8</v>
      </c>
      <c r="L4633" s="23" t="s">
        <v>8</v>
      </c>
      <c r="M4633" s="23" t="s">
        <v>8</v>
      </c>
    </row>
    <row r="4634" spans="1:13" s="21" customFormat="1" x14ac:dyDescent="0.25">
      <c r="A4634" s="22" t="s">
        <v>8</v>
      </c>
      <c r="B4634" s="18" t="str">
        <f>"175133"</f>
        <v>175133</v>
      </c>
      <c r="C4634" s="19" t="s">
        <v>4574</v>
      </c>
      <c r="D4634" s="19" t="s">
        <v>20061</v>
      </c>
      <c r="E4634" s="19" t="s">
        <v>32564</v>
      </c>
      <c r="F4634" s="19" t="s">
        <v>35990</v>
      </c>
      <c r="G4634" s="18" t="str">
        <f>"67060"</f>
        <v>67060</v>
      </c>
      <c r="H4634" s="19" t="s">
        <v>32595</v>
      </c>
      <c r="I4634" s="20">
        <v>20.268999999999998</v>
      </c>
      <c r="J4634" s="44" t="s">
        <v>8</v>
      </c>
      <c r="K4634" s="23" t="s">
        <v>8</v>
      </c>
      <c r="L4634" s="23" t="s">
        <v>8</v>
      </c>
      <c r="M4634" s="23" t="s">
        <v>8</v>
      </c>
    </row>
    <row r="4635" spans="1:13" s="21" customFormat="1" x14ac:dyDescent="0.25">
      <c r="A4635" s="22" t="s">
        <v>8</v>
      </c>
      <c r="B4635" s="18" t="str">
        <f>"175135"</f>
        <v>175135</v>
      </c>
      <c r="C4635" s="19" t="s">
        <v>4575</v>
      </c>
      <c r="D4635" s="19" t="s">
        <v>20062</v>
      </c>
      <c r="E4635" s="19" t="s">
        <v>32565</v>
      </c>
      <c r="F4635" s="19" t="s">
        <v>35990</v>
      </c>
      <c r="G4635" s="18" t="str">
        <f>"66104"</f>
        <v>66104</v>
      </c>
      <c r="H4635" s="19" t="s">
        <v>36297</v>
      </c>
      <c r="I4635" s="20">
        <v>22.568000000000001</v>
      </c>
      <c r="J4635" s="44" t="s">
        <v>8</v>
      </c>
      <c r="K4635" s="23" t="s">
        <v>8</v>
      </c>
      <c r="L4635" s="23" t="s">
        <v>8</v>
      </c>
      <c r="M4635" s="23" t="s">
        <v>8</v>
      </c>
    </row>
    <row r="4636" spans="1:13" s="21" customFormat="1" x14ac:dyDescent="0.25">
      <c r="A4636" s="22" t="s">
        <v>8</v>
      </c>
      <c r="B4636" s="18" t="str">
        <f>"175141"</f>
        <v>175141</v>
      </c>
      <c r="C4636" s="19" t="s">
        <v>4576</v>
      </c>
      <c r="D4636" s="19" t="s">
        <v>20063</v>
      </c>
      <c r="E4636" s="19" t="s">
        <v>32566</v>
      </c>
      <c r="F4636" s="19" t="s">
        <v>35990</v>
      </c>
      <c r="G4636" s="18" t="str">
        <f>"66002"</f>
        <v>66002</v>
      </c>
      <c r="H4636" s="19" t="s">
        <v>32566</v>
      </c>
      <c r="I4636" s="20">
        <v>20.564</v>
      </c>
      <c r="J4636" s="44" t="s">
        <v>8</v>
      </c>
      <c r="K4636" s="23" t="s">
        <v>8</v>
      </c>
      <c r="L4636" s="23" t="s">
        <v>8</v>
      </c>
      <c r="M4636" s="23" t="s">
        <v>8</v>
      </c>
    </row>
    <row r="4637" spans="1:13" s="21" customFormat="1" x14ac:dyDescent="0.25">
      <c r="A4637" s="22" t="s">
        <v>8</v>
      </c>
      <c r="B4637" s="18" t="str">
        <f>"175145"</f>
        <v>175145</v>
      </c>
      <c r="C4637" s="19" t="s">
        <v>4577</v>
      </c>
      <c r="D4637" s="19" t="s">
        <v>20064</v>
      </c>
      <c r="E4637" s="19" t="s">
        <v>32567</v>
      </c>
      <c r="F4637" s="19" t="s">
        <v>35990</v>
      </c>
      <c r="G4637" s="18" t="str">
        <f>"66524"</f>
        <v>66524</v>
      </c>
      <c r="H4637" s="19" t="s">
        <v>32356</v>
      </c>
      <c r="I4637" s="20">
        <v>18.271000000000001</v>
      </c>
      <c r="J4637" s="44" t="s">
        <v>8</v>
      </c>
      <c r="K4637" s="23" t="s">
        <v>8</v>
      </c>
      <c r="L4637" s="23" t="s">
        <v>8</v>
      </c>
      <c r="M4637" s="23" t="s">
        <v>8</v>
      </c>
    </row>
    <row r="4638" spans="1:13" s="21" customFormat="1" x14ac:dyDescent="0.25">
      <c r="A4638" s="22" t="s">
        <v>8</v>
      </c>
      <c r="B4638" s="18" t="str">
        <f>"175146"</f>
        <v>175146</v>
      </c>
      <c r="C4638" s="19" t="s">
        <v>4578</v>
      </c>
      <c r="D4638" s="19" t="s">
        <v>20065</v>
      </c>
      <c r="E4638" s="19" t="s">
        <v>32559</v>
      </c>
      <c r="F4638" s="19" t="s">
        <v>35990</v>
      </c>
      <c r="G4638" s="18" t="str">
        <f>"67502"</f>
        <v>67502</v>
      </c>
      <c r="H4638" s="19" t="s">
        <v>33839</v>
      </c>
      <c r="I4638" s="20">
        <v>19.178999999999998</v>
      </c>
      <c r="J4638" s="44" t="s">
        <v>8</v>
      </c>
      <c r="K4638" s="23" t="s">
        <v>8</v>
      </c>
      <c r="L4638" s="23" t="s">
        <v>8</v>
      </c>
      <c r="M4638" s="23" t="s">
        <v>8</v>
      </c>
    </row>
    <row r="4639" spans="1:13" s="21" customFormat="1" x14ac:dyDescent="0.25">
      <c r="A4639" s="22" t="s">
        <v>8</v>
      </c>
      <c r="B4639" s="18" t="str">
        <f>"175151"</f>
        <v>175151</v>
      </c>
      <c r="C4639" s="19" t="s">
        <v>4579</v>
      </c>
      <c r="D4639" s="19" t="s">
        <v>20066</v>
      </c>
      <c r="E4639" s="19" t="s">
        <v>32568</v>
      </c>
      <c r="F4639" s="19" t="s">
        <v>35990</v>
      </c>
      <c r="G4639" s="18" t="str">
        <f>"66044"</f>
        <v>66044</v>
      </c>
      <c r="H4639" s="19" t="s">
        <v>30966</v>
      </c>
      <c r="I4639" s="20">
        <v>18.044</v>
      </c>
      <c r="J4639" s="44" t="s">
        <v>8</v>
      </c>
      <c r="K4639" s="23" t="s">
        <v>8</v>
      </c>
      <c r="L4639" s="23" t="s">
        <v>8</v>
      </c>
      <c r="M4639" s="23" t="s">
        <v>8</v>
      </c>
    </row>
    <row r="4640" spans="1:13" s="21" customFormat="1" x14ac:dyDescent="0.25">
      <c r="A4640" s="22" t="s">
        <v>8</v>
      </c>
      <c r="B4640" s="18" t="str">
        <f>"175154"</f>
        <v>175154</v>
      </c>
      <c r="C4640" s="19" t="s">
        <v>4580</v>
      </c>
      <c r="D4640" s="19" t="s">
        <v>20067</v>
      </c>
      <c r="E4640" s="19" t="s">
        <v>32556</v>
      </c>
      <c r="F4640" s="19" t="s">
        <v>35990</v>
      </c>
      <c r="G4640" s="18" t="str">
        <f>"66604"</f>
        <v>66604</v>
      </c>
      <c r="H4640" s="19" t="s">
        <v>32597</v>
      </c>
      <c r="I4640" s="20">
        <v>18.981999999999999</v>
      </c>
      <c r="J4640" s="44" t="s">
        <v>8</v>
      </c>
      <c r="K4640" s="23" t="s">
        <v>8</v>
      </c>
      <c r="L4640" s="23" t="s">
        <v>8</v>
      </c>
      <c r="M4640" s="23" t="s">
        <v>8</v>
      </c>
    </row>
    <row r="4641" spans="1:13" s="21" customFormat="1" x14ac:dyDescent="0.25">
      <c r="A4641" s="22" t="s">
        <v>8</v>
      </c>
      <c r="B4641" s="18" t="str">
        <f>"175157"</f>
        <v>175157</v>
      </c>
      <c r="C4641" s="19" t="s">
        <v>4581</v>
      </c>
      <c r="D4641" s="19" t="s">
        <v>20068</v>
      </c>
      <c r="E4641" s="19" t="s">
        <v>32569</v>
      </c>
      <c r="F4641" s="19" t="s">
        <v>35990</v>
      </c>
      <c r="G4641" s="18" t="str">
        <f>"67002"</f>
        <v>67002</v>
      </c>
      <c r="H4641" s="19" t="s">
        <v>30876</v>
      </c>
      <c r="I4641" s="20">
        <v>17.468</v>
      </c>
      <c r="J4641" s="44" t="s">
        <v>8</v>
      </c>
      <c r="K4641" s="23" t="s">
        <v>8</v>
      </c>
      <c r="L4641" s="23" t="s">
        <v>8</v>
      </c>
      <c r="M4641" s="23" t="s">
        <v>8</v>
      </c>
    </row>
    <row r="4642" spans="1:13" s="21" customFormat="1" x14ac:dyDescent="0.25">
      <c r="A4642" s="22" t="s">
        <v>8</v>
      </c>
      <c r="B4642" s="18" t="str">
        <f>"175158"</f>
        <v>175158</v>
      </c>
      <c r="C4642" s="19" t="s">
        <v>4582</v>
      </c>
      <c r="D4642" s="19" t="s">
        <v>20069</v>
      </c>
      <c r="E4642" s="19" t="s">
        <v>32570</v>
      </c>
      <c r="F4642" s="19" t="s">
        <v>35990</v>
      </c>
      <c r="G4642" s="18" t="str">
        <f>"66214"</f>
        <v>66214</v>
      </c>
      <c r="H4642" s="19" t="s">
        <v>36072</v>
      </c>
      <c r="I4642" s="20">
        <v>16.117000000000001</v>
      </c>
      <c r="J4642" s="44" t="s">
        <v>8</v>
      </c>
      <c r="K4642" s="23" t="s">
        <v>8</v>
      </c>
      <c r="L4642" s="23" t="s">
        <v>8</v>
      </c>
      <c r="M4642" s="23" t="s">
        <v>8</v>
      </c>
    </row>
    <row r="4643" spans="1:13" s="21" customFormat="1" x14ac:dyDescent="0.25">
      <c r="A4643" s="22" t="s">
        <v>8</v>
      </c>
      <c r="B4643" s="18" t="str">
        <f>"175159"</f>
        <v>175159</v>
      </c>
      <c r="C4643" s="19" t="s">
        <v>4583</v>
      </c>
      <c r="D4643" s="19" t="s">
        <v>20070</v>
      </c>
      <c r="E4643" s="19" t="s">
        <v>32565</v>
      </c>
      <c r="F4643" s="19" t="s">
        <v>35990</v>
      </c>
      <c r="G4643" s="18" t="str">
        <f>"66112"</f>
        <v>66112</v>
      </c>
      <c r="H4643" s="19" t="s">
        <v>36297</v>
      </c>
      <c r="I4643" s="20">
        <v>18.96</v>
      </c>
      <c r="J4643" s="44" t="s">
        <v>8</v>
      </c>
      <c r="K4643" s="23" t="s">
        <v>8</v>
      </c>
      <c r="L4643" s="23" t="s">
        <v>8</v>
      </c>
      <c r="M4643" s="23" t="s">
        <v>8</v>
      </c>
    </row>
    <row r="4644" spans="1:13" s="21" customFormat="1" x14ac:dyDescent="0.25">
      <c r="A4644" s="22" t="s">
        <v>8</v>
      </c>
      <c r="B4644" s="18" t="str">
        <f>"175162"</f>
        <v>175162</v>
      </c>
      <c r="C4644" s="19" t="s">
        <v>4584</v>
      </c>
      <c r="D4644" s="19" t="s">
        <v>20071</v>
      </c>
      <c r="E4644" s="19" t="s">
        <v>32264</v>
      </c>
      <c r="F4644" s="19" t="s">
        <v>35990</v>
      </c>
      <c r="G4644" s="18" t="str">
        <f>"66048"</f>
        <v>66048</v>
      </c>
      <c r="H4644" s="19" t="s">
        <v>32264</v>
      </c>
      <c r="I4644" s="20">
        <v>18.876999999999999</v>
      </c>
      <c r="J4644" s="44" t="s">
        <v>8</v>
      </c>
      <c r="K4644" s="23" t="s">
        <v>8</v>
      </c>
      <c r="L4644" s="23" t="s">
        <v>8</v>
      </c>
      <c r="M4644" s="23" t="s">
        <v>8</v>
      </c>
    </row>
    <row r="4645" spans="1:13" s="21" customFormat="1" x14ac:dyDescent="0.25">
      <c r="A4645" s="22" t="s">
        <v>8</v>
      </c>
      <c r="B4645" s="18" t="str">
        <f>"175163"</f>
        <v>175163</v>
      </c>
      <c r="C4645" s="19" t="s">
        <v>4585</v>
      </c>
      <c r="D4645" s="19" t="s">
        <v>20072</v>
      </c>
      <c r="E4645" s="19" t="s">
        <v>32571</v>
      </c>
      <c r="F4645" s="19" t="s">
        <v>35990</v>
      </c>
      <c r="G4645" s="18" t="str">
        <f>"67905"</f>
        <v>67905</v>
      </c>
      <c r="H4645" s="19" t="s">
        <v>33835</v>
      </c>
      <c r="I4645" s="20">
        <v>17.797000000000001</v>
      </c>
      <c r="J4645" s="44" t="s">
        <v>8</v>
      </c>
      <c r="K4645" s="23" t="s">
        <v>8</v>
      </c>
      <c r="L4645" s="23" t="s">
        <v>8</v>
      </c>
      <c r="M4645" s="23" t="s">
        <v>8</v>
      </c>
    </row>
    <row r="4646" spans="1:13" s="21" customFormat="1" x14ac:dyDescent="0.25">
      <c r="A4646" s="22" t="s">
        <v>8</v>
      </c>
      <c r="B4646" s="18" t="str">
        <f>"175165"</f>
        <v>175165</v>
      </c>
      <c r="C4646" s="19" t="s">
        <v>4586</v>
      </c>
      <c r="D4646" s="19" t="s">
        <v>20073</v>
      </c>
      <c r="E4646" s="19" t="s">
        <v>32556</v>
      </c>
      <c r="F4646" s="19" t="s">
        <v>35990</v>
      </c>
      <c r="G4646" s="18" t="str">
        <f>"66614"</f>
        <v>66614</v>
      </c>
      <c r="H4646" s="19" t="s">
        <v>32597</v>
      </c>
      <c r="I4646" s="20">
        <v>22.4</v>
      </c>
      <c r="J4646" s="44" t="s">
        <v>8</v>
      </c>
      <c r="K4646" s="23" t="s">
        <v>8</v>
      </c>
      <c r="L4646" s="23" t="s">
        <v>8</v>
      </c>
      <c r="M4646" s="23" t="s">
        <v>8</v>
      </c>
    </row>
    <row r="4647" spans="1:13" s="21" customFormat="1" x14ac:dyDescent="0.25">
      <c r="A4647" s="22" t="s">
        <v>8</v>
      </c>
      <c r="B4647" s="18" t="str">
        <f>"175168"</f>
        <v>175168</v>
      </c>
      <c r="C4647" s="19" t="s">
        <v>4587</v>
      </c>
      <c r="D4647" s="19" t="s">
        <v>20074</v>
      </c>
      <c r="E4647" s="19" t="s">
        <v>32555</v>
      </c>
      <c r="F4647" s="19" t="s">
        <v>35990</v>
      </c>
      <c r="G4647" s="18" t="str">
        <f>"67206"</f>
        <v>67206</v>
      </c>
      <c r="H4647" s="19" t="s">
        <v>32595</v>
      </c>
      <c r="I4647" s="20">
        <v>19.867999999999999</v>
      </c>
      <c r="J4647" s="44" t="s">
        <v>8</v>
      </c>
      <c r="K4647" s="23" t="s">
        <v>8</v>
      </c>
      <c r="L4647" s="23" t="s">
        <v>8</v>
      </c>
      <c r="M4647" s="23" t="s">
        <v>8</v>
      </c>
    </row>
    <row r="4648" spans="1:13" s="21" customFormat="1" x14ac:dyDescent="0.25">
      <c r="A4648" s="22" t="s">
        <v>8</v>
      </c>
      <c r="B4648" s="18" t="str">
        <f>"175169"</f>
        <v>175169</v>
      </c>
      <c r="C4648" s="19" t="s">
        <v>4588</v>
      </c>
      <c r="D4648" s="19" t="s">
        <v>20075</v>
      </c>
      <c r="E4648" s="19" t="s">
        <v>32572</v>
      </c>
      <c r="F4648" s="19" t="s">
        <v>35990</v>
      </c>
      <c r="G4648" s="18" t="str">
        <f>"67337"</f>
        <v>67337</v>
      </c>
      <c r="H4648" s="19" t="s">
        <v>30833</v>
      </c>
      <c r="I4648" s="20">
        <v>17.742999999999999</v>
      </c>
      <c r="J4648" s="44" t="s">
        <v>8</v>
      </c>
      <c r="K4648" s="23" t="s">
        <v>8</v>
      </c>
      <c r="L4648" s="23" t="s">
        <v>8</v>
      </c>
      <c r="M4648" s="23" t="s">
        <v>8</v>
      </c>
    </row>
    <row r="4649" spans="1:13" s="21" customFormat="1" x14ac:dyDescent="0.25">
      <c r="A4649" s="22" t="s">
        <v>8</v>
      </c>
      <c r="B4649" s="18" t="str">
        <f>"175171"</f>
        <v>175171</v>
      </c>
      <c r="C4649" s="19" t="s">
        <v>4589</v>
      </c>
      <c r="D4649" s="19" t="s">
        <v>20076</v>
      </c>
      <c r="E4649" s="19" t="s">
        <v>32556</v>
      </c>
      <c r="F4649" s="19" t="s">
        <v>35990</v>
      </c>
      <c r="G4649" s="18" t="str">
        <f>"66611"</f>
        <v>66611</v>
      </c>
      <c r="H4649" s="19" t="s">
        <v>32597</v>
      </c>
      <c r="I4649" s="20">
        <v>20.696999999999999</v>
      </c>
      <c r="J4649" s="44" t="s">
        <v>8</v>
      </c>
      <c r="K4649" s="23" t="s">
        <v>8</v>
      </c>
      <c r="L4649" s="23" t="s">
        <v>8</v>
      </c>
      <c r="M4649" s="23" t="s">
        <v>8</v>
      </c>
    </row>
    <row r="4650" spans="1:13" s="21" customFormat="1" x14ac:dyDescent="0.25">
      <c r="A4650" s="22" t="s">
        <v>8</v>
      </c>
      <c r="B4650" s="18" t="str">
        <f>"175172"</f>
        <v>175172</v>
      </c>
      <c r="C4650" s="19" t="s">
        <v>4590</v>
      </c>
      <c r="D4650" s="19" t="s">
        <v>20077</v>
      </c>
      <c r="E4650" s="19" t="s">
        <v>32556</v>
      </c>
      <c r="F4650" s="19" t="s">
        <v>35990</v>
      </c>
      <c r="G4650" s="18" t="str">
        <f>"66614"</f>
        <v>66614</v>
      </c>
      <c r="H4650" s="19" t="s">
        <v>32597</v>
      </c>
      <c r="I4650" s="20">
        <v>18.030999999999999</v>
      </c>
      <c r="J4650" s="44" t="s">
        <v>8</v>
      </c>
      <c r="K4650" s="23" t="s">
        <v>8</v>
      </c>
      <c r="L4650" s="23" t="s">
        <v>8</v>
      </c>
      <c r="M4650" s="23" t="s">
        <v>8</v>
      </c>
    </row>
    <row r="4651" spans="1:13" s="21" customFormat="1" x14ac:dyDescent="0.25">
      <c r="A4651" s="22" t="s">
        <v>8</v>
      </c>
      <c r="B4651" s="18" t="str">
        <f>"175173"</f>
        <v>175173</v>
      </c>
      <c r="C4651" s="19" t="s">
        <v>4591</v>
      </c>
      <c r="D4651" s="19" t="s">
        <v>20078</v>
      </c>
      <c r="E4651" s="19" t="s">
        <v>32573</v>
      </c>
      <c r="F4651" s="19" t="s">
        <v>35990</v>
      </c>
      <c r="G4651" s="18" t="str">
        <f>"66801"</f>
        <v>66801</v>
      </c>
      <c r="H4651" s="19" t="s">
        <v>36274</v>
      </c>
      <c r="I4651" s="20">
        <v>19.475000000000001</v>
      </c>
      <c r="J4651" s="44" t="s">
        <v>8</v>
      </c>
      <c r="K4651" s="23" t="s">
        <v>8</v>
      </c>
      <c r="L4651" s="23" t="s">
        <v>8</v>
      </c>
      <c r="M4651" s="23" t="s">
        <v>8</v>
      </c>
    </row>
    <row r="4652" spans="1:13" s="21" customFormat="1" x14ac:dyDescent="0.25">
      <c r="A4652" s="22" t="s">
        <v>8</v>
      </c>
      <c r="B4652" s="18" t="str">
        <f>"175174"</f>
        <v>175174</v>
      </c>
      <c r="C4652" s="19" t="s">
        <v>4592</v>
      </c>
      <c r="D4652" s="19" t="s">
        <v>20079</v>
      </c>
      <c r="E4652" s="19" t="s">
        <v>32558</v>
      </c>
      <c r="F4652" s="19" t="s">
        <v>35990</v>
      </c>
      <c r="G4652" s="18" t="str">
        <f>"66502"</f>
        <v>66502</v>
      </c>
      <c r="H4652" s="19" t="s">
        <v>36296</v>
      </c>
      <c r="I4652" s="20">
        <v>17.785</v>
      </c>
      <c r="J4652" s="44" t="s">
        <v>8</v>
      </c>
      <c r="K4652" s="23" t="s">
        <v>8</v>
      </c>
      <c r="L4652" s="23" t="s">
        <v>8</v>
      </c>
      <c r="M4652" s="23" t="s">
        <v>8</v>
      </c>
    </row>
    <row r="4653" spans="1:13" s="21" customFormat="1" x14ac:dyDescent="0.25">
      <c r="A4653" s="22" t="s">
        <v>8</v>
      </c>
      <c r="B4653" s="18" t="str">
        <f>"175175"</f>
        <v>175175</v>
      </c>
      <c r="C4653" s="19" t="s">
        <v>4593</v>
      </c>
      <c r="D4653" s="19" t="s">
        <v>20080</v>
      </c>
      <c r="E4653" s="19" t="s">
        <v>32574</v>
      </c>
      <c r="F4653" s="19" t="s">
        <v>35990</v>
      </c>
      <c r="G4653" s="18" t="str">
        <f>"67846"</f>
        <v>67846</v>
      </c>
      <c r="H4653" s="19" t="s">
        <v>36298</v>
      </c>
      <c r="I4653" s="20">
        <v>20.602</v>
      </c>
      <c r="J4653" s="44" t="s">
        <v>8</v>
      </c>
      <c r="K4653" s="23" t="s">
        <v>8</v>
      </c>
      <c r="L4653" s="23" t="s">
        <v>8</v>
      </c>
      <c r="M4653" s="23" t="s">
        <v>8</v>
      </c>
    </row>
    <row r="4654" spans="1:13" s="21" customFormat="1" x14ac:dyDescent="0.25">
      <c r="A4654" s="22" t="s">
        <v>8</v>
      </c>
      <c r="B4654" s="18" t="str">
        <f>"175176"</f>
        <v>175176</v>
      </c>
      <c r="C4654" s="19" t="s">
        <v>4594</v>
      </c>
      <c r="D4654" s="19" t="s">
        <v>20081</v>
      </c>
      <c r="E4654" s="19" t="s">
        <v>32570</v>
      </c>
      <c r="F4654" s="19" t="s">
        <v>35990</v>
      </c>
      <c r="G4654" s="18" t="str">
        <f>"66212"</f>
        <v>66212</v>
      </c>
      <c r="H4654" s="19" t="s">
        <v>36072</v>
      </c>
      <c r="I4654" s="20">
        <v>15.712999999999999</v>
      </c>
      <c r="J4654" s="44" t="s">
        <v>8</v>
      </c>
      <c r="K4654" s="23" t="s">
        <v>8</v>
      </c>
      <c r="L4654" s="23" t="s">
        <v>8</v>
      </c>
      <c r="M4654" s="23" t="s">
        <v>8</v>
      </c>
    </row>
    <row r="4655" spans="1:13" s="21" customFormat="1" x14ac:dyDescent="0.25">
      <c r="A4655" s="22" t="s">
        <v>8</v>
      </c>
      <c r="B4655" s="18" t="str">
        <f>"175180"</f>
        <v>175180</v>
      </c>
      <c r="C4655" s="19" t="s">
        <v>4595</v>
      </c>
      <c r="D4655" s="19" t="s">
        <v>20082</v>
      </c>
      <c r="E4655" s="19" t="s">
        <v>32570</v>
      </c>
      <c r="F4655" s="19" t="s">
        <v>35990</v>
      </c>
      <c r="G4655" s="18" t="str">
        <f>"66207"</f>
        <v>66207</v>
      </c>
      <c r="H4655" s="19" t="s">
        <v>36072</v>
      </c>
      <c r="I4655" s="20">
        <v>20.227</v>
      </c>
      <c r="J4655" s="44" t="s">
        <v>8</v>
      </c>
      <c r="K4655" s="23" t="s">
        <v>8</v>
      </c>
      <c r="L4655" s="23" t="s">
        <v>8</v>
      </c>
      <c r="M4655" s="23" t="s">
        <v>8</v>
      </c>
    </row>
    <row r="4656" spans="1:13" s="21" customFormat="1" x14ac:dyDescent="0.25">
      <c r="A4656" s="22" t="s">
        <v>8</v>
      </c>
      <c r="B4656" s="18" t="str">
        <f>"175181"</f>
        <v>175181</v>
      </c>
      <c r="C4656" s="19" t="s">
        <v>4596</v>
      </c>
      <c r="D4656" s="19" t="s">
        <v>20083</v>
      </c>
      <c r="E4656" s="19" t="s">
        <v>32555</v>
      </c>
      <c r="F4656" s="19" t="s">
        <v>35990</v>
      </c>
      <c r="G4656" s="18" t="str">
        <f>"67226"</f>
        <v>67226</v>
      </c>
      <c r="H4656" s="19" t="s">
        <v>32595</v>
      </c>
      <c r="I4656" s="20">
        <v>15.722</v>
      </c>
      <c r="J4656" s="44" t="s">
        <v>8</v>
      </c>
      <c r="K4656" s="23" t="s">
        <v>8</v>
      </c>
      <c r="L4656" s="23" t="s">
        <v>8</v>
      </c>
      <c r="M4656" s="23" t="s">
        <v>8</v>
      </c>
    </row>
    <row r="4657" spans="1:13" s="21" customFormat="1" x14ac:dyDescent="0.25">
      <c r="A4657" s="22" t="s">
        <v>8</v>
      </c>
      <c r="B4657" s="18" t="str">
        <f>"175182"</f>
        <v>175182</v>
      </c>
      <c r="C4657" s="19" t="s">
        <v>4597</v>
      </c>
      <c r="D4657" s="19" t="s">
        <v>20084</v>
      </c>
      <c r="E4657" s="19" t="s">
        <v>32570</v>
      </c>
      <c r="F4657" s="19" t="s">
        <v>35990</v>
      </c>
      <c r="G4657" s="18" t="str">
        <f>"66210"</f>
        <v>66210</v>
      </c>
      <c r="H4657" s="19" t="s">
        <v>36072</v>
      </c>
      <c r="I4657" s="20">
        <v>21.065000000000001</v>
      </c>
      <c r="J4657" s="44" t="s">
        <v>8</v>
      </c>
      <c r="K4657" s="23" t="s">
        <v>8</v>
      </c>
      <c r="L4657" s="23" t="s">
        <v>8</v>
      </c>
      <c r="M4657" s="23" t="s">
        <v>8</v>
      </c>
    </row>
    <row r="4658" spans="1:13" s="21" customFormat="1" x14ac:dyDescent="0.25">
      <c r="A4658" s="22" t="s">
        <v>8</v>
      </c>
      <c r="B4658" s="18" t="str">
        <f>"175183"</f>
        <v>175183</v>
      </c>
      <c r="C4658" s="19" t="s">
        <v>4598</v>
      </c>
      <c r="D4658" s="19" t="s">
        <v>20085</v>
      </c>
      <c r="E4658" s="19" t="s">
        <v>32570</v>
      </c>
      <c r="F4658" s="19" t="s">
        <v>35990</v>
      </c>
      <c r="G4658" s="18" t="str">
        <f>"66209"</f>
        <v>66209</v>
      </c>
      <c r="H4658" s="19" t="s">
        <v>36072</v>
      </c>
      <c r="I4658" s="20">
        <v>19.457999999999998</v>
      </c>
      <c r="J4658" s="44" t="s">
        <v>8</v>
      </c>
      <c r="K4658" s="23" t="s">
        <v>8</v>
      </c>
      <c r="L4658" s="23" t="s">
        <v>8</v>
      </c>
      <c r="M4658" s="23" t="s">
        <v>8</v>
      </c>
    </row>
    <row r="4659" spans="1:13" s="21" customFormat="1" x14ac:dyDescent="0.25">
      <c r="A4659" s="22" t="s">
        <v>8</v>
      </c>
      <c r="B4659" s="18" t="str">
        <f>"175184"</f>
        <v>175184</v>
      </c>
      <c r="C4659" s="19" t="s">
        <v>4599</v>
      </c>
      <c r="D4659" s="19" t="s">
        <v>20086</v>
      </c>
      <c r="E4659" s="19" t="s">
        <v>32562</v>
      </c>
      <c r="F4659" s="19" t="s">
        <v>35990</v>
      </c>
      <c r="G4659" s="18" t="str">
        <f>"67401"</f>
        <v>67401</v>
      </c>
      <c r="H4659" s="19" t="s">
        <v>33206</v>
      </c>
      <c r="I4659" s="20">
        <v>18.545999999999999</v>
      </c>
      <c r="J4659" s="44" t="s">
        <v>8</v>
      </c>
      <c r="K4659" s="23" t="s">
        <v>8</v>
      </c>
      <c r="L4659" s="23" t="s">
        <v>8</v>
      </c>
      <c r="M4659" s="23" t="s">
        <v>8</v>
      </c>
    </row>
    <row r="4660" spans="1:13" s="21" customFormat="1" x14ac:dyDescent="0.25">
      <c r="A4660" s="22" t="s">
        <v>8</v>
      </c>
      <c r="B4660" s="18" t="str">
        <f>"175185"</f>
        <v>175185</v>
      </c>
      <c r="C4660" s="19" t="s">
        <v>4600</v>
      </c>
      <c r="D4660" s="19" t="s">
        <v>20087</v>
      </c>
      <c r="E4660" s="19" t="s">
        <v>32562</v>
      </c>
      <c r="F4660" s="19" t="s">
        <v>35990</v>
      </c>
      <c r="G4660" s="18" t="str">
        <f>"67401"</f>
        <v>67401</v>
      </c>
      <c r="H4660" s="19" t="s">
        <v>33206</v>
      </c>
      <c r="I4660" s="20">
        <v>17.981000000000002</v>
      </c>
      <c r="J4660" s="44" t="s">
        <v>8</v>
      </c>
      <c r="K4660" s="23" t="s">
        <v>8</v>
      </c>
      <c r="L4660" s="23" t="s">
        <v>8</v>
      </c>
      <c r="M4660" s="23" t="s">
        <v>8</v>
      </c>
    </row>
    <row r="4661" spans="1:13" s="21" customFormat="1" x14ac:dyDescent="0.25">
      <c r="A4661" s="22" t="s">
        <v>8</v>
      </c>
      <c r="B4661" s="18" t="str">
        <f>"175187"</f>
        <v>175187</v>
      </c>
      <c r="C4661" s="19" t="s">
        <v>4601</v>
      </c>
      <c r="D4661" s="19" t="s">
        <v>20088</v>
      </c>
      <c r="E4661" s="19" t="s">
        <v>32570</v>
      </c>
      <c r="F4661" s="19" t="s">
        <v>35990</v>
      </c>
      <c r="G4661" s="18" t="str">
        <f>"66204"</f>
        <v>66204</v>
      </c>
      <c r="H4661" s="19" t="s">
        <v>36072</v>
      </c>
      <c r="I4661" s="20">
        <v>17.111000000000001</v>
      </c>
      <c r="J4661" s="44" t="s">
        <v>8</v>
      </c>
      <c r="K4661" s="23" t="s">
        <v>8</v>
      </c>
      <c r="L4661" s="23" t="s">
        <v>8</v>
      </c>
      <c r="M4661" s="23" t="s">
        <v>8</v>
      </c>
    </row>
    <row r="4662" spans="1:13" s="21" customFormat="1" x14ac:dyDescent="0.25">
      <c r="A4662" s="22" t="s">
        <v>8</v>
      </c>
      <c r="B4662" s="18" t="str">
        <f>"175189"</f>
        <v>175189</v>
      </c>
      <c r="C4662" s="19" t="s">
        <v>4602</v>
      </c>
      <c r="D4662" s="19" t="s">
        <v>20089</v>
      </c>
      <c r="E4662" s="19" t="s">
        <v>32570</v>
      </c>
      <c r="F4662" s="19" t="s">
        <v>35990</v>
      </c>
      <c r="G4662" s="18" t="str">
        <f>"66206"</f>
        <v>66206</v>
      </c>
      <c r="H4662" s="19" t="s">
        <v>36072</v>
      </c>
      <c r="I4662" s="20">
        <v>20.966999999999999</v>
      </c>
      <c r="J4662" s="44" t="s">
        <v>8</v>
      </c>
      <c r="K4662" s="23" t="s">
        <v>8</v>
      </c>
      <c r="L4662" s="23" t="s">
        <v>8</v>
      </c>
      <c r="M4662" s="23" t="s">
        <v>8</v>
      </c>
    </row>
    <row r="4663" spans="1:13" s="21" customFormat="1" x14ac:dyDescent="0.25">
      <c r="A4663" s="22" t="s">
        <v>8</v>
      </c>
      <c r="B4663" s="18" t="str">
        <f>"175191"</f>
        <v>175191</v>
      </c>
      <c r="C4663" s="19" t="s">
        <v>4603</v>
      </c>
      <c r="D4663" s="19" t="s">
        <v>20090</v>
      </c>
      <c r="E4663" s="19" t="s">
        <v>32558</v>
      </c>
      <c r="F4663" s="19" t="s">
        <v>35990</v>
      </c>
      <c r="G4663" s="18" t="str">
        <f>"66503"</f>
        <v>66503</v>
      </c>
      <c r="H4663" s="19" t="s">
        <v>36296</v>
      </c>
      <c r="I4663" s="20">
        <v>20.692</v>
      </c>
      <c r="J4663" s="44" t="s">
        <v>8</v>
      </c>
      <c r="K4663" s="23" t="s">
        <v>8</v>
      </c>
      <c r="L4663" s="23" t="s">
        <v>8</v>
      </c>
      <c r="M4663" s="23" t="s">
        <v>8</v>
      </c>
    </row>
    <row r="4664" spans="1:13" s="21" customFormat="1" x14ac:dyDescent="0.25">
      <c r="A4664" s="22" t="s">
        <v>8</v>
      </c>
      <c r="B4664" s="18" t="str">
        <f>"175200"</f>
        <v>175200</v>
      </c>
      <c r="C4664" s="19" t="s">
        <v>4604</v>
      </c>
      <c r="D4664" s="19" t="s">
        <v>20091</v>
      </c>
      <c r="E4664" s="19" t="s">
        <v>32562</v>
      </c>
      <c r="F4664" s="19" t="s">
        <v>35990</v>
      </c>
      <c r="G4664" s="18" t="str">
        <f>"67401"</f>
        <v>67401</v>
      </c>
      <c r="H4664" s="19" t="s">
        <v>33206</v>
      </c>
      <c r="I4664" s="20">
        <v>17.2</v>
      </c>
      <c r="J4664" s="44" t="s">
        <v>8</v>
      </c>
      <c r="K4664" s="23" t="s">
        <v>8</v>
      </c>
      <c r="L4664" s="23" t="s">
        <v>8</v>
      </c>
      <c r="M4664" s="23" t="s">
        <v>8</v>
      </c>
    </row>
    <row r="4665" spans="1:13" s="21" customFormat="1" x14ac:dyDescent="0.25">
      <c r="A4665" s="22" t="s">
        <v>8</v>
      </c>
      <c r="B4665" s="18" t="str">
        <f>"175201"</f>
        <v>175201</v>
      </c>
      <c r="C4665" s="19" t="s">
        <v>4605</v>
      </c>
      <c r="D4665" s="19" t="s">
        <v>20092</v>
      </c>
      <c r="E4665" s="19" t="s">
        <v>32575</v>
      </c>
      <c r="F4665" s="19" t="s">
        <v>35990</v>
      </c>
      <c r="G4665" s="18" t="str">
        <f>"67437"</f>
        <v>67437</v>
      </c>
      <c r="H4665" s="19" t="s">
        <v>32637</v>
      </c>
      <c r="I4665" s="20">
        <v>20.317</v>
      </c>
      <c r="J4665" s="44" t="s">
        <v>8</v>
      </c>
      <c r="K4665" s="23" t="s">
        <v>8</v>
      </c>
      <c r="L4665" s="23" t="s">
        <v>8</v>
      </c>
      <c r="M4665" s="23" t="s">
        <v>8</v>
      </c>
    </row>
    <row r="4666" spans="1:13" s="21" customFormat="1" x14ac:dyDescent="0.25">
      <c r="A4666" s="22" t="s">
        <v>8</v>
      </c>
      <c r="B4666" s="18" t="str">
        <f>"175202"</f>
        <v>175202</v>
      </c>
      <c r="C4666" s="19" t="s">
        <v>4606</v>
      </c>
      <c r="D4666" s="19" t="s">
        <v>20093</v>
      </c>
      <c r="E4666" s="19" t="s">
        <v>32576</v>
      </c>
      <c r="F4666" s="19" t="s">
        <v>35990</v>
      </c>
      <c r="G4666" s="18" t="str">
        <f>"67701"</f>
        <v>67701</v>
      </c>
      <c r="H4666" s="19" t="s">
        <v>35510</v>
      </c>
      <c r="I4666" s="20">
        <v>21.271999999999998</v>
      </c>
      <c r="J4666" s="44" t="s">
        <v>8</v>
      </c>
      <c r="K4666" s="23" t="s">
        <v>8</v>
      </c>
      <c r="L4666" s="23" t="s">
        <v>8</v>
      </c>
      <c r="M4666" s="23" t="s">
        <v>8</v>
      </c>
    </row>
    <row r="4667" spans="1:13" s="21" customFormat="1" x14ac:dyDescent="0.25">
      <c r="A4667" s="22" t="s">
        <v>8</v>
      </c>
      <c r="B4667" s="18" t="str">
        <f>"175205"</f>
        <v>175205</v>
      </c>
      <c r="C4667" s="19" t="s">
        <v>4607</v>
      </c>
      <c r="D4667" s="19" t="s">
        <v>20094</v>
      </c>
      <c r="E4667" s="19" t="s">
        <v>32577</v>
      </c>
      <c r="F4667" s="19" t="s">
        <v>35990</v>
      </c>
      <c r="G4667" s="18" t="str">
        <f>"67490"</f>
        <v>67490</v>
      </c>
      <c r="H4667" s="19" t="s">
        <v>32587</v>
      </c>
      <c r="I4667" s="20">
        <v>17.567</v>
      </c>
      <c r="J4667" s="44" t="s">
        <v>8</v>
      </c>
      <c r="K4667" s="23" t="s">
        <v>8</v>
      </c>
      <c r="L4667" s="23" t="s">
        <v>8</v>
      </c>
      <c r="M4667" s="23" t="s">
        <v>8</v>
      </c>
    </row>
    <row r="4668" spans="1:13" s="21" customFormat="1" x14ac:dyDescent="0.25">
      <c r="A4668" s="22" t="s">
        <v>8</v>
      </c>
      <c r="B4668" s="18" t="str">
        <f>"175207"</f>
        <v>175207</v>
      </c>
      <c r="C4668" s="19" t="s">
        <v>4608</v>
      </c>
      <c r="D4668" s="19" t="s">
        <v>20095</v>
      </c>
      <c r="E4668" s="19" t="s">
        <v>32554</v>
      </c>
      <c r="F4668" s="19" t="s">
        <v>35990</v>
      </c>
      <c r="G4668" s="18" t="str">
        <f>"67801"</f>
        <v>67801</v>
      </c>
      <c r="H4668" s="19" t="s">
        <v>36241</v>
      </c>
      <c r="I4668" s="20">
        <v>17.638000000000002</v>
      </c>
      <c r="J4668" s="44" t="s">
        <v>8</v>
      </c>
      <c r="K4668" s="23" t="s">
        <v>8</v>
      </c>
      <c r="L4668" s="23" t="s">
        <v>8</v>
      </c>
      <c r="M4668" s="23" t="s">
        <v>8</v>
      </c>
    </row>
    <row r="4669" spans="1:13" s="21" customFormat="1" x14ac:dyDescent="0.25">
      <c r="A4669" s="22" t="s">
        <v>8</v>
      </c>
      <c r="B4669" s="18" t="str">
        <f>"175208"</f>
        <v>175208</v>
      </c>
      <c r="C4669" s="19" t="s">
        <v>4609</v>
      </c>
      <c r="D4669" s="19" t="s">
        <v>20096</v>
      </c>
      <c r="E4669" s="19" t="s">
        <v>31245</v>
      </c>
      <c r="F4669" s="19" t="s">
        <v>35990</v>
      </c>
      <c r="G4669" s="18" t="str">
        <f>"66762"</f>
        <v>66762</v>
      </c>
      <c r="H4669" s="19" t="s">
        <v>31759</v>
      </c>
      <c r="I4669" s="20">
        <v>18.352</v>
      </c>
      <c r="J4669" s="44" t="s">
        <v>8</v>
      </c>
      <c r="K4669" s="23" t="s">
        <v>8</v>
      </c>
      <c r="L4669" s="23" t="s">
        <v>8</v>
      </c>
      <c r="M4669" s="23" t="s">
        <v>8</v>
      </c>
    </row>
    <row r="4670" spans="1:13" s="21" customFormat="1" x14ac:dyDescent="0.25">
      <c r="A4670" s="22" t="s">
        <v>8</v>
      </c>
      <c r="B4670" s="18" t="str">
        <f>"175210"</f>
        <v>175210</v>
      </c>
      <c r="C4670" s="19" t="s">
        <v>4610</v>
      </c>
      <c r="D4670" s="19" t="s">
        <v>20097</v>
      </c>
      <c r="E4670" s="19" t="s">
        <v>32578</v>
      </c>
      <c r="F4670" s="19" t="s">
        <v>35990</v>
      </c>
      <c r="G4670" s="18" t="str">
        <f>"67357"</f>
        <v>67357</v>
      </c>
      <c r="H4670" s="19" t="s">
        <v>36299</v>
      </c>
      <c r="I4670" s="20">
        <v>19.611999999999998</v>
      </c>
      <c r="J4670" s="44" t="s">
        <v>8</v>
      </c>
      <c r="K4670" s="23" t="s">
        <v>8</v>
      </c>
      <c r="L4670" s="23" t="s">
        <v>8</v>
      </c>
      <c r="M4670" s="23" t="s">
        <v>8</v>
      </c>
    </row>
    <row r="4671" spans="1:13" s="21" customFormat="1" x14ac:dyDescent="0.25">
      <c r="A4671" s="22" t="s">
        <v>8</v>
      </c>
      <c r="B4671" s="18" t="str">
        <f>"175213"</f>
        <v>175213</v>
      </c>
      <c r="C4671" s="19" t="s">
        <v>4611</v>
      </c>
      <c r="D4671" s="19" t="s">
        <v>20098</v>
      </c>
      <c r="E4671" s="19" t="s">
        <v>31382</v>
      </c>
      <c r="F4671" s="19" t="s">
        <v>35990</v>
      </c>
      <c r="G4671" s="18" t="str">
        <f>"66062"</f>
        <v>66062</v>
      </c>
      <c r="H4671" s="19" t="s">
        <v>36072</v>
      </c>
      <c r="I4671" s="20">
        <v>18.152000000000001</v>
      </c>
      <c r="J4671" s="44" t="s">
        <v>8</v>
      </c>
      <c r="K4671" s="23" t="s">
        <v>8</v>
      </c>
      <c r="L4671" s="23" t="s">
        <v>8</v>
      </c>
      <c r="M4671" s="23" t="s">
        <v>8</v>
      </c>
    </row>
    <row r="4672" spans="1:13" s="21" customFormat="1" x14ac:dyDescent="0.25">
      <c r="A4672" s="22" t="s">
        <v>8</v>
      </c>
      <c r="B4672" s="18" t="str">
        <f>"175214"</f>
        <v>175214</v>
      </c>
      <c r="C4672" s="19" t="s">
        <v>4612</v>
      </c>
      <c r="D4672" s="19" t="s">
        <v>20099</v>
      </c>
      <c r="E4672" s="19" t="s">
        <v>32579</v>
      </c>
      <c r="F4672" s="19" t="s">
        <v>35990</v>
      </c>
      <c r="G4672" s="18" t="str">
        <f>"66720"</f>
        <v>66720</v>
      </c>
      <c r="H4672" s="19" t="s">
        <v>33615</v>
      </c>
      <c r="I4672" s="20">
        <v>25.09</v>
      </c>
      <c r="J4672" s="44" t="s">
        <v>8</v>
      </c>
      <c r="K4672" s="23" t="s">
        <v>8</v>
      </c>
      <c r="L4672" s="23" t="s">
        <v>8</v>
      </c>
      <c r="M4672" s="23" t="s">
        <v>8</v>
      </c>
    </row>
    <row r="4673" spans="1:13" s="21" customFormat="1" x14ac:dyDescent="0.25">
      <c r="A4673" s="22" t="s">
        <v>8</v>
      </c>
      <c r="B4673" s="18" t="str">
        <f>"175215"</f>
        <v>175215</v>
      </c>
      <c r="C4673" s="19" t="s">
        <v>4613</v>
      </c>
      <c r="D4673" s="19" t="s">
        <v>20100</v>
      </c>
      <c r="E4673" s="19" t="s">
        <v>32580</v>
      </c>
      <c r="F4673" s="19" t="s">
        <v>35990</v>
      </c>
      <c r="G4673" s="18" t="str">
        <f>"66086"</f>
        <v>66086</v>
      </c>
      <c r="H4673" s="19" t="s">
        <v>32264</v>
      </c>
      <c r="I4673" s="20">
        <v>19.404</v>
      </c>
      <c r="J4673" s="44" t="s">
        <v>8</v>
      </c>
      <c r="K4673" s="23" t="s">
        <v>8</v>
      </c>
      <c r="L4673" s="23" t="s">
        <v>8</v>
      </c>
      <c r="M4673" s="23" t="s">
        <v>8</v>
      </c>
    </row>
    <row r="4674" spans="1:13" s="21" customFormat="1" x14ac:dyDescent="0.25">
      <c r="A4674" s="22" t="s">
        <v>8</v>
      </c>
      <c r="B4674" s="18" t="str">
        <f>"175216"</f>
        <v>175216</v>
      </c>
      <c r="C4674" s="19" t="s">
        <v>4614</v>
      </c>
      <c r="D4674" s="19" t="s">
        <v>20101</v>
      </c>
      <c r="E4674" s="19" t="s">
        <v>32581</v>
      </c>
      <c r="F4674" s="19" t="s">
        <v>35990</v>
      </c>
      <c r="G4674" s="18" t="str">
        <f>"66090"</f>
        <v>66090</v>
      </c>
      <c r="H4674" s="19" t="s">
        <v>33665</v>
      </c>
      <c r="I4674" s="20">
        <v>18.204000000000001</v>
      </c>
      <c r="J4674" s="44" t="s">
        <v>8</v>
      </c>
      <c r="K4674" s="23" t="s">
        <v>8</v>
      </c>
      <c r="L4674" s="23" t="s">
        <v>8</v>
      </c>
      <c r="M4674" s="23" t="s">
        <v>8</v>
      </c>
    </row>
    <row r="4675" spans="1:13" s="21" customFormat="1" x14ac:dyDescent="0.25">
      <c r="A4675" s="22" t="s">
        <v>8</v>
      </c>
      <c r="B4675" s="18" t="str">
        <f>"175218"</f>
        <v>175218</v>
      </c>
      <c r="C4675" s="19" t="s">
        <v>4615</v>
      </c>
      <c r="D4675" s="19" t="s">
        <v>20102</v>
      </c>
      <c r="E4675" s="19" t="s">
        <v>31402</v>
      </c>
      <c r="F4675" s="19" t="s">
        <v>35990</v>
      </c>
      <c r="G4675" s="18" t="str">
        <f>"67037"</f>
        <v>67037</v>
      </c>
      <c r="H4675" s="19" t="s">
        <v>32595</v>
      </c>
      <c r="I4675" s="20">
        <v>19.018999999999998</v>
      </c>
      <c r="J4675" s="44" t="s">
        <v>8</v>
      </c>
      <c r="K4675" s="23" t="s">
        <v>8</v>
      </c>
      <c r="L4675" s="23" t="s">
        <v>8</v>
      </c>
      <c r="M4675" s="23" t="s">
        <v>8</v>
      </c>
    </row>
    <row r="4676" spans="1:13" s="21" customFormat="1" x14ac:dyDescent="0.25">
      <c r="A4676" s="22" t="s">
        <v>8</v>
      </c>
      <c r="B4676" s="18" t="str">
        <f>"175219"</f>
        <v>175219</v>
      </c>
      <c r="C4676" s="19" t="s">
        <v>4616</v>
      </c>
      <c r="D4676" s="19" t="s">
        <v>20103</v>
      </c>
      <c r="E4676" s="19" t="s">
        <v>32030</v>
      </c>
      <c r="F4676" s="19" t="s">
        <v>35990</v>
      </c>
      <c r="G4676" s="18" t="str">
        <f>"66111"</f>
        <v>66111</v>
      </c>
      <c r="H4676" s="19" t="s">
        <v>36297</v>
      </c>
      <c r="I4676" s="20">
        <v>18.908999999999999</v>
      </c>
      <c r="J4676" s="44" t="s">
        <v>8</v>
      </c>
      <c r="K4676" s="23" t="s">
        <v>8</v>
      </c>
      <c r="L4676" s="23" t="s">
        <v>8</v>
      </c>
      <c r="M4676" s="23" t="s">
        <v>8</v>
      </c>
    </row>
    <row r="4677" spans="1:13" s="21" customFormat="1" x14ac:dyDescent="0.25">
      <c r="A4677" s="22" t="s">
        <v>8</v>
      </c>
      <c r="B4677" s="18" t="str">
        <f>"175220"</f>
        <v>175220</v>
      </c>
      <c r="C4677" s="19" t="s">
        <v>4617</v>
      </c>
      <c r="D4677" s="19" t="s">
        <v>20104</v>
      </c>
      <c r="E4677" s="19" t="s">
        <v>32582</v>
      </c>
      <c r="F4677" s="19" t="s">
        <v>35990</v>
      </c>
      <c r="G4677" s="18" t="str">
        <f>"66521"</f>
        <v>66521</v>
      </c>
      <c r="H4677" s="19" t="s">
        <v>36300</v>
      </c>
      <c r="I4677" s="20">
        <v>18.893999999999998</v>
      </c>
      <c r="J4677" s="44" t="s">
        <v>8</v>
      </c>
      <c r="K4677" s="23" t="s">
        <v>8</v>
      </c>
      <c r="L4677" s="23" t="s">
        <v>8</v>
      </c>
      <c r="M4677" s="23" t="s">
        <v>8</v>
      </c>
    </row>
    <row r="4678" spans="1:13" s="21" customFormat="1" x14ac:dyDescent="0.25">
      <c r="A4678" s="22" t="s">
        <v>8</v>
      </c>
      <c r="B4678" s="18" t="str">
        <f>"175221"</f>
        <v>175221</v>
      </c>
      <c r="C4678" s="19" t="s">
        <v>4618</v>
      </c>
      <c r="D4678" s="19" t="s">
        <v>20105</v>
      </c>
      <c r="E4678" s="19" t="s">
        <v>32583</v>
      </c>
      <c r="F4678" s="19" t="s">
        <v>35990</v>
      </c>
      <c r="G4678" s="18" t="str">
        <f>"67133"</f>
        <v>67133</v>
      </c>
      <c r="H4678" s="19" t="s">
        <v>30876</v>
      </c>
      <c r="I4678" s="20">
        <v>17.692</v>
      </c>
      <c r="J4678" s="44" t="s">
        <v>8</v>
      </c>
      <c r="K4678" s="23" t="s">
        <v>8</v>
      </c>
      <c r="L4678" s="23" t="s">
        <v>8</v>
      </c>
      <c r="M4678" s="23" t="s">
        <v>8</v>
      </c>
    </row>
    <row r="4679" spans="1:13" s="21" customFormat="1" x14ac:dyDescent="0.25">
      <c r="A4679" s="22" t="s">
        <v>8</v>
      </c>
      <c r="B4679" s="18" t="str">
        <f>"175223"</f>
        <v>175223</v>
      </c>
      <c r="C4679" s="19" t="s">
        <v>4619</v>
      </c>
      <c r="D4679" s="19" t="s">
        <v>20106</v>
      </c>
      <c r="E4679" s="19" t="s">
        <v>32584</v>
      </c>
      <c r="F4679" s="19" t="s">
        <v>35990</v>
      </c>
      <c r="G4679" s="18" t="str">
        <f>"66845"</f>
        <v>66845</v>
      </c>
      <c r="H4679" s="19" t="s">
        <v>36301</v>
      </c>
      <c r="I4679" s="20">
        <v>19.113</v>
      </c>
      <c r="J4679" s="44" t="s">
        <v>8</v>
      </c>
      <c r="K4679" s="23" t="s">
        <v>8</v>
      </c>
      <c r="L4679" s="23" t="s">
        <v>8</v>
      </c>
      <c r="M4679" s="23" t="s">
        <v>8</v>
      </c>
    </row>
    <row r="4680" spans="1:13" s="21" customFormat="1" x14ac:dyDescent="0.25">
      <c r="A4680" s="22" t="s">
        <v>8</v>
      </c>
      <c r="B4680" s="18" t="str">
        <f>"175224"</f>
        <v>175224</v>
      </c>
      <c r="C4680" s="19" t="s">
        <v>4620</v>
      </c>
      <c r="D4680" s="19" t="s">
        <v>20107</v>
      </c>
      <c r="E4680" s="19" t="s">
        <v>32585</v>
      </c>
      <c r="F4680" s="19" t="s">
        <v>35990</v>
      </c>
      <c r="G4680" s="18" t="str">
        <f>"66755"</f>
        <v>66755</v>
      </c>
      <c r="H4680" s="19" t="s">
        <v>34710</v>
      </c>
      <c r="I4680" s="20">
        <v>18.068999999999999</v>
      </c>
      <c r="J4680" s="44" t="s">
        <v>8</v>
      </c>
      <c r="K4680" s="23" t="s">
        <v>8</v>
      </c>
      <c r="L4680" s="23" t="s">
        <v>8</v>
      </c>
      <c r="M4680" s="23" t="s">
        <v>8</v>
      </c>
    </row>
    <row r="4681" spans="1:13" s="21" customFormat="1" x14ac:dyDescent="0.25">
      <c r="A4681" s="22" t="s">
        <v>8</v>
      </c>
      <c r="B4681" s="18" t="str">
        <f>"175226"</f>
        <v>175226</v>
      </c>
      <c r="C4681" s="19" t="s">
        <v>4621</v>
      </c>
      <c r="D4681" s="19" t="s">
        <v>20108</v>
      </c>
      <c r="E4681" s="19" t="s">
        <v>32586</v>
      </c>
      <c r="F4681" s="19" t="s">
        <v>35990</v>
      </c>
      <c r="G4681" s="18" t="str">
        <f>"66749"</f>
        <v>66749</v>
      </c>
      <c r="H4681" s="19" t="s">
        <v>34710</v>
      </c>
      <c r="I4681" s="20">
        <v>17.440999999999999</v>
      </c>
      <c r="J4681" s="44" t="s">
        <v>8</v>
      </c>
      <c r="K4681" s="23" t="s">
        <v>8</v>
      </c>
      <c r="L4681" s="23" t="s">
        <v>8</v>
      </c>
      <c r="M4681" s="23" t="s">
        <v>8</v>
      </c>
    </row>
    <row r="4682" spans="1:13" s="21" customFormat="1" x14ac:dyDescent="0.25">
      <c r="A4682" s="22" t="s">
        <v>8</v>
      </c>
      <c r="B4682" s="18" t="str">
        <f>"175228"</f>
        <v>175228</v>
      </c>
      <c r="C4682" s="19" t="s">
        <v>4622</v>
      </c>
      <c r="D4682" s="19" t="s">
        <v>20109</v>
      </c>
      <c r="E4682" s="19" t="s">
        <v>32113</v>
      </c>
      <c r="F4682" s="19" t="s">
        <v>35990</v>
      </c>
      <c r="G4682" s="18" t="str">
        <f>"66043"</f>
        <v>66043</v>
      </c>
      <c r="H4682" s="19" t="s">
        <v>32264</v>
      </c>
      <c r="I4682" s="20">
        <v>19.219000000000001</v>
      </c>
      <c r="J4682" s="44" t="s">
        <v>8</v>
      </c>
      <c r="K4682" s="23" t="s">
        <v>8</v>
      </c>
      <c r="L4682" s="23" t="s">
        <v>8</v>
      </c>
      <c r="M4682" s="23" t="s">
        <v>8</v>
      </c>
    </row>
    <row r="4683" spans="1:13" s="21" customFormat="1" x14ac:dyDescent="0.25">
      <c r="A4683" s="22" t="s">
        <v>8</v>
      </c>
      <c r="B4683" s="18" t="str">
        <f>"175229"</f>
        <v>175229</v>
      </c>
      <c r="C4683" s="19" t="s">
        <v>4623</v>
      </c>
      <c r="D4683" s="19" t="s">
        <v>20110</v>
      </c>
      <c r="E4683" s="19" t="s">
        <v>32030</v>
      </c>
      <c r="F4683" s="19" t="s">
        <v>35990</v>
      </c>
      <c r="G4683" s="18" t="str">
        <f>"66111"</f>
        <v>66111</v>
      </c>
      <c r="H4683" s="19" t="s">
        <v>36297</v>
      </c>
      <c r="I4683" s="20">
        <v>17.111999999999998</v>
      </c>
      <c r="J4683" s="44" t="s">
        <v>8</v>
      </c>
      <c r="K4683" s="23" t="s">
        <v>8</v>
      </c>
      <c r="L4683" s="23" t="s">
        <v>8</v>
      </c>
      <c r="M4683" s="23" t="s">
        <v>8</v>
      </c>
    </row>
    <row r="4684" spans="1:13" s="21" customFormat="1" x14ac:dyDescent="0.25">
      <c r="A4684" s="22" t="s">
        <v>8</v>
      </c>
      <c r="B4684" s="18" t="str">
        <f>"175231"</f>
        <v>175231</v>
      </c>
      <c r="C4684" s="19" t="s">
        <v>4624</v>
      </c>
      <c r="D4684" s="19" t="s">
        <v>20111</v>
      </c>
      <c r="E4684" s="19" t="s">
        <v>32587</v>
      </c>
      <c r="F4684" s="19" t="s">
        <v>35990</v>
      </c>
      <c r="G4684" s="18" t="str">
        <f>"67439"</f>
        <v>67439</v>
      </c>
      <c r="H4684" s="19" t="s">
        <v>32587</v>
      </c>
      <c r="I4684" s="20">
        <v>18.745000000000001</v>
      </c>
      <c r="J4684" s="44" t="s">
        <v>8</v>
      </c>
      <c r="K4684" s="23" t="s">
        <v>8</v>
      </c>
      <c r="L4684" s="23" t="s">
        <v>8</v>
      </c>
      <c r="M4684" s="23" t="s">
        <v>8</v>
      </c>
    </row>
    <row r="4685" spans="1:13" s="21" customFormat="1" x14ac:dyDescent="0.25">
      <c r="A4685" s="22" t="s">
        <v>8</v>
      </c>
      <c r="B4685" s="18" t="str">
        <f>"175232"</f>
        <v>175232</v>
      </c>
      <c r="C4685" s="19" t="s">
        <v>4625</v>
      </c>
      <c r="D4685" s="19" t="s">
        <v>20112</v>
      </c>
      <c r="E4685" s="19" t="s">
        <v>32588</v>
      </c>
      <c r="F4685" s="19" t="s">
        <v>35990</v>
      </c>
      <c r="G4685" s="18" t="str">
        <f>"67361"</f>
        <v>67361</v>
      </c>
      <c r="H4685" s="19" t="s">
        <v>36302</v>
      </c>
      <c r="I4685" s="20">
        <v>17.09</v>
      </c>
      <c r="J4685" s="44" t="s">
        <v>8</v>
      </c>
      <c r="K4685" s="23" t="s">
        <v>8</v>
      </c>
      <c r="L4685" s="23" t="s">
        <v>8</v>
      </c>
      <c r="M4685" s="23" t="s">
        <v>8</v>
      </c>
    </row>
    <row r="4686" spans="1:13" s="21" customFormat="1" x14ac:dyDescent="0.25">
      <c r="A4686" s="22" t="s">
        <v>8</v>
      </c>
      <c r="B4686" s="18" t="str">
        <f>"175233"</f>
        <v>175233</v>
      </c>
      <c r="C4686" s="19" t="s">
        <v>4626</v>
      </c>
      <c r="D4686" s="19" t="s">
        <v>20113</v>
      </c>
      <c r="E4686" s="19" t="s">
        <v>32190</v>
      </c>
      <c r="F4686" s="19" t="s">
        <v>35990</v>
      </c>
      <c r="G4686" s="18" t="str">
        <f>"66739"</f>
        <v>66739</v>
      </c>
      <c r="H4686" s="19" t="s">
        <v>32436</v>
      </c>
      <c r="I4686" s="20">
        <v>17.666</v>
      </c>
      <c r="J4686" s="44" t="s">
        <v>8</v>
      </c>
      <c r="K4686" s="23" t="s">
        <v>8</v>
      </c>
      <c r="L4686" s="23" t="s">
        <v>8</v>
      </c>
      <c r="M4686" s="23" t="s">
        <v>8</v>
      </c>
    </row>
    <row r="4687" spans="1:13" s="21" customFormat="1" x14ac:dyDescent="0.25">
      <c r="A4687" s="22" t="s">
        <v>8</v>
      </c>
      <c r="B4687" s="18" t="str">
        <f>"175235"</f>
        <v>175235</v>
      </c>
      <c r="C4687" s="19" t="s">
        <v>4627</v>
      </c>
      <c r="D4687" s="19" t="s">
        <v>20114</v>
      </c>
      <c r="E4687" s="19" t="s">
        <v>32589</v>
      </c>
      <c r="F4687" s="19" t="s">
        <v>35990</v>
      </c>
      <c r="G4687" s="18" t="str">
        <f>"67550"</f>
        <v>67550</v>
      </c>
      <c r="H4687" s="19" t="s">
        <v>34701</v>
      </c>
      <c r="I4687" s="20">
        <v>17.974</v>
      </c>
      <c r="J4687" s="44" t="s">
        <v>8</v>
      </c>
      <c r="K4687" s="23" t="s">
        <v>8</v>
      </c>
      <c r="L4687" s="23" t="s">
        <v>8</v>
      </c>
      <c r="M4687" s="23" t="s">
        <v>8</v>
      </c>
    </row>
    <row r="4688" spans="1:13" s="21" customFormat="1" x14ac:dyDescent="0.25">
      <c r="A4688" s="22" t="s">
        <v>8</v>
      </c>
      <c r="B4688" s="18" t="str">
        <f>"175236"</f>
        <v>175236</v>
      </c>
      <c r="C4688" s="19" t="s">
        <v>4628</v>
      </c>
      <c r="D4688" s="19" t="s">
        <v>20115</v>
      </c>
      <c r="E4688" s="19" t="s">
        <v>32559</v>
      </c>
      <c r="F4688" s="19" t="s">
        <v>35990</v>
      </c>
      <c r="G4688" s="18" t="str">
        <f>"67502"</f>
        <v>67502</v>
      </c>
      <c r="H4688" s="19" t="s">
        <v>33839</v>
      </c>
      <c r="I4688" s="20">
        <v>20.375</v>
      </c>
      <c r="J4688" s="44" t="s">
        <v>8</v>
      </c>
      <c r="K4688" s="23" t="s">
        <v>8</v>
      </c>
      <c r="L4688" s="23" t="s">
        <v>8</v>
      </c>
      <c r="M4688" s="23" t="s">
        <v>8</v>
      </c>
    </row>
    <row r="4689" spans="1:13" s="21" customFormat="1" x14ac:dyDescent="0.25">
      <c r="A4689" s="22" t="s">
        <v>8</v>
      </c>
      <c r="B4689" s="18" t="str">
        <f>"175237"</f>
        <v>175237</v>
      </c>
      <c r="C4689" s="19" t="s">
        <v>4629</v>
      </c>
      <c r="D4689" s="19" t="s">
        <v>20116</v>
      </c>
      <c r="E4689" s="19" t="s">
        <v>32572</v>
      </c>
      <c r="F4689" s="19" t="s">
        <v>35990</v>
      </c>
      <c r="G4689" s="18" t="str">
        <f>"67337"</f>
        <v>67337</v>
      </c>
      <c r="H4689" s="19" t="s">
        <v>30833</v>
      </c>
      <c r="I4689" s="20">
        <v>19.71</v>
      </c>
      <c r="J4689" s="44" t="s">
        <v>8</v>
      </c>
      <c r="K4689" s="23" t="s">
        <v>8</v>
      </c>
      <c r="L4689" s="23" t="s">
        <v>8</v>
      </c>
      <c r="M4689" s="23" t="s">
        <v>8</v>
      </c>
    </row>
    <row r="4690" spans="1:13" s="21" customFormat="1" x14ac:dyDescent="0.25">
      <c r="A4690" s="22" t="s">
        <v>8</v>
      </c>
      <c r="B4690" s="18" t="str">
        <f>"175238"</f>
        <v>175238</v>
      </c>
      <c r="C4690" s="19" t="s">
        <v>4630</v>
      </c>
      <c r="D4690" s="19" t="s">
        <v>20117</v>
      </c>
      <c r="E4690" s="19" t="s">
        <v>32590</v>
      </c>
      <c r="F4690" s="19" t="s">
        <v>35990</v>
      </c>
      <c r="G4690" s="18" t="str">
        <f>"66053"</f>
        <v>66053</v>
      </c>
      <c r="H4690" s="19" t="s">
        <v>31507</v>
      </c>
      <c r="I4690" s="20">
        <v>24.736000000000001</v>
      </c>
      <c r="J4690" s="44" t="s">
        <v>8</v>
      </c>
      <c r="K4690" s="23" t="s">
        <v>8</v>
      </c>
      <c r="L4690" s="23" t="s">
        <v>8</v>
      </c>
      <c r="M4690" s="23" t="s">
        <v>8</v>
      </c>
    </row>
    <row r="4691" spans="1:13" s="21" customFormat="1" x14ac:dyDescent="0.25">
      <c r="A4691" s="22" t="s">
        <v>8</v>
      </c>
      <c r="B4691" s="18" t="str">
        <f>"175239"</f>
        <v>175239</v>
      </c>
      <c r="C4691" s="19" t="s">
        <v>4631</v>
      </c>
      <c r="D4691" s="19" t="s">
        <v>20118</v>
      </c>
      <c r="E4691" s="19" t="s">
        <v>32591</v>
      </c>
      <c r="F4691" s="19" t="s">
        <v>35990</v>
      </c>
      <c r="G4691" s="18" t="str">
        <f>"66846"</f>
        <v>66846</v>
      </c>
      <c r="H4691" s="19" t="s">
        <v>32051</v>
      </c>
      <c r="I4691" s="20">
        <v>17.744</v>
      </c>
      <c r="J4691" s="44" t="s">
        <v>8</v>
      </c>
      <c r="K4691" s="23" t="s">
        <v>8</v>
      </c>
      <c r="L4691" s="23" t="s">
        <v>8</v>
      </c>
      <c r="M4691" s="23" t="s">
        <v>8</v>
      </c>
    </row>
    <row r="4692" spans="1:13" s="21" customFormat="1" x14ac:dyDescent="0.25">
      <c r="A4692" s="22" t="s">
        <v>8</v>
      </c>
      <c r="B4692" s="18" t="str">
        <f>"175240"</f>
        <v>175240</v>
      </c>
      <c r="C4692" s="19" t="s">
        <v>4632</v>
      </c>
      <c r="D4692" s="19" t="s">
        <v>20119</v>
      </c>
      <c r="E4692" s="19" t="s">
        <v>32570</v>
      </c>
      <c r="F4692" s="19" t="s">
        <v>35990</v>
      </c>
      <c r="G4692" s="18" t="str">
        <f>"66212"</f>
        <v>66212</v>
      </c>
      <c r="H4692" s="19" t="s">
        <v>36072</v>
      </c>
      <c r="I4692" s="20">
        <v>19.222999999999999</v>
      </c>
      <c r="J4692" s="44" t="s">
        <v>8</v>
      </c>
      <c r="K4692" s="23" t="s">
        <v>8</v>
      </c>
      <c r="L4692" s="23" t="s">
        <v>8</v>
      </c>
      <c r="M4692" s="23" t="s">
        <v>8</v>
      </c>
    </row>
    <row r="4693" spans="1:13" s="21" customFormat="1" x14ac:dyDescent="0.25">
      <c r="A4693" s="22" t="s">
        <v>8</v>
      </c>
      <c r="B4693" s="18" t="str">
        <f>"175241"</f>
        <v>175241</v>
      </c>
      <c r="C4693" s="19" t="s">
        <v>4633</v>
      </c>
      <c r="D4693" s="19" t="s">
        <v>20120</v>
      </c>
      <c r="E4693" s="19" t="s">
        <v>32592</v>
      </c>
      <c r="F4693" s="19" t="s">
        <v>35990</v>
      </c>
      <c r="G4693" s="18" t="str">
        <f>"66534"</f>
        <v>66534</v>
      </c>
      <c r="H4693" s="19" t="s">
        <v>36303</v>
      </c>
      <c r="I4693" s="20">
        <v>18.372</v>
      </c>
      <c r="J4693" s="44" t="s">
        <v>8</v>
      </c>
      <c r="K4693" s="23" t="s">
        <v>8</v>
      </c>
      <c r="L4693" s="23" t="s">
        <v>8</v>
      </c>
      <c r="M4693" s="23" t="s">
        <v>8</v>
      </c>
    </row>
    <row r="4694" spans="1:13" s="21" customFormat="1" x14ac:dyDescent="0.25">
      <c r="A4694" s="22" t="s">
        <v>8</v>
      </c>
      <c r="B4694" s="18" t="str">
        <f>"175242"</f>
        <v>175242</v>
      </c>
      <c r="C4694" s="19" t="s">
        <v>4634</v>
      </c>
      <c r="D4694" s="19" t="s">
        <v>20121</v>
      </c>
      <c r="E4694" s="19" t="s">
        <v>32560</v>
      </c>
      <c r="F4694" s="19" t="s">
        <v>35990</v>
      </c>
      <c r="G4694" s="18" t="str">
        <f>"66215"</f>
        <v>66215</v>
      </c>
      <c r="H4694" s="19" t="s">
        <v>36072</v>
      </c>
      <c r="I4694" s="20">
        <v>17.395</v>
      </c>
      <c r="J4694" s="44" t="s">
        <v>8</v>
      </c>
      <c r="K4694" s="23" t="s">
        <v>8</v>
      </c>
      <c r="L4694" s="23" t="s">
        <v>8</v>
      </c>
      <c r="M4694" s="23" t="s">
        <v>8</v>
      </c>
    </row>
    <row r="4695" spans="1:13" s="21" customFormat="1" x14ac:dyDescent="0.25">
      <c r="A4695" s="22" t="s">
        <v>8</v>
      </c>
      <c r="B4695" s="18" t="str">
        <f>"175243"</f>
        <v>175243</v>
      </c>
      <c r="C4695" s="19" t="s">
        <v>4635</v>
      </c>
      <c r="D4695" s="19" t="s">
        <v>20122</v>
      </c>
      <c r="E4695" s="19" t="s">
        <v>32563</v>
      </c>
      <c r="F4695" s="19" t="s">
        <v>35990</v>
      </c>
      <c r="G4695" s="18" t="str">
        <f>"66030"</f>
        <v>66030</v>
      </c>
      <c r="H4695" s="19" t="s">
        <v>36072</v>
      </c>
      <c r="I4695" s="20">
        <v>18.959</v>
      </c>
      <c r="J4695" s="44" t="s">
        <v>8</v>
      </c>
      <c r="K4695" s="23" t="s">
        <v>8</v>
      </c>
      <c r="L4695" s="23" t="s">
        <v>8</v>
      </c>
      <c r="M4695" s="23" t="s">
        <v>8</v>
      </c>
    </row>
    <row r="4696" spans="1:13" s="21" customFormat="1" x14ac:dyDescent="0.25">
      <c r="A4696" s="22" t="s">
        <v>8</v>
      </c>
      <c r="B4696" s="18" t="str">
        <f>"175244"</f>
        <v>175244</v>
      </c>
      <c r="C4696" s="19" t="s">
        <v>4636</v>
      </c>
      <c r="D4696" s="19" t="s">
        <v>20123</v>
      </c>
      <c r="E4696" s="19" t="s">
        <v>32593</v>
      </c>
      <c r="F4696" s="19" t="s">
        <v>35990</v>
      </c>
      <c r="G4696" s="18" t="str">
        <f>"67410"</f>
        <v>67410</v>
      </c>
      <c r="H4696" s="19" t="s">
        <v>34382</v>
      </c>
      <c r="I4696" s="20">
        <v>19.07</v>
      </c>
      <c r="J4696" s="44" t="s">
        <v>8</v>
      </c>
      <c r="K4696" s="23" t="s">
        <v>8</v>
      </c>
      <c r="L4696" s="23" t="s">
        <v>8</v>
      </c>
      <c r="M4696" s="23" t="s">
        <v>8</v>
      </c>
    </row>
    <row r="4697" spans="1:13" s="21" customFormat="1" x14ac:dyDescent="0.25">
      <c r="A4697" s="22" t="s">
        <v>8</v>
      </c>
      <c r="B4697" s="18" t="str">
        <f>"175245"</f>
        <v>175245</v>
      </c>
      <c r="C4697" s="19" t="s">
        <v>4637</v>
      </c>
      <c r="D4697" s="19" t="s">
        <v>20124</v>
      </c>
      <c r="E4697" s="19" t="s">
        <v>32030</v>
      </c>
      <c r="F4697" s="19" t="s">
        <v>35990</v>
      </c>
      <c r="G4697" s="18" t="str">
        <f>"66111"</f>
        <v>66111</v>
      </c>
      <c r="H4697" s="19" t="s">
        <v>36297</v>
      </c>
      <c r="I4697" s="20">
        <v>19.567</v>
      </c>
      <c r="J4697" s="44" t="s">
        <v>8</v>
      </c>
      <c r="K4697" s="23" t="s">
        <v>8</v>
      </c>
      <c r="L4697" s="23" t="s">
        <v>8</v>
      </c>
      <c r="M4697" s="23" t="s">
        <v>8</v>
      </c>
    </row>
    <row r="4698" spans="1:13" s="21" customFormat="1" x14ac:dyDescent="0.25">
      <c r="A4698" s="22" t="s">
        <v>8</v>
      </c>
      <c r="B4698" s="18" t="str">
        <f>"175246"</f>
        <v>175246</v>
      </c>
      <c r="C4698" s="19" t="s">
        <v>4638</v>
      </c>
      <c r="D4698" s="19" t="s">
        <v>20125</v>
      </c>
      <c r="E4698" s="19" t="s">
        <v>31931</v>
      </c>
      <c r="F4698" s="19" t="s">
        <v>35990</v>
      </c>
      <c r="G4698" s="18" t="str">
        <f>"66935"</f>
        <v>66935</v>
      </c>
      <c r="H4698" s="19" t="s">
        <v>33624</v>
      </c>
      <c r="I4698" s="20">
        <v>17.989000000000001</v>
      </c>
      <c r="J4698" s="44" t="s">
        <v>8</v>
      </c>
      <c r="K4698" s="23" t="s">
        <v>8</v>
      </c>
      <c r="L4698" s="23" t="s">
        <v>8</v>
      </c>
      <c r="M4698" s="23" t="s">
        <v>8</v>
      </c>
    </row>
    <row r="4699" spans="1:13" s="21" customFormat="1" x14ac:dyDescent="0.25">
      <c r="A4699" s="22" t="s">
        <v>8</v>
      </c>
      <c r="B4699" s="18" t="str">
        <f>"175248"</f>
        <v>175248</v>
      </c>
      <c r="C4699" s="19" t="s">
        <v>4639</v>
      </c>
      <c r="D4699" s="19" t="s">
        <v>20126</v>
      </c>
      <c r="E4699" s="19" t="s">
        <v>31437</v>
      </c>
      <c r="F4699" s="19" t="s">
        <v>35990</v>
      </c>
      <c r="G4699" s="18" t="str">
        <f>"66951"</f>
        <v>66951</v>
      </c>
      <c r="H4699" s="19" t="s">
        <v>36304</v>
      </c>
      <c r="I4699" s="20">
        <v>18.481000000000002</v>
      </c>
      <c r="J4699" s="44" t="s">
        <v>8</v>
      </c>
      <c r="K4699" s="23" t="s">
        <v>8</v>
      </c>
      <c r="L4699" s="23" t="s">
        <v>8</v>
      </c>
      <c r="M4699" s="23" t="s">
        <v>8</v>
      </c>
    </row>
    <row r="4700" spans="1:13" s="21" customFormat="1" x14ac:dyDescent="0.25">
      <c r="A4700" s="22" t="s">
        <v>8</v>
      </c>
      <c r="B4700" s="18" t="str">
        <f>"175249"</f>
        <v>175249</v>
      </c>
      <c r="C4700" s="19" t="s">
        <v>324</v>
      </c>
      <c r="D4700" s="19" t="s">
        <v>20127</v>
      </c>
      <c r="E4700" s="19" t="s">
        <v>32579</v>
      </c>
      <c r="F4700" s="19" t="s">
        <v>35990</v>
      </c>
      <c r="G4700" s="18" t="str">
        <f>"66720"</f>
        <v>66720</v>
      </c>
      <c r="H4700" s="19" t="s">
        <v>33615</v>
      </c>
      <c r="I4700" s="20">
        <v>19.991</v>
      </c>
      <c r="J4700" s="44" t="s">
        <v>8</v>
      </c>
      <c r="K4700" s="23" t="s">
        <v>8</v>
      </c>
      <c r="L4700" s="23" t="s">
        <v>8</v>
      </c>
      <c r="M4700" s="23" t="s">
        <v>8</v>
      </c>
    </row>
    <row r="4701" spans="1:13" s="21" customFormat="1" x14ac:dyDescent="0.25">
      <c r="A4701" s="22" t="s">
        <v>8</v>
      </c>
      <c r="B4701" s="18" t="str">
        <f>"175250"</f>
        <v>175250</v>
      </c>
      <c r="C4701" s="19" t="s">
        <v>4640</v>
      </c>
      <c r="D4701" s="19" t="s">
        <v>20128</v>
      </c>
      <c r="E4701" s="19" t="s">
        <v>32594</v>
      </c>
      <c r="F4701" s="19" t="s">
        <v>35990</v>
      </c>
      <c r="G4701" s="18" t="str">
        <f>"66092"</f>
        <v>66092</v>
      </c>
      <c r="H4701" s="19" t="s">
        <v>5</v>
      </c>
      <c r="I4701" s="20">
        <v>17.218</v>
      </c>
      <c r="J4701" s="44" t="s">
        <v>8</v>
      </c>
      <c r="K4701" s="23" t="s">
        <v>8</v>
      </c>
      <c r="L4701" s="23" t="s">
        <v>8</v>
      </c>
      <c r="M4701" s="23" t="s">
        <v>8</v>
      </c>
    </row>
    <row r="4702" spans="1:13" s="21" customFormat="1" x14ac:dyDescent="0.25">
      <c r="A4702" s="22" t="s">
        <v>8</v>
      </c>
      <c r="B4702" s="18" t="str">
        <f>"175253"</f>
        <v>175253</v>
      </c>
      <c r="C4702" s="19" t="s">
        <v>4641</v>
      </c>
      <c r="D4702" s="19" t="s">
        <v>20129</v>
      </c>
      <c r="E4702" s="19" t="s">
        <v>32555</v>
      </c>
      <c r="F4702" s="19" t="s">
        <v>35990</v>
      </c>
      <c r="G4702" s="18" t="str">
        <f>"67209"</f>
        <v>67209</v>
      </c>
      <c r="H4702" s="19" t="s">
        <v>32595</v>
      </c>
      <c r="I4702" s="20">
        <v>18.408999999999999</v>
      </c>
      <c r="J4702" s="44" t="s">
        <v>8</v>
      </c>
      <c r="K4702" s="23" t="s">
        <v>8</v>
      </c>
      <c r="L4702" s="23" t="s">
        <v>8</v>
      </c>
      <c r="M4702" s="23" t="s">
        <v>8</v>
      </c>
    </row>
    <row r="4703" spans="1:13" s="21" customFormat="1" x14ac:dyDescent="0.25">
      <c r="A4703" s="22" t="s">
        <v>8</v>
      </c>
      <c r="B4703" s="18" t="str">
        <f>"175254"</f>
        <v>175254</v>
      </c>
      <c r="C4703" s="19" t="s">
        <v>4642</v>
      </c>
      <c r="D4703" s="19" t="s">
        <v>20130</v>
      </c>
      <c r="E4703" s="19" t="s">
        <v>32595</v>
      </c>
      <c r="F4703" s="19" t="s">
        <v>35990</v>
      </c>
      <c r="G4703" s="18" t="str">
        <f>"67135"</f>
        <v>67135</v>
      </c>
      <c r="H4703" s="19" t="s">
        <v>31938</v>
      </c>
      <c r="I4703" s="20">
        <v>18.457000000000001</v>
      </c>
      <c r="J4703" s="44" t="s">
        <v>8</v>
      </c>
      <c r="K4703" s="23" t="s">
        <v>8</v>
      </c>
      <c r="L4703" s="23" t="s">
        <v>8</v>
      </c>
      <c r="M4703" s="23" t="s">
        <v>8</v>
      </c>
    </row>
    <row r="4704" spans="1:13" s="21" customFormat="1" x14ac:dyDescent="0.25">
      <c r="A4704" s="22" t="s">
        <v>8</v>
      </c>
      <c r="B4704" s="18" t="str">
        <f>"175255"</f>
        <v>175255</v>
      </c>
      <c r="C4704" s="19" t="s">
        <v>4643</v>
      </c>
      <c r="D4704" s="19" t="s">
        <v>20131</v>
      </c>
      <c r="E4704" s="19" t="s">
        <v>32556</v>
      </c>
      <c r="F4704" s="19" t="s">
        <v>35990</v>
      </c>
      <c r="G4704" s="18" t="str">
        <f>"66604"</f>
        <v>66604</v>
      </c>
      <c r="H4704" s="19" t="s">
        <v>32597</v>
      </c>
      <c r="I4704" s="20">
        <v>21.928000000000001</v>
      </c>
      <c r="J4704" s="44" t="s">
        <v>8</v>
      </c>
      <c r="K4704" s="23" t="s">
        <v>8</v>
      </c>
      <c r="L4704" s="23" t="s">
        <v>8</v>
      </c>
      <c r="M4704" s="23" t="s">
        <v>8</v>
      </c>
    </row>
    <row r="4705" spans="1:13" s="21" customFormat="1" x14ac:dyDescent="0.25">
      <c r="A4705" s="22" t="s">
        <v>8</v>
      </c>
      <c r="B4705" s="18" t="str">
        <f>"175256"</f>
        <v>175256</v>
      </c>
      <c r="C4705" s="19" t="s">
        <v>4644</v>
      </c>
      <c r="D4705" s="19" t="s">
        <v>20132</v>
      </c>
      <c r="E4705" s="19" t="s">
        <v>32596</v>
      </c>
      <c r="F4705" s="19" t="s">
        <v>35990</v>
      </c>
      <c r="G4705" s="18" t="str">
        <f>"66523"</f>
        <v>66523</v>
      </c>
      <c r="H4705" s="19" t="s">
        <v>32356</v>
      </c>
      <c r="I4705" s="20">
        <v>20.503</v>
      </c>
      <c r="J4705" s="44" t="s">
        <v>8</v>
      </c>
      <c r="K4705" s="23" t="s">
        <v>8</v>
      </c>
      <c r="L4705" s="23" t="s">
        <v>8</v>
      </c>
      <c r="M4705" s="23" t="s">
        <v>8</v>
      </c>
    </row>
    <row r="4706" spans="1:13" s="21" customFormat="1" x14ac:dyDescent="0.25">
      <c r="A4706" s="22" t="s">
        <v>8</v>
      </c>
      <c r="B4706" s="18" t="str">
        <f>"175257"</f>
        <v>175257</v>
      </c>
      <c r="C4706" s="19" t="s">
        <v>4645</v>
      </c>
      <c r="D4706" s="19" t="s">
        <v>20133</v>
      </c>
      <c r="E4706" s="19" t="s">
        <v>32597</v>
      </c>
      <c r="F4706" s="19" t="s">
        <v>35990</v>
      </c>
      <c r="G4706" s="18" t="str">
        <f>"66203"</f>
        <v>66203</v>
      </c>
      <c r="H4706" s="19" t="s">
        <v>36072</v>
      </c>
      <c r="I4706" s="20">
        <v>20.437999999999999</v>
      </c>
      <c r="J4706" s="44" t="s">
        <v>8</v>
      </c>
      <c r="K4706" s="23" t="s">
        <v>8</v>
      </c>
      <c r="L4706" s="23" t="s">
        <v>8</v>
      </c>
      <c r="M4706" s="23" t="s">
        <v>8</v>
      </c>
    </row>
    <row r="4707" spans="1:13" s="21" customFormat="1" x14ac:dyDescent="0.25">
      <c r="A4707" s="22" t="s">
        <v>8</v>
      </c>
      <c r="B4707" s="18" t="str">
        <f>"175258"</f>
        <v>175258</v>
      </c>
      <c r="C4707" s="19" t="s">
        <v>4646</v>
      </c>
      <c r="D4707" s="19" t="s">
        <v>20134</v>
      </c>
      <c r="E4707" s="19" t="s">
        <v>32548</v>
      </c>
      <c r="F4707" s="19" t="s">
        <v>35990</v>
      </c>
      <c r="G4707" s="18" t="str">
        <f>"66701"</f>
        <v>66701</v>
      </c>
      <c r="H4707" s="19" t="s">
        <v>36293</v>
      </c>
      <c r="I4707" s="20">
        <v>17.251999999999999</v>
      </c>
      <c r="J4707" s="44" t="s">
        <v>8</v>
      </c>
      <c r="K4707" s="23" t="s">
        <v>8</v>
      </c>
      <c r="L4707" s="23" t="s">
        <v>8</v>
      </c>
      <c r="M4707" s="23" t="s">
        <v>8</v>
      </c>
    </row>
    <row r="4708" spans="1:13" s="21" customFormat="1" x14ac:dyDescent="0.25">
      <c r="A4708" s="22" t="s">
        <v>8</v>
      </c>
      <c r="B4708" s="18" t="str">
        <f>"175260"</f>
        <v>175260</v>
      </c>
      <c r="C4708" s="19" t="s">
        <v>4647</v>
      </c>
      <c r="D4708" s="19" t="s">
        <v>20135</v>
      </c>
      <c r="E4708" s="19" t="s">
        <v>32559</v>
      </c>
      <c r="F4708" s="19" t="s">
        <v>35990</v>
      </c>
      <c r="G4708" s="18" t="str">
        <f>"67502"</f>
        <v>67502</v>
      </c>
      <c r="H4708" s="19" t="s">
        <v>33839</v>
      </c>
      <c r="I4708" s="20">
        <v>20.271000000000001</v>
      </c>
      <c r="J4708" s="44" t="s">
        <v>8</v>
      </c>
      <c r="K4708" s="23" t="s">
        <v>8</v>
      </c>
      <c r="L4708" s="23" t="s">
        <v>8</v>
      </c>
      <c r="M4708" s="23" t="s">
        <v>8</v>
      </c>
    </row>
    <row r="4709" spans="1:13" s="21" customFormat="1" x14ac:dyDescent="0.25">
      <c r="A4709" s="22" t="s">
        <v>8</v>
      </c>
      <c r="B4709" s="18" t="str">
        <f>"175263"</f>
        <v>175263</v>
      </c>
      <c r="C4709" s="19" t="s">
        <v>4648</v>
      </c>
      <c r="D4709" s="19" t="s">
        <v>20136</v>
      </c>
      <c r="E4709" s="19" t="s">
        <v>31382</v>
      </c>
      <c r="F4709" s="19" t="s">
        <v>35990</v>
      </c>
      <c r="G4709" s="18" t="str">
        <f>"66061"</f>
        <v>66061</v>
      </c>
      <c r="H4709" s="19" t="s">
        <v>36072</v>
      </c>
      <c r="I4709" s="20">
        <v>18.471</v>
      </c>
      <c r="J4709" s="44" t="s">
        <v>8</v>
      </c>
      <c r="K4709" s="23" t="s">
        <v>8</v>
      </c>
      <c r="L4709" s="23" t="s">
        <v>8</v>
      </c>
      <c r="M4709" s="23" t="s">
        <v>8</v>
      </c>
    </row>
    <row r="4710" spans="1:13" s="21" customFormat="1" x14ac:dyDescent="0.25">
      <c r="A4710" s="22" t="s">
        <v>8</v>
      </c>
      <c r="B4710" s="18" t="str">
        <f>"175264"</f>
        <v>175264</v>
      </c>
      <c r="C4710" s="19" t="s">
        <v>4649</v>
      </c>
      <c r="D4710" s="19" t="s">
        <v>20137</v>
      </c>
      <c r="E4710" s="19" t="s">
        <v>31715</v>
      </c>
      <c r="F4710" s="19" t="s">
        <v>35990</v>
      </c>
      <c r="G4710" s="18" t="str">
        <f>"66725"</f>
        <v>66725</v>
      </c>
      <c r="H4710" s="19" t="s">
        <v>32436</v>
      </c>
      <c r="I4710" s="20">
        <v>17.925999999999998</v>
      </c>
      <c r="J4710" s="44" t="s">
        <v>8</v>
      </c>
      <c r="K4710" s="23" t="s">
        <v>8</v>
      </c>
      <c r="L4710" s="23" t="s">
        <v>8</v>
      </c>
      <c r="M4710" s="23" t="s">
        <v>8</v>
      </c>
    </row>
    <row r="4711" spans="1:13" s="21" customFormat="1" x14ac:dyDescent="0.25">
      <c r="A4711" s="22" t="s">
        <v>8</v>
      </c>
      <c r="B4711" s="18" t="str">
        <f>"175267"</f>
        <v>175267</v>
      </c>
      <c r="C4711" s="19" t="s">
        <v>4650</v>
      </c>
      <c r="D4711" s="19" t="s">
        <v>20138</v>
      </c>
      <c r="E4711" s="19" t="s">
        <v>32597</v>
      </c>
      <c r="F4711" s="19" t="s">
        <v>35990</v>
      </c>
      <c r="G4711" s="18" t="str">
        <f>"66216"</f>
        <v>66216</v>
      </c>
      <c r="H4711" s="19" t="s">
        <v>36072</v>
      </c>
      <c r="I4711" s="20">
        <v>18.925999999999998</v>
      </c>
      <c r="J4711" s="44" t="s">
        <v>8</v>
      </c>
      <c r="K4711" s="23" t="s">
        <v>8</v>
      </c>
      <c r="L4711" s="23" t="s">
        <v>8</v>
      </c>
      <c r="M4711" s="23" t="s">
        <v>8</v>
      </c>
    </row>
    <row r="4712" spans="1:13" s="21" customFormat="1" x14ac:dyDescent="0.25">
      <c r="A4712" s="22" t="s">
        <v>8</v>
      </c>
      <c r="B4712" s="18" t="str">
        <f>"175272"</f>
        <v>175272</v>
      </c>
      <c r="C4712" s="19" t="s">
        <v>4651</v>
      </c>
      <c r="D4712" s="19" t="s">
        <v>20139</v>
      </c>
      <c r="E4712" s="19" t="s">
        <v>32598</v>
      </c>
      <c r="F4712" s="19" t="s">
        <v>35990</v>
      </c>
      <c r="G4712" s="18" t="str">
        <f>"67487"</f>
        <v>67487</v>
      </c>
      <c r="H4712" s="19" t="s">
        <v>36030</v>
      </c>
      <c r="I4712" s="20">
        <v>18.216999999999999</v>
      </c>
      <c r="J4712" s="44" t="s">
        <v>8</v>
      </c>
      <c r="K4712" s="23" t="s">
        <v>8</v>
      </c>
      <c r="L4712" s="23" t="s">
        <v>8</v>
      </c>
      <c r="M4712" s="23" t="s">
        <v>8</v>
      </c>
    </row>
    <row r="4713" spans="1:13" s="21" customFormat="1" x14ac:dyDescent="0.25">
      <c r="A4713" s="22" t="s">
        <v>8</v>
      </c>
      <c r="B4713" s="18" t="str">
        <f>"175273"</f>
        <v>175273</v>
      </c>
      <c r="C4713" s="19" t="s">
        <v>4652</v>
      </c>
      <c r="D4713" s="19" t="s">
        <v>20140</v>
      </c>
      <c r="E4713" s="19" t="s">
        <v>32555</v>
      </c>
      <c r="F4713" s="19" t="s">
        <v>35990</v>
      </c>
      <c r="G4713" s="18" t="str">
        <f>"67218"</f>
        <v>67218</v>
      </c>
      <c r="H4713" s="19" t="s">
        <v>32595</v>
      </c>
      <c r="I4713" s="20">
        <v>20.716999999999999</v>
      </c>
      <c r="J4713" s="44" t="s">
        <v>8</v>
      </c>
      <c r="K4713" s="23" t="s">
        <v>8</v>
      </c>
      <c r="L4713" s="23" t="s">
        <v>8</v>
      </c>
      <c r="M4713" s="23" t="s">
        <v>8</v>
      </c>
    </row>
    <row r="4714" spans="1:13" s="21" customFormat="1" x14ac:dyDescent="0.25">
      <c r="A4714" s="22" t="s">
        <v>8</v>
      </c>
      <c r="B4714" s="18" t="str">
        <f>"175274"</f>
        <v>175274</v>
      </c>
      <c r="C4714" s="19" t="s">
        <v>4653</v>
      </c>
      <c r="D4714" s="19" t="s">
        <v>20141</v>
      </c>
      <c r="E4714" s="19" t="s">
        <v>32555</v>
      </c>
      <c r="F4714" s="19" t="s">
        <v>35990</v>
      </c>
      <c r="G4714" s="18" t="str">
        <f>"67203"</f>
        <v>67203</v>
      </c>
      <c r="H4714" s="19" t="s">
        <v>32595</v>
      </c>
      <c r="I4714" s="20">
        <v>21.164999999999999</v>
      </c>
      <c r="J4714" s="44" t="s">
        <v>8</v>
      </c>
      <c r="K4714" s="23" t="s">
        <v>8</v>
      </c>
      <c r="L4714" s="23" t="s">
        <v>8</v>
      </c>
      <c r="M4714" s="23" t="s">
        <v>8</v>
      </c>
    </row>
    <row r="4715" spans="1:13" s="21" customFormat="1" x14ac:dyDescent="0.25">
      <c r="A4715" s="22" t="s">
        <v>8</v>
      </c>
      <c r="B4715" s="18" t="str">
        <f>"175275"</f>
        <v>175275</v>
      </c>
      <c r="C4715" s="19" t="s">
        <v>4654</v>
      </c>
      <c r="D4715" s="19" t="s">
        <v>20142</v>
      </c>
      <c r="E4715" s="19" t="s">
        <v>32599</v>
      </c>
      <c r="F4715" s="19" t="s">
        <v>35990</v>
      </c>
      <c r="G4715" s="18" t="str">
        <f>"67547"</f>
        <v>67547</v>
      </c>
      <c r="H4715" s="19" t="s">
        <v>36305</v>
      </c>
      <c r="I4715" s="20">
        <v>19.260999999999999</v>
      </c>
      <c r="J4715" s="44" t="s">
        <v>8</v>
      </c>
      <c r="K4715" s="23" t="s">
        <v>8</v>
      </c>
      <c r="L4715" s="23" t="s">
        <v>8</v>
      </c>
      <c r="M4715" s="23" t="s">
        <v>8</v>
      </c>
    </row>
    <row r="4716" spans="1:13" s="21" customFormat="1" x14ac:dyDescent="0.25">
      <c r="A4716" s="22" t="s">
        <v>8</v>
      </c>
      <c r="B4716" s="18" t="str">
        <f>"175276"</f>
        <v>175276</v>
      </c>
      <c r="C4716" s="19" t="s">
        <v>4655</v>
      </c>
      <c r="D4716" s="19" t="s">
        <v>20143</v>
      </c>
      <c r="E4716" s="19" t="s">
        <v>32600</v>
      </c>
      <c r="F4716" s="19" t="s">
        <v>35990</v>
      </c>
      <c r="G4716" s="18" t="str">
        <f>"66071"</f>
        <v>66071</v>
      </c>
      <c r="H4716" s="19" t="s">
        <v>31507</v>
      </c>
      <c r="I4716" s="20">
        <v>21.023</v>
      </c>
      <c r="J4716" s="44" t="s">
        <v>8</v>
      </c>
      <c r="K4716" s="23" t="s">
        <v>8</v>
      </c>
      <c r="L4716" s="23" t="s">
        <v>8</v>
      </c>
      <c r="M4716" s="23" t="s">
        <v>8</v>
      </c>
    </row>
    <row r="4717" spans="1:13" s="21" customFormat="1" x14ac:dyDescent="0.25">
      <c r="A4717" s="22" t="s">
        <v>8</v>
      </c>
      <c r="B4717" s="18" t="str">
        <f>"175277"</f>
        <v>175277</v>
      </c>
      <c r="C4717" s="19" t="s">
        <v>4656</v>
      </c>
      <c r="D4717" s="19" t="s">
        <v>20144</v>
      </c>
      <c r="E4717" s="19" t="s">
        <v>32568</v>
      </c>
      <c r="F4717" s="19" t="s">
        <v>35990</v>
      </c>
      <c r="G4717" s="18" t="str">
        <f>"66047"</f>
        <v>66047</v>
      </c>
      <c r="H4717" s="19" t="s">
        <v>30966</v>
      </c>
      <c r="I4717" s="20">
        <v>23.498999999999999</v>
      </c>
      <c r="J4717" s="44" t="s">
        <v>8</v>
      </c>
      <c r="K4717" s="23" t="s">
        <v>8</v>
      </c>
      <c r="L4717" s="23" t="s">
        <v>8</v>
      </c>
      <c r="M4717" s="23" t="s">
        <v>8</v>
      </c>
    </row>
    <row r="4718" spans="1:13" s="21" customFormat="1" x14ac:dyDescent="0.25">
      <c r="A4718" s="22" t="s">
        <v>8</v>
      </c>
      <c r="B4718" s="18" t="str">
        <f>"175280"</f>
        <v>175280</v>
      </c>
      <c r="C4718" s="19" t="s">
        <v>4657</v>
      </c>
      <c r="D4718" s="19" t="s">
        <v>20145</v>
      </c>
      <c r="E4718" s="19" t="s">
        <v>32573</v>
      </c>
      <c r="F4718" s="19" t="s">
        <v>35990</v>
      </c>
      <c r="G4718" s="18" t="str">
        <f>"66801"</f>
        <v>66801</v>
      </c>
      <c r="H4718" s="19" t="s">
        <v>36274</v>
      </c>
      <c r="I4718" s="20">
        <v>19.268999999999998</v>
      </c>
      <c r="J4718" s="44" t="s">
        <v>8</v>
      </c>
      <c r="K4718" s="23" t="s">
        <v>8</v>
      </c>
      <c r="L4718" s="23" t="s">
        <v>8</v>
      </c>
      <c r="M4718" s="23" t="s">
        <v>8</v>
      </c>
    </row>
    <row r="4719" spans="1:13" s="21" customFormat="1" x14ac:dyDescent="0.25">
      <c r="A4719" s="22" t="s">
        <v>8</v>
      </c>
      <c r="B4719" s="18" t="str">
        <f>"175281"</f>
        <v>175281</v>
      </c>
      <c r="C4719" s="19" t="s">
        <v>4658</v>
      </c>
      <c r="D4719" s="19" t="s">
        <v>20146</v>
      </c>
      <c r="E4719" s="19" t="s">
        <v>32565</v>
      </c>
      <c r="F4719" s="19" t="s">
        <v>35990</v>
      </c>
      <c r="G4719" s="18" t="str">
        <f>"66104"</f>
        <v>66104</v>
      </c>
      <c r="H4719" s="19" t="s">
        <v>36297</v>
      </c>
      <c r="I4719" s="20">
        <v>15.768000000000001</v>
      </c>
      <c r="J4719" s="44" t="s">
        <v>8</v>
      </c>
      <c r="K4719" s="23" t="s">
        <v>8</v>
      </c>
      <c r="L4719" s="23" t="s">
        <v>8</v>
      </c>
      <c r="M4719" s="23" t="s">
        <v>8</v>
      </c>
    </row>
    <row r="4720" spans="1:13" s="21" customFormat="1" x14ac:dyDescent="0.25">
      <c r="A4720" s="22" t="s">
        <v>8</v>
      </c>
      <c r="B4720" s="18" t="str">
        <f>"175282"</f>
        <v>175282</v>
      </c>
      <c r="C4720" s="19" t="s">
        <v>4659</v>
      </c>
      <c r="D4720" s="19" t="s">
        <v>20147</v>
      </c>
      <c r="E4720" s="19" t="s">
        <v>32601</v>
      </c>
      <c r="F4720" s="19" t="s">
        <v>35990</v>
      </c>
      <c r="G4720" s="18" t="str">
        <f>"67467"</f>
        <v>67467</v>
      </c>
      <c r="H4720" s="19" t="s">
        <v>31994</v>
      </c>
      <c r="I4720" s="20">
        <v>17.599</v>
      </c>
      <c r="J4720" s="44" t="s">
        <v>8</v>
      </c>
      <c r="K4720" s="23" t="s">
        <v>8</v>
      </c>
      <c r="L4720" s="23" t="s">
        <v>8</v>
      </c>
      <c r="M4720" s="23" t="s">
        <v>8</v>
      </c>
    </row>
    <row r="4721" spans="1:13" s="21" customFormat="1" x14ac:dyDescent="0.25">
      <c r="A4721" s="22" t="s">
        <v>8</v>
      </c>
      <c r="B4721" s="18" t="str">
        <f>"175286"</f>
        <v>175286</v>
      </c>
      <c r="C4721" s="19" t="s">
        <v>4660</v>
      </c>
      <c r="D4721" s="19" t="s">
        <v>20148</v>
      </c>
      <c r="E4721" s="19" t="s">
        <v>32602</v>
      </c>
      <c r="F4721" s="19" t="s">
        <v>35990</v>
      </c>
      <c r="G4721" s="18" t="str">
        <f>"67665"</f>
        <v>67665</v>
      </c>
      <c r="H4721" s="19" t="s">
        <v>32602</v>
      </c>
      <c r="I4721" s="20">
        <v>23.552</v>
      </c>
      <c r="J4721" s="44" t="s">
        <v>8</v>
      </c>
      <c r="K4721" s="23" t="s">
        <v>8</v>
      </c>
      <c r="L4721" s="23" t="s">
        <v>8</v>
      </c>
      <c r="M4721" s="23" t="s">
        <v>8</v>
      </c>
    </row>
    <row r="4722" spans="1:13" s="21" customFormat="1" x14ac:dyDescent="0.25">
      <c r="A4722" s="22" t="s">
        <v>8</v>
      </c>
      <c r="B4722" s="18" t="str">
        <f>"175287"</f>
        <v>175287</v>
      </c>
      <c r="C4722" s="19" t="s">
        <v>4661</v>
      </c>
      <c r="D4722" s="19" t="s">
        <v>20149</v>
      </c>
      <c r="E4722" s="19" t="s">
        <v>31100</v>
      </c>
      <c r="F4722" s="19" t="s">
        <v>35990</v>
      </c>
      <c r="G4722" s="18" t="str">
        <f>"67045"</f>
        <v>67045</v>
      </c>
      <c r="H4722" s="19" t="s">
        <v>32204</v>
      </c>
      <c r="I4722" s="20">
        <v>19.959</v>
      </c>
      <c r="J4722" s="44" t="s">
        <v>8</v>
      </c>
      <c r="K4722" s="23" t="s">
        <v>8</v>
      </c>
      <c r="L4722" s="23" t="s">
        <v>8</v>
      </c>
      <c r="M4722" s="23" t="s">
        <v>8</v>
      </c>
    </row>
    <row r="4723" spans="1:13" s="21" customFormat="1" x14ac:dyDescent="0.25">
      <c r="A4723" s="22" t="s">
        <v>8</v>
      </c>
      <c r="B4723" s="18" t="str">
        <f>"175290"</f>
        <v>175290</v>
      </c>
      <c r="C4723" s="19" t="s">
        <v>4662</v>
      </c>
      <c r="D4723" s="19" t="s">
        <v>20150</v>
      </c>
      <c r="E4723" s="19" t="s">
        <v>32572</v>
      </c>
      <c r="F4723" s="19" t="s">
        <v>35990</v>
      </c>
      <c r="G4723" s="18" t="str">
        <f>"67337"</f>
        <v>67337</v>
      </c>
      <c r="H4723" s="19" t="s">
        <v>30833</v>
      </c>
      <c r="I4723" s="20">
        <v>20.254999999999999</v>
      </c>
      <c r="J4723" s="44" t="s">
        <v>8</v>
      </c>
      <c r="K4723" s="23" t="s">
        <v>8</v>
      </c>
      <c r="L4723" s="23" t="s">
        <v>8</v>
      </c>
      <c r="M4723" s="23" t="s">
        <v>8</v>
      </c>
    </row>
    <row r="4724" spans="1:13" s="21" customFormat="1" x14ac:dyDescent="0.25">
      <c r="A4724" s="22" t="s">
        <v>8</v>
      </c>
      <c r="B4724" s="18" t="str">
        <f>"175291"</f>
        <v>175291</v>
      </c>
      <c r="C4724" s="19" t="s">
        <v>4663</v>
      </c>
      <c r="D4724" s="19" t="s">
        <v>20151</v>
      </c>
      <c r="E4724" s="19" t="s">
        <v>32603</v>
      </c>
      <c r="F4724" s="19" t="s">
        <v>35990</v>
      </c>
      <c r="G4724" s="18" t="str">
        <f>"67530"</f>
        <v>67530</v>
      </c>
      <c r="H4724" s="19" t="s">
        <v>35358</v>
      </c>
      <c r="I4724" s="20">
        <v>18.056000000000001</v>
      </c>
      <c r="J4724" s="44" t="s">
        <v>8</v>
      </c>
      <c r="K4724" s="23" t="s">
        <v>8</v>
      </c>
      <c r="L4724" s="23" t="s">
        <v>8</v>
      </c>
      <c r="M4724" s="23" t="s">
        <v>8</v>
      </c>
    </row>
    <row r="4725" spans="1:13" s="21" customFormat="1" x14ac:dyDescent="0.25">
      <c r="A4725" s="22" t="s">
        <v>8</v>
      </c>
      <c r="B4725" s="18" t="str">
        <f>"175292"</f>
        <v>175292</v>
      </c>
      <c r="C4725" s="19" t="s">
        <v>4664</v>
      </c>
      <c r="D4725" s="19" t="s">
        <v>20152</v>
      </c>
      <c r="E4725" s="19" t="s">
        <v>32604</v>
      </c>
      <c r="F4725" s="19" t="s">
        <v>35990</v>
      </c>
      <c r="G4725" s="18" t="str">
        <f>"67039"</f>
        <v>67039</v>
      </c>
      <c r="H4725" s="19" t="s">
        <v>30876</v>
      </c>
      <c r="I4725" s="20">
        <v>17.826000000000001</v>
      </c>
      <c r="J4725" s="44" t="s">
        <v>8</v>
      </c>
      <c r="K4725" s="23" t="s">
        <v>8</v>
      </c>
      <c r="L4725" s="23" t="s">
        <v>8</v>
      </c>
      <c r="M4725" s="23" t="s">
        <v>8</v>
      </c>
    </row>
    <row r="4726" spans="1:13" s="21" customFormat="1" x14ac:dyDescent="0.25">
      <c r="A4726" s="22" t="s">
        <v>8</v>
      </c>
      <c r="B4726" s="18" t="str">
        <f>"175294"</f>
        <v>175294</v>
      </c>
      <c r="C4726" s="19" t="s">
        <v>4665</v>
      </c>
      <c r="D4726" s="19" t="s">
        <v>20153</v>
      </c>
      <c r="E4726" s="19" t="s">
        <v>32605</v>
      </c>
      <c r="F4726" s="19" t="s">
        <v>35990</v>
      </c>
      <c r="G4726" s="18" t="str">
        <f>"67052"</f>
        <v>67052</v>
      </c>
      <c r="H4726" s="19" t="s">
        <v>32595</v>
      </c>
      <c r="I4726" s="20">
        <v>18.963999999999999</v>
      </c>
      <c r="J4726" s="44" t="s">
        <v>8</v>
      </c>
      <c r="K4726" s="23" t="s">
        <v>8</v>
      </c>
      <c r="L4726" s="23" t="s">
        <v>8</v>
      </c>
      <c r="M4726" s="23" t="s">
        <v>8</v>
      </c>
    </row>
    <row r="4727" spans="1:13" s="21" customFormat="1" x14ac:dyDescent="0.25">
      <c r="A4727" s="22" t="s">
        <v>8</v>
      </c>
      <c r="B4727" s="18" t="str">
        <f>"175295"</f>
        <v>175295</v>
      </c>
      <c r="C4727" s="19" t="s">
        <v>4666</v>
      </c>
      <c r="D4727" s="19" t="s">
        <v>20154</v>
      </c>
      <c r="E4727" s="19" t="s">
        <v>32606</v>
      </c>
      <c r="F4727" s="19" t="s">
        <v>35990</v>
      </c>
      <c r="G4727" s="18" t="str">
        <f>"66967"</f>
        <v>66967</v>
      </c>
      <c r="H4727" s="19" t="s">
        <v>36304</v>
      </c>
      <c r="I4727" s="20">
        <v>17.771000000000001</v>
      </c>
      <c r="J4727" s="44" t="s">
        <v>8</v>
      </c>
      <c r="K4727" s="23" t="s">
        <v>8</v>
      </c>
      <c r="L4727" s="23" t="s">
        <v>8</v>
      </c>
      <c r="M4727" s="23" t="s">
        <v>8</v>
      </c>
    </row>
    <row r="4728" spans="1:13" s="21" customFormat="1" x14ac:dyDescent="0.25">
      <c r="A4728" s="22" t="s">
        <v>8</v>
      </c>
      <c r="B4728" s="18" t="str">
        <f>"175297"</f>
        <v>175297</v>
      </c>
      <c r="C4728" s="19" t="s">
        <v>4667</v>
      </c>
      <c r="D4728" s="19" t="s">
        <v>20155</v>
      </c>
      <c r="E4728" s="19" t="s">
        <v>32556</v>
      </c>
      <c r="F4728" s="19" t="s">
        <v>35990</v>
      </c>
      <c r="G4728" s="18" t="str">
        <f>"66606"</f>
        <v>66606</v>
      </c>
      <c r="H4728" s="19" t="s">
        <v>32597</v>
      </c>
      <c r="I4728" s="20">
        <v>19.271999999999998</v>
      </c>
      <c r="J4728" s="44" t="s">
        <v>8</v>
      </c>
      <c r="K4728" s="23" t="s">
        <v>8</v>
      </c>
      <c r="L4728" s="23" t="s">
        <v>8</v>
      </c>
      <c r="M4728" s="23" t="s">
        <v>8</v>
      </c>
    </row>
    <row r="4729" spans="1:13" s="21" customFormat="1" x14ac:dyDescent="0.25">
      <c r="A4729" s="22" t="s">
        <v>8</v>
      </c>
      <c r="B4729" s="18" t="str">
        <f>"175298"</f>
        <v>175298</v>
      </c>
      <c r="C4729" s="19" t="s">
        <v>4668</v>
      </c>
      <c r="D4729" s="19" t="s">
        <v>20156</v>
      </c>
      <c r="E4729" s="19" t="s">
        <v>32565</v>
      </c>
      <c r="F4729" s="19" t="s">
        <v>35990</v>
      </c>
      <c r="G4729" s="18" t="str">
        <f>"66112"</f>
        <v>66112</v>
      </c>
      <c r="H4729" s="19" t="s">
        <v>36297</v>
      </c>
      <c r="I4729" s="20">
        <v>19.088000000000001</v>
      </c>
      <c r="J4729" s="44" t="s">
        <v>8</v>
      </c>
      <c r="K4729" s="23" t="s">
        <v>8</v>
      </c>
      <c r="L4729" s="23" t="s">
        <v>8</v>
      </c>
      <c r="M4729" s="23" t="s">
        <v>8</v>
      </c>
    </row>
    <row r="4730" spans="1:13" s="21" customFormat="1" x14ac:dyDescent="0.25">
      <c r="A4730" s="22" t="s">
        <v>8</v>
      </c>
      <c r="B4730" s="18" t="str">
        <f>"175299"</f>
        <v>175299</v>
      </c>
      <c r="C4730" s="19" t="s">
        <v>4669</v>
      </c>
      <c r="D4730" s="19" t="s">
        <v>20157</v>
      </c>
      <c r="E4730" s="19" t="s">
        <v>31347</v>
      </c>
      <c r="F4730" s="19" t="s">
        <v>35990</v>
      </c>
      <c r="G4730" s="18" t="str">
        <f>"67579"</f>
        <v>67579</v>
      </c>
      <c r="H4730" s="19" t="s">
        <v>36306</v>
      </c>
      <c r="I4730" s="20">
        <v>18.052</v>
      </c>
      <c r="J4730" s="44" t="s">
        <v>8</v>
      </c>
      <c r="K4730" s="23" t="s">
        <v>8</v>
      </c>
      <c r="L4730" s="23" t="s">
        <v>8</v>
      </c>
      <c r="M4730" s="23" t="s">
        <v>8</v>
      </c>
    </row>
    <row r="4731" spans="1:13" s="21" customFormat="1" x14ac:dyDescent="0.25">
      <c r="A4731" s="22" t="s">
        <v>8</v>
      </c>
      <c r="B4731" s="18" t="str">
        <f>"175300"</f>
        <v>175300</v>
      </c>
      <c r="C4731" s="19" t="s">
        <v>4670</v>
      </c>
      <c r="D4731" s="19" t="s">
        <v>20158</v>
      </c>
      <c r="E4731" s="19" t="s">
        <v>32562</v>
      </c>
      <c r="F4731" s="19" t="s">
        <v>35990</v>
      </c>
      <c r="G4731" s="18" t="str">
        <f>"67401"</f>
        <v>67401</v>
      </c>
      <c r="H4731" s="19" t="s">
        <v>33206</v>
      </c>
      <c r="I4731" s="20">
        <v>16.59</v>
      </c>
      <c r="J4731" s="44" t="s">
        <v>8</v>
      </c>
      <c r="K4731" s="23" t="s">
        <v>8</v>
      </c>
      <c r="L4731" s="23" t="s">
        <v>8</v>
      </c>
      <c r="M4731" s="23" t="s">
        <v>8</v>
      </c>
    </row>
    <row r="4732" spans="1:13" s="21" customFormat="1" x14ac:dyDescent="0.25">
      <c r="A4732" s="22" t="s">
        <v>8</v>
      </c>
      <c r="B4732" s="18" t="str">
        <f>"175301"</f>
        <v>175301</v>
      </c>
      <c r="C4732" s="19" t="s">
        <v>4671</v>
      </c>
      <c r="D4732" s="19" t="s">
        <v>20159</v>
      </c>
      <c r="E4732" s="19" t="s">
        <v>32555</v>
      </c>
      <c r="F4732" s="19" t="s">
        <v>35990</v>
      </c>
      <c r="G4732" s="18" t="str">
        <f>"67212"</f>
        <v>67212</v>
      </c>
      <c r="H4732" s="19" t="s">
        <v>32595</v>
      </c>
      <c r="I4732" s="20">
        <v>16.893000000000001</v>
      </c>
      <c r="J4732" s="44" t="s">
        <v>8</v>
      </c>
      <c r="K4732" s="23" t="s">
        <v>8</v>
      </c>
      <c r="L4732" s="23" t="s">
        <v>8</v>
      </c>
      <c r="M4732" s="23" t="s">
        <v>8</v>
      </c>
    </row>
    <row r="4733" spans="1:13" s="21" customFormat="1" x14ac:dyDescent="0.25">
      <c r="A4733" s="22" t="s">
        <v>8</v>
      </c>
      <c r="B4733" s="18" t="str">
        <f>"175302"</f>
        <v>175302</v>
      </c>
      <c r="C4733" s="19" t="s">
        <v>4672</v>
      </c>
      <c r="D4733" s="19" t="s">
        <v>20160</v>
      </c>
      <c r="E4733" s="19" t="s">
        <v>32101</v>
      </c>
      <c r="F4733" s="19" t="s">
        <v>35990</v>
      </c>
      <c r="G4733" s="18" t="str">
        <f>"67114"</f>
        <v>67114</v>
      </c>
      <c r="H4733" s="19" t="s">
        <v>31938</v>
      </c>
      <c r="I4733" s="20">
        <v>16.919</v>
      </c>
      <c r="J4733" s="44" t="s">
        <v>8</v>
      </c>
      <c r="K4733" s="23" t="s">
        <v>8</v>
      </c>
      <c r="L4733" s="23" t="s">
        <v>8</v>
      </c>
      <c r="M4733" s="23" t="s">
        <v>8</v>
      </c>
    </row>
    <row r="4734" spans="1:13" s="21" customFormat="1" x14ac:dyDescent="0.25">
      <c r="A4734" s="22" t="s">
        <v>8</v>
      </c>
      <c r="B4734" s="18" t="str">
        <f>"175303"</f>
        <v>175303</v>
      </c>
      <c r="C4734" s="19" t="s">
        <v>4673</v>
      </c>
      <c r="D4734" s="19" t="s">
        <v>20161</v>
      </c>
      <c r="E4734" s="19" t="s">
        <v>32578</v>
      </c>
      <c r="F4734" s="19" t="s">
        <v>35990</v>
      </c>
      <c r="G4734" s="18" t="str">
        <f>"67357"</f>
        <v>67357</v>
      </c>
      <c r="H4734" s="19" t="s">
        <v>36299</v>
      </c>
      <c r="I4734" s="20">
        <v>17.998999999999999</v>
      </c>
      <c r="J4734" s="44" t="s">
        <v>8</v>
      </c>
      <c r="K4734" s="23" t="s">
        <v>8</v>
      </c>
      <c r="L4734" s="23" t="s">
        <v>8</v>
      </c>
      <c r="M4734" s="23" t="s">
        <v>8</v>
      </c>
    </row>
    <row r="4735" spans="1:13" s="21" customFormat="1" x14ac:dyDescent="0.25">
      <c r="A4735" s="22" t="s">
        <v>8</v>
      </c>
      <c r="B4735" s="18" t="str">
        <f>"175304"</f>
        <v>175304</v>
      </c>
      <c r="C4735" s="19" t="s">
        <v>4674</v>
      </c>
      <c r="D4735" s="19" t="s">
        <v>20162</v>
      </c>
      <c r="E4735" s="19" t="s">
        <v>32573</v>
      </c>
      <c r="F4735" s="19" t="s">
        <v>35990</v>
      </c>
      <c r="G4735" s="18" t="str">
        <f>"66801"</f>
        <v>66801</v>
      </c>
      <c r="H4735" s="19" t="s">
        <v>36274</v>
      </c>
      <c r="I4735" s="20">
        <v>18.706</v>
      </c>
      <c r="J4735" s="44" t="s">
        <v>8</v>
      </c>
      <c r="K4735" s="23" t="s">
        <v>8</v>
      </c>
      <c r="L4735" s="23" t="s">
        <v>8</v>
      </c>
      <c r="M4735" s="23" t="s">
        <v>8</v>
      </c>
    </row>
    <row r="4736" spans="1:13" s="21" customFormat="1" x14ac:dyDescent="0.25">
      <c r="A4736" s="22" t="s">
        <v>8</v>
      </c>
      <c r="B4736" s="18" t="str">
        <f>"175305"</f>
        <v>175305</v>
      </c>
      <c r="C4736" s="19" t="s">
        <v>4675</v>
      </c>
      <c r="D4736" s="19" t="s">
        <v>20163</v>
      </c>
      <c r="E4736" s="19" t="s">
        <v>32568</v>
      </c>
      <c r="F4736" s="19" t="s">
        <v>35990</v>
      </c>
      <c r="G4736" s="18" t="str">
        <f>"66049"</f>
        <v>66049</v>
      </c>
      <c r="H4736" s="19" t="s">
        <v>30966</v>
      </c>
      <c r="I4736" s="20">
        <v>19.146999999999998</v>
      </c>
      <c r="J4736" s="44" t="s">
        <v>8</v>
      </c>
      <c r="K4736" s="23" t="s">
        <v>8</v>
      </c>
      <c r="L4736" s="23" t="s">
        <v>8</v>
      </c>
      <c r="M4736" s="23" t="s">
        <v>8</v>
      </c>
    </row>
    <row r="4737" spans="1:13" s="21" customFormat="1" x14ac:dyDescent="0.25">
      <c r="A4737" s="22" t="s">
        <v>8</v>
      </c>
      <c r="B4737" s="18" t="str">
        <f>"175306"</f>
        <v>175306</v>
      </c>
      <c r="C4737" s="19" t="s">
        <v>4676</v>
      </c>
      <c r="D4737" s="19" t="s">
        <v>20164</v>
      </c>
      <c r="E4737" s="19" t="s">
        <v>32554</v>
      </c>
      <c r="F4737" s="19" t="s">
        <v>35990</v>
      </c>
      <c r="G4737" s="18" t="str">
        <f>"67801"</f>
        <v>67801</v>
      </c>
      <c r="H4737" s="19" t="s">
        <v>36241</v>
      </c>
      <c r="I4737" s="20">
        <v>17.698</v>
      </c>
      <c r="J4737" s="44" t="s">
        <v>8</v>
      </c>
      <c r="K4737" s="23" t="s">
        <v>8</v>
      </c>
      <c r="L4737" s="23" t="s">
        <v>8</v>
      </c>
      <c r="M4737" s="23" t="s">
        <v>8</v>
      </c>
    </row>
    <row r="4738" spans="1:13" s="21" customFormat="1" x14ac:dyDescent="0.25">
      <c r="A4738" s="22" t="s">
        <v>8</v>
      </c>
      <c r="B4738" s="18" t="str">
        <f>"175309"</f>
        <v>175309</v>
      </c>
      <c r="C4738" s="19" t="s">
        <v>4677</v>
      </c>
      <c r="D4738" s="19" t="s">
        <v>20165</v>
      </c>
      <c r="E4738" s="19" t="s">
        <v>32553</v>
      </c>
      <c r="F4738" s="19" t="s">
        <v>35990</v>
      </c>
      <c r="G4738" s="18" t="str">
        <f>"67005"</f>
        <v>67005</v>
      </c>
      <c r="H4738" s="19" t="s">
        <v>36295</v>
      </c>
      <c r="I4738" s="20">
        <v>17.678999999999998</v>
      </c>
      <c r="J4738" s="44" t="s">
        <v>8</v>
      </c>
      <c r="K4738" s="23" t="s">
        <v>8</v>
      </c>
      <c r="L4738" s="23" t="s">
        <v>8</v>
      </c>
      <c r="M4738" s="23" t="s">
        <v>8</v>
      </c>
    </row>
    <row r="4739" spans="1:13" s="21" customFormat="1" x14ac:dyDescent="0.25">
      <c r="A4739" s="22" t="s">
        <v>8</v>
      </c>
      <c r="B4739" s="18" t="str">
        <f>"175310"</f>
        <v>175310</v>
      </c>
      <c r="C4739" s="19" t="s">
        <v>4678</v>
      </c>
      <c r="D4739" s="19" t="s">
        <v>20166</v>
      </c>
      <c r="E4739" s="19" t="s">
        <v>32607</v>
      </c>
      <c r="F4739" s="19" t="s">
        <v>35990</v>
      </c>
      <c r="G4739" s="18" t="str">
        <f>"67432"</f>
        <v>67432</v>
      </c>
      <c r="H4739" s="19" t="s">
        <v>36030</v>
      </c>
      <c r="I4739" s="20">
        <v>19.588000000000001</v>
      </c>
      <c r="J4739" s="44" t="s">
        <v>8</v>
      </c>
      <c r="K4739" s="23" t="s">
        <v>8</v>
      </c>
      <c r="L4739" s="23" t="s">
        <v>8</v>
      </c>
      <c r="M4739" s="23" t="s">
        <v>8</v>
      </c>
    </row>
    <row r="4740" spans="1:13" s="21" customFormat="1" x14ac:dyDescent="0.25">
      <c r="A4740" s="22" t="s">
        <v>8</v>
      </c>
      <c r="B4740" s="18" t="str">
        <f>"175313"</f>
        <v>175313</v>
      </c>
      <c r="C4740" s="19" t="s">
        <v>4679</v>
      </c>
      <c r="D4740" s="19" t="s">
        <v>20167</v>
      </c>
      <c r="E4740" s="19" t="s">
        <v>32553</v>
      </c>
      <c r="F4740" s="19" t="s">
        <v>35990</v>
      </c>
      <c r="G4740" s="18" t="str">
        <f>"67005"</f>
        <v>67005</v>
      </c>
      <c r="H4740" s="19" t="s">
        <v>36295</v>
      </c>
      <c r="I4740" s="20">
        <v>18.111000000000001</v>
      </c>
      <c r="J4740" s="44" t="s">
        <v>8</v>
      </c>
      <c r="K4740" s="23" t="s">
        <v>8</v>
      </c>
      <c r="L4740" s="23" t="s">
        <v>8</v>
      </c>
      <c r="M4740" s="23" t="s">
        <v>8</v>
      </c>
    </row>
    <row r="4741" spans="1:13" s="21" customFormat="1" x14ac:dyDescent="0.25">
      <c r="A4741" s="22" t="s">
        <v>8</v>
      </c>
      <c r="B4741" s="18" t="str">
        <f>"175315"</f>
        <v>175315</v>
      </c>
      <c r="C4741" s="19" t="s">
        <v>4680</v>
      </c>
      <c r="D4741" s="19" t="s">
        <v>20168</v>
      </c>
      <c r="E4741" s="19" t="s">
        <v>32608</v>
      </c>
      <c r="F4741" s="19" t="s">
        <v>35990</v>
      </c>
      <c r="G4741" s="18" t="str">
        <f>"67124"</f>
        <v>67124</v>
      </c>
      <c r="H4741" s="19" t="s">
        <v>32608</v>
      </c>
      <c r="I4741" s="20">
        <v>17.603000000000002</v>
      </c>
      <c r="J4741" s="44" t="s">
        <v>8</v>
      </c>
      <c r="K4741" s="23" t="s">
        <v>8</v>
      </c>
      <c r="L4741" s="23" t="s">
        <v>8</v>
      </c>
      <c r="M4741" s="23" t="s">
        <v>8</v>
      </c>
    </row>
    <row r="4742" spans="1:13" s="21" customFormat="1" x14ac:dyDescent="0.25">
      <c r="A4742" s="22" t="s">
        <v>8</v>
      </c>
      <c r="B4742" s="18" t="str">
        <f>"175317"</f>
        <v>175317</v>
      </c>
      <c r="C4742" s="19" t="s">
        <v>4681</v>
      </c>
      <c r="D4742" s="19" t="s">
        <v>20169</v>
      </c>
      <c r="E4742" s="19" t="s">
        <v>32609</v>
      </c>
      <c r="F4742" s="19" t="s">
        <v>35990</v>
      </c>
      <c r="G4742" s="18" t="str">
        <f>"66757"</f>
        <v>66757</v>
      </c>
      <c r="H4742" s="19" t="s">
        <v>32577</v>
      </c>
      <c r="I4742" s="20">
        <v>19.584</v>
      </c>
      <c r="J4742" s="44" t="s">
        <v>8</v>
      </c>
      <c r="K4742" s="23" t="s">
        <v>8</v>
      </c>
      <c r="L4742" s="23" t="s">
        <v>8</v>
      </c>
      <c r="M4742" s="23" t="s">
        <v>8</v>
      </c>
    </row>
    <row r="4743" spans="1:13" s="21" customFormat="1" x14ac:dyDescent="0.25">
      <c r="A4743" s="22" t="s">
        <v>8</v>
      </c>
      <c r="B4743" s="18" t="str">
        <f>"175322"</f>
        <v>175322</v>
      </c>
      <c r="C4743" s="19" t="s">
        <v>4682</v>
      </c>
      <c r="D4743" s="19" t="s">
        <v>20170</v>
      </c>
      <c r="E4743" s="19" t="s">
        <v>32610</v>
      </c>
      <c r="F4743" s="19" t="s">
        <v>35990</v>
      </c>
      <c r="G4743" s="18" t="str">
        <f>"67601"</f>
        <v>67601</v>
      </c>
      <c r="H4743" s="19" t="s">
        <v>32612</v>
      </c>
      <c r="I4743" s="20">
        <v>18.335000000000001</v>
      </c>
      <c r="J4743" s="44" t="s">
        <v>8</v>
      </c>
      <c r="K4743" s="23" t="s">
        <v>8</v>
      </c>
      <c r="L4743" s="23" t="s">
        <v>8</v>
      </c>
      <c r="M4743" s="23" t="s">
        <v>8</v>
      </c>
    </row>
    <row r="4744" spans="1:13" s="21" customFormat="1" x14ac:dyDescent="0.25">
      <c r="A4744" s="22" t="s">
        <v>8</v>
      </c>
      <c r="B4744" s="18" t="str">
        <f>"175323"</f>
        <v>175323</v>
      </c>
      <c r="C4744" s="19" t="s">
        <v>4683</v>
      </c>
      <c r="D4744" s="19" t="s">
        <v>20171</v>
      </c>
      <c r="E4744" s="19" t="s">
        <v>32611</v>
      </c>
      <c r="F4744" s="19" t="s">
        <v>35990</v>
      </c>
      <c r="G4744" s="18" t="str">
        <f>"66060"</f>
        <v>66060</v>
      </c>
      <c r="H4744" s="19" t="s">
        <v>32391</v>
      </c>
      <c r="I4744" s="20">
        <v>17.48</v>
      </c>
      <c r="J4744" s="44" t="s">
        <v>8</v>
      </c>
      <c r="K4744" s="23" t="s">
        <v>8</v>
      </c>
      <c r="L4744" s="23" t="s">
        <v>8</v>
      </c>
      <c r="M4744" s="23" t="s">
        <v>8</v>
      </c>
    </row>
    <row r="4745" spans="1:13" s="21" customFormat="1" x14ac:dyDescent="0.25">
      <c r="A4745" s="22" t="s">
        <v>8</v>
      </c>
      <c r="B4745" s="18" t="str">
        <f>"175324"</f>
        <v>175324</v>
      </c>
      <c r="C4745" s="19" t="s">
        <v>4684</v>
      </c>
      <c r="D4745" s="19" t="s">
        <v>20172</v>
      </c>
      <c r="E4745" s="19" t="s">
        <v>31015</v>
      </c>
      <c r="F4745" s="19" t="s">
        <v>35990</v>
      </c>
      <c r="G4745" s="18" t="str">
        <f>"67042"</f>
        <v>67042</v>
      </c>
      <c r="H4745" s="19" t="s">
        <v>30876</v>
      </c>
      <c r="I4745" s="20">
        <v>17.177</v>
      </c>
      <c r="J4745" s="44" t="s">
        <v>8</v>
      </c>
      <c r="K4745" s="23" t="s">
        <v>8</v>
      </c>
      <c r="L4745" s="23" t="s">
        <v>8</v>
      </c>
      <c r="M4745" s="23" t="s">
        <v>8</v>
      </c>
    </row>
    <row r="4746" spans="1:13" s="21" customFormat="1" x14ac:dyDescent="0.25">
      <c r="A4746" s="22" t="s">
        <v>8</v>
      </c>
      <c r="B4746" s="18" t="str">
        <f>"175327"</f>
        <v>175327</v>
      </c>
      <c r="C4746" s="19" t="s">
        <v>4685</v>
      </c>
      <c r="D4746" s="19" t="s">
        <v>20173</v>
      </c>
      <c r="E4746" s="19" t="s">
        <v>30810</v>
      </c>
      <c r="F4746" s="19" t="s">
        <v>35990</v>
      </c>
      <c r="G4746" s="18" t="str">
        <f>"67156"</f>
        <v>67156</v>
      </c>
      <c r="H4746" s="19" t="s">
        <v>36295</v>
      </c>
      <c r="I4746" s="20">
        <v>16.64</v>
      </c>
      <c r="J4746" s="44" t="s">
        <v>8</v>
      </c>
      <c r="K4746" s="23" t="s">
        <v>8</v>
      </c>
      <c r="L4746" s="23" t="s">
        <v>8</v>
      </c>
      <c r="M4746" s="23" t="s">
        <v>8</v>
      </c>
    </row>
    <row r="4747" spans="1:13" s="21" customFormat="1" x14ac:dyDescent="0.25">
      <c r="A4747" s="22" t="s">
        <v>8</v>
      </c>
      <c r="B4747" s="18" t="str">
        <f>"175328"</f>
        <v>175328</v>
      </c>
      <c r="C4747" s="19" t="s">
        <v>4686</v>
      </c>
      <c r="D4747" s="19" t="s">
        <v>20174</v>
      </c>
      <c r="E4747" s="19" t="s">
        <v>32612</v>
      </c>
      <c r="F4747" s="19" t="s">
        <v>35990</v>
      </c>
      <c r="G4747" s="18" t="str">
        <f>"67637"</f>
        <v>67637</v>
      </c>
      <c r="H4747" s="19" t="s">
        <v>32612</v>
      </c>
      <c r="I4747" s="20">
        <v>19.395</v>
      </c>
      <c r="J4747" s="44" t="s">
        <v>8</v>
      </c>
      <c r="K4747" s="23" t="s">
        <v>8</v>
      </c>
      <c r="L4747" s="23" t="s">
        <v>8</v>
      </c>
      <c r="M4747" s="23" t="s">
        <v>8</v>
      </c>
    </row>
    <row r="4748" spans="1:13" s="21" customFormat="1" x14ac:dyDescent="0.25">
      <c r="A4748" s="22" t="s">
        <v>8</v>
      </c>
      <c r="B4748" s="18" t="str">
        <f>"175332"</f>
        <v>175332</v>
      </c>
      <c r="C4748" s="19" t="s">
        <v>4687</v>
      </c>
      <c r="D4748" s="19" t="s">
        <v>20175</v>
      </c>
      <c r="E4748" s="19" t="s">
        <v>31994</v>
      </c>
      <c r="F4748" s="19" t="s">
        <v>35990</v>
      </c>
      <c r="G4748" s="18" t="str">
        <f>"66067"</f>
        <v>66067</v>
      </c>
      <c r="H4748" s="19" t="s">
        <v>5</v>
      </c>
      <c r="I4748" s="20">
        <v>20.652999999999999</v>
      </c>
      <c r="J4748" s="44" t="s">
        <v>8</v>
      </c>
      <c r="K4748" s="23" t="s">
        <v>8</v>
      </c>
      <c r="L4748" s="23" t="s">
        <v>8</v>
      </c>
      <c r="M4748" s="23" t="s">
        <v>8</v>
      </c>
    </row>
    <row r="4749" spans="1:13" s="21" customFormat="1" x14ac:dyDescent="0.25">
      <c r="A4749" s="22" t="s">
        <v>8</v>
      </c>
      <c r="B4749" s="18" t="str">
        <f>"175333"</f>
        <v>175333</v>
      </c>
      <c r="C4749" s="19" t="s">
        <v>4688</v>
      </c>
      <c r="D4749" s="19" t="s">
        <v>20176</v>
      </c>
      <c r="E4749" s="19" t="s">
        <v>32412</v>
      </c>
      <c r="F4749" s="19" t="s">
        <v>35990</v>
      </c>
      <c r="G4749" s="18" t="str">
        <f>"66066"</f>
        <v>66066</v>
      </c>
      <c r="H4749" s="19" t="s">
        <v>32391</v>
      </c>
      <c r="I4749" s="20">
        <v>21.140999999999998</v>
      </c>
      <c r="J4749" s="44" t="s">
        <v>8</v>
      </c>
      <c r="K4749" s="23" t="s">
        <v>8</v>
      </c>
      <c r="L4749" s="23" t="s">
        <v>8</v>
      </c>
      <c r="M4749" s="23" t="s">
        <v>8</v>
      </c>
    </row>
    <row r="4750" spans="1:13" s="21" customFormat="1" x14ac:dyDescent="0.25">
      <c r="A4750" s="22" t="s">
        <v>8</v>
      </c>
      <c r="B4750" s="18" t="str">
        <f>"175334"</f>
        <v>175334</v>
      </c>
      <c r="C4750" s="19" t="s">
        <v>4689</v>
      </c>
      <c r="D4750" s="19" t="s">
        <v>20177</v>
      </c>
      <c r="E4750" s="19" t="s">
        <v>32571</v>
      </c>
      <c r="F4750" s="19" t="s">
        <v>35990</v>
      </c>
      <c r="G4750" s="18" t="str">
        <f>"67901"</f>
        <v>67901</v>
      </c>
      <c r="H4750" s="19" t="s">
        <v>33835</v>
      </c>
      <c r="I4750" s="20">
        <v>18.454000000000001</v>
      </c>
      <c r="J4750" s="44" t="s">
        <v>8</v>
      </c>
      <c r="K4750" s="23" t="s">
        <v>8</v>
      </c>
      <c r="L4750" s="23" t="s">
        <v>8</v>
      </c>
      <c r="M4750" s="23" t="s">
        <v>8</v>
      </c>
    </row>
    <row r="4751" spans="1:13" s="21" customFormat="1" x14ac:dyDescent="0.25">
      <c r="A4751" s="22" t="s">
        <v>8</v>
      </c>
      <c r="B4751" s="18" t="str">
        <f>"175335"</f>
        <v>175335</v>
      </c>
      <c r="C4751" s="19" t="s">
        <v>4690</v>
      </c>
      <c r="D4751" s="19" t="s">
        <v>20178</v>
      </c>
      <c r="E4751" s="19" t="s">
        <v>32613</v>
      </c>
      <c r="F4751" s="19" t="s">
        <v>35990</v>
      </c>
      <c r="G4751" s="18" t="str">
        <f>"67335"</f>
        <v>67335</v>
      </c>
      <c r="H4751" s="19" t="s">
        <v>30833</v>
      </c>
      <c r="I4751" s="20">
        <v>19.72</v>
      </c>
      <c r="J4751" s="44" t="s">
        <v>8</v>
      </c>
      <c r="K4751" s="23" t="s">
        <v>8</v>
      </c>
      <c r="L4751" s="23" t="s">
        <v>8</v>
      </c>
      <c r="M4751" s="23" t="s">
        <v>8</v>
      </c>
    </row>
    <row r="4752" spans="1:13" s="21" customFormat="1" x14ac:dyDescent="0.25">
      <c r="A4752" s="22" t="s">
        <v>8</v>
      </c>
      <c r="B4752" s="18" t="str">
        <f>"175336"</f>
        <v>175336</v>
      </c>
      <c r="C4752" s="19" t="s">
        <v>4691</v>
      </c>
      <c r="D4752" s="19" t="s">
        <v>20179</v>
      </c>
      <c r="E4752" s="19" t="s">
        <v>31757</v>
      </c>
      <c r="F4752" s="19" t="s">
        <v>35990</v>
      </c>
      <c r="G4752" s="18" t="str">
        <f>"67554"</f>
        <v>67554</v>
      </c>
      <c r="H4752" s="19" t="s">
        <v>36306</v>
      </c>
      <c r="I4752" s="20">
        <v>17.808</v>
      </c>
      <c r="J4752" s="44" t="s">
        <v>8</v>
      </c>
      <c r="K4752" s="23" t="s">
        <v>8</v>
      </c>
      <c r="L4752" s="23" t="s">
        <v>8</v>
      </c>
      <c r="M4752" s="23" t="s">
        <v>8</v>
      </c>
    </row>
    <row r="4753" spans="1:13" s="21" customFormat="1" x14ac:dyDescent="0.25">
      <c r="A4753" s="22" t="s">
        <v>8</v>
      </c>
      <c r="B4753" s="18" t="str">
        <f>"175337"</f>
        <v>175337</v>
      </c>
      <c r="C4753" s="19" t="s">
        <v>4692</v>
      </c>
      <c r="D4753" s="19" t="s">
        <v>20180</v>
      </c>
      <c r="E4753" s="19" t="s">
        <v>31683</v>
      </c>
      <c r="F4753" s="19" t="s">
        <v>35990</v>
      </c>
      <c r="G4753" s="18" t="str">
        <f>"67152"</f>
        <v>67152</v>
      </c>
      <c r="H4753" s="19" t="s">
        <v>32524</v>
      </c>
      <c r="I4753" s="20">
        <v>18.460999999999999</v>
      </c>
      <c r="J4753" s="44" t="s">
        <v>8</v>
      </c>
      <c r="K4753" s="23" t="s">
        <v>8</v>
      </c>
      <c r="L4753" s="23" t="s">
        <v>8</v>
      </c>
      <c r="M4753" s="23" t="s">
        <v>8</v>
      </c>
    </row>
    <row r="4754" spans="1:13" s="21" customFormat="1" x14ac:dyDescent="0.25">
      <c r="A4754" s="22" t="s">
        <v>8</v>
      </c>
      <c r="B4754" s="18" t="str">
        <f>"175338"</f>
        <v>175338</v>
      </c>
      <c r="C4754" s="19" t="s">
        <v>4693</v>
      </c>
      <c r="D4754" s="19" t="s">
        <v>20181</v>
      </c>
      <c r="E4754" s="19" t="s">
        <v>32614</v>
      </c>
      <c r="F4754" s="19" t="s">
        <v>35990</v>
      </c>
      <c r="G4754" s="18" t="str">
        <f>"66006"</f>
        <v>66006</v>
      </c>
      <c r="H4754" s="19" t="s">
        <v>30966</v>
      </c>
      <c r="I4754" s="20">
        <v>19.492000000000001</v>
      </c>
      <c r="J4754" s="44" t="s">
        <v>8</v>
      </c>
      <c r="K4754" s="23" t="s">
        <v>8</v>
      </c>
      <c r="L4754" s="23" t="s">
        <v>8</v>
      </c>
      <c r="M4754" s="23" t="s">
        <v>8</v>
      </c>
    </row>
    <row r="4755" spans="1:13" s="21" customFormat="1" x14ac:dyDescent="0.25">
      <c r="A4755" s="22" t="s">
        <v>8</v>
      </c>
      <c r="B4755" s="18" t="str">
        <f>"175340"</f>
        <v>175340</v>
      </c>
      <c r="C4755" s="19" t="s">
        <v>4694</v>
      </c>
      <c r="D4755" s="19" t="s">
        <v>20182</v>
      </c>
      <c r="E4755" s="19" t="s">
        <v>32556</v>
      </c>
      <c r="F4755" s="19" t="s">
        <v>35990</v>
      </c>
      <c r="G4755" s="18" t="str">
        <f>"66614"</f>
        <v>66614</v>
      </c>
      <c r="H4755" s="19" t="s">
        <v>32597</v>
      </c>
      <c r="I4755" s="20">
        <v>16.245000000000001</v>
      </c>
      <c r="J4755" s="44" t="s">
        <v>8</v>
      </c>
      <c r="K4755" s="23" t="s">
        <v>8</v>
      </c>
      <c r="L4755" s="23" t="s">
        <v>8</v>
      </c>
      <c r="M4755" s="23" t="s">
        <v>8</v>
      </c>
    </row>
    <row r="4756" spans="1:13" s="21" customFormat="1" x14ac:dyDescent="0.25">
      <c r="A4756" s="22" t="s">
        <v>8</v>
      </c>
      <c r="B4756" s="18" t="str">
        <f>"175343"</f>
        <v>175343</v>
      </c>
      <c r="C4756" s="19" t="s">
        <v>4695</v>
      </c>
      <c r="D4756" s="19" t="s">
        <v>20183</v>
      </c>
      <c r="E4756" s="19" t="s">
        <v>32615</v>
      </c>
      <c r="F4756" s="19" t="s">
        <v>35990</v>
      </c>
      <c r="G4756" s="18" t="str">
        <f>"66208"</f>
        <v>66208</v>
      </c>
      <c r="H4756" s="19" t="s">
        <v>36072</v>
      </c>
      <c r="I4756" s="20">
        <v>21.863</v>
      </c>
      <c r="J4756" s="44" t="s">
        <v>8</v>
      </c>
      <c r="K4756" s="23" t="s">
        <v>8</v>
      </c>
      <c r="L4756" s="23" t="s">
        <v>8</v>
      </c>
      <c r="M4756" s="23" t="s">
        <v>8</v>
      </c>
    </row>
    <row r="4757" spans="1:13" s="21" customFormat="1" x14ac:dyDescent="0.25">
      <c r="A4757" s="22" t="s">
        <v>8</v>
      </c>
      <c r="B4757" s="18" t="str">
        <f>"175344"</f>
        <v>175344</v>
      </c>
      <c r="C4757" s="19" t="s">
        <v>4696</v>
      </c>
      <c r="D4757" s="19" t="s">
        <v>20184</v>
      </c>
      <c r="E4757" s="19" t="s">
        <v>32555</v>
      </c>
      <c r="F4757" s="19" t="s">
        <v>35990</v>
      </c>
      <c r="G4757" s="18" t="str">
        <f>"67212"</f>
        <v>67212</v>
      </c>
      <c r="H4757" s="19" t="s">
        <v>32595</v>
      </c>
      <c r="I4757" s="20">
        <v>19.452999999999999</v>
      </c>
      <c r="J4757" s="44" t="s">
        <v>8</v>
      </c>
      <c r="K4757" s="23" t="s">
        <v>8</v>
      </c>
      <c r="L4757" s="23" t="s">
        <v>8</v>
      </c>
      <c r="M4757" s="23" t="s">
        <v>8</v>
      </c>
    </row>
    <row r="4758" spans="1:13" s="21" customFormat="1" x14ac:dyDescent="0.25">
      <c r="A4758" s="22" t="s">
        <v>8</v>
      </c>
      <c r="B4758" s="18" t="str">
        <f>"175346"</f>
        <v>175346</v>
      </c>
      <c r="C4758" s="19" t="s">
        <v>4697</v>
      </c>
      <c r="D4758" s="19" t="s">
        <v>20185</v>
      </c>
      <c r="E4758" s="19" t="s">
        <v>31067</v>
      </c>
      <c r="F4758" s="19" t="s">
        <v>35990</v>
      </c>
      <c r="G4758" s="18" t="str">
        <f>"66401"</f>
        <v>66401</v>
      </c>
      <c r="H4758" s="19" t="s">
        <v>36307</v>
      </c>
      <c r="I4758" s="20">
        <v>18.009</v>
      </c>
      <c r="J4758" s="44" t="s">
        <v>8</v>
      </c>
      <c r="K4758" s="23" t="s">
        <v>8</v>
      </c>
      <c r="L4758" s="23" t="s">
        <v>8</v>
      </c>
      <c r="M4758" s="23" t="s">
        <v>8</v>
      </c>
    </row>
    <row r="4759" spans="1:13" s="21" customFormat="1" x14ac:dyDescent="0.25">
      <c r="A4759" s="22" t="s">
        <v>8</v>
      </c>
      <c r="B4759" s="18" t="str">
        <f>"175347"</f>
        <v>175347</v>
      </c>
      <c r="C4759" s="19" t="s">
        <v>4698</v>
      </c>
      <c r="D4759" s="19" t="s">
        <v>20186</v>
      </c>
      <c r="E4759" s="19" t="s">
        <v>32616</v>
      </c>
      <c r="F4759" s="19" t="s">
        <v>35990</v>
      </c>
      <c r="G4759" s="18" t="str">
        <f>"67756"</f>
        <v>67756</v>
      </c>
      <c r="H4759" s="19" t="s">
        <v>35701</v>
      </c>
      <c r="I4759" s="20">
        <v>18.405999999999999</v>
      </c>
      <c r="J4759" s="44" t="s">
        <v>8</v>
      </c>
      <c r="K4759" s="23" t="s">
        <v>8</v>
      </c>
      <c r="L4759" s="23" t="s">
        <v>8</v>
      </c>
      <c r="M4759" s="23" t="s">
        <v>8</v>
      </c>
    </row>
    <row r="4760" spans="1:13" s="21" customFormat="1" x14ac:dyDescent="0.25">
      <c r="A4760" s="22" t="s">
        <v>8</v>
      </c>
      <c r="B4760" s="18" t="str">
        <f>"175348"</f>
        <v>175348</v>
      </c>
      <c r="C4760" s="19" t="s">
        <v>4699</v>
      </c>
      <c r="D4760" s="19" t="s">
        <v>20187</v>
      </c>
      <c r="E4760" s="19" t="s">
        <v>32617</v>
      </c>
      <c r="F4760" s="19" t="s">
        <v>35990</v>
      </c>
      <c r="G4760" s="18" t="str">
        <f>"67420"</f>
        <v>67420</v>
      </c>
      <c r="H4760" s="19" t="s">
        <v>32259</v>
      </c>
      <c r="I4760" s="20">
        <v>19.73</v>
      </c>
      <c r="J4760" s="44" t="s">
        <v>8</v>
      </c>
      <c r="K4760" s="23" t="s">
        <v>8</v>
      </c>
      <c r="L4760" s="23" t="s">
        <v>8</v>
      </c>
      <c r="M4760" s="23" t="s">
        <v>8</v>
      </c>
    </row>
    <row r="4761" spans="1:13" s="21" customFormat="1" x14ac:dyDescent="0.25">
      <c r="A4761" s="22" t="s">
        <v>8</v>
      </c>
      <c r="B4761" s="18" t="str">
        <f>"175350"</f>
        <v>175350</v>
      </c>
      <c r="C4761" s="19" t="s">
        <v>4700</v>
      </c>
      <c r="D4761" s="19" t="s">
        <v>20188</v>
      </c>
      <c r="E4761" s="19" t="s">
        <v>32618</v>
      </c>
      <c r="F4761" s="19" t="s">
        <v>35990</v>
      </c>
      <c r="G4761" s="18" t="str">
        <f>"66508"</f>
        <v>66508</v>
      </c>
      <c r="H4761" s="19" t="s">
        <v>31063</v>
      </c>
      <c r="I4761" s="20">
        <v>18.391999999999999</v>
      </c>
      <c r="J4761" s="44" t="s">
        <v>8</v>
      </c>
      <c r="K4761" s="23" t="s">
        <v>8</v>
      </c>
      <c r="L4761" s="23" t="s">
        <v>8</v>
      </c>
      <c r="M4761" s="23" t="s">
        <v>8</v>
      </c>
    </row>
    <row r="4762" spans="1:13" s="21" customFormat="1" x14ac:dyDescent="0.25">
      <c r="A4762" s="22" t="s">
        <v>8</v>
      </c>
      <c r="B4762" s="18" t="str">
        <f>"175351"</f>
        <v>175351</v>
      </c>
      <c r="C4762" s="19" t="s">
        <v>4701</v>
      </c>
      <c r="D4762" s="19" t="s">
        <v>20189</v>
      </c>
      <c r="E4762" s="19" t="s">
        <v>32607</v>
      </c>
      <c r="F4762" s="19" t="s">
        <v>35990</v>
      </c>
      <c r="G4762" s="18" t="str">
        <f>"67432"</f>
        <v>67432</v>
      </c>
      <c r="H4762" s="19" t="s">
        <v>36030</v>
      </c>
      <c r="I4762" s="20">
        <v>19.219000000000001</v>
      </c>
      <c r="J4762" s="44" t="s">
        <v>8</v>
      </c>
      <c r="K4762" s="23" t="s">
        <v>8</v>
      </c>
      <c r="L4762" s="23" t="s">
        <v>8</v>
      </c>
      <c r="M4762" s="23" t="s">
        <v>8</v>
      </c>
    </row>
    <row r="4763" spans="1:13" s="21" customFormat="1" x14ac:dyDescent="0.25">
      <c r="A4763" s="22" t="s">
        <v>8</v>
      </c>
      <c r="B4763" s="18" t="str">
        <f>"175353"</f>
        <v>175353</v>
      </c>
      <c r="C4763" s="19" t="s">
        <v>4702</v>
      </c>
      <c r="D4763" s="19" t="s">
        <v>20190</v>
      </c>
      <c r="E4763" s="19" t="s">
        <v>32619</v>
      </c>
      <c r="F4763" s="19" t="s">
        <v>35990</v>
      </c>
      <c r="G4763" s="18" t="str">
        <f>"66712"</f>
        <v>66712</v>
      </c>
      <c r="H4763" s="19" t="s">
        <v>31759</v>
      </c>
      <c r="I4763" s="20">
        <v>19.053999999999998</v>
      </c>
      <c r="J4763" s="44" t="s">
        <v>8</v>
      </c>
      <c r="K4763" s="23" t="s">
        <v>8</v>
      </c>
      <c r="L4763" s="23" t="s">
        <v>8</v>
      </c>
      <c r="M4763" s="23" t="s">
        <v>8</v>
      </c>
    </row>
    <row r="4764" spans="1:13" s="21" customFormat="1" x14ac:dyDescent="0.25">
      <c r="A4764" s="22" t="s">
        <v>8</v>
      </c>
      <c r="B4764" s="18" t="str">
        <f>"175354"</f>
        <v>175354</v>
      </c>
      <c r="C4764" s="19" t="s">
        <v>4703</v>
      </c>
      <c r="D4764" s="19" t="s">
        <v>20191</v>
      </c>
      <c r="E4764" s="19" t="s">
        <v>32620</v>
      </c>
      <c r="F4764" s="19" t="s">
        <v>35990</v>
      </c>
      <c r="G4764" s="18" t="str">
        <f>"67526"</f>
        <v>67526</v>
      </c>
      <c r="H4764" s="19" t="s">
        <v>35358</v>
      </c>
      <c r="I4764" s="20">
        <v>19.553000000000001</v>
      </c>
      <c r="J4764" s="44" t="s">
        <v>8</v>
      </c>
      <c r="K4764" s="23" t="s">
        <v>8</v>
      </c>
      <c r="L4764" s="23" t="s">
        <v>8</v>
      </c>
      <c r="M4764" s="23" t="s">
        <v>8</v>
      </c>
    </row>
    <row r="4765" spans="1:13" s="21" customFormat="1" x14ac:dyDescent="0.25">
      <c r="A4765" s="22" t="s">
        <v>8</v>
      </c>
      <c r="B4765" s="18" t="str">
        <f>"175355"</f>
        <v>175355</v>
      </c>
      <c r="C4765" s="19" t="s">
        <v>4704</v>
      </c>
      <c r="D4765" s="19" t="s">
        <v>20192</v>
      </c>
      <c r="E4765" s="19" t="s">
        <v>31382</v>
      </c>
      <c r="F4765" s="19" t="s">
        <v>35990</v>
      </c>
      <c r="G4765" s="18" t="str">
        <f>"66061"</f>
        <v>66061</v>
      </c>
      <c r="H4765" s="19" t="s">
        <v>36072</v>
      </c>
      <c r="I4765" s="20">
        <v>17.425999999999998</v>
      </c>
      <c r="J4765" s="44" t="s">
        <v>8</v>
      </c>
      <c r="K4765" s="23" t="s">
        <v>8</v>
      </c>
      <c r="L4765" s="23" t="s">
        <v>8</v>
      </c>
      <c r="M4765" s="23" t="s">
        <v>8</v>
      </c>
    </row>
    <row r="4766" spans="1:13" s="21" customFormat="1" x14ac:dyDescent="0.25">
      <c r="A4766" s="22" t="s">
        <v>8</v>
      </c>
      <c r="B4766" s="18" t="str">
        <f>"175356"</f>
        <v>175356</v>
      </c>
      <c r="C4766" s="19" t="s">
        <v>4705</v>
      </c>
      <c r="D4766" s="19" t="s">
        <v>20193</v>
      </c>
      <c r="E4766" s="19" t="s">
        <v>32621</v>
      </c>
      <c r="F4766" s="19" t="s">
        <v>35990</v>
      </c>
      <c r="G4766" s="18" t="str">
        <f>"67749"</f>
        <v>67749</v>
      </c>
      <c r="H4766" s="19" t="s">
        <v>30853</v>
      </c>
      <c r="I4766" s="20">
        <v>20.221</v>
      </c>
      <c r="J4766" s="44" t="s">
        <v>8</v>
      </c>
      <c r="K4766" s="23" t="s">
        <v>8</v>
      </c>
      <c r="L4766" s="23" t="s">
        <v>8</v>
      </c>
      <c r="M4766" s="23" t="s">
        <v>8</v>
      </c>
    </row>
    <row r="4767" spans="1:13" s="21" customFormat="1" x14ac:dyDescent="0.25">
      <c r="A4767" s="22" t="s">
        <v>8</v>
      </c>
      <c r="B4767" s="18" t="str">
        <f>"175357"</f>
        <v>175357</v>
      </c>
      <c r="C4767" s="19" t="s">
        <v>4706</v>
      </c>
      <c r="D4767" s="19" t="s">
        <v>20194</v>
      </c>
      <c r="E4767" s="19" t="s">
        <v>31683</v>
      </c>
      <c r="F4767" s="19" t="s">
        <v>35990</v>
      </c>
      <c r="G4767" s="18" t="str">
        <f>"67152"</f>
        <v>67152</v>
      </c>
      <c r="H4767" s="19" t="s">
        <v>32524</v>
      </c>
      <c r="I4767" s="20">
        <v>17.849</v>
      </c>
      <c r="J4767" s="44" t="s">
        <v>8</v>
      </c>
      <c r="K4767" s="23" t="s">
        <v>8</v>
      </c>
      <c r="L4767" s="23" t="s">
        <v>8</v>
      </c>
      <c r="M4767" s="23" t="s">
        <v>8</v>
      </c>
    </row>
    <row r="4768" spans="1:13" s="21" customFormat="1" x14ac:dyDescent="0.25">
      <c r="A4768" s="22" t="s">
        <v>8</v>
      </c>
      <c r="B4768" s="18" t="str">
        <f>"175359"</f>
        <v>175359</v>
      </c>
      <c r="C4768" s="19" t="s">
        <v>4707</v>
      </c>
      <c r="D4768" s="19" t="s">
        <v>20195</v>
      </c>
      <c r="E4768" s="19" t="s">
        <v>32622</v>
      </c>
      <c r="F4768" s="19" t="s">
        <v>35990</v>
      </c>
      <c r="G4768" s="18" t="str">
        <f>"66547"</f>
        <v>66547</v>
      </c>
      <c r="H4768" s="19" t="s">
        <v>36300</v>
      </c>
      <c r="I4768" s="20">
        <v>17.66</v>
      </c>
      <c r="J4768" s="44" t="s">
        <v>8</v>
      </c>
      <c r="K4768" s="23" t="s">
        <v>8</v>
      </c>
      <c r="L4768" s="23" t="s">
        <v>8</v>
      </c>
      <c r="M4768" s="23" t="s">
        <v>8</v>
      </c>
    </row>
    <row r="4769" spans="1:13" s="21" customFormat="1" x14ac:dyDescent="0.25">
      <c r="A4769" s="22" t="s">
        <v>8</v>
      </c>
      <c r="B4769" s="18" t="str">
        <f>"175360"</f>
        <v>175360</v>
      </c>
      <c r="C4769" s="19" t="s">
        <v>4708</v>
      </c>
      <c r="D4769" s="19" t="s">
        <v>20196</v>
      </c>
      <c r="E4769" s="19" t="s">
        <v>32596</v>
      </c>
      <c r="F4769" s="19" t="s">
        <v>35990</v>
      </c>
      <c r="G4769" s="18" t="str">
        <f>"66523"</f>
        <v>66523</v>
      </c>
      <c r="H4769" s="19" t="s">
        <v>32356</v>
      </c>
      <c r="I4769" s="20">
        <v>18.98</v>
      </c>
      <c r="J4769" s="44" t="s">
        <v>8</v>
      </c>
      <c r="K4769" s="23" t="s">
        <v>8</v>
      </c>
      <c r="L4769" s="23" t="s">
        <v>8</v>
      </c>
      <c r="M4769" s="23" t="s">
        <v>8</v>
      </c>
    </row>
    <row r="4770" spans="1:13" s="21" customFormat="1" x14ac:dyDescent="0.25">
      <c r="A4770" s="22" t="s">
        <v>8</v>
      </c>
      <c r="B4770" s="18" t="str">
        <f>"175361"</f>
        <v>175361</v>
      </c>
      <c r="C4770" s="19" t="s">
        <v>4709</v>
      </c>
      <c r="D4770" s="19" t="s">
        <v>20197</v>
      </c>
      <c r="E4770" s="19" t="s">
        <v>32623</v>
      </c>
      <c r="F4770" s="19" t="s">
        <v>35990</v>
      </c>
      <c r="G4770" s="18" t="str">
        <f>"67735"</f>
        <v>67735</v>
      </c>
      <c r="H4770" s="19" t="s">
        <v>32078</v>
      </c>
      <c r="I4770" s="20">
        <v>18.841000000000001</v>
      </c>
      <c r="J4770" s="44" t="s">
        <v>8</v>
      </c>
      <c r="K4770" s="23" t="s">
        <v>8</v>
      </c>
      <c r="L4770" s="23" t="s">
        <v>8</v>
      </c>
      <c r="M4770" s="23" t="s">
        <v>8</v>
      </c>
    </row>
    <row r="4771" spans="1:13" s="21" customFormat="1" x14ac:dyDescent="0.25">
      <c r="A4771" s="22" t="s">
        <v>8</v>
      </c>
      <c r="B4771" s="18" t="str">
        <f>"175363"</f>
        <v>175363</v>
      </c>
      <c r="C4771" s="19" t="s">
        <v>4710</v>
      </c>
      <c r="D4771" s="19" t="s">
        <v>20198</v>
      </c>
      <c r="E4771" s="19" t="s">
        <v>32624</v>
      </c>
      <c r="F4771" s="19" t="s">
        <v>35990</v>
      </c>
      <c r="G4771" s="18" t="str">
        <f>"66763"</f>
        <v>66763</v>
      </c>
      <c r="H4771" s="19" t="s">
        <v>31759</v>
      </c>
      <c r="I4771" s="20">
        <v>19.422000000000001</v>
      </c>
      <c r="J4771" s="44" t="s">
        <v>8</v>
      </c>
      <c r="K4771" s="23" t="s">
        <v>8</v>
      </c>
      <c r="L4771" s="23" t="s">
        <v>8</v>
      </c>
      <c r="M4771" s="23" t="s">
        <v>8</v>
      </c>
    </row>
    <row r="4772" spans="1:13" s="21" customFormat="1" x14ac:dyDescent="0.25">
      <c r="A4772" s="22" t="s">
        <v>8</v>
      </c>
      <c r="B4772" s="18" t="str">
        <f>"175366"</f>
        <v>175366</v>
      </c>
      <c r="C4772" s="19" t="s">
        <v>4711</v>
      </c>
      <c r="D4772" s="19" t="s">
        <v>20199</v>
      </c>
      <c r="E4772" s="19" t="s">
        <v>32625</v>
      </c>
      <c r="F4772" s="19" t="s">
        <v>35990</v>
      </c>
      <c r="G4772" s="18" t="str">
        <f>"67730"</f>
        <v>67730</v>
      </c>
      <c r="H4772" s="19" t="s">
        <v>35709</v>
      </c>
      <c r="I4772" s="20">
        <v>18.742999999999999</v>
      </c>
      <c r="J4772" s="44" t="s">
        <v>8</v>
      </c>
      <c r="K4772" s="23" t="s">
        <v>8</v>
      </c>
      <c r="L4772" s="23" t="s">
        <v>8</v>
      </c>
      <c r="M4772" s="23" t="s">
        <v>8</v>
      </c>
    </row>
    <row r="4773" spans="1:13" s="21" customFormat="1" x14ac:dyDescent="0.25">
      <c r="A4773" s="22" t="s">
        <v>8</v>
      </c>
      <c r="B4773" s="18" t="str">
        <f>"175369"</f>
        <v>175369</v>
      </c>
      <c r="C4773" s="19" t="s">
        <v>4712</v>
      </c>
      <c r="D4773" s="19" t="s">
        <v>20200</v>
      </c>
      <c r="E4773" s="19" t="s">
        <v>32626</v>
      </c>
      <c r="F4773" s="19" t="s">
        <v>35990</v>
      </c>
      <c r="G4773" s="18" t="str">
        <f>"67548"</f>
        <v>67548</v>
      </c>
      <c r="H4773" s="19" t="s">
        <v>36250</v>
      </c>
      <c r="I4773" s="20">
        <v>18.956</v>
      </c>
      <c r="J4773" s="44" t="s">
        <v>8</v>
      </c>
      <c r="K4773" s="23" t="s">
        <v>8</v>
      </c>
      <c r="L4773" s="23" t="s">
        <v>8</v>
      </c>
      <c r="M4773" s="23" t="s">
        <v>8</v>
      </c>
    </row>
    <row r="4774" spans="1:13" s="21" customFormat="1" x14ac:dyDescent="0.25">
      <c r="A4774" s="22" t="s">
        <v>8</v>
      </c>
      <c r="B4774" s="18" t="str">
        <f>"175373"</f>
        <v>175373</v>
      </c>
      <c r="C4774" s="19" t="s">
        <v>4713</v>
      </c>
      <c r="D4774" s="19" t="s">
        <v>20201</v>
      </c>
      <c r="E4774" s="19" t="s">
        <v>31369</v>
      </c>
      <c r="F4774" s="19" t="s">
        <v>35990</v>
      </c>
      <c r="G4774" s="18" t="str">
        <f>"66839"</f>
        <v>66839</v>
      </c>
      <c r="H4774" s="19" t="s">
        <v>36294</v>
      </c>
      <c r="I4774" s="20">
        <v>18.818999999999999</v>
      </c>
      <c r="J4774" s="44" t="s">
        <v>8</v>
      </c>
      <c r="K4774" s="23" t="s">
        <v>8</v>
      </c>
      <c r="L4774" s="23" t="s">
        <v>8</v>
      </c>
      <c r="M4774" s="23" t="s">
        <v>8</v>
      </c>
    </row>
    <row r="4775" spans="1:13" s="21" customFormat="1" x14ac:dyDescent="0.25">
      <c r="A4775" s="22" t="s">
        <v>8</v>
      </c>
      <c r="B4775" s="18" t="str">
        <f>"175374"</f>
        <v>175374</v>
      </c>
      <c r="C4775" s="19" t="s">
        <v>4714</v>
      </c>
      <c r="D4775" s="19" t="s">
        <v>20202</v>
      </c>
      <c r="E4775" s="19" t="s">
        <v>32063</v>
      </c>
      <c r="F4775" s="19" t="s">
        <v>35990</v>
      </c>
      <c r="G4775" s="18" t="str">
        <f>"66415"</f>
        <v>66415</v>
      </c>
      <c r="H4775" s="19" t="s">
        <v>36303</v>
      </c>
      <c r="I4775" s="20">
        <v>17.762</v>
      </c>
      <c r="J4775" s="44" t="s">
        <v>8</v>
      </c>
      <c r="K4775" s="23" t="s">
        <v>8</v>
      </c>
      <c r="L4775" s="23" t="s">
        <v>8</v>
      </c>
      <c r="M4775" s="23" t="s">
        <v>8</v>
      </c>
    </row>
    <row r="4776" spans="1:13" s="21" customFormat="1" x14ac:dyDescent="0.25">
      <c r="A4776" s="22" t="s">
        <v>8</v>
      </c>
      <c r="B4776" s="18" t="str">
        <f>"175376"</f>
        <v>175376</v>
      </c>
      <c r="C4776" s="19" t="s">
        <v>3254</v>
      </c>
      <c r="D4776" s="19" t="s">
        <v>20203</v>
      </c>
      <c r="E4776" s="19" t="s">
        <v>32592</v>
      </c>
      <c r="F4776" s="19" t="s">
        <v>35990</v>
      </c>
      <c r="G4776" s="18" t="str">
        <f>"66534"</f>
        <v>66534</v>
      </c>
      <c r="H4776" s="19" t="s">
        <v>36303</v>
      </c>
      <c r="I4776" s="20">
        <v>18.263000000000002</v>
      </c>
      <c r="J4776" s="44" t="s">
        <v>8</v>
      </c>
      <c r="K4776" s="23" t="s">
        <v>8</v>
      </c>
      <c r="L4776" s="23" t="s">
        <v>8</v>
      </c>
      <c r="M4776" s="23" t="s">
        <v>8</v>
      </c>
    </row>
    <row r="4777" spans="1:13" s="21" customFormat="1" x14ac:dyDescent="0.25">
      <c r="A4777" s="22" t="s">
        <v>8</v>
      </c>
      <c r="B4777" s="18" t="str">
        <f>"175377"</f>
        <v>175377</v>
      </c>
      <c r="C4777" s="19" t="s">
        <v>4715</v>
      </c>
      <c r="D4777" s="19" t="s">
        <v>20204</v>
      </c>
      <c r="E4777" s="19" t="s">
        <v>32554</v>
      </c>
      <c r="F4777" s="19" t="s">
        <v>35990</v>
      </c>
      <c r="G4777" s="18" t="str">
        <f>"67801"</f>
        <v>67801</v>
      </c>
      <c r="H4777" s="19" t="s">
        <v>36241</v>
      </c>
      <c r="I4777" s="20">
        <v>17.486000000000001</v>
      </c>
      <c r="J4777" s="44" t="s">
        <v>8</v>
      </c>
      <c r="K4777" s="23" t="s">
        <v>8</v>
      </c>
      <c r="L4777" s="23" t="s">
        <v>8</v>
      </c>
      <c r="M4777" s="23" t="s">
        <v>8</v>
      </c>
    </row>
    <row r="4778" spans="1:13" s="21" customFormat="1" x14ac:dyDescent="0.25">
      <c r="A4778" s="22" t="s">
        <v>8</v>
      </c>
      <c r="B4778" s="18" t="str">
        <f>"175379"</f>
        <v>175379</v>
      </c>
      <c r="C4778" s="19" t="s">
        <v>4716</v>
      </c>
      <c r="D4778" s="19" t="s">
        <v>20205</v>
      </c>
      <c r="E4778" s="19" t="s">
        <v>32627</v>
      </c>
      <c r="F4778" s="19" t="s">
        <v>35990</v>
      </c>
      <c r="G4778" s="18" t="str">
        <f>"67505"</f>
        <v>67505</v>
      </c>
      <c r="H4778" s="19" t="s">
        <v>33839</v>
      </c>
      <c r="I4778" s="20">
        <v>20.065999999999999</v>
      </c>
      <c r="J4778" s="44" t="s">
        <v>8</v>
      </c>
      <c r="K4778" s="23" t="s">
        <v>8</v>
      </c>
      <c r="L4778" s="23" t="s">
        <v>8</v>
      </c>
      <c r="M4778" s="23" t="s">
        <v>8</v>
      </c>
    </row>
    <row r="4779" spans="1:13" s="21" customFormat="1" x14ac:dyDescent="0.25">
      <c r="A4779" s="22" t="s">
        <v>8</v>
      </c>
      <c r="B4779" s="18" t="str">
        <f>"175380"</f>
        <v>175380</v>
      </c>
      <c r="C4779" s="19" t="s">
        <v>4717</v>
      </c>
      <c r="D4779" s="19" t="s">
        <v>20206</v>
      </c>
      <c r="E4779" s="19" t="s">
        <v>32551</v>
      </c>
      <c r="F4779" s="19" t="s">
        <v>35990</v>
      </c>
      <c r="G4779" s="18" t="str">
        <f>"67460"</f>
        <v>67460</v>
      </c>
      <c r="H4779" s="19" t="s">
        <v>32551</v>
      </c>
      <c r="I4779" s="20">
        <v>19.59</v>
      </c>
      <c r="J4779" s="44" t="s">
        <v>8</v>
      </c>
      <c r="K4779" s="23" t="s">
        <v>8</v>
      </c>
      <c r="L4779" s="23" t="s">
        <v>8</v>
      </c>
      <c r="M4779" s="23" t="s">
        <v>8</v>
      </c>
    </row>
    <row r="4780" spans="1:13" s="21" customFormat="1" x14ac:dyDescent="0.25">
      <c r="A4780" s="22" t="s">
        <v>8</v>
      </c>
      <c r="B4780" s="18" t="str">
        <f>"175383"</f>
        <v>175383</v>
      </c>
      <c r="C4780" s="19" t="s">
        <v>4718</v>
      </c>
      <c r="D4780" s="19" t="s">
        <v>20207</v>
      </c>
      <c r="E4780" s="19" t="s">
        <v>32559</v>
      </c>
      <c r="F4780" s="19" t="s">
        <v>35990</v>
      </c>
      <c r="G4780" s="18" t="str">
        <f>"67502"</f>
        <v>67502</v>
      </c>
      <c r="H4780" s="19" t="s">
        <v>33839</v>
      </c>
      <c r="I4780" s="20">
        <v>16.102</v>
      </c>
      <c r="J4780" s="44" t="s">
        <v>8</v>
      </c>
      <c r="K4780" s="23" t="s">
        <v>8</v>
      </c>
      <c r="L4780" s="23" t="s">
        <v>8</v>
      </c>
      <c r="M4780" s="23" t="s">
        <v>8</v>
      </c>
    </row>
    <row r="4781" spans="1:13" s="21" customFormat="1" x14ac:dyDescent="0.25">
      <c r="A4781" s="22" t="s">
        <v>8</v>
      </c>
      <c r="B4781" s="18" t="str">
        <f>"175384"</f>
        <v>175384</v>
      </c>
      <c r="C4781" s="19" t="s">
        <v>4719</v>
      </c>
      <c r="D4781" s="19" t="s">
        <v>20208</v>
      </c>
      <c r="E4781" s="19" t="s">
        <v>32548</v>
      </c>
      <c r="F4781" s="19" t="s">
        <v>35990</v>
      </c>
      <c r="G4781" s="18" t="str">
        <f>"66701"</f>
        <v>66701</v>
      </c>
      <c r="H4781" s="19" t="s">
        <v>36293</v>
      </c>
      <c r="I4781" s="20">
        <v>18.771000000000001</v>
      </c>
      <c r="J4781" s="44" t="s">
        <v>8</v>
      </c>
      <c r="K4781" s="23" t="s">
        <v>8</v>
      </c>
      <c r="L4781" s="23" t="s">
        <v>8</v>
      </c>
      <c r="M4781" s="23" t="s">
        <v>8</v>
      </c>
    </row>
    <row r="4782" spans="1:13" s="21" customFormat="1" x14ac:dyDescent="0.25">
      <c r="A4782" s="22" t="s">
        <v>8</v>
      </c>
      <c r="B4782" s="18" t="str">
        <f>"175385"</f>
        <v>175385</v>
      </c>
      <c r="C4782" s="19" t="s">
        <v>4720</v>
      </c>
      <c r="D4782" s="19" t="s">
        <v>20209</v>
      </c>
      <c r="E4782" s="19" t="s">
        <v>32101</v>
      </c>
      <c r="F4782" s="19" t="s">
        <v>35990</v>
      </c>
      <c r="G4782" s="18" t="str">
        <f>"67114"</f>
        <v>67114</v>
      </c>
      <c r="H4782" s="19" t="s">
        <v>31938</v>
      </c>
      <c r="I4782" s="20">
        <v>18.731999999999999</v>
      </c>
      <c r="J4782" s="44" t="s">
        <v>8</v>
      </c>
      <c r="K4782" s="23" t="s">
        <v>8</v>
      </c>
      <c r="L4782" s="23" t="s">
        <v>8</v>
      </c>
      <c r="M4782" s="23" t="s">
        <v>8</v>
      </c>
    </row>
    <row r="4783" spans="1:13" s="21" customFormat="1" x14ac:dyDescent="0.25">
      <c r="A4783" s="22" t="s">
        <v>8</v>
      </c>
      <c r="B4783" s="18" t="str">
        <f>"175386"</f>
        <v>175386</v>
      </c>
      <c r="C4783" s="19" t="s">
        <v>4721</v>
      </c>
      <c r="D4783" s="19" t="s">
        <v>20210</v>
      </c>
      <c r="E4783" s="19" t="s">
        <v>32628</v>
      </c>
      <c r="F4783" s="19" t="s">
        <v>35990</v>
      </c>
      <c r="G4783" s="18" t="str">
        <f>"67062"</f>
        <v>67062</v>
      </c>
      <c r="H4783" s="19" t="s">
        <v>31938</v>
      </c>
      <c r="I4783" s="20">
        <v>17.036000000000001</v>
      </c>
      <c r="J4783" s="44" t="s">
        <v>8</v>
      </c>
      <c r="K4783" s="23" t="s">
        <v>8</v>
      </c>
      <c r="L4783" s="23" t="s">
        <v>8</v>
      </c>
      <c r="M4783" s="23" t="s">
        <v>8</v>
      </c>
    </row>
    <row r="4784" spans="1:13" s="21" customFormat="1" x14ac:dyDescent="0.25">
      <c r="A4784" s="22" t="s">
        <v>8</v>
      </c>
      <c r="B4784" s="18" t="str">
        <f>"175387"</f>
        <v>175387</v>
      </c>
      <c r="C4784" s="19" t="s">
        <v>4722</v>
      </c>
      <c r="D4784" s="19" t="s">
        <v>20211</v>
      </c>
      <c r="E4784" s="19" t="s">
        <v>32016</v>
      </c>
      <c r="F4784" s="19" t="s">
        <v>35990</v>
      </c>
      <c r="G4784" s="18" t="str">
        <f>"67063"</f>
        <v>67063</v>
      </c>
      <c r="H4784" s="19" t="s">
        <v>30850</v>
      </c>
      <c r="I4784" s="20">
        <v>20.305</v>
      </c>
      <c r="J4784" s="44" t="s">
        <v>8</v>
      </c>
      <c r="K4784" s="23" t="s">
        <v>8</v>
      </c>
      <c r="L4784" s="23" t="s">
        <v>8</v>
      </c>
      <c r="M4784" s="23" t="s">
        <v>8</v>
      </c>
    </row>
    <row r="4785" spans="1:13" s="21" customFormat="1" x14ac:dyDescent="0.25">
      <c r="A4785" s="22" t="s">
        <v>8</v>
      </c>
      <c r="B4785" s="18" t="str">
        <f>"175389"</f>
        <v>175389</v>
      </c>
      <c r="C4785" s="19" t="s">
        <v>4723</v>
      </c>
      <c r="D4785" s="19" t="s">
        <v>20212</v>
      </c>
      <c r="E4785" s="19" t="s">
        <v>32629</v>
      </c>
      <c r="F4785" s="19" t="s">
        <v>35990</v>
      </c>
      <c r="G4785" s="18" t="str">
        <f>"66783"</f>
        <v>66783</v>
      </c>
      <c r="H4785" s="19" t="s">
        <v>36308</v>
      </c>
      <c r="I4785" s="20">
        <v>18.079000000000001</v>
      </c>
      <c r="J4785" s="44" t="s">
        <v>8</v>
      </c>
      <c r="K4785" s="23" t="s">
        <v>8</v>
      </c>
      <c r="L4785" s="23" t="s">
        <v>8</v>
      </c>
      <c r="M4785" s="23" t="s">
        <v>8</v>
      </c>
    </row>
    <row r="4786" spans="1:13" s="21" customFormat="1" x14ac:dyDescent="0.25">
      <c r="A4786" s="22" t="s">
        <v>8</v>
      </c>
      <c r="B4786" s="18" t="str">
        <f>"175396"</f>
        <v>175396</v>
      </c>
      <c r="C4786" s="19" t="s">
        <v>4724</v>
      </c>
      <c r="D4786" s="19" t="s">
        <v>20213</v>
      </c>
      <c r="E4786" s="19" t="s">
        <v>32630</v>
      </c>
      <c r="F4786" s="19" t="s">
        <v>35990</v>
      </c>
      <c r="G4786" s="18" t="str">
        <f>"67336"</f>
        <v>67336</v>
      </c>
      <c r="H4786" s="19" t="s">
        <v>36299</v>
      </c>
      <c r="I4786" s="20">
        <v>18.132000000000001</v>
      </c>
      <c r="J4786" s="44" t="s">
        <v>8</v>
      </c>
      <c r="K4786" s="23" t="s">
        <v>8</v>
      </c>
      <c r="L4786" s="23" t="s">
        <v>8</v>
      </c>
      <c r="M4786" s="23" t="s">
        <v>8</v>
      </c>
    </row>
    <row r="4787" spans="1:13" s="21" customFormat="1" x14ac:dyDescent="0.25">
      <c r="A4787" s="22" t="s">
        <v>8</v>
      </c>
      <c r="B4787" s="18" t="str">
        <f>"175397"</f>
        <v>175397</v>
      </c>
      <c r="C4787" s="19" t="s">
        <v>4725</v>
      </c>
      <c r="D4787" s="19" t="s">
        <v>20214</v>
      </c>
      <c r="E4787" s="19" t="s">
        <v>31713</v>
      </c>
      <c r="F4787" s="19" t="s">
        <v>35990</v>
      </c>
      <c r="G4787" s="18" t="str">
        <f>"66533"</f>
        <v>66533</v>
      </c>
      <c r="H4787" s="19" t="s">
        <v>32597</v>
      </c>
      <c r="I4787" s="20">
        <v>18.768000000000001</v>
      </c>
      <c r="J4787" s="44" t="s">
        <v>8</v>
      </c>
      <c r="K4787" s="23" t="s">
        <v>8</v>
      </c>
      <c r="L4787" s="23" t="s">
        <v>8</v>
      </c>
      <c r="M4787" s="23" t="s">
        <v>8</v>
      </c>
    </row>
    <row r="4788" spans="1:13" s="21" customFormat="1" x14ac:dyDescent="0.25">
      <c r="A4788" s="22" t="s">
        <v>8</v>
      </c>
      <c r="B4788" s="18" t="str">
        <f>"175399"</f>
        <v>175399</v>
      </c>
      <c r="C4788" s="19" t="s">
        <v>4726</v>
      </c>
      <c r="D4788" s="19" t="s">
        <v>20215</v>
      </c>
      <c r="E4788" s="19" t="s">
        <v>32631</v>
      </c>
      <c r="F4788" s="19" t="s">
        <v>35990</v>
      </c>
      <c r="G4788" s="18" t="str">
        <f>"67025"</f>
        <v>67025</v>
      </c>
      <c r="H4788" s="19" t="s">
        <v>32595</v>
      </c>
      <c r="I4788" s="20">
        <v>18.379000000000001</v>
      </c>
      <c r="J4788" s="44" t="s">
        <v>8</v>
      </c>
      <c r="K4788" s="23" t="s">
        <v>8</v>
      </c>
      <c r="L4788" s="23" t="s">
        <v>8</v>
      </c>
      <c r="M4788" s="23" t="s">
        <v>8</v>
      </c>
    </row>
    <row r="4789" spans="1:13" s="21" customFormat="1" x14ac:dyDescent="0.25">
      <c r="A4789" s="22" t="s">
        <v>8</v>
      </c>
      <c r="B4789" s="18" t="str">
        <f>"175401"</f>
        <v>175401</v>
      </c>
      <c r="C4789" s="19" t="s">
        <v>4727</v>
      </c>
      <c r="D4789" s="19" t="s">
        <v>20216</v>
      </c>
      <c r="E4789" s="19" t="s">
        <v>32632</v>
      </c>
      <c r="F4789" s="19" t="s">
        <v>35990</v>
      </c>
      <c r="G4789" s="18" t="str">
        <f>"66012"</f>
        <v>66012</v>
      </c>
      <c r="H4789" s="19" t="s">
        <v>36297</v>
      </c>
      <c r="I4789" s="20">
        <v>18.344999999999999</v>
      </c>
      <c r="J4789" s="44" t="s">
        <v>8</v>
      </c>
      <c r="K4789" s="23" t="s">
        <v>8</v>
      </c>
      <c r="L4789" s="23" t="s">
        <v>8</v>
      </c>
      <c r="M4789" s="23" t="s">
        <v>8</v>
      </c>
    </row>
    <row r="4790" spans="1:13" s="21" customFormat="1" x14ac:dyDescent="0.25">
      <c r="A4790" s="22" t="s">
        <v>8</v>
      </c>
      <c r="B4790" s="18" t="str">
        <f>"175402"</f>
        <v>175402</v>
      </c>
      <c r="C4790" s="19" t="s">
        <v>4728</v>
      </c>
      <c r="D4790" s="19" t="s">
        <v>20217</v>
      </c>
      <c r="E4790" s="19" t="s">
        <v>32633</v>
      </c>
      <c r="F4790" s="19" t="s">
        <v>35990</v>
      </c>
      <c r="G4790" s="18" t="str">
        <f>"67117"</f>
        <v>67117</v>
      </c>
      <c r="H4790" s="19" t="s">
        <v>31938</v>
      </c>
      <c r="I4790" s="20">
        <v>18.428999999999998</v>
      </c>
      <c r="J4790" s="44" t="s">
        <v>8</v>
      </c>
      <c r="K4790" s="23" t="s">
        <v>8</v>
      </c>
      <c r="L4790" s="23" t="s">
        <v>8</v>
      </c>
      <c r="M4790" s="23" t="s">
        <v>8</v>
      </c>
    </row>
    <row r="4791" spans="1:13" s="21" customFormat="1" x14ac:dyDescent="0.25">
      <c r="A4791" s="22" t="s">
        <v>8</v>
      </c>
      <c r="B4791" s="18" t="str">
        <f>"175403"</f>
        <v>175403</v>
      </c>
      <c r="C4791" s="19" t="s">
        <v>4729</v>
      </c>
      <c r="D4791" s="19" t="s">
        <v>20218</v>
      </c>
      <c r="E4791" s="19" t="s">
        <v>32634</v>
      </c>
      <c r="F4791" s="19" t="s">
        <v>35990</v>
      </c>
      <c r="G4791" s="18" t="str">
        <f>"67053"</f>
        <v>67053</v>
      </c>
      <c r="H4791" s="19" t="s">
        <v>30850</v>
      </c>
      <c r="I4791" s="20">
        <v>17.004999999999999</v>
      </c>
      <c r="J4791" s="44" t="s">
        <v>8</v>
      </c>
      <c r="K4791" s="23" t="s">
        <v>8</v>
      </c>
      <c r="L4791" s="23" t="s">
        <v>8</v>
      </c>
      <c r="M4791" s="23" t="s">
        <v>8</v>
      </c>
    </row>
    <row r="4792" spans="1:13" s="21" customFormat="1" x14ac:dyDescent="0.25">
      <c r="A4792" s="22" t="s">
        <v>8</v>
      </c>
      <c r="B4792" s="18" t="str">
        <f>"175404"</f>
        <v>175404</v>
      </c>
      <c r="C4792" s="19" t="s">
        <v>4730</v>
      </c>
      <c r="D4792" s="19" t="s">
        <v>20219</v>
      </c>
      <c r="E4792" s="19" t="s">
        <v>32635</v>
      </c>
      <c r="F4792" s="19" t="s">
        <v>35990</v>
      </c>
      <c r="G4792" s="18" t="str">
        <f>"67522"</f>
        <v>67522</v>
      </c>
      <c r="H4792" s="19" t="s">
        <v>33839</v>
      </c>
      <c r="I4792" s="20">
        <v>18.856000000000002</v>
      </c>
      <c r="J4792" s="44" t="s">
        <v>8</v>
      </c>
      <c r="K4792" s="23" t="s">
        <v>8</v>
      </c>
      <c r="L4792" s="23" t="s">
        <v>8</v>
      </c>
      <c r="M4792" s="23" t="s">
        <v>8</v>
      </c>
    </row>
    <row r="4793" spans="1:13" s="21" customFormat="1" x14ac:dyDescent="0.25">
      <c r="A4793" s="22" t="s">
        <v>8</v>
      </c>
      <c r="B4793" s="18" t="str">
        <f>"175405"</f>
        <v>175405</v>
      </c>
      <c r="C4793" s="19" t="s">
        <v>4731</v>
      </c>
      <c r="D4793" s="19" t="s">
        <v>20220</v>
      </c>
      <c r="E4793" s="19" t="s">
        <v>32559</v>
      </c>
      <c r="F4793" s="19" t="s">
        <v>35990</v>
      </c>
      <c r="G4793" s="18" t="str">
        <f>"67502"</f>
        <v>67502</v>
      </c>
      <c r="H4793" s="19" t="s">
        <v>33839</v>
      </c>
      <c r="I4793" s="20">
        <v>18.013999999999999</v>
      </c>
      <c r="J4793" s="44" t="s">
        <v>8</v>
      </c>
      <c r="K4793" s="23" t="s">
        <v>8</v>
      </c>
      <c r="L4793" s="23" t="s">
        <v>8</v>
      </c>
      <c r="M4793" s="23" t="s">
        <v>8</v>
      </c>
    </row>
    <row r="4794" spans="1:13" s="21" customFormat="1" x14ac:dyDescent="0.25">
      <c r="A4794" s="22" t="s">
        <v>8</v>
      </c>
      <c r="B4794" s="18" t="str">
        <f>"175406"</f>
        <v>175406</v>
      </c>
      <c r="C4794" s="19" t="s">
        <v>4375</v>
      </c>
      <c r="D4794" s="19" t="s">
        <v>20221</v>
      </c>
      <c r="E4794" s="19" t="s">
        <v>32636</v>
      </c>
      <c r="F4794" s="19" t="s">
        <v>35990</v>
      </c>
      <c r="G4794" s="18" t="str">
        <f>"67546"</f>
        <v>67546</v>
      </c>
      <c r="H4794" s="19" t="s">
        <v>32551</v>
      </c>
      <c r="I4794" s="20">
        <v>19.324999999999999</v>
      </c>
      <c r="J4794" s="44" t="s">
        <v>8</v>
      </c>
      <c r="K4794" s="23" t="s">
        <v>8</v>
      </c>
      <c r="L4794" s="23" t="s">
        <v>8</v>
      </c>
      <c r="M4794" s="23" t="s">
        <v>8</v>
      </c>
    </row>
    <row r="4795" spans="1:13" s="21" customFormat="1" x14ac:dyDescent="0.25">
      <c r="A4795" s="22" t="s">
        <v>8</v>
      </c>
      <c r="B4795" s="18" t="str">
        <f>"175407"</f>
        <v>175407</v>
      </c>
      <c r="C4795" s="19" t="s">
        <v>4732</v>
      </c>
      <c r="D4795" s="19" t="s">
        <v>20222</v>
      </c>
      <c r="E4795" s="19" t="s">
        <v>32555</v>
      </c>
      <c r="F4795" s="19" t="s">
        <v>35990</v>
      </c>
      <c r="G4795" s="18" t="str">
        <f>"67208"</f>
        <v>67208</v>
      </c>
      <c r="H4795" s="19" t="s">
        <v>32595</v>
      </c>
      <c r="I4795" s="20">
        <v>14.688000000000001</v>
      </c>
      <c r="J4795" s="44" t="s">
        <v>8</v>
      </c>
      <c r="K4795" s="23" t="s">
        <v>8</v>
      </c>
      <c r="L4795" s="23" t="s">
        <v>8</v>
      </c>
      <c r="M4795" s="23" t="s">
        <v>8</v>
      </c>
    </row>
    <row r="4796" spans="1:13" s="21" customFormat="1" x14ac:dyDescent="0.25">
      <c r="A4796" s="22" t="s">
        <v>8</v>
      </c>
      <c r="B4796" s="18" t="str">
        <f>"175409"</f>
        <v>175409</v>
      </c>
      <c r="C4796" s="19" t="s">
        <v>1387</v>
      </c>
      <c r="D4796" s="19" t="s">
        <v>20223</v>
      </c>
      <c r="E4796" s="19" t="s">
        <v>32637</v>
      </c>
      <c r="F4796" s="19" t="s">
        <v>35990</v>
      </c>
      <c r="G4796" s="18" t="str">
        <f>"67473"</f>
        <v>67473</v>
      </c>
      <c r="H4796" s="19" t="s">
        <v>32637</v>
      </c>
      <c r="I4796" s="20">
        <v>19.321999999999999</v>
      </c>
      <c r="J4796" s="44" t="s">
        <v>8</v>
      </c>
      <c r="K4796" s="23" t="s">
        <v>8</v>
      </c>
      <c r="L4796" s="23" t="s">
        <v>8</v>
      </c>
      <c r="M4796" s="23" t="s">
        <v>8</v>
      </c>
    </row>
    <row r="4797" spans="1:13" s="21" customFormat="1" x14ac:dyDescent="0.25">
      <c r="A4797" s="22" t="s">
        <v>8</v>
      </c>
      <c r="B4797" s="18" t="str">
        <f>"175410"</f>
        <v>175410</v>
      </c>
      <c r="C4797" s="19" t="s">
        <v>4733</v>
      </c>
      <c r="D4797" s="19" t="s">
        <v>20224</v>
      </c>
      <c r="E4797" s="19" t="s">
        <v>32638</v>
      </c>
      <c r="F4797" s="19" t="s">
        <v>35990</v>
      </c>
      <c r="G4797" s="18" t="str">
        <f>"67226"</f>
        <v>67226</v>
      </c>
      <c r="H4797" s="19" t="s">
        <v>32595</v>
      </c>
      <c r="I4797" s="20">
        <v>16.632000000000001</v>
      </c>
      <c r="J4797" s="44" t="s">
        <v>8</v>
      </c>
      <c r="K4797" s="23" t="s">
        <v>8</v>
      </c>
      <c r="L4797" s="23" t="s">
        <v>8</v>
      </c>
      <c r="M4797" s="23" t="s">
        <v>8</v>
      </c>
    </row>
    <row r="4798" spans="1:13" s="21" customFormat="1" x14ac:dyDescent="0.25">
      <c r="A4798" s="22" t="s">
        <v>8</v>
      </c>
      <c r="B4798" s="18" t="str">
        <f>"175411"</f>
        <v>175411</v>
      </c>
      <c r="C4798" s="19" t="s">
        <v>4734</v>
      </c>
      <c r="D4798" s="19" t="s">
        <v>20225</v>
      </c>
      <c r="E4798" s="19" t="s">
        <v>32639</v>
      </c>
      <c r="F4798" s="19" t="s">
        <v>35990</v>
      </c>
      <c r="G4798" s="18" t="str">
        <f>"66020"</f>
        <v>66020</v>
      </c>
      <c r="H4798" s="19" t="s">
        <v>32264</v>
      </c>
      <c r="I4798" s="20">
        <v>19.693000000000001</v>
      </c>
      <c r="J4798" s="44" t="s">
        <v>8</v>
      </c>
      <c r="K4798" s="23" t="s">
        <v>8</v>
      </c>
      <c r="L4798" s="23" t="s">
        <v>8</v>
      </c>
      <c r="M4798" s="23" t="s">
        <v>8</v>
      </c>
    </row>
    <row r="4799" spans="1:13" s="21" customFormat="1" x14ac:dyDescent="0.25">
      <c r="A4799" s="22" t="s">
        <v>8</v>
      </c>
      <c r="B4799" s="18" t="str">
        <f>"175412"</f>
        <v>175412</v>
      </c>
      <c r="C4799" s="19" t="s">
        <v>4735</v>
      </c>
      <c r="D4799" s="19" t="s">
        <v>20226</v>
      </c>
      <c r="E4799" s="19" t="s">
        <v>31280</v>
      </c>
      <c r="F4799" s="19" t="s">
        <v>35990</v>
      </c>
      <c r="G4799" s="18" t="str">
        <f>"66035"</f>
        <v>66035</v>
      </c>
      <c r="H4799" s="19" t="s">
        <v>33665</v>
      </c>
      <c r="I4799" s="20">
        <v>16.963000000000001</v>
      </c>
      <c r="J4799" s="44" t="s">
        <v>8</v>
      </c>
      <c r="K4799" s="23" t="s">
        <v>8</v>
      </c>
      <c r="L4799" s="23" t="s">
        <v>8</v>
      </c>
      <c r="M4799" s="23" t="s">
        <v>8</v>
      </c>
    </row>
    <row r="4800" spans="1:13" s="21" customFormat="1" x14ac:dyDescent="0.25">
      <c r="A4800" s="22" t="s">
        <v>8</v>
      </c>
      <c r="B4800" s="18" t="str">
        <f>"175413"</f>
        <v>175413</v>
      </c>
      <c r="C4800" s="19" t="s">
        <v>4736</v>
      </c>
      <c r="D4800" s="19" t="s">
        <v>20227</v>
      </c>
      <c r="E4800" s="19" t="s">
        <v>32600</v>
      </c>
      <c r="F4800" s="19" t="s">
        <v>35990</v>
      </c>
      <c r="G4800" s="18" t="str">
        <f>"66071"</f>
        <v>66071</v>
      </c>
      <c r="H4800" s="19" t="s">
        <v>31507</v>
      </c>
      <c r="I4800" s="20">
        <v>18.690999999999999</v>
      </c>
      <c r="J4800" s="44" t="s">
        <v>8</v>
      </c>
      <c r="K4800" s="23" t="s">
        <v>8</v>
      </c>
      <c r="L4800" s="23" t="s">
        <v>8</v>
      </c>
      <c r="M4800" s="23" t="s">
        <v>8</v>
      </c>
    </row>
    <row r="4801" spans="1:13" s="21" customFormat="1" x14ac:dyDescent="0.25">
      <c r="A4801" s="22" t="s">
        <v>8</v>
      </c>
      <c r="B4801" s="18" t="str">
        <f>"175414"</f>
        <v>175414</v>
      </c>
      <c r="C4801" s="19" t="s">
        <v>4737</v>
      </c>
      <c r="D4801" s="19" t="s">
        <v>20228</v>
      </c>
      <c r="E4801" s="19" t="s">
        <v>32550</v>
      </c>
      <c r="F4801" s="19" t="s">
        <v>35990</v>
      </c>
      <c r="G4801" s="18" t="str">
        <f>"67107"</f>
        <v>67107</v>
      </c>
      <c r="H4801" s="19" t="s">
        <v>32551</v>
      </c>
      <c r="I4801" s="20">
        <v>18.760999999999999</v>
      </c>
      <c r="J4801" s="44" t="s">
        <v>8</v>
      </c>
      <c r="K4801" s="23" t="s">
        <v>8</v>
      </c>
      <c r="L4801" s="23" t="s">
        <v>8</v>
      </c>
      <c r="M4801" s="23" t="s">
        <v>8</v>
      </c>
    </row>
    <row r="4802" spans="1:13" s="21" customFormat="1" x14ac:dyDescent="0.25">
      <c r="A4802" s="22" t="s">
        <v>8</v>
      </c>
      <c r="B4802" s="18" t="str">
        <f>"175415"</f>
        <v>175415</v>
      </c>
      <c r="C4802" s="19" t="s">
        <v>4738</v>
      </c>
      <c r="D4802" s="19" t="s">
        <v>20229</v>
      </c>
      <c r="E4802" s="19" t="s">
        <v>32578</v>
      </c>
      <c r="F4802" s="19" t="s">
        <v>35990</v>
      </c>
      <c r="G4802" s="18" t="str">
        <f>"67357"</f>
        <v>67357</v>
      </c>
      <c r="H4802" s="19" t="s">
        <v>36299</v>
      </c>
      <c r="I4802" s="20">
        <v>21.202999999999999</v>
      </c>
      <c r="J4802" s="44" t="s">
        <v>8</v>
      </c>
      <c r="K4802" s="23" t="s">
        <v>8</v>
      </c>
      <c r="L4802" s="23" t="s">
        <v>8</v>
      </c>
      <c r="M4802" s="23" t="s">
        <v>8</v>
      </c>
    </row>
    <row r="4803" spans="1:13" s="21" customFormat="1" x14ac:dyDescent="0.25">
      <c r="A4803" s="22" t="s">
        <v>8</v>
      </c>
      <c r="B4803" s="18" t="str">
        <f>"175416"</f>
        <v>175416</v>
      </c>
      <c r="C4803" s="19" t="s">
        <v>4739</v>
      </c>
      <c r="D4803" s="19" t="s">
        <v>20230</v>
      </c>
      <c r="E4803" s="19" t="s">
        <v>32578</v>
      </c>
      <c r="F4803" s="19" t="s">
        <v>35990</v>
      </c>
      <c r="G4803" s="18" t="str">
        <f>"67357"</f>
        <v>67357</v>
      </c>
      <c r="H4803" s="19" t="s">
        <v>36299</v>
      </c>
      <c r="I4803" s="20">
        <v>21.088999999999999</v>
      </c>
      <c r="J4803" s="44" t="s">
        <v>8</v>
      </c>
      <c r="K4803" s="23" t="s">
        <v>8</v>
      </c>
      <c r="L4803" s="23" t="s">
        <v>8</v>
      </c>
      <c r="M4803" s="23" t="s">
        <v>8</v>
      </c>
    </row>
    <row r="4804" spans="1:13" s="21" customFormat="1" x14ac:dyDescent="0.25">
      <c r="A4804" s="22" t="s">
        <v>8</v>
      </c>
      <c r="B4804" s="18" t="str">
        <f>"175417"</f>
        <v>175417</v>
      </c>
      <c r="C4804" s="19" t="s">
        <v>4740</v>
      </c>
      <c r="D4804" s="19" t="s">
        <v>20231</v>
      </c>
      <c r="E4804" s="19" t="s">
        <v>32256</v>
      </c>
      <c r="F4804" s="19" t="s">
        <v>35990</v>
      </c>
      <c r="G4804" s="18" t="str">
        <f>"66427"</f>
        <v>66427</v>
      </c>
      <c r="H4804" s="19" t="s">
        <v>31063</v>
      </c>
      <c r="I4804" s="20">
        <v>17.652999999999999</v>
      </c>
      <c r="J4804" s="44" t="s">
        <v>8</v>
      </c>
      <c r="K4804" s="23" t="s">
        <v>8</v>
      </c>
      <c r="L4804" s="23" t="s">
        <v>8</v>
      </c>
      <c r="M4804" s="23" t="s">
        <v>8</v>
      </c>
    </row>
    <row r="4805" spans="1:13" s="21" customFormat="1" x14ac:dyDescent="0.25">
      <c r="A4805" s="22" t="s">
        <v>8</v>
      </c>
      <c r="B4805" s="18" t="str">
        <f>"175419"</f>
        <v>175419</v>
      </c>
      <c r="C4805" s="19" t="s">
        <v>4741</v>
      </c>
      <c r="D4805" s="19" t="s">
        <v>20232</v>
      </c>
      <c r="E4805" s="19" t="s">
        <v>31995</v>
      </c>
      <c r="F4805" s="19" t="s">
        <v>35990</v>
      </c>
      <c r="G4805" s="18" t="str">
        <f>"67455"</f>
        <v>67455</v>
      </c>
      <c r="H4805" s="19" t="s">
        <v>31995</v>
      </c>
      <c r="I4805" s="20">
        <v>18.709</v>
      </c>
      <c r="J4805" s="44" t="s">
        <v>8</v>
      </c>
      <c r="K4805" s="23" t="s">
        <v>8</v>
      </c>
      <c r="L4805" s="23" t="s">
        <v>8</v>
      </c>
      <c r="M4805" s="23" t="s">
        <v>8</v>
      </c>
    </row>
    <row r="4806" spans="1:13" s="21" customFormat="1" x14ac:dyDescent="0.25">
      <c r="A4806" s="22" t="s">
        <v>8</v>
      </c>
      <c r="B4806" s="18" t="str">
        <f>"175420"</f>
        <v>175420</v>
      </c>
      <c r="C4806" s="19" t="s">
        <v>4742</v>
      </c>
      <c r="D4806" s="19" t="s">
        <v>20233</v>
      </c>
      <c r="E4806" s="19" t="s">
        <v>32640</v>
      </c>
      <c r="F4806" s="19" t="s">
        <v>35990</v>
      </c>
      <c r="G4806" s="18" t="str">
        <f>"66901"</f>
        <v>66901</v>
      </c>
      <c r="H4806" s="19" t="s">
        <v>36309</v>
      </c>
      <c r="I4806" s="20">
        <v>20.606000000000002</v>
      </c>
      <c r="J4806" s="44" t="s">
        <v>8</v>
      </c>
      <c r="K4806" s="23" t="s">
        <v>8</v>
      </c>
      <c r="L4806" s="23" t="s">
        <v>8</v>
      </c>
      <c r="M4806" s="23" t="s">
        <v>8</v>
      </c>
    </row>
    <row r="4807" spans="1:13" s="21" customFormat="1" x14ac:dyDescent="0.25">
      <c r="A4807" s="22" t="s">
        <v>8</v>
      </c>
      <c r="B4807" s="18" t="str">
        <f>"175422"</f>
        <v>175422</v>
      </c>
      <c r="C4807" s="19" t="s">
        <v>4743</v>
      </c>
      <c r="D4807" s="19" t="s">
        <v>20234</v>
      </c>
      <c r="E4807" s="19" t="s">
        <v>32640</v>
      </c>
      <c r="F4807" s="19" t="s">
        <v>35990</v>
      </c>
      <c r="G4807" s="18" t="str">
        <f>"66901"</f>
        <v>66901</v>
      </c>
      <c r="H4807" s="19" t="s">
        <v>36309</v>
      </c>
      <c r="I4807" s="20">
        <v>22.140999999999998</v>
      </c>
      <c r="J4807" s="44" t="s">
        <v>8</v>
      </c>
      <c r="K4807" s="23" t="s">
        <v>8</v>
      </c>
      <c r="L4807" s="23" t="s">
        <v>8</v>
      </c>
      <c r="M4807" s="23" t="s">
        <v>8</v>
      </c>
    </row>
    <row r="4808" spans="1:13" s="21" customFormat="1" x14ac:dyDescent="0.25">
      <c r="A4808" s="22" t="s">
        <v>8</v>
      </c>
      <c r="B4808" s="18" t="str">
        <f>"175423"</f>
        <v>175423</v>
      </c>
      <c r="C4808" s="19" t="s">
        <v>4744</v>
      </c>
      <c r="D4808" s="19" t="s">
        <v>20235</v>
      </c>
      <c r="E4808" s="19" t="s">
        <v>32562</v>
      </c>
      <c r="F4808" s="19" t="s">
        <v>35990</v>
      </c>
      <c r="G4808" s="18" t="str">
        <f>"67401"</f>
        <v>67401</v>
      </c>
      <c r="H4808" s="19" t="s">
        <v>33206</v>
      </c>
      <c r="I4808" s="20">
        <v>21.556999999999999</v>
      </c>
      <c r="J4808" s="44" t="s">
        <v>8</v>
      </c>
      <c r="K4808" s="23" t="s">
        <v>8</v>
      </c>
      <c r="L4808" s="23" t="s">
        <v>8</v>
      </c>
      <c r="M4808" s="23" t="s">
        <v>8</v>
      </c>
    </row>
    <row r="4809" spans="1:13" s="21" customFormat="1" x14ac:dyDescent="0.25">
      <c r="A4809" s="22" t="s">
        <v>8</v>
      </c>
      <c r="B4809" s="18" t="str">
        <f>"175424"</f>
        <v>175424</v>
      </c>
      <c r="C4809" s="19" t="s">
        <v>4745</v>
      </c>
      <c r="D4809" s="19" t="s">
        <v>20236</v>
      </c>
      <c r="E4809" s="19" t="s">
        <v>31714</v>
      </c>
      <c r="F4809" s="19" t="s">
        <v>35990</v>
      </c>
      <c r="G4809" s="18" t="str">
        <f>"67010"</f>
        <v>67010</v>
      </c>
      <c r="H4809" s="19" t="s">
        <v>30876</v>
      </c>
      <c r="I4809" s="20">
        <v>17.617999999999999</v>
      </c>
      <c r="J4809" s="44" t="s">
        <v>8</v>
      </c>
      <c r="K4809" s="23" t="s">
        <v>8</v>
      </c>
      <c r="L4809" s="23" t="s">
        <v>8</v>
      </c>
      <c r="M4809" s="23" t="s">
        <v>8</v>
      </c>
    </row>
    <row r="4810" spans="1:13" s="21" customFormat="1" x14ac:dyDescent="0.25">
      <c r="A4810" s="22" t="s">
        <v>8</v>
      </c>
      <c r="B4810" s="18" t="str">
        <f>"175425"</f>
        <v>175425</v>
      </c>
      <c r="C4810" s="19" t="s">
        <v>4746</v>
      </c>
      <c r="D4810" s="19" t="s">
        <v>20237</v>
      </c>
      <c r="E4810" s="19" t="s">
        <v>31589</v>
      </c>
      <c r="F4810" s="19" t="s">
        <v>35990</v>
      </c>
      <c r="G4810" s="18" t="str">
        <f>"66083"</f>
        <v>66083</v>
      </c>
      <c r="H4810" s="19" t="s">
        <v>36072</v>
      </c>
      <c r="I4810" s="20">
        <v>20.425000000000001</v>
      </c>
      <c r="J4810" s="44" t="s">
        <v>8</v>
      </c>
      <c r="K4810" s="23" t="s">
        <v>8</v>
      </c>
      <c r="L4810" s="23" t="s">
        <v>8</v>
      </c>
      <c r="M4810" s="23" t="s">
        <v>8</v>
      </c>
    </row>
    <row r="4811" spans="1:13" s="21" customFormat="1" x14ac:dyDescent="0.25">
      <c r="A4811" s="22" t="s">
        <v>8</v>
      </c>
      <c r="B4811" s="18" t="str">
        <f>"175426"</f>
        <v>175426</v>
      </c>
      <c r="C4811" s="19" t="s">
        <v>4747</v>
      </c>
      <c r="D4811" s="19" t="s">
        <v>20238</v>
      </c>
      <c r="E4811" s="19" t="s">
        <v>32641</v>
      </c>
      <c r="F4811" s="19" t="s">
        <v>35990</v>
      </c>
      <c r="G4811" s="18" t="str">
        <f>"66538"</f>
        <v>66538</v>
      </c>
      <c r="H4811" s="19" t="s">
        <v>36303</v>
      </c>
      <c r="I4811" s="20">
        <v>18.763000000000002</v>
      </c>
      <c r="J4811" s="44" t="s">
        <v>8</v>
      </c>
      <c r="K4811" s="23" t="s">
        <v>8</v>
      </c>
      <c r="L4811" s="23" t="s">
        <v>8</v>
      </c>
      <c r="M4811" s="23" t="s">
        <v>8</v>
      </c>
    </row>
    <row r="4812" spans="1:13" s="21" customFormat="1" x14ac:dyDescent="0.25">
      <c r="A4812" s="22" t="s">
        <v>8</v>
      </c>
      <c r="B4812" s="18" t="str">
        <f>"175429"</f>
        <v>175429</v>
      </c>
      <c r="C4812" s="19" t="s">
        <v>4748</v>
      </c>
      <c r="D4812" s="19" t="s">
        <v>20239</v>
      </c>
      <c r="E4812" s="19" t="s">
        <v>32574</v>
      </c>
      <c r="F4812" s="19" t="s">
        <v>35990</v>
      </c>
      <c r="G4812" s="18" t="str">
        <f>"67846"</f>
        <v>67846</v>
      </c>
      <c r="H4812" s="19" t="s">
        <v>36298</v>
      </c>
      <c r="I4812" s="20">
        <v>19.280999999999999</v>
      </c>
      <c r="J4812" s="44" t="s">
        <v>8</v>
      </c>
      <c r="K4812" s="23" t="s">
        <v>8</v>
      </c>
      <c r="L4812" s="23" t="s">
        <v>8</v>
      </c>
      <c r="M4812" s="23" t="s">
        <v>8</v>
      </c>
    </row>
    <row r="4813" spans="1:13" s="21" customFormat="1" x14ac:dyDescent="0.25">
      <c r="A4813" s="22" t="s">
        <v>8</v>
      </c>
      <c r="B4813" s="18" t="str">
        <f>"175433"</f>
        <v>175433</v>
      </c>
      <c r="C4813" s="19" t="s">
        <v>4749</v>
      </c>
      <c r="D4813" s="19" t="s">
        <v>20240</v>
      </c>
      <c r="E4813" s="19" t="s">
        <v>32642</v>
      </c>
      <c r="F4813" s="19" t="s">
        <v>35990</v>
      </c>
      <c r="G4813" s="18" t="str">
        <f>"66032"</f>
        <v>66032</v>
      </c>
      <c r="H4813" s="19" t="s">
        <v>32202</v>
      </c>
      <c r="I4813" s="20">
        <v>17.864999999999998</v>
      </c>
      <c r="J4813" s="44" t="s">
        <v>8</v>
      </c>
      <c r="K4813" s="23" t="s">
        <v>8</v>
      </c>
      <c r="L4813" s="23" t="s">
        <v>8</v>
      </c>
      <c r="M4813" s="23" t="s">
        <v>8</v>
      </c>
    </row>
    <row r="4814" spans="1:13" s="21" customFormat="1" x14ac:dyDescent="0.25">
      <c r="A4814" s="22" t="s">
        <v>8</v>
      </c>
      <c r="B4814" s="18" t="str">
        <f>"175434"</f>
        <v>175434</v>
      </c>
      <c r="C4814" s="19" t="s">
        <v>4750</v>
      </c>
      <c r="D4814" s="19" t="s">
        <v>20241</v>
      </c>
      <c r="E4814" s="19" t="s">
        <v>32150</v>
      </c>
      <c r="F4814" s="19" t="s">
        <v>35990</v>
      </c>
      <c r="G4814" s="18" t="str">
        <f>"67356"</f>
        <v>67356</v>
      </c>
      <c r="H4814" s="19" t="s">
        <v>36299</v>
      </c>
      <c r="I4814" s="20">
        <v>18.707000000000001</v>
      </c>
      <c r="J4814" s="44" t="s">
        <v>8</v>
      </c>
      <c r="K4814" s="23" t="s">
        <v>8</v>
      </c>
      <c r="L4814" s="23" t="s">
        <v>8</v>
      </c>
      <c r="M4814" s="23" t="s">
        <v>8</v>
      </c>
    </row>
    <row r="4815" spans="1:13" s="21" customFormat="1" x14ac:dyDescent="0.25">
      <c r="A4815" s="22" t="s">
        <v>8</v>
      </c>
      <c r="B4815" s="18" t="str">
        <f>"175435"</f>
        <v>175435</v>
      </c>
      <c r="C4815" s="19" t="s">
        <v>4751</v>
      </c>
      <c r="D4815" s="19" t="s">
        <v>20242</v>
      </c>
      <c r="E4815" s="19" t="s">
        <v>32643</v>
      </c>
      <c r="F4815" s="19" t="s">
        <v>35990</v>
      </c>
      <c r="G4815" s="18" t="str">
        <f>"66436"</f>
        <v>66436</v>
      </c>
      <c r="H4815" s="19" t="s">
        <v>30816</v>
      </c>
      <c r="I4815" s="20">
        <v>21.754999999999999</v>
      </c>
      <c r="J4815" s="44" t="s">
        <v>8</v>
      </c>
      <c r="K4815" s="23" t="s">
        <v>8</v>
      </c>
      <c r="L4815" s="23" t="s">
        <v>8</v>
      </c>
      <c r="M4815" s="23" t="s">
        <v>8</v>
      </c>
    </row>
    <row r="4816" spans="1:13" s="21" customFormat="1" x14ac:dyDescent="0.25">
      <c r="A4816" s="22" t="s">
        <v>8</v>
      </c>
      <c r="B4816" s="18" t="str">
        <f>"175436"</f>
        <v>175436</v>
      </c>
      <c r="C4816" s="19" t="s">
        <v>4752</v>
      </c>
      <c r="D4816" s="19" t="s">
        <v>20243</v>
      </c>
      <c r="E4816" s="19" t="s">
        <v>32644</v>
      </c>
      <c r="F4816" s="19" t="s">
        <v>35990</v>
      </c>
      <c r="G4816" s="18" t="str">
        <f>"67349"</f>
        <v>67349</v>
      </c>
      <c r="H4816" s="19" t="s">
        <v>36310</v>
      </c>
      <c r="I4816" s="20">
        <v>18.451000000000001</v>
      </c>
      <c r="J4816" s="44" t="s">
        <v>8</v>
      </c>
      <c r="K4816" s="23" t="s">
        <v>8</v>
      </c>
      <c r="L4816" s="23" t="s">
        <v>8</v>
      </c>
      <c r="M4816" s="23" t="s">
        <v>8</v>
      </c>
    </row>
    <row r="4817" spans="1:13" s="21" customFormat="1" x14ac:dyDescent="0.25">
      <c r="A4817" s="22" t="s">
        <v>8</v>
      </c>
      <c r="B4817" s="18" t="str">
        <f>"175437"</f>
        <v>175437</v>
      </c>
      <c r="C4817" s="19" t="s">
        <v>4753</v>
      </c>
      <c r="D4817" s="19" t="s">
        <v>20244</v>
      </c>
      <c r="E4817" s="19" t="s">
        <v>32551</v>
      </c>
      <c r="F4817" s="19" t="s">
        <v>35990</v>
      </c>
      <c r="G4817" s="18" t="str">
        <f>"67460"</f>
        <v>67460</v>
      </c>
      <c r="H4817" s="19" t="s">
        <v>32551</v>
      </c>
      <c r="I4817" s="20">
        <v>19.751999999999999</v>
      </c>
      <c r="J4817" s="44" t="s">
        <v>8</v>
      </c>
      <c r="K4817" s="23" t="s">
        <v>8</v>
      </c>
      <c r="L4817" s="23" t="s">
        <v>8</v>
      </c>
      <c r="M4817" s="23" t="s">
        <v>8</v>
      </c>
    </row>
    <row r="4818" spans="1:13" s="21" customFormat="1" x14ac:dyDescent="0.25">
      <c r="A4818" s="22" t="s">
        <v>8</v>
      </c>
      <c r="B4818" s="18" t="str">
        <f>"175439"</f>
        <v>175439</v>
      </c>
      <c r="C4818" s="19" t="s">
        <v>4754</v>
      </c>
      <c r="D4818" s="19" t="s">
        <v>20245</v>
      </c>
      <c r="E4818" s="19" t="s">
        <v>32641</v>
      </c>
      <c r="F4818" s="19" t="s">
        <v>35990</v>
      </c>
      <c r="G4818" s="18" t="str">
        <f>"66538"</f>
        <v>66538</v>
      </c>
      <c r="H4818" s="19" t="s">
        <v>36303</v>
      </c>
      <c r="I4818" s="20">
        <v>17.471</v>
      </c>
      <c r="J4818" s="44" t="s">
        <v>8</v>
      </c>
      <c r="K4818" s="23" t="s">
        <v>8</v>
      </c>
      <c r="L4818" s="23" t="s">
        <v>8</v>
      </c>
      <c r="M4818" s="23" t="s">
        <v>8</v>
      </c>
    </row>
    <row r="4819" spans="1:13" s="21" customFormat="1" x14ac:dyDescent="0.25">
      <c r="A4819" s="22" t="s">
        <v>8</v>
      </c>
      <c r="B4819" s="18" t="str">
        <f>"175440"</f>
        <v>175440</v>
      </c>
      <c r="C4819" s="19" t="s">
        <v>4755</v>
      </c>
      <c r="D4819" s="19" t="s">
        <v>20246</v>
      </c>
      <c r="E4819" s="19" t="s">
        <v>32189</v>
      </c>
      <c r="F4819" s="19" t="s">
        <v>35990</v>
      </c>
      <c r="G4819" s="18" t="str">
        <f>"66743"</f>
        <v>66743</v>
      </c>
      <c r="H4819" s="19" t="s">
        <v>31759</v>
      </c>
      <c r="I4819" s="20">
        <v>19.170000000000002</v>
      </c>
      <c r="J4819" s="44" t="s">
        <v>8</v>
      </c>
      <c r="K4819" s="23" t="s">
        <v>8</v>
      </c>
      <c r="L4819" s="23" t="s">
        <v>8</v>
      </c>
      <c r="M4819" s="23" t="s">
        <v>8</v>
      </c>
    </row>
    <row r="4820" spans="1:13" s="21" customFormat="1" x14ac:dyDescent="0.25">
      <c r="A4820" s="22" t="s">
        <v>8</v>
      </c>
      <c r="B4820" s="18" t="str">
        <f>"175441"</f>
        <v>175441</v>
      </c>
      <c r="C4820" s="19" t="s">
        <v>4756</v>
      </c>
      <c r="D4820" s="19" t="s">
        <v>20247</v>
      </c>
      <c r="E4820" s="19" t="s">
        <v>32570</v>
      </c>
      <c r="F4820" s="19" t="s">
        <v>35990</v>
      </c>
      <c r="G4820" s="18" t="str">
        <f>"66209"</f>
        <v>66209</v>
      </c>
      <c r="H4820" s="19" t="s">
        <v>36072</v>
      </c>
      <c r="I4820" s="20">
        <v>19.247</v>
      </c>
      <c r="J4820" s="44" t="s">
        <v>8</v>
      </c>
      <c r="K4820" s="23" t="s">
        <v>8</v>
      </c>
      <c r="L4820" s="23" t="s">
        <v>8</v>
      </c>
      <c r="M4820" s="23" t="s">
        <v>8</v>
      </c>
    </row>
    <row r="4821" spans="1:13" s="21" customFormat="1" x14ac:dyDescent="0.25">
      <c r="A4821" s="22" t="s">
        <v>8</v>
      </c>
      <c r="B4821" s="18" t="str">
        <f>"175444"</f>
        <v>175444</v>
      </c>
      <c r="C4821" s="19" t="s">
        <v>4757</v>
      </c>
      <c r="D4821" s="19" t="s">
        <v>20248</v>
      </c>
      <c r="E4821" s="19" t="s">
        <v>31178</v>
      </c>
      <c r="F4821" s="19" t="s">
        <v>35990</v>
      </c>
      <c r="G4821" s="18" t="str">
        <f>"66080"</f>
        <v>66080</v>
      </c>
      <c r="H4821" s="19" t="s">
        <v>5</v>
      </c>
      <c r="I4821" s="20">
        <v>17.867000000000001</v>
      </c>
      <c r="J4821" s="44" t="s">
        <v>8</v>
      </c>
      <c r="K4821" s="23" t="s">
        <v>8</v>
      </c>
      <c r="L4821" s="23" t="s">
        <v>8</v>
      </c>
      <c r="M4821" s="23" t="s">
        <v>8</v>
      </c>
    </row>
    <row r="4822" spans="1:13" s="21" customFormat="1" x14ac:dyDescent="0.25">
      <c r="A4822" s="22" t="s">
        <v>8</v>
      </c>
      <c r="B4822" s="18" t="str">
        <f>"175445"</f>
        <v>175445</v>
      </c>
      <c r="C4822" s="19" t="s">
        <v>4758</v>
      </c>
      <c r="D4822" s="19" t="s">
        <v>20249</v>
      </c>
      <c r="E4822" s="19" t="s">
        <v>32568</v>
      </c>
      <c r="F4822" s="19" t="s">
        <v>35990</v>
      </c>
      <c r="G4822" s="18" t="str">
        <f>"66049"</f>
        <v>66049</v>
      </c>
      <c r="H4822" s="19" t="s">
        <v>30966</v>
      </c>
      <c r="I4822" s="20">
        <v>23.742000000000001</v>
      </c>
      <c r="J4822" s="44" t="s">
        <v>8</v>
      </c>
      <c r="K4822" s="23" t="s">
        <v>8</v>
      </c>
      <c r="L4822" s="23" t="s">
        <v>8</v>
      </c>
      <c r="M4822" s="23" t="s">
        <v>8</v>
      </c>
    </row>
    <row r="4823" spans="1:13" s="21" customFormat="1" x14ac:dyDescent="0.25">
      <c r="A4823" s="22" t="s">
        <v>8</v>
      </c>
      <c r="B4823" s="18" t="str">
        <f>"175446"</f>
        <v>175446</v>
      </c>
      <c r="C4823" s="19" t="s">
        <v>4759</v>
      </c>
      <c r="D4823" s="19" t="s">
        <v>20250</v>
      </c>
      <c r="E4823" s="19" t="s">
        <v>32645</v>
      </c>
      <c r="F4823" s="19" t="s">
        <v>35990</v>
      </c>
      <c r="G4823" s="18" t="str">
        <f>"67056"</f>
        <v>67056</v>
      </c>
      <c r="H4823" s="19" t="s">
        <v>31938</v>
      </c>
      <c r="I4823" s="20">
        <v>18.222000000000001</v>
      </c>
      <c r="J4823" s="44" t="s">
        <v>8</v>
      </c>
      <c r="K4823" s="23" t="s">
        <v>8</v>
      </c>
      <c r="L4823" s="23" t="s">
        <v>8</v>
      </c>
      <c r="M4823" s="23" t="s">
        <v>8</v>
      </c>
    </row>
    <row r="4824" spans="1:13" s="21" customFormat="1" x14ac:dyDescent="0.25">
      <c r="A4824" s="22" t="s">
        <v>8</v>
      </c>
      <c r="B4824" s="18" t="str">
        <f>"175448"</f>
        <v>175448</v>
      </c>
      <c r="C4824" s="19" t="s">
        <v>4760</v>
      </c>
      <c r="D4824" s="19" t="s">
        <v>20251</v>
      </c>
      <c r="E4824" s="19" t="s">
        <v>31382</v>
      </c>
      <c r="F4824" s="19" t="s">
        <v>35990</v>
      </c>
      <c r="G4824" s="18" t="str">
        <f>"66061"</f>
        <v>66061</v>
      </c>
      <c r="H4824" s="19" t="s">
        <v>36072</v>
      </c>
      <c r="I4824" s="20">
        <v>18.094999999999999</v>
      </c>
      <c r="J4824" s="44" t="s">
        <v>8</v>
      </c>
      <c r="K4824" s="23" t="s">
        <v>8</v>
      </c>
      <c r="L4824" s="23" t="s">
        <v>8</v>
      </c>
      <c r="M4824" s="23" t="s">
        <v>8</v>
      </c>
    </row>
    <row r="4825" spans="1:13" s="21" customFormat="1" x14ac:dyDescent="0.25">
      <c r="A4825" s="22" t="s">
        <v>8</v>
      </c>
      <c r="B4825" s="18" t="str">
        <f>"175450"</f>
        <v>175450</v>
      </c>
      <c r="C4825" s="19" t="s">
        <v>4761</v>
      </c>
      <c r="D4825" s="19" t="s">
        <v>20252</v>
      </c>
      <c r="E4825" s="19" t="s">
        <v>30861</v>
      </c>
      <c r="F4825" s="19" t="s">
        <v>35990</v>
      </c>
      <c r="G4825" s="18" t="str">
        <f>"67119"</f>
        <v>67119</v>
      </c>
      <c r="H4825" s="19" t="s">
        <v>32524</v>
      </c>
      <c r="I4825" s="20">
        <v>18.431999999999999</v>
      </c>
      <c r="J4825" s="44" t="s">
        <v>8</v>
      </c>
      <c r="K4825" s="23" t="s">
        <v>8</v>
      </c>
      <c r="L4825" s="23" t="s">
        <v>8</v>
      </c>
      <c r="M4825" s="23" t="s">
        <v>8</v>
      </c>
    </row>
    <row r="4826" spans="1:13" s="21" customFormat="1" x14ac:dyDescent="0.25">
      <c r="A4826" s="22" t="s">
        <v>8</v>
      </c>
      <c r="B4826" s="18" t="str">
        <f>"175451"</f>
        <v>175451</v>
      </c>
      <c r="C4826" s="19" t="s">
        <v>4762</v>
      </c>
      <c r="D4826" s="19" t="s">
        <v>20253</v>
      </c>
      <c r="E4826" s="19" t="s">
        <v>32646</v>
      </c>
      <c r="F4826" s="19" t="s">
        <v>35990</v>
      </c>
      <c r="G4826" s="18" t="str">
        <f>"67154"</f>
        <v>67154</v>
      </c>
      <c r="H4826" s="19" t="s">
        <v>30876</v>
      </c>
      <c r="I4826" s="20">
        <v>18.337</v>
      </c>
      <c r="J4826" s="44" t="s">
        <v>8</v>
      </c>
      <c r="K4826" s="23" t="s">
        <v>8</v>
      </c>
      <c r="L4826" s="23" t="s">
        <v>8</v>
      </c>
      <c r="M4826" s="23" t="s">
        <v>8</v>
      </c>
    </row>
    <row r="4827" spans="1:13" s="21" customFormat="1" x14ac:dyDescent="0.25">
      <c r="A4827" s="22" t="s">
        <v>8</v>
      </c>
      <c r="B4827" s="18" t="str">
        <f>"175452"</f>
        <v>175452</v>
      </c>
      <c r="C4827" s="19" t="s">
        <v>4763</v>
      </c>
      <c r="D4827" s="19" t="s">
        <v>20254</v>
      </c>
      <c r="E4827" s="19" t="s">
        <v>32555</v>
      </c>
      <c r="F4827" s="19" t="s">
        <v>35990</v>
      </c>
      <c r="G4827" s="18" t="str">
        <f>"67218"</f>
        <v>67218</v>
      </c>
      <c r="H4827" s="19" t="s">
        <v>32595</v>
      </c>
      <c r="I4827" s="20">
        <v>19.465</v>
      </c>
      <c r="J4827" s="44" t="s">
        <v>8</v>
      </c>
      <c r="K4827" s="23" t="s">
        <v>8</v>
      </c>
      <c r="L4827" s="23" t="s">
        <v>8</v>
      </c>
      <c r="M4827" s="23" t="s">
        <v>8</v>
      </c>
    </row>
    <row r="4828" spans="1:13" s="21" customFormat="1" x14ac:dyDescent="0.25">
      <c r="A4828" s="22" t="s">
        <v>8</v>
      </c>
      <c r="B4828" s="18" t="str">
        <f>"175454"</f>
        <v>175454</v>
      </c>
      <c r="C4828" s="19" t="s">
        <v>4764</v>
      </c>
      <c r="D4828" s="19" t="s">
        <v>20255</v>
      </c>
      <c r="E4828" s="19" t="s">
        <v>31551</v>
      </c>
      <c r="F4828" s="19" t="s">
        <v>35990</v>
      </c>
      <c r="G4828" s="18" t="str">
        <f>"67026"</f>
        <v>67026</v>
      </c>
      <c r="H4828" s="19" t="s">
        <v>32595</v>
      </c>
      <c r="I4828" s="20">
        <v>20.007000000000001</v>
      </c>
      <c r="J4828" s="44" t="s">
        <v>8</v>
      </c>
      <c r="K4828" s="23" t="s">
        <v>8</v>
      </c>
      <c r="L4828" s="23" t="s">
        <v>8</v>
      </c>
      <c r="M4828" s="23" t="s">
        <v>8</v>
      </c>
    </row>
    <row r="4829" spans="1:13" s="21" customFormat="1" x14ac:dyDescent="0.25">
      <c r="A4829" s="22" t="s">
        <v>8</v>
      </c>
      <c r="B4829" s="18" t="str">
        <f>"175455"</f>
        <v>175455</v>
      </c>
      <c r="C4829" s="19" t="s">
        <v>4765</v>
      </c>
      <c r="D4829" s="19" t="s">
        <v>20256</v>
      </c>
      <c r="E4829" s="19" t="s">
        <v>32647</v>
      </c>
      <c r="F4829" s="19" t="s">
        <v>35990</v>
      </c>
      <c r="G4829" s="18" t="str">
        <f>"66423"</f>
        <v>66423</v>
      </c>
      <c r="H4829" s="19" t="s">
        <v>36307</v>
      </c>
      <c r="I4829" s="20">
        <v>18.706</v>
      </c>
      <c r="J4829" s="44" t="s">
        <v>8</v>
      </c>
      <c r="K4829" s="23" t="s">
        <v>8</v>
      </c>
      <c r="L4829" s="23" t="s">
        <v>8</v>
      </c>
      <c r="M4829" s="23" t="s">
        <v>8</v>
      </c>
    </row>
    <row r="4830" spans="1:13" s="21" customFormat="1" x14ac:dyDescent="0.25">
      <c r="A4830" s="22" t="s">
        <v>8</v>
      </c>
      <c r="B4830" s="18" t="str">
        <f>"175456"</f>
        <v>175456</v>
      </c>
      <c r="C4830" s="19" t="s">
        <v>4766</v>
      </c>
      <c r="D4830" s="19" t="s">
        <v>20257</v>
      </c>
      <c r="E4830" s="19" t="s">
        <v>32648</v>
      </c>
      <c r="F4830" s="19" t="s">
        <v>35990</v>
      </c>
      <c r="G4830" s="18" t="str">
        <f>"67110"</f>
        <v>67110</v>
      </c>
      <c r="H4830" s="19" t="s">
        <v>32595</v>
      </c>
      <c r="I4830" s="20">
        <v>18.553999999999998</v>
      </c>
      <c r="J4830" s="44" t="s">
        <v>8</v>
      </c>
      <c r="K4830" s="23" t="s">
        <v>8</v>
      </c>
      <c r="L4830" s="23" t="s">
        <v>8</v>
      </c>
      <c r="M4830" s="23" t="s">
        <v>8</v>
      </c>
    </row>
    <row r="4831" spans="1:13" s="21" customFormat="1" x14ac:dyDescent="0.25">
      <c r="A4831" s="22" t="s">
        <v>8</v>
      </c>
      <c r="B4831" s="18" t="str">
        <f>"175457"</f>
        <v>175457</v>
      </c>
      <c r="C4831" s="19" t="s">
        <v>4767</v>
      </c>
      <c r="D4831" s="19" t="s">
        <v>20258</v>
      </c>
      <c r="E4831" s="19" t="s">
        <v>32649</v>
      </c>
      <c r="F4831" s="19" t="s">
        <v>35990</v>
      </c>
      <c r="G4831" s="18" t="str">
        <f>"66866"</f>
        <v>66866</v>
      </c>
      <c r="H4831" s="19" t="s">
        <v>30850</v>
      </c>
      <c r="I4831" s="20">
        <v>18.55</v>
      </c>
      <c r="J4831" s="44" t="s">
        <v>8</v>
      </c>
      <c r="K4831" s="23" t="s">
        <v>8</v>
      </c>
      <c r="L4831" s="23" t="s">
        <v>8</v>
      </c>
      <c r="M4831" s="23" t="s">
        <v>8</v>
      </c>
    </row>
    <row r="4832" spans="1:13" s="21" customFormat="1" x14ac:dyDescent="0.25">
      <c r="A4832" s="22" t="s">
        <v>8</v>
      </c>
      <c r="B4832" s="18" t="str">
        <f>"175459"</f>
        <v>175459</v>
      </c>
      <c r="C4832" s="19" t="s">
        <v>4768</v>
      </c>
      <c r="D4832" s="19" t="s">
        <v>20259</v>
      </c>
      <c r="E4832" s="19" t="s">
        <v>32571</v>
      </c>
      <c r="F4832" s="19" t="s">
        <v>35990</v>
      </c>
      <c r="G4832" s="18" t="str">
        <f>"67901"</f>
        <v>67901</v>
      </c>
      <c r="H4832" s="19" t="s">
        <v>33835</v>
      </c>
      <c r="I4832" s="20">
        <v>18.038</v>
      </c>
      <c r="J4832" s="44" t="s">
        <v>8</v>
      </c>
      <c r="K4832" s="23" t="s">
        <v>8</v>
      </c>
      <c r="L4832" s="23" t="s">
        <v>8</v>
      </c>
      <c r="M4832" s="23" t="s">
        <v>8</v>
      </c>
    </row>
    <row r="4833" spans="1:13" s="21" customFormat="1" x14ac:dyDescent="0.25">
      <c r="A4833" s="22" t="s">
        <v>8</v>
      </c>
      <c r="B4833" s="18" t="str">
        <f>"175461"</f>
        <v>175461</v>
      </c>
      <c r="C4833" s="19" t="s">
        <v>4769</v>
      </c>
      <c r="D4833" s="19" t="s">
        <v>20260</v>
      </c>
      <c r="E4833" s="19" t="s">
        <v>32190</v>
      </c>
      <c r="F4833" s="19" t="s">
        <v>35990</v>
      </c>
      <c r="G4833" s="18" t="str">
        <f>"66739"</f>
        <v>66739</v>
      </c>
      <c r="H4833" s="19" t="s">
        <v>32436</v>
      </c>
      <c r="I4833" s="20">
        <v>18.893999999999998</v>
      </c>
      <c r="J4833" s="44" t="s">
        <v>8</v>
      </c>
      <c r="K4833" s="23" t="s">
        <v>8</v>
      </c>
      <c r="L4833" s="23" t="s">
        <v>8</v>
      </c>
      <c r="M4833" s="23" t="s">
        <v>8</v>
      </c>
    </row>
    <row r="4834" spans="1:13" s="21" customFormat="1" x14ac:dyDescent="0.25">
      <c r="A4834" s="22" t="s">
        <v>8</v>
      </c>
      <c r="B4834" s="18" t="str">
        <f>"175463"</f>
        <v>175463</v>
      </c>
      <c r="C4834" s="19" t="s">
        <v>4770</v>
      </c>
      <c r="D4834" s="19" t="s">
        <v>20261</v>
      </c>
      <c r="E4834" s="19" t="s">
        <v>32556</v>
      </c>
      <c r="F4834" s="19" t="s">
        <v>35990</v>
      </c>
      <c r="G4834" s="18" t="str">
        <f>"66614"</f>
        <v>66614</v>
      </c>
      <c r="H4834" s="19" t="s">
        <v>32597</v>
      </c>
      <c r="I4834" s="20">
        <v>16.863</v>
      </c>
      <c r="J4834" s="44" t="s">
        <v>8</v>
      </c>
      <c r="K4834" s="23" t="s">
        <v>8</v>
      </c>
      <c r="L4834" s="23" t="s">
        <v>8</v>
      </c>
      <c r="M4834" s="23" t="s">
        <v>8</v>
      </c>
    </row>
    <row r="4835" spans="1:13" s="21" customFormat="1" x14ac:dyDescent="0.25">
      <c r="A4835" s="22" t="s">
        <v>8</v>
      </c>
      <c r="B4835" s="18" t="str">
        <f>"175464"</f>
        <v>175464</v>
      </c>
      <c r="C4835" s="19" t="s">
        <v>4771</v>
      </c>
      <c r="D4835" s="19" t="s">
        <v>20262</v>
      </c>
      <c r="E4835" s="19" t="s">
        <v>32424</v>
      </c>
      <c r="F4835" s="19" t="s">
        <v>35990</v>
      </c>
      <c r="G4835" s="18" t="str">
        <f>"67301"</f>
        <v>67301</v>
      </c>
      <c r="H4835" s="19" t="s">
        <v>30833</v>
      </c>
      <c r="I4835" s="20">
        <v>16.978000000000002</v>
      </c>
      <c r="J4835" s="44" t="s">
        <v>8</v>
      </c>
      <c r="K4835" s="23" t="s">
        <v>8</v>
      </c>
      <c r="L4835" s="23" t="s">
        <v>8</v>
      </c>
      <c r="M4835" s="23" t="s">
        <v>8</v>
      </c>
    </row>
    <row r="4836" spans="1:13" s="21" customFormat="1" x14ac:dyDescent="0.25">
      <c r="A4836" s="22" t="s">
        <v>8</v>
      </c>
      <c r="B4836" s="18" t="str">
        <f>"175465"</f>
        <v>175465</v>
      </c>
      <c r="C4836" s="19" t="s">
        <v>4772</v>
      </c>
      <c r="D4836" s="19" t="s">
        <v>20263</v>
      </c>
      <c r="E4836" s="19" t="s">
        <v>31245</v>
      </c>
      <c r="F4836" s="19" t="s">
        <v>35990</v>
      </c>
      <c r="G4836" s="18" t="str">
        <f>"66762"</f>
        <v>66762</v>
      </c>
      <c r="H4836" s="19" t="s">
        <v>31759</v>
      </c>
      <c r="I4836" s="20">
        <v>16.366</v>
      </c>
      <c r="J4836" s="44" t="s">
        <v>8</v>
      </c>
      <c r="K4836" s="23" t="s">
        <v>8</v>
      </c>
      <c r="L4836" s="23" t="s">
        <v>8</v>
      </c>
      <c r="M4836" s="23" t="s">
        <v>8</v>
      </c>
    </row>
    <row r="4837" spans="1:13" s="21" customFormat="1" x14ac:dyDescent="0.25">
      <c r="A4837" s="22" t="s">
        <v>8</v>
      </c>
      <c r="B4837" s="18" t="str">
        <f>"175466"</f>
        <v>175466</v>
      </c>
      <c r="C4837" s="19" t="s">
        <v>4773</v>
      </c>
      <c r="D4837" s="19" t="s">
        <v>20264</v>
      </c>
      <c r="E4837" s="19" t="s">
        <v>32555</v>
      </c>
      <c r="F4837" s="19" t="s">
        <v>35990</v>
      </c>
      <c r="G4837" s="18" t="str">
        <f>"67203"</f>
        <v>67203</v>
      </c>
      <c r="H4837" s="19" t="s">
        <v>32595</v>
      </c>
      <c r="I4837" s="20">
        <v>19.088000000000001</v>
      </c>
      <c r="J4837" s="44" t="s">
        <v>8</v>
      </c>
      <c r="K4837" s="23" t="s">
        <v>8</v>
      </c>
      <c r="L4837" s="23" t="s">
        <v>8</v>
      </c>
      <c r="M4837" s="23" t="s">
        <v>8</v>
      </c>
    </row>
    <row r="4838" spans="1:13" s="21" customFormat="1" x14ac:dyDescent="0.25">
      <c r="A4838" s="22" t="s">
        <v>8</v>
      </c>
      <c r="B4838" s="18" t="str">
        <f>"175467"</f>
        <v>175467</v>
      </c>
      <c r="C4838" s="19" t="s">
        <v>4774</v>
      </c>
      <c r="D4838" s="19" t="s">
        <v>20265</v>
      </c>
      <c r="E4838" s="19" t="s">
        <v>32101</v>
      </c>
      <c r="F4838" s="19" t="s">
        <v>35990</v>
      </c>
      <c r="G4838" s="18" t="str">
        <f>"67114"</f>
        <v>67114</v>
      </c>
      <c r="H4838" s="19" t="s">
        <v>31938</v>
      </c>
      <c r="I4838" s="20">
        <v>16.175999999999998</v>
      </c>
      <c r="J4838" s="44" t="s">
        <v>8</v>
      </c>
      <c r="K4838" s="23" t="s">
        <v>8</v>
      </c>
      <c r="L4838" s="23" t="s">
        <v>8</v>
      </c>
      <c r="M4838" s="23" t="s">
        <v>8</v>
      </c>
    </row>
    <row r="4839" spans="1:13" s="21" customFormat="1" x14ac:dyDescent="0.25">
      <c r="A4839" s="22" t="s">
        <v>8</v>
      </c>
      <c r="B4839" s="18" t="str">
        <f>"175468"</f>
        <v>175468</v>
      </c>
      <c r="C4839" s="19" t="s">
        <v>4775</v>
      </c>
      <c r="D4839" s="19" t="s">
        <v>20266</v>
      </c>
      <c r="E4839" s="19" t="s">
        <v>32650</v>
      </c>
      <c r="F4839" s="19" t="s">
        <v>35990</v>
      </c>
      <c r="G4839" s="18" t="str">
        <f>"66771"</f>
        <v>66771</v>
      </c>
      <c r="H4839" s="19" t="s">
        <v>33615</v>
      </c>
      <c r="I4839" s="20">
        <v>19.593</v>
      </c>
      <c r="J4839" s="44" t="s">
        <v>8</v>
      </c>
      <c r="K4839" s="23" t="s">
        <v>8</v>
      </c>
      <c r="L4839" s="23" t="s">
        <v>8</v>
      </c>
      <c r="M4839" s="23" t="s">
        <v>8</v>
      </c>
    </row>
    <row r="4840" spans="1:13" s="21" customFormat="1" x14ac:dyDescent="0.25">
      <c r="A4840" s="22" t="s">
        <v>8</v>
      </c>
      <c r="B4840" s="18" t="str">
        <f>"175470"</f>
        <v>175470</v>
      </c>
      <c r="C4840" s="19" t="s">
        <v>4776</v>
      </c>
      <c r="D4840" s="19" t="s">
        <v>20267</v>
      </c>
      <c r="E4840" s="19" t="s">
        <v>32651</v>
      </c>
      <c r="F4840" s="19" t="s">
        <v>35990</v>
      </c>
      <c r="G4840" s="18" t="str">
        <f>"66713"</f>
        <v>66713</v>
      </c>
      <c r="H4840" s="19" t="s">
        <v>32436</v>
      </c>
      <c r="I4840" s="20">
        <v>20.991</v>
      </c>
      <c r="J4840" s="44" t="s">
        <v>8</v>
      </c>
      <c r="K4840" s="23" t="s">
        <v>8</v>
      </c>
      <c r="L4840" s="23" t="s">
        <v>8</v>
      </c>
      <c r="M4840" s="23" t="s">
        <v>8</v>
      </c>
    </row>
    <row r="4841" spans="1:13" s="21" customFormat="1" x14ac:dyDescent="0.25">
      <c r="A4841" s="22" t="s">
        <v>8</v>
      </c>
      <c r="B4841" s="18" t="str">
        <f>"175471"</f>
        <v>175471</v>
      </c>
      <c r="C4841" s="19" t="s">
        <v>4777</v>
      </c>
      <c r="D4841" s="19" t="s">
        <v>20268</v>
      </c>
      <c r="E4841" s="19" t="s">
        <v>32652</v>
      </c>
      <c r="F4841" s="19" t="s">
        <v>35990</v>
      </c>
      <c r="G4841" s="18" t="str">
        <f>"66549"</f>
        <v>66549</v>
      </c>
      <c r="H4841" s="19" t="s">
        <v>36300</v>
      </c>
      <c r="I4841" s="20">
        <v>18.84</v>
      </c>
      <c r="J4841" s="44" t="s">
        <v>8</v>
      </c>
      <c r="K4841" s="23" t="s">
        <v>8</v>
      </c>
      <c r="L4841" s="23" t="s">
        <v>8</v>
      </c>
      <c r="M4841" s="23" t="s">
        <v>8</v>
      </c>
    </row>
    <row r="4842" spans="1:13" s="21" customFormat="1" x14ac:dyDescent="0.25">
      <c r="A4842" s="22" t="s">
        <v>8</v>
      </c>
      <c r="B4842" s="18" t="str">
        <f>"175472"</f>
        <v>175472</v>
      </c>
      <c r="C4842" s="19" t="s">
        <v>4778</v>
      </c>
      <c r="D4842" s="19" t="s">
        <v>20269</v>
      </c>
      <c r="E4842" s="19" t="s">
        <v>32653</v>
      </c>
      <c r="F4842" s="19" t="s">
        <v>35990</v>
      </c>
      <c r="G4842" s="18" t="str">
        <f>"66018"</f>
        <v>66018</v>
      </c>
      <c r="H4842" s="19" t="s">
        <v>36072</v>
      </c>
      <c r="I4842" s="20">
        <v>19.558</v>
      </c>
      <c r="J4842" s="44" t="s">
        <v>8</v>
      </c>
      <c r="K4842" s="23" t="s">
        <v>8</v>
      </c>
      <c r="L4842" s="23" t="s">
        <v>8</v>
      </c>
      <c r="M4842" s="23" t="s">
        <v>8</v>
      </c>
    </row>
    <row r="4843" spans="1:13" s="21" customFormat="1" x14ac:dyDescent="0.25">
      <c r="A4843" s="22" t="s">
        <v>8</v>
      </c>
      <c r="B4843" s="18" t="str">
        <f>"175473"</f>
        <v>175473</v>
      </c>
      <c r="C4843" s="19" t="s">
        <v>4779</v>
      </c>
      <c r="D4843" s="19" t="s">
        <v>20270</v>
      </c>
      <c r="E4843" s="19" t="s">
        <v>32654</v>
      </c>
      <c r="F4843" s="19" t="s">
        <v>35990</v>
      </c>
      <c r="G4843" s="18" t="str">
        <f>"67445"</f>
        <v>67445</v>
      </c>
      <c r="H4843" s="19" t="s">
        <v>36309</v>
      </c>
      <c r="I4843" s="20">
        <v>18.658999999999999</v>
      </c>
      <c r="J4843" s="44" t="s">
        <v>8</v>
      </c>
      <c r="K4843" s="23" t="s">
        <v>8</v>
      </c>
      <c r="L4843" s="23" t="s">
        <v>8</v>
      </c>
      <c r="M4843" s="23" t="s">
        <v>8</v>
      </c>
    </row>
    <row r="4844" spans="1:13" s="21" customFormat="1" x14ac:dyDescent="0.25">
      <c r="A4844" s="22" t="s">
        <v>8</v>
      </c>
      <c r="B4844" s="18" t="str">
        <f>"175474"</f>
        <v>175474</v>
      </c>
      <c r="C4844" s="19" t="s">
        <v>4780</v>
      </c>
      <c r="D4844" s="19" t="s">
        <v>20271</v>
      </c>
      <c r="E4844" s="19" t="s">
        <v>32655</v>
      </c>
      <c r="F4844" s="19" t="s">
        <v>35990</v>
      </c>
      <c r="G4844" s="18" t="str">
        <f>"67431"</f>
        <v>67431</v>
      </c>
      <c r="H4844" s="19" t="s">
        <v>34382</v>
      </c>
      <c r="I4844" s="20">
        <v>18.151</v>
      </c>
      <c r="J4844" s="44" t="s">
        <v>8</v>
      </c>
      <c r="K4844" s="23" t="s">
        <v>8</v>
      </c>
      <c r="L4844" s="23" t="s">
        <v>8</v>
      </c>
      <c r="M4844" s="23" t="s">
        <v>8</v>
      </c>
    </row>
    <row r="4845" spans="1:13" s="21" customFormat="1" x14ac:dyDescent="0.25">
      <c r="A4845" s="22" t="s">
        <v>8</v>
      </c>
      <c r="B4845" s="18" t="str">
        <f>"175475"</f>
        <v>175475</v>
      </c>
      <c r="C4845" s="19" t="s">
        <v>4781</v>
      </c>
      <c r="D4845" s="19" t="s">
        <v>20272</v>
      </c>
      <c r="E4845" s="19" t="s">
        <v>30904</v>
      </c>
      <c r="F4845" s="19" t="s">
        <v>35990</v>
      </c>
      <c r="G4845" s="18" t="str">
        <f>"67441"</f>
        <v>67441</v>
      </c>
      <c r="H4845" s="19" t="s">
        <v>34382</v>
      </c>
      <c r="I4845" s="20">
        <v>19.175000000000001</v>
      </c>
      <c r="J4845" s="44" t="s">
        <v>8</v>
      </c>
      <c r="K4845" s="23" t="s">
        <v>8</v>
      </c>
      <c r="L4845" s="23" t="s">
        <v>8</v>
      </c>
      <c r="M4845" s="23" t="s">
        <v>8</v>
      </c>
    </row>
    <row r="4846" spans="1:13" s="21" customFormat="1" x14ac:dyDescent="0.25">
      <c r="A4846" s="22" t="s">
        <v>8</v>
      </c>
      <c r="B4846" s="18" t="str">
        <f>"175477"</f>
        <v>175477</v>
      </c>
      <c r="C4846" s="19" t="s">
        <v>4782</v>
      </c>
      <c r="D4846" s="19" t="s">
        <v>20273</v>
      </c>
      <c r="E4846" s="19" t="s">
        <v>32656</v>
      </c>
      <c r="F4846" s="19" t="s">
        <v>35990</v>
      </c>
      <c r="G4846" s="18" t="str">
        <f>"66449"</f>
        <v>66449</v>
      </c>
      <c r="H4846" s="19" t="s">
        <v>36296</v>
      </c>
      <c r="I4846" s="20">
        <v>19.099</v>
      </c>
      <c r="J4846" s="44" t="s">
        <v>8</v>
      </c>
      <c r="K4846" s="23" t="s">
        <v>8</v>
      </c>
      <c r="L4846" s="23" t="s">
        <v>8</v>
      </c>
      <c r="M4846" s="23" t="s">
        <v>8</v>
      </c>
    </row>
    <row r="4847" spans="1:13" s="21" customFormat="1" x14ac:dyDescent="0.25">
      <c r="A4847" s="22" t="s">
        <v>8</v>
      </c>
      <c r="B4847" s="18" t="str">
        <f>"175478"</f>
        <v>175478</v>
      </c>
      <c r="C4847" s="19" t="s">
        <v>4783</v>
      </c>
      <c r="D4847" s="19" t="s">
        <v>20274</v>
      </c>
      <c r="E4847" s="19" t="s">
        <v>32597</v>
      </c>
      <c r="F4847" s="19" t="s">
        <v>35990</v>
      </c>
      <c r="G4847" s="18" t="str">
        <f>"66216"</f>
        <v>66216</v>
      </c>
      <c r="H4847" s="19" t="s">
        <v>36072</v>
      </c>
      <c r="I4847" s="20">
        <v>14.624000000000001</v>
      </c>
      <c r="J4847" s="44" t="s">
        <v>8</v>
      </c>
      <c r="K4847" s="23" t="s">
        <v>8</v>
      </c>
      <c r="L4847" s="23" t="s">
        <v>8</v>
      </c>
      <c r="M4847" s="23" t="s">
        <v>8</v>
      </c>
    </row>
    <row r="4848" spans="1:13" s="21" customFormat="1" x14ac:dyDescent="0.25">
      <c r="A4848" s="22" t="s">
        <v>8</v>
      </c>
      <c r="B4848" s="18" t="str">
        <f>"175480"</f>
        <v>175480</v>
      </c>
      <c r="C4848" s="19" t="s">
        <v>4784</v>
      </c>
      <c r="D4848" s="19" t="s">
        <v>20275</v>
      </c>
      <c r="E4848" s="19" t="s">
        <v>32373</v>
      </c>
      <c r="F4848" s="19" t="s">
        <v>35990</v>
      </c>
      <c r="G4848" s="18" t="str">
        <f>"67646"</f>
        <v>67646</v>
      </c>
      <c r="H4848" s="19" t="s">
        <v>35674</v>
      </c>
      <c r="I4848" s="20">
        <v>18.495999999999999</v>
      </c>
      <c r="J4848" s="44" t="s">
        <v>8</v>
      </c>
      <c r="K4848" s="23" t="s">
        <v>8</v>
      </c>
      <c r="L4848" s="23" t="s">
        <v>8</v>
      </c>
      <c r="M4848" s="23" t="s">
        <v>8</v>
      </c>
    </row>
    <row r="4849" spans="1:13" s="21" customFormat="1" x14ac:dyDescent="0.25">
      <c r="A4849" s="22" t="s">
        <v>8</v>
      </c>
      <c r="B4849" s="18" t="str">
        <f>"175481"</f>
        <v>175481</v>
      </c>
      <c r="C4849" s="19" t="s">
        <v>4785</v>
      </c>
      <c r="D4849" s="19" t="s">
        <v>20276</v>
      </c>
      <c r="E4849" s="19" t="s">
        <v>32657</v>
      </c>
      <c r="F4849" s="19" t="s">
        <v>35990</v>
      </c>
      <c r="G4849" s="18" t="str">
        <f>"67108"</f>
        <v>67108</v>
      </c>
      <c r="H4849" s="19" t="s">
        <v>32595</v>
      </c>
      <c r="I4849" s="20">
        <v>17.573</v>
      </c>
      <c r="J4849" s="44" t="s">
        <v>8</v>
      </c>
      <c r="K4849" s="23" t="s">
        <v>8</v>
      </c>
      <c r="L4849" s="23" t="s">
        <v>8</v>
      </c>
      <c r="M4849" s="23" t="s">
        <v>8</v>
      </c>
    </row>
    <row r="4850" spans="1:13" s="21" customFormat="1" x14ac:dyDescent="0.25">
      <c r="A4850" s="22" t="s">
        <v>8</v>
      </c>
      <c r="B4850" s="18" t="str">
        <f>"175484"</f>
        <v>175484</v>
      </c>
      <c r="C4850" s="19" t="s">
        <v>4786</v>
      </c>
      <c r="D4850" s="19" t="s">
        <v>20277</v>
      </c>
      <c r="E4850" s="19" t="s">
        <v>32016</v>
      </c>
      <c r="F4850" s="19" t="s">
        <v>35990</v>
      </c>
      <c r="G4850" s="18" t="str">
        <f>"67063"</f>
        <v>67063</v>
      </c>
      <c r="H4850" s="19" t="s">
        <v>30850</v>
      </c>
      <c r="I4850" s="20">
        <v>19.747</v>
      </c>
      <c r="J4850" s="44" t="s">
        <v>8</v>
      </c>
      <c r="K4850" s="23" t="s">
        <v>8</v>
      </c>
      <c r="L4850" s="23" t="s">
        <v>8</v>
      </c>
      <c r="M4850" s="23" t="s">
        <v>8</v>
      </c>
    </row>
    <row r="4851" spans="1:13" s="21" customFormat="1" x14ac:dyDescent="0.25">
      <c r="A4851" s="22" t="s">
        <v>8</v>
      </c>
      <c r="B4851" s="18" t="str">
        <f>"175487"</f>
        <v>175487</v>
      </c>
      <c r="C4851" s="19" t="s">
        <v>4787</v>
      </c>
      <c r="D4851" s="19" t="s">
        <v>20278</v>
      </c>
      <c r="E4851" s="19" t="s">
        <v>32555</v>
      </c>
      <c r="F4851" s="19" t="s">
        <v>35990</v>
      </c>
      <c r="G4851" s="18" t="str">
        <f>"67213"</f>
        <v>67213</v>
      </c>
      <c r="H4851" s="19" t="s">
        <v>32595</v>
      </c>
      <c r="I4851" s="20">
        <v>17.827999999999999</v>
      </c>
      <c r="J4851" s="44" t="s">
        <v>8</v>
      </c>
      <c r="K4851" s="23" t="s">
        <v>8</v>
      </c>
      <c r="L4851" s="23" t="s">
        <v>8</v>
      </c>
      <c r="M4851" s="23" t="s">
        <v>8</v>
      </c>
    </row>
    <row r="4852" spans="1:13" s="21" customFormat="1" x14ac:dyDescent="0.25">
      <c r="A4852" s="22" t="s">
        <v>8</v>
      </c>
      <c r="B4852" s="18" t="str">
        <f>"175488"</f>
        <v>175488</v>
      </c>
      <c r="C4852" s="19" t="s">
        <v>4788</v>
      </c>
      <c r="D4852" s="19" t="s">
        <v>20279</v>
      </c>
      <c r="E4852" s="19" t="s">
        <v>30810</v>
      </c>
      <c r="F4852" s="19" t="s">
        <v>35990</v>
      </c>
      <c r="G4852" s="18" t="str">
        <f>"67156"</f>
        <v>67156</v>
      </c>
      <c r="H4852" s="19" t="s">
        <v>36295</v>
      </c>
      <c r="I4852" s="20">
        <v>18.172000000000001</v>
      </c>
      <c r="J4852" s="44" t="s">
        <v>8</v>
      </c>
      <c r="K4852" s="23" t="s">
        <v>8</v>
      </c>
      <c r="L4852" s="23" t="s">
        <v>8</v>
      </c>
      <c r="M4852" s="23" t="s">
        <v>8</v>
      </c>
    </row>
    <row r="4853" spans="1:13" s="21" customFormat="1" x14ac:dyDescent="0.25">
      <c r="A4853" s="22" t="s">
        <v>8</v>
      </c>
      <c r="B4853" s="18" t="str">
        <f>"175489"</f>
        <v>175489</v>
      </c>
      <c r="C4853" s="19" t="s">
        <v>4789</v>
      </c>
      <c r="D4853" s="19" t="s">
        <v>20280</v>
      </c>
      <c r="E4853" s="19" t="s">
        <v>32658</v>
      </c>
      <c r="F4853" s="19" t="s">
        <v>35990</v>
      </c>
      <c r="G4853" s="18" t="str">
        <f>"67570"</f>
        <v>67570</v>
      </c>
      <c r="H4853" s="19" t="s">
        <v>33839</v>
      </c>
      <c r="I4853" s="20">
        <v>21.074999999999999</v>
      </c>
      <c r="J4853" s="44" t="s">
        <v>8</v>
      </c>
      <c r="K4853" s="23" t="s">
        <v>8</v>
      </c>
      <c r="L4853" s="23" t="s">
        <v>8</v>
      </c>
      <c r="M4853" s="23" t="s">
        <v>8</v>
      </c>
    </row>
    <row r="4854" spans="1:13" s="21" customFormat="1" x14ac:dyDescent="0.25">
      <c r="A4854" s="22" t="s">
        <v>8</v>
      </c>
      <c r="B4854" s="18" t="str">
        <f>"175490"</f>
        <v>175490</v>
      </c>
      <c r="C4854" s="19" t="s">
        <v>4790</v>
      </c>
      <c r="D4854" s="19" t="s">
        <v>20281</v>
      </c>
      <c r="E4854" s="19" t="s">
        <v>32659</v>
      </c>
      <c r="F4854" s="19" t="s">
        <v>35990</v>
      </c>
      <c r="G4854" s="18" t="str">
        <f>"67449"</f>
        <v>67449</v>
      </c>
      <c r="H4854" s="19" t="s">
        <v>34382</v>
      </c>
      <c r="I4854" s="20">
        <v>22.204999999999998</v>
      </c>
      <c r="J4854" s="44" t="s">
        <v>8</v>
      </c>
      <c r="K4854" s="23" t="s">
        <v>8</v>
      </c>
      <c r="L4854" s="23" t="s">
        <v>8</v>
      </c>
      <c r="M4854" s="23" t="s">
        <v>8</v>
      </c>
    </row>
    <row r="4855" spans="1:13" s="21" customFormat="1" x14ac:dyDescent="0.25">
      <c r="A4855" s="22" t="s">
        <v>8</v>
      </c>
      <c r="B4855" s="18" t="str">
        <f>"175491"</f>
        <v>175491</v>
      </c>
      <c r="C4855" s="19" t="s">
        <v>4791</v>
      </c>
      <c r="D4855" s="19" t="s">
        <v>20282</v>
      </c>
      <c r="E4855" s="19" t="s">
        <v>31382</v>
      </c>
      <c r="F4855" s="19" t="s">
        <v>35990</v>
      </c>
      <c r="G4855" s="18" t="str">
        <f>"66061"</f>
        <v>66061</v>
      </c>
      <c r="H4855" s="19" t="s">
        <v>36072</v>
      </c>
      <c r="I4855" s="20">
        <v>19.292000000000002</v>
      </c>
      <c r="J4855" s="44" t="s">
        <v>8</v>
      </c>
      <c r="K4855" s="23" t="s">
        <v>8</v>
      </c>
      <c r="L4855" s="23" t="s">
        <v>8</v>
      </c>
      <c r="M4855" s="23" t="s">
        <v>8</v>
      </c>
    </row>
    <row r="4856" spans="1:13" s="21" customFormat="1" x14ac:dyDescent="0.25">
      <c r="A4856" s="22" t="s">
        <v>8</v>
      </c>
      <c r="B4856" s="18" t="str">
        <f>"175492"</f>
        <v>175492</v>
      </c>
      <c r="C4856" s="19" t="s">
        <v>4792</v>
      </c>
      <c r="D4856" s="19" t="s">
        <v>20283</v>
      </c>
      <c r="E4856" s="19" t="s">
        <v>32660</v>
      </c>
      <c r="F4856" s="19" t="s">
        <v>35990</v>
      </c>
      <c r="G4856" s="18" t="str">
        <f>"66938"</f>
        <v>66938</v>
      </c>
      <c r="H4856" s="19" t="s">
        <v>36309</v>
      </c>
      <c r="I4856" s="20">
        <v>18.273</v>
      </c>
      <c r="J4856" s="44" t="s">
        <v>8</v>
      </c>
      <c r="K4856" s="23" t="s">
        <v>8</v>
      </c>
      <c r="L4856" s="23" t="s">
        <v>8</v>
      </c>
      <c r="M4856" s="23" t="s">
        <v>8</v>
      </c>
    </row>
    <row r="4857" spans="1:13" s="21" customFormat="1" x14ac:dyDescent="0.25">
      <c r="A4857" s="22" t="s">
        <v>8</v>
      </c>
      <c r="B4857" s="18" t="str">
        <f>"175494"</f>
        <v>175494</v>
      </c>
      <c r="C4857" s="19" t="s">
        <v>4793</v>
      </c>
      <c r="D4857" s="19" t="s">
        <v>20284</v>
      </c>
      <c r="E4857" s="19" t="s">
        <v>32661</v>
      </c>
      <c r="F4857" s="19" t="s">
        <v>35990</v>
      </c>
      <c r="G4857" s="18" t="str">
        <f>"66953"</f>
        <v>66953</v>
      </c>
      <c r="H4857" s="19" t="s">
        <v>31500</v>
      </c>
      <c r="I4857" s="20">
        <v>17.954000000000001</v>
      </c>
      <c r="J4857" s="44" t="s">
        <v>8</v>
      </c>
      <c r="K4857" s="23" t="s">
        <v>8</v>
      </c>
      <c r="L4857" s="23" t="s">
        <v>8</v>
      </c>
      <c r="M4857" s="23" t="s">
        <v>8</v>
      </c>
    </row>
    <row r="4858" spans="1:13" s="21" customFormat="1" x14ac:dyDescent="0.25">
      <c r="A4858" s="22" t="s">
        <v>8</v>
      </c>
      <c r="B4858" s="18" t="str">
        <f>"175496"</f>
        <v>175496</v>
      </c>
      <c r="C4858" s="19" t="s">
        <v>4794</v>
      </c>
      <c r="D4858" s="19" t="s">
        <v>20285</v>
      </c>
      <c r="E4858" s="19" t="s">
        <v>32608</v>
      </c>
      <c r="F4858" s="19" t="s">
        <v>35990</v>
      </c>
      <c r="G4858" s="18" t="str">
        <f>"67124"</f>
        <v>67124</v>
      </c>
      <c r="H4858" s="19" t="s">
        <v>32608</v>
      </c>
      <c r="I4858" s="20">
        <v>20.794</v>
      </c>
      <c r="J4858" s="44" t="s">
        <v>8</v>
      </c>
      <c r="K4858" s="23" t="s">
        <v>8</v>
      </c>
      <c r="L4858" s="23" t="s">
        <v>8</v>
      </c>
      <c r="M4858" s="23" t="s">
        <v>8</v>
      </c>
    </row>
    <row r="4859" spans="1:13" s="21" customFormat="1" x14ac:dyDescent="0.25">
      <c r="A4859" s="22" t="s">
        <v>8</v>
      </c>
      <c r="B4859" s="18" t="str">
        <f>"175497"</f>
        <v>175497</v>
      </c>
      <c r="C4859" s="19" t="s">
        <v>4795</v>
      </c>
      <c r="D4859" s="19" t="s">
        <v>20286</v>
      </c>
      <c r="E4859" s="19" t="s">
        <v>3713</v>
      </c>
      <c r="F4859" s="19" t="s">
        <v>35990</v>
      </c>
      <c r="G4859" s="18" t="str">
        <f>"67464"</f>
        <v>67464</v>
      </c>
      <c r="H4859" s="19" t="s">
        <v>32551</v>
      </c>
      <c r="I4859" s="20">
        <v>21.452000000000002</v>
      </c>
      <c r="J4859" s="44" t="s">
        <v>8</v>
      </c>
      <c r="K4859" s="23" t="s">
        <v>8</v>
      </c>
      <c r="L4859" s="23" t="s">
        <v>8</v>
      </c>
      <c r="M4859" s="23" t="s">
        <v>8</v>
      </c>
    </row>
    <row r="4860" spans="1:13" s="21" customFormat="1" x14ac:dyDescent="0.25">
      <c r="A4860" s="22" t="s">
        <v>8</v>
      </c>
      <c r="B4860" s="18" t="str">
        <f>"175498"</f>
        <v>175498</v>
      </c>
      <c r="C4860" s="19" t="s">
        <v>4796</v>
      </c>
      <c r="D4860" s="19" t="s">
        <v>20287</v>
      </c>
      <c r="E4860" s="19" t="s">
        <v>32610</v>
      </c>
      <c r="F4860" s="19" t="s">
        <v>35990</v>
      </c>
      <c r="G4860" s="18" t="str">
        <f>"67601"</f>
        <v>67601</v>
      </c>
      <c r="H4860" s="19" t="s">
        <v>32612</v>
      </c>
      <c r="I4860" s="20">
        <v>17.257999999999999</v>
      </c>
      <c r="J4860" s="44" t="s">
        <v>8</v>
      </c>
      <c r="K4860" s="23" t="s">
        <v>8</v>
      </c>
      <c r="L4860" s="23" t="s">
        <v>8</v>
      </c>
      <c r="M4860" s="23" t="s">
        <v>8</v>
      </c>
    </row>
    <row r="4861" spans="1:13" s="21" customFormat="1" x14ac:dyDescent="0.25">
      <c r="A4861" s="22" t="s">
        <v>8</v>
      </c>
      <c r="B4861" s="18" t="str">
        <f>"175499"</f>
        <v>175499</v>
      </c>
      <c r="C4861" s="19" t="s">
        <v>4797</v>
      </c>
      <c r="D4861" s="19" t="s">
        <v>20288</v>
      </c>
      <c r="E4861" s="19" t="s">
        <v>32615</v>
      </c>
      <c r="F4861" s="19" t="s">
        <v>35990</v>
      </c>
      <c r="G4861" s="18" t="str">
        <f>"66208"</f>
        <v>66208</v>
      </c>
      <c r="H4861" s="19" t="s">
        <v>36072</v>
      </c>
      <c r="I4861" s="20">
        <v>19.792000000000002</v>
      </c>
      <c r="J4861" s="44" t="s">
        <v>8</v>
      </c>
      <c r="K4861" s="23" t="s">
        <v>8</v>
      </c>
      <c r="L4861" s="23" t="s">
        <v>8</v>
      </c>
      <c r="M4861" s="23" t="s">
        <v>8</v>
      </c>
    </row>
    <row r="4862" spans="1:13" s="21" customFormat="1" x14ac:dyDescent="0.25">
      <c r="A4862" s="22" t="s">
        <v>8</v>
      </c>
      <c r="B4862" s="18" t="str">
        <f>"175500"</f>
        <v>175500</v>
      </c>
      <c r="C4862" s="19" t="s">
        <v>4798</v>
      </c>
      <c r="D4862" s="19" t="s">
        <v>20289</v>
      </c>
      <c r="E4862" s="19" t="s">
        <v>32662</v>
      </c>
      <c r="F4862" s="19" t="s">
        <v>35990</v>
      </c>
      <c r="G4862" s="18" t="str">
        <f>"67834"</f>
        <v>67834</v>
      </c>
      <c r="H4862" s="19" t="s">
        <v>36241</v>
      </c>
      <c r="I4862" s="20">
        <v>18.431999999999999</v>
      </c>
      <c r="J4862" s="44" t="s">
        <v>8</v>
      </c>
      <c r="K4862" s="23" t="s">
        <v>8</v>
      </c>
      <c r="L4862" s="23" t="s">
        <v>8</v>
      </c>
      <c r="M4862" s="23" t="s">
        <v>8</v>
      </c>
    </row>
    <row r="4863" spans="1:13" s="21" customFormat="1" x14ac:dyDescent="0.25">
      <c r="A4863" s="22" t="s">
        <v>8</v>
      </c>
      <c r="B4863" s="18" t="str">
        <f>"175501"</f>
        <v>175501</v>
      </c>
      <c r="C4863" s="19" t="s">
        <v>4799</v>
      </c>
      <c r="D4863" s="19" t="s">
        <v>20290</v>
      </c>
      <c r="E4863" s="19" t="s">
        <v>32555</v>
      </c>
      <c r="F4863" s="19" t="s">
        <v>35990</v>
      </c>
      <c r="G4863" s="18" t="str">
        <f>"67209"</f>
        <v>67209</v>
      </c>
      <c r="H4863" s="19" t="s">
        <v>32595</v>
      </c>
      <c r="I4863" s="20">
        <v>18.295000000000002</v>
      </c>
      <c r="J4863" s="44" t="s">
        <v>8</v>
      </c>
      <c r="K4863" s="23" t="s">
        <v>8</v>
      </c>
      <c r="L4863" s="23" t="s">
        <v>8</v>
      </c>
      <c r="M4863" s="23" t="s">
        <v>8</v>
      </c>
    </row>
    <row r="4864" spans="1:13" s="21" customFormat="1" x14ac:dyDescent="0.25">
      <c r="A4864" s="22" t="s">
        <v>8</v>
      </c>
      <c r="B4864" s="18" t="str">
        <f>"175502"</f>
        <v>175502</v>
      </c>
      <c r="C4864" s="19" t="s">
        <v>4800</v>
      </c>
      <c r="D4864" s="19" t="s">
        <v>20291</v>
      </c>
      <c r="E4864" s="19" t="s">
        <v>32663</v>
      </c>
      <c r="F4864" s="19" t="s">
        <v>35990</v>
      </c>
      <c r="G4864" s="18" t="str">
        <f>"66025"</f>
        <v>66025</v>
      </c>
      <c r="H4864" s="19" t="s">
        <v>30966</v>
      </c>
      <c r="I4864" s="20">
        <v>18.257999999999999</v>
      </c>
      <c r="J4864" s="44" t="s">
        <v>8</v>
      </c>
      <c r="K4864" s="23" t="s">
        <v>8</v>
      </c>
      <c r="L4864" s="23" t="s">
        <v>8</v>
      </c>
      <c r="M4864" s="23" t="s">
        <v>8</v>
      </c>
    </row>
    <row r="4865" spans="1:13" s="21" customFormat="1" x14ac:dyDescent="0.25">
      <c r="A4865" s="22" t="s">
        <v>8</v>
      </c>
      <c r="B4865" s="18" t="str">
        <f>"175503"</f>
        <v>175503</v>
      </c>
      <c r="C4865" s="19" t="s">
        <v>4801</v>
      </c>
      <c r="D4865" s="19" t="s">
        <v>20292</v>
      </c>
      <c r="E4865" s="19" t="s">
        <v>31382</v>
      </c>
      <c r="F4865" s="19" t="s">
        <v>35990</v>
      </c>
      <c r="G4865" s="18" t="str">
        <f>"66062"</f>
        <v>66062</v>
      </c>
      <c r="H4865" s="19" t="s">
        <v>36072</v>
      </c>
      <c r="I4865" s="20">
        <v>20.555</v>
      </c>
      <c r="J4865" s="44" t="s">
        <v>8</v>
      </c>
      <c r="K4865" s="23" t="s">
        <v>8</v>
      </c>
      <c r="L4865" s="23" t="s">
        <v>8</v>
      </c>
      <c r="M4865" s="23" t="s">
        <v>8</v>
      </c>
    </row>
    <row r="4866" spans="1:13" s="21" customFormat="1" x14ac:dyDescent="0.25">
      <c r="A4866" s="22" t="s">
        <v>8</v>
      </c>
      <c r="B4866" s="18" t="str">
        <f>"175504"</f>
        <v>175504</v>
      </c>
      <c r="C4866" s="19" t="s">
        <v>4802</v>
      </c>
      <c r="D4866" s="19" t="s">
        <v>20293</v>
      </c>
      <c r="E4866" s="19" t="s">
        <v>32664</v>
      </c>
      <c r="F4866" s="19" t="s">
        <v>35990</v>
      </c>
      <c r="G4866" s="18" t="str">
        <f>"67031"</f>
        <v>67031</v>
      </c>
      <c r="H4866" s="19" t="s">
        <v>32524</v>
      </c>
      <c r="I4866" s="20">
        <v>18.513000000000002</v>
      </c>
      <c r="J4866" s="44" t="s">
        <v>8</v>
      </c>
      <c r="K4866" s="23" t="s">
        <v>8</v>
      </c>
      <c r="L4866" s="23" t="s">
        <v>8</v>
      </c>
      <c r="M4866" s="23" t="s">
        <v>8</v>
      </c>
    </row>
    <row r="4867" spans="1:13" s="21" customFormat="1" x14ac:dyDescent="0.25">
      <c r="A4867" s="22" t="s">
        <v>8</v>
      </c>
      <c r="B4867" s="18" t="str">
        <f>"175505"</f>
        <v>175505</v>
      </c>
      <c r="C4867" s="19" t="s">
        <v>4803</v>
      </c>
      <c r="D4867" s="19" t="s">
        <v>20294</v>
      </c>
      <c r="E4867" s="19" t="s">
        <v>32617</v>
      </c>
      <c r="F4867" s="19" t="s">
        <v>35990</v>
      </c>
      <c r="G4867" s="18" t="str">
        <f>"67420"</f>
        <v>67420</v>
      </c>
      <c r="H4867" s="19" t="s">
        <v>32259</v>
      </c>
      <c r="I4867" s="20">
        <v>21.122</v>
      </c>
      <c r="J4867" s="44" t="s">
        <v>8</v>
      </c>
      <c r="K4867" s="23" t="s">
        <v>8</v>
      </c>
      <c r="L4867" s="23" t="s">
        <v>8</v>
      </c>
      <c r="M4867" s="23" t="s">
        <v>8</v>
      </c>
    </row>
    <row r="4868" spans="1:13" s="21" customFormat="1" x14ac:dyDescent="0.25">
      <c r="A4868" s="22" t="s">
        <v>8</v>
      </c>
      <c r="B4868" s="18" t="str">
        <f>"175506"</f>
        <v>175506</v>
      </c>
      <c r="C4868" s="19" t="s">
        <v>4804</v>
      </c>
      <c r="D4868" s="19" t="s">
        <v>20295</v>
      </c>
      <c r="E4868" s="19" t="s">
        <v>32665</v>
      </c>
      <c r="F4868" s="19" t="s">
        <v>35990</v>
      </c>
      <c r="G4868" s="18" t="str">
        <f>"67654"</f>
        <v>67654</v>
      </c>
      <c r="H4868" s="19" t="s">
        <v>32665</v>
      </c>
      <c r="I4868" s="20">
        <v>18.681000000000001</v>
      </c>
      <c r="J4868" s="44" t="s">
        <v>8</v>
      </c>
      <c r="K4868" s="23" t="s">
        <v>8</v>
      </c>
      <c r="L4868" s="23" t="s">
        <v>8</v>
      </c>
      <c r="M4868" s="23" t="s">
        <v>8</v>
      </c>
    </row>
    <row r="4869" spans="1:13" s="21" customFormat="1" x14ac:dyDescent="0.25">
      <c r="A4869" s="22" t="s">
        <v>8</v>
      </c>
      <c r="B4869" s="18" t="str">
        <f>"175507"</f>
        <v>175507</v>
      </c>
      <c r="C4869" s="19" t="s">
        <v>4805</v>
      </c>
      <c r="D4869" s="19" t="s">
        <v>20296</v>
      </c>
      <c r="E4869" s="19" t="s">
        <v>32666</v>
      </c>
      <c r="F4869" s="19" t="s">
        <v>35990</v>
      </c>
      <c r="G4869" s="18" t="str">
        <f>"67456"</f>
        <v>67456</v>
      </c>
      <c r="H4869" s="19" t="s">
        <v>32551</v>
      </c>
      <c r="I4869" s="20">
        <v>19.187999999999999</v>
      </c>
      <c r="J4869" s="44" t="s">
        <v>8</v>
      </c>
      <c r="K4869" s="23" t="s">
        <v>8</v>
      </c>
      <c r="L4869" s="23" t="s">
        <v>8</v>
      </c>
      <c r="M4869" s="23" t="s">
        <v>8</v>
      </c>
    </row>
    <row r="4870" spans="1:13" s="21" customFormat="1" x14ac:dyDescent="0.25">
      <c r="A4870" s="22" t="s">
        <v>8</v>
      </c>
      <c r="B4870" s="18" t="str">
        <f>"175508"</f>
        <v>175508</v>
      </c>
      <c r="C4870" s="19" t="s">
        <v>4806</v>
      </c>
      <c r="D4870" s="19" t="s">
        <v>20297</v>
      </c>
      <c r="E4870" s="19" t="s">
        <v>32532</v>
      </c>
      <c r="F4870" s="19" t="s">
        <v>35990</v>
      </c>
      <c r="G4870" s="18" t="str">
        <f>"66434"</f>
        <v>66434</v>
      </c>
      <c r="H4870" s="19" t="s">
        <v>36244</v>
      </c>
      <c r="I4870" s="20">
        <v>19.352</v>
      </c>
      <c r="J4870" s="44" t="s">
        <v>8</v>
      </c>
      <c r="K4870" s="23" t="s">
        <v>8</v>
      </c>
      <c r="L4870" s="23" t="s">
        <v>8</v>
      </c>
      <c r="M4870" s="23" t="s">
        <v>8</v>
      </c>
    </row>
    <row r="4871" spans="1:13" s="21" customFormat="1" x14ac:dyDescent="0.25">
      <c r="A4871" s="22" t="s">
        <v>8</v>
      </c>
      <c r="B4871" s="18" t="str">
        <f>"175509"</f>
        <v>175509</v>
      </c>
      <c r="C4871" s="19" t="s">
        <v>4807</v>
      </c>
      <c r="D4871" s="19" t="s">
        <v>20298</v>
      </c>
      <c r="E4871" s="19" t="s">
        <v>32667</v>
      </c>
      <c r="F4871" s="19" t="s">
        <v>35990</v>
      </c>
      <c r="G4871" s="18" t="str">
        <f>"67457"</f>
        <v>67457</v>
      </c>
      <c r="H4871" s="19" t="s">
        <v>36306</v>
      </c>
      <c r="I4871" s="20">
        <v>17.734000000000002</v>
      </c>
      <c r="J4871" s="44" t="s">
        <v>8</v>
      </c>
      <c r="K4871" s="23" t="s">
        <v>8</v>
      </c>
      <c r="L4871" s="23" t="s">
        <v>8</v>
      </c>
      <c r="M4871" s="23" t="s">
        <v>8</v>
      </c>
    </row>
    <row r="4872" spans="1:13" s="21" customFormat="1" x14ac:dyDescent="0.25">
      <c r="A4872" s="22" t="s">
        <v>8</v>
      </c>
      <c r="B4872" s="18" t="str">
        <f>"175511"</f>
        <v>175511</v>
      </c>
      <c r="C4872" s="19" t="s">
        <v>4808</v>
      </c>
      <c r="D4872" s="19" t="s">
        <v>20299</v>
      </c>
      <c r="E4872" s="19" t="s">
        <v>32424</v>
      </c>
      <c r="F4872" s="19" t="s">
        <v>35990</v>
      </c>
      <c r="G4872" s="18" t="str">
        <f>"67301"</f>
        <v>67301</v>
      </c>
      <c r="H4872" s="19" t="s">
        <v>30833</v>
      </c>
      <c r="I4872" s="20">
        <v>18.09</v>
      </c>
      <c r="J4872" s="44" t="s">
        <v>8</v>
      </c>
      <c r="K4872" s="23" t="s">
        <v>8</v>
      </c>
      <c r="L4872" s="23" t="s">
        <v>8</v>
      </c>
      <c r="M4872" s="23" t="s">
        <v>8</v>
      </c>
    </row>
    <row r="4873" spans="1:13" s="21" customFormat="1" x14ac:dyDescent="0.25">
      <c r="A4873" s="22" t="s">
        <v>8</v>
      </c>
      <c r="B4873" s="18" t="str">
        <f>"175512"</f>
        <v>175512</v>
      </c>
      <c r="C4873" s="19" t="s">
        <v>4809</v>
      </c>
      <c r="D4873" s="19" t="s">
        <v>20300</v>
      </c>
      <c r="E4873" s="19" t="s">
        <v>31500</v>
      </c>
      <c r="F4873" s="19" t="s">
        <v>35990</v>
      </c>
      <c r="G4873" s="18" t="str">
        <f>"66968"</f>
        <v>66968</v>
      </c>
      <c r="H4873" s="19" t="s">
        <v>31500</v>
      </c>
      <c r="I4873" s="20">
        <v>18.635000000000002</v>
      </c>
      <c r="J4873" s="44" t="s">
        <v>8</v>
      </c>
      <c r="K4873" s="23" t="s">
        <v>8</v>
      </c>
      <c r="L4873" s="23" t="s">
        <v>8</v>
      </c>
      <c r="M4873" s="23" t="s">
        <v>8</v>
      </c>
    </row>
    <row r="4874" spans="1:13" s="21" customFormat="1" x14ac:dyDescent="0.25">
      <c r="A4874" s="22" t="s">
        <v>8</v>
      </c>
      <c r="B4874" s="18" t="str">
        <f>"175513"</f>
        <v>175513</v>
      </c>
      <c r="C4874" s="19" t="s">
        <v>4810</v>
      </c>
      <c r="D4874" s="19" t="s">
        <v>20301</v>
      </c>
      <c r="E4874" s="19" t="s">
        <v>32350</v>
      </c>
      <c r="F4874" s="19" t="s">
        <v>35990</v>
      </c>
      <c r="G4874" s="18" t="str">
        <f>"67801"</f>
        <v>67801</v>
      </c>
      <c r="H4874" s="19" t="s">
        <v>36241</v>
      </c>
      <c r="I4874" s="20">
        <v>18.471</v>
      </c>
      <c r="J4874" s="44" t="s">
        <v>8</v>
      </c>
      <c r="K4874" s="23" t="s">
        <v>8</v>
      </c>
      <c r="L4874" s="23" t="s">
        <v>8</v>
      </c>
      <c r="M4874" s="23" t="s">
        <v>8</v>
      </c>
    </row>
    <row r="4875" spans="1:13" s="21" customFormat="1" x14ac:dyDescent="0.25">
      <c r="A4875" s="22" t="s">
        <v>8</v>
      </c>
      <c r="B4875" s="18" t="str">
        <f>"175514"</f>
        <v>175514</v>
      </c>
      <c r="C4875" s="19" t="s">
        <v>4811</v>
      </c>
      <c r="D4875" s="19" t="s">
        <v>20302</v>
      </c>
      <c r="E4875" s="19" t="s">
        <v>31402</v>
      </c>
      <c r="F4875" s="19" t="s">
        <v>35990</v>
      </c>
      <c r="G4875" s="18" t="str">
        <f>"67037"</f>
        <v>67037</v>
      </c>
      <c r="H4875" s="19" t="s">
        <v>32595</v>
      </c>
      <c r="I4875" s="20">
        <v>18.628</v>
      </c>
      <c r="J4875" s="44" t="s">
        <v>8</v>
      </c>
      <c r="K4875" s="23" t="s">
        <v>8</v>
      </c>
      <c r="L4875" s="23" t="s">
        <v>8</v>
      </c>
      <c r="M4875" s="23" t="s">
        <v>8</v>
      </c>
    </row>
    <row r="4876" spans="1:13" s="21" customFormat="1" x14ac:dyDescent="0.25">
      <c r="A4876" s="22" t="s">
        <v>8</v>
      </c>
      <c r="B4876" s="18" t="str">
        <f>"175515"</f>
        <v>175515</v>
      </c>
      <c r="C4876" s="19" t="s">
        <v>4812</v>
      </c>
      <c r="D4876" s="19" t="s">
        <v>20303</v>
      </c>
      <c r="E4876" s="19" t="s">
        <v>32668</v>
      </c>
      <c r="F4876" s="19" t="s">
        <v>35990</v>
      </c>
      <c r="G4876" s="18" t="str">
        <f>"67672"</f>
        <v>67672</v>
      </c>
      <c r="H4876" s="19" t="s">
        <v>36311</v>
      </c>
      <c r="I4876" s="20">
        <v>19.456</v>
      </c>
      <c r="J4876" s="44" t="s">
        <v>8</v>
      </c>
      <c r="K4876" s="23" t="s">
        <v>8</v>
      </c>
      <c r="L4876" s="23" t="s">
        <v>8</v>
      </c>
      <c r="M4876" s="23" t="s">
        <v>8</v>
      </c>
    </row>
    <row r="4877" spans="1:13" s="21" customFormat="1" x14ac:dyDescent="0.25">
      <c r="A4877" s="22" t="s">
        <v>8</v>
      </c>
      <c r="B4877" s="18" t="str">
        <f>"175516"</f>
        <v>175516</v>
      </c>
      <c r="C4877" s="19" t="s">
        <v>4813</v>
      </c>
      <c r="D4877" s="19" t="s">
        <v>20304</v>
      </c>
      <c r="E4877" s="19" t="s">
        <v>30810</v>
      </c>
      <c r="F4877" s="19" t="s">
        <v>35990</v>
      </c>
      <c r="G4877" s="18" t="str">
        <f>"67156"</f>
        <v>67156</v>
      </c>
      <c r="H4877" s="19" t="s">
        <v>36295</v>
      </c>
      <c r="I4877" s="20">
        <v>18.292000000000002</v>
      </c>
      <c r="J4877" s="44" t="s">
        <v>8</v>
      </c>
      <c r="K4877" s="23" t="s">
        <v>8</v>
      </c>
      <c r="L4877" s="23" t="s">
        <v>8</v>
      </c>
      <c r="M4877" s="23" t="s">
        <v>8</v>
      </c>
    </row>
    <row r="4878" spans="1:13" s="21" customFormat="1" x14ac:dyDescent="0.25">
      <c r="A4878" s="22" t="s">
        <v>8</v>
      </c>
      <c r="B4878" s="18" t="str">
        <f>"175517"</f>
        <v>175517</v>
      </c>
      <c r="C4878" s="19" t="s">
        <v>4814</v>
      </c>
      <c r="D4878" s="19" t="s">
        <v>20305</v>
      </c>
      <c r="E4878" s="19" t="s">
        <v>32570</v>
      </c>
      <c r="F4878" s="19" t="s">
        <v>35990</v>
      </c>
      <c r="G4878" s="18" t="str">
        <f>"66209"</f>
        <v>66209</v>
      </c>
      <c r="H4878" s="19" t="s">
        <v>36072</v>
      </c>
      <c r="I4878" s="20">
        <v>19.824000000000002</v>
      </c>
      <c r="J4878" s="44" t="s">
        <v>8</v>
      </c>
      <c r="K4878" s="23" t="s">
        <v>8</v>
      </c>
      <c r="L4878" s="23" t="s">
        <v>8</v>
      </c>
      <c r="M4878" s="23" t="s">
        <v>8</v>
      </c>
    </row>
    <row r="4879" spans="1:13" s="21" customFormat="1" x14ac:dyDescent="0.25">
      <c r="A4879" s="22" t="s">
        <v>8</v>
      </c>
      <c r="B4879" s="18" t="str">
        <f>"175518"</f>
        <v>175518</v>
      </c>
      <c r="C4879" s="19" t="s">
        <v>4815</v>
      </c>
      <c r="D4879" s="19" t="s">
        <v>20306</v>
      </c>
      <c r="E4879" s="19" t="s">
        <v>31931</v>
      </c>
      <c r="F4879" s="19" t="s">
        <v>35990</v>
      </c>
      <c r="G4879" s="18" t="str">
        <f>"66935"</f>
        <v>66935</v>
      </c>
      <c r="H4879" s="19" t="s">
        <v>33624</v>
      </c>
      <c r="I4879" s="20">
        <v>18.614000000000001</v>
      </c>
      <c r="J4879" s="44" t="s">
        <v>8</v>
      </c>
      <c r="K4879" s="23" t="s">
        <v>8</v>
      </c>
      <c r="L4879" s="23" t="s">
        <v>8</v>
      </c>
      <c r="M4879" s="23" t="s">
        <v>8</v>
      </c>
    </row>
    <row r="4880" spans="1:13" s="21" customFormat="1" x14ac:dyDescent="0.25">
      <c r="A4880" s="22" t="s">
        <v>8</v>
      </c>
      <c r="B4880" s="18" t="str">
        <f>"175519"</f>
        <v>175519</v>
      </c>
      <c r="C4880" s="19" t="s">
        <v>4816</v>
      </c>
      <c r="D4880" s="19" t="s">
        <v>20307</v>
      </c>
      <c r="E4880" s="19" t="s">
        <v>30956</v>
      </c>
      <c r="F4880" s="19" t="s">
        <v>35990</v>
      </c>
      <c r="G4880" s="18" t="str">
        <f>"66767"</f>
        <v>66767</v>
      </c>
      <c r="H4880" s="19" t="s">
        <v>32661</v>
      </c>
      <c r="I4880" s="20">
        <v>18.994</v>
      </c>
      <c r="J4880" s="44" t="s">
        <v>8</v>
      </c>
      <c r="K4880" s="23" t="s">
        <v>8</v>
      </c>
      <c r="L4880" s="23" t="s">
        <v>8</v>
      </c>
      <c r="M4880" s="23" t="s">
        <v>8</v>
      </c>
    </row>
    <row r="4881" spans="1:13" s="21" customFormat="1" x14ac:dyDescent="0.25">
      <c r="A4881" s="22" t="s">
        <v>8</v>
      </c>
      <c r="B4881" s="18" t="str">
        <f>"175520"</f>
        <v>175520</v>
      </c>
      <c r="C4881" s="19" t="s">
        <v>4817</v>
      </c>
      <c r="D4881" s="19" t="s">
        <v>20308</v>
      </c>
      <c r="E4881" s="19" t="s">
        <v>32569</v>
      </c>
      <c r="F4881" s="19" t="s">
        <v>35990</v>
      </c>
      <c r="G4881" s="18" t="str">
        <f>"67002"</f>
        <v>67002</v>
      </c>
      <c r="H4881" s="19" t="s">
        <v>30876</v>
      </c>
      <c r="I4881" s="20">
        <v>18.3</v>
      </c>
      <c r="J4881" s="44" t="s">
        <v>8</v>
      </c>
      <c r="K4881" s="23" t="s">
        <v>8</v>
      </c>
      <c r="L4881" s="23" t="s">
        <v>8</v>
      </c>
      <c r="M4881" s="23" t="s">
        <v>8</v>
      </c>
    </row>
    <row r="4882" spans="1:13" s="21" customFormat="1" x14ac:dyDescent="0.25">
      <c r="A4882" s="22" t="s">
        <v>8</v>
      </c>
      <c r="B4882" s="18" t="str">
        <f>"175521"</f>
        <v>175521</v>
      </c>
      <c r="C4882" s="19" t="s">
        <v>4818</v>
      </c>
      <c r="D4882" s="19" t="s">
        <v>20309</v>
      </c>
      <c r="E4882" s="19" t="s">
        <v>30964</v>
      </c>
      <c r="F4882" s="19" t="s">
        <v>35990</v>
      </c>
      <c r="G4882" s="18" t="str">
        <f>"67068"</f>
        <v>67068</v>
      </c>
      <c r="H4882" s="19" t="s">
        <v>30964</v>
      </c>
      <c r="I4882" s="20">
        <v>18.318999999999999</v>
      </c>
      <c r="J4882" s="44" t="s">
        <v>8</v>
      </c>
      <c r="K4882" s="23" t="s">
        <v>8</v>
      </c>
      <c r="L4882" s="23" t="s">
        <v>8</v>
      </c>
      <c r="M4882" s="23" t="s">
        <v>8</v>
      </c>
    </row>
    <row r="4883" spans="1:13" s="21" customFormat="1" x14ac:dyDescent="0.25">
      <c r="A4883" s="22" t="s">
        <v>8</v>
      </c>
      <c r="B4883" s="18" t="str">
        <f>"175522"</f>
        <v>175522</v>
      </c>
      <c r="C4883" s="19" t="s">
        <v>4819</v>
      </c>
      <c r="D4883" s="19" t="s">
        <v>20310</v>
      </c>
      <c r="E4883" s="19" t="s">
        <v>32603</v>
      </c>
      <c r="F4883" s="19" t="s">
        <v>35990</v>
      </c>
      <c r="G4883" s="18" t="str">
        <f>"67530"</f>
        <v>67530</v>
      </c>
      <c r="H4883" s="19" t="s">
        <v>35358</v>
      </c>
      <c r="I4883" s="20">
        <v>20.074999999999999</v>
      </c>
      <c r="J4883" s="44" t="s">
        <v>8</v>
      </c>
      <c r="K4883" s="23" t="s">
        <v>8</v>
      </c>
      <c r="L4883" s="23" t="s">
        <v>8</v>
      </c>
      <c r="M4883" s="23" t="s">
        <v>8</v>
      </c>
    </row>
    <row r="4884" spans="1:13" s="21" customFormat="1" x14ac:dyDescent="0.25">
      <c r="A4884" s="22" t="s">
        <v>8</v>
      </c>
      <c r="B4884" s="18" t="str">
        <f>"175523"</f>
        <v>175523</v>
      </c>
      <c r="C4884" s="19" t="s">
        <v>4820</v>
      </c>
      <c r="D4884" s="19" t="s">
        <v>20311</v>
      </c>
      <c r="E4884" s="19" t="s">
        <v>32556</v>
      </c>
      <c r="F4884" s="19" t="s">
        <v>35990</v>
      </c>
      <c r="G4884" s="18" t="str">
        <f>"66604"</f>
        <v>66604</v>
      </c>
      <c r="H4884" s="19" t="s">
        <v>32597</v>
      </c>
      <c r="I4884" s="20">
        <v>18.530999999999999</v>
      </c>
      <c r="J4884" s="44" t="s">
        <v>8</v>
      </c>
      <c r="K4884" s="23" t="s">
        <v>8</v>
      </c>
      <c r="L4884" s="23" t="s">
        <v>8</v>
      </c>
      <c r="M4884" s="23" t="s">
        <v>8</v>
      </c>
    </row>
    <row r="4885" spans="1:13" s="21" customFormat="1" x14ac:dyDescent="0.25">
      <c r="A4885" s="22" t="s">
        <v>8</v>
      </c>
      <c r="B4885" s="18" t="str">
        <f>"175524"</f>
        <v>175524</v>
      </c>
      <c r="C4885" s="19" t="s">
        <v>4821</v>
      </c>
      <c r="D4885" s="19" t="s">
        <v>20312</v>
      </c>
      <c r="E4885" s="19" t="s">
        <v>32669</v>
      </c>
      <c r="F4885" s="19" t="s">
        <v>35990</v>
      </c>
      <c r="G4885" s="18" t="str">
        <f>"67758"</f>
        <v>67758</v>
      </c>
      <c r="H4885" s="19" t="s">
        <v>34313</v>
      </c>
      <c r="I4885" s="20">
        <v>18.545999999999999</v>
      </c>
      <c r="J4885" s="44" t="s">
        <v>8</v>
      </c>
      <c r="K4885" s="23" t="s">
        <v>8</v>
      </c>
      <c r="L4885" s="23" t="s">
        <v>8</v>
      </c>
      <c r="M4885" s="23" t="s">
        <v>8</v>
      </c>
    </row>
    <row r="4886" spans="1:13" s="21" customFormat="1" x14ac:dyDescent="0.25">
      <c r="A4886" s="22" t="s">
        <v>8</v>
      </c>
      <c r="B4886" s="18" t="str">
        <f>"175525"</f>
        <v>175525</v>
      </c>
      <c r="C4886" s="19" t="s">
        <v>4822</v>
      </c>
      <c r="D4886" s="19" t="s">
        <v>20313</v>
      </c>
      <c r="E4886" s="19" t="s">
        <v>32670</v>
      </c>
      <c r="F4886" s="19" t="s">
        <v>35990</v>
      </c>
      <c r="G4886" s="18" t="str">
        <f>"67871"</f>
        <v>67871</v>
      </c>
      <c r="H4886" s="19" t="s">
        <v>36083</v>
      </c>
      <c r="I4886" s="20">
        <v>21.334</v>
      </c>
      <c r="J4886" s="44" t="s">
        <v>8</v>
      </c>
      <c r="K4886" s="23" t="s">
        <v>8</v>
      </c>
      <c r="L4886" s="23" t="s">
        <v>8</v>
      </c>
      <c r="M4886" s="23" t="s">
        <v>8</v>
      </c>
    </row>
    <row r="4887" spans="1:13" s="21" customFormat="1" x14ac:dyDescent="0.25">
      <c r="A4887" s="22" t="s">
        <v>8</v>
      </c>
      <c r="B4887" s="18" t="str">
        <f>"175526"</f>
        <v>175526</v>
      </c>
      <c r="C4887" s="19" t="s">
        <v>4823</v>
      </c>
      <c r="D4887" s="19" t="s">
        <v>20314</v>
      </c>
      <c r="E4887" s="19" t="s">
        <v>31206</v>
      </c>
      <c r="F4887" s="19" t="s">
        <v>35990</v>
      </c>
      <c r="G4887" s="18" t="str">
        <f>"67844"</f>
        <v>67844</v>
      </c>
      <c r="H4887" s="19" t="s">
        <v>36312</v>
      </c>
      <c r="I4887" s="20">
        <v>18.91</v>
      </c>
      <c r="J4887" s="44" t="s">
        <v>8</v>
      </c>
      <c r="K4887" s="23" t="s">
        <v>8</v>
      </c>
      <c r="L4887" s="23" t="s">
        <v>8</v>
      </c>
      <c r="M4887" s="23" t="s">
        <v>8</v>
      </c>
    </row>
    <row r="4888" spans="1:13" s="21" customFormat="1" x14ac:dyDescent="0.25">
      <c r="A4888" s="22" t="s">
        <v>8</v>
      </c>
      <c r="B4888" s="18" t="str">
        <f>"175527"</f>
        <v>175527</v>
      </c>
      <c r="C4888" s="19" t="s">
        <v>4824</v>
      </c>
      <c r="D4888" s="19" t="s">
        <v>20315</v>
      </c>
      <c r="E4888" s="19" t="s">
        <v>32555</v>
      </c>
      <c r="F4888" s="19" t="s">
        <v>35990</v>
      </c>
      <c r="G4888" s="18" t="str">
        <f>"67206"</f>
        <v>67206</v>
      </c>
      <c r="H4888" s="19" t="s">
        <v>32595</v>
      </c>
      <c r="I4888" s="20">
        <v>17.838000000000001</v>
      </c>
      <c r="J4888" s="44" t="s">
        <v>8</v>
      </c>
      <c r="K4888" s="23" t="s">
        <v>8</v>
      </c>
      <c r="L4888" s="23" t="s">
        <v>8</v>
      </c>
      <c r="M4888" s="23" t="s">
        <v>8</v>
      </c>
    </row>
    <row r="4889" spans="1:13" s="21" customFormat="1" x14ac:dyDescent="0.25">
      <c r="A4889" s="22" t="s">
        <v>8</v>
      </c>
      <c r="B4889" s="18" t="str">
        <f>"175528"</f>
        <v>175528</v>
      </c>
      <c r="C4889" s="19" t="s">
        <v>4825</v>
      </c>
      <c r="D4889" s="19" t="s">
        <v>20316</v>
      </c>
      <c r="E4889" s="19" t="s">
        <v>31750</v>
      </c>
      <c r="F4889" s="19" t="s">
        <v>35990</v>
      </c>
      <c r="G4889" s="18" t="str">
        <f>"67867"</f>
        <v>67867</v>
      </c>
      <c r="H4889" s="19" t="s">
        <v>31780</v>
      </c>
      <c r="I4889" s="20">
        <v>18.632999999999999</v>
      </c>
      <c r="J4889" s="44" t="s">
        <v>8</v>
      </c>
      <c r="K4889" s="23" t="s">
        <v>8</v>
      </c>
      <c r="L4889" s="23" t="s">
        <v>8</v>
      </c>
      <c r="M4889" s="23" t="s">
        <v>8</v>
      </c>
    </row>
    <row r="4890" spans="1:13" s="21" customFormat="1" x14ac:dyDescent="0.25">
      <c r="A4890" s="22" t="s">
        <v>8</v>
      </c>
      <c r="B4890" s="18" t="str">
        <f>"175529"</f>
        <v>175529</v>
      </c>
      <c r="C4890" s="19" t="s">
        <v>4826</v>
      </c>
      <c r="D4890" s="19" t="s">
        <v>20317</v>
      </c>
      <c r="E4890" s="19" t="s">
        <v>32671</v>
      </c>
      <c r="F4890" s="19" t="s">
        <v>35990</v>
      </c>
      <c r="G4890" s="18" t="str">
        <f>"67576"</f>
        <v>67576</v>
      </c>
      <c r="H4890" s="19" t="s">
        <v>32672</v>
      </c>
      <c r="I4890" s="20">
        <v>19.675000000000001</v>
      </c>
      <c r="J4890" s="44" t="s">
        <v>8</v>
      </c>
      <c r="K4890" s="23" t="s">
        <v>8</v>
      </c>
      <c r="L4890" s="23" t="s">
        <v>8</v>
      </c>
      <c r="M4890" s="23" t="s">
        <v>8</v>
      </c>
    </row>
    <row r="4891" spans="1:13" s="21" customFormat="1" x14ac:dyDescent="0.25">
      <c r="A4891" s="22" t="s">
        <v>8</v>
      </c>
      <c r="B4891" s="18" t="str">
        <f>"175530"</f>
        <v>175530</v>
      </c>
      <c r="C4891" s="19" t="s">
        <v>4827</v>
      </c>
      <c r="D4891" s="19" t="s">
        <v>20318</v>
      </c>
      <c r="E4891" s="19" t="s">
        <v>32672</v>
      </c>
      <c r="F4891" s="19" t="s">
        <v>35990</v>
      </c>
      <c r="G4891" s="18" t="str">
        <f>"67578"</f>
        <v>67578</v>
      </c>
      <c r="H4891" s="19" t="s">
        <v>32672</v>
      </c>
      <c r="I4891" s="20">
        <v>19.308</v>
      </c>
      <c r="J4891" s="44" t="s">
        <v>8</v>
      </c>
      <c r="K4891" s="23" t="s">
        <v>8</v>
      </c>
      <c r="L4891" s="23" t="s">
        <v>8</v>
      </c>
      <c r="M4891" s="23" t="s">
        <v>8</v>
      </c>
    </row>
    <row r="4892" spans="1:13" s="21" customFormat="1" x14ac:dyDescent="0.25">
      <c r="A4892" s="22" t="s">
        <v>8</v>
      </c>
      <c r="B4892" s="18" t="str">
        <f>"175531"</f>
        <v>175531</v>
      </c>
      <c r="C4892" s="19" t="s">
        <v>4828</v>
      </c>
      <c r="D4892" s="19" t="s">
        <v>20319</v>
      </c>
      <c r="E4892" s="19" t="s">
        <v>32566</v>
      </c>
      <c r="F4892" s="19" t="s">
        <v>35990</v>
      </c>
      <c r="G4892" s="18" t="str">
        <f>"66002"</f>
        <v>66002</v>
      </c>
      <c r="H4892" s="19" t="s">
        <v>32566</v>
      </c>
      <c r="I4892" s="20">
        <v>17.739999999999998</v>
      </c>
      <c r="J4892" s="44" t="s">
        <v>8</v>
      </c>
      <c r="K4892" s="23" t="s">
        <v>8</v>
      </c>
      <c r="L4892" s="23" t="s">
        <v>8</v>
      </c>
      <c r="M4892" s="23" t="s">
        <v>8</v>
      </c>
    </row>
    <row r="4893" spans="1:13" s="21" customFormat="1" x14ac:dyDescent="0.25">
      <c r="A4893" s="22" t="s">
        <v>8</v>
      </c>
      <c r="B4893" s="18" t="str">
        <f>"175532"</f>
        <v>175532</v>
      </c>
      <c r="C4893" s="19" t="s">
        <v>4829</v>
      </c>
      <c r="D4893" s="19" t="s">
        <v>20320</v>
      </c>
      <c r="E4893" s="19" t="s">
        <v>32555</v>
      </c>
      <c r="F4893" s="19" t="s">
        <v>35990</v>
      </c>
      <c r="G4893" s="18" t="str">
        <f>"67228"</f>
        <v>67228</v>
      </c>
      <c r="H4893" s="19" t="s">
        <v>32595</v>
      </c>
      <c r="I4893" s="20">
        <v>17.43</v>
      </c>
      <c r="J4893" s="44" t="s">
        <v>8</v>
      </c>
      <c r="K4893" s="23" t="s">
        <v>8</v>
      </c>
      <c r="L4893" s="23" t="s">
        <v>8</v>
      </c>
      <c r="M4893" s="23" t="s">
        <v>8</v>
      </c>
    </row>
    <row r="4894" spans="1:13" s="21" customFormat="1" x14ac:dyDescent="0.25">
      <c r="A4894" s="22" t="s">
        <v>8</v>
      </c>
      <c r="B4894" s="18" t="str">
        <f>"175533"</f>
        <v>175533</v>
      </c>
      <c r="C4894" s="19" t="s">
        <v>4830</v>
      </c>
      <c r="D4894" s="19" t="s">
        <v>20321</v>
      </c>
      <c r="E4894" s="19" t="s">
        <v>32113</v>
      </c>
      <c r="F4894" s="19" t="s">
        <v>35990</v>
      </c>
      <c r="G4894" s="18" t="str">
        <f>"66043"</f>
        <v>66043</v>
      </c>
      <c r="H4894" s="19" t="s">
        <v>32264</v>
      </c>
      <c r="I4894" s="20">
        <v>21.436</v>
      </c>
      <c r="J4894" s="44" t="s">
        <v>8</v>
      </c>
      <c r="K4894" s="23" t="s">
        <v>8</v>
      </c>
      <c r="L4894" s="23" t="s">
        <v>8</v>
      </c>
      <c r="M4894" s="23" t="s">
        <v>8</v>
      </c>
    </row>
    <row r="4895" spans="1:13" s="21" customFormat="1" x14ac:dyDescent="0.25">
      <c r="A4895" s="22" t="s">
        <v>8</v>
      </c>
      <c r="B4895" s="18" t="s">
        <v>36983</v>
      </c>
      <c r="C4895" s="19" t="s">
        <v>4831</v>
      </c>
      <c r="D4895" s="19" t="s">
        <v>20322</v>
      </c>
      <c r="E4895" s="19" t="s">
        <v>32560</v>
      </c>
      <c r="F4895" s="19" t="s">
        <v>35990</v>
      </c>
      <c r="G4895" s="18" t="str">
        <f>"66215"</f>
        <v>66215</v>
      </c>
      <c r="H4895" s="19" t="s">
        <v>36072</v>
      </c>
      <c r="I4895" s="20">
        <v>17.257999999999999</v>
      </c>
      <c r="J4895" s="44" t="s">
        <v>8</v>
      </c>
      <c r="K4895" s="23" t="s">
        <v>8</v>
      </c>
      <c r="L4895" s="23" t="s">
        <v>8</v>
      </c>
      <c r="M4895" s="23" t="s">
        <v>8</v>
      </c>
    </row>
    <row r="4896" spans="1:13" s="21" customFormat="1" x14ac:dyDescent="0.25">
      <c r="A4896" s="22" t="s">
        <v>8</v>
      </c>
      <c r="B4896" s="18" t="str">
        <f>"175537"</f>
        <v>175537</v>
      </c>
      <c r="C4896" s="19" t="s">
        <v>4832</v>
      </c>
      <c r="D4896" s="19" t="s">
        <v>20323</v>
      </c>
      <c r="E4896" s="19" t="s">
        <v>32610</v>
      </c>
      <c r="F4896" s="19" t="s">
        <v>35990</v>
      </c>
      <c r="G4896" s="18" t="str">
        <f>"67601"</f>
        <v>67601</v>
      </c>
      <c r="H4896" s="19" t="s">
        <v>32612</v>
      </c>
      <c r="I4896" s="20">
        <v>20.478999999999999</v>
      </c>
      <c r="J4896" s="44" t="s">
        <v>8</v>
      </c>
      <c r="K4896" s="23" t="s">
        <v>8</v>
      </c>
      <c r="L4896" s="23" t="s">
        <v>8</v>
      </c>
      <c r="M4896" s="23" t="s">
        <v>8</v>
      </c>
    </row>
    <row r="4897" spans="1:13" s="21" customFormat="1" x14ac:dyDescent="0.25">
      <c r="A4897" s="22" t="s">
        <v>8</v>
      </c>
      <c r="B4897" s="18" t="str">
        <f>"175539"</f>
        <v>175539</v>
      </c>
      <c r="C4897" s="19" t="s">
        <v>4833</v>
      </c>
      <c r="D4897" s="19" t="s">
        <v>20324</v>
      </c>
      <c r="E4897" s="19" t="s">
        <v>32555</v>
      </c>
      <c r="F4897" s="19" t="s">
        <v>35990</v>
      </c>
      <c r="G4897" s="18" t="str">
        <f>"67205"</f>
        <v>67205</v>
      </c>
      <c r="H4897" s="19" t="s">
        <v>32595</v>
      </c>
      <c r="I4897" s="20">
        <v>17.042999999999999</v>
      </c>
      <c r="J4897" s="44" t="s">
        <v>8</v>
      </c>
      <c r="K4897" s="23" t="s">
        <v>8</v>
      </c>
      <c r="L4897" s="23" t="s">
        <v>8</v>
      </c>
      <c r="M4897" s="23" t="s">
        <v>8</v>
      </c>
    </row>
    <row r="4898" spans="1:13" s="21" customFormat="1" x14ac:dyDescent="0.25">
      <c r="A4898" s="22" t="s">
        <v>8</v>
      </c>
      <c r="B4898" s="18" t="str">
        <f>"175540"</f>
        <v>175540</v>
      </c>
      <c r="C4898" s="19" t="s">
        <v>4834</v>
      </c>
      <c r="D4898" s="19" t="s">
        <v>20325</v>
      </c>
      <c r="E4898" s="19" t="s">
        <v>31382</v>
      </c>
      <c r="F4898" s="19" t="s">
        <v>35990</v>
      </c>
      <c r="G4898" s="18" t="str">
        <f>"66062"</f>
        <v>66062</v>
      </c>
      <c r="H4898" s="19" t="s">
        <v>36072</v>
      </c>
      <c r="I4898" s="20">
        <v>17.702999999999999</v>
      </c>
      <c r="J4898" s="44" t="s">
        <v>8</v>
      </c>
      <c r="K4898" s="23" t="s">
        <v>8</v>
      </c>
      <c r="L4898" s="23" t="s">
        <v>8</v>
      </c>
      <c r="M4898" s="23" t="s">
        <v>8</v>
      </c>
    </row>
    <row r="4899" spans="1:13" s="21" customFormat="1" x14ac:dyDescent="0.25">
      <c r="A4899" s="22" t="s">
        <v>8</v>
      </c>
      <c r="B4899" s="18" t="str">
        <f>"175541"</f>
        <v>175541</v>
      </c>
      <c r="C4899" s="19" t="s">
        <v>4835</v>
      </c>
      <c r="D4899" s="19" t="s">
        <v>20326</v>
      </c>
      <c r="E4899" s="19" t="s">
        <v>32570</v>
      </c>
      <c r="F4899" s="19" t="s">
        <v>35990</v>
      </c>
      <c r="G4899" s="18" t="str">
        <f>"66223"</f>
        <v>66223</v>
      </c>
      <c r="H4899" s="19" t="s">
        <v>36072</v>
      </c>
      <c r="I4899" s="20">
        <v>17.989999999999998</v>
      </c>
      <c r="J4899" s="44" t="s">
        <v>8</v>
      </c>
      <c r="K4899" s="23" t="s">
        <v>8</v>
      </c>
      <c r="L4899" s="23" t="s">
        <v>8</v>
      </c>
      <c r="M4899" s="23" t="s">
        <v>8</v>
      </c>
    </row>
    <row r="4900" spans="1:13" s="21" customFormat="1" x14ac:dyDescent="0.25">
      <c r="A4900" s="22" t="s">
        <v>8</v>
      </c>
      <c r="B4900" s="18" t="str">
        <f>"175542"</f>
        <v>175542</v>
      </c>
      <c r="C4900" s="19" t="s">
        <v>4836</v>
      </c>
      <c r="D4900" s="19" t="s">
        <v>20327</v>
      </c>
      <c r="E4900" s="19" t="s">
        <v>32570</v>
      </c>
      <c r="F4900" s="19" t="s">
        <v>35990</v>
      </c>
      <c r="G4900" s="18" t="str">
        <f>"66207"</f>
        <v>66207</v>
      </c>
      <c r="H4900" s="19" t="s">
        <v>36072</v>
      </c>
      <c r="I4900" s="20">
        <v>21.626000000000001</v>
      </c>
      <c r="J4900" s="44" t="s">
        <v>8</v>
      </c>
      <c r="K4900" s="23" t="s">
        <v>8</v>
      </c>
      <c r="L4900" s="23" t="s">
        <v>8</v>
      </c>
      <c r="M4900" s="23" t="s">
        <v>8</v>
      </c>
    </row>
    <row r="4901" spans="1:13" s="21" customFormat="1" x14ac:dyDescent="0.25">
      <c r="A4901" s="22" t="s">
        <v>8</v>
      </c>
      <c r="B4901" s="18" t="str">
        <f>"175543"</f>
        <v>175543</v>
      </c>
      <c r="C4901" s="19" t="s">
        <v>4837</v>
      </c>
      <c r="D4901" s="19" t="s">
        <v>20328</v>
      </c>
      <c r="E4901" s="19" t="s">
        <v>32555</v>
      </c>
      <c r="F4901" s="19" t="s">
        <v>35990</v>
      </c>
      <c r="G4901" s="18" t="str">
        <f>"67203"</f>
        <v>67203</v>
      </c>
      <c r="H4901" s="19" t="s">
        <v>32595</v>
      </c>
      <c r="I4901" s="20">
        <v>17.195</v>
      </c>
      <c r="J4901" s="44" t="s">
        <v>8</v>
      </c>
      <c r="K4901" s="23" t="s">
        <v>8</v>
      </c>
      <c r="L4901" s="23" t="s">
        <v>8</v>
      </c>
      <c r="M4901" s="23" t="s">
        <v>8</v>
      </c>
    </row>
    <row r="4902" spans="1:13" s="21" customFormat="1" x14ac:dyDescent="0.25">
      <c r="A4902" s="22" t="s">
        <v>8</v>
      </c>
      <c r="B4902" s="18" t="str">
        <f>"175544"</f>
        <v>175544</v>
      </c>
      <c r="C4902" s="19" t="s">
        <v>4838</v>
      </c>
      <c r="D4902" s="19" t="s">
        <v>20329</v>
      </c>
      <c r="E4902" s="19" t="s">
        <v>32565</v>
      </c>
      <c r="F4902" s="19" t="s">
        <v>35990</v>
      </c>
      <c r="G4902" s="18" t="str">
        <f>"66103"</f>
        <v>66103</v>
      </c>
      <c r="H4902" s="19" t="s">
        <v>36297</v>
      </c>
      <c r="I4902" s="20">
        <v>22.091000000000001</v>
      </c>
      <c r="J4902" s="44" t="s">
        <v>8</v>
      </c>
      <c r="K4902" s="23" t="s">
        <v>8</v>
      </c>
      <c r="L4902" s="23" t="s">
        <v>8</v>
      </c>
      <c r="M4902" s="23" t="s">
        <v>8</v>
      </c>
    </row>
    <row r="4903" spans="1:13" s="21" customFormat="1" x14ac:dyDescent="0.25">
      <c r="A4903" s="22" t="s">
        <v>8</v>
      </c>
      <c r="B4903" s="18" t="str">
        <f>"175545"</f>
        <v>175545</v>
      </c>
      <c r="C4903" s="19" t="s">
        <v>4839</v>
      </c>
      <c r="D4903" s="19" t="s">
        <v>20330</v>
      </c>
      <c r="E4903" s="19" t="s">
        <v>32673</v>
      </c>
      <c r="F4903" s="19" t="s">
        <v>35990</v>
      </c>
      <c r="G4903" s="18" t="str">
        <f>"67035"</f>
        <v>67035</v>
      </c>
      <c r="H4903" s="19" t="s">
        <v>30964</v>
      </c>
      <c r="I4903" s="20">
        <v>17.651</v>
      </c>
      <c r="J4903" s="44" t="s">
        <v>8</v>
      </c>
      <c r="K4903" s="23" t="s">
        <v>8</v>
      </c>
      <c r="L4903" s="23" t="s">
        <v>8</v>
      </c>
      <c r="M4903" s="23" t="s">
        <v>8</v>
      </c>
    </row>
    <row r="4904" spans="1:13" s="21" customFormat="1" x14ac:dyDescent="0.25">
      <c r="A4904" s="22" t="s">
        <v>8</v>
      </c>
      <c r="B4904" s="18" t="str">
        <f>"175546"</f>
        <v>175546</v>
      </c>
      <c r="C4904" s="19" t="s">
        <v>4840</v>
      </c>
      <c r="D4904" s="19" t="s">
        <v>20331</v>
      </c>
      <c r="E4904" s="19" t="s">
        <v>32674</v>
      </c>
      <c r="F4904" s="19" t="s">
        <v>35990</v>
      </c>
      <c r="G4904" s="18" t="str">
        <f>"66439"</f>
        <v>66439</v>
      </c>
      <c r="H4904" s="19" t="s">
        <v>36244</v>
      </c>
      <c r="I4904" s="20">
        <v>18.771999999999998</v>
      </c>
      <c r="J4904" s="44" t="s">
        <v>8</v>
      </c>
      <c r="K4904" s="23" t="s">
        <v>8</v>
      </c>
      <c r="L4904" s="23" t="s">
        <v>8</v>
      </c>
      <c r="M4904" s="23" t="s">
        <v>8</v>
      </c>
    </row>
    <row r="4905" spans="1:13" s="21" customFormat="1" x14ac:dyDescent="0.25">
      <c r="A4905" s="22" t="s">
        <v>8</v>
      </c>
      <c r="B4905" s="18" t="str">
        <f>"175547"</f>
        <v>175547</v>
      </c>
      <c r="C4905" s="19" t="s">
        <v>4841</v>
      </c>
      <c r="D4905" s="19" t="s">
        <v>20332</v>
      </c>
      <c r="E4905" s="19" t="s">
        <v>32556</v>
      </c>
      <c r="F4905" s="19" t="s">
        <v>35990</v>
      </c>
      <c r="G4905" s="18" t="str">
        <f>"66606"</f>
        <v>66606</v>
      </c>
      <c r="H4905" s="19" t="s">
        <v>32597</v>
      </c>
      <c r="I4905" s="20">
        <v>19.460999999999999</v>
      </c>
      <c r="J4905" s="44" t="s">
        <v>8</v>
      </c>
      <c r="K4905" s="23" t="s">
        <v>8</v>
      </c>
      <c r="L4905" s="23" t="s">
        <v>8</v>
      </c>
      <c r="M4905" s="23" t="s">
        <v>8</v>
      </c>
    </row>
    <row r="4906" spans="1:13" s="21" customFormat="1" x14ac:dyDescent="0.25">
      <c r="A4906" s="22" t="s">
        <v>8</v>
      </c>
      <c r="B4906" s="18" t="str">
        <f>"175548"</f>
        <v>175548</v>
      </c>
      <c r="C4906" s="19" t="s">
        <v>4842</v>
      </c>
      <c r="D4906" s="19" t="s">
        <v>20333</v>
      </c>
      <c r="E4906" s="19" t="s">
        <v>32565</v>
      </c>
      <c r="F4906" s="19" t="s">
        <v>35990</v>
      </c>
      <c r="G4906" s="18" t="str">
        <f>"66112"</f>
        <v>66112</v>
      </c>
      <c r="H4906" s="19" t="s">
        <v>36297</v>
      </c>
      <c r="I4906" s="20">
        <v>18.606999999999999</v>
      </c>
      <c r="J4906" s="44" t="s">
        <v>8</v>
      </c>
      <c r="K4906" s="23" t="s">
        <v>8</v>
      </c>
      <c r="L4906" s="23" t="s">
        <v>8</v>
      </c>
      <c r="M4906" s="23" t="s">
        <v>8</v>
      </c>
    </row>
    <row r="4907" spans="1:13" s="21" customFormat="1" x14ac:dyDescent="0.25">
      <c r="A4907" s="22" t="s">
        <v>8</v>
      </c>
      <c r="B4907" s="18" t="str">
        <f>"175549"</f>
        <v>175549</v>
      </c>
      <c r="C4907" s="19" t="s">
        <v>4843</v>
      </c>
      <c r="D4907" s="19" t="s">
        <v>20334</v>
      </c>
      <c r="E4907" s="19" t="s">
        <v>32570</v>
      </c>
      <c r="F4907" s="19" t="s">
        <v>35990</v>
      </c>
      <c r="G4907" s="18" t="str">
        <f>"66213"</f>
        <v>66213</v>
      </c>
      <c r="H4907" s="19" t="s">
        <v>36072</v>
      </c>
      <c r="I4907" s="20">
        <v>18.309999999999999</v>
      </c>
      <c r="J4907" s="44" t="s">
        <v>8</v>
      </c>
      <c r="K4907" s="23" t="s">
        <v>8</v>
      </c>
      <c r="L4907" s="23" t="s">
        <v>8</v>
      </c>
      <c r="M4907" s="23" t="s">
        <v>8</v>
      </c>
    </row>
    <row r="4908" spans="1:13" s="21" customFormat="1" x14ac:dyDescent="0.25">
      <c r="A4908" s="22" t="s">
        <v>8</v>
      </c>
      <c r="B4908" s="18" t="str">
        <f>"175550"</f>
        <v>175550</v>
      </c>
      <c r="C4908" s="19" t="s">
        <v>4844</v>
      </c>
      <c r="D4908" s="19" t="s">
        <v>20335</v>
      </c>
      <c r="E4908" s="19" t="s">
        <v>32570</v>
      </c>
      <c r="F4908" s="19" t="s">
        <v>35990</v>
      </c>
      <c r="G4908" s="18" t="str">
        <f>"66204"</f>
        <v>66204</v>
      </c>
      <c r="H4908" s="19" t="s">
        <v>36072</v>
      </c>
      <c r="I4908" s="20">
        <v>19.161999999999999</v>
      </c>
      <c r="J4908" s="44" t="s">
        <v>8</v>
      </c>
      <c r="K4908" s="23" t="s">
        <v>8</v>
      </c>
      <c r="L4908" s="23" t="s">
        <v>8</v>
      </c>
      <c r="M4908" s="23" t="s">
        <v>8</v>
      </c>
    </row>
    <row r="4909" spans="1:13" s="21" customFormat="1" x14ac:dyDescent="0.25">
      <c r="A4909" s="22" t="s">
        <v>8</v>
      </c>
      <c r="B4909" s="18" t="str">
        <f>"175557"</f>
        <v>175557</v>
      </c>
      <c r="C4909" s="19" t="s">
        <v>4845</v>
      </c>
      <c r="D4909" s="19" t="s">
        <v>20336</v>
      </c>
      <c r="E4909" s="19" t="s">
        <v>31382</v>
      </c>
      <c r="F4909" s="19" t="s">
        <v>35990</v>
      </c>
      <c r="G4909" s="18" t="str">
        <f>"66061"</f>
        <v>66061</v>
      </c>
      <c r="H4909" s="19" t="s">
        <v>36072</v>
      </c>
      <c r="I4909" s="20">
        <v>20.472999999999999</v>
      </c>
      <c r="J4909" s="44" t="s">
        <v>8</v>
      </c>
      <c r="K4909" s="23" t="s">
        <v>8</v>
      </c>
      <c r="L4909" s="23" t="s">
        <v>8</v>
      </c>
      <c r="M4909" s="23" t="s">
        <v>8</v>
      </c>
    </row>
    <row r="4910" spans="1:13" s="21" customFormat="1" x14ac:dyDescent="0.25">
      <c r="A4910" s="22" t="s">
        <v>8</v>
      </c>
      <c r="B4910" s="18" t="s">
        <v>15213</v>
      </c>
      <c r="C4910" s="19" t="s">
        <v>4846</v>
      </c>
      <c r="D4910" s="19" t="s">
        <v>20337</v>
      </c>
      <c r="E4910" s="19" t="s">
        <v>32675</v>
      </c>
      <c r="F4910" s="19" t="s">
        <v>35991</v>
      </c>
      <c r="G4910" s="18" t="str">
        <f>"41858"</f>
        <v>41858</v>
      </c>
      <c r="H4910" s="19" t="s">
        <v>36313</v>
      </c>
      <c r="I4910" s="20">
        <v>18.908999999999999</v>
      </c>
      <c r="J4910" s="44" t="s">
        <v>8</v>
      </c>
      <c r="K4910" s="23" t="s">
        <v>8</v>
      </c>
      <c r="L4910" s="23" t="s">
        <v>8</v>
      </c>
      <c r="M4910" s="23" t="s">
        <v>8</v>
      </c>
    </row>
    <row r="4911" spans="1:13" s="21" customFormat="1" x14ac:dyDescent="0.25">
      <c r="A4911" s="22" t="s">
        <v>8</v>
      </c>
      <c r="B4911" s="18" t="s">
        <v>15214</v>
      </c>
      <c r="C4911" s="19" t="s">
        <v>4847</v>
      </c>
      <c r="D4911" s="19" t="s">
        <v>20338</v>
      </c>
      <c r="E4911" s="19" t="s">
        <v>32676</v>
      </c>
      <c r="F4911" s="19" t="s">
        <v>35991</v>
      </c>
      <c r="G4911" s="18" t="str">
        <f>"41056"</f>
        <v>41056</v>
      </c>
      <c r="H4911" s="19" t="s">
        <v>34550</v>
      </c>
      <c r="I4911" s="20">
        <v>19.311</v>
      </c>
      <c r="J4911" s="44" t="s">
        <v>8</v>
      </c>
      <c r="K4911" s="23" t="s">
        <v>8</v>
      </c>
      <c r="L4911" s="23" t="s">
        <v>8</v>
      </c>
      <c r="M4911" s="23" t="s">
        <v>8</v>
      </c>
    </row>
    <row r="4912" spans="1:13" s="21" customFormat="1" x14ac:dyDescent="0.25">
      <c r="A4912" s="22" t="s">
        <v>8</v>
      </c>
      <c r="B4912" s="18" t="s">
        <v>15215</v>
      </c>
      <c r="C4912" s="19" t="s">
        <v>4848</v>
      </c>
      <c r="D4912" s="19" t="s">
        <v>20339</v>
      </c>
      <c r="E4912" s="19" t="s">
        <v>32677</v>
      </c>
      <c r="F4912" s="19" t="s">
        <v>35991</v>
      </c>
      <c r="G4912" s="18" t="str">
        <f>"40965"</f>
        <v>40965</v>
      </c>
      <c r="H4912" s="19" t="s">
        <v>31306</v>
      </c>
      <c r="I4912" s="20">
        <v>17.666</v>
      </c>
      <c r="J4912" s="44" t="s">
        <v>8</v>
      </c>
      <c r="K4912" s="23" t="s">
        <v>8</v>
      </c>
      <c r="L4912" s="23" t="s">
        <v>8</v>
      </c>
      <c r="M4912" s="23" t="s">
        <v>8</v>
      </c>
    </row>
    <row r="4913" spans="1:13" s="21" customFormat="1" x14ac:dyDescent="0.25">
      <c r="A4913" s="22" t="s">
        <v>8</v>
      </c>
      <c r="B4913" s="18" t="s">
        <v>15216</v>
      </c>
      <c r="C4913" s="19" t="s">
        <v>4849</v>
      </c>
      <c r="D4913" s="19" t="s">
        <v>20340</v>
      </c>
      <c r="E4913" s="19" t="s">
        <v>32035</v>
      </c>
      <c r="F4913" s="19" t="s">
        <v>35991</v>
      </c>
      <c r="G4913" s="18" t="str">
        <f>"40033"</f>
        <v>40033</v>
      </c>
      <c r="H4913" s="19" t="s">
        <v>30850</v>
      </c>
      <c r="I4913" s="20">
        <v>20.763999999999999</v>
      </c>
      <c r="J4913" s="44" t="s">
        <v>8</v>
      </c>
      <c r="K4913" s="23" t="s">
        <v>8</v>
      </c>
      <c r="L4913" s="23" t="s">
        <v>8</v>
      </c>
      <c r="M4913" s="23" t="s">
        <v>8</v>
      </c>
    </row>
    <row r="4914" spans="1:13" s="21" customFormat="1" x14ac:dyDescent="0.25">
      <c r="A4914" s="22" t="s">
        <v>8</v>
      </c>
      <c r="B4914" s="18" t="s">
        <v>15217</v>
      </c>
      <c r="C4914" s="19" t="s">
        <v>4850</v>
      </c>
      <c r="D4914" s="19" t="s">
        <v>20341</v>
      </c>
      <c r="E4914" s="19" t="s">
        <v>31050</v>
      </c>
      <c r="F4914" s="19" t="s">
        <v>35991</v>
      </c>
      <c r="G4914" s="18" t="str">
        <f>"40361"</f>
        <v>40361</v>
      </c>
      <c r="H4914" s="19" t="s">
        <v>36293</v>
      </c>
      <c r="I4914" s="20">
        <v>20.495000000000001</v>
      </c>
      <c r="J4914" s="44" t="s">
        <v>8</v>
      </c>
      <c r="K4914" s="23" t="s">
        <v>8</v>
      </c>
      <c r="L4914" s="23" t="s">
        <v>8</v>
      </c>
      <c r="M4914" s="23" t="s">
        <v>8</v>
      </c>
    </row>
    <row r="4915" spans="1:13" s="21" customFormat="1" x14ac:dyDescent="0.25">
      <c r="A4915" s="22" t="s">
        <v>8</v>
      </c>
      <c r="B4915" s="18" t="s">
        <v>15218</v>
      </c>
      <c r="C4915" s="19" t="s">
        <v>4851</v>
      </c>
      <c r="D4915" s="19" t="s">
        <v>20342</v>
      </c>
      <c r="E4915" s="19" t="s">
        <v>32678</v>
      </c>
      <c r="F4915" s="19" t="s">
        <v>35991</v>
      </c>
      <c r="G4915" s="18" t="str">
        <f>"41041"</f>
        <v>41041</v>
      </c>
      <c r="H4915" s="19" t="s">
        <v>36314</v>
      </c>
      <c r="I4915" s="20">
        <v>20.709</v>
      </c>
      <c r="J4915" s="44" t="s">
        <v>8</v>
      </c>
      <c r="K4915" s="23" t="s">
        <v>8</v>
      </c>
      <c r="L4915" s="23" t="s">
        <v>8</v>
      </c>
      <c r="M4915" s="23" t="s">
        <v>8</v>
      </c>
    </row>
    <row r="4916" spans="1:13" s="21" customFormat="1" x14ac:dyDescent="0.25">
      <c r="A4916" s="22" t="s">
        <v>8</v>
      </c>
      <c r="B4916" s="18" t="s">
        <v>15219</v>
      </c>
      <c r="C4916" s="19" t="s">
        <v>4852</v>
      </c>
      <c r="D4916" s="19" t="s">
        <v>20343</v>
      </c>
      <c r="E4916" s="19" t="s">
        <v>30818</v>
      </c>
      <c r="F4916" s="19" t="s">
        <v>35991</v>
      </c>
      <c r="G4916" s="18" t="str">
        <f>"42276"</f>
        <v>42276</v>
      </c>
      <c r="H4916" s="19" t="s">
        <v>32373</v>
      </c>
      <c r="I4916" s="20">
        <v>19.725999999999999</v>
      </c>
      <c r="J4916" s="44" t="s">
        <v>8</v>
      </c>
      <c r="K4916" s="23" t="s">
        <v>8</v>
      </c>
      <c r="L4916" s="23" t="s">
        <v>8</v>
      </c>
      <c r="M4916" s="23" t="s">
        <v>8</v>
      </c>
    </row>
    <row r="4917" spans="1:13" s="21" customFormat="1" x14ac:dyDescent="0.25">
      <c r="A4917" s="22" t="s">
        <v>8</v>
      </c>
      <c r="B4917" s="18" t="s">
        <v>15220</v>
      </c>
      <c r="C4917" s="19" t="s">
        <v>4853</v>
      </c>
      <c r="D4917" s="19" t="s">
        <v>20344</v>
      </c>
      <c r="E4917" s="19" t="s">
        <v>32679</v>
      </c>
      <c r="F4917" s="19" t="s">
        <v>35991</v>
      </c>
      <c r="G4917" s="18" t="str">
        <f>"42754"</f>
        <v>42754</v>
      </c>
      <c r="H4917" s="19" t="s">
        <v>32731</v>
      </c>
      <c r="I4917" s="20">
        <v>19.135000000000002</v>
      </c>
      <c r="J4917" s="44" t="s">
        <v>8</v>
      </c>
      <c r="K4917" s="23" t="s">
        <v>8</v>
      </c>
      <c r="L4917" s="23" t="s">
        <v>8</v>
      </c>
      <c r="M4917" s="23" t="s">
        <v>8</v>
      </c>
    </row>
    <row r="4918" spans="1:13" s="21" customFormat="1" x14ac:dyDescent="0.25">
      <c r="A4918" s="22" t="s">
        <v>8</v>
      </c>
      <c r="B4918" s="18" t="s">
        <v>15221</v>
      </c>
      <c r="C4918" s="19" t="s">
        <v>4854</v>
      </c>
      <c r="D4918" s="19" t="s">
        <v>20345</v>
      </c>
      <c r="E4918" s="19" t="s">
        <v>32680</v>
      </c>
      <c r="F4918" s="19" t="s">
        <v>35991</v>
      </c>
      <c r="G4918" s="18" t="str">
        <f>"41031"</f>
        <v>41031</v>
      </c>
      <c r="H4918" s="19" t="s">
        <v>31020</v>
      </c>
      <c r="I4918" s="20">
        <v>18.643000000000001</v>
      </c>
      <c r="J4918" s="44" t="s">
        <v>8</v>
      </c>
      <c r="K4918" s="23" t="s">
        <v>8</v>
      </c>
      <c r="L4918" s="23" t="s">
        <v>8</v>
      </c>
      <c r="M4918" s="23" t="s">
        <v>8</v>
      </c>
    </row>
    <row r="4919" spans="1:13" s="21" customFormat="1" x14ac:dyDescent="0.25">
      <c r="A4919" s="22" t="s">
        <v>8</v>
      </c>
      <c r="B4919" s="18" t="s">
        <v>15222</v>
      </c>
      <c r="C4919" s="19" t="s">
        <v>4855</v>
      </c>
      <c r="D4919" s="19" t="s">
        <v>20346</v>
      </c>
      <c r="E4919" s="19" t="s">
        <v>32681</v>
      </c>
      <c r="F4919" s="19" t="s">
        <v>35991</v>
      </c>
      <c r="G4919" s="18" t="str">
        <f>"40701"</f>
        <v>40701</v>
      </c>
      <c r="H4919" s="19" t="s">
        <v>36254</v>
      </c>
      <c r="I4919" s="20">
        <v>20.085000000000001</v>
      </c>
      <c r="J4919" s="44" t="s">
        <v>8</v>
      </c>
      <c r="K4919" s="23" t="s">
        <v>8</v>
      </c>
      <c r="L4919" s="23" t="s">
        <v>8</v>
      </c>
      <c r="M4919" s="23" t="s">
        <v>8</v>
      </c>
    </row>
    <row r="4920" spans="1:13" s="21" customFormat="1" x14ac:dyDescent="0.25">
      <c r="A4920" s="22" t="s">
        <v>8</v>
      </c>
      <c r="B4920" s="18" t="s">
        <v>15223</v>
      </c>
      <c r="C4920" s="19" t="s">
        <v>4856</v>
      </c>
      <c r="D4920" s="19" t="s">
        <v>20347</v>
      </c>
      <c r="E4920" s="19" t="s">
        <v>30850</v>
      </c>
      <c r="F4920" s="19" t="s">
        <v>35991</v>
      </c>
      <c r="G4920" s="18" t="str">
        <f>"42064"</f>
        <v>42064</v>
      </c>
      <c r="H4920" s="19" t="s">
        <v>36075</v>
      </c>
      <c r="I4920" s="20">
        <v>19.288</v>
      </c>
      <c r="J4920" s="44" t="s">
        <v>8</v>
      </c>
      <c r="K4920" s="23" t="s">
        <v>8</v>
      </c>
      <c r="L4920" s="23" t="s">
        <v>8</v>
      </c>
      <c r="M4920" s="23" t="s">
        <v>8</v>
      </c>
    </row>
    <row r="4921" spans="1:13" s="21" customFormat="1" x14ac:dyDescent="0.25">
      <c r="A4921" s="22" t="s">
        <v>8</v>
      </c>
      <c r="B4921" s="18" t="s">
        <v>15224</v>
      </c>
      <c r="C4921" s="19" t="s">
        <v>4857</v>
      </c>
      <c r="D4921" s="19" t="s">
        <v>20348</v>
      </c>
      <c r="E4921" s="19" t="s">
        <v>31495</v>
      </c>
      <c r="F4921" s="19" t="s">
        <v>35991</v>
      </c>
      <c r="G4921" s="18" t="str">
        <f>"40324"</f>
        <v>40324</v>
      </c>
      <c r="H4921" s="19" t="s">
        <v>36083</v>
      </c>
      <c r="I4921" s="20">
        <v>19.559999999999999</v>
      </c>
      <c r="J4921" s="44" t="s">
        <v>8</v>
      </c>
      <c r="K4921" s="23" t="s">
        <v>8</v>
      </c>
      <c r="L4921" s="23" t="s">
        <v>8</v>
      </c>
      <c r="M4921" s="23" t="s">
        <v>8</v>
      </c>
    </row>
    <row r="4922" spans="1:13" s="21" customFormat="1" x14ac:dyDescent="0.25">
      <c r="A4922" s="22" t="s">
        <v>8</v>
      </c>
      <c r="B4922" s="18" t="s">
        <v>15225</v>
      </c>
      <c r="C4922" s="19" t="s">
        <v>4858</v>
      </c>
      <c r="D4922" s="19" t="s">
        <v>20349</v>
      </c>
      <c r="E4922" s="19" t="s">
        <v>32682</v>
      </c>
      <c r="F4922" s="19" t="s">
        <v>35991</v>
      </c>
      <c r="G4922" s="18" t="str">
        <f>"42167"</f>
        <v>42167</v>
      </c>
      <c r="H4922" s="19" t="s">
        <v>31711</v>
      </c>
      <c r="I4922" s="20">
        <v>18.869</v>
      </c>
      <c r="J4922" s="44" t="s">
        <v>8</v>
      </c>
      <c r="K4922" s="23" t="s">
        <v>8</v>
      </c>
      <c r="L4922" s="23" t="s">
        <v>8</v>
      </c>
      <c r="M4922" s="23" t="s">
        <v>8</v>
      </c>
    </row>
    <row r="4923" spans="1:13" s="21" customFormat="1" x14ac:dyDescent="0.25">
      <c r="A4923" s="22" t="s">
        <v>8</v>
      </c>
      <c r="B4923" s="18" t="s">
        <v>15226</v>
      </c>
      <c r="C4923" s="19" t="s">
        <v>4859</v>
      </c>
      <c r="D4923" s="19" t="s">
        <v>20350</v>
      </c>
      <c r="E4923" s="19" t="s">
        <v>31834</v>
      </c>
      <c r="F4923" s="19" t="s">
        <v>35991</v>
      </c>
      <c r="G4923" s="18" t="str">
        <f>"42602"</f>
        <v>42602</v>
      </c>
      <c r="H4923" s="19" t="s">
        <v>31081</v>
      </c>
      <c r="I4923" s="20">
        <v>18.800999999999998</v>
      </c>
      <c r="J4923" s="44" t="s">
        <v>8</v>
      </c>
      <c r="K4923" s="23" t="s">
        <v>8</v>
      </c>
      <c r="L4923" s="23" t="s">
        <v>8</v>
      </c>
      <c r="M4923" s="23" t="s">
        <v>8</v>
      </c>
    </row>
    <row r="4924" spans="1:13" s="21" customFormat="1" x14ac:dyDescent="0.25">
      <c r="A4924" s="22" t="s">
        <v>8</v>
      </c>
      <c r="B4924" s="18" t="s">
        <v>15227</v>
      </c>
      <c r="C4924" s="19" t="s">
        <v>4860</v>
      </c>
      <c r="D4924" s="19" t="s">
        <v>20351</v>
      </c>
      <c r="E4924" s="19" t="s">
        <v>32683</v>
      </c>
      <c r="F4924" s="19" t="s">
        <v>35991</v>
      </c>
      <c r="G4924" s="18" t="str">
        <f>"42066"</f>
        <v>42066</v>
      </c>
      <c r="H4924" s="19" t="s">
        <v>36315</v>
      </c>
      <c r="I4924" s="20">
        <v>20.745999999999999</v>
      </c>
      <c r="J4924" s="44" t="s">
        <v>8</v>
      </c>
      <c r="K4924" s="23" t="s">
        <v>8</v>
      </c>
      <c r="L4924" s="23" t="s">
        <v>8</v>
      </c>
      <c r="M4924" s="23" t="s">
        <v>8</v>
      </c>
    </row>
    <row r="4925" spans="1:13" s="21" customFormat="1" x14ac:dyDescent="0.25">
      <c r="A4925" s="22" t="s">
        <v>8</v>
      </c>
      <c r="B4925" s="18" t="s">
        <v>15228</v>
      </c>
      <c r="C4925" s="19" t="s">
        <v>4861</v>
      </c>
      <c r="D4925" s="19" t="s">
        <v>20352</v>
      </c>
      <c r="E4925" s="19" t="s">
        <v>32194</v>
      </c>
      <c r="F4925" s="19" t="s">
        <v>35991</v>
      </c>
      <c r="G4925" s="18" t="str">
        <f>"42041"</f>
        <v>42041</v>
      </c>
      <c r="H4925" s="19" t="s">
        <v>32194</v>
      </c>
      <c r="I4925" s="20">
        <v>19.423999999999999</v>
      </c>
      <c r="J4925" s="44" t="s">
        <v>8</v>
      </c>
      <c r="K4925" s="23" t="s">
        <v>8</v>
      </c>
      <c r="L4925" s="23" t="s">
        <v>8</v>
      </c>
      <c r="M4925" s="23" t="s">
        <v>8</v>
      </c>
    </row>
    <row r="4926" spans="1:13" s="21" customFormat="1" x14ac:dyDescent="0.25">
      <c r="A4926" s="22" t="s">
        <v>8</v>
      </c>
      <c r="B4926" s="18" t="s">
        <v>15229</v>
      </c>
      <c r="C4926" s="19" t="s">
        <v>4862</v>
      </c>
      <c r="D4926" s="19" t="s">
        <v>20353</v>
      </c>
      <c r="E4926" s="19" t="s">
        <v>32684</v>
      </c>
      <c r="F4926" s="19" t="s">
        <v>35991</v>
      </c>
      <c r="G4926" s="18" t="str">
        <f>"42104"</f>
        <v>42104</v>
      </c>
      <c r="H4926" s="19" t="s">
        <v>31025</v>
      </c>
      <c r="I4926" s="20">
        <v>22.931000000000001</v>
      </c>
      <c r="J4926" s="44" t="s">
        <v>8</v>
      </c>
      <c r="K4926" s="23" t="s">
        <v>8</v>
      </c>
      <c r="L4926" s="23" t="s">
        <v>8</v>
      </c>
      <c r="M4926" s="23" t="s">
        <v>8</v>
      </c>
    </row>
    <row r="4927" spans="1:13" s="21" customFormat="1" x14ac:dyDescent="0.25">
      <c r="A4927" s="22" t="s">
        <v>8</v>
      </c>
      <c r="B4927" s="18" t="s">
        <v>15230</v>
      </c>
      <c r="C4927" s="19" t="s">
        <v>4863</v>
      </c>
      <c r="D4927" s="19" t="s">
        <v>20354</v>
      </c>
      <c r="E4927" s="19" t="s">
        <v>32685</v>
      </c>
      <c r="F4927" s="19" t="s">
        <v>35991</v>
      </c>
      <c r="G4927" s="18" t="str">
        <f>"41230"</f>
        <v>41230</v>
      </c>
      <c r="H4927" s="19" t="s">
        <v>32568</v>
      </c>
      <c r="I4927" s="20">
        <v>18.707000000000001</v>
      </c>
      <c r="J4927" s="44" t="s">
        <v>8</v>
      </c>
      <c r="K4927" s="23" t="s">
        <v>8</v>
      </c>
      <c r="L4927" s="23" t="s">
        <v>8</v>
      </c>
      <c r="M4927" s="23" t="s">
        <v>8</v>
      </c>
    </row>
    <row r="4928" spans="1:13" s="21" customFormat="1" x14ac:dyDescent="0.25">
      <c r="A4928" s="22" t="s">
        <v>8</v>
      </c>
      <c r="B4928" s="18" t="s">
        <v>15231</v>
      </c>
      <c r="C4928" s="19" t="s">
        <v>4864</v>
      </c>
      <c r="D4928" s="19" t="s">
        <v>20355</v>
      </c>
      <c r="E4928" s="19" t="s">
        <v>32076</v>
      </c>
      <c r="F4928" s="19" t="s">
        <v>35991</v>
      </c>
      <c r="G4928" s="18" t="str">
        <f>"42728"</f>
        <v>42728</v>
      </c>
      <c r="H4928" s="19" t="s">
        <v>36280</v>
      </c>
      <c r="I4928" s="20">
        <v>20.251999999999999</v>
      </c>
      <c r="J4928" s="44" t="s">
        <v>8</v>
      </c>
      <c r="K4928" s="23" t="s">
        <v>8</v>
      </c>
      <c r="L4928" s="23" t="s">
        <v>8</v>
      </c>
      <c r="M4928" s="23" t="s">
        <v>8</v>
      </c>
    </row>
    <row r="4929" spans="1:13" s="21" customFormat="1" x14ac:dyDescent="0.25">
      <c r="A4929" s="22" t="s">
        <v>8</v>
      </c>
      <c r="B4929" s="18" t="str">
        <f>"185003"</f>
        <v>185003</v>
      </c>
      <c r="C4929" s="19" t="s">
        <v>4865</v>
      </c>
      <c r="D4929" s="19" t="s">
        <v>20356</v>
      </c>
      <c r="E4929" s="19" t="s">
        <v>32686</v>
      </c>
      <c r="F4929" s="19" t="s">
        <v>35991</v>
      </c>
      <c r="G4929" s="18" t="str">
        <f>"40743"</f>
        <v>40743</v>
      </c>
      <c r="H4929" s="19" t="s">
        <v>32957</v>
      </c>
      <c r="I4929" s="20">
        <v>16.338000000000001</v>
      </c>
      <c r="J4929" s="44" t="s">
        <v>8</v>
      </c>
      <c r="K4929" s="23" t="s">
        <v>8</v>
      </c>
      <c r="L4929" s="23" t="s">
        <v>8</v>
      </c>
      <c r="M4929" s="23" t="s">
        <v>8</v>
      </c>
    </row>
    <row r="4930" spans="1:13" s="21" customFormat="1" x14ac:dyDescent="0.25">
      <c r="A4930" s="22" t="s">
        <v>8</v>
      </c>
      <c r="B4930" s="18" t="str">
        <f>"185005"</f>
        <v>185005</v>
      </c>
      <c r="C4930" s="19" t="s">
        <v>4866</v>
      </c>
      <c r="D4930" s="19" t="s">
        <v>20357</v>
      </c>
      <c r="E4930" s="19" t="s">
        <v>32687</v>
      </c>
      <c r="F4930" s="19" t="s">
        <v>35991</v>
      </c>
      <c r="G4930" s="18" t="str">
        <f>"42071"</f>
        <v>42071</v>
      </c>
      <c r="H4930" s="19" t="s">
        <v>36316</v>
      </c>
      <c r="I4930" s="20">
        <v>19.425000000000001</v>
      </c>
      <c r="J4930" s="44" t="s">
        <v>8</v>
      </c>
      <c r="K4930" s="23" t="s">
        <v>8</v>
      </c>
      <c r="L4930" s="23" t="s">
        <v>8</v>
      </c>
      <c r="M4930" s="23" t="s">
        <v>8</v>
      </c>
    </row>
    <row r="4931" spans="1:13" s="21" customFormat="1" x14ac:dyDescent="0.25">
      <c r="A4931" s="22" t="s">
        <v>8</v>
      </c>
      <c r="B4931" s="18" t="str">
        <f>"185006"</f>
        <v>185006</v>
      </c>
      <c r="C4931" s="19" t="s">
        <v>4867</v>
      </c>
      <c r="D4931" s="19" t="s">
        <v>20358</v>
      </c>
      <c r="E4931" s="19" t="s">
        <v>32688</v>
      </c>
      <c r="F4931" s="19" t="s">
        <v>35991</v>
      </c>
      <c r="G4931" s="18" t="str">
        <f>"42261"</f>
        <v>42261</v>
      </c>
      <c r="H4931" s="19" t="s">
        <v>30876</v>
      </c>
      <c r="I4931" s="20">
        <v>18.594999999999999</v>
      </c>
      <c r="J4931" s="44" t="s">
        <v>8</v>
      </c>
      <c r="K4931" s="23" t="s">
        <v>8</v>
      </c>
      <c r="L4931" s="23" t="s">
        <v>8</v>
      </c>
      <c r="M4931" s="23" t="s">
        <v>8</v>
      </c>
    </row>
    <row r="4932" spans="1:13" s="21" customFormat="1" x14ac:dyDescent="0.25">
      <c r="A4932" s="22" t="s">
        <v>8</v>
      </c>
      <c r="B4932" s="18" t="str">
        <f>"185008"</f>
        <v>185008</v>
      </c>
      <c r="C4932" s="19" t="s">
        <v>4868</v>
      </c>
      <c r="D4932" s="19" t="s">
        <v>20359</v>
      </c>
      <c r="E4932" s="19" t="s">
        <v>30817</v>
      </c>
      <c r="F4932" s="19" t="s">
        <v>35991</v>
      </c>
      <c r="G4932" s="18" t="str">
        <f>"42345"</f>
        <v>42345</v>
      </c>
      <c r="H4932" s="19" t="s">
        <v>36317</v>
      </c>
      <c r="I4932" s="20">
        <v>20.3</v>
      </c>
      <c r="J4932" s="44" t="s">
        <v>8</v>
      </c>
      <c r="K4932" s="23" t="s">
        <v>8</v>
      </c>
      <c r="L4932" s="23" t="s">
        <v>8</v>
      </c>
      <c r="M4932" s="23" t="s">
        <v>8</v>
      </c>
    </row>
    <row r="4933" spans="1:13" s="21" customFormat="1" x14ac:dyDescent="0.25">
      <c r="A4933" s="22" t="s">
        <v>8</v>
      </c>
      <c r="B4933" s="18" t="str">
        <f>"185012"</f>
        <v>185012</v>
      </c>
      <c r="C4933" s="19" t="s">
        <v>1703</v>
      </c>
      <c r="D4933" s="19" t="s">
        <v>20360</v>
      </c>
      <c r="E4933" s="19" t="s">
        <v>32689</v>
      </c>
      <c r="F4933" s="19" t="s">
        <v>35991</v>
      </c>
      <c r="G4933" s="18" t="str">
        <f>"42431"</f>
        <v>42431</v>
      </c>
      <c r="H4933" s="19" t="s">
        <v>33374</v>
      </c>
      <c r="I4933" s="20">
        <v>17.695</v>
      </c>
      <c r="J4933" s="44" t="s">
        <v>8</v>
      </c>
      <c r="K4933" s="23" t="s">
        <v>8</v>
      </c>
      <c r="L4933" s="23" t="s">
        <v>8</v>
      </c>
      <c r="M4933" s="23" t="s">
        <v>8</v>
      </c>
    </row>
    <row r="4934" spans="1:13" s="21" customFormat="1" x14ac:dyDescent="0.25">
      <c r="A4934" s="22" t="s">
        <v>8</v>
      </c>
      <c r="B4934" s="18" t="str">
        <f>"185013"</f>
        <v>185013</v>
      </c>
      <c r="C4934" s="19" t="s">
        <v>4869</v>
      </c>
      <c r="D4934" s="19" t="s">
        <v>20361</v>
      </c>
      <c r="E4934" s="19" t="s">
        <v>32689</v>
      </c>
      <c r="F4934" s="19" t="s">
        <v>35991</v>
      </c>
      <c r="G4934" s="18" t="str">
        <f>"42431"</f>
        <v>42431</v>
      </c>
      <c r="H4934" s="19" t="s">
        <v>33374</v>
      </c>
      <c r="I4934" s="20">
        <v>20.71</v>
      </c>
      <c r="J4934" s="44" t="s">
        <v>8</v>
      </c>
      <c r="K4934" s="23" t="s">
        <v>8</v>
      </c>
      <c r="L4934" s="23" t="s">
        <v>8</v>
      </c>
      <c r="M4934" s="23" t="s">
        <v>8</v>
      </c>
    </row>
    <row r="4935" spans="1:13" s="21" customFormat="1" x14ac:dyDescent="0.25">
      <c r="A4935" s="22" t="s">
        <v>8</v>
      </c>
      <c r="B4935" s="18" t="str">
        <f>"185015"</f>
        <v>185015</v>
      </c>
      <c r="C4935" s="19" t="s">
        <v>4870</v>
      </c>
      <c r="D4935" s="19" t="s">
        <v>20362</v>
      </c>
      <c r="E4935" s="19" t="s">
        <v>32689</v>
      </c>
      <c r="F4935" s="19" t="s">
        <v>35991</v>
      </c>
      <c r="G4935" s="18" t="str">
        <f>"42431"</f>
        <v>42431</v>
      </c>
      <c r="H4935" s="19" t="s">
        <v>33374</v>
      </c>
      <c r="I4935" s="20">
        <v>21.943000000000001</v>
      </c>
      <c r="J4935" s="44" t="s">
        <v>8</v>
      </c>
      <c r="K4935" s="23" t="s">
        <v>8</v>
      </c>
      <c r="L4935" s="23" t="s">
        <v>8</v>
      </c>
      <c r="M4935" s="23" t="s">
        <v>8</v>
      </c>
    </row>
    <row r="4936" spans="1:13" s="21" customFormat="1" x14ac:dyDescent="0.25">
      <c r="A4936" s="22" t="s">
        <v>8</v>
      </c>
      <c r="B4936" s="18" t="str">
        <f>"185028"</f>
        <v>185028</v>
      </c>
      <c r="C4936" s="19" t="s">
        <v>4871</v>
      </c>
      <c r="D4936" s="19" t="s">
        <v>20363</v>
      </c>
      <c r="E4936" s="19" t="s">
        <v>31056</v>
      </c>
      <c r="F4936" s="19" t="s">
        <v>35991</v>
      </c>
      <c r="G4936" s="18" t="str">
        <f>"40311"</f>
        <v>40311</v>
      </c>
      <c r="H4936" s="19" t="s">
        <v>36318</v>
      </c>
      <c r="I4936" s="20">
        <v>17.748000000000001</v>
      </c>
      <c r="J4936" s="44" t="s">
        <v>8</v>
      </c>
      <c r="K4936" s="23" t="s">
        <v>8</v>
      </c>
      <c r="L4936" s="23" t="s">
        <v>8</v>
      </c>
      <c r="M4936" s="23" t="s">
        <v>8</v>
      </c>
    </row>
    <row r="4937" spans="1:13" s="21" customFormat="1" x14ac:dyDescent="0.25">
      <c r="A4937" s="22" t="s">
        <v>8</v>
      </c>
      <c r="B4937" s="18" t="str">
        <f>"185029"</f>
        <v>185029</v>
      </c>
      <c r="C4937" s="19" t="s">
        <v>4872</v>
      </c>
      <c r="D4937" s="19" t="s">
        <v>20364</v>
      </c>
      <c r="E4937" s="19" t="s">
        <v>31696</v>
      </c>
      <c r="F4937" s="19" t="s">
        <v>35991</v>
      </c>
      <c r="G4937" s="18" t="str">
        <f>"40203"</f>
        <v>40203</v>
      </c>
      <c r="H4937" s="19" t="s">
        <v>32391</v>
      </c>
      <c r="I4937" s="20">
        <v>21.172999999999998</v>
      </c>
      <c r="J4937" s="44" t="s">
        <v>8</v>
      </c>
      <c r="K4937" s="23" t="s">
        <v>8</v>
      </c>
      <c r="L4937" s="23" t="s">
        <v>8</v>
      </c>
      <c r="M4937" s="23" t="s">
        <v>8</v>
      </c>
    </row>
    <row r="4938" spans="1:13" s="21" customFormat="1" x14ac:dyDescent="0.25">
      <c r="A4938" s="22" t="s">
        <v>8</v>
      </c>
      <c r="B4938" s="18" t="str">
        <f>"185038"</f>
        <v>185038</v>
      </c>
      <c r="C4938" s="19" t="s">
        <v>4873</v>
      </c>
      <c r="D4938" s="19" t="s">
        <v>20365</v>
      </c>
      <c r="E4938" s="19" t="s">
        <v>31753</v>
      </c>
      <c r="F4938" s="19" t="s">
        <v>35991</v>
      </c>
      <c r="G4938" s="18" t="str">
        <f>"41014"</f>
        <v>41014</v>
      </c>
      <c r="H4938" s="19" t="s">
        <v>34545</v>
      </c>
      <c r="I4938" s="20">
        <v>20.888000000000002</v>
      </c>
      <c r="J4938" s="44" t="s">
        <v>8</v>
      </c>
      <c r="K4938" s="23" t="s">
        <v>8</v>
      </c>
      <c r="L4938" s="23" t="s">
        <v>8</v>
      </c>
      <c r="M4938" s="23" t="s">
        <v>8</v>
      </c>
    </row>
    <row r="4939" spans="1:13" s="21" customFormat="1" x14ac:dyDescent="0.25">
      <c r="A4939" s="22" t="s">
        <v>8</v>
      </c>
      <c r="B4939" s="18" t="str">
        <f>"185039"</f>
        <v>185039</v>
      </c>
      <c r="C4939" s="19" t="s">
        <v>4874</v>
      </c>
      <c r="D4939" s="19" t="s">
        <v>20366</v>
      </c>
      <c r="E4939" s="19" t="s">
        <v>31696</v>
      </c>
      <c r="F4939" s="19" t="s">
        <v>35991</v>
      </c>
      <c r="G4939" s="18" t="str">
        <f>"40205"</f>
        <v>40205</v>
      </c>
      <c r="H4939" s="19" t="s">
        <v>32391</v>
      </c>
      <c r="I4939" s="20">
        <v>20.416</v>
      </c>
      <c r="J4939" s="44" t="s">
        <v>8</v>
      </c>
      <c r="K4939" s="23" t="s">
        <v>8</v>
      </c>
      <c r="L4939" s="23" t="s">
        <v>8</v>
      </c>
      <c r="M4939" s="23" t="s">
        <v>8</v>
      </c>
    </row>
    <row r="4940" spans="1:13" s="21" customFormat="1" x14ac:dyDescent="0.25">
      <c r="A4940" s="22" t="s">
        <v>8</v>
      </c>
      <c r="B4940" s="18" t="str">
        <f>"185042"</f>
        <v>185042</v>
      </c>
      <c r="C4940" s="19" t="s">
        <v>4875</v>
      </c>
      <c r="D4940" s="19" t="s">
        <v>20367</v>
      </c>
      <c r="E4940" s="19" t="s">
        <v>32690</v>
      </c>
      <c r="F4940" s="19" t="s">
        <v>35991</v>
      </c>
      <c r="G4940" s="18" t="str">
        <f>"42719"</f>
        <v>42719</v>
      </c>
      <c r="H4940" s="19" t="s">
        <v>31080</v>
      </c>
      <c r="I4940" s="20">
        <v>14.932</v>
      </c>
      <c r="J4940" s="44" t="s">
        <v>8</v>
      </c>
      <c r="K4940" s="23" t="s">
        <v>8</v>
      </c>
      <c r="L4940" s="23" t="s">
        <v>8</v>
      </c>
      <c r="M4940" s="23" t="s">
        <v>8</v>
      </c>
    </row>
    <row r="4941" spans="1:13" s="21" customFormat="1" x14ac:dyDescent="0.25">
      <c r="A4941" s="22" t="s">
        <v>8</v>
      </c>
      <c r="B4941" s="18" t="str">
        <f>"185046"</f>
        <v>185046</v>
      </c>
      <c r="C4941" s="19" t="s">
        <v>4876</v>
      </c>
      <c r="D4941" s="19" t="s">
        <v>20368</v>
      </c>
      <c r="E4941" s="19" t="s">
        <v>31038</v>
      </c>
      <c r="F4941" s="19" t="s">
        <v>35991</v>
      </c>
      <c r="G4941" s="18" t="str">
        <f>"42078"</f>
        <v>42078</v>
      </c>
      <c r="H4941" s="19" t="s">
        <v>33740</v>
      </c>
      <c r="I4941" s="20">
        <v>18.940999999999999</v>
      </c>
      <c r="J4941" s="44" t="s">
        <v>8</v>
      </c>
      <c r="K4941" s="23" t="s">
        <v>8</v>
      </c>
      <c r="L4941" s="23" t="s">
        <v>8</v>
      </c>
      <c r="M4941" s="23" t="s">
        <v>8</v>
      </c>
    </row>
    <row r="4942" spans="1:13" s="21" customFormat="1" x14ac:dyDescent="0.25">
      <c r="A4942" s="22" t="s">
        <v>8</v>
      </c>
      <c r="B4942" s="18" t="str">
        <f>"185047"</f>
        <v>185047</v>
      </c>
      <c r="C4942" s="19" t="s">
        <v>4877</v>
      </c>
      <c r="D4942" s="19" t="s">
        <v>20369</v>
      </c>
      <c r="E4942" s="19" t="s">
        <v>32194</v>
      </c>
      <c r="F4942" s="19" t="s">
        <v>35991</v>
      </c>
      <c r="G4942" s="18" t="str">
        <f>"42041"</f>
        <v>42041</v>
      </c>
      <c r="H4942" s="19" t="s">
        <v>32194</v>
      </c>
      <c r="I4942" s="20">
        <v>18.411999999999999</v>
      </c>
      <c r="J4942" s="44" t="s">
        <v>8</v>
      </c>
      <c r="K4942" s="23" t="s">
        <v>8</v>
      </c>
      <c r="L4942" s="23" t="s">
        <v>8</v>
      </c>
      <c r="M4942" s="23" t="s">
        <v>8</v>
      </c>
    </row>
    <row r="4943" spans="1:13" s="21" customFormat="1" x14ac:dyDescent="0.25">
      <c r="A4943" s="22" t="s">
        <v>8</v>
      </c>
      <c r="B4943" s="18" t="str">
        <f>"185048"</f>
        <v>185048</v>
      </c>
      <c r="C4943" s="19" t="s">
        <v>4878</v>
      </c>
      <c r="D4943" s="19" t="s">
        <v>20370</v>
      </c>
      <c r="E4943" s="19" t="s">
        <v>32684</v>
      </c>
      <c r="F4943" s="19" t="s">
        <v>35991</v>
      </c>
      <c r="G4943" s="18" t="str">
        <f>"42101"</f>
        <v>42101</v>
      </c>
      <c r="H4943" s="19" t="s">
        <v>31025</v>
      </c>
      <c r="I4943" s="20">
        <v>20.079000000000001</v>
      </c>
      <c r="J4943" s="44" t="s">
        <v>8</v>
      </c>
      <c r="K4943" s="23" t="s">
        <v>8</v>
      </c>
      <c r="L4943" s="23" t="s">
        <v>8</v>
      </c>
      <c r="M4943" s="23" t="s">
        <v>8</v>
      </c>
    </row>
    <row r="4944" spans="1:13" s="21" customFormat="1" x14ac:dyDescent="0.25">
      <c r="A4944" s="22" t="s">
        <v>8</v>
      </c>
      <c r="B4944" s="18" t="str">
        <f>"185049"</f>
        <v>185049</v>
      </c>
      <c r="C4944" s="19" t="s">
        <v>4879</v>
      </c>
      <c r="D4944" s="19" t="s">
        <v>20371</v>
      </c>
      <c r="E4944" s="19" t="s">
        <v>30926</v>
      </c>
      <c r="F4944" s="19" t="s">
        <v>35991</v>
      </c>
      <c r="G4944" s="18" t="str">
        <f>"42206"</f>
        <v>42206</v>
      </c>
      <c r="H4944" s="19" t="s">
        <v>32373</v>
      </c>
      <c r="I4944" s="20">
        <v>18.427</v>
      </c>
      <c r="J4944" s="44" t="s">
        <v>8</v>
      </c>
      <c r="K4944" s="23" t="s">
        <v>8</v>
      </c>
      <c r="L4944" s="23" t="s">
        <v>8</v>
      </c>
      <c r="M4944" s="23" t="s">
        <v>8</v>
      </c>
    </row>
    <row r="4945" spans="1:13" s="21" customFormat="1" x14ac:dyDescent="0.25">
      <c r="A4945" s="22" t="s">
        <v>8</v>
      </c>
      <c r="B4945" s="18" t="str">
        <f>"185052"</f>
        <v>185052</v>
      </c>
      <c r="C4945" s="19" t="s">
        <v>4880</v>
      </c>
      <c r="D4945" s="19" t="s">
        <v>20372</v>
      </c>
      <c r="E4945" s="19" t="s">
        <v>32076</v>
      </c>
      <c r="F4945" s="19" t="s">
        <v>35991</v>
      </c>
      <c r="G4945" s="18" t="str">
        <f>"42728"</f>
        <v>42728</v>
      </c>
      <c r="H4945" s="19" t="s">
        <v>36280</v>
      </c>
      <c r="I4945" s="20">
        <v>20.715</v>
      </c>
      <c r="J4945" s="44" t="s">
        <v>8</v>
      </c>
      <c r="K4945" s="23" t="s">
        <v>8</v>
      </c>
      <c r="L4945" s="23" t="s">
        <v>8</v>
      </c>
      <c r="M4945" s="23" t="s">
        <v>8</v>
      </c>
    </row>
    <row r="4946" spans="1:13" s="21" customFormat="1" x14ac:dyDescent="0.25">
      <c r="A4946" s="22" t="s">
        <v>8</v>
      </c>
      <c r="B4946" s="18" t="str">
        <f>"185057"</f>
        <v>185057</v>
      </c>
      <c r="C4946" s="19" t="s">
        <v>4881</v>
      </c>
      <c r="D4946" s="19" t="s">
        <v>20373</v>
      </c>
      <c r="E4946" s="19" t="s">
        <v>32691</v>
      </c>
      <c r="F4946" s="19" t="s">
        <v>35991</v>
      </c>
      <c r="G4946" s="18" t="str">
        <f>"42748"</f>
        <v>42748</v>
      </c>
      <c r="H4946" s="19" t="s">
        <v>36319</v>
      </c>
      <c r="I4946" s="20">
        <v>17.824000000000002</v>
      </c>
      <c r="J4946" s="44" t="s">
        <v>8</v>
      </c>
      <c r="K4946" s="23" t="s">
        <v>8</v>
      </c>
      <c r="L4946" s="23" t="s">
        <v>8</v>
      </c>
      <c r="M4946" s="23" t="s">
        <v>8</v>
      </c>
    </row>
    <row r="4947" spans="1:13" s="21" customFormat="1" x14ac:dyDescent="0.25">
      <c r="A4947" s="22" t="s">
        <v>8</v>
      </c>
      <c r="B4947" s="18" t="str">
        <f>"185058"</f>
        <v>185058</v>
      </c>
      <c r="C4947" s="19" t="s">
        <v>4882</v>
      </c>
      <c r="D4947" s="19" t="s">
        <v>20374</v>
      </c>
      <c r="E4947" s="19" t="s">
        <v>31058</v>
      </c>
      <c r="F4947" s="19" t="s">
        <v>35991</v>
      </c>
      <c r="G4947" s="18" t="str">
        <f>"41071"</f>
        <v>41071</v>
      </c>
      <c r="H4947" s="19" t="s">
        <v>33699</v>
      </c>
      <c r="I4947" s="20">
        <v>22.614000000000001</v>
      </c>
      <c r="J4947" s="44" t="s">
        <v>8</v>
      </c>
      <c r="K4947" s="23" t="s">
        <v>8</v>
      </c>
      <c r="L4947" s="23" t="s">
        <v>8</v>
      </c>
      <c r="M4947" s="23" t="s">
        <v>8</v>
      </c>
    </row>
    <row r="4948" spans="1:13" s="21" customFormat="1" x14ac:dyDescent="0.25">
      <c r="A4948" s="22" t="s">
        <v>8</v>
      </c>
      <c r="B4948" s="18" t="str">
        <f>"185061"</f>
        <v>185061</v>
      </c>
      <c r="C4948" s="19" t="s">
        <v>4883</v>
      </c>
      <c r="D4948" s="19" t="s">
        <v>20375</v>
      </c>
      <c r="E4948" s="19" t="s">
        <v>31178</v>
      </c>
      <c r="F4948" s="19" t="s">
        <v>35991</v>
      </c>
      <c r="G4948" s="18" t="str">
        <f>"40475"</f>
        <v>40475</v>
      </c>
      <c r="H4948" s="19" t="s">
        <v>30899</v>
      </c>
      <c r="I4948" s="20">
        <v>19.542999999999999</v>
      </c>
      <c r="J4948" s="44" t="s">
        <v>8</v>
      </c>
      <c r="K4948" s="23" t="s">
        <v>8</v>
      </c>
      <c r="L4948" s="23" t="s">
        <v>8</v>
      </c>
      <c r="M4948" s="23" t="s">
        <v>8</v>
      </c>
    </row>
    <row r="4949" spans="1:13" s="21" customFormat="1" x14ac:dyDescent="0.25">
      <c r="A4949" s="22" t="s">
        <v>8</v>
      </c>
      <c r="B4949" s="18" t="str">
        <f>"185065"</f>
        <v>185065</v>
      </c>
      <c r="C4949" s="19" t="s">
        <v>4884</v>
      </c>
      <c r="D4949" s="19" t="s">
        <v>20376</v>
      </c>
      <c r="E4949" s="19" t="s">
        <v>31184</v>
      </c>
      <c r="F4949" s="19" t="s">
        <v>35991</v>
      </c>
      <c r="G4949" s="18" t="str">
        <f>"40444"</f>
        <v>40444</v>
      </c>
      <c r="H4949" s="19" t="s">
        <v>36320</v>
      </c>
      <c r="I4949" s="20">
        <v>19.302</v>
      </c>
      <c r="J4949" s="44" t="s">
        <v>8</v>
      </c>
      <c r="K4949" s="23" t="s">
        <v>8</v>
      </c>
      <c r="L4949" s="23" t="s">
        <v>8</v>
      </c>
      <c r="M4949" s="23" t="s">
        <v>8</v>
      </c>
    </row>
    <row r="4950" spans="1:13" s="21" customFormat="1" x14ac:dyDescent="0.25">
      <c r="A4950" s="22" t="s">
        <v>8</v>
      </c>
      <c r="B4950" s="18" t="str">
        <f>"185069"</f>
        <v>185069</v>
      </c>
      <c r="C4950" s="19" t="s">
        <v>4885</v>
      </c>
      <c r="D4950" s="19" t="s">
        <v>20377</v>
      </c>
      <c r="E4950" s="19" t="s">
        <v>32692</v>
      </c>
      <c r="F4950" s="19" t="s">
        <v>35991</v>
      </c>
      <c r="G4950" s="18" t="str">
        <f>"40502"</f>
        <v>40502</v>
      </c>
      <c r="H4950" s="19" t="s">
        <v>30805</v>
      </c>
      <c r="I4950" s="20">
        <v>15.887</v>
      </c>
      <c r="J4950" s="44" t="s">
        <v>8</v>
      </c>
      <c r="K4950" s="23" t="s">
        <v>8</v>
      </c>
      <c r="L4950" s="23" t="s">
        <v>8</v>
      </c>
      <c r="M4950" s="23" t="s">
        <v>8</v>
      </c>
    </row>
    <row r="4951" spans="1:13" s="21" customFormat="1" x14ac:dyDescent="0.25">
      <c r="A4951" s="22" t="s">
        <v>8</v>
      </c>
      <c r="B4951" s="18" t="str">
        <f>"185076"</f>
        <v>185076</v>
      </c>
      <c r="C4951" s="19" t="s">
        <v>4886</v>
      </c>
      <c r="D4951" s="19" t="s">
        <v>20378</v>
      </c>
      <c r="E4951" s="19" t="s">
        <v>32693</v>
      </c>
      <c r="F4951" s="19" t="s">
        <v>35991</v>
      </c>
      <c r="G4951" s="18" t="str">
        <f>"42240"</f>
        <v>42240</v>
      </c>
      <c r="H4951" s="19" t="s">
        <v>36234</v>
      </c>
      <c r="I4951" s="20">
        <v>22.186</v>
      </c>
      <c r="J4951" s="44" t="s">
        <v>8</v>
      </c>
      <c r="K4951" s="23" t="s">
        <v>8</v>
      </c>
      <c r="L4951" s="23" t="s">
        <v>8</v>
      </c>
      <c r="M4951" s="23" t="s">
        <v>8</v>
      </c>
    </row>
    <row r="4952" spans="1:13" s="21" customFormat="1" x14ac:dyDescent="0.25">
      <c r="A4952" s="22" t="s">
        <v>8</v>
      </c>
      <c r="B4952" s="18" t="str">
        <f>"185087"</f>
        <v>185087</v>
      </c>
      <c r="C4952" s="19" t="s">
        <v>4887</v>
      </c>
      <c r="D4952" s="19" t="s">
        <v>20379</v>
      </c>
      <c r="E4952" s="19" t="s">
        <v>32694</v>
      </c>
      <c r="F4952" s="19" t="s">
        <v>35991</v>
      </c>
      <c r="G4952" s="18" t="str">
        <f>"42301"</f>
        <v>42301</v>
      </c>
      <c r="H4952" s="19" t="s">
        <v>36258</v>
      </c>
      <c r="I4952" s="20">
        <v>17.556999999999999</v>
      </c>
      <c r="J4952" s="44" t="s">
        <v>8</v>
      </c>
      <c r="K4952" s="23" t="s">
        <v>8</v>
      </c>
      <c r="L4952" s="23" t="s">
        <v>8</v>
      </c>
      <c r="M4952" s="23" t="s">
        <v>8</v>
      </c>
    </row>
    <row r="4953" spans="1:13" s="21" customFormat="1" x14ac:dyDescent="0.25">
      <c r="A4953" s="22" t="s">
        <v>8</v>
      </c>
      <c r="B4953" s="18" t="str">
        <f>"185089"</f>
        <v>185089</v>
      </c>
      <c r="C4953" s="19" t="s">
        <v>4888</v>
      </c>
      <c r="D4953" s="19" t="s">
        <v>20380</v>
      </c>
      <c r="E4953" s="19" t="s">
        <v>32684</v>
      </c>
      <c r="F4953" s="19" t="s">
        <v>35991</v>
      </c>
      <c r="G4953" s="18" t="str">
        <f>"42101"</f>
        <v>42101</v>
      </c>
      <c r="H4953" s="19" t="s">
        <v>31025</v>
      </c>
      <c r="I4953" s="20">
        <v>19.411999999999999</v>
      </c>
      <c r="J4953" s="44" t="s">
        <v>8</v>
      </c>
      <c r="K4953" s="23" t="s">
        <v>8</v>
      </c>
      <c r="L4953" s="23" t="s">
        <v>8</v>
      </c>
      <c r="M4953" s="23" t="s">
        <v>8</v>
      </c>
    </row>
    <row r="4954" spans="1:13" s="21" customFormat="1" x14ac:dyDescent="0.25">
      <c r="A4954" s="22" t="s">
        <v>8</v>
      </c>
      <c r="B4954" s="18" t="str">
        <f>"185090"</f>
        <v>185090</v>
      </c>
      <c r="C4954" s="19" t="s">
        <v>4889</v>
      </c>
      <c r="D4954" s="19" t="s">
        <v>20381</v>
      </c>
      <c r="E4954" s="19" t="s">
        <v>30829</v>
      </c>
      <c r="F4954" s="19" t="s">
        <v>35991</v>
      </c>
      <c r="G4954" s="18" t="str">
        <f>"41042"</f>
        <v>41042</v>
      </c>
      <c r="H4954" s="19" t="s">
        <v>32513</v>
      </c>
      <c r="I4954" s="20">
        <v>21.14</v>
      </c>
      <c r="J4954" s="44" t="s">
        <v>8</v>
      </c>
      <c r="K4954" s="23" t="s">
        <v>8</v>
      </c>
      <c r="L4954" s="23" t="s">
        <v>8</v>
      </c>
      <c r="M4954" s="23" t="s">
        <v>8</v>
      </c>
    </row>
    <row r="4955" spans="1:13" s="21" customFormat="1" x14ac:dyDescent="0.25">
      <c r="A4955" s="22" t="s">
        <v>8</v>
      </c>
      <c r="B4955" s="18" t="str">
        <f>"185093"</f>
        <v>185093</v>
      </c>
      <c r="C4955" s="19" t="s">
        <v>4890</v>
      </c>
      <c r="D4955" s="19" t="s">
        <v>20382</v>
      </c>
      <c r="E4955" s="19" t="s">
        <v>32695</v>
      </c>
      <c r="F4955" s="19" t="s">
        <v>35991</v>
      </c>
      <c r="G4955" s="18" t="str">
        <f>"42141"</f>
        <v>42141</v>
      </c>
      <c r="H4955" s="19" t="s">
        <v>36321</v>
      </c>
      <c r="I4955" s="20">
        <v>18.22</v>
      </c>
      <c r="J4955" s="44" t="s">
        <v>8</v>
      </c>
      <c r="K4955" s="23" t="s">
        <v>8</v>
      </c>
      <c r="L4955" s="23" t="s">
        <v>8</v>
      </c>
      <c r="M4955" s="23" t="s">
        <v>8</v>
      </c>
    </row>
    <row r="4956" spans="1:13" s="21" customFormat="1" x14ac:dyDescent="0.25">
      <c r="A4956" s="22" t="s">
        <v>8</v>
      </c>
      <c r="B4956" s="18" t="str">
        <f>"185094"</f>
        <v>185094</v>
      </c>
      <c r="C4956" s="19" t="s">
        <v>4891</v>
      </c>
      <c r="D4956" s="19" t="s">
        <v>20383</v>
      </c>
      <c r="E4956" s="19" t="s">
        <v>32696</v>
      </c>
      <c r="F4956" s="19" t="s">
        <v>35991</v>
      </c>
      <c r="G4956" s="18" t="str">
        <f>"41501"</f>
        <v>41501</v>
      </c>
      <c r="H4956" s="19" t="s">
        <v>36033</v>
      </c>
      <c r="I4956" s="20">
        <v>19.311</v>
      </c>
      <c r="J4956" s="44" t="s">
        <v>8</v>
      </c>
      <c r="K4956" s="23" t="s">
        <v>8</v>
      </c>
      <c r="L4956" s="23" t="s">
        <v>8</v>
      </c>
      <c r="M4956" s="23" t="s">
        <v>8</v>
      </c>
    </row>
    <row r="4957" spans="1:13" s="21" customFormat="1" x14ac:dyDescent="0.25">
      <c r="A4957" s="22" t="s">
        <v>8</v>
      </c>
      <c r="B4957" s="18" t="str">
        <f>"185095"</f>
        <v>185095</v>
      </c>
      <c r="C4957" s="19" t="s">
        <v>4892</v>
      </c>
      <c r="D4957" s="19" t="s">
        <v>20384</v>
      </c>
      <c r="E4957" s="19" t="s">
        <v>31696</v>
      </c>
      <c r="F4957" s="19" t="s">
        <v>35991</v>
      </c>
      <c r="G4957" s="18" t="str">
        <f>"40220"</f>
        <v>40220</v>
      </c>
      <c r="H4957" s="19" t="s">
        <v>32391</v>
      </c>
      <c r="I4957" s="20">
        <v>18.724</v>
      </c>
      <c r="J4957" s="44" t="s">
        <v>8</v>
      </c>
      <c r="K4957" s="23" t="s">
        <v>8</v>
      </c>
      <c r="L4957" s="23" t="s">
        <v>8</v>
      </c>
      <c r="M4957" s="23" t="s">
        <v>8</v>
      </c>
    </row>
    <row r="4958" spans="1:13" s="21" customFormat="1" x14ac:dyDescent="0.25">
      <c r="A4958" s="22" t="s">
        <v>8</v>
      </c>
      <c r="B4958" s="18" t="str">
        <f>"185096"</f>
        <v>185096</v>
      </c>
      <c r="C4958" s="19" t="s">
        <v>4893</v>
      </c>
      <c r="D4958" s="19" t="s">
        <v>20385</v>
      </c>
      <c r="E4958" s="19" t="s">
        <v>31696</v>
      </c>
      <c r="F4958" s="19" t="s">
        <v>35991</v>
      </c>
      <c r="G4958" s="18" t="str">
        <f>"40216"</f>
        <v>40216</v>
      </c>
      <c r="H4958" s="19" t="s">
        <v>32391</v>
      </c>
      <c r="I4958" s="20">
        <v>23.402000000000001</v>
      </c>
      <c r="J4958" s="44" t="s">
        <v>8</v>
      </c>
      <c r="K4958" s="23" t="s">
        <v>8</v>
      </c>
      <c r="L4958" s="23" t="s">
        <v>8</v>
      </c>
      <c r="M4958" s="23" t="s">
        <v>8</v>
      </c>
    </row>
    <row r="4959" spans="1:13" s="21" customFormat="1" x14ac:dyDescent="0.25">
      <c r="A4959" s="22" t="s">
        <v>8</v>
      </c>
      <c r="B4959" s="18" t="str">
        <f>"185103"</f>
        <v>185103</v>
      </c>
      <c r="C4959" s="19" t="s">
        <v>4894</v>
      </c>
      <c r="D4959" s="19" t="s">
        <v>20386</v>
      </c>
      <c r="E4959" s="19" t="s">
        <v>32697</v>
      </c>
      <c r="F4959" s="19" t="s">
        <v>35991</v>
      </c>
      <c r="G4959" s="18" t="str">
        <f>"40403"</f>
        <v>40403</v>
      </c>
      <c r="H4959" s="19" t="s">
        <v>30899</v>
      </c>
      <c r="I4959" s="20">
        <v>19.117000000000001</v>
      </c>
      <c r="J4959" s="44" t="s">
        <v>8</v>
      </c>
      <c r="K4959" s="23" t="s">
        <v>8</v>
      </c>
      <c r="L4959" s="23" t="s">
        <v>8</v>
      </c>
      <c r="M4959" s="23" t="s">
        <v>8</v>
      </c>
    </row>
    <row r="4960" spans="1:13" s="21" customFormat="1" x14ac:dyDescent="0.25">
      <c r="A4960" s="22" t="s">
        <v>8</v>
      </c>
      <c r="B4960" s="18" t="str">
        <f>"185112"</f>
        <v>185112</v>
      </c>
      <c r="C4960" s="19" t="s">
        <v>4895</v>
      </c>
      <c r="D4960" s="19" t="s">
        <v>20387</v>
      </c>
      <c r="E4960" s="19" t="s">
        <v>30816</v>
      </c>
      <c r="F4960" s="19" t="s">
        <v>35991</v>
      </c>
      <c r="G4960" s="18" t="str">
        <f>"41339"</f>
        <v>41339</v>
      </c>
      <c r="H4960" s="19" t="s">
        <v>36322</v>
      </c>
      <c r="I4960" s="20">
        <v>18.844999999999999</v>
      </c>
      <c r="J4960" s="44" t="s">
        <v>8</v>
      </c>
      <c r="K4960" s="23" t="s">
        <v>8</v>
      </c>
      <c r="L4960" s="23" t="s">
        <v>8</v>
      </c>
      <c r="M4960" s="23" t="s">
        <v>8</v>
      </c>
    </row>
    <row r="4961" spans="1:13" s="21" customFormat="1" x14ac:dyDescent="0.25">
      <c r="A4961" s="22" t="s">
        <v>8</v>
      </c>
      <c r="B4961" s="18" t="str">
        <f>"185118"</f>
        <v>185118</v>
      </c>
      <c r="C4961" s="19" t="s">
        <v>4896</v>
      </c>
      <c r="D4961" s="19" t="s">
        <v>20388</v>
      </c>
      <c r="E4961" s="19" t="s">
        <v>32698</v>
      </c>
      <c r="F4961" s="19" t="s">
        <v>35991</v>
      </c>
      <c r="G4961" s="18" t="str">
        <f>"42701"</f>
        <v>42701</v>
      </c>
      <c r="H4961" s="19" t="s">
        <v>32124</v>
      </c>
      <c r="I4961" s="20">
        <v>20.212</v>
      </c>
      <c r="J4961" s="44" t="s">
        <v>8</v>
      </c>
      <c r="K4961" s="23" t="s">
        <v>8</v>
      </c>
      <c r="L4961" s="23" t="s">
        <v>8</v>
      </c>
      <c r="M4961" s="23" t="s">
        <v>8</v>
      </c>
    </row>
    <row r="4962" spans="1:13" s="21" customFormat="1" x14ac:dyDescent="0.25">
      <c r="A4962" s="22" t="s">
        <v>8</v>
      </c>
      <c r="B4962" s="18" t="str">
        <f>"185120"</f>
        <v>185120</v>
      </c>
      <c r="C4962" s="19" t="s">
        <v>4897</v>
      </c>
      <c r="D4962" s="19" t="s">
        <v>20389</v>
      </c>
      <c r="E4962" s="19" t="s">
        <v>32694</v>
      </c>
      <c r="F4962" s="19" t="s">
        <v>35991</v>
      </c>
      <c r="G4962" s="18" t="str">
        <f>"42303"</f>
        <v>42303</v>
      </c>
      <c r="H4962" s="19" t="s">
        <v>36258</v>
      </c>
      <c r="I4962" s="20">
        <v>17.959</v>
      </c>
      <c r="J4962" s="44" t="s">
        <v>8</v>
      </c>
      <c r="K4962" s="23" t="s">
        <v>8</v>
      </c>
      <c r="L4962" s="23" t="s">
        <v>8</v>
      </c>
      <c r="M4962" s="23" t="s">
        <v>8</v>
      </c>
    </row>
    <row r="4963" spans="1:13" s="21" customFormat="1" x14ac:dyDescent="0.25">
      <c r="A4963" s="22" t="s">
        <v>8</v>
      </c>
      <c r="B4963" s="18" t="str">
        <f>"185122"</f>
        <v>185122</v>
      </c>
      <c r="C4963" s="19" t="s">
        <v>4898</v>
      </c>
      <c r="D4963" s="19" t="s">
        <v>20390</v>
      </c>
      <c r="E4963" s="19" t="s">
        <v>31696</v>
      </c>
      <c r="F4963" s="19" t="s">
        <v>35991</v>
      </c>
      <c r="G4963" s="18" t="str">
        <f>"40217"</f>
        <v>40217</v>
      </c>
      <c r="H4963" s="19" t="s">
        <v>32391</v>
      </c>
      <c r="I4963" s="20">
        <v>18.106000000000002</v>
      </c>
      <c r="J4963" s="44" t="s">
        <v>8</v>
      </c>
      <c r="K4963" s="23" t="s">
        <v>8</v>
      </c>
      <c r="L4963" s="23" t="s">
        <v>8</v>
      </c>
      <c r="M4963" s="23" t="s">
        <v>8</v>
      </c>
    </row>
    <row r="4964" spans="1:13" s="21" customFormat="1" x14ac:dyDescent="0.25">
      <c r="A4964" s="22" t="s">
        <v>8</v>
      </c>
      <c r="B4964" s="18" t="str">
        <f>"185124"</f>
        <v>185124</v>
      </c>
      <c r="C4964" s="19" t="s">
        <v>4899</v>
      </c>
      <c r="D4964" s="19" t="s">
        <v>20391</v>
      </c>
      <c r="E4964" s="19" t="s">
        <v>32699</v>
      </c>
      <c r="F4964" s="19" t="s">
        <v>35991</v>
      </c>
      <c r="G4964" s="18" t="str">
        <f>"42420"</f>
        <v>42420</v>
      </c>
      <c r="H4964" s="19" t="s">
        <v>32699</v>
      </c>
      <c r="I4964" s="20">
        <v>17.532</v>
      </c>
      <c r="J4964" s="44" t="s">
        <v>8</v>
      </c>
      <c r="K4964" s="23" t="s">
        <v>8</v>
      </c>
      <c r="L4964" s="23" t="s">
        <v>8</v>
      </c>
      <c r="M4964" s="23" t="s">
        <v>8</v>
      </c>
    </row>
    <row r="4965" spans="1:13" s="21" customFormat="1" x14ac:dyDescent="0.25">
      <c r="A4965" s="22" t="s">
        <v>8</v>
      </c>
      <c r="B4965" s="18" t="str">
        <f>"185125"</f>
        <v>185125</v>
      </c>
      <c r="C4965" s="19" t="s">
        <v>4900</v>
      </c>
      <c r="D4965" s="19" t="s">
        <v>20392</v>
      </c>
      <c r="E4965" s="19" t="s">
        <v>32681</v>
      </c>
      <c r="F4965" s="19" t="s">
        <v>35991</v>
      </c>
      <c r="G4965" s="18" t="str">
        <f>"40701"</f>
        <v>40701</v>
      </c>
      <c r="H4965" s="19" t="s">
        <v>36254</v>
      </c>
      <c r="I4965" s="20">
        <v>20.946999999999999</v>
      </c>
      <c r="J4965" s="44" t="s">
        <v>8</v>
      </c>
      <c r="K4965" s="23" t="s">
        <v>8</v>
      </c>
      <c r="L4965" s="23" t="s">
        <v>8</v>
      </c>
      <c r="M4965" s="23" t="s">
        <v>8</v>
      </c>
    </row>
    <row r="4966" spans="1:13" s="21" customFormat="1" x14ac:dyDescent="0.25">
      <c r="A4966" s="22" t="s">
        <v>8</v>
      </c>
      <c r="B4966" s="18" t="str">
        <f>"185127"</f>
        <v>185127</v>
      </c>
      <c r="C4966" s="19" t="s">
        <v>4901</v>
      </c>
      <c r="D4966" s="19" t="s">
        <v>20393</v>
      </c>
      <c r="E4966" s="19" t="s">
        <v>30981</v>
      </c>
      <c r="F4966" s="19" t="s">
        <v>35991</v>
      </c>
      <c r="G4966" s="18" t="str">
        <f>"40422"</f>
        <v>40422</v>
      </c>
      <c r="H4966" s="19" t="s">
        <v>36323</v>
      </c>
      <c r="I4966" s="20">
        <v>18.704999999999998</v>
      </c>
      <c r="J4966" s="44" t="s">
        <v>8</v>
      </c>
      <c r="K4966" s="23" t="s">
        <v>8</v>
      </c>
      <c r="L4966" s="23" t="s">
        <v>8</v>
      </c>
      <c r="M4966" s="23" t="s">
        <v>8</v>
      </c>
    </row>
    <row r="4967" spans="1:13" s="21" customFormat="1" x14ac:dyDescent="0.25">
      <c r="A4967" s="22" t="s">
        <v>8</v>
      </c>
      <c r="B4967" s="18" t="str">
        <f>"185131"</f>
        <v>185131</v>
      </c>
      <c r="C4967" s="19" t="s">
        <v>4902</v>
      </c>
      <c r="D4967" s="19" t="s">
        <v>20394</v>
      </c>
      <c r="E4967" s="19" t="s">
        <v>32685</v>
      </c>
      <c r="F4967" s="19" t="s">
        <v>35991</v>
      </c>
      <c r="G4967" s="18" t="str">
        <f>"41230"</f>
        <v>41230</v>
      </c>
      <c r="H4967" s="19" t="s">
        <v>32568</v>
      </c>
      <c r="I4967" s="20">
        <v>20.928999999999998</v>
      </c>
      <c r="J4967" s="44" t="s">
        <v>8</v>
      </c>
      <c r="K4967" s="23" t="s">
        <v>8</v>
      </c>
      <c r="L4967" s="23" t="s">
        <v>8</v>
      </c>
      <c r="M4967" s="23" t="s">
        <v>8</v>
      </c>
    </row>
    <row r="4968" spans="1:13" s="21" customFormat="1" x14ac:dyDescent="0.25">
      <c r="A4968" s="22" t="s">
        <v>8</v>
      </c>
      <c r="B4968" s="18" t="str">
        <f>"185132"</f>
        <v>185132</v>
      </c>
      <c r="C4968" s="19" t="s">
        <v>4903</v>
      </c>
      <c r="D4968" s="19" t="s">
        <v>20395</v>
      </c>
      <c r="E4968" s="19" t="s">
        <v>31696</v>
      </c>
      <c r="F4968" s="19" t="s">
        <v>35991</v>
      </c>
      <c r="G4968" s="18" t="str">
        <f>"40219"</f>
        <v>40219</v>
      </c>
      <c r="H4968" s="19" t="s">
        <v>32391</v>
      </c>
      <c r="I4968" s="20">
        <v>17.658000000000001</v>
      </c>
      <c r="J4968" s="44" t="s">
        <v>8</v>
      </c>
      <c r="K4968" s="23" t="s">
        <v>8</v>
      </c>
      <c r="L4968" s="23" t="s">
        <v>8</v>
      </c>
      <c r="M4968" s="23" t="s">
        <v>8</v>
      </c>
    </row>
    <row r="4969" spans="1:13" s="21" customFormat="1" x14ac:dyDescent="0.25">
      <c r="A4969" s="22" t="s">
        <v>8</v>
      </c>
      <c r="B4969" s="18" t="str">
        <f>"185133"</f>
        <v>185133</v>
      </c>
      <c r="C4969" s="19" t="s">
        <v>4904</v>
      </c>
      <c r="D4969" s="19" t="s">
        <v>20396</v>
      </c>
      <c r="E4969" s="19" t="s">
        <v>32700</v>
      </c>
      <c r="F4969" s="19" t="s">
        <v>35991</v>
      </c>
      <c r="G4969" s="18" t="str">
        <f>"42408"</f>
        <v>42408</v>
      </c>
      <c r="H4969" s="19" t="s">
        <v>33374</v>
      </c>
      <c r="I4969" s="20">
        <v>23.693999999999999</v>
      </c>
      <c r="J4969" s="44" t="s">
        <v>8</v>
      </c>
      <c r="K4969" s="23" t="s">
        <v>8</v>
      </c>
      <c r="L4969" s="23" t="s">
        <v>8</v>
      </c>
      <c r="M4969" s="23" t="s">
        <v>8</v>
      </c>
    </row>
    <row r="4970" spans="1:13" s="21" customFormat="1" x14ac:dyDescent="0.25">
      <c r="A4970" s="22" t="s">
        <v>8</v>
      </c>
      <c r="B4970" s="18" t="str">
        <f>"185134"</f>
        <v>185134</v>
      </c>
      <c r="C4970" s="19" t="s">
        <v>4905</v>
      </c>
      <c r="D4970" s="19" t="s">
        <v>20397</v>
      </c>
      <c r="E4970" s="19" t="s">
        <v>32701</v>
      </c>
      <c r="F4970" s="19" t="s">
        <v>35991</v>
      </c>
      <c r="G4970" s="18" t="str">
        <f>"41702"</f>
        <v>41702</v>
      </c>
      <c r="H4970" s="19" t="s">
        <v>31503</v>
      </c>
      <c r="I4970" s="20">
        <v>23.006</v>
      </c>
      <c r="J4970" s="44" t="s">
        <v>8</v>
      </c>
      <c r="K4970" s="23" t="s">
        <v>8</v>
      </c>
      <c r="L4970" s="23" t="s">
        <v>8</v>
      </c>
      <c r="M4970" s="23" t="s">
        <v>8</v>
      </c>
    </row>
    <row r="4971" spans="1:13" s="21" customFormat="1" x14ac:dyDescent="0.25">
      <c r="A4971" s="22" t="s">
        <v>8</v>
      </c>
      <c r="B4971" s="18" t="str">
        <f>"185136"</f>
        <v>185136</v>
      </c>
      <c r="C4971" s="19" t="s">
        <v>4906</v>
      </c>
      <c r="D4971" s="19" t="s">
        <v>20398</v>
      </c>
      <c r="E4971" s="19" t="s">
        <v>31696</v>
      </c>
      <c r="F4971" s="19" t="s">
        <v>35991</v>
      </c>
      <c r="G4971" s="18" t="str">
        <f>"40219"</f>
        <v>40219</v>
      </c>
      <c r="H4971" s="19" t="s">
        <v>32391</v>
      </c>
      <c r="I4971" s="20">
        <v>18.189</v>
      </c>
      <c r="J4971" s="44" t="s">
        <v>8</v>
      </c>
      <c r="K4971" s="23" t="s">
        <v>8</v>
      </c>
      <c r="L4971" s="23" t="s">
        <v>8</v>
      </c>
      <c r="M4971" s="23" t="s">
        <v>8</v>
      </c>
    </row>
    <row r="4972" spans="1:13" s="21" customFormat="1" x14ac:dyDescent="0.25">
      <c r="A4972" s="22" t="s">
        <v>8</v>
      </c>
      <c r="B4972" s="18" t="str">
        <f>"185137"</f>
        <v>185137</v>
      </c>
      <c r="C4972" s="19" t="s">
        <v>4907</v>
      </c>
      <c r="D4972" s="19" t="s">
        <v>20399</v>
      </c>
      <c r="E4972" s="19" t="s">
        <v>31696</v>
      </c>
      <c r="F4972" s="19" t="s">
        <v>35991</v>
      </c>
      <c r="G4972" s="18" t="str">
        <f>"40218"</f>
        <v>40218</v>
      </c>
      <c r="H4972" s="19" t="s">
        <v>32391</v>
      </c>
      <c r="I4972" s="20">
        <v>17.972999999999999</v>
      </c>
      <c r="J4972" s="44" t="s">
        <v>8</v>
      </c>
      <c r="K4972" s="23" t="s">
        <v>8</v>
      </c>
      <c r="L4972" s="23" t="s">
        <v>8</v>
      </c>
      <c r="M4972" s="23" t="s">
        <v>8</v>
      </c>
    </row>
    <row r="4973" spans="1:13" s="21" customFormat="1" x14ac:dyDescent="0.25">
      <c r="A4973" s="22" t="s">
        <v>8</v>
      </c>
      <c r="B4973" s="18" t="str">
        <f>"185138"</f>
        <v>185138</v>
      </c>
      <c r="C4973" s="19" t="s">
        <v>4908</v>
      </c>
      <c r="D4973" s="19" t="s">
        <v>20400</v>
      </c>
      <c r="E4973" s="19" t="s">
        <v>31696</v>
      </c>
      <c r="F4973" s="19" t="s">
        <v>35991</v>
      </c>
      <c r="G4973" s="18" t="str">
        <f>"40205"</f>
        <v>40205</v>
      </c>
      <c r="H4973" s="19" t="s">
        <v>32391</v>
      </c>
      <c r="I4973" s="20">
        <v>13.021000000000001</v>
      </c>
      <c r="J4973" s="44" t="s">
        <v>8</v>
      </c>
      <c r="K4973" s="23" t="s">
        <v>8</v>
      </c>
      <c r="L4973" s="23" t="s">
        <v>8</v>
      </c>
      <c r="M4973" s="23" t="s">
        <v>8</v>
      </c>
    </row>
    <row r="4974" spans="1:13" s="21" customFormat="1" x14ac:dyDescent="0.25">
      <c r="A4974" s="22" t="s">
        <v>8</v>
      </c>
      <c r="B4974" s="18" t="str">
        <f>"185141"</f>
        <v>185141</v>
      </c>
      <c r="C4974" s="19" t="s">
        <v>4909</v>
      </c>
      <c r="D4974" s="19" t="s">
        <v>20401</v>
      </c>
      <c r="E4974" s="19" t="s">
        <v>31495</v>
      </c>
      <c r="F4974" s="19" t="s">
        <v>35991</v>
      </c>
      <c r="G4974" s="18" t="str">
        <f>"40324"</f>
        <v>40324</v>
      </c>
      <c r="H4974" s="19" t="s">
        <v>36083</v>
      </c>
      <c r="I4974" s="20">
        <v>17.382999999999999</v>
      </c>
      <c r="J4974" s="44" t="s">
        <v>8</v>
      </c>
      <c r="K4974" s="23" t="s">
        <v>8</v>
      </c>
      <c r="L4974" s="23" t="s">
        <v>8</v>
      </c>
      <c r="M4974" s="23" t="s">
        <v>8</v>
      </c>
    </row>
    <row r="4975" spans="1:13" s="21" customFormat="1" x14ac:dyDescent="0.25">
      <c r="A4975" s="22" t="s">
        <v>8</v>
      </c>
      <c r="B4975" s="18" t="str">
        <f>"185142"</f>
        <v>185142</v>
      </c>
      <c r="C4975" s="19" t="s">
        <v>4910</v>
      </c>
      <c r="D4975" s="19" t="s">
        <v>20402</v>
      </c>
      <c r="E4975" s="19" t="s">
        <v>32683</v>
      </c>
      <c r="F4975" s="19" t="s">
        <v>35991</v>
      </c>
      <c r="G4975" s="18" t="str">
        <f>"42066"</f>
        <v>42066</v>
      </c>
      <c r="H4975" s="19" t="s">
        <v>36315</v>
      </c>
      <c r="I4975" s="20">
        <v>17.527000000000001</v>
      </c>
      <c r="J4975" s="44" t="s">
        <v>8</v>
      </c>
      <c r="K4975" s="23" t="s">
        <v>8</v>
      </c>
      <c r="L4975" s="23" t="s">
        <v>8</v>
      </c>
      <c r="M4975" s="23" t="s">
        <v>8</v>
      </c>
    </row>
    <row r="4976" spans="1:13" s="21" customFormat="1" x14ac:dyDescent="0.25">
      <c r="A4976" s="22" t="s">
        <v>8</v>
      </c>
      <c r="B4976" s="18" t="str">
        <f>"185144"</f>
        <v>185144</v>
      </c>
      <c r="C4976" s="19" t="s">
        <v>4911</v>
      </c>
      <c r="D4976" s="19" t="s">
        <v>20403</v>
      </c>
      <c r="E4976" s="19" t="s">
        <v>32692</v>
      </c>
      <c r="F4976" s="19" t="s">
        <v>35991</v>
      </c>
      <c r="G4976" s="18" t="str">
        <f>"40504"</f>
        <v>40504</v>
      </c>
      <c r="H4976" s="19" t="s">
        <v>30805</v>
      </c>
      <c r="I4976" s="20">
        <v>17.623999999999999</v>
      </c>
      <c r="J4976" s="44" t="s">
        <v>8</v>
      </c>
      <c r="K4976" s="23" t="s">
        <v>8</v>
      </c>
      <c r="L4976" s="23" t="s">
        <v>8</v>
      </c>
      <c r="M4976" s="23" t="s">
        <v>8</v>
      </c>
    </row>
    <row r="4977" spans="1:13" s="21" customFormat="1" x14ac:dyDescent="0.25">
      <c r="A4977" s="22" t="s">
        <v>8</v>
      </c>
      <c r="B4977" s="18" t="str">
        <f>"185145"</f>
        <v>185145</v>
      </c>
      <c r="C4977" s="19" t="s">
        <v>4912</v>
      </c>
      <c r="D4977" s="19" t="s">
        <v>20404</v>
      </c>
      <c r="E4977" s="19" t="s">
        <v>32680</v>
      </c>
      <c r="F4977" s="19" t="s">
        <v>35991</v>
      </c>
      <c r="G4977" s="18" t="str">
        <f>"41031"</f>
        <v>41031</v>
      </c>
      <c r="H4977" s="19" t="s">
        <v>31020</v>
      </c>
      <c r="I4977" s="20">
        <v>18.620999999999999</v>
      </c>
      <c r="J4977" s="44" t="s">
        <v>8</v>
      </c>
      <c r="K4977" s="23" t="s">
        <v>8</v>
      </c>
      <c r="L4977" s="23" t="s">
        <v>8</v>
      </c>
      <c r="M4977" s="23" t="s">
        <v>8</v>
      </c>
    </row>
    <row r="4978" spans="1:13" s="21" customFormat="1" x14ac:dyDescent="0.25">
      <c r="A4978" s="22" t="s">
        <v>8</v>
      </c>
      <c r="B4978" s="18" t="str">
        <f>"185146"</f>
        <v>185146</v>
      </c>
      <c r="C4978" s="19" t="s">
        <v>4913</v>
      </c>
      <c r="D4978" s="19" t="s">
        <v>20405</v>
      </c>
      <c r="E4978" s="19" t="s">
        <v>32175</v>
      </c>
      <c r="F4978" s="19" t="s">
        <v>35991</v>
      </c>
      <c r="G4978" s="18" t="str">
        <f>"40391"</f>
        <v>40391</v>
      </c>
      <c r="H4978" s="19" t="s">
        <v>33967</v>
      </c>
      <c r="I4978" s="20">
        <v>18.78</v>
      </c>
      <c r="J4978" s="44" t="s">
        <v>8</v>
      </c>
      <c r="K4978" s="23" t="s">
        <v>8</v>
      </c>
      <c r="L4978" s="23" t="s">
        <v>8</v>
      </c>
      <c r="M4978" s="23" t="s">
        <v>8</v>
      </c>
    </row>
    <row r="4979" spans="1:13" s="21" customFormat="1" x14ac:dyDescent="0.25">
      <c r="A4979" s="22" t="s">
        <v>8</v>
      </c>
      <c r="B4979" s="18" t="str">
        <f>"185147"</f>
        <v>185147</v>
      </c>
      <c r="C4979" s="19" t="s">
        <v>4872</v>
      </c>
      <c r="D4979" s="19" t="s">
        <v>20406</v>
      </c>
      <c r="E4979" s="19" t="s">
        <v>32693</v>
      </c>
      <c r="F4979" s="19" t="s">
        <v>35991</v>
      </c>
      <c r="G4979" s="18" t="str">
        <f>"42240"</f>
        <v>42240</v>
      </c>
      <c r="H4979" s="19" t="s">
        <v>36234</v>
      </c>
      <c r="I4979" s="20">
        <v>16.225000000000001</v>
      </c>
      <c r="J4979" s="44" t="s">
        <v>8</v>
      </c>
      <c r="K4979" s="23" t="s">
        <v>8</v>
      </c>
      <c r="L4979" s="23" t="s">
        <v>8</v>
      </c>
      <c r="M4979" s="23" t="s">
        <v>8</v>
      </c>
    </row>
    <row r="4980" spans="1:13" s="21" customFormat="1" x14ac:dyDescent="0.25">
      <c r="A4980" s="22" t="s">
        <v>8</v>
      </c>
      <c r="B4980" s="18" t="str">
        <f>"185148"</f>
        <v>185148</v>
      </c>
      <c r="C4980" s="19" t="s">
        <v>4914</v>
      </c>
      <c r="D4980" s="19" t="s">
        <v>20407</v>
      </c>
      <c r="E4980" s="19" t="s">
        <v>32538</v>
      </c>
      <c r="F4980" s="19" t="s">
        <v>35991</v>
      </c>
      <c r="G4980" s="18" t="str">
        <f>"40769"</f>
        <v>40769</v>
      </c>
      <c r="H4980" s="19" t="s">
        <v>36254</v>
      </c>
      <c r="I4980" s="20">
        <v>20.145</v>
      </c>
      <c r="J4980" s="44" t="s">
        <v>8</v>
      </c>
      <c r="K4980" s="23" t="s">
        <v>8</v>
      </c>
      <c r="L4980" s="23" t="s">
        <v>8</v>
      </c>
      <c r="M4980" s="23" t="s">
        <v>8</v>
      </c>
    </row>
    <row r="4981" spans="1:13" s="21" customFormat="1" x14ac:dyDescent="0.25">
      <c r="A4981" s="22" t="s">
        <v>8</v>
      </c>
      <c r="B4981" s="18" t="str">
        <f>"185149"</f>
        <v>185149</v>
      </c>
      <c r="C4981" s="19" t="s">
        <v>4915</v>
      </c>
      <c r="D4981" s="19" t="s">
        <v>20408</v>
      </c>
      <c r="E4981" s="19" t="s">
        <v>32702</v>
      </c>
      <c r="F4981" s="19" t="s">
        <v>35991</v>
      </c>
      <c r="G4981" s="18" t="str">
        <f>"40004"</f>
        <v>40004</v>
      </c>
      <c r="H4981" s="19" t="s">
        <v>36324</v>
      </c>
      <c r="I4981" s="20">
        <v>18.016999999999999</v>
      </c>
      <c r="J4981" s="44" t="s">
        <v>8</v>
      </c>
      <c r="K4981" s="23" t="s">
        <v>8</v>
      </c>
      <c r="L4981" s="23" t="s">
        <v>8</v>
      </c>
      <c r="M4981" s="23" t="s">
        <v>8</v>
      </c>
    </row>
    <row r="4982" spans="1:13" s="21" customFormat="1" x14ac:dyDescent="0.25">
      <c r="A4982" s="22" t="s">
        <v>8</v>
      </c>
      <c r="B4982" s="18" t="str">
        <f>"185150"</f>
        <v>185150</v>
      </c>
      <c r="C4982" s="19" t="s">
        <v>4916</v>
      </c>
      <c r="D4982" s="19" t="s">
        <v>20409</v>
      </c>
      <c r="E4982" s="19" t="s">
        <v>32703</v>
      </c>
      <c r="F4982" s="19" t="s">
        <v>35991</v>
      </c>
      <c r="G4982" s="18" t="str">
        <f>"41822"</f>
        <v>41822</v>
      </c>
      <c r="H4982" s="19" t="s">
        <v>36325</v>
      </c>
      <c r="I4982" s="20">
        <v>17.486000000000001</v>
      </c>
      <c r="J4982" s="44" t="s">
        <v>8</v>
      </c>
      <c r="K4982" s="23" t="s">
        <v>8</v>
      </c>
      <c r="L4982" s="23" t="s">
        <v>8</v>
      </c>
      <c r="M4982" s="23" t="s">
        <v>8</v>
      </c>
    </row>
    <row r="4983" spans="1:13" s="21" customFormat="1" x14ac:dyDescent="0.25">
      <c r="A4983" s="22" t="s">
        <v>8</v>
      </c>
      <c r="B4983" s="18" t="str">
        <f>"185151"</f>
        <v>185151</v>
      </c>
      <c r="C4983" s="19" t="s">
        <v>4917</v>
      </c>
      <c r="D4983" s="19" t="s">
        <v>20410</v>
      </c>
      <c r="E4983" s="19" t="s">
        <v>32704</v>
      </c>
      <c r="F4983" s="19" t="s">
        <v>35991</v>
      </c>
      <c r="G4983" s="18" t="str">
        <f>"41653"</f>
        <v>41653</v>
      </c>
      <c r="H4983" s="19" t="s">
        <v>35420</v>
      </c>
      <c r="I4983" s="20">
        <v>21.640999999999998</v>
      </c>
      <c r="J4983" s="44" t="s">
        <v>8</v>
      </c>
      <c r="K4983" s="23" t="s">
        <v>8</v>
      </c>
      <c r="L4983" s="23" t="s">
        <v>8</v>
      </c>
      <c r="M4983" s="23" t="s">
        <v>8</v>
      </c>
    </row>
    <row r="4984" spans="1:13" s="21" customFormat="1" x14ac:dyDescent="0.25">
      <c r="A4984" s="22" t="s">
        <v>8</v>
      </c>
      <c r="B4984" s="18" t="str">
        <f>"185152"</f>
        <v>185152</v>
      </c>
      <c r="C4984" s="19" t="s">
        <v>4918</v>
      </c>
      <c r="D4984" s="19" t="s">
        <v>20411</v>
      </c>
      <c r="E4984" s="19" t="s">
        <v>32705</v>
      </c>
      <c r="F4984" s="19" t="s">
        <v>35991</v>
      </c>
      <c r="G4984" s="18" t="str">
        <f>"42501"</f>
        <v>42501</v>
      </c>
      <c r="H4984" s="19" t="s">
        <v>31795</v>
      </c>
      <c r="I4984" s="20">
        <v>20.254999999999999</v>
      </c>
      <c r="J4984" s="44" t="s">
        <v>8</v>
      </c>
      <c r="K4984" s="23" t="s">
        <v>8</v>
      </c>
      <c r="L4984" s="23" t="s">
        <v>8</v>
      </c>
      <c r="M4984" s="23" t="s">
        <v>8</v>
      </c>
    </row>
    <row r="4985" spans="1:13" s="21" customFormat="1" x14ac:dyDescent="0.25">
      <c r="A4985" s="22" t="s">
        <v>8</v>
      </c>
      <c r="B4985" s="18" t="str">
        <f>"185155"</f>
        <v>185155</v>
      </c>
      <c r="C4985" s="19" t="s">
        <v>4919</v>
      </c>
      <c r="D4985" s="19" t="s">
        <v>20412</v>
      </c>
      <c r="E4985" s="19" t="s">
        <v>32706</v>
      </c>
      <c r="F4985" s="19" t="s">
        <v>35991</v>
      </c>
      <c r="G4985" s="18" t="str">
        <f>"40351"</f>
        <v>40351</v>
      </c>
      <c r="H4985" s="19" t="s">
        <v>36326</v>
      </c>
      <c r="I4985" s="20">
        <v>19.352</v>
      </c>
      <c r="J4985" s="44" t="s">
        <v>8</v>
      </c>
      <c r="K4985" s="23" t="s">
        <v>8</v>
      </c>
      <c r="L4985" s="23" t="s">
        <v>8</v>
      </c>
      <c r="M4985" s="23" t="s">
        <v>8</v>
      </c>
    </row>
    <row r="4986" spans="1:13" s="21" customFormat="1" x14ac:dyDescent="0.25">
      <c r="A4986" s="22" t="s">
        <v>8</v>
      </c>
      <c r="B4986" s="18" t="str">
        <f>"185157"</f>
        <v>185157</v>
      </c>
      <c r="C4986" s="19" t="s">
        <v>4920</v>
      </c>
      <c r="D4986" s="19" t="s">
        <v>20413</v>
      </c>
      <c r="E4986" s="19" t="s">
        <v>32023</v>
      </c>
      <c r="F4986" s="19" t="s">
        <v>35991</v>
      </c>
      <c r="G4986" s="18" t="str">
        <f>"40456"</f>
        <v>40456</v>
      </c>
      <c r="H4986" s="19" t="s">
        <v>36327</v>
      </c>
      <c r="I4986" s="20">
        <v>17.094000000000001</v>
      </c>
      <c r="J4986" s="44" t="s">
        <v>8</v>
      </c>
      <c r="K4986" s="23" t="s">
        <v>8</v>
      </c>
      <c r="L4986" s="23" t="s">
        <v>8</v>
      </c>
      <c r="M4986" s="23" t="s">
        <v>8</v>
      </c>
    </row>
    <row r="4987" spans="1:13" s="21" customFormat="1" x14ac:dyDescent="0.25">
      <c r="A4987" s="22" t="s">
        <v>8</v>
      </c>
      <c r="B4987" s="18" t="str">
        <f>"185159"</f>
        <v>185159</v>
      </c>
      <c r="C4987" s="19" t="s">
        <v>4921</v>
      </c>
      <c r="D4987" s="19" t="s">
        <v>20414</v>
      </c>
      <c r="E4987" s="19" t="s">
        <v>32256</v>
      </c>
      <c r="F4987" s="19" t="s">
        <v>35991</v>
      </c>
      <c r="G4987" s="18" t="str">
        <f>"40601"</f>
        <v>40601</v>
      </c>
      <c r="H4987" s="19" t="s">
        <v>5</v>
      </c>
      <c r="I4987" s="20">
        <v>22.265999999999998</v>
      </c>
      <c r="J4987" s="44" t="s">
        <v>8</v>
      </c>
      <c r="K4987" s="23" t="s">
        <v>8</v>
      </c>
      <c r="L4987" s="23" t="s">
        <v>8</v>
      </c>
      <c r="M4987" s="23" t="s">
        <v>8</v>
      </c>
    </row>
    <row r="4988" spans="1:13" s="21" customFormat="1" x14ac:dyDescent="0.25">
      <c r="A4988" s="22" t="s">
        <v>8</v>
      </c>
      <c r="B4988" s="18" t="str">
        <f>"185160"</f>
        <v>185160</v>
      </c>
      <c r="C4988" s="19" t="s">
        <v>4922</v>
      </c>
      <c r="D4988" s="19" t="s">
        <v>20415</v>
      </c>
      <c r="E4988" s="19" t="s">
        <v>32692</v>
      </c>
      <c r="F4988" s="19" t="s">
        <v>35991</v>
      </c>
      <c r="G4988" s="18" t="str">
        <f>"40504"</f>
        <v>40504</v>
      </c>
      <c r="H4988" s="19" t="s">
        <v>30805</v>
      </c>
      <c r="I4988" s="20">
        <v>19.097000000000001</v>
      </c>
      <c r="J4988" s="44" t="s">
        <v>8</v>
      </c>
      <c r="K4988" s="23" t="s">
        <v>8</v>
      </c>
      <c r="L4988" s="23" t="s">
        <v>8</v>
      </c>
      <c r="M4988" s="23" t="s">
        <v>8</v>
      </c>
    </row>
    <row r="4989" spans="1:13" s="21" customFormat="1" x14ac:dyDescent="0.25">
      <c r="A4989" s="22" t="s">
        <v>8</v>
      </c>
      <c r="B4989" s="18" t="str">
        <f>"185164"</f>
        <v>185164</v>
      </c>
      <c r="C4989" s="19" t="s">
        <v>4923</v>
      </c>
      <c r="D4989" s="19" t="s">
        <v>20416</v>
      </c>
      <c r="E4989" s="19" t="s">
        <v>32707</v>
      </c>
      <c r="F4989" s="19" t="s">
        <v>35991</v>
      </c>
      <c r="G4989" s="18" t="str">
        <f>"40906"</f>
        <v>40906</v>
      </c>
      <c r="H4989" s="19" t="s">
        <v>32252</v>
      </c>
      <c r="I4989" s="20">
        <v>18.992999999999999</v>
      </c>
      <c r="J4989" s="44" t="s">
        <v>8</v>
      </c>
      <c r="K4989" s="23" t="s">
        <v>8</v>
      </c>
      <c r="L4989" s="23" t="s">
        <v>8</v>
      </c>
      <c r="M4989" s="23" t="s">
        <v>8</v>
      </c>
    </row>
    <row r="4990" spans="1:13" s="21" customFormat="1" x14ac:dyDescent="0.25">
      <c r="A4990" s="22" t="s">
        <v>8</v>
      </c>
      <c r="B4990" s="18" t="str">
        <f>"185165"</f>
        <v>185165</v>
      </c>
      <c r="C4990" s="19" t="s">
        <v>4924</v>
      </c>
      <c r="D4990" s="19" t="s">
        <v>20417</v>
      </c>
      <c r="E4990" s="19" t="s">
        <v>31696</v>
      </c>
      <c r="F4990" s="19" t="s">
        <v>35991</v>
      </c>
      <c r="G4990" s="18" t="str">
        <f>"40222"</f>
        <v>40222</v>
      </c>
      <c r="H4990" s="19" t="s">
        <v>32391</v>
      </c>
      <c r="I4990" s="20">
        <v>19.138999999999999</v>
      </c>
      <c r="J4990" s="44" t="s">
        <v>8</v>
      </c>
      <c r="K4990" s="23" t="s">
        <v>8</v>
      </c>
      <c r="L4990" s="23" t="s">
        <v>8</v>
      </c>
      <c r="M4990" s="23" t="s">
        <v>8</v>
      </c>
    </row>
    <row r="4991" spans="1:13" s="21" customFormat="1" x14ac:dyDescent="0.25">
      <c r="A4991" s="22" t="s">
        <v>8</v>
      </c>
      <c r="B4991" s="18" t="str">
        <f>"185166"</f>
        <v>185166</v>
      </c>
      <c r="C4991" s="19" t="s">
        <v>4925</v>
      </c>
      <c r="D4991" s="19" t="s">
        <v>20418</v>
      </c>
      <c r="E4991" s="19" t="s">
        <v>32467</v>
      </c>
      <c r="F4991" s="19" t="s">
        <v>35991</v>
      </c>
      <c r="G4991" s="18" t="str">
        <f>"40831"</f>
        <v>40831</v>
      </c>
      <c r="H4991" s="19" t="s">
        <v>32467</v>
      </c>
      <c r="I4991" s="20">
        <v>21.175999999999998</v>
      </c>
      <c r="J4991" s="44" t="s">
        <v>8</v>
      </c>
      <c r="K4991" s="23" t="s">
        <v>8</v>
      </c>
      <c r="L4991" s="23" t="s">
        <v>8</v>
      </c>
      <c r="M4991" s="23" t="s">
        <v>8</v>
      </c>
    </row>
    <row r="4992" spans="1:13" s="21" customFormat="1" x14ac:dyDescent="0.25">
      <c r="A4992" s="22" t="s">
        <v>8</v>
      </c>
      <c r="B4992" s="18" t="str">
        <f>"185167"</f>
        <v>185167</v>
      </c>
      <c r="C4992" s="19" t="s">
        <v>4926</v>
      </c>
      <c r="D4992" s="19" t="s">
        <v>20419</v>
      </c>
      <c r="E4992" s="19" t="s">
        <v>32708</v>
      </c>
      <c r="F4992" s="19" t="s">
        <v>35991</v>
      </c>
      <c r="G4992" s="18" t="str">
        <f>"42170"</f>
        <v>42170</v>
      </c>
      <c r="H4992" s="19" t="s">
        <v>31025</v>
      </c>
      <c r="I4992" s="20">
        <v>19.094999999999999</v>
      </c>
      <c r="J4992" s="44" t="s">
        <v>8</v>
      </c>
      <c r="K4992" s="23" t="s">
        <v>8</v>
      </c>
      <c r="L4992" s="23" t="s">
        <v>8</v>
      </c>
      <c r="M4992" s="23" t="s">
        <v>8</v>
      </c>
    </row>
    <row r="4993" spans="1:13" s="21" customFormat="1" x14ac:dyDescent="0.25">
      <c r="A4993" s="22" t="s">
        <v>8</v>
      </c>
      <c r="B4993" s="18" t="str">
        <f>"185168"</f>
        <v>185168</v>
      </c>
      <c r="C4993" s="19" t="s">
        <v>4927</v>
      </c>
      <c r="D4993" s="19" t="s">
        <v>20420</v>
      </c>
      <c r="E4993" s="19" t="s">
        <v>32682</v>
      </c>
      <c r="F4993" s="19" t="s">
        <v>35991</v>
      </c>
      <c r="G4993" s="18" t="str">
        <f>"42167"</f>
        <v>42167</v>
      </c>
      <c r="H4993" s="19" t="s">
        <v>31711</v>
      </c>
      <c r="I4993" s="20">
        <v>20.082999999999998</v>
      </c>
      <c r="J4993" s="44" t="s">
        <v>8</v>
      </c>
      <c r="K4993" s="23" t="s">
        <v>8</v>
      </c>
      <c r="L4993" s="23" t="s">
        <v>8</v>
      </c>
      <c r="M4993" s="23" t="s">
        <v>8</v>
      </c>
    </row>
    <row r="4994" spans="1:13" s="21" customFormat="1" x14ac:dyDescent="0.25">
      <c r="A4994" s="22" t="s">
        <v>8</v>
      </c>
      <c r="B4994" s="18" t="str">
        <f>"185169"</f>
        <v>185169</v>
      </c>
      <c r="C4994" s="19" t="s">
        <v>4928</v>
      </c>
      <c r="D4994" s="19" t="s">
        <v>20421</v>
      </c>
      <c r="E4994" s="19" t="s">
        <v>31696</v>
      </c>
      <c r="F4994" s="19" t="s">
        <v>35991</v>
      </c>
      <c r="G4994" s="18" t="str">
        <f>"40222"</f>
        <v>40222</v>
      </c>
      <c r="H4994" s="19" t="s">
        <v>32391</v>
      </c>
      <c r="I4994" s="20">
        <v>19.568999999999999</v>
      </c>
      <c r="J4994" s="44" t="s">
        <v>8</v>
      </c>
      <c r="K4994" s="23" t="s">
        <v>8</v>
      </c>
      <c r="L4994" s="23" t="s">
        <v>8</v>
      </c>
      <c r="M4994" s="23" t="s">
        <v>8</v>
      </c>
    </row>
    <row r="4995" spans="1:13" s="21" customFormat="1" x14ac:dyDescent="0.25">
      <c r="A4995" s="22" t="s">
        <v>8</v>
      </c>
      <c r="B4995" s="18" t="str">
        <f>"185170"</f>
        <v>185170</v>
      </c>
      <c r="C4995" s="19" t="s">
        <v>4929</v>
      </c>
      <c r="D4995" s="19" t="s">
        <v>20422</v>
      </c>
      <c r="E4995" s="19" t="s">
        <v>32256</v>
      </c>
      <c r="F4995" s="19" t="s">
        <v>35991</v>
      </c>
      <c r="G4995" s="18" t="str">
        <f>"40601"</f>
        <v>40601</v>
      </c>
      <c r="H4995" s="19" t="s">
        <v>5</v>
      </c>
      <c r="I4995" s="20">
        <v>16.899999999999999</v>
      </c>
      <c r="J4995" s="44" t="s">
        <v>8</v>
      </c>
      <c r="K4995" s="23" t="s">
        <v>8</v>
      </c>
      <c r="L4995" s="23" t="s">
        <v>8</v>
      </c>
      <c r="M4995" s="23" t="s">
        <v>8</v>
      </c>
    </row>
    <row r="4996" spans="1:13" s="21" customFormat="1" x14ac:dyDescent="0.25">
      <c r="A4996" s="22" t="s">
        <v>8</v>
      </c>
      <c r="B4996" s="18" t="str">
        <f>"185171"</f>
        <v>185171</v>
      </c>
      <c r="C4996" s="19" t="s">
        <v>4930</v>
      </c>
      <c r="D4996" s="19" t="s">
        <v>20423</v>
      </c>
      <c r="E4996" s="19" t="s">
        <v>32709</v>
      </c>
      <c r="F4996" s="19" t="s">
        <v>35991</v>
      </c>
      <c r="G4996" s="18" t="str">
        <f>"42003"</f>
        <v>42003</v>
      </c>
      <c r="H4996" s="19" t="s">
        <v>36328</v>
      </c>
      <c r="I4996" s="20">
        <v>16.922000000000001</v>
      </c>
      <c r="J4996" s="44" t="s">
        <v>8</v>
      </c>
      <c r="K4996" s="23" t="s">
        <v>8</v>
      </c>
      <c r="L4996" s="23" t="s">
        <v>8</v>
      </c>
      <c r="M4996" s="23" t="s">
        <v>8</v>
      </c>
    </row>
    <row r="4997" spans="1:13" s="21" customFormat="1" x14ac:dyDescent="0.25">
      <c r="A4997" s="22" t="s">
        <v>8</v>
      </c>
      <c r="B4997" s="18" t="str">
        <f>"185172"</f>
        <v>185172</v>
      </c>
      <c r="C4997" s="19" t="s">
        <v>4931</v>
      </c>
      <c r="D4997" s="19" t="s">
        <v>20424</v>
      </c>
      <c r="E4997" s="19" t="s">
        <v>32710</v>
      </c>
      <c r="F4997" s="19" t="s">
        <v>35991</v>
      </c>
      <c r="G4997" s="18" t="str">
        <f>"41503"</f>
        <v>41503</v>
      </c>
      <c r="H4997" s="19" t="s">
        <v>36033</v>
      </c>
      <c r="I4997" s="20">
        <v>19.45</v>
      </c>
      <c r="J4997" s="44" t="s">
        <v>8</v>
      </c>
      <c r="K4997" s="23" t="s">
        <v>8</v>
      </c>
      <c r="L4997" s="23" t="s">
        <v>8</v>
      </c>
      <c r="M4997" s="23" t="s">
        <v>8</v>
      </c>
    </row>
    <row r="4998" spans="1:13" s="21" customFormat="1" x14ac:dyDescent="0.25">
      <c r="A4998" s="22" t="s">
        <v>8</v>
      </c>
      <c r="B4998" s="18" t="str">
        <f>"185173"</f>
        <v>185173</v>
      </c>
      <c r="C4998" s="19" t="s">
        <v>4932</v>
      </c>
      <c r="D4998" s="19" t="s">
        <v>20425</v>
      </c>
      <c r="E4998" s="19" t="s">
        <v>32705</v>
      </c>
      <c r="F4998" s="19" t="s">
        <v>35991</v>
      </c>
      <c r="G4998" s="18" t="str">
        <f>"42501"</f>
        <v>42501</v>
      </c>
      <c r="H4998" s="19" t="s">
        <v>31795</v>
      </c>
      <c r="I4998" s="20">
        <v>19.513999999999999</v>
      </c>
      <c r="J4998" s="44" t="s">
        <v>8</v>
      </c>
      <c r="K4998" s="23" t="s">
        <v>8</v>
      </c>
      <c r="L4998" s="23" t="s">
        <v>8</v>
      </c>
      <c r="M4998" s="23" t="s">
        <v>8</v>
      </c>
    </row>
    <row r="4999" spans="1:13" s="21" customFormat="1" x14ac:dyDescent="0.25">
      <c r="A4999" s="22" t="s">
        <v>8</v>
      </c>
      <c r="B4999" s="18" t="str">
        <f>"185174"</f>
        <v>185174</v>
      </c>
      <c r="C4999" s="19" t="s">
        <v>4933</v>
      </c>
      <c r="D4999" s="19" t="s">
        <v>20426</v>
      </c>
      <c r="E4999" s="19" t="s">
        <v>30829</v>
      </c>
      <c r="F4999" s="19" t="s">
        <v>35991</v>
      </c>
      <c r="G4999" s="18" t="str">
        <f>"41042"</f>
        <v>41042</v>
      </c>
      <c r="H4999" s="19" t="s">
        <v>32513</v>
      </c>
      <c r="I4999" s="20">
        <v>18.225999999999999</v>
      </c>
      <c r="J4999" s="44" t="s">
        <v>8</v>
      </c>
      <c r="K4999" s="23" t="s">
        <v>8</v>
      </c>
      <c r="L4999" s="23" t="s">
        <v>8</v>
      </c>
      <c r="M4999" s="23" t="s">
        <v>8</v>
      </c>
    </row>
    <row r="5000" spans="1:13" s="21" customFormat="1" x14ac:dyDescent="0.25">
      <c r="A5000" s="22" t="s">
        <v>8</v>
      </c>
      <c r="B5000" s="18" t="str">
        <f>"185175"</f>
        <v>185175</v>
      </c>
      <c r="C5000" s="19" t="s">
        <v>4934</v>
      </c>
      <c r="D5000" s="19" t="s">
        <v>20427</v>
      </c>
      <c r="E5000" s="19" t="s">
        <v>31696</v>
      </c>
      <c r="F5000" s="19" t="s">
        <v>35991</v>
      </c>
      <c r="G5000" s="18" t="str">
        <f>"40203"</f>
        <v>40203</v>
      </c>
      <c r="H5000" s="19" t="s">
        <v>32391</v>
      </c>
      <c r="I5000" s="20">
        <v>20.102</v>
      </c>
      <c r="J5000" s="44" t="s">
        <v>8</v>
      </c>
      <c r="K5000" s="23" t="s">
        <v>8</v>
      </c>
      <c r="L5000" s="23" t="s">
        <v>8</v>
      </c>
      <c r="M5000" s="23" t="s">
        <v>8</v>
      </c>
    </row>
    <row r="5001" spans="1:13" s="21" customFormat="1" x14ac:dyDescent="0.25">
      <c r="A5001" s="22" t="s">
        <v>8</v>
      </c>
      <c r="B5001" s="18" t="str">
        <f>"185176"</f>
        <v>185176</v>
      </c>
      <c r="C5001" s="19" t="s">
        <v>4935</v>
      </c>
      <c r="D5001" s="19" t="s">
        <v>20428</v>
      </c>
      <c r="E5001" s="19" t="s">
        <v>31696</v>
      </c>
      <c r="F5001" s="19" t="s">
        <v>35991</v>
      </c>
      <c r="G5001" s="18" t="str">
        <f>"40206"</f>
        <v>40206</v>
      </c>
      <c r="H5001" s="19" t="s">
        <v>32391</v>
      </c>
      <c r="I5001" s="20">
        <v>19.559000000000001</v>
      </c>
      <c r="J5001" s="44" t="s">
        <v>8</v>
      </c>
      <c r="K5001" s="23" t="s">
        <v>8</v>
      </c>
      <c r="L5001" s="23" t="s">
        <v>8</v>
      </c>
      <c r="M5001" s="23" t="s">
        <v>8</v>
      </c>
    </row>
    <row r="5002" spans="1:13" s="21" customFormat="1" x14ac:dyDescent="0.25">
      <c r="A5002" s="22" t="s">
        <v>8</v>
      </c>
      <c r="B5002" s="18" t="str">
        <f>"185177"</f>
        <v>185177</v>
      </c>
      <c r="C5002" s="19" t="s">
        <v>4936</v>
      </c>
      <c r="D5002" s="19" t="s">
        <v>20429</v>
      </c>
      <c r="E5002" s="19" t="s">
        <v>32679</v>
      </c>
      <c r="F5002" s="19" t="s">
        <v>35991</v>
      </c>
      <c r="G5002" s="18" t="str">
        <f>"42754"</f>
        <v>42754</v>
      </c>
      <c r="H5002" s="19" t="s">
        <v>32731</v>
      </c>
      <c r="I5002" s="20">
        <v>21.321000000000002</v>
      </c>
      <c r="J5002" s="44" t="s">
        <v>8</v>
      </c>
      <c r="K5002" s="23" t="s">
        <v>8</v>
      </c>
      <c r="L5002" s="23" t="s">
        <v>8</v>
      </c>
      <c r="M5002" s="23" t="s">
        <v>8</v>
      </c>
    </row>
    <row r="5003" spans="1:13" s="21" customFormat="1" x14ac:dyDescent="0.25">
      <c r="A5003" s="22" t="s">
        <v>8</v>
      </c>
      <c r="B5003" s="18" t="str">
        <f>"185178"</f>
        <v>185178</v>
      </c>
      <c r="C5003" s="19" t="s">
        <v>4937</v>
      </c>
      <c r="D5003" s="19" t="s">
        <v>20430</v>
      </c>
      <c r="E5003" s="19" t="s">
        <v>31696</v>
      </c>
      <c r="F5003" s="19" t="s">
        <v>35991</v>
      </c>
      <c r="G5003" s="18" t="str">
        <f>"40220"</f>
        <v>40220</v>
      </c>
      <c r="H5003" s="19" t="s">
        <v>32391</v>
      </c>
      <c r="I5003" s="20">
        <v>19.446000000000002</v>
      </c>
      <c r="J5003" s="44" t="s">
        <v>8</v>
      </c>
      <c r="K5003" s="23" t="s">
        <v>8</v>
      </c>
      <c r="L5003" s="23" t="s">
        <v>8</v>
      </c>
      <c r="M5003" s="23" t="s">
        <v>8</v>
      </c>
    </row>
    <row r="5004" spans="1:13" s="21" customFormat="1" x14ac:dyDescent="0.25">
      <c r="A5004" s="22" t="s">
        <v>8</v>
      </c>
      <c r="B5004" s="18" t="str">
        <f>"185179"</f>
        <v>185179</v>
      </c>
      <c r="C5004" s="19" t="s">
        <v>4938</v>
      </c>
      <c r="D5004" s="19" t="s">
        <v>20431</v>
      </c>
      <c r="E5004" s="19" t="s">
        <v>31696</v>
      </c>
      <c r="F5004" s="19" t="s">
        <v>35991</v>
      </c>
      <c r="G5004" s="18" t="str">
        <f>"40222"</f>
        <v>40222</v>
      </c>
      <c r="H5004" s="19" t="s">
        <v>32391</v>
      </c>
      <c r="I5004" s="20">
        <v>19.016999999999999</v>
      </c>
      <c r="J5004" s="44" t="s">
        <v>8</v>
      </c>
      <c r="K5004" s="23" t="s">
        <v>8</v>
      </c>
      <c r="L5004" s="23" t="s">
        <v>8</v>
      </c>
      <c r="M5004" s="23" t="s">
        <v>8</v>
      </c>
    </row>
    <row r="5005" spans="1:13" s="21" customFormat="1" x14ac:dyDescent="0.25">
      <c r="A5005" s="22" t="s">
        <v>8</v>
      </c>
      <c r="B5005" s="18" t="str">
        <f>"185180"</f>
        <v>185180</v>
      </c>
      <c r="C5005" s="19" t="s">
        <v>4939</v>
      </c>
      <c r="D5005" s="19" t="s">
        <v>20432</v>
      </c>
      <c r="E5005" s="19" t="s">
        <v>32711</v>
      </c>
      <c r="F5005" s="19" t="s">
        <v>35991</v>
      </c>
      <c r="G5005" s="18" t="str">
        <f>"40160"</f>
        <v>40160</v>
      </c>
      <c r="H5005" s="19" t="s">
        <v>32124</v>
      </c>
      <c r="I5005" s="20">
        <v>16.984000000000002</v>
      </c>
      <c r="J5005" s="44" t="s">
        <v>8</v>
      </c>
      <c r="K5005" s="23" t="s">
        <v>8</v>
      </c>
      <c r="L5005" s="23" t="s">
        <v>8</v>
      </c>
      <c r="M5005" s="23" t="s">
        <v>8</v>
      </c>
    </row>
    <row r="5006" spans="1:13" s="21" customFormat="1" x14ac:dyDescent="0.25">
      <c r="A5006" s="22" t="s">
        <v>8</v>
      </c>
      <c r="B5006" s="18" t="str">
        <f>"185182"</f>
        <v>185182</v>
      </c>
      <c r="C5006" s="19" t="s">
        <v>4940</v>
      </c>
      <c r="D5006" s="19" t="s">
        <v>20433</v>
      </c>
      <c r="E5006" s="19" t="s">
        <v>32712</v>
      </c>
      <c r="F5006" s="19" t="s">
        <v>35991</v>
      </c>
      <c r="G5006" s="18" t="str">
        <f>"40977"</f>
        <v>40977</v>
      </c>
      <c r="H5006" s="19" t="s">
        <v>31306</v>
      </c>
      <c r="I5006" s="20">
        <v>19.044</v>
      </c>
      <c r="J5006" s="44" t="s">
        <v>8</v>
      </c>
      <c r="K5006" s="23" t="s">
        <v>8</v>
      </c>
      <c r="L5006" s="23" t="s">
        <v>8</v>
      </c>
      <c r="M5006" s="23" t="s">
        <v>8</v>
      </c>
    </row>
    <row r="5007" spans="1:13" s="21" customFormat="1" x14ac:dyDescent="0.25">
      <c r="A5007" s="22" t="s">
        <v>8</v>
      </c>
      <c r="B5007" s="18" t="str">
        <f>"185183"</f>
        <v>185183</v>
      </c>
      <c r="C5007" s="19" t="s">
        <v>4941</v>
      </c>
      <c r="D5007" s="19" t="s">
        <v>20434</v>
      </c>
      <c r="E5007" s="19" t="s">
        <v>32698</v>
      </c>
      <c r="F5007" s="19" t="s">
        <v>35991</v>
      </c>
      <c r="G5007" s="18" t="str">
        <f>"42701"</f>
        <v>42701</v>
      </c>
      <c r="H5007" s="19" t="s">
        <v>32124</v>
      </c>
      <c r="I5007" s="20">
        <v>18.491</v>
      </c>
      <c r="J5007" s="44" t="s">
        <v>8</v>
      </c>
      <c r="K5007" s="23" t="s">
        <v>8</v>
      </c>
      <c r="L5007" s="23" t="s">
        <v>8</v>
      </c>
      <c r="M5007" s="23" t="s">
        <v>8</v>
      </c>
    </row>
    <row r="5008" spans="1:13" s="21" customFormat="1" x14ac:dyDescent="0.25">
      <c r="A5008" s="22" t="s">
        <v>8</v>
      </c>
      <c r="B5008" s="18" t="str">
        <f>"185187"</f>
        <v>185187</v>
      </c>
      <c r="C5008" s="19" t="s">
        <v>4942</v>
      </c>
      <c r="D5008" s="19" t="s">
        <v>20435</v>
      </c>
      <c r="E5008" s="19" t="s">
        <v>32684</v>
      </c>
      <c r="F5008" s="19" t="s">
        <v>35991</v>
      </c>
      <c r="G5008" s="18" t="str">
        <f>"42104"</f>
        <v>42104</v>
      </c>
      <c r="H5008" s="19" t="s">
        <v>31025</v>
      </c>
      <c r="I5008" s="20">
        <v>21.036999999999999</v>
      </c>
      <c r="J5008" s="44" t="s">
        <v>8</v>
      </c>
      <c r="K5008" s="23" t="s">
        <v>8</v>
      </c>
      <c r="L5008" s="23" t="s">
        <v>8</v>
      </c>
      <c r="M5008" s="23" t="s">
        <v>8</v>
      </c>
    </row>
    <row r="5009" spans="1:13" s="21" customFormat="1" x14ac:dyDescent="0.25">
      <c r="A5009" s="22" t="s">
        <v>8</v>
      </c>
      <c r="B5009" s="18" t="str">
        <f>"185190"</f>
        <v>185190</v>
      </c>
      <c r="C5009" s="19" t="s">
        <v>4943</v>
      </c>
      <c r="D5009" s="19" t="s">
        <v>20436</v>
      </c>
      <c r="E5009" s="19" t="s">
        <v>32087</v>
      </c>
      <c r="F5009" s="19" t="s">
        <v>35991</v>
      </c>
      <c r="G5009" s="18" t="str">
        <f>"40031"</f>
        <v>40031</v>
      </c>
      <c r="H5009" s="19" t="s">
        <v>36329</v>
      </c>
      <c r="I5009" s="20">
        <v>15.173999999999999</v>
      </c>
      <c r="J5009" s="44" t="s">
        <v>8</v>
      </c>
      <c r="K5009" s="23" t="s">
        <v>8</v>
      </c>
      <c r="L5009" s="23" t="s">
        <v>8</v>
      </c>
      <c r="M5009" s="23" t="s">
        <v>8</v>
      </c>
    </row>
    <row r="5010" spans="1:13" s="21" customFormat="1" x14ac:dyDescent="0.25">
      <c r="A5010" s="22" t="s">
        <v>8</v>
      </c>
      <c r="B5010" s="18" t="str">
        <f>"185192"</f>
        <v>185192</v>
      </c>
      <c r="C5010" s="19" t="s">
        <v>4944</v>
      </c>
      <c r="D5010" s="19" t="s">
        <v>20437</v>
      </c>
      <c r="E5010" s="19" t="s">
        <v>31696</v>
      </c>
      <c r="F5010" s="19" t="s">
        <v>35991</v>
      </c>
      <c r="G5010" s="18" t="str">
        <f>"40207"</f>
        <v>40207</v>
      </c>
      <c r="H5010" s="19" t="s">
        <v>32391</v>
      </c>
      <c r="I5010" s="20">
        <v>19.273</v>
      </c>
      <c r="J5010" s="44" t="s">
        <v>8</v>
      </c>
      <c r="K5010" s="23" t="s">
        <v>8</v>
      </c>
      <c r="L5010" s="23" t="s">
        <v>8</v>
      </c>
      <c r="M5010" s="23" t="s">
        <v>8</v>
      </c>
    </row>
    <row r="5011" spans="1:13" s="21" customFormat="1" x14ac:dyDescent="0.25">
      <c r="A5011" s="22" t="s">
        <v>8</v>
      </c>
      <c r="B5011" s="18" t="str">
        <f>"185193"</f>
        <v>185193</v>
      </c>
      <c r="C5011" s="19" t="s">
        <v>4945</v>
      </c>
      <c r="D5011" s="19" t="s">
        <v>20438</v>
      </c>
      <c r="E5011" s="19" t="s">
        <v>32713</v>
      </c>
      <c r="F5011" s="19" t="s">
        <v>35991</v>
      </c>
      <c r="G5011" s="18" t="str">
        <f>"41749"</f>
        <v>41749</v>
      </c>
      <c r="H5011" s="19" t="s">
        <v>36330</v>
      </c>
      <c r="I5011" s="20">
        <v>20.920999999999999</v>
      </c>
      <c r="J5011" s="44" t="s">
        <v>8</v>
      </c>
      <c r="K5011" s="23" t="s">
        <v>8</v>
      </c>
      <c r="L5011" s="23" t="s">
        <v>8</v>
      </c>
      <c r="M5011" s="23" t="s">
        <v>8</v>
      </c>
    </row>
    <row r="5012" spans="1:13" s="21" customFormat="1" x14ac:dyDescent="0.25">
      <c r="A5012" s="22" t="s">
        <v>8</v>
      </c>
      <c r="B5012" s="18" t="str">
        <f>"185194"</f>
        <v>185194</v>
      </c>
      <c r="C5012" s="19" t="s">
        <v>4946</v>
      </c>
      <c r="D5012" s="19" t="s">
        <v>20439</v>
      </c>
      <c r="E5012" s="19" t="s">
        <v>31696</v>
      </c>
      <c r="F5012" s="19" t="s">
        <v>35991</v>
      </c>
      <c r="G5012" s="18" t="str">
        <f>"40243"</f>
        <v>40243</v>
      </c>
      <c r="H5012" s="19" t="s">
        <v>32391</v>
      </c>
      <c r="I5012" s="20">
        <v>18.045000000000002</v>
      </c>
      <c r="J5012" s="44" t="s">
        <v>8</v>
      </c>
      <c r="K5012" s="23" t="s">
        <v>8</v>
      </c>
      <c r="L5012" s="23" t="s">
        <v>8</v>
      </c>
      <c r="M5012" s="23" t="s">
        <v>8</v>
      </c>
    </row>
    <row r="5013" spans="1:13" s="21" customFormat="1" x14ac:dyDescent="0.25">
      <c r="A5013" s="22" t="s">
        <v>8</v>
      </c>
      <c r="B5013" s="18" t="str">
        <f>"185195"</f>
        <v>185195</v>
      </c>
      <c r="C5013" s="19" t="s">
        <v>4947</v>
      </c>
      <c r="D5013" s="19" t="s">
        <v>20440</v>
      </c>
      <c r="E5013" s="19" t="s">
        <v>32714</v>
      </c>
      <c r="F5013" s="19" t="s">
        <v>35991</v>
      </c>
      <c r="G5013" s="18" t="str">
        <f>"42029"</f>
        <v>42029</v>
      </c>
      <c r="H5013" s="19" t="s">
        <v>31063</v>
      </c>
      <c r="I5013" s="20">
        <v>19.344999999999999</v>
      </c>
      <c r="J5013" s="44" t="s">
        <v>8</v>
      </c>
      <c r="K5013" s="23" t="s">
        <v>8</v>
      </c>
      <c r="L5013" s="23" t="s">
        <v>8</v>
      </c>
      <c r="M5013" s="23" t="s">
        <v>8</v>
      </c>
    </row>
    <row r="5014" spans="1:13" s="21" customFormat="1" x14ac:dyDescent="0.25">
      <c r="A5014" s="22" t="s">
        <v>8</v>
      </c>
      <c r="B5014" s="18" t="str">
        <f>"185196"</f>
        <v>185196</v>
      </c>
      <c r="C5014" s="19" t="s">
        <v>4948</v>
      </c>
      <c r="D5014" s="19" t="s">
        <v>20441</v>
      </c>
      <c r="E5014" s="19" t="s">
        <v>31696</v>
      </c>
      <c r="F5014" s="19" t="s">
        <v>35991</v>
      </c>
      <c r="G5014" s="18" t="str">
        <f>"40218"</f>
        <v>40218</v>
      </c>
      <c r="H5014" s="19" t="s">
        <v>32391</v>
      </c>
      <c r="I5014" s="20">
        <v>20.907</v>
      </c>
      <c r="J5014" s="44" t="s">
        <v>8</v>
      </c>
      <c r="K5014" s="23" t="s">
        <v>8</v>
      </c>
      <c r="L5014" s="23" t="s">
        <v>8</v>
      </c>
      <c r="M5014" s="23" t="s">
        <v>8</v>
      </c>
    </row>
    <row r="5015" spans="1:13" s="21" customFormat="1" x14ac:dyDescent="0.25">
      <c r="A5015" s="22" t="s">
        <v>8</v>
      </c>
      <c r="B5015" s="18" t="str">
        <f>"185197"</f>
        <v>185197</v>
      </c>
      <c r="C5015" s="19" t="s">
        <v>4949</v>
      </c>
      <c r="D5015" s="19" t="s">
        <v>20442</v>
      </c>
      <c r="E5015" s="19" t="s">
        <v>32692</v>
      </c>
      <c r="F5015" s="19" t="s">
        <v>35991</v>
      </c>
      <c r="G5015" s="18" t="str">
        <f>"40515"</f>
        <v>40515</v>
      </c>
      <c r="H5015" s="19" t="s">
        <v>30805</v>
      </c>
      <c r="I5015" s="20">
        <v>18.548999999999999</v>
      </c>
      <c r="J5015" s="44" t="s">
        <v>8</v>
      </c>
      <c r="K5015" s="23" t="s">
        <v>8</v>
      </c>
      <c r="L5015" s="23" t="s">
        <v>8</v>
      </c>
      <c r="M5015" s="23" t="s">
        <v>8</v>
      </c>
    </row>
    <row r="5016" spans="1:13" s="21" customFormat="1" x14ac:dyDescent="0.25">
      <c r="A5016" s="22" t="s">
        <v>8</v>
      </c>
      <c r="B5016" s="18" t="str">
        <f>"185200"</f>
        <v>185200</v>
      </c>
      <c r="C5016" s="19" t="s">
        <v>4950</v>
      </c>
      <c r="D5016" s="19" t="s">
        <v>20443</v>
      </c>
      <c r="E5016" s="19" t="s">
        <v>32675</v>
      </c>
      <c r="F5016" s="19" t="s">
        <v>35991</v>
      </c>
      <c r="G5016" s="18" t="str">
        <f>"41858"</f>
        <v>41858</v>
      </c>
      <c r="H5016" s="19" t="s">
        <v>36313</v>
      </c>
      <c r="I5016" s="20">
        <v>22.87</v>
      </c>
      <c r="J5016" s="44" t="s">
        <v>8</v>
      </c>
      <c r="K5016" s="23" t="s">
        <v>8</v>
      </c>
      <c r="L5016" s="23" t="s">
        <v>8</v>
      </c>
      <c r="M5016" s="23" t="s">
        <v>8</v>
      </c>
    </row>
    <row r="5017" spans="1:13" s="21" customFormat="1" x14ac:dyDescent="0.25">
      <c r="A5017" s="22" t="s">
        <v>8</v>
      </c>
      <c r="B5017" s="18" t="str">
        <f>"185201"</f>
        <v>185201</v>
      </c>
      <c r="C5017" s="19" t="s">
        <v>4951</v>
      </c>
      <c r="D5017" s="19" t="s">
        <v>20444</v>
      </c>
      <c r="E5017" s="19" t="s">
        <v>32692</v>
      </c>
      <c r="F5017" s="19" t="s">
        <v>35991</v>
      </c>
      <c r="G5017" s="18" t="str">
        <f>"40515"</f>
        <v>40515</v>
      </c>
      <c r="H5017" s="19" t="s">
        <v>30805</v>
      </c>
      <c r="I5017" s="20">
        <v>17.259</v>
      </c>
      <c r="J5017" s="44" t="s">
        <v>8</v>
      </c>
      <c r="K5017" s="23" t="s">
        <v>8</v>
      </c>
      <c r="L5017" s="23" t="s">
        <v>8</v>
      </c>
      <c r="M5017" s="23" t="s">
        <v>8</v>
      </c>
    </row>
    <row r="5018" spans="1:13" s="21" customFormat="1" x14ac:dyDescent="0.25">
      <c r="A5018" s="22" t="s">
        <v>8</v>
      </c>
      <c r="B5018" s="18" t="str">
        <f>"185205"</f>
        <v>185205</v>
      </c>
      <c r="C5018" s="19" t="s">
        <v>4952</v>
      </c>
      <c r="D5018" s="19" t="s">
        <v>20445</v>
      </c>
      <c r="E5018" s="19" t="s">
        <v>30812</v>
      </c>
      <c r="F5018" s="19" t="s">
        <v>35991</v>
      </c>
      <c r="G5018" s="18" t="str">
        <f>"41045"</f>
        <v>41045</v>
      </c>
      <c r="H5018" s="19" t="s">
        <v>32334</v>
      </c>
      <c r="I5018" s="20">
        <v>18.582000000000001</v>
      </c>
      <c r="J5018" s="44" t="s">
        <v>8</v>
      </c>
      <c r="K5018" s="23" t="s">
        <v>8</v>
      </c>
      <c r="L5018" s="23" t="s">
        <v>8</v>
      </c>
      <c r="M5018" s="23" t="s">
        <v>8</v>
      </c>
    </row>
    <row r="5019" spans="1:13" s="21" customFormat="1" x14ac:dyDescent="0.25">
      <c r="A5019" s="22" t="s">
        <v>8</v>
      </c>
      <c r="B5019" s="18" t="str">
        <f>"185207"</f>
        <v>185207</v>
      </c>
      <c r="C5019" s="19" t="s">
        <v>4953</v>
      </c>
      <c r="D5019" s="19" t="s">
        <v>20446</v>
      </c>
      <c r="E5019" s="19" t="s">
        <v>32676</v>
      </c>
      <c r="F5019" s="19" t="s">
        <v>35991</v>
      </c>
      <c r="G5019" s="18" t="str">
        <f>"41056"</f>
        <v>41056</v>
      </c>
      <c r="H5019" s="19" t="s">
        <v>34550</v>
      </c>
      <c r="I5019" s="20">
        <v>19.72</v>
      </c>
      <c r="J5019" s="44" t="s">
        <v>8</v>
      </c>
      <c r="K5019" s="23" t="s">
        <v>8</v>
      </c>
      <c r="L5019" s="23" t="s">
        <v>8</v>
      </c>
      <c r="M5019" s="23" t="s">
        <v>8</v>
      </c>
    </row>
    <row r="5020" spans="1:13" s="21" customFormat="1" x14ac:dyDescent="0.25">
      <c r="A5020" s="22" t="s">
        <v>8</v>
      </c>
      <c r="B5020" s="18" t="str">
        <f>"185208"</f>
        <v>185208</v>
      </c>
      <c r="C5020" s="19" t="s">
        <v>4954</v>
      </c>
      <c r="D5020" s="19" t="s">
        <v>20447</v>
      </c>
      <c r="E5020" s="19" t="s">
        <v>32715</v>
      </c>
      <c r="F5020" s="19" t="s">
        <v>35991</v>
      </c>
      <c r="G5020" s="18" t="str">
        <f>"41075"</f>
        <v>41075</v>
      </c>
      <c r="H5020" s="19" t="s">
        <v>33699</v>
      </c>
      <c r="I5020" s="20">
        <v>17.350000000000001</v>
      </c>
      <c r="J5020" s="44" t="s">
        <v>8</v>
      </c>
      <c r="K5020" s="23" t="s">
        <v>8</v>
      </c>
      <c r="L5020" s="23" t="s">
        <v>8</v>
      </c>
      <c r="M5020" s="23" t="s">
        <v>8</v>
      </c>
    </row>
    <row r="5021" spans="1:13" s="21" customFormat="1" x14ac:dyDescent="0.25">
      <c r="A5021" s="22" t="s">
        <v>8</v>
      </c>
      <c r="B5021" s="18" t="str">
        <f>"185209"</f>
        <v>185209</v>
      </c>
      <c r="C5021" s="19" t="s">
        <v>4955</v>
      </c>
      <c r="D5021" s="19" t="s">
        <v>20448</v>
      </c>
      <c r="E5021" s="19" t="s">
        <v>31743</v>
      </c>
      <c r="F5021" s="19" t="s">
        <v>35991</v>
      </c>
      <c r="G5021" s="18" t="str">
        <f>"42327"</f>
        <v>42327</v>
      </c>
      <c r="H5021" s="19" t="s">
        <v>35924</v>
      </c>
      <c r="I5021" s="20">
        <v>18.013999999999999</v>
      </c>
      <c r="J5021" s="44" t="s">
        <v>8</v>
      </c>
      <c r="K5021" s="23" t="s">
        <v>8</v>
      </c>
      <c r="L5021" s="23" t="s">
        <v>8</v>
      </c>
      <c r="M5021" s="23" t="s">
        <v>8</v>
      </c>
    </row>
    <row r="5022" spans="1:13" s="21" customFormat="1" x14ac:dyDescent="0.25">
      <c r="A5022" s="22" t="s">
        <v>8</v>
      </c>
      <c r="B5022" s="18" t="str">
        <f>"185210"</f>
        <v>185210</v>
      </c>
      <c r="C5022" s="19" t="s">
        <v>4956</v>
      </c>
      <c r="D5022" s="19" t="s">
        <v>20449</v>
      </c>
      <c r="E5022" s="19" t="s">
        <v>32716</v>
      </c>
      <c r="F5022" s="19" t="s">
        <v>35991</v>
      </c>
      <c r="G5022" s="18" t="str">
        <f>"40330"</f>
        <v>40330</v>
      </c>
      <c r="H5022" s="19" t="s">
        <v>34991</v>
      </c>
      <c r="I5022" s="20">
        <v>18.591999999999999</v>
      </c>
      <c r="J5022" s="44" t="s">
        <v>8</v>
      </c>
      <c r="K5022" s="23" t="s">
        <v>8</v>
      </c>
      <c r="L5022" s="23" t="s">
        <v>8</v>
      </c>
      <c r="M5022" s="23" t="s">
        <v>8</v>
      </c>
    </row>
    <row r="5023" spans="1:13" s="21" customFormat="1" x14ac:dyDescent="0.25">
      <c r="A5023" s="22" t="s">
        <v>8</v>
      </c>
      <c r="B5023" s="18" t="str">
        <f>"185211"</f>
        <v>185211</v>
      </c>
      <c r="C5023" s="19" t="s">
        <v>4957</v>
      </c>
      <c r="D5023" s="19" t="s">
        <v>20450</v>
      </c>
      <c r="E5023" s="19" t="s">
        <v>32717</v>
      </c>
      <c r="F5023" s="19" t="s">
        <v>35991</v>
      </c>
      <c r="G5023" s="18" t="str">
        <f>"42635"</f>
        <v>42635</v>
      </c>
      <c r="H5023" s="19" t="s">
        <v>36331</v>
      </c>
      <c r="I5023" s="20">
        <v>17.977</v>
      </c>
      <c r="J5023" s="44" t="s">
        <v>8</v>
      </c>
      <c r="K5023" s="23" t="s">
        <v>8</v>
      </c>
      <c r="L5023" s="23" t="s">
        <v>8</v>
      </c>
      <c r="M5023" s="23" t="s">
        <v>8</v>
      </c>
    </row>
    <row r="5024" spans="1:13" s="21" customFormat="1" x14ac:dyDescent="0.25">
      <c r="A5024" s="22" t="s">
        <v>8</v>
      </c>
      <c r="B5024" s="18" t="str">
        <f>"185213"</f>
        <v>185213</v>
      </c>
      <c r="C5024" s="19" t="s">
        <v>4958</v>
      </c>
      <c r="D5024" s="19" t="s">
        <v>20451</v>
      </c>
      <c r="E5024" s="19" t="s">
        <v>32718</v>
      </c>
      <c r="F5024" s="19" t="s">
        <v>35991</v>
      </c>
      <c r="G5024" s="18" t="str">
        <f>"41301"</f>
        <v>41301</v>
      </c>
      <c r="H5024" s="19" t="s">
        <v>36332</v>
      </c>
      <c r="I5024" s="20">
        <v>17.757999999999999</v>
      </c>
      <c r="J5024" s="44" t="s">
        <v>8</v>
      </c>
      <c r="K5024" s="23" t="s">
        <v>8</v>
      </c>
      <c r="L5024" s="23" t="s">
        <v>8</v>
      </c>
      <c r="M5024" s="23" t="s">
        <v>8</v>
      </c>
    </row>
    <row r="5025" spans="1:13" s="21" customFormat="1" x14ac:dyDescent="0.25">
      <c r="A5025" s="22" t="s">
        <v>8</v>
      </c>
      <c r="B5025" s="18" t="str">
        <f>"185215"</f>
        <v>185215</v>
      </c>
      <c r="C5025" s="19" t="s">
        <v>4959</v>
      </c>
      <c r="D5025" s="19" t="s">
        <v>20452</v>
      </c>
      <c r="E5025" s="19" t="s">
        <v>32692</v>
      </c>
      <c r="F5025" s="19" t="s">
        <v>35991</v>
      </c>
      <c r="G5025" s="18" t="str">
        <f>"40504"</f>
        <v>40504</v>
      </c>
      <c r="H5025" s="19" t="s">
        <v>30805</v>
      </c>
      <c r="I5025" s="20">
        <v>21.300999999999998</v>
      </c>
      <c r="J5025" s="44" t="s">
        <v>8</v>
      </c>
      <c r="K5025" s="23" t="s">
        <v>8</v>
      </c>
      <c r="L5025" s="23" t="s">
        <v>8</v>
      </c>
      <c r="M5025" s="23" t="s">
        <v>8</v>
      </c>
    </row>
    <row r="5026" spans="1:13" s="21" customFormat="1" x14ac:dyDescent="0.25">
      <c r="A5026" s="22" t="s">
        <v>8</v>
      </c>
      <c r="B5026" s="18" t="str">
        <f>"185217"</f>
        <v>185217</v>
      </c>
      <c r="C5026" s="19" t="s">
        <v>4960</v>
      </c>
      <c r="D5026" s="19" t="s">
        <v>20453</v>
      </c>
      <c r="E5026" s="19" t="s">
        <v>32719</v>
      </c>
      <c r="F5026" s="19" t="s">
        <v>35991</v>
      </c>
      <c r="G5026" s="18" t="str">
        <f>"42129"</f>
        <v>42129</v>
      </c>
      <c r="H5026" s="19" t="s">
        <v>36333</v>
      </c>
      <c r="I5026" s="20">
        <v>19.266999999999999</v>
      </c>
      <c r="J5026" s="44" t="s">
        <v>8</v>
      </c>
      <c r="K5026" s="23" t="s">
        <v>8</v>
      </c>
      <c r="L5026" s="23" t="s">
        <v>8</v>
      </c>
      <c r="M5026" s="23" t="s">
        <v>8</v>
      </c>
    </row>
    <row r="5027" spans="1:13" s="21" customFormat="1" x14ac:dyDescent="0.25">
      <c r="A5027" s="22" t="s">
        <v>8</v>
      </c>
      <c r="B5027" s="18" t="str">
        <f>"185218"</f>
        <v>185218</v>
      </c>
      <c r="C5027" s="19" t="s">
        <v>4961</v>
      </c>
      <c r="D5027" s="19" t="s">
        <v>20454</v>
      </c>
      <c r="E5027" s="19" t="s">
        <v>32705</v>
      </c>
      <c r="F5027" s="19" t="s">
        <v>35991</v>
      </c>
      <c r="G5027" s="18" t="str">
        <f>"42502"</f>
        <v>42502</v>
      </c>
      <c r="H5027" s="19" t="s">
        <v>31795</v>
      </c>
      <c r="I5027" s="20">
        <v>18.960999999999999</v>
      </c>
      <c r="J5027" s="44" t="s">
        <v>8</v>
      </c>
      <c r="K5027" s="23" t="s">
        <v>8</v>
      </c>
      <c r="L5027" s="23" t="s">
        <v>8</v>
      </c>
      <c r="M5027" s="23" t="s">
        <v>8</v>
      </c>
    </row>
    <row r="5028" spans="1:13" s="21" customFormat="1" x14ac:dyDescent="0.25">
      <c r="A5028" s="22" t="s">
        <v>8</v>
      </c>
      <c r="B5028" s="18" t="str">
        <f>"185220"</f>
        <v>185220</v>
      </c>
      <c r="C5028" s="19" t="s">
        <v>4962</v>
      </c>
      <c r="D5028" s="19" t="s">
        <v>20455</v>
      </c>
      <c r="E5028" s="19" t="s">
        <v>32720</v>
      </c>
      <c r="F5028" s="19" t="s">
        <v>35991</v>
      </c>
      <c r="G5028" s="18" t="str">
        <f>"40356"</f>
        <v>40356</v>
      </c>
      <c r="H5028" s="19" t="s">
        <v>36334</v>
      </c>
      <c r="I5028" s="20">
        <v>19.434999999999999</v>
      </c>
      <c r="J5028" s="44" t="s">
        <v>8</v>
      </c>
      <c r="K5028" s="23" t="s">
        <v>8</v>
      </c>
      <c r="L5028" s="23" t="s">
        <v>8</v>
      </c>
      <c r="M5028" s="23" t="s">
        <v>8</v>
      </c>
    </row>
    <row r="5029" spans="1:13" s="21" customFormat="1" x14ac:dyDescent="0.25">
      <c r="A5029" s="22" t="s">
        <v>8</v>
      </c>
      <c r="B5029" s="18" t="str">
        <f>"185221"</f>
        <v>185221</v>
      </c>
      <c r="C5029" s="19" t="s">
        <v>4963</v>
      </c>
      <c r="D5029" s="19" t="s">
        <v>20456</v>
      </c>
      <c r="E5029" s="19" t="s">
        <v>32721</v>
      </c>
      <c r="F5029" s="19" t="s">
        <v>35991</v>
      </c>
      <c r="G5029" s="18" t="str">
        <f>"41465"</f>
        <v>41465</v>
      </c>
      <c r="H5029" s="19" t="s">
        <v>36335</v>
      </c>
      <c r="I5029" s="20">
        <v>20.004999999999999</v>
      </c>
      <c r="J5029" s="44" t="s">
        <v>8</v>
      </c>
      <c r="K5029" s="23" t="s">
        <v>8</v>
      </c>
      <c r="L5029" s="23" t="s">
        <v>8</v>
      </c>
      <c r="M5029" s="23" t="s">
        <v>8</v>
      </c>
    </row>
    <row r="5030" spans="1:13" s="21" customFormat="1" x14ac:dyDescent="0.25">
      <c r="A5030" s="22" t="s">
        <v>8</v>
      </c>
      <c r="B5030" s="18" t="str">
        <f>"185222"</f>
        <v>185222</v>
      </c>
      <c r="C5030" s="19" t="s">
        <v>4964</v>
      </c>
      <c r="D5030" s="19" t="s">
        <v>20457</v>
      </c>
      <c r="E5030" s="19" t="s">
        <v>32722</v>
      </c>
      <c r="F5030" s="19" t="s">
        <v>35991</v>
      </c>
      <c r="G5030" s="18" t="str">
        <f>"41553"</f>
        <v>41553</v>
      </c>
      <c r="H5030" s="19" t="s">
        <v>36033</v>
      </c>
      <c r="I5030" s="20">
        <v>25.202000000000002</v>
      </c>
      <c r="J5030" s="44" t="s">
        <v>8</v>
      </c>
      <c r="K5030" s="23" t="s">
        <v>8</v>
      </c>
      <c r="L5030" s="23" t="s">
        <v>8</v>
      </c>
      <c r="M5030" s="23" t="s">
        <v>8</v>
      </c>
    </row>
    <row r="5031" spans="1:13" s="21" customFormat="1" x14ac:dyDescent="0.25">
      <c r="A5031" s="22" t="s">
        <v>8</v>
      </c>
      <c r="B5031" s="18" t="str">
        <f>"185224"</f>
        <v>185224</v>
      </c>
      <c r="C5031" s="19" t="s">
        <v>4965</v>
      </c>
      <c r="D5031" s="19" t="s">
        <v>20458</v>
      </c>
      <c r="E5031" s="19" t="s">
        <v>32684</v>
      </c>
      <c r="F5031" s="19" t="s">
        <v>35991</v>
      </c>
      <c r="G5031" s="18" t="str">
        <f>"42104"</f>
        <v>42104</v>
      </c>
      <c r="H5031" s="19" t="s">
        <v>31025</v>
      </c>
      <c r="I5031" s="20">
        <v>20.361999999999998</v>
      </c>
      <c r="J5031" s="44" t="s">
        <v>8</v>
      </c>
      <c r="K5031" s="23" t="s">
        <v>8</v>
      </c>
      <c r="L5031" s="23" t="s">
        <v>8</v>
      </c>
      <c r="M5031" s="23" t="s">
        <v>8</v>
      </c>
    </row>
    <row r="5032" spans="1:13" s="21" customFormat="1" x14ac:dyDescent="0.25">
      <c r="A5032" s="22" t="s">
        <v>8</v>
      </c>
      <c r="B5032" s="18" t="str">
        <f>"185225"</f>
        <v>185225</v>
      </c>
      <c r="C5032" s="19" t="s">
        <v>4966</v>
      </c>
      <c r="D5032" s="19" t="s">
        <v>20459</v>
      </c>
      <c r="E5032" s="19" t="s">
        <v>31753</v>
      </c>
      <c r="F5032" s="19" t="s">
        <v>35991</v>
      </c>
      <c r="G5032" s="18" t="str">
        <f>"41015"</f>
        <v>41015</v>
      </c>
      <c r="H5032" s="19" t="s">
        <v>34545</v>
      </c>
      <c r="I5032" s="20">
        <v>19.641999999999999</v>
      </c>
      <c r="J5032" s="44" t="s">
        <v>8</v>
      </c>
      <c r="K5032" s="23" t="s">
        <v>8</v>
      </c>
      <c r="L5032" s="23" t="s">
        <v>8</v>
      </c>
      <c r="M5032" s="23" t="s">
        <v>8</v>
      </c>
    </row>
    <row r="5033" spans="1:13" s="21" customFormat="1" x14ac:dyDescent="0.25">
      <c r="A5033" s="22" t="s">
        <v>8</v>
      </c>
      <c r="B5033" s="18" t="str">
        <f>"185226"</f>
        <v>185226</v>
      </c>
      <c r="C5033" s="19" t="s">
        <v>4967</v>
      </c>
      <c r="D5033" s="19" t="s">
        <v>20460</v>
      </c>
      <c r="E5033" s="19" t="s">
        <v>32694</v>
      </c>
      <c r="F5033" s="19" t="s">
        <v>35991</v>
      </c>
      <c r="G5033" s="18" t="str">
        <f>"42303"</f>
        <v>42303</v>
      </c>
      <c r="H5033" s="19" t="s">
        <v>36258</v>
      </c>
      <c r="I5033" s="20">
        <v>18.158000000000001</v>
      </c>
      <c r="J5033" s="44" t="s">
        <v>8</v>
      </c>
      <c r="K5033" s="23" t="s">
        <v>8</v>
      </c>
      <c r="L5033" s="23" t="s">
        <v>8</v>
      </c>
      <c r="M5033" s="23" t="s">
        <v>8</v>
      </c>
    </row>
    <row r="5034" spans="1:13" s="21" customFormat="1" x14ac:dyDescent="0.25">
      <c r="A5034" s="22" t="s">
        <v>8</v>
      </c>
      <c r="B5034" s="18" t="str">
        <f>"185227"</f>
        <v>185227</v>
      </c>
      <c r="C5034" s="19" t="s">
        <v>4968</v>
      </c>
      <c r="D5034" s="19" t="s">
        <v>20461</v>
      </c>
      <c r="E5034" s="19" t="s">
        <v>32709</v>
      </c>
      <c r="F5034" s="19" t="s">
        <v>35991</v>
      </c>
      <c r="G5034" s="18" t="str">
        <f>"42001"</f>
        <v>42001</v>
      </c>
      <c r="H5034" s="19" t="s">
        <v>36328</v>
      </c>
      <c r="I5034" s="20">
        <v>21.43</v>
      </c>
      <c r="J5034" s="44" t="s">
        <v>8</v>
      </c>
      <c r="K5034" s="23" t="s">
        <v>8</v>
      </c>
      <c r="L5034" s="23" t="s">
        <v>8</v>
      </c>
      <c r="M5034" s="23" t="s">
        <v>8</v>
      </c>
    </row>
    <row r="5035" spans="1:13" s="21" customFormat="1" x14ac:dyDescent="0.25">
      <c r="A5035" s="22" t="s">
        <v>8</v>
      </c>
      <c r="B5035" s="18" t="str">
        <f>"185229"</f>
        <v>185229</v>
      </c>
      <c r="C5035" s="19" t="s">
        <v>4969</v>
      </c>
      <c r="D5035" s="19" t="s">
        <v>20462</v>
      </c>
      <c r="E5035" s="19" t="s">
        <v>32695</v>
      </c>
      <c r="F5035" s="19" t="s">
        <v>35991</v>
      </c>
      <c r="G5035" s="18" t="str">
        <f>"42141"</f>
        <v>42141</v>
      </c>
      <c r="H5035" s="19" t="s">
        <v>36321</v>
      </c>
      <c r="I5035" s="20">
        <v>18.39</v>
      </c>
      <c r="J5035" s="44" t="s">
        <v>8</v>
      </c>
      <c r="K5035" s="23" t="s">
        <v>8</v>
      </c>
      <c r="L5035" s="23" t="s">
        <v>8</v>
      </c>
      <c r="M5035" s="23" t="s">
        <v>8</v>
      </c>
    </row>
    <row r="5036" spans="1:13" s="21" customFormat="1" x14ac:dyDescent="0.25">
      <c r="A5036" s="22" t="s">
        <v>8</v>
      </c>
      <c r="B5036" s="18" t="str">
        <f>"185230"</f>
        <v>185230</v>
      </c>
      <c r="C5036" s="19" t="s">
        <v>4970</v>
      </c>
      <c r="D5036" s="19" t="s">
        <v>20463</v>
      </c>
      <c r="E5036" s="19" t="s">
        <v>32723</v>
      </c>
      <c r="F5036" s="19" t="s">
        <v>35991</v>
      </c>
      <c r="G5036" s="18" t="str">
        <f>"41522"</f>
        <v>41522</v>
      </c>
      <c r="H5036" s="19" t="s">
        <v>36033</v>
      </c>
      <c r="I5036" s="20">
        <v>19.564</v>
      </c>
      <c r="J5036" s="44" t="s">
        <v>8</v>
      </c>
      <c r="K5036" s="23" t="s">
        <v>8</v>
      </c>
      <c r="L5036" s="23" t="s">
        <v>8</v>
      </c>
      <c r="M5036" s="23" t="s">
        <v>8</v>
      </c>
    </row>
    <row r="5037" spans="1:13" s="21" customFormat="1" x14ac:dyDescent="0.25">
      <c r="A5037" s="22" t="s">
        <v>8</v>
      </c>
      <c r="B5037" s="18" t="str">
        <f>"185232"</f>
        <v>185232</v>
      </c>
      <c r="C5037" s="19" t="s">
        <v>4872</v>
      </c>
      <c r="D5037" s="19" t="s">
        <v>20464</v>
      </c>
      <c r="E5037" s="19" t="s">
        <v>32681</v>
      </c>
      <c r="F5037" s="19" t="s">
        <v>35991</v>
      </c>
      <c r="G5037" s="18" t="str">
        <f>"40701"</f>
        <v>40701</v>
      </c>
      <c r="H5037" s="19" t="s">
        <v>36254</v>
      </c>
      <c r="I5037" s="20">
        <v>19.777999999999999</v>
      </c>
      <c r="J5037" s="44" t="s">
        <v>8</v>
      </c>
      <c r="K5037" s="23" t="s">
        <v>8</v>
      </c>
      <c r="L5037" s="23" t="s">
        <v>8</v>
      </c>
      <c r="M5037" s="23" t="s">
        <v>8</v>
      </c>
    </row>
    <row r="5038" spans="1:13" s="21" customFormat="1" x14ac:dyDescent="0.25">
      <c r="A5038" s="22" t="s">
        <v>8</v>
      </c>
      <c r="B5038" s="18" t="str">
        <f>"185234"</f>
        <v>185234</v>
      </c>
      <c r="C5038" s="19" t="s">
        <v>4971</v>
      </c>
      <c r="D5038" s="19" t="s">
        <v>20465</v>
      </c>
      <c r="E5038" s="19" t="s">
        <v>32714</v>
      </c>
      <c r="F5038" s="19" t="s">
        <v>35991</v>
      </c>
      <c r="G5038" s="18" t="str">
        <f>"42029"</f>
        <v>42029</v>
      </c>
      <c r="H5038" s="19" t="s">
        <v>31063</v>
      </c>
      <c r="I5038" s="20">
        <v>18.437999999999999</v>
      </c>
      <c r="J5038" s="44" t="s">
        <v>8</v>
      </c>
      <c r="K5038" s="23" t="s">
        <v>8</v>
      </c>
      <c r="L5038" s="23" t="s">
        <v>8</v>
      </c>
      <c r="M5038" s="23" t="s">
        <v>8</v>
      </c>
    </row>
    <row r="5039" spans="1:13" s="21" customFormat="1" x14ac:dyDescent="0.25">
      <c r="A5039" s="22" t="s">
        <v>8</v>
      </c>
      <c r="B5039" s="18" t="str">
        <f>"185236"</f>
        <v>185236</v>
      </c>
      <c r="C5039" s="19" t="s">
        <v>4972</v>
      </c>
      <c r="D5039" s="19" t="s">
        <v>20466</v>
      </c>
      <c r="E5039" s="19" t="s">
        <v>32694</v>
      </c>
      <c r="F5039" s="19" t="s">
        <v>35991</v>
      </c>
      <c r="G5039" s="18" t="str">
        <f>"42303"</f>
        <v>42303</v>
      </c>
      <c r="H5039" s="19" t="s">
        <v>36258</v>
      </c>
      <c r="I5039" s="20">
        <v>17.756</v>
      </c>
      <c r="J5039" s="44" t="s">
        <v>8</v>
      </c>
      <c r="K5039" s="23" t="s">
        <v>8</v>
      </c>
      <c r="L5039" s="23" t="s">
        <v>8</v>
      </c>
      <c r="M5039" s="23" t="s">
        <v>8</v>
      </c>
    </row>
    <row r="5040" spans="1:13" s="21" customFormat="1" x14ac:dyDescent="0.25">
      <c r="A5040" s="22" t="s">
        <v>8</v>
      </c>
      <c r="B5040" s="18" t="str">
        <f>"185237"</f>
        <v>185237</v>
      </c>
      <c r="C5040" s="19" t="s">
        <v>4973</v>
      </c>
      <c r="D5040" s="19" t="s">
        <v>20467</v>
      </c>
      <c r="E5040" s="19" t="s">
        <v>31696</v>
      </c>
      <c r="F5040" s="19" t="s">
        <v>35991</v>
      </c>
      <c r="G5040" s="18" t="str">
        <f>"40205"</f>
        <v>40205</v>
      </c>
      <c r="H5040" s="19" t="s">
        <v>32391</v>
      </c>
      <c r="I5040" s="20">
        <v>18.823</v>
      </c>
      <c r="J5040" s="44" t="s">
        <v>8</v>
      </c>
      <c r="K5040" s="23" t="s">
        <v>8</v>
      </c>
      <c r="L5040" s="23" t="s">
        <v>8</v>
      </c>
      <c r="M5040" s="23" t="s">
        <v>8</v>
      </c>
    </row>
    <row r="5041" spans="1:13" s="21" customFormat="1" x14ac:dyDescent="0.25">
      <c r="A5041" s="22" t="s">
        <v>8</v>
      </c>
      <c r="B5041" s="18" t="str">
        <f>"185238"</f>
        <v>185238</v>
      </c>
      <c r="C5041" s="19" t="s">
        <v>4974</v>
      </c>
      <c r="D5041" s="19" t="s">
        <v>20468</v>
      </c>
      <c r="E5041" s="19" t="s">
        <v>32724</v>
      </c>
      <c r="F5041" s="19" t="s">
        <v>35991</v>
      </c>
      <c r="G5041" s="18" t="str">
        <f>"41179"</f>
        <v>41179</v>
      </c>
      <c r="H5041" s="19" t="s">
        <v>36336</v>
      </c>
      <c r="I5041" s="20">
        <v>20.359000000000002</v>
      </c>
      <c r="J5041" s="44" t="s">
        <v>8</v>
      </c>
      <c r="K5041" s="23" t="s">
        <v>8</v>
      </c>
      <c r="L5041" s="23" t="s">
        <v>8</v>
      </c>
      <c r="M5041" s="23" t="s">
        <v>8</v>
      </c>
    </row>
    <row r="5042" spans="1:13" s="21" customFormat="1" x14ac:dyDescent="0.25">
      <c r="A5042" s="22" t="s">
        <v>8</v>
      </c>
      <c r="B5042" s="18" t="str">
        <f>"185240"</f>
        <v>185240</v>
      </c>
      <c r="C5042" s="19" t="s">
        <v>4975</v>
      </c>
      <c r="D5042" s="19" t="s">
        <v>20469</v>
      </c>
      <c r="E5042" s="19" t="s">
        <v>32677</v>
      </c>
      <c r="F5042" s="19" t="s">
        <v>35991</v>
      </c>
      <c r="G5042" s="18" t="str">
        <f>"40965"</f>
        <v>40965</v>
      </c>
      <c r="H5042" s="19" t="s">
        <v>31306</v>
      </c>
      <c r="I5042" s="20">
        <v>18.029</v>
      </c>
      <c r="J5042" s="44" t="s">
        <v>8</v>
      </c>
      <c r="K5042" s="23" t="s">
        <v>8</v>
      </c>
      <c r="L5042" s="23" t="s">
        <v>8</v>
      </c>
      <c r="M5042" s="23" t="s">
        <v>8</v>
      </c>
    </row>
    <row r="5043" spans="1:13" s="21" customFormat="1" x14ac:dyDescent="0.25">
      <c r="A5043" s="22" t="s">
        <v>8</v>
      </c>
      <c r="B5043" s="18" t="str">
        <f>"185241"</f>
        <v>185241</v>
      </c>
      <c r="C5043" s="19" t="s">
        <v>4976</v>
      </c>
      <c r="D5043" s="19" t="s">
        <v>20470</v>
      </c>
      <c r="E5043" s="19" t="s">
        <v>32725</v>
      </c>
      <c r="F5043" s="19" t="s">
        <v>35991</v>
      </c>
      <c r="G5043" s="18" t="str">
        <f>"41017"</f>
        <v>41017</v>
      </c>
      <c r="H5043" s="19" t="s">
        <v>34545</v>
      </c>
      <c r="I5043" s="20">
        <v>16.045000000000002</v>
      </c>
      <c r="J5043" s="44" t="s">
        <v>8</v>
      </c>
      <c r="K5043" s="23" t="s">
        <v>8</v>
      </c>
      <c r="L5043" s="23" t="s">
        <v>8</v>
      </c>
      <c r="M5043" s="23" t="s">
        <v>8</v>
      </c>
    </row>
    <row r="5044" spans="1:13" s="21" customFormat="1" x14ac:dyDescent="0.25">
      <c r="A5044" s="22" t="s">
        <v>8</v>
      </c>
      <c r="B5044" s="18" t="str">
        <f>"185242"</f>
        <v>185242</v>
      </c>
      <c r="C5044" s="19" t="s">
        <v>4977</v>
      </c>
      <c r="D5044" s="19" t="s">
        <v>20471</v>
      </c>
      <c r="E5044" s="19" t="s">
        <v>32104</v>
      </c>
      <c r="F5044" s="19" t="s">
        <v>35991</v>
      </c>
      <c r="G5044" s="18" t="str">
        <f>"40353"</f>
        <v>40353</v>
      </c>
      <c r="H5044" s="19" t="s">
        <v>30833</v>
      </c>
      <c r="I5044" s="20">
        <v>19.984000000000002</v>
      </c>
      <c r="J5044" s="44" t="s">
        <v>8</v>
      </c>
      <c r="K5044" s="23" t="s">
        <v>8</v>
      </c>
      <c r="L5044" s="23" t="s">
        <v>8</v>
      </c>
      <c r="M5044" s="23" t="s">
        <v>8</v>
      </c>
    </row>
    <row r="5045" spans="1:13" s="21" customFormat="1" x14ac:dyDescent="0.25">
      <c r="A5045" s="22" t="s">
        <v>8</v>
      </c>
      <c r="B5045" s="18" t="str">
        <f>"185243"</f>
        <v>185243</v>
      </c>
      <c r="C5045" s="19" t="s">
        <v>4978</v>
      </c>
      <c r="D5045" s="19" t="s">
        <v>20472</v>
      </c>
      <c r="E5045" s="19" t="s">
        <v>32712</v>
      </c>
      <c r="F5045" s="19" t="s">
        <v>35991</v>
      </c>
      <c r="G5045" s="18" t="str">
        <f>"40977"</f>
        <v>40977</v>
      </c>
      <c r="H5045" s="19" t="s">
        <v>31306</v>
      </c>
      <c r="I5045" s="20">
        <v>20.462</v>
      </c>
      <c r="J5045" s="44" t="s">
        <v>8</v>
      </c>
      <c r="K5045" s="23" t="s">
        <v>8</v>
      </c>
      <c r="L5045" s="23" t="s">
        <v>8</v>
      </c>
      <c r="M5045" s="23" t="s">
        <v>8</v>
      </c>
    </row>
    <row r="5046" spans="1:13" s="21" customFormat="1" x14ac:dyDescent="0.25">
      <c r="A5046" s="22" t="s">
        <v>8</v>
      </c>
      <c r="B5046" s="18" t="str">
        <f>"185244"</f>
        <v>185244</v>
      </c>
      <c r="C5046" s="19" t="s">
        <v>4979</v>
      </c>
      <c r="D5046" s="19" t="s">
        <v>20473</v>
      </c>
      <c r="E5046" s="19" t="s">
        <v>32726</v>
      </c>
      <c r="F5046" s="19" t="s">
        <v>35991</v>
      </c>
      <c r="G5046" s="18" t="str">
        <f>"40484"</f>
        <v>40484</v>
      </c>
      <c r="H5046" s="19" t="s">
        <v>31995</v>
      </c>
      <c r="I5046" s="20">
        <v>20.649000000000001</v>
      </c>
      <c r="J5046" s="44" t="s">
        <v>8</v>
      </c>
      <c r="K5046" s="23" t="s">
        <v>8</v>
      </c>
      <c r="L5046" s="23" t="s">
        <v>8</v>
      </c>
      <c r="M5046" s="23" t="s">
        <v>8</v>
      </c>
    </row>
    <row r="5047" spans="1:13" s="21" customFormat="1" x14ac:dyDescent="0.25">
      <c r="A5047" s="22" t="s">
        <v>8</v>
      </c>
      <c r="B5047" s="18" t="str">
        <f>"185246"</f>
        <v>185246</v>
      </c>
      <c r="C5047" s="19" t="s">
        <v>4980</v>
      </c>
      <c r="D5047" s="19" t="s">
        <v>20474</v>
      </c>
      <c r="E5047" s="19" t="s">
        <v>32727</v>
      </c>
      <c r="F5047" s="19" t="s">
        <v>35991</v>
      </c>
      <c r="G5047" s="18" t="str">
        <f>"40409"</f>
        <v>40409</v>
      </c>
      <c r="H5047" s="19" t="s">
        <v>36327</v>
      </c>
      <c r="I5047" s="20">
        <v>17.768000000000001</v>
      </c>
      <c r="J5047" s="44" t="s">
        <v>8</v>
      </c>
      <c r="K5047" s="23" t="s">
        <v>8</v>
      </c>
      <c r="L5047" s="23" t="s">
        <v>8</v>
      </c>
      <c r="M5047" s="23" t="s">
        <v>8</v>
      </c>
    </row>
    <row r="5048" spans="1:13" s="21" customFormat="1" x14ac:dyDescent="0.25">
      <c r="A5048" s="22" t="s">
        <v>8</v>
      </c>
      <c r="B5048" s="18" t="str">
        <f>"185248"</f>
        <v>185248</v>
      </c>
      <c r="C5048" s="19" t="s">
        <v>4981</v>
      </c>
      <c r="D5048" s="19" t="s">
        <v>20475</v>
      </c>
      <c r="E5048" s="19" t="s">
        <v>32692</v>
      </c>
      <c r="F5048" s="19" t="s">
        <v>35991</v>
      </c>
      <c r="G5048" s="18" t="str">
        <f>"40517"</f>
        <v>40517</v>
      </c>
      <c r="H5048" s="19" t="s">
        <v>30805</v>
      </c>
      <c r="I5048" s="20">
        <v>14.760999999999999</v>
      </c>
      <c r="J5048" s="44" t="s">
        <v>8</v>
      </c>
      <c r="K5048" s="23" t="s">
        <v>8</v>
      </c>
      <c r="L5048" s="23" t="s">
        <v>8</v>
      </c>
      <c r="M5048" s="23" t="s">
        <v>8</v>
      </c>
    </row>
    <row r="5049" spans="1:13" s="21" customFormat="1" x14ac:dyDescent="0.25">
      <c r="A5049" s="22" t="s">
        <v>8</v>
      </c>
      <c r="B5049" s="18" t="str">
        <f>"185249"</f>
        <v>185249</v>
      </c>
      <c r="C5049" s="19" t="s">
        <v>4982</v>
      </c>
      <c r="D5049" s="19" t="s">
        <v>20476</v>
      </c>
      <c r="E5049" s="19" t="s">
        <v>32728</v>
      </c>
      <c r="F5049" s="19" t="s">
        <v>35991</v>
      </c>
      <c r="G5049" s="18" t="str">
        <f>"40402"</f>
        <v>40402</v>
      </c>
      <c r="H5049" s="19" t="s">
        <v>30816</v>
      </c>
      <c r="I5049" s="20">
        <v>16.751999999999999</v>
      </c>
      <c r="J5049" s="44" t="s">
        <v>8</v>
      </c>
      <c r="K5049" s="23" t="s">
        <v>8</v>
      </c>
      <c r="L5049" s="23" t="s">
        <v>8</v>
      </c>
      <c r="M5049" s="23" t="s">
        <v>8</v>
      </c>
    </row>
    <row r="5050" spans="1:13" s="21" customFormat="1" x14ac:dyDescent="0.25">
      <c r="A5050" s="22" t="s">
        <v>8</v>
      </c>
      <c r="B5050" s="18" t="str">
        <f>"185250"</f>
        <v>185250</v>
      </c>
      <c r="C5050" s="19" t="s">
        <v>4983</v>
      </c>
      <c r="D5050" s="19" t="s">
        <v>20477</v>
      </c>
      <c r="E5050" s="19" t="s">
        <v>32729</v>
      </c>
      <c r="F5050" s="19" t="s">
        <v>35991</v>
      </c>
      <c r="G5050" s="18" t="str">
        <f>"41139"</f>
        <v>41139</v>
      </c>
      <c r="H5050" s="19" t="s">
        <v>32179</v>
      </c>
      <c r="I5050" s="20">
        <v>19.489999999999998</v>
      </c>
      <c r="J5050" s="44" t="s">
        <v>8</v>
      </c>
      <c r="K5050" s="23" t="s">
        <v>8</v>
      </c>
      <c r="L5050" s="23" t="s">
        <v>8</v>
      </c>
      <c r="M5050" s="23" t="s">
        <v>8</v>
      </c>
    </row>
    <row r="5051" spans="1:13" s="21" customFormat="1" x14ac:dyDescent="0.25">
      <c r="A5051" s="22" t="s">
        <v>8</v>
      </c>
      <c r="B5051" s="18" t="str">
        <f>"185252"</f>
        <v>185252</v>
      </c>
      <c r="C5051" s="19" t="s">
        <v>4984</v>
      </c>
      <c r="D5051" s="19" t="s">
        <v>20478</v>
      </c>
      <c r="E5051" s="19" t="s">
        <v>32730</v>
      </c>
      <c r="F5051" s="19" t="s">
        <v>35991</v>
      </c>
      <c r="G5051" s="18" t="str">
        <f>"42211"</f>
        <v>42211</v>
      </c>
      <c r="H5051" s="19" t="s">
        <v>36337</v>
      </c>
      <c r="I5051" s="20">
        <v>19.902999999999999</v>
      </c>
      <c r="J5051" s="44" t="s">
        <v>8</v>
      </c>
      <c r="K5051" s="23" t="s">
        <v>8</v>
      </c>
      <c r="L5051" s="23" t="s">
        <v>8</v>
      </c>
      <c r="M5051" s="23" t="s">
        <v>8</v>
      </c>
    </row>
    <row r="5052" spans="1:13" s="21" customFormat="1" x14ac:dyDescent="0.25">
      <c r="A5052" s="22" t="s">
        <v>8</v>
      </c>
      <c r="B5052" s="18" t="str">
        <f>"185253"</f>
        <v>185253</v>
      </c>
      <c r="C5052" s="19" t="s">
        <v>4985</v>
      </c>
      <c r="D5052" s="19" t="s">
        <v>20479</v>
      </c>
      <c r="E5052" s="19" t="s">
        <v>32731</v>
      </c>
      <c r="F5052" s="19" t="s">
        <v>35991</v>
      </c>
      <c r="G5052" s="18" t="str">
        <f>"41143"</f>
        <v>41143</v>
      </c>
      <c r="H5052" s="19" t="s">
        <v>36338</v>
      </c>
      <c r="I5052" s="20">
        <v>23.498999999999999</v>
      </c>
      <c r="J5052" s="44" t="s">
        <v>8</v>
      </c>
      <c r="K5052" s="23" t="s">
        <v>8</v>
      </c>
      <c r="L5052" s="23" t="s">
        <v>8</v>
      </c>
      <c r="M5052" s="23" t="s">
        <v>8</v>
      </c>
    </row>
    <row r="5053" spans="1:13" s="21" customFormat="1" x14ac:dyDescent="0.25">
      <c r="A5053" s="22" t="s">
        <v>8</v>
      </c>
      <c r="B5053" s="18" t="str">
        <f>"185254"</f>
        <v>185254</v>
      </c>
      <c r="C5053" s="19" t="s">
        <v>4986</v>
      </c>
      <c r="D5053" s="19" t="s">
        <v>20480</v>
      </c>
      <c r="E5053" s="19" t="s">
        <v>32732</v>
      </c>
      <c r="F5053" s="19" t="s">
        <v>35991</v>
      </c>
      <c r="G5053" s="18" t="str">
        <f>"40360"</f>
        <v>40360</v>
      </c>
      <c r="H5053" s="19" t="s">
        <v>32893</v>
      </c>
      <c r="I5053" s="20">
        <v>18.254000000000001</v>
      </c>
      <c r="J5053" s="44" t="s">
        <v>8</v>
      </c>
      <c r="K5053" s="23" t="s">
        <v>8</v>
      </c>
      <c r="L5053" s="23" t="s">
        <v>8</v>
      </c>
      <c r="M5053" s="23" t="s">
        <v>8</v>
      </c>
    </row>
    <row r="5054" spans="1:13" s="21" customFormat="1" x14ac:dyDescent="0.25">
      <c r="A5054" s="22" t="s">
        <v>8</v>
      </c>
      <c r="B5054" s="18" t="str">
        <f>"185256"</f>
        <v>185256</v>
      </c>
      <c r="C5054" s="19" t="s">
        <v>4987</v>
      </c>
      <c r="D5054" s="19" t="s">
        <v>20481</v>
      </c>
      <c r="E5054" s="19" t="s">
        <v>32696</v>
      </c>
      <c r="F5054" s="19" t="s">
        <v>35991</v>
      </c>
      <c r="G5054" s="18" t="str">
        <f>"41501"</f>
        <v>41501</v>
      </c>
      <c r="H5054" s="19" t="s">
        <v>36033</v>
      </c>
      <c r="I5054" s="20">
        <v>20.094999999999999</v>
      </c>
      <c r="J5054" s="44" t="s">
        <v>8</v>
      </c>
      <c r="K5054" s="23" t="s">
        <v>8</v>
      </c>
      <c r="L5054" s="23" t="s">
        <v>8</v>
      </c>
      <c r="M5054" s="23" t="s">
        <v>8</v>
      </c>
    </row>
    <row r="5055" spans="1:13" s="21" customFormat="1" x14ac:dyDescent="0.25">
      <c r="A5055" s="22" t="s">
        <v>8</v>
      </c>
      <c r="B5055" s="18" t="str">
        <f>"185257"</f>
        <v>185257</v>
      </c>
      <c r="C5055" s="19" t="s">
        <v>4988</v>
      </c>
      <c r="D5055" s="19" t="s">
        <v>20482</v>
      </c>
      <c r="E5055" s="19" t="s">
        <v>32236</v>
      </c>
      <c r="F5055" s="19" t="s">
        <v>35991</v>
      </c>
      <c r="G5055" s="18" t="str">
        <f>"42743"</f>
        <v>42743</v>
      </c>
      <c r="H5055" s="19" t="s">
        <v>36339</v>
      </c>
      <c r="I5055" s="20">
        <v>19.178999999999998</v>
      </c>
      <c r="J5055" s="44" t="s">
        <v>8</v>
      </c>
      <c r="K5055" s="23" t="s">
        <v>8</v>
      </c>
      <c r="L5055" s="23" t="s">
        <v>8</v>
      </c>
      <c r="M5055" s="23" t="s">
        <v>8</v>
      </c>
    </row>
    <row r="5056" spans="1:13" s="21" customFormat="1" x14ac:dyDescent="0.25">
      <c r="A5056" s="22" t="s">
        <v>8</v>
      </c>
      <c r="B5056" s="18" t="str">
        <f>"185258"</f>
        <v>185258</v>
      </c>
      <c r="C5056" s="19" t="s">
        <v>4989</v>
      </c>
      <c r="D5056" s="19" t="s">
        <v>20483</v>
      </c>
      <c r="E5056" s="19" t="s">
        <v>31024</v>
      </c>
      <c r="F5056" s="19" t="s">
        <v>35991</v>
      </c>
      <c r="G5056" s="18" t="str">
        <f>"42025"</f>
        <v>42025</v>
      </c>
      <c r="H5056" s="19" t="s">
        <v>31063</v>
      </c>
      <c r="I5056" s="20">
        <v>20.257000000000001</v>
      </c>
      <c r="J5056" s="44" t="s">
        <v>8</v>
      </c>
      <c r="K5056" s="23" t="s">
        <v>8</v>
      </c>
      <c r="L5056" s="23" t="s">
        <v>8</v>
      </c>
      <c r="M5056" s="23" t="s">
        <v>8</v>
      </c>
    </row>
    <row r="5057" spans="1:13" s="21" customFormat="1" x14ac:dyDescent="0.25">
      <c r="A5057" s="22" t="s">
        <v>8</v>
      </c>
      <c r="B5057" s="18" t="str">
        <f>"185259"</f>
        <v>185259</v>
      </c>
      <c r="C5057" s="19" t="s">
        <v>4990</v>
      </c>
      <c r="D5057" s="19" t="s">
        <v>20484</v>
      </c>
      <c r="E5057" s="19" t="s">
        <v>31429</v>
      </c>
      <c r="F5057" s="19" t="s">
        <v>35991</v>
      </c>
      <c r="G5057" s="18" t="str">
        <f>"40059"</f>
        <v>40059</v>
      </c>
      <c r="H5057" s="19" t="s">
        <v>32391</v>
      </c>
      <c r="I5057" s="20">
        <v>18.460999999999999</v>
      </c>
      <c r="J5057" s="44" t="s">
        <v>8</v>
      </c>
      <c r="K5057" s="23" t="s">
        <v>8</v>
      </c>
      <c r="L5057" s="23" t="s">
        <v>8</v>
      </c>
      <c r="M5057" s="23" t="s">
        <v>8</v>
      </c>
    </row>
    <row r="5058" spans="1:13" s="21" customFormat="1" x14ac:dyDescent="0.25">
      <c r="A5058" s="22" t="s">
        <v>8</v>
      </c>
      <c r="B5058" s="18" t="str">
        <f>"185260"</f>
        <v>185260</v>
      </c>
      <c r="C5058" s="19" t="s">
        <v>4991</v>
      </c>
      <c r="D5058" s="19" t="s">
        <v>20485</v>
      </c>
      <c r="E5058" s="19" t="s">
        <v>31696</v>
      </c>
      <c r="F5058" s="19" t="s">
        <v>35991</v>
      </c>
      <c r="G5058" s="18" t="str">
        <f>"40217"</f>
        <v>40217</v>
      </c>
      <c r="H5058" s="19" t="s">
        <v>32391</v>
      </c>
      <c r="I5058" s="20">
        <v>18.728000000000002</v>
      </c>
      <c r="J5058" s="44" t="s">
        <v>8</v>
      </c>
      <c r="K5058" s="23" t="s">
        <v>8</v>
      </c>
      <c r="L5058" s="23" t="s">
        <v>8</v>
      </c>
      <c r="M5058" s="23" t="s">
        <v>8</v>
      </c>
    </row>
    <row r="5059" spans="1:13" s="21" customFormat="1" x14ac:dyDescent="0.25">
      <c r="A5059" s="22" t="s">
        <v>8</v>
      </c>
      <c r="B5059" s="18" t="str">
        <f>"185261"</f>
        <v>185261</v>
      </c>
      <c r="C5059" s="19" t="s">
        <v>4992</v>
      </c>
      <c r="D5059" s="19" t="s">
        <v>20486</v>
      </c>
      <c r="E5059" s="19" t="s">
        <v>32733</v>
      </c>
      <c r="F5059" s="19" t="s">
        <v>35991</v>
      </c>
      <c r="G5059" s="18" t="str">
        <f>"41144"</f>
        <v>41144</v>
      </c>
      <c r="H5059" s="19" t="s">
        <v>32179</v>
      </c>
      <c r="I5059" s="20">
        <v>21.085000000000001</v>
      </c>
      <c r="J5059" s="44" t="s">
        <v>8</v>
      </c>
      <c r="K5059" s="23" t="s">
        <v>8</v>
      </c>
      <c r="L5059" s="23" t="s">
        <v>8</v>
      </c>
      <c r="M5059" s="23" t="s">
        <v>8</v>
      </c>
    </row>
    <row r="5060" spans="1:13" s="21" customFormat="1" x14ac:dyDescent="0.25">
      <c r="A5060" s="22" t="s">
        <v>8</v>
      </c>
      <c r="B5060" s="18" t="str">
        <f>"185262"</f>
        <v>185262</v>
      </c>
      <c r="C5060" s="19" t="s">
        <v>2239</v>
      </c>
      <c r="D5060" s="19" t="s">
        <v>20487</v>
      </c>
      <c r="E5060" s="19" t="s">
        <v>31178</v>
      </c>
      <c r="F5060" s="19" t="s">
        <v>35991</v>
      </c>
      <c r="G5060" s="18" t="str">
        <f>"40475"</f>
        <v>40475</v>
      </c>
      <c r="H5060" s="19" t="s">
        <v>30899</v>
      </c>
      <c r="I5060" s="20">
        <v>19.937999999999999</v>
      </c>
      <c r="J5060" s="44" t="s">
        <v>8</v>
      </c>
      <c r="K5060" s="23" t="s">
        <v>8</v>
      </c>
      <c r="L5060" s="23" t="s">
        <v>8</v>
      </c>
      <c r="M5060" s="23" t="s">
        <v>8</v>
      </c>
    </row>
    <row r="5061" spans="1:13" s="21" customFormat="1" x14ac:dyDescent="0.25">
      <c r="A5061" s="22" t="s">
        <v>8</v>
      </c>
      <c r="B5061" s="18" t="str">
        <f>"185263"</f>
        <v>185263</v>
      </c>
      <c r="C5061" s="19" t="s">
        <v>4993</v>
      </c>
      <c r="D5061" s="19" t="s">
        <v>20488</v>
      </c>
      <c r="E5061" s="19" t="s">
        <v>32700</v>
      </c>
      <c r="F5061" s="19" t="s">
        <v>35991</v>
      </c>
      <c r="G5061" s="18" t="str">
        <f>"42408"</f>
        <v>42408</v>
      </c>
      <c r="H5061" s="19" t="s">
        <v>33374</v>
      </c>
      <c r="I5061" s="20">
        <v>19.13</v>
      </c>
      <c r="J5061" s="44" t="s">
        <v>8</v>
      </c>
      <c r="K5061" s="23" t="s">
        <v>8</v>
      </c>
      <c r="L5061" s="23" t="s">
        <v>8</v>
      </c>
      <c r="M5061" s="23" t="s">
        <v>8</v>
      </c>
    </row>
    <row r="5062" spans="1:13" s="21" customFormat="1" x14ac:dyDescent="0.25">
      <c r="A5062" s="22" t="s">
        <v>8</v>
      </c>
      <c r="B5062" s="18" t="str">
        <f>"185264"</f>
        <v>185264</v>
      </c>
      <c r="C5062" s="19" t="s">
        <v>4994</v>
      </c>
      <c r="D5062" s="19" t="s">
        <v>20489</v>
      </c>
      <c r="E5062" s="19" t="s">
        <v>30981</v>
      </c>
      <c r="F5062" s="19" t="s">
        <v>35991</v>
      </c>
      <c r="G5062" s="18" t="str">
        <f>"40423"</f>
        <v>40423</v>
      </c>
      <c r="H5062" s="19" t="s">
        <v>36323</v>
      </c>
      <c r="I5062" s="20">
        <v>21.795999999999999</v>
      </c>
      <c r="J5062" s="44" t="s">
        <v>8</v>
      </c>
      <c r="K5062" s="23" t="s">
        <v>8</v>
      </c>
      <c r="L5062" s="23" t="s">
        <v>8</v>
      </c>
      <c r="M5062" s="23" t="s">
        <v>8</v>
      </c>
    </row>
    <row r="5063" spans="1:13" s="21" customFormat="1" x14ac:dyDescent="0.25">
      <c r="A5063" s="22" t="s">
        <v>8</v>
      </c>
      <c r="B5063" s="18" t="str">
        <f>"185265"</f>
        <v>185265</v>
      </c>
      <c r="C5063" s="19" t="s">
        <v>4995</v>
      </c>
      <c r="D5063" s="19" t="s">
        <v>20490</v>
      </c>
      <c r="E5063" s="19" t="s">
        <v>32734</v>
      </c>
      <c r="F5063" s="19" t="s">
        <v>35991</v>
      </c>
      <c r="G5063" s="18" t="str">
        <f>"41097"</f>
        <v>41097</v>
      </c>
      <c r="H5063" s="19" t="s">
        <v>36078</v>
      </c>
      <c r="I5063" s="20">
        <v>24.091999999999999</v>
      </c>
      <c r="J5063" s="44" t="s">
        <v>8</v>
      </c>
      <c r="K5063" s="23" t="s">
        <v>8</v>
      </c>
      <c r="L5063" s="23" t="s">
        <v>8</v>
      </c>
      <c r="M5063" s="23" t="s">
        <v>8</v>
      </c>
    </row>
    <row r="5064" spans="1:13" s="21" customFormat="1" x14ac:dyDescent="0.25">
      <c r="A5064" s="22" t="s">
        <v>8</v>
      </c>
      <c r="B5064" s="18" t="str">
        <f>"185266"</f>
        <v>185266</v>
      </c>
      <c r="C5064" s="19" t="s">
        <v>4996</v>
      </c>
      <c r="D5064" s="19" t="s">
        <v>20491</v>
      </c>
      <c r="E5064" s="19" t="s">
        <v>32698</v>
      </c>
      <c r="F5064" s="19" t="s">
        <v>35991</v>
      </c>
      <c r="G5064" s="18" t="str">
        <f>"42701"</f>
        <v>42701</v>
      </c>
      <c r="H5064" s="19" t="s">
        <v>32124</v>
      </c>
      <c r="I5064" s="20">
        <v>18.401</v>
      </c>
      <c r="J5064" s="44" t="s">
        <v>8</v>
      </c>
      <c r="K5064" s="23" t="s">
        <v>8</v>
      </c>
      <c r="L5064" s="23" t="s">
        <v>8</v>
      </c>
      <c r="M5064" s="23" t="s">
        <v>8</v>
      </c>
    </row>
    <row r="5065" spans="1:13" s="21" customFormat="1" x14ac:dyDescent="0.25">
      <c r="A5065" s="22" t="s">
        <v>8</v>
      </c>
      <c r="B5065" s="18" t="str">
        <f>"185267"</f>
        <v>185267</v>
      </c>
      <c r="C5065" s="19" t="s">
        <v>4997</v>
      </c>
      <c r="D5065" s="19" t="s">
        <v>20492</v>
      </c>
      <c r="E5065" s="19" t="s">
        <v>32035</v>
      </c>
      <c r="F5065" s="19" t="s">
        <v>35991</v>
      </c>
      <c r="G5065" s="18" t="str">
        <f>"40033"</f>
        <v>40033</v>
      </c>
      <c r="H5065" s="19" t="s">
        <v>30850</v>
      </c>
      <c r="I5065" s="20">
        <v>18.992000000000001</v>
      </c>
      <c r="J5065" s="44" t="s">
        <v>8</v>
      </c>
      <c r="K5065" s="23" t="s">
        <v>8</v>
      </c>
      <c r="L5065" s="23" t="s">
        <v>8</v>
      </c>
      <c r="M5065" s="23" t="s">
        <v>8</v>
      </c>
    </row>
    <row r="5066" spans="1:13" s="21" customFormat="1" x14ac:dyDescent="0.25">
      <c r="A5066" s="22" t="s">
        <v>8</v>
      </c>
      <c r="B5066" s="18" t="str">
        <f>"185268"</f>
        <v>185268</v>
      </c>
      <c r="C5066" s="19" t="s">
        <v>4998</v>
      </c>
      <c r="D5066" s="19" t="s">
        <v>20493</v>
      </c>
      <c r="E5066" s="19" t="s">
        <v>32735</v>
      </c>
      <c r="F5066" s="19" t="s">
        <v>35991</v>
      </c>
      <c r="G5066" s="18" t="str">
        <f>"40299"</f>
        <v>40299</v>
      </c>
      <c r="H5066" s="19" t="s">
        <v>32391</v>
      </c>
      <c r="I5066" s="20">
        <v>19.440999999999999</v>
      </c>
      <c r="J5066" s="44" t="s">
        <v>8</v>
      </c>
      <c r="K5066" s="23" t="s">
        <v>8</v>
      </c>
      <c r="L5066" s="23" t="s">
        <v>8</v>
      </c>
      <c r="M5066" s="23" t="s">
        <v>8</v>
      </c>
    </row>
    <row r="5067" spans="1:13" s="21" customFormat="1" x14ac:dyDescent="0.25">
      <c r="A5067" s="22" t="s">
        <v>8</v>
      </c>
      <c r="B5067" s="18" t="str">
        <f>"185269"</f>
        <v>185269</v>
      </c>
      <c r="C5067" s="19" t="s">
        <v>4999</v>
      </c>
      <c r="D5067" s="19" t="s">
        <v>20494</v>
      </c>
      <c r="E5067" s="19" t="s">
        <v>30850</v>
      </c>
      <c r="F5067" s="19" t="s">
        <v>35991</v>
      </c>
      <c r="G5067" s="18" t="str">
        <f>"42064"</f>
        <v>42064</v>
      </c>
      <c r="H5067" s="19" t="s">
        <v>36075</v>
      </c>
      <c r="I5067" s="20">
        <v>21.7</v>
      </c>
      <c r="J5067" s="44" t="s">
        <v>8</v>
      </c>
      <c r="K5067" s="23" t="s">
        <v>8</v>
      </c>
      <c r="L5067" s="23" t="s">
        <v>8</v>
      </c>
      <c r="M5067" s="23" t="s">
        <v>8</v>
      </c>
    </row>
    <row r="5068" spans="1:13" s="21" customFormat="1" x14ac:dyDescent="0.25">
      <c r="A5068" s="22" t="s">
        <v>8</v>
      </c>
      <c r="B5068" s="18" t="str">
        <f>"185270"</f>
        <v>185270</v>
      </c>
      <c r="C5068" s="19" t="s">
        <v>5000</v>
      </c>
      <c r="D5068" s="19" t="s">
        <v>20495</v>
      </c>
      <c r="E5068" s="19" t="s">
        <v>32736</v>
      </c>
      <c r="F5068" s="19" t="s">
        <v>35991</v>
      </c>
      <c r="G5068" s="18" t="str">
        <f>"42717"</f>
        <v>42717</v>
      </c>
      <c r="H5068" s="19" t="s">
        <v>32766</v>
      </c>
      <c r="I5068" s="20">
        <v>22.574999999999999</v>
      </c>
      <c r="J5068" s="44" t="s">
        <v>8</v>
      </c>
      <c r="K5068" s="23" t="s">
        <v>8</v>
      </c>
      <c r="L5068" s="23" t="s">
        <v>8</v>
      </c>
      <c r="M5068" s="23" t="s">
        <v>8</v>
      </c>
    </row>
    <row r="5069" spans="1:13" s="21" customFormat="1" x14ac:dyDescent="0.25">
      <c r="A5069" s="22" t="s">
        <v>8</v>
      </c>
      <c r="B5069" s="18" t="str">
        <f>"185271"</f>
        <v>185271</v>
      </c>
      <c r="C5069" s="19" t="s">
        <v>5001</v>
      </c>
      <c r="D5069" s="19" t="s">
        <v>20496</v>
      </c>
      <c r="E5069" s="19" t="s">
        <v>32695</v>
      </c>
      <c r="F5069" s="19" t="s">
        <v>35991</v>
      </c>
      <c r="G5069" s="18" t="str">
        <f>"42141"</f>
        <v>42141</v>
      </c>
      <c r="H5069" s="19" t="s">
        <v>36321</v>
      </c>
      <c r="I5069" s="20">
        <v>18.260999999999999</v>
      </c>
      <c r="J5069" s="44" t="s">
        <v>8</v>
      </c>
      <c r="K5069" s="23" t="s">
        <v>8</v>
      </c>
      <c r="L5069" s="23" t="s">
        <v>8</v>
      </c>
      <c r="M5069" s="23" t="s">
        <v>8</v>
      </c>
    </row>
    <row r="5070" spans="1:13" s="21" customFormat="1" x14ac:dyDescent="0.25">
      <c r="A5070" s="22" t="s">
        <v>8</v>
      </c>
      <c r="B5070" s="18" t="str">
        <f>"185272"</f>
        <v>185272</v>
      </c>
      <c r="C5070" s="19" t="s">
        <v>5002</v>
      </c>
      <c r="D5070" s="19" t="s">
        <v>20497</v>
      </c>
      <c r="E5070" s="19" t="s">
        <v>32709</v>
      </c>
      <c r="F5070" s="19" t="s">
        <v>35991</v>
      </c>
      <c r="G5070" s="18" t="str">
        <f>"42001"</f>
        <v>42001</v>
      </c>
      <c r="H5070" s="19" t="s">
        <v>36328</v>
      </c>
      <c r="I5070" s="20">
        <v>21.581</v>
      </c>
      <c r="J5070" s="44" t="s">
        <v>8</v>
      </c>
      <c r="K5070" s="23" t="s">
        <v>8</v>
      </c>
      <c r="L5070" s="23" t="s">
        <v>8</v>
      </c>
      <c r="M5070" s="23" t="s">
        <v>8</v>
      </c>
    </row>
    <row r="5071" spans="1:13" s="21" customFormat="1" x14ac:dyDescent="0.25">
      <c r="A5071" s="22" t="s">
        <v>8</v>
      </c>
      <c r="B5071" s="18" t="str">
        <f>"185273"</f>
        <v>185273</v>
      </c>
      <c r="C5071" s="19" t="s">
        <v>5003</v>
      </c>
      <c r="D5071" s="19" t="s">
        <v>20498</v>
      </c>
      <c r="E5071" s="19" t="s">
        <v>31051</v>
      </c>
      <c r="F5071" s="19" t="s">
        <v>35991</v>
      </c>
      <c r="G5071" s="18" t="str">
        <f>"41314"</f>
        <v>41314</v>
      </c>
      <c r="H5071" s="19" t="s">
        <v>36340</v>
      </c>
      <c r="I5071" s="20">
        <v>20.962</v>
      </c>
      <c r="J5071" s="44" t="s">
        <v>8</v>
      </c>
      <c r="K5071" s="23" t="s">
        <v>8</v>
      </c>
      <c r="L5071" s="23" t="s">
        <v>8</v>
      </c>
      <c r="M5071" s="23" t="s">
        <v>8</v>
      </c>
    </row>
    <row r="5072" spans="1:13" s="21" customFormat="1" x14ac:dyDescent="0.25">
      <c r="A5072" s="22" t="s">
        <v>8</v>
      </c>
      <c r="B5072" s="18" t="str">
        <f>"185274"</f>
        <v>185274</v>
      </c>
      <c r="C5072" s="19" t="s">
        <v>5004</v>
      </c>
      <c r="D5072" s="19" t="s">
        <v>20499</v>
      </c>
      <c r="E5072" s="19" t="s">
        <v>32493</v>
      </c>
      <c r="F5072" s="19" t="s">
        <v>35991</v>
      </c>
      <c r="G5072" s="18" t="str">
        <f>"41472"</f>
        <v>41472</v>
      </c>
      <c r="H5072" s="19" t="s">
        <v>33505</v>
      </c>
      <c r="I5072" s="20">
        <v>18.491</v>
      </c>
      <c r="J5072" s="44" t="s">
        <v>8</v>
      </c>
      <c r="K5072" s="23" t="s">
        <v>8</v>
      </c>
      <c r="L5072" s="23" t="s">
        <v>8</v>
      </c>
      <c r="M5072" s="23" t="s">
        <v>8</v>
      </c>
    </row>
    <row r="5073" spans="1:13" s="21" customFormat="1" x14ac:dyDescent="0.25">
      <c r="A5073" s="22" t="s">
        <v>8</v>
      </c>
      <c r="B5073" s="18" t="str">
        <f>"185275"</f>
        <v>185275</v>
      </c>
      <c r="C5073" s="19" t="s">
        <v>5005</v>
      </c>
      <c r="D5073" s="19" t="s">
        <v>20500</v>
      </c>
      <c r="E5073" s="19" t="s">
        <v>30919</v>
      </c>
      <c r="F5073" s="19" t="s">
        <v>35991</v>
      </c>
      <c r="G5073" s="18" t="str">
        <f>"42347"</f>
        <v>42347</v>
      </c>
      <c r="H5073" s="19" t="s">
        <v>36265</v>
      </c>
      <c r="I5073" s="20">
        <v>19.105</v>
      </c>
      <c r="J5073" s="44" t="s">
        <v>8</v>
      </c>
      <c r="K5073" s="23" t="s">
        <v>8</v>
      </c>
      <c r="L5073" s="23" t="s">
        <v>8</v>
      </c>
      <c r="M5073" s="23" t="s">
        <v>8</v>
      </c>
    </row>
    <row r="5074" spans="1:13" s="21" customFormat="1" x14ac:dyDescent="0.25">
      <c r="A5074" s="22" t="s">
        <v>8</v>
      </c>
      <c r="B5074" s="18" t="str">
        <f>"185276"</f>
        <v>185276</v>
      </c>
      <c r="C5074" s="19" t="s">
        <v>5006</v>
      </c>
      <c r="D5074" s="19" t="s">
        <v>20501</v>
      </c>
      <c r="E5074" s="19" t="s">
        <v>32737</v>
      </c>
      <c r="F5074" s="19" t="s">
        <v>35991</v>
      </c>
      <c r="G5074" s="18" t="str">
        <f>"40049"</f>
        <v>40049</v>
      </c>
      <c r="H5074" s="19" t="s">
        <v>30850</v>
      </c>
      <c r="I5074" s="20">
        <v>18.274999999999999</v>
      </c>
      <c r="J5074" s="44" t="s">
        <v>8</v>
      </c>
      <c r="K5074" s="23" t="s">
        <v>8</v>
      </c>
      <c r="L5074" s="23" t="s">
        <v>8</v>
      </c>
      <c r="M5074" s="23" t="s">
        <v>8</v>
      </c>
    </row>
    <row r="5075" spans="1:13" s="21" customFormat="1" x14ac:dyDescent="0.25">
      <c r="A5075" s="22" t="s">
        <v>8</v>
      </c>
      <c r="B5075" s="18" t="str">
        <f>"185277"</f>
        <v>185277</v>
      </c>
      <c r="C5075" s="19" t="s">
        <v>5007</v>
      </c>
      <c r="D5075" s="19" t="s">
        <v>20502</v>
      </c>
      <c r="E5075" s="19" t="s">
        <v>32208</v>
      </c>
      <c r="F5075" s="19" t="s">
        <v>35991</v>
      </c>
      <c r="G5075" s="18" t="str">
        <f>"40342"</f>
        <v>40342</v>
      </c>
      <c r="H5075" s="19" t="s">
        <v>32202</v>
      </c>
      <c r="I5075" s="20">
        <v>22.565000000000001</v>
      </c>
      <c r="J5075" s="44" t="s">
        <v>8</v>
      </c>
      <c r="K5075" s="23" t="s">
        <v>8</v>
      </c>
      <c r="L5075" s="23" t="s">
        <v>8</v>
      </c>
      <c r="M5075" s="23" t="s">
        <v>8</v>
      </c>
    </row>
    <row r="5076" spans="1:13" s="21" customFormat="1" x14ac:dyDescent="0.25">
      <c r="A5076" s="22" t="s">
        <v>8</v>
      </c>
      <c r="B5076" s="18" t="str">
        <f>"185278"</f>
        <v>185278</v>
      </c>
      <c r="C5076" s="19" t="s">
        <v>5008</v>
      </c>
      <c r="D5076" s="19" t="s">
        <v>20503</v>
      </c>
      <c r="E5076" s="19" t="s">
        <v>31696</v>
      </c>
      <c r="F5076" s="19" t="s">
        <v>35991</v>
      </c>
      <c r="G5076" s="18" t="str">
        <f>"40223"</f>
        <v>40223</v>
      </c>
      <c r="H5076" s="19" t="s">
        <v>32391</v>
      </c>
      <c r="I5076" s="20">
        <v>16.516999999999999</v>
      </c>
      <c r="J5076" s="44" t="s">
        <v>8</v>
      </c>
      <c r="K5076" s="23" t="s">
        <v>8</v>
      </c>
      <c r="L5076" s="23" t="s">
        <v>8</v>
      </c>
      <c r="M5076" s="23" t="s">
        <v>8</v>
      </c>
    </row>
    <row r="5077" spans="1:13" s="21" customFormat="1" x14ac:dyDescent="0.25">
      <c r="A5077" s="22" t="s">
        <v>8</v>
      </c>
      <c r="B5077" s="18" t="str">
        <f>"185279"</f>
        <v>185279</v>
      </c>
      <c r="C5077" s="19" t="s">
        <v>5009</v>
      </c>
      <c r="D5077" s="19" t="s">
        <v>20504</v>
      </c>
      <c r="E5077" s="19" t="s">
        <v>32683</v>
      </c>
      <c r="F5077" s="19" t="s">
        <v>35991</v>
      </c>
      <c r="G5077" s="18" t="str">
        <f>"42066"</f>
        <v>42066</v>
      </c>
      <c r="H5077" s="19" t="s">
        <v>36315</v>
      </c>
      <c r="I5077" s="20">
        <v>22.193999999999999</v>
      </c>
      <c r="J5077" s="44" t="s">
        <v>8</v>
      </c>
      <c r="K5077" s="23" t="s">
        <v>8</v>
      </c>
      <c r="L5077" s="23" t="s">
        <v>8</v>
      </c>
      <c r="M5077" s="23" t="s">
        <v>8</v>
      </c>
    </row>
    <row r="5078" spans="1:13" s="21" customFormat="1" x14ac:dyDescent="0.25">
      <c r="A5078" s="22" t="s">
        <v>8</v>
      </c>
      <c r="B5078" s="18" t="str">
        <f>"185281"</f>
        <v>185281</v>
      </c>
      <c r="C5078" s="19" t="s">
        <v>5010</v>
      </c>
      <c r="D5078" s="19" t="s">
        <v>20505</v>
      </c>
      <c r="E5078" s="19" t="s">
        <v>32738</v>
      </c>
      <c r="F5078" s="19" t="s">
        <v>35991</v>
      </c>
      <c r="G5078" s="18" t="str">
        <f>"40056"</f>
        <v>40056</v>
      </c>
      <c r="H5078" s="19" t="s">
        <v>36329</v>
      </c>
      <c r="I5078" s="20">
        <v>21.085999999999999</v>
      </c>
      <c r="J5078" s="44" t="s">
        <v>8</v>
      </c>
      <c r="K5078" s="23" t="s">
        <v>8</v>
      </c>
      <c r="L5078" s="23" t="s">
        <v>8</v>
      </c>
      <c r="M5078" s="23" t="s">
        <v>8</v>
      </c>
    </row>
    <row r="5079" spans="1:13" s="21" customFormat="1" x14ac:dyDescent="0.25">
      <c r="A5079" s="22" t="s">
        <v>8</v>
      </c>
      <c r="B5079" s="18" t="str">
        <f>"185282"</f>
        <v>185282</v>
      </c>
      <c r="C5079" s="19" t="s">
        <v>5011</v>
      </c>
      <c r="D5079" s="19" t="s">
        <v>20506</v>
      </c>
      <c r="E5079" s="19" t="s">
        <v>32739</v>
      </c>
      <c r="F5079" s="19" t="s">
        <v>35991</v>
      </c>
      <c r="G5079" s="18" t="str">
        <f>"41175"</f>
        <v>41175</v>
      </c>
      <c r="H5079" s="19" t="s">
        <v>32179</v>
      </c>
      <c r="I5079" s="20">
        <v>18.399000000000001</v>
      </c>
      <c r="J5079" s="44" t="s">
        <v>8</v>
      </c>
      <c r="K5079" s="23" t="s">
        <v>8</v>
      </c>
      <c r="L5079" s="23" t="s">
        <v>8</v>
      </c>
      <c r="M5079" s="23" t="s">
        <v>8</v>
      </c>
    </row>
    <row r="5080" spans="1:13" s="21" customFormat="1" x14ac:dyDescent="0.25">
      <c r="A5080" s="22" t="s">
        <v>8</v>
      </c>
      <c r="B5080" s="18" t="str">
        <f>"185283"</f>
        <v>185283</v>
      </c>
      <c r="C5080" s="19" t="s">
        <v>5012</v>
      </c>
      <c r="D5080" s="19" t="s">
        <v>20507</v>
      </c>
      <c r="E5080" s="19" t="s">
        <v>31050</v>
      </c>
      <c r="F5080" s="19" t="s">
        <v>35991</v>
      </c>
      <c r="G5080" s="18" t="str">
        <f>"40361"</f>
        <v>40361</v>
      </c>
      <c r="H5080" s="19" t="s">
        <v>36293</v>
      </c>
      <c r="I5080" s="20">
        <v>19.600000000000001</v>
      </c>
      <c r="J5080" s="44" t="s">
        <v>8</v>
      </c>
      <c r="K5080" s="23" t="s">
        <v>8</v>
      </c>
      <c r="L5080" s="23" t="s">
        <v>8</v>
      </c>
      <c r="M5080" s="23" t="s">
        <v>8</v>
      </c>
    </row>
    <row r="5081" spans="1:13" s="21" customFormat="1" x14ac:dyDescent="0.25">
      <c r="A5081" s="22" t="s">
        <v>8</v>
      </c>
      <c r="B5081" s="18" t="str">
        <f>"185285"</f>
        <v>185285</v>
      </c>
      <c r="C5081" s="19" t="s">
        <v>5013</v>
      </c>
      <c r="D5081" s="19" t="s">
        <v>20508</v>
      </c>
      <c r="E5081" s="19" t="s">
        <v>32740</v>
      </c>
      <c r="F5081" s="19" t="s">
        <v>35991</v>
      </c>
      <c r="G5081" s="18" t="str">
        <f>"40143"</f>
        <v>40143</v>
      </c>
      <c r="H5081" s="19" t="s">
        <v>36341</v>
      </c>
      <c r="I5081" s="20">
        <v>18.574999999999999</v>
      </c>
      <c r="J5081" s="44" t="s">
        <v>8</v>
      </c>
      <c r="K5081" s="23" t="s">
        <v>8</v>
      </c>
      <c r="L5081" s="23" t="s">
        <v>8</v>
      </c>
      <c r="M5081" s="23" t="s">
        <v>8</v>
      </c>
    </row>
    <row r="5082" spans="1:13" s="21" customFormat="1" x14ac:dyDescent="0.25">
      <c r="A5082" s="22" t="s">
        <v>8</v>
      </c>
      <c r="B5082" s="18" t="str">
        <f>"185286"</f>
        <v>185286</v>
      </c>
      <c r="C5082" s="19" t="s">
        <v>5014</v>
      </c>
      <c r="D5082" s="19" t="s">
        <v>20509</v>
      </c>
      <c r="E5082" s="19" t="s">
        <v>32741</v>
      </c>
      <c r="F5082" s="19" t="s">
        <v>35991</v>
      </c>
      <c r="G5082" s="18" t="str">
        <f>"42629"</f>
        <v>42629</v>
      </c>
      <c r="H5082" s="19" t="s">
        <v>32602</v>
      </c>
      <c r="I5082" s="20">
        <v>17.817</v>
      </c>
      <c r="J5082" s="44" t="s">
        <v>8</v>
      </c>
      <c r="K5082" s="23" t="s">
        <v>8</v>
      </c>
      <c r="L5082" s="23" t="s">
        <v>8</v>
      </c>
      <c r="M5082" s="23" t="s">
        <v>8</v>
      </c>
    </row>
    <row r="5083" spans="1:13" s="21" customFormat="1" x14ac:dyDescent="0.25">
      <c r="A5083" s="22" t="s">
        <v>8</v>
      </c>
      <c r="B5083" s="18" t="str">
        <f>"185287"</f>
        <v>185287</v>
      </c>
      <c r="C5083" s="19" t="s">
        <v>5015</v>
      </c>
      <c r="D5083" s="19" t="s">
        <v>20510</v>
      </c>
      <c r="E5083" s="19" t="s">
        <v>32716</v>
      </c>
      <c r="F5083" s="19" t="s">
        <v>35991</v>
      </c>
      <c r="G5083" s="18" t="str">
        <f>"40330"</f>
        <v>40330</v>
      </c>
      <c r="H5083" s="19" t="s">
        <v>34991</v>
      </c>
      <c r="I5083" s="20">
        <v>22.039000000000001</v>
      </c>
      <c r="J5083" s="44" t="s">
        <v>8</v>
      </c>
      <c r="K5083" s="23" t="s">
        <v>8</v>
      </c>
      <c r="L5083" s="23" t="s">
        <v>8</v>
      </c>
      <c r="M5083" s="23" t="s">
        <v>8</v>
      </c>
    </row>
    <row r="5084" spans="1:13" s="21" customFormat="1" x14ac:dyDescent="0.25">
      <c r="A5084" s="22" t="s">
        <v>8</v>
      </c>
      <c r="B5084" s="18" t="str">
        <f>"185288"</f>
        <v>185288</v>
      </c>
      <c r="C5084" s="19" t="s">
        <v>3844</v>
      </c>
      <c r="D5084" s="19" t="s">
        <v>20511</v>
      </c>
      <c r="E5084" s="19" t="s">
        <v>31696</v>
      </c>
      <c r="F5084" s="19" t="s">
        <v>35991</v>
      </c>
      <c r="G5084" s="18" t="str">
        <f>"40272"</f>
        <v>40272</v>
      </c>
      <c r="H5084" s="19" t="s">
        <v>32391</v>
      </c>
      <c r="I5084" s="20">
        <v>16.832999999999998</v>
      </c>
      <c r="J5084" s="44" t="s">
        <v>8</v>
      </c>
      <c r="K5084" s="23" t="s">
        <v>8</v>
      </c>
      <c r="L5084" s="23" t="s">
        <v>8</v>
      </c>
      <c r="M5084" s="23" t="s">
        <v>8</v>
      </c>
    </row>
    <row r="5085" spans="1:13" s="21" customFormat="1" x14ac:dyDescent="0.25">
      <c r="A5085" s="22" t="s">
        <v>8</v>
      </c>
      <c r="B5085" s="18" t="str">
        <f>"185289"</f>
        <v>185289</v>
      </c>
      <c r="C5085" s="19" t="s">
        <v>5016</v>
      </c>
      <c r="D5085" s="19" t="s">
        <v>20512</v>
      </c>
      <c r="E5085" s="19" t="s">
        <v>31696</v>
      </c>
      <c r="F5085" s="19" t="s">
        <v>35991</v>
      </c>
      <c r="G5085" s="18" t="str">
        <f>"40220"</f>
        <v>40220</v>
      </c>
      <c r="H5085" s="19" t="s">
        <v>32391</v>
      </c>
      <c r="I5085" s="20">
        <v>19.61</v>
      </c>
      <c r="J5085" s="44" t="s">
        <v>8</v>
      </c>
      <c r="K5085" s="23" t="s">
        <v>8</v>
      </c>
      <c r="L5085" s="23" t="s">
        <v>8</v>
      </c>
      <c r="M5085" s="23" t="s">
        <v>8</v>
      </c>
    </row>
    <row r="5086" spans="1:13" s="21" customFormat="1" x14ac:dyDescent="0.25">
      <c r="A5086" s="22" t="s">
        <v>8</v>
      </c>
      <c r="B5086" s="18" t="str">
        <f>"185290"</f>
        <v>185290</v>
      </c>
      <c r="C5086" s="19" t="s">
        <v>5017</v>
      </c>
      <c r="D5086" s="19" t="s">
        <v>20513</v>
      </c>
      <c r="E5086" s="19" t="s">
        <v>31696</v>
      </c>
      <c r="F5086" s="19" t="s">
        <v>35991</v>
      </c>
      <c r="G5086" s="18" t="str">
        <f>"40219"</f>
        <v>40219</v>
      </c>
      <c r="H5086" s="19" t="s">
        <v>32391</v>
      </c>
      <c r="I5086" s="20">
        <v>20.795000000000002</v>
      </c>
      <c r="J5086" s="44" t="s">
        <v>8</v>
      </c>
      <c r="K5086" s="23" t="s">
        <v>8</v>
      </c>
      <c r="L5086" s="23" t="s">
        <v>8</v>
      </c>
      <c r="M5086" s="23" t="s">
        <v>8</v>
      </c>
    </row>
    <row r="5087" spans="1:13" s="21" customFormat="1" x14ac:dyDescent="0.25">
      <c r="A5087" s="22" t="s">
        <v>8</v>
      </c>
      <c r="B5087" s="18" t="str">
        <f>"185291"</f>
        <v>185291</v>
      </c>
      <c r="C5087" s="19" t="s">
        <v>5018</v>
      </c>
      <c r="D5087" s="19" t="s">
        <v>20514</v>
      </c>
      <c r="E5087" s="19" t="s">
        <v>32742</v>
      </c>
      <c r="F5087" s="19" t="s">
        <v>35991</v>
      </c>
      <c r="G5087" s="18" t="str">
        <f>"42455"</f>
        <v>42455</v>
      </c>
      <c r="H5087" s="19" t="s">
        <v>33048</v>
      </c>
      <c r="I5087" s="20">
        <v>19.286000000000001</v>
      </c>
      <c r="J5087" s="44" t="s">
        <v>8</v>
      </c>
      <c r="K5087" s="23" t="s">
        <v>8</v>
      </c>
      <c r="L5087" s="23" t="s">
        <v>8</v>
      </c>
      <c r="M5087" s="23" t="s">
        <v>8</v>
      </c>
    </row>
    <row r="5088" spans="1:13" s="21" customFormat="1" x14ac:dyDescent="0.25">
      <c r="A5088" s="22" t="s">
        <v>8</v>
      </c>
      <c r="B5088" s="18" t="str">
        <f>"185293"</f>
        <v>185293</v>
      </c>
      <c r="C5088" s="19" t="s">
        <v>5019</v>
      </c>
      <c r="D5088" s="19" t="s">
        <v>20515</v>
      </c>
      <c r="E5088" s="19" t="s">
        <v>31394</v>
      </c>
      <c r="F5088" s="19" t="s">
        <v>35991</v>
      </c>
      <c r="G5088" s="18" t="str">
        <f>"40962"</f>
        <v>40962</v>
      </c>
      <c r="H5088" s="19" t="s">
        <v>36030</v>
      </c>
      <c r="I5088" s="20">
        <v>19.946999999999999</v>
      </c>
      <c r="J5088" s="44" t="s">
        <v>8</v>
      </c>
      <c r="K5088" s="23" t="s">
        <v>8</v>
      </c>
      <c r="L5088" s="23" t="s">
        <v>8</v>
      </c>
      <c r="M5088" s="23" t="s">
        <v>8</v>
      </c>
    </row>
    <row r="5089" spans="1:13" s="21" customFormat="1" x14ac:dyDescent="0.25">
      <c r="A5089" s="22" t="s">
        <v>8</v>
      </c>
      <c r="B5089" s="18" t="str">
        <f>"185294"</f>
        <v>185294</v>
      </c>
      <c r="C5089" s="19" t="s">
        <v>5020</v>
      </c>
      <c r="D5089" s="19" t="s">
        <v>20516</v>
      </c>
      <c r="E5089" s="19" t="s">
        <v>30817</v>
      </c>
      <c r="F5089" s="19" t="s">
        <v>35991</v>
      </c>
      <c r="G5089" s="18" t="str">
        <f>"42345"</f>
        <v>42345</v>
      </c>
      <c r="H5089" s="19" t="s">
        <v>36317</v>
      </c>
      <c r="I5089" s="20">
        <v>18.949000000000002</v>
      </c>
      <c r="J5089" s="44" t="s">
        <v>8</v>
      </c>
      <c r="K5089" s="23" t="s">
        <v>8</v>
      </c>
      <c r="L5089" s="23" t="s">
        <v>8</v>
      </c>
      <c r="M5089" s="23" t="s">
        <v>8</v>
      </c>
    </row>
    <row r="5090" spans="1:13" s="21" customFormat="1" x14ac:dyDescent="0.25">
      <c r="A5090" s="22" t="s">
        <v>8</v>
      </c>
      <c r="B5090" s="18" t="str">
        <f>"185295"</f>
        <v>185295</v>
      </c>
      <c r="C5090" s="19" t="s">
        <v>5021</v>
      </c>
      <c r="D5090" s="19" t="s">
        <v>20517</v>
      </c>
      <c r="E5090" s="19" t="s">
        <v>31495</v>
      </c>
      <c r="F5090" s="19" t="s">
        <v>35991</v>
      </c>
      <c r="G5090" s="18" t="str">
        <f>"40324"</f>
        <v>40324</v>
      </c>
      <c r="H5090" s="19" t="s">
        <v>36083</v>
      </c>
      <c r="I5090" s="20">
        <v>20.347000000000001</v>
      </c>
      <c r="J5090" s="44" t="s">
        <v>8</v>
      </c>
      <c r="K5090" s="23" t="s">
        <v>8</v>
      </c>
      <c r="L5090" s="23" t="s">
        <v>8</v>
      </c>
      <c r="M5090" s="23" t="s">
        <v>8</v>
      </c>
    </row>
    <row r="5091" spans="1:13" s="21" customFormat="1" x14ac:dyDescent="0.25">
      <c r="A5091" s="22" t="s">
        <v>8</v>
      </c>
      <c r="B5091" s="18" t="str">
        <f>"185297"</f>
        <v>185297</v>
      </c>
      <c r="C5091" s="19" t="s">
        <v>5022</v>
      </c>
      <c r="D5091" s="19" t="s">
        <v>20518</v>
      </c>
      <c r="E5091" s="19" t="s">
        <v>32743</v>
      </c>
      <c r="F5091" s="19" t="s">
        <v>35991</v>
      </c>
      <c r="G5091" s="18" t="str">
        <f>"40061"</f>
        <v>40061</v>
      </c>
      <c r="H5091" s="19" t="s">
        <v>31500</v>
      </c>
      <c r="I5091" s="20">
        <v>17.155000000000001</v>
      </c>
      <c r="J5091" s="44" t="s">
        <v>8</v>
      </c>
      <c r="K5091" s="23" t="s">
        <v>8</v>
      </c>
      <c r="L5091" s="23" t="s">
        <v>8</v>
      </c>
      <c r="M5091" s="23" t="s">
        <v>8</v>
      </c>
    </row>
    <row r="5092" spans="1:13" s="21" customFormat="1" x14ac:dyDescent="0.25">
      <c r="A5092" s="22" t="s">
        <v>8</v>
      </c>
      <c r="B5092" s="18" t="str">
        <f>"185298"</f>
        <v>185298</v>
      </c>
      <c r="C5092" s="19" t="s">
        <v>5023</v>
      </c>
      <c r="D5092" s="19" t="s">
        <v>20519</v>
      </c>
      <c r="E5092" s="19" t="s">
        <v>30986</v>
      </c>
      <c r="F5092" s="19" t="s">
        <v>35991</v>
      </c>
      <c r="G5092" s="18" t="str">
        <f>"42633"</f>
        <v>42633</v>
      </c>
      <c r="H5092" s="19" t="s">
        <v>33280</v>
      </c>
      <c r="I5092" s="20">
        <v>20.29</v>
      </c>
      <c r="J5092" s="44" t="s">
        <v>8</v>
      </c>
      <c r="K5092" s="23" t="s">
        <v>8</v>
      </c>
      <c r="L5092" s="23" t="s">
        <v>8</v>
      </c>
      <c r="M5092" s="23" t="s">
        <v>8</v>
      </c>
    </row>
    <row r="5093" spans="1:13" s="21" customFormat="1" x14ac:dyDescent="0.25">
      <c r="A5093" s="22" t="s">
        <v>8</v>
      </c>
      <c r="B5093" s="18" t="str">
        <f>"185300"</f>
        <v>185300</v>
      </c>
      <c r="C5093" s="19" t="s">
        <v>5024</v>
      </c>
      <c r="D5093" s="19" t="s">
        <v>20520</v>
      </c>
      <c r="E5093" s="19" t="s">
        <v>31696</v>
      </c>
      <c r="F5093" s="19" t="s">
        <v>35991</v>
      </c>
      <c r="G5093" s="18" t="str">
        <f>"40216"</f>
        <v>40216</v>
      </c>
      <c r="H5093" s="19" t="s">
        <v>32391</v>
      </c>
      <c r="I5093" s="20">
        <v>19.120999999999999</v>
      </c>
      <c r="J5093" s="44" t="s">
        <v>8</v>
      </c>
      <c r="K5093" s="23" t="s">
        <v>8</v>
      </c>
      <c r="L5093" s="23" t="s">
        <v>8</v>
      </c>
      <c r="M5093" s="23" t="s">
        <v>8</v>
      </c>
    </row>
    <row r="5094" spans="1:13" s="21" customFormat="1" x14ac:dyDescent="0.25">
      <c r="A5094" s="22" t="s">
        <v>8</v>
      </c>
      <c r="B5094" s="18" t="str">
        <f>"185301"</f>
        <v>185301</v>
      </c>
      <c r="C5094" s="19" t="s">
        <v>5025</v>
      </c>
      <c r="D5094" s="19" t="s">
        <v>20521</v>
      </c>
      <c r="E5094" s="19" t="s">
        <v>31696</v>
      </c>
      <c r="F5094" s="19" t="s">
        <v>35991</v>
      </c>
      <c r="G5094" s="18" t="str">
        <f>"40220"</f>
        <v>40220</v>
      </c>
      <c r="H5094" s="19" t="s">
        <v>32391</v>
      </c>
      <c r="I5094" s="20">
        <v>20.395</v>
      </c>
      <c r="J5094" s="44" t="s">
        <v>8</v>
      </c>
      <c r="K5094" s="23" t="s">
        <v>8</v>
      </c>
      <c r="L5094" s="23" t="s">
        <v>8</v>
      </c>
      <c r="M5094" s="23" t="s">
        <v>8</v>
      </c>
    </row>
    <row r="5095" spans="1:13" s="21" customFormat="1" x14ac:dyDescent="0.25">
      <c r="A5095" s="22" t="s">
        <v>8</v>
      </c>
      <c r="B5095" s="18" t="str">
        <f>"185302"</f>
        <v>185302</v>
      </c>
      <c r="C5095" s="19" t="s">
        <v>5026</v>
      </c>
      <c r="D5095" s="19" t="s">
        <v>20522</v>
      </c>
      <c r="E5095" s="19" t="s">
        <v>32740</v>
      </c>
      <c r="F5095" s="19" t="s">
        <v>35991</v>
      </c>
      <c r="G5095" s="18" t="str">
        <f>"40143"</f>
        <v>40143</v>
      </c>
      <c r="H5095" s="19" t="s">
        <v>36341</v>
      </c>
      <c r="I5095" s="20">
        <v>19.692</v>
      </c>
      <c r="J5095" s="44" t="s">
        <v>8</v>
      </c>
      <c r="K5095" s="23" t="s">
        <v>8</v>
      </c>
      <c r="L5095" s="23" t="s">
        <v>8</v>
      </c>
      <c r="M5095" s="23" t="s">
        <v>8</v>
      </c>
    </row>
    <row r="5096" spans="1:13" s="21" customFormat="1" x14ac:dyDescent="0.25">
      <c r="A5096" s="22" t="s">
        <v>8</v>
      </c>
      <c r="B5096" s="18" t="str">
        <f>"185304"</f>
        <v>185304</v>
      </c>
      <c r="C5096" s="19" t="s">
        <v>5027</v>
      </c>
      <c r="D5096" s="19" t="s">
        <v>20523</v>
      </c>
      <c r="E5096" s="19" t="s">
        <v>32704</v>
      </c>
      <c r="F5096" s="19" t="s">
        <v>35991</v>
      </c>
      <c r="G5096" s="18" t="str">
        <f>"41653"</f>
        <v>41653</v>
      </c>
      <c r="H5096" s="19" t="s">
        <v>35420</v>
      </c>
      <c r="I5096" s="20">
        <v>19.402999999999999</v>
      </c>
      <c r="J5096" s="44" t="s">
        <v>8</v>
      </c>
      <c r="K5096" s="23" t="s">
        <v>8</v>
      </c>
      <c r="L5096" s="23" t="s">
        <v>8</v>
      </c>
      <c r="M5096" s="23" t="s">
        <v>8</v>
      </c>
    </row>
    <row r="5097" spans="1:13" s="21" customFormat="1" x14ac:dyDescent="0.25">
      <c r="A5097" s="22" t="s">
        <v>8</v>
      </c>
      <c r="B5097" s="18" t="str">
        <f>"185305"</f>
        <v>185305</v>
      </c>
      <c r="C5097" s="19" t="s">
        <v>5028</v>
      </c>
      <c r="D5097" s="19" t="s">
        <v>20524</v>
      </c>
      <c r="E5097" s="19" t="s">
        <v>31696</v>
      </c>
      <c r="F5097" s="19" t="s">
        <v>35991</v>
      </c>
      <c r="G5097" s="18" t="str">
        <f>"40241"</f>
        <v>40241</v>
      </c>
      <c r="H5097" s="19" t="s">
        <v>32391</v>
      </c>
      <c r="I5097" s="20">
        <v>20.363</v>
      </c>
      <c r="J5097" s="44" t="s">
        <v>8</v>
      </c>
      <c r="K5097" s="23" t="s">
        <v>8</v>
      </c>
      <c r="L5097" s="23" t="s">
        <v>8</v>
      </c>
      <c r="M5097" s="23" t="s">
        <v>8</v>
      </c>
    </row>
    <row r="5098" spans="1:13" s="21" customFormat="1" x14ac:dyDescent="0.25">
      <c r="A5098" s="22" t="s">
        <v>8</v>
      </c>
      <c r="B5098" s="18" t="str">
        <f>"185306"</f>
        <v>185306</v>
      </c>
      <c r="C5098" s="19" t="s">
        <v>5029</v>
      </c>
      <c r="D5098" s="19" t="s">
        <v>20525</v>
      </c>
      <c r="E5098" s="19" t="s">
        <v>32689</v>
      </c>
      <c r="F5098" s="19" t="s">
        <v>35991</v>
      </c>
      <c r="G5098" s="18" t="str">
        <f>"42431"</f>
        <v>42431</v>
      </c>
      <c r="H5098" s="19" t="s">
        <v>33374</v>
      </c>
      <c r="I5098" s="20">
        <v>17.510000000000002</v>
      </c>
      <c r="J5098" s="44" t="s">
        <v>8</v>
      </c>
      <c r="K5098" s="23" t="s">
        <v>8</v>
      </c>
      <c r="L5098" s="23" t="s">
        <v>8</v>
      </c>
      <c r="M5098" s="23" t="s">
        <v>8</v>
      </c>
    </row>
    <row r="5099" spans="1:13" s="21" customFormat="1" x14ac:dyDescent="0.25">
      <c r="A5099" s="22" t="s">
        <v>8</v>
      </c>
      <c r="B5099" s="18" t="str">
        <f>"185309"</f>
        <v>185309</v>
      </c>
      <c r="C5099" s="19" t="s">
        <v>5030</v>
      </c>
      <c r="D5099" s="19" t="s">
        <v>20526</v>
      </c>
      <c r="E5099" s="19" t="s">
        <v>32679</v>
      </c>
      <c r="F5099" s="19" t="s">
        <v>35991</v>
      </c>
      <c r="G5099" s="18" t="str">
        <f>"42754"</f>
        <v>42754</v>
      </c>
      <c r="H5099" s="19" t="s">
        <v>32731</v>
      </c>
      <c r="I5099" s="20">
        <v>17.369</v>
      </c>
      <c r="J5099" s="44" t="s">
        <v>8</v>
      </c>
      <c r="K5099" s="23" t="s">
        <v>8</v>
      </c>
      <c r="L5099" s="23" t="s">
        <v>8</v>
      </c>
      <c r="M5099" s="23" t="s">
        <v>8</v>
      </c>
    </row>
    <row r="5100" spans="1:13" s="21" customFormat="1" x14ac:dyDescent="0.25">
      <c r="A5100" s="22" t="s">
        <v>8</v>
      </c>
      <c r="B5100" s="18" t="str">
        <f>"185310"</f>
        <v>185310</v>
      </c>
      <c r="C5100" s="19" t="s">
        <v>5031</v>
      </c>
      <c r="D5100" s="19" t="s">
        <v>20527</v>
      </c>
      <c r="E5100" s="19" t="s">
        <v>31696</v>
      </c>
      <c r="F5100" s="19" t="s">
        <v>35991</v>
      </c>
      <c r="G5100" s="18" t="str">
        <f>"40222"</f>
        <v>40222</v>
      </c>
      <c r="H5100" s="19" t="s">
        <v>32391</v>
      </c>
      <c r="I5100" s="20">
        <v>13.568</v>
      </c>
      <c r="J5100" s="44" t="s">
        <v>8</v>
      </c>
      <c r="K5100" s="23" t="s">
        <v>8</v>
      </c>
      <c r="L5100" s="23" t="s">
        <v>8</v>
      </c>
      <c r="M5100" s="23" t="s">
        <v>8</v>
      </c>
    </row>
    <row r="5101" spans="1:13" s="21" customFormat="1" x14ac:dyDescent="0.25">
      <c r="A5101" s="22" t="s">
        <v>8</v>
      </c>
      <c r="B5101" s="18" t="str">
        <f>"185311"</f>
        <v>185311</v>
      </c>
      <c r="C5101" s="19" t="s">
        <v>5032</v>
      </c>
      <c r="D5101" s="19" t="s">
        <v>20528</v>
      </c>
      <c r="E5101" s="19" t="s">
        <v>31696</v>
      </c>
      <c r="F5101" s="19" t="s">
        <v>35991</v>
      </c>
      <c r="G5101" s="18" t="str">
        <f>"40216"</f>
        <v>40216</v>
      </c>
      <c r="H5101" s="19" t="s">
        <v>32391</v>
      </c>
      <c r="I5101" s="20">
        <v>21.905999999999999</v>
      </c>
      <c r="J5101" s="44" t="s">
        <v>8</v>
      </c>
      <c r="K5101" s="23" t="s">
        <v>8</v>
      </c>
      <c r="L5101" s="23" t="s">
        <v>8</v>
      </c>
      <c r="M5101" s="23" t="s">
        <v>8</v>
      </c>
    </row>
    <row r="5102" spans="1:13" s="21" customFormat="1" x14ac:dyDescent="0.25">
      <c r="A5102" s="22" t="s">
        <v>8</v>
      </c>
      <c r="B5102" s="18" t="str">
        <f>"185312"</f>
        <v>185312</v>
      </c>
      <c r="C5102" s="19" t="s">
        <v>5033</v>
      </c>
      <c r="D5102" s="19" t="s">
        <v>20529</v>
      </c>
      <c r="E5102" s="19" t="s">
        <v>32709</v>
      </c>
      <c r="F5102" s="19" t="s">
        <v>35991</v>
      </c>
      <c r="G5102" s="18" t="str">
        <f>"42001"</f>
        <v>42001</v>
      </c>
      <c r="H5102" s="19" t="s">
        <v>36328</v>
      </c>
      <c r="I5102" s="20">
        <v>17.710999999999999</v>
      </c>
      <c r="J5102" s="44" t="s">
        <v>8</v>
      </c>
      <c r="K5102" s="23" t="s">
        <v>8</v>
      </c>
      <c r="L5102" s="23" t="s">
        <v>8</v>
      </c>
      <c r="M5102" s="23" t="s">
        <v>8</v>
      </c>
    </row>
    <row r="5103" spans="1:13" s="21" customFormat="1" x14ac:dyDescent="0.25">
      <c r="A5103" s="22" t="s">
        <v>8</v>
      </c>
      <c r="B5103" s="18" t="str">
        <f>"185313"</f>
        <v>185313</v>
      </c>
      <c r="C5103" s="19" t="s">
        <v>5034</v>
      </c>
      <c r="D5103" s="19" t="s">
        <v>20530</v>
      </c>
      <c r="E5103" s="19" t="s">
        <v>30818</v>
      </c>
      <c r="F5103" s="19" t="s">
        <v>35991</v>
      </c>
      <c r="G5103" s="18" t="str">
        <f>"42276"</f>
        <v>42276</v>
      </c>
      <c r="H5103" s="19" t="s">
        <v>32373</v>
      </c>
      <c r="I5103" s="20">
        <v>24.376999999999999</v>
      </c>
      <c r="J5103" s="44" t="s">
        <v>8</v>
      </c>
      <c r="K5103" s="23" t="s">
        <v>8</v>
      </c>
      <c r="L5103" s="23" t="s">
        <v>8</v>
      </c>
      <c r="M5103" s="23" t="s">
        <v>8</v>
      </c>
    </row>
    <row r="5104" spans="1:13" s="21" customFormat="1" x14ac:dyDescent="0.25">
      <c r="A5104" s="22" t="s">
        <v>8</v>
      </c>
      <c r="B5104" s="18" t="str">
        <f>"185314"</f>
        <v>185314</v>
      </c>
      <c r="C5104" s="19" t="s">
        <v>5035</v>
      </c>
      <c r="D5104" s="19" t="s">
        <v>20531</v>
      </c>
      <c r="E5104" s="19" t="s">
        <v>32678</v>
      </c>
      <c r="F5104" s="19" t="s">
        <v>35991</v>
      </c>
      <c r="G5104" s="18" t="str">
        <f>"41041"</f>
        <v>41041</v>
      </c>
      <c r="H5104" s="19" t="s">
        <v>36314</v>
      </c>
      <c r="I5104" s="20">
        <v>18.623000000000001</v>
      </c>
      <c r="J5104" s="44" t="s">
        <v>8</v>
      </c>
      <c r="K5104" s="23" t="s">
        <v>8</v>
      </c>
      <c r="L5104" s="23" t="s">
        <v>8</v>
      </c>
      <c r="M5104" s="23" t="s">
        <v>8</v>
      </c>
    </row>
    <row r="5105" spans="1:13" s="21" customFormat="1" x14ac:dyDescent="0.25">
      <c r="A5105" s="22" t="s">
        <v>8</v>
      </c>
      <c r="B5105" s="18" t="str">
        <f>"185315"</f>
        <v>185315</v>
      </c>
      <c r="C5105" s="19" t="s">
        <v>5036</v>
      </c>
      <c r="D5105" s="19" t="s">
        <v>20532</v>
      </c>
      <c r="E5105" s="19" t="s">
        <v>31834</v>
      </c>
      <c r="F5105" s="19" t="s">
        <v>35991</v>
      </c>
      <c r="G5105" s="18" t="str">
        <f>"42602"</f>
        <v>42602</v>
      </c>
      <c r="H5105" s="19" t="s">
        <v>31081</v>
      </c>
      <c r="I5105" s="20">
        <v>20.954000000000001</v>
      </c>
      <c r="J5105" s="44" t="s">
        <v>8</v>
      </c>
      <c r="K5105" s="23" t="s">
        <v>8</v>
      </c>
      <c r="L5105" s="23" t="s">
        <v>8</v>
      </c>
      <c r="M5105" s="23" t="s">
        <v>8</v>
      </c>
    </row>
    <row r="5106" spans="1:13" s="21" customFormat="1" x14ac:dyDescent="0.25">
      <c r="A5106" s="22" t="s">
        <v>8</v>
      </c>
      <c r="B5106" s="18" t="str">
        <f>"185316"</f>
        <v>185316</v>
      </c>
      <c r="C5106" s="19" t="s">
        <v>5037</v>
      </c>
      <c r="D5106" s="19" t="s">
        <v>20533</v>
      </c>
      <c r="E5106" s="19" t="s">
        <v>31998</v>
      </c>
      <c r="F5106" s="19" t="s">
        <v>35991</v>
      </c>
      <c r="G5106" s="18" t="str">
        <f>"42445"</f>
        <v>42445</v>
      </c>
      <c r="H5106" s="19" t="s">
        <v>31876</v>
      </c>
      <c r="I5106" s="20">
        <v>19.515000000000001</v>
      </c>
      <c r="J5106" s="44" t="s">
        <v>8</v>
      </c>
      <c r="K5106" s="23" t="s">
        <v>8</v>
      </c>
      <c r="L5106" s="23" t="s">
        <v>8</v>
      </c>
      <c r="M5106" s="23" t="s">
        <v>8</v>
      </c>
    </row>
    <row r="5107" spans="1:13" s="21" customFormat="1" x14ac:dyDescent="0.25">
      <c r="A5107" s="22" t="s">
        <v>8</v>
      </c>
      <c r="B5107" s="18" t="str">
        <f>"185317"</f>
        <v>185317</v>
      </c>
      <c r="C5107" s="19" t="s">
        <v>5038</v>
      </c>
      <c r="D5107" s="19" t="s">
        <v>20534</v>
      </c>
      <c r="E5107" s="19" t="s">
        <v>30817</v>
      </c>
      <c r="F5107" s="19" t="s">
        <v>35991</v>
      </c>
      <c r="G5107" s="18" t="str">
        <f>"42345"</f>
        <v>42345</v>
      </c>
      <c r="H5107" s="19" t="s">
        <v>36317</v>
      </c>
      <c r="I5107" s="20">
        <v>17.544</v>
      </c>
      <c r="J5107" s="44" t="s">
        <v>8</v>
      </c>
      <c r="K5107" s="23" t="s">
        <v>8</v>
      </c>
      <c r="L5107" s="23" t="s">
        <v>8</v>
      </c>
      <c r="M5107" s="23" t="s">
        <v>8</v>
      </c>
    </row>
    <row r="5108" spans="1:13" s="21" customFormat="1" x14ac:dyDescent="0.25">
      <c r="A5108" s="22" t="s">
        <v>8</v>
      </c>
      <c r="B5108" s="18" t="str">
        <f>"185318"</f>
        <v>185318</v>
      </c>
      <c r="C5108" s="19" t="s">
        <v>5039</v>
      </c>
      <c r="D5108" s="19" t="s">
        <v>20535</v>
      </c>
      <c r="E5108" s="19" t="s">
        <v>32744</v>
      </c>
      <c r="F5108" s="19" t="s">
        <v>35991</v>
      </c>
      <c r="G5108" s="18" t="str">
        <f>"42055"</f>
        <v>42055</v>
      </c>
      <c r="H5108" s="19" t="s">
        <v>36274</v>
      </c>
      <c r="I5108" s="20">
        <v>24.193000000000001</v>
      </c>
      <c r="J5108" s="44" t="s">
        <v>8</v>
      </c>
      <c r="K5108" s="23" t="s">
        <v>8</v>
      </c>
      <c r="L5108" s="23" t="s">
        <v>8</v>
      </c>
      <c r="M5108" s="23" t="s">
        <v>8</v>
      </c>
    </row>
    <row r="5109" spans="1:13" s="21" customFormat="1" x14ac:dyDescent="0.25">
      <c r="A5109" s="22" t="s">
        <v>8</v>
      </c>
      <c r="B5109" s="18" t="str">
        <f>"185320"</f>
        <v>185320</v>
      </c>
      <c r="C5109" s="19" t="s">
        <v>5040</v>
      </c>
      <c r="D5109" s="19" t="s">
        <v>20536</v>
      </c>
      <c r="E5109" s="19" t="s">
        <v>32745</v>
      </c>
      <c r="F5109" s="19" t="s">
        <v>35991</v>
      </c>
      <c r="G5109" s="18" t="str">
        <f>"42056"</f>
        <v>42056</v>
      </c>
      <c r="H5109" s="19" t="s">
        <v>36342</v>
      </c>
      <c r="I5109" s="20">
        <v>18.27</v>
      </c>
      <c r="J5109" s="44" t="s">
        <v>8</v>
      </c>
      <c r="K5109" s="23" t="s">
        <v>8</v>
      </c>
      <c r="L5109" s="23" t="s">
        <v>8</v>
      </c>
      <c r="M5109" s="23" t="s">
        <v>8</v>
      </c>
    </row>
    <row r="5110" spans="1:13" s="21" customFormat="1" x14ac:dyDescent="0.25">
      <c r="A5110" s="22" t="s">
        <v>8</v>
      </c>
      <c r="B5110" s="18" t="str">
        <f>"185322"</f>
        <v>185322</v>
      </c>
      <c r="C5110" s="19" t="s">
        <v>5041</v>
      </c>
      <c r="D5110" s="19" t="s">
        <v>20537</v>
      </c>
      <c r="E5110" s="19" t="s">
        <v>32692</v>
      </c>
      <c r="F5110" s="19" t="s">
        <v>35991</v>
      </c>
      <c r="G5110" s="18" t="str">
        <f>"40516"</f>
        <v>40516</v>
      </c>
      <c r="H5110" s="19" t="s">
        <v>30805</v>
      </c>
      <c r="I5110" s="20">
        <v>18.927</v>
      </c>
      <c r="J5110" s="44" t="s">
        <v>8</v>
      </c>
      <c r="K5110" s="23" t="s">
        <v>8</v>
      </c>
      <c r="L5110" s="23" t="s">
        <v>8</v>
      </c>
      <c r="M5110" s="23" t="s">
        <v>8</v>
      </c>
    </row>
    <row r="5111" spans="1:13" s="21" customFormat="1" x14ac:dyDescent="0.25">
      <c r="A5111" s="22" t="s">
        <v>8</v>
      </c>
      <c r="B5111" s="18" t="str">
        <f>"185325"</f>
        <v>185325</v>
      </c>
      <c r="C5111" s="19" t="s">
        <v>5042</v>
      </c>
      <c r="D5111" s="19" t="s">
        <v>20538</v>
      </c>
      <c r="E5111" s="19" t="s">
        <v>32746</v>
      </c>
      <c r="F5111" s="19" t="s">
        <v>35991</v>
      </c>
      <c r="G5111" s="18" t="str">
        <f>"42164"</f>
        <v>42164</v>
      </c>
      <c r="H5111" s="19" t="s">
        <v>34710</v>
      </c>
      <c r="I5111" s="20">
        <v>21.361000000000001</v>
      </c>
      <c r="J5111" s="44" t="s">
        <v>8</v>
      </c>
      <c r="K5111" s="23" t="s">
        <v>8</v>
      </c>
      <c r="L5111" s="23" t="s">
        <v>8</v>
      </c>
      <c r="M5111" s="23" t="s">
        <v>8</v>
      </c>
    </row>
    <row r="5112" spans="1:13" s="21" customFormat="1" x14ac:dyDescent="0.25">
      <c r="A5112" s="22" t="s">
        <v>8</v>
      </c>
      <c r="B5112" s="18" t="str">
        <f>"185326"</f>
        <v>185326</v>
      </c>
      <c r="C5112" s="19" t="s">
        <v>5043</v>
      </c>
      <c r="D5112" s="19" t="s">
        <v>20539</v>
      </c>
      <c r="E5112" s="19" t="s">
        <v>31081</v>
      </c>
      <c r="F5112" s="19" t="s">
        <v>35991</v>
      </c>
      <c r="G5112" s="18" t="str">
        <f>"42031"</f>
        <v>42031</v>
      </c>
      <c r="H5112" s="19" t="s">
        <v>36343</v>
      </c>
      <c r="I5112" s="20">
        <v>19.004000000000001</v>
      </c>
      <c r="J5112" s="44" t="s">
        <v>8</v>
      </c>
      <c r="K5112" s="23" t="s">
        <v>8</v>
      </c>
      <c r="L5112" s="23" t="s">
        <v>8</v>
      </c>
      <c r="M5112" s="23" t="s">
        <v>8</v>
      </c>
    </row>
    <row r="5113" spans="1:13" s="21" customFormat="1" x14ac:dyDescent="0.25">
      <c r="A5113" s="22" t="s">
        <v>8</v>
      </c>
      <c r="B5113" s="18" t="str">
        <f>"185327"</f>
        <v>185327</v>
      </c>
      <c r="C5113" s="19" t="s">
        <v>5044</v>
      </c>
      <c r="D5113" s="19" t="s">
        <v>20540</v>
      </c>
      <c r="E5113" s="19" t="s">
        <v>32747</v>
      </c>
      <c r="F5113" s="19" t="s">
        <v>35991</v>
      </c>
      <c r="G5113" s="18" t="str">
        <f>"40071"</f>
        <v>40071</v>
      </c>
      <c r="H5113" s="19" t="s">
        <v>32314</v>
      </c>
      <c r="I5113" s="20">
        <v>18.666</v>
      </c>
      <c r="J5113" s="44" t="s">
        <v>8</v>
      </c>
      <c r="K5113" s="23" t="s">
        <v>8</v>
      </c>
      <c r="L5113" s="23" t="s">
        <v>8</v>
      </c>
      <c r="M5113" s="23" t="s">
        <v>8</v>
      </c>
    </row>
    <row r="5114" spans="1:13" s="21" customFormat="1" x14ac:dyDescent="0.25">
      <c r="A5114" s="22" t="s">
        <v>8</v>
      </c>
      <c r="B5114" s="18" t="str">
        <f>"185328"</f>
        <v>185328</v>
      </c>
      <c r="C5114" s="19" t="s">
        <v>5045</v>
      </c>
      <c r="D5114" s="19" t="s">
        <v>20541</v>
      </c>
      <c r="E5114" s="19" t="s">
        <v>32715</v>
      </c>
      <c r="F5114" s="19" t="s">
        <v>35991</v>
      </c>
      <c r="G5114" s="18" t="str">
        <f>"41075"</f>
        <v>41075</v>
      </c>
      <c r="H5114" s="19" t="s">
        <v>33699</v>
      </c>
      <c r="I5114" s="20">
        <v>21.463999999999999</v>
      </c>
      <c r="J5114" s="44" t="s">
        <v>8</v>
      </c>
      <c r="K5114" s="23" t="s">
        <v>8</v>
      </c>
      <c r="L5114" s="23" t="s">
        <v>8</v>
      </c>
      <c r="M5114" s="23" t="s">
        <v>8</v>
      </c>
    </row>
    <row r="5115" spans="1:13" s="21" customFormat="1" x14ac:dyDescent="0.25">
      <c r="A5115" s="22" t="s">
        <v>8</v>
      </c>
      <c r="B5115" s="18" t="str">
        <f>"185329"</f>
        <v>185329</v>
      </c>
      <c r="C5115" s="19" t="s">
        <v>5046</v>
      </c>
      <c r="D5115" s="19" t="s">
        <v>20542</v>
      </c>
      <c r="E5115" s="19" t="s">
        <v>32748</v>
      </c>
      <c r="F5115" s="19" t="s">
        <v>35991</v>
      </c>
      <c r="G5115" s="18" t="str">
        <f>"42437"</f>
        <v>42437</v>
      </c>
      <c r="H5115" s="19" t="s">
        <v>33554</v>
      </c>
      <c r="I5115" s="20">
        <v>17.686</v>
      </c>
      <c r="J5115" s="44" t="s">
        <v>8</v>
      </c>
      <c r="K5115" s="23" t="s">
        <v>8</v>
      </c>
      <c r="L5115" s="23" t="s">
        <v>8</v>
      </c>
      <c r="M5115" s="23" t="s">
        <v>8</v>
      </c>
    </row>
    <row r="5116" spans="1:13" s="21" customFormat="1" x14ac:dyDescent="0.25">
      <c r="A5116" s="22" t="s">
        <v>8</v>
      </c>
      <c r="B5116" s="18" t="str">
        <f>"185330"</f>
        <v>185330</v>
      </c>
      <c r="C5116" s="19" t="s">
        <v>5047</v>
      </c>
      <c r="D5116" s="19" t="s">
        <v>20543</v>
      </c>
      <c r="E5116" s="19" t="s">
        <v>32690</v>
      </c>
      <c r="F5116" s="19" t="s">
        <v>35991</v>
      </c>
      <c r="G5116" s="18" t="str">
        <f>"42718"</f>
        <v>42718</v>
      </c>
      <c r="H5116" s="19" t="s">
        <v>31080</v>
      </c>
      <c r="I5116" s="20">
        <v>19.295999999999999</v>
      </c>
      <c r="J5116" s="44" t="s">
        <v>8</v>
      </c>
      <c r="K5116" s="23" t="s">
        <v>8</v>
      </c>
      <c r="L5116" s="23" t="s">
        <v>8</v>
      </c>
      <c r="M5116" s="23" t="s">
        <v>8</v>
      </c>
    </row>
    <row r="5117" spans="1:13" s="21" customFormat="1" x14ac:dyDescent="0.25">
      <c r="A5117" s="22" t="s">
        <v>8</v>
      </c>
      <c r="B5117" s="18" t="str">
        <f>"185331"</f>
        <v>185331</v>
      </c>
      <c r="C5117" s="19" t="s">
        <v>5048</v>
      </c>
      <c r="D5117" s="19" t="s">
        <v>20544</v>
      </c>
      <c r="E5117" s="19" t="s">
        <v>5</v>
      </c>
      <c r="F5117" s="19" t="s">
        <v>35991</v>
      </c>
      <c r="G5117" s="18" t="str">
        <f>"42135"</f>
        <v>42135</v>
      </c>
      <c r="H5117" s="19" t="s">
        <v>36344</v>
      </c>
      <c r="I5117" s="20">
        <v>20.913</v>
      </c>
      <c r="J5117" s="44" t="s">
        <v>8</v>
      </c>
      <c r="K5117" s="23" t="s">
        <v>8</v>
      </c>
      <c r="L5117" s="23" t="s">
        <v>8</v>
      </c>
      <c r="M5117" s="23" t="s">
        <v>8</v>
      </c>
    </row>
    <row r="5118" spans="1:13" s="21" customFormat="1" x14ac:dyDescent="0.25">
      <c r="A5118" s="22" t="s">
        <v>8</v>
      </c>
      <c r="B5118" s="18" t="str">
        <f>"185332"</f>
        <v>185332</v>
      </c>
      <c r="C5118" s="19" t="s">
        <v>5049</v>
      </c>
      <c r="D5118" s="19" t="s">
        <v>20545</v>
      </c>
      <c r="E5118" s="19" t="s">
        <v>32680</v>
      </c>
      <c r="F5118" s="19" t="s">
        <v>35991</v>
      </c>
      <c r="G5118" s="18" t="str">
        <f>"41031"</f>
        <v>41031</v>
      </c>
      <c r="H5118" s="19" t="s">
        <v>31020</v>
      </c>
      <c r="I5118" s="20">
        <v>19.562999999999999</v>
      </c>
      <c r="J5118" s="44" t="s">
        <v>8</v>
      </c>
      <c r="K5118" s="23" t="s">
        <v>8</v>
      </c>
      <c r="L5118" s="23" t="s">
        <v>8</v>
      </c>
      <c r="M5118" s="23" t="s">
        <v>8</v>
      </c>
    </row>
    <row r="5119" spans="1:13" s="21" customFormat="1" x14ac:dyDescent="0.25">
      <c r="A5119" s="22" t="s">
        <v>8</v>
      </c>
      <c r="B5119" s="18" t="str">
        <f>"185333"</f>
        <v>185333</v>
      </c>
      <c r="C5119" s="19" t="s">
        <v>5050</v>
      </c>
      <c r="D5119" s="19" t="s">
        <v>20546</v>
      </c>
      <c r="E5119" s="19" t="s">
        <v>31696</v>
      </c>
      <c r="F5119" s="19" t="s">
        <v>35991</v>
      </c>
      <c r="G5119" s="18" t="str">
        <f>"40218"</f>
        <v>40218</v>
      </c>
      <c r="H5119" s="19" t="s">
        <v>32391</v>
      </c>
      <c r="I5119" s="20">
        <v>17.821999999999999</v>
      </c>
      <c r="J5119" s="44" t="s">
        <v>8</v>
      </c>
      <c r="K5119" s="23" t="s">
        <v>8</v>
      </c>
      <c r="L5119" s="23" t="s">
        <v>8</v>
      </c>
      <c r="M5119" s="23" t="s">
        <v>8</v>
      </c>
    </row>
    <row r="5120" spans="1:13" s="21" customFormat="1" x14ac:dyDescent="0.25">
      <c r="A5120" s="22" t="s">
        <v>8</v>
      </c>
      <c r="B5120" s="18" t="str">
        <f>"185334"</f>
        <v>185334</v>
      </c>
      <c r="C5120" s="19" t="s">
        <v>5051</v>
      </c>
      <c r="D5120" s="19" t="s">
        <v>20547</v>
      </c>
      <c r="E5120" s="19" t="s">
        <v>32749</v>
      </c>
      <c r="F5120" s="19" t="s">
        <v>35991</v>
      </c>
      <c r="G5120" s="18" t="str">
        <f>"42320"</f>
        <v>42320</v>
      </c>
      <c r="H5120" s="19" t="s">
        <v>36265</v>
      </c>
      <c r="I5120" s="20">
        <v>17.414000000000001</v>
      </c>
      <c r="J5120" s="44" t="s">
        <v>8</v>
      </c>
      <c r="K5120" s="23" t="s">
        <v>8</v>
      </c>
      <c r="L5120" s="23" t="s">
        <v>8</v>
      </c>
      <c r="M5120" s="23" t="s">
        <v>8</v>
      </c>
    </row>
    <row r="5121" spans="1:13" s="21" customFormat="1" x14ac:dyDescent="0.25">
      <c r="A5121" s="22" t="s">
        <v>8</v>
      </c>
      <c r="B5121" s="18" t="str">
        <f>"185335"</f>
        <v>185335</v>
      </c>
      <c r="C5121" s="19" t="s">
        <v>5052</v>
      </c>
      <c r="D5121" s="19" t="s">
        <v>20548</v>
      </c>
      <c r="E5121" s="19" t="s">
        <v>31696</v>
      </c>
      <c r="F5121" s="19" t="s">
        <v>35991</v>
      </c>
      <c r="G5121" s="18" t="str">
        <f>"40214"</f>
        <v>40214</v>
      </c>
      <c r="H5121" s="19" t="s">
        <v>32391</v>
      </c>
      <c r="I5121" s="20">
        <v>21.524000000000001</v>
      </c>
      <c r="J5121" s="44" t="s">
        <v>8</v>
      </c>
      <c r="K5121" s="23" t="s">
        <v>8</v>
      </c>
      <c r="L5121" s="23" t="s">
        <v>8</v>
      </c>
      <c r="M5121" s="23" t="s">
        <v>8</v>
      </c>
    </row>
    <row r="5122" spans="1:13" s="21" customFormat="1" x14ac:dyDescent="0.25">
      <c r="A5122" s="22" t="s">
        <v>8</v>
      </c>
      <c r="B5122" s="18" t="str">
        <f>"185336"</f>
        <v>185336</v>
      </c>
      <c r="C5122" s="19" t="s">
        <v>5053</v>
      </c>
      <c r="D5122" s="19" t="s">
        <v>20549</v>
      </c>
      <c r="E5122" s="19" t="s">
        <v>31717</v>
      </c>
      <c r="F5122" s="19" t="s">
        <v>35991</v>
      </c>
      <c r="G5122" s="18" t="str">
        <f>"40069"</f>
        <v>40069</v>
      </c>
      <c r="H5122" s="19" t="s">
        <v>31500</v>
      </c>
      <c r="I5122" s="20">
        <v>18.888999999999999</v>
      </c>
      <c r="J5122" s="44" t="s">
        <v>8</v>
      </c>
      <c r="K5122" s="23" t="s">
        <v>8</v>
      </c>
      <c r="L5122" s="23" t="s">
        <v>8</v>
      </c>
      <c r="M5122" s="23" t="s">
        <v>8</v>
      </c>
    </row>
    <row r="5123" spans="1:13" s="21" customFormat="1" x14ac:dyDescent="0.25">
      <c r="A5123" s="22" t="s">
        <v>8</v>
      </c>
      <c r="B5123" s="18" t="str">
        <f>"185337"</f>
        <v>185337</v>
      </c>
      <c r="C5123" s="19" t="s">
        <v>5054</v>
      </c>
      <c r="D5123" s="19" t="s">
        <v>20550</v>
      </c>
      <c r="E5123" s="19" t="s">
        <v>32750</v>
      </c>
      <c r="F5123" s="19" t="s">
        <v>35991</v>
      </c>
      <c r="G5123" s="18" t="str">
        <f>"41311"</f>
        <v>41311</v>
      </c>
      <c r="H5123" s="19" t="s">
        <v>33138</v>
      </c>
      <c r="I5123" s="20">
        <v>20.754000000000001</v>
      </c>
      <c r="J5123" s="44" t="s">
        <v>8</v>
      </c>
      <c r="K5123" s="23" t="s">
        <v>8</v>
      </c>
      <c r="L5123" s="23" t="s">
        <v>8</v>
      </c>
      <c r="M5123" s="23" t="s">
        <v>8</v>
      </c>
    </row>
    <row r="5124" spans="1:13" s="21" customFormat="1" x14ac:dyDescent="0.25">
      <c r="A5124" s="22" t="s">
        <v>8</v>
      </c>
      <c r="B5124" s="18" t="str">
        <f>"185338"</f>
        <v>185338</v>
      </c>
      <c r="C5124" s="19" t="s">
        <v>5055</v>
      </c>
      <c r="D5124" s="19" t="s">
        <v>20551</v>
      </c>
      <c r="E5124" s="19" t="s">
        <v>32751</v>
      </c>
      <c r="F5124" s="19" t="s">
        <v>35991</v>
      </c>
      <c r="G5124" s="18" t="str">
        <f>"42266"</f>
        <v>42266</v>
      </c>
      <c r="H5124" s="19" t="s">
        <v>36234</v>
      </c>
      <c r="I5124" s="20">
        <v>17.303000000000001</v>
      </c>
      <c r="J5124" s="44" t="s">
        <v>8</v>
      </c>
      <c r="K5124" s="23" t="s">
        <v>8</v>
      </c>
      <c r="L5124" s="23" t="s">
        <v>8</v>
      </c>
      <c r="M5124" s="23" t="s">
        <v>8</v>
      </c>
    </row>
    <row r="5125" spans="1:13" s="21" customFormat="1" x14ac:dyDescent="0.25">
      <c r="A5125" s="22" t="s">
        <v>8</v>
      </c>
      <c r="B5125" s="18" t="str">
        <f>"185339"</f>
        <v>185339</v>
      </c>
      <c r="C5125" s="19" t="s">
        <v>5056</v>
      </c>
      <c r="D5125" s="19" t="s">
        <v>20552</v>
      </c>
      <c r="E5125" s="19" t="s">
        <v>32752</v>
      </c>
      <c r="F5125" s="19" t="s">
        <v>35991</v>
      </c>
      <c r="G5125" s="18" t="str">
        <f>"40336"</f>
        <v>40336</v>
      </c>
      <c r="H5125" s="19" t="s">
        <v>35084</v>
      </c>
      <c r="I5125" s="20">
        <v>19.559999999999999</v>
      </c>
      <c r="J5125" s="44" t="s">
        <v>8</v>
      </c>
      <c r="K5125" s="23" t="s">
        <v>8</v>
      </c>
      <c r="L5125" s="23" t="s">
        <v>8</v>
      </c>
      <c r="M5125" s="23" t="s">
        <v>8</v>
      </c>
    </row>
    <row r="5126" spans="1:13" s="21" customFormat="1" x14ac:dyDescent="0.25">
      <c r="A5126" s="22" t="s">
        <v>8</v>
      </c>
      <c r="B5126" s="18" t="str">
        <f>"185340"</f>
        <v>185340</v>
      </c>
      <c r="C5126" s="19" t="s">
        <v>5057</v>
      </c>
      <c r="D5126" s="19" t="s">
        <v>20553</v>
      </c>
      <c r="E5126" s="19" t="s">
        <v>32695</v>
      </c>
      <c r="F5126" s="19" t="s">
        <v>35991</v>
      </c>
      <c r="G5126" s="18" t="str">
        <f>"42141"</f>
        <v>42141</v>
      </c>
      <c r="H5126" s="19" t="s">
        <v>36321</v>
      </c>
      <c r="I5126" s="20">
        <v>19.806999999999999</v>
      </c>
      <c r="J5126" s="44" t="s">
        <v>8</v>
      </c>
      <c r="K5126" s="23" t="s">
        <v>8</v>
      </c>
      <c r="L5126" s="23" t="s">
        <v>8</v>
      </c>
      <c r="M5126" s="23" t="s">
        <v>8</v>
      </c>
    </row>
    <row r="5127" spans="1:13" s="21" customFormat="1" x14ac:dyDescent="0.25">
      <c r="A5127" s="22" t="s">
        <v>8</v>
      </c>
      <c r="B5127" s="18" t="str">
        <f>"185341"</f>
        <v>185341</v>
      </c>
      <c r="C5127" s="19" t="s">
        <v>5058</v>
      </c>
      <c r="D5127" s="19" t="s">
        <v>20554</v>
      </c>
      <c r="E5127" s="19" t="s">
        <v>32683</v>
      </c>
      <c r="F5127" s="19" t="s">
        <v>35991</v>
      </c>
      <c r="G5127" s="18" t="str">
        <f>"42066"</f>
        <v>42066</v>
      </c>
      <c r="H5127" s="19" t="s">
        <v>36315</v>
      </c>
      <c r="I5127" s="20">
        <v>18.47</v>
      </c>
      <c r="J5127" s="44" t="s">
        <v>8</v>
      </c>
      <c r="K5127" s="23" t="s">
        <v>8</v>
      </c>
      <c r="L5127" s="23" t="s">
        <v>8</v>
      </c>
      <c r="M5127" s="23" t="s">
        <v>8</v>
      </c>
    </row>
    <row r="5128" spans="1:13" s="21" customFormat="1" x14ac:dyDescent="0.25">
      <c r="A5128" s="22" t="s">
        <v>8</v>
      </c>
      <c r="B5128" s="18" t="str">
        <f>"185342"</f>
        <v>185342</v>
      </c>
      <c r="C5128" s="19" t="s">
        <v>5059</v>
      </c>
      <c r="D5128" s="19" t="s">
        <v>20555</v>
      </c>
      <c r="E5128" s="19" t="s">
        <v>32702</v>
      </c>
      <c r="F5128" s="19" t="s">
        <v>35991</v>
      </c>
      <c r="G5128" s="18" t="str">
        <f>"40004"</f>
        <v>40004</v>
      </c>
      <c r="H5128" s="19" t="s">
        <v>36324</v>
      </c>
      <c r="I5128" s="20">
        <v>20.21</v>
      </c>
      <c r="J5128" s="44" t="s">
        <v>8</v>
      </c>
      <c r="K5128" s="23" t="s">
        <v>8</v>
      </c>
      <c r="L5128" s="23" t="s">
        <v>8</v>
      </c>
      <c r="M5128" s="23" t="s">
        <v>8</v>
      </c>
    </row>
    <row r="5129" spans="1:13" s="21" customFormat="1" x14ac:dyDescent="0.25">
      <c r="A5129" s="22" t="s">
        <v>8</v>
      </c>
      <c r="B5129" s="18" t="str">
        <f>"185343"</f>
        <v>185343</v>
      </c>
      <c r="C5129" s="19" t="s">
        <v>5060</v>
      </c>
      <c r="D5129" s="19" t="s">
        <v>20556</v>
      </c>
      <c r="E5129" s="19" t="s">
        <v>32693</v>
      </c>
      <c r="F5129" s="19" t="s">
        <v>35991</v>
      </c>
      <c r="G5129" s="18" t="str">
        <f>"42240"</f>
        <v>42240</v>
      </c>
      <c r="H5129" s="19" t="s">
        <v>36234</v>
      </c>
      <c r="I5129" s="20">
        <v>18.634</v>
      </c>
      <c r="J5129" s="44" t="s">
        <v>8</v>
      </c>
      <c r="K5129" s="23" t="s">
        <v>8</v>
      </c>
      <c r="L5129" s="23" t="s">
        <v>8</v>
      </c>
      <c r="M5129" s="23" t="s">
        <v>8</v>
      </c>
    </row>
    <row r="5130" spans="1:13" s="21" customFormat="1" x14ac:dyDescent="0.25">
      <c r="A5130" s="22" t="s">
        <v>8</v>
      </c>
      <c r="B5130" s="18" t="str">
        <f>"185344"</f>
        <v>185344</v>
      </c>
      <c r="C5130" s="19" t="s">
        <v>5061</v>
      </c>
      <c r="D5130" s="19" t="s">
        <v>20557</v>
      </c>
      <c r="E5130" s="19" t="s">
        <v>31714</v>
      </c>
      <c r="F5130" s="19" t="s">
        <v>35991</v>
      </c>
      <c r="G5130" s="18" t="str">
        <f>"41002"</f>
        <v>41002</v>
      </c>
      <c r="H5130" s="19" t="s">
        <v>36345</v>
      </c>
      <c r="I5130" s="20">
        <v>20.271999999999998</v>
      </c>
      <c r="J5130" s="44" t="s">
        <v>8</v>
      </c>
      <c r="K5130" s="23" t="s">
        <v>8</v>
      </c>
      <c r="L5130" s="23" t="s">
        <v>8</v>
      </c>
      <c r="M5130" s="23" t="s">
        <v>8</v>
      </c>
    </row>
    <row r="5131" spans="1:13" s="21" customFormat="1" x14ac:dyDescent="0.25">
      <c r="A5131" s="22" t="s">
        <v>8</v>
      </c>
      <c r="B5131" s="18" t="str">
        <f>"185346"</f>
        <v>185346</v>
      </c>
      <c r="C5131" s="19" t="s">
        <v>5062</v>
      </c>
      <c r="D5131" s="19" t="s">
        <v>20558</v>
      </c>
      <c r="E5131" s="19" t="s">
        <v>32694</v>
      </c>
      <c r="F5131" s="19" t="s">
        <v>35991</v>
      </c>
      <c r="G5131" s="18" t="str">
        <f>"42301"</f>
        <v>42301</v>
      </c>
      <c r="H5131" s="19" t="s">
        <v>36258</v>
      </c>
      <c r="I5131" s="20">
        <v>17.451000000000001</v>
      </c>
      <c r="J5131" s="44" t="s">
        <v>8</v>
      </c>
      <c r="K5131" s="23" t="s">
        <v>8</v>
      </c>
      <c r="L5131" s="23" t="s">
        <v>8</v>
      </c>
      <c r="M5131" s="23" t="s">
        <v>8</v>
      </c>
    </row>
    <row r="5132" spans="1:13" s="21" customFormat="1" x14ac:dyDescent="0.25">
      <c r="A5132" s="22" t="s">
        <v>8</v>
      </c>
      <c r="B5132" s="18" t="str">
        <f>"185348"</f>
        <v>185348</v>
      </c>
      <c r="C5132" s="19" t="s">
        <v>5063</v>
      </c>
      <c r="D5132" s="19" t="s">
        <v>20559</v>
      </c>
      <c r="E5132" s="19" t="s">
        <v>31696</v>
      </c>
      <c r="F5132" s="19" t="s">
        <v>35991</v>
      </c>
      <c r="G5132" s="18" t="str">
        <f>"40206"</f>
        <v>40206</v>
      </c>
      <c r="H5132" s="19" t="s">
        <v>32391</v>
      </c>
      <c r="I5132" s="20">
        <v>20.707999999999998</v>
      </c>
      <c r="J5132" s="44" t="s">
        <v>8</v>
      </c>
      <c r="K5132" s="23" t="s">
        <v>8</v>
      </c>
      <c r="L5132" s="23" t="s">
        <v>8</v>
      </c>
      <c r="M5132" s="23" t="s">
        <v>8</v>
      </c>
    </row>
    <row r="5133" spans="1:13" s="21" customFormat="1" x14ac:dyDescent="0.25">
      <c r="A5133" s="22" t="s">
        <v>8</v>
      </c>
      <c r="B5133" s="18" t="str">
        <f>"185349"</f>
        <v>185349</v>
      </c>
      <c r="C5133" s="19" t="s">
        <v>5064</v>
      </c>
      <c r="D5133" s="19" t="s">
        <v>20560</v>
      </c>
      <c r="E5133" s="19" t="s">
        <v>31696</v>
      </c>
      <c r="F5133" s="19" t="s">
        <v>35991</v>
      </c>
      <c r="G5133" s="18" t="str">
        <f>"40222"</f>
        <v>40222</v>
      </c>
      <c r="H5133" s="19" t="s">
        <v>32391</v>
      </c>
      <c r="I5133" s="20">
        <v>17.344000000000001</v>
      </c>
      <c r="J5133" s="44" t="s">
        <v>8</v>
      </c>
      <c r="K5133" s="23" t="s">
        <v>8</v>
      </c>
      <c r="L5133" s="23" t="s">
        <v>8</v>
      </c>
      <c r="M5133" s="23" t="s">
        <v>8</v>
      </c>
    </row>
    <row r="5134" spans="1:13" s="21" customFormat="1" x14ac:dyDescent="0.25">
      <c r="A5134" s="22" t="s">
        <v>8</v>
      </c>
      <c r="B5134" s="18" t="str">
        <f>"185350"</f>
        <v>185350</v>
      </c>
      <c r="C5134" s="19" t="s">
        <v>5065</v>
      </c>
      <c r="D5134" s="19" t="s">
        <v>20561</v>
      </c>
      <c r="E5134" s="19" t="s">
        <v>31696</v>
      </c>
      <c r="F5134" s="19" t="s">
        <v>35991</v>
      </c>
      <c r="G5134" s="18" t="str">
        <f>"40220"</f>
        <v>40220</v>
      </c>
      <c r="H5134" s="19" t="s">
        <v>32391</v>
      </c>
      <c r="I5134" s="20">
        <v>19.329000000000001</v>
      </c>
      <c r="J5134" s="44" t="s">
        <v>8</v>
      </c>
      <c r="K5134" s="23" t="s">
        <v>8</v>
      </c>
      <c r="L5134" s="23" t="s">
        <v>8</v>
      </c>
      <c r="M5134" s="23" t="s">
        <v>8</v>
      </c>
    </row>
    <row r="5135" spans="1:13" s="21" customFormat="1" x14ac:dyDescent="0.25">
      <c r="A5135" s="22" t="s">
        <v>8</v>
      </c>
      <c r="B5135" s="18" t="str">
        <f>"185352"</f>
        <v>185352</v>
      </c>
      <c r="C5135" s="19" t="s">
        <v>5066</v>
      </c>
      <c r="D5135" s="19" t="s">
        <v>20562</v>
      </c>
      <c r="E5135" s="19" t="s">
        <v>32438</v>
      </c>
      <c r="F5135" s="19" t="s">
        <v>35991</v>
      </c>
      <c r="G5135" s="18" t="str">
        <f>"40380"</f>
        <v>40380</v>
      </c>
      <c r="H5135" s="19" t="s">
        <v>36346</v>
      </c>
      <c r="I5135" s="20">
        <v>20.401</v>
      </c>
      <c r="J5135" s="44" t="s">
        <v>8</v>
      </c>
      <c r="K5135" s="23" t="s">
        <v>8</v>
      </c>
      <c r="L5135" s="23" t="s">
        <v>8</v>
      </c>
      <c r="M5135" s="23" t="s">
        <v>8</v>
      </c>
    </row>
    <row r="5136" spans="1:13" s="21" customFormat="1" x14ac:dyDescent="0.25">
      <c r="A5136" s="22" t="s">
        <v>8</v>
      </c>
      <c r="B5136" s="18" t="str">
        <f>"185353"</f>
        <v>185353</v>
      </c>
      <c r="C5136" s="19" t="s">
        <v>5067</v>
      </c>
      <c r="D5136" s="19" t="s">
        <v>20563</v>
      </c>
      <c r="E5136" s="19" t="s">
        <v>32753</v>
      </c>
      <c r="F5136" s="19" t="s">
        <v>35991</v>
      </c>
      <c r="G5136" s="18" t="str">
        <f>"40108"</f>
        <v>40108</v>
      </c>
      <c r="H5136" s="19" t="s">
        <v>36312</v>
      </c>
      <c r="I5136" s="20">
        <v>20.317</v>
      </c>
      <c r="J5136" s="44" t="s">
        <v>8</v>
      </c>
      <c r="K5136" s="23" t="s">
        <v>8</v>
      </c>
      <c r="L5136" s="23" t="s">
        <v>8</v>
      </c>
      <c r="M5136" s="23" t="s">
        <v>8</v>
      </c>
    </row>
    <row r="5137" spans="1:13" s="21" customFormat="1" x14ac:dyDescent="0.25">
      <c r="A5137" s="22" t="s">
        <v>8</v>
      </c>
      <c r="B5137" s="18" t="str">
        <f>"185354"</f>
        <v>185354</v>
      </c>
      <c r="C5137" s="19" t="s">
        <v>5068</v>
      </c>
      <c r="D5137" s="19" t="s">
        <v>20564</v>
      </c>
      <c r="E5137" s="19" t="s">
        <v>32754</v>
      </c>
      <c r="F5137" s="19" t="s">
        <v>35991</v>
      </c>
      <c r="G5137" s="18" t="str">
        <f>"42343"</f>
        <v>42343</v>
      </c>
      <c r="H5137" s="19" t="s">
        <v>36265</v>
      </c>
      <c r="I5137" s="20">
        <v>20.861000000000001</v>
      </c>
      <c r="J5137" s="44" t="s">
        <v>8</v>
      </c>
      <c r="K5137" s="23" t="s">
        <v>8</v>
      </c>
      <c r="L5137" s="23" t="s">
        <v>8</v>
      </c>
      <c r="M5137" s="23" t="s">
        <v>8</v>
      </c>
    </row>
    <row r="5138" spans="1:13" s="21" customFormat="1" x14ac:dyDescent="0.25">
      <c r="A5138" s="22" t="s">
        <v>8</v>
      </c>
      <c r="B5138" s="18" t="str">
        <f>"185355"</f>
        <v>185355</v>
      </c>
      <c r="C5138" s="19" t="s">
        <v>5069</v>
      </c>
      <c r="D5138" s="19" t="s">
        <v>20565</v>
      </c>
      <c r="E5138" s="19" t="s">
        <v>30876</v>
      </c>
      <c r="F5138" s="19" t="s">
        <v>35991</v>
      </c>
      <c r="G5138" s="18" t="str">
        <f>"41006"</f>
        <v>41006</v>
      </c>
      <c r="H5138" s="19" t="s">
        <v>32262</v>
      </c>
      <c r="I5138" s="20">
        <v>19.869</v>
      </c>
      <c r="J5138" s="44" t="s">
        <v>8</v>
      </c>
      <c r="K5138" s="23" t="s">
        <v>8</v>
      </c>
      <c r="L5138" s="23" t="s">
        <v>8</v>
      </c>
      <c r="M5138" s="23" t="s">
        <v>8</v>
      </c>
    </row>
    <row r="5139" spans="1:13" s="21" customFormat="1" x14ac:dyDescent="0.25">
      <c r="A5139" s="22" t="s">
        <v>8</v>
      </c>
      <c r="B5139" s="18" t="str">
        <f>"185358"</f>
        <v>185358</v>
      </c>
      <c r="C5139" s="19" t="s">
        <v>5070</v>
      </c>
      <c r="D5139" s="19" t="s">
        <v>20566</v>
      </c>
      <c r="E5139" s="19" t="s">
        <v>32215</v>
      </c>
      <c r="F5139" s="19" t="s">
        <v>35991</v>
      </c>
      <c r="G5139" s="18" t="str">
        <f>"40006"</f>
        <v>40006</v>
      </c>
      <c r="H5139" s="19" t="s">
        <v>36347</v>
      </c>
      <c r="I5139" s="20">
        <v>18.853000000000002</v>
      </c>
      <c r="J5139" s="44" t="s">
        <v>8</v>
      </c>
      <c r="K5139" s="23" t="s">
        <v>8</v>
      </c>
      <c r="L5139" s="23" t="s">
        <v>8</v>
      </c>
      <c r="M5139" s="23" t="s">
        <v>8</v>
      </c>
    </row>
    <row r="5140" spans="1:13" s="21" customFormat="1" x14ac:dyDescent="0.25">
      <c r="A5140" s="22" t="s">
        <v>8</v>
      </c>
      <c r="B5140" s="18" t="str">
        <f>"185359"</f>
        <v>185359</v>
      </c>
      <c r="C5140" s="19" t="s">
        <v>5071</v>
      </c>
      <c r="D5140" s="19" t="s">
        <v>20567</v>
      </c>
      <c r="E5140" s="19" t="s">
        <v>32755</v>
      </c>
      <c r="F5140" s="19" t="s">
        <v>35991</v>
      </c>
      <c r="G5140" s="18" t="str">
        <f>"41064"</f>
        <v>41064</v>
      </c>
      <c r="H5140" s="19" t="s">
        <v>36348</v>
      </c>
      <c r="I5140" s="20">
        <v>16.760999999999999</v>
      </c>
      <c r="J5140" s="44" t="s">
        <v>8</v>
      </c>
      <c r="K5140" s="23" t="s">
        <v>8</v>
      </c>
      <c r="L5140" s="23" t="s">
        <v>8</v>
      </c>
      <c r="M5140" s="23" t="s">
        <v>8</v>
      </c>
    </row>
    <row r="5141" spans="1:13" s="21" customFormat="1" x14ac:dyDescent="0.25">
      <c r="A5141" s="22" t="s">
        <v>8</v>
      </c>
      <c r="B5141" s="18" t="str">
        <f>"185360"</f>
        <v>185360</v>
      </c>
      <c r="C5141" s="19" t="s">
        <v>5072</v>
      </c>
      <c r="D5141" s="19" t="s">
        <v>20568</v>
      </c>
      <c r="E5141" s="19" t="s">
        <v>32201</v>
      </c>
      <c r="F5141" s="19" t="s">
        <v>35991</v>
      </c>
      <c r="G5141" s="18" t="str">
        <f>"41095"</f>
        <v>41095</v>
      </c>
      <c r="H5141" s="19" t="s">
        <v>33708</v>
      </c>
      <c r="I5141" s="20">
        <v>18.989999999999998</v>
      </c>
      <c r="J5141" s="44" t="s">
        <v>8</v>
      </c>
      <c r="K5141" s="23" t="s">
        <v>8</v>
      </c>
      <c r="L5141" s="23" t="s">
        <v>8</v>
      </c>
      <c r="M5141" s="23" t="s">
        <v>8</v>
      </c>
    </row>
    <row r="5142" spans="1:13" s="21" customFormat="1" x14ac:dyDescent="0.25">
      <c r="A5142" s="22" t="s">
        <v>8</v>
      </c>
      <c r="B5142" s="18" t="str">
        <f>"185361"</f>
        <v>185361</v>
      </c>
      <c r="C5142" s="19" t="s">
        <v>5073</v>
      </c>
      <c r="D5142" s="19" t="s">
        <v>20569</v>
      </c>
      <c r="E5142" s="19" t="s">
        <v>31696</v>
      </c>
      <c r="F5142" s="19" t="s">
        <v>35991</v>
      </c>
      <c r="G5142" s="18" t="str">
        <f>"40205"</f>
        <v>40205</v>
      </c>
      <c r="H5142" s="19" t="s">
        <v>32391</v>
      </c>
      <c r="I5142" s="20">
        <v>18.46</v>
      </c>
      <c r="J5142" s="44" t="s">
        <v>8</v>
      </c>
      <c r="K5142" s="23" t="s">
        <v>8</v>
      </c>
      <c r="L5142" s="23" t="s">
        <v>8</v>
      </c>
      <c r="M5142" s="23" t="s">
        <v>8</v>
      </c>
    </row>
    <row r="5143" spans="1:13" s="21" customFormat="1" x14ac:dyDescent="0.25">
      <c r="A5143" s="22" t="s">
        <v>8</v>
      </c>
      <c r="B5143" s="18" t="str">
        <f>"185362"</f>
        <v>185362</v>
      </c>
      <c r="C5143" s="19" t="s">
        <v>5074</v>
      </c>
      <c r="D5143" s="19" t="s">
        <v>20570</v>
      </c>
      <c r="E5143" s="19" t="s">
        <v>31498</v>
      </c>
      <c r="F5143" s="19" t="s">
        <v>35991</v>
      </c>
      <c r="G5143" s="18" t="str">
        <f>"40050"</f>
        <v>40050</v>
      </c>
      <c r="H5143" s="19" t="s">
        <v>32041</v>
      </c>
      <c r="I5143" s="20">
        <v>22.100999999999999</v>
      </c>
      <c r="J5143" s="44" t="s">
        <v>8</v>
      </c>
      <c r="K5143" s="23" t="s">
        <v>8</v>
      </c>
      <c r="L5143" s="23" t="s">
        <v>8</v>
      </c>
      <c r="M5143" s="23" t="s">
        <v>8</v>
      </c>
    </row>
    <row r="5144" spans="1:13" s="21" customFormat="1" x14ac:dyDescent="0.25">
      <c r="A5144" s="22" t="s">
        <v>8</v>
      </c>
      <c r="B5144" s="18" t="str">
        <f>"185364"</f>
        <v>185364</v>
      </c>
      <c r="C5144" s="19" t="s">
        <v>5075</v>
      </c>
      <c r="D5144" s="19" t="s">
        <v>20571</v>
      </c>
      <c r="E5144" s="19" t="s">
        <v>32756</v>
      </c>
      <c r="F5144" s="19" t="s">
        <v>35991</v>
      </c>
      <c r="G5144" s="18" t="str">
        <f>"40359"</f>
        <v>40359</v>
      </c>
      <c r="H5144" s="19" t="s">
        <v>35604</v>
      </c>
      <c r="I5144" s="20">
        <v>20.655999999999999</v>
      </c>
      <c r="J5144" s="44" t="s">
        <v>8</v>
      </c>
      <c r="K5144" s="23" t="s">
        <v>8</v>
      </c>
      <c r="L5144" s="23" t="s">
        <v>8</v>
      </c>
      <c r="M5144" s="23" t="s">
        <v>8</v>
      </c>
    </row>
    <row r="5145" spans="1:13" s="21" customFormat="1" x14ac:dyDescent="0.25">
      <c r="A5145" s="22" t="s">
        <v>8</v>
      </c>
      <c r="B5145" s="18" t="str">
        <f>"185366"</f>
        <v>185366</v>
      </c>
      <c r="C5145" s="19" t="s">
        <v>5076</v>
      </c>
      <c r="D5145" s="19" t="s">
        <v>20572</v>
      </c>
      <c r="E5145" s="19" t="s">
        <v>32681</v>
      </c>
      <c r="F5145" s="19" t="s">
        <v>35991</v>
      </c>
      <c r="G5145" s="18" t="str">
        <f>"40702"</f>
        <v>40702</v>
      </c>
      <c r="H5145" s="19" t="s">
        <v>36254</v>
      </c>
      <c r="I5145" s="20">
        <v>24.902999999999999</v>
      </c>
      <c r="J5145" s="44" t="s">
        <v>8</v>
      </c>
      <c r="K5145" s="23" t="s">
        <v>8</v>
      </c>
      <c r="L5145" s="23" t="s">
        <v>8</v>
      </c>
      <c r="M5145" s="23" t="s">
        <v>8</v>
      </c>
    </row>
    <row r="5146" spans="1:13" s="21" customFormat="1" x14ac:dyDescent="0.25">
      <c r="A5146" s="22" t="s">
        <v>8</v>
      </c>
      <c r="B5146" s="18" t="str">
        <f>"185378"</f>
        <v>185378</v>
      </c>
      <c r="C5146" s="19" t="s">
        <v>5077</v>
      </c>
      <c r="D5146" s="19" t="s">
        <v>20573</v>
      </c>
      <c r="E5146" s="19" t="s">
        <v>31910</v>
      </c>
      <c r="F5146" s="19" t="s">
        <v>35991</v>
      </c>
      <c r="G5146" s="18" t="str">
        <f>"40066"</f>
        <v>40066</v>
      </c>
      <c r="H5146" s="19" t="s">
        <v>33565</v>
      </c>
      <c r="I5146" s="20">
        <v>18.638000000000002</v>
      </c>
      <c r="J5146" s="44" t="s">
        <v>8</v>
      </c>
      <c r="K5146" s="23" t="s">
        <v>8</v>
      </c>
      <c r="L5146" s="23" t="s">
        <v>8</v>
      </c>
      <c r="M5146" s="23" t="s">
        <v>8</v>
      </c>
    </row>
    <row r="5147" spans="1:13" s="21" customFormat="1" x14ac:dyDescent="0.25">
      <c r="A5147" s="22" t="s">
        <v>8</v>
      </c>
      <c r="B5147" s="18" t="str">
        <f>"185379"</f>
        <v>185379</v>
      </c>
      <c r="C5147" s="19" t="s">
        <v>5078</v>
      </c>
      <c r="D5147" s="19" t="s">
        <v>20574</v>
      </c>
      <c r="E5147" s="19" t="s">
        <v>32757</v>
      </c>
      <c r="F5147" s="19" t="s">
        <v>35991</v>
      </c>
      <c r="G5147" s="18" t="str">
        <f>"41224"</f>
        <v>41224</v>
      </c>
      <c r="H5147" s="19" t="s">
        <v>35168</v>
      </c>
      <c r="I5147" s="20">
        <v>21.762</v>
      </c>
      <c r="J5147" s="44" t="s">
        <v>8</v>
      </c>
      <c r="K5147" s="23" t="s">
        <v>8</v>
      </c>
      <c r="L5147" s="23" t="s">
        <v>8</v>
      </c>
      <c r="M5147" s="23" t="s">
        <v>8</v>
      </c>
    </row>
    <row r="5148" spans="1:13" s="21" customFormat="1" x14ac:dyDescent="0.25">
      <c r="A5148" s="22" t="s">
        <v>8</v>
      </c>
      <c r="B5148" s="18" t="str">
        <f>"185381"</f>
        <v>185381</v>
      </c>
      <c r="C5148" s="19" t="s">
        <v>5079</v>
      </c>
      <c r="D5148" s="19" t="s">
        <v>20575</v>
      </c>
      <c r="E5148" s="19" t="s">
        <v>32758</v>
      </c>
      <c r="F5148" s="19" t="s">
        <v>35991</v>
      </c>
      <c r="G5148" s="18" t="str">
        <f>"42749"</f>
        <v>42749</v>
      </c>
      <c r="H5148" s="19" t="s">
        <v>33145</v>
      </c>
      <c r="I5148" s="20">
        <v>17.175000000000001</v>
      </c>
      <c r="J5148" s="44" t="s">
        <v>8</v>
      </c>
      <c r="K5148" s="23" t="s">
        <v>8</v>
      </c>
      <c r="L5148" s="23" t="s">
        <v>8</v>
      </c>
      <c r="M5148" s="23" t="s">
        <v>8</v>
      </c>
    </row>
    <row r="5149" spans="1:13" s="21" customFormat="1" x14ac:dyDescent="0.25">
      <c r="A5149" s="22" t="s">
        <v>8</v>
      </c>
      <c r="B5149" s="18" t="str">
        <f>"185382"</f>
        <v>185382</v>
      </c>
      <c r="C5149" s="19" t="s">
        <v>5080</v>
      </c>
      <c r="D5149" s="19" t="s">
        <v>20576</v>
      </c>
      <c r="E5149" s="19" t="s">
        <v>32759</v>
      </c>
      <c r="F5149" s="19" t="s">
        <v>35991</v>
      </c>
      <c r="G5149" s="18" t="str">
        <f>"42023"</f>
        <v>42023</v>
      </c>
      <c r="H5149" s="19" t="s">
        <v>31056</v>
      </c>
      <c r="I5149" s="20">
        <v>17.222000000000001</v>
      </c>
      <c r="J5149" s="44" t="s">
        <v>8</v>
      </c>
      <c r="K5149" s="23" t="s">
        <v>8</v>
      </c>
      <c r="L5149" s="23" t="s">
        <v>8</v>
      </c>
      <c r="M5149" s="23" t="s">
        <v>8</v>
      </c>
    </row>
    <row r="5150" spans="1:13" s="21" customFormat="1" x14ac:dyDescent="0.25">
      <c r="A5150" s="22" t="s">
        <v>8</v>
      </c>
      <c r="B5150" s="18" t="str">
        <f>"185383"</f>
        <v>185383</v>
      </c>
      <c r="C5150" s="19" t="s">
        <v>5081</v>
      </c>
      <c r="D5150" s="19" t="s">
        <v>20577</v>
      </c>
      <c r="E5150" s="19" t="s">
        <v>32715</v>
      </c>
      <c r="F5150" s="19" t="s">
        <v>35991</v>
      </c>
      <c r="G5150" s="18" t="str">
        <f>"41075"</f>
        <v>41075</v>
      </c>
      <c r="H5150" s="19" t="s">
        <v>33699</v>
      </c>
      <c r="I5150" s="20">
        <v>26.326000000000001</v>
      </c>
      <c r="J5150" s="44" t="s">
        <v>8</v>
      </c>
      <c r="K5150" s="23" t="s">
        <v>8</v>
      </c>
      <c r="L5150" s="23" t="s">
        <v>8</v>
      </c>
      <c r="M5150" s="23" t="s">
        <v>8</v>
      </c>
    </row>
    <row r="5151" spans="1:13" s="21" customFormat="1" x14ac:dyDescent="0.25">
      <c r="A5151" s="22" t="s">
        <v>8</v>
      </c>
      <c r="B5151" s="18" t="str">
        <f>"185384"</f>
        <v>185384</v>
      </c>
      <c r="C5151" s="19" t="s">
        <v>5082</v>
      </c>
      <c r="D5151" s="19" t="s">
        <v>20578</v>
      </c>
      <c r="E5151" s="19" t="s">
        <v>32697</v>
      </c>
      <c r="F5151" s="19" t="s">
        <v>35991</v>
      </c>
      <c r="G5151" s="18" t="str">
        <f>"40403"</f>
        <v>40403</v>
      </c>
      <c r="H5151" s="19" t="s">
        <v>30899</v>
      </c>
      <c r="I5151" s="20">
        <v>21.401</v>
      </c>
      <c r="J5151" s="44" t="s">
        <v>8</v>
      </c>
      <c r="K5151" s="23" t="s">
        <v>8</v>
      </c>
      <c r="L5151" s="23" t="s">
        <v>8</v>
      </c>
      <c r="M5151" s="23" t="s">
        <v>8</v>
      </c>
    </row>
    <row r="5152" spans="1:13" s="21" customFormat="1" x14ac:dyDescent="0.25">
      <c r="A5152" s="22" t="s">
        <v>8</v>
      </c>
      <c r="B5152" s="18" t="str">
        <f>"185387"</f>
        <v>185387</v>
      </c>
      <c r="C5152" s="19" t="s">
        <v>5083</v>
      </c>
      <c r="D5152" s="19" t="s">
        <v>20579</v>
      </c>
      <c r="E5152" s="19" t="s">
        <v>32695</v>
      </c>
      <c r="F5152" s="19" t="s">
        <v>35991</v>
      </c>
      <c r="G5152" s="18" t="str">
        <f>"42141"</f>
        <v>42141</v>
      </c>
      <c r="H5152" s="19" t="s">
        <v>36321</v>
      </c>
      <c r="I5152" s="20">
        <v>18.759</v>
      </c>
      <c r="J5152" s="44" t="s">
        <v>8</v>
      </c>
      <c r="K5152" s="23" t="s">
        <v>8</v>
      </c>
      <c r="L5152" s="23" t="s">
        <v>8</v>
      </c>
      <c r="M5152" s="23" t="s">
        <v>8</v>
      </c>
    </row>
    <row r="5153" spans="1:13" s="21" customFormat="1" x14ac:dyDescent="0.25">
      <c r="A5153" s="22" t="s">
        <v>8</v>
      </c>
      <c r="B5153" s="18" t="str">
        <f>"185388"</f>
        <v>185388</v>
      </c>
      <c r="C5153" s="19" t="s">
        <v>5084</v>
      </c>
      <c r="D5153" s="19" t="s">
        <v>20580</v>
      </c>
      <c r="E5153" s="19" t="s">
        <v>14170</v>
      </c>
      <c r="F5153" s="19" t="s">
        <v>35991</v>
      </c>
      <c r="G5153" s="18" t="str">
        <f>"40041"</f>
        <v>40041</v>
      </c>
      <c r="H5153" s="19" t="s">
        <v>32391</v>
      </c>
      <c r="I5153" s="20">
        <v>19.635000000000002</v>
      </c>
      <c r="J5153" s="44" t="s">
        <v>8</v>
      </c>
      <c r="K5153" s="23" t="s">
        <v>8</v>
      </c>
      <c r="L5153" s="23" t="s">
        <v>8</v>
      </c>
      <c r="M5153" s="23" t="s">
        <v>8</v>
      </c>
    </row>
    <row r="5154" spans="1:13" s="21" customFormat="1" x14ac:dyDescent="0.25">
      <c r="A5154" s="22" t="s">
        <v>8</v>
      </c>
      <c r="B5154" s="18" t="str">
        <f>"185389"</f>
        <v>185389</v>
      </c>
      <c r="C5154" s="19" t="s">
        <v>5085</v>
      </c>
      <c r="D5154" s="19" t="s">
        <v>20581</v>
      </c>
      <c r="E5154" s="19" t="s">
        <v>32680</v>
      </c>
      <c r="F5154" s="19" t="s">
        <v>35991</v>
      </c>
      <c r="G5154" s="18" t="str">
        <f>"41031"</f>
        <v>41031</v>
      </c>
      <c r="H5154" s="19" t="s">
        <v>31020</v>
      </c>
      <c r="I5154" s="20">
        <v>18.538</v>
      </c>
      <c r="J5154" s="44" t="s">
        <v>8</v>
      </c>
      <c r="K5154" s="23" t="s">
        <v>8</v>
      </c>
      <c r="L5154" s="23" t="s">
        <v>8</v>
      </c>
      <c r="M5154" s="23" t="s">
        <v>8</v>
      </c>
    </row>
    <row r="5155" spans="1:13" s="21" customFormat="1" x14ac:dyDescent="0.25">
      <c r="A5155" s="22" t="s">
        <v>8</v>
      </c>
      <c r="B5155" s="18" t="str">
        <f>"185392"</f>
        <v>185392</v>
      </c>
      <c r="C5155" s="19" t="s">
        <v>5086</v>
      </c>
      <c r="D5155" s="19" t="s">
        <v>20582</v>
      </c>
      <c r="E5155" s="19" t="s">
        <v>30809</v>
      </c>
      <c r="F5155" s="19" t="s">
        <v>35991</v>
      </c>
      <c r="G5155" s="18" t="str">
        <f>"41101"</f>
        <v>41101</v>
      </c>
      <c r="H5155" s="19" t="s">
        <v>36349</v>
      </c>
      <c r="I5155" s="20">
        <v>18.341000000000001</v>
      </c>
      <c r="J5155" s="44" t="s">
        <v>8</v>
      </c>
      <c r="K5155" s="23" t="s">
        <v>8</v>
      </c>
      <c r="L5155" s="23" t="s">
        <v>8</v>
      </c>
      <c r="M5155" s="23" t="s">
        <v>8</v>
      </c>
    </row>
    <row r="5156" spans="1:13" s="21" customFormat="1" x14ac:dyDescent="0.25">
      <c r="A5156" s="22" t="s">
        <v>8</v>
      </c>
      <c r="B5156" s="18" t="str">
        <f>"185394"</f>
        <v>185394</v>
      </c>
      <c r="C5156" s="19" t="s">
        <v>5087</v>
      </c>
      <c r="D5156" s="19" t="s">
        <v>20583</v>
      </c>
      <c r="E5156" s="19" t="s">
        <v>30829</v>
      </c>
      <c r="F5156" s="19" t="s">
        <v>35991</v>
      </c>
      <c r="G5156" s="18" t="str">
        <f>"41042"</f>
        <v>41042</v>
      </c>
      <c r="H5156" s="19" t="s">
        <v>32513</v>
      </c>
      <c r="I5156" s="20">
        <v>19.013000000000002</v>
      </c>
      <c r="J5156" s="44" t="s">
        <v>8</v>
      </c>
      <c r="K5156" s="23" t="s">
        <v>8</v>
      </c>
      <c r="L5156" s="23" t="s">
        <v>8</v>
      </c>
      <c r="M5156" s="23" t="s">
        <v>8</v>
      </c>
    </row>
    <row r="5157" spans="1:13" s="21" customFormat="1" x14ac:dyDescent="0.25">
      <c r="A5157" s="22" t="s">
        <v>8</v>
      </c>
      <c r="B5157" s="18" t="str">
        <f>"185395"</f>
        <v>185395</v>
      </c>
      <c r="C5157" s="19" t="s">
        <v>5088</v>
      </c>
      <c r="D5157" s="19" t="s">
        <v>20584</v>
      </c>
      <c r="E5157" s="19" t="s">
        <v>32689</v>
      </c>
      <c r="F5157" s="19" t="s">
        <v>35991</v>
      </c>
      <c r="G5157" s="18" t="str">
        <f>"42431"</f>
        <v>42431</v>
      </c>
      <c r="H5157" s="19" t="s">
        <v>33374</v>
      </c>
      <c r="I5157" s="20">
        <v>18.315000000000001</v>
      </c>
      <c r="J5157" s="44" t="s">
        <v>8</v>
      </c>
      <c r="K5157" s="23" t="s">
        <v>8</v>
      </c>
      <c r="L5157" s="23" t="s">
        <v>8</v>
      </c>
      <c r="M5157" s="23" t="s">
        <v>8</v>
      </c>
    </row>
    <row r="5158" spans="1:13" s="21" customFormat="1" x14ac:dyDescent="0.25">
      <c r="A5158" s="22" t="s">
        <v>8</v>
      </c>
      <c r="B5158" s="18" t="str">
        <f>"185396"</f>
        <v>185396</v>
      </c>
      <c r="C5158" s="19" t="s">
        <v>5089</v>
      </c>
      <c r="D5158" s="19" t="s">
        <v>20585</v>
      </c>
      <c r="E5158" s="19" t="s">
        <v>32694</v>
      </c>
      <c r="F5158" s="19" t="s">
        <v>35991</v>
      </c>
      <c r="G5158" s="18" t="str">
        <f>"42303"</f>
        <v>42303</v>
      </c>
      <c r="H5158" s="19" t="s">
        <v>36258</v>
      </c>
      <c r="I5158" s="20">
        <v>16.437999999999999</v>
      </c>
      <c r="J5158" s="44" t="s">
        <v>8</v>
      </c>
      <c r="K5158" s="23" t="s">
        <v>8</v>
      </c>
      <c r="L5158" s="23" t="s">
        <v>8</v>
      </c>
      <c r="M5158" s="23" t="s">
        <v>8</v>
      </c>
    </row>
    <row r="5159" spans="1:13" s="21" customFormat="1" x14ac:dyDescent="0.25">
      <c r="A5159" s="22" t="s">
        <v>8</v>
      </c>
      <c r="B5159" s="18" t="str">
        <f>"185399"</f>
        <v>185399</v>
      </c>
      <c r="C5159" s="19" t="s">
        <v>5090</v>
      </c>
      <c r="D5159" s="19" t="s">
        <v>20586</v>
      </c>
      <c r="E5159" s="19" t="s">
        <v>32760</v>
      </c>
      <c r="F5159" s="19" t="s">
        <v>35991</v>
      </c>
      <c r="G5159" s="18" t="str">
        <f>"42351"</f>
        <v>42351</v>
      </c>
      <c r="H5159" s="19" t="s">
        <v>33144</v>
      </c>
      <c r="I5159" s="20">
        <v>20.154</v>
      </c>
      <c r="J5159" s="44" t="s">
        <v>8</v>
      </c>
      <c r="K5159" s="23" t="s">
        <v>8</v>
      </c>
      <c r="L5159" s="23" t="s">
        <v>8</v>
      </c>
      <c r="M5159" s="23" t="s">
        <v>8</v>
      </c>
    </row>
    <row r="5160" spans="1:13" s="21" customFormat="1" x14ac:dyDescent="0.25">
      <c r="A5160" s="22" t="s">
        <v>8</v>
      </c>
      <c r="B5160" s="18" t="str">
        <f>"185400"</f>
        <v>185400</v>
      </c>
      <c r="C5160" s="19" t="s">
        <v>5091</v>
      </c>
      <c r="D5160" s="19" t="s">
        <v>20587</v>
      </c>
      <c r="E5160" s="19" t="s">
        <v>32761</v>
      </c>
      <c r="F5160" s="19" t="s">
        <v>35991</v>
      </c>
      <c r="G5160" s="18" t="str">
        <f>"42220"</f>
        <v>42220</v>
      </c>
      <c r="H5160" s="19" t="s">
        <v>36350</v>
      </c>
      <c r="I5160" s="20">
        <v>17.091999999999999</v>
      </c>
      <c r="J5160" s="44" t="s">
        <v>8</v>
      </c>
      <c r="K5160" s="23" t="s">
        <v>8</v>
      </c>
      <c r="L5160" s="23" t="s">
        <v>8</v>
      </c>
      <c r="M5160" s="23" t="s">
        <v>8</v>
      </c>
    </row>
    <row r="5161" spans="1:13" s="21" customFormat="1" x14ac:dyDescent="0.25">
      <c r="A5161" s="22" t="s">
        <v>8</v>
      </c>
      <c r="B5161" s="18" t="str">
        <f>"185401"</f>
        <v>185401</v>
      </c>
      <c r="C5161" s="19" t="s">
        <v>5092</v>
      </c>
      <c r="D5161" s="19" t="s">
        <v>20588</v>
      </c>
      <c r="E5161" s="19" t="s">
        <v>32762</v>
      </c>
      <c r="F5161" s="19" t="s">
        <v>35991</v>
      </c>
      <c r="G5161" s="18" t="str">
        <f>"42210"</f>
        <v>42210</v>
      </c>
      <c r="H5161" s="19" t="s">
        <v>36351</v>
      </c>
      <c r="I5161" s="20">
        <v>16.966000000000001</v>
      </c>
      <c r="J5161" s="44" t="s">
        <v>8</v>
      </c>
      <c r="K5161" s="23" t="s">
        <v>8</v>
      </c>
      <c r="L5161" s="23" t="s">
        <v>8</v>
      </c>
      <c r="M5161" s="23" t="s">
        <v>8</v>
      </c>
    </row>
    <row r="5162" spans="1:13" s="21" customFormat="1" x14ac:dyDescent="0.25">
      <c r="A5162" s="22" t="s">
        <v>8</v>
      </c>
      <c r="B5162" s="18" t="str">
        <f>"185402"</f>
        <v>185402</v>
      </c>
      <c r="C5162" s="19" t="s">
        <v>5093</v>
      </c>
      <c r="D5162" s="19" t="s">
        <v>20589</v>
      </c>
      <c r="E5162" s="19" t="s">
        <v>32699</v>
      </c>
      <c r="F5162" s="19" t="s">
        <v>35991</v>
      </c>
      <c r="G5162" s="18" t="str">
        <f>"42420"</f>
        <v>42420</v>
      </c>
      <c r="H5162" s="19" t="s">
        <v>32699</v>
      </c>
      <c r="I5162" s="20">
        <v>20.707999999999998</v>
      </c>
      <c r="J5162" s="44" t="s">
        <v>8</v>
      </c>
      <c r="K5162" s="23" t="s">
        <v>8</v>
      </c>
      <c r="L5162" s="23" t="s">
        <v>8</v>
      </c>
      <c r="M5162" s="23" t="s">
        <v>8</v>
      </c>
    </row>
    <row r="5163" spans="1:13" s="21" customFormat="1" x14ac:dyDescent="0.25">
      <c r="A5163" s="22" t="s">
        <v>8</v>
      </c>
      <c r="B5163" s="18" t="str">
        <f>"185405"</f>
        <v>185405</v>
      </c>
      <c r="C5163" s="19" t="s">
        <v>5094</v>
      </c>
      <c r="D5163" s="19" t="s">
        <v>20590</v>
      </c>
      <c r="E5163" s="19" t="s">
        <v>30981</v>
      </c>
      <c r="F5163" s="19" t="s">
        <v>35991</v>
      </c>
      <c r="G5163" s="18" t="str">
        <f>"40422"</f>
        <v>40422</v>
      </c>
      <c r="H5163" s="19" t="s">
        <v>36323</v>
      </c>
      <c r="I5163" s="20">
        <v>21.991</v>
      </c>
      <c r="J5163" s="44" t="s">
        <v>8</v>
      </c>
      <c r="K5163" s="23" t="s">
        <v>8</v>
      </c>
      <c r="L5163" s="23" t="s">
        <v>8</v>
      </c>
      <c r="M5163" s="23" t="s">
        <v>8</v>
      </c>
    </row>
    <row r="5164" spans="1:13" s="21" customFormat="1" x14ac:dyDescent="0.25">
      <c r="A5164" s="22" t="s">
        <v>8</v>
      </c>
      <c r="B5164" s="18" t="str">
        <f>"185407"</f>
        <v>185407</v>
      </c>
      <c r="C5164" s="19" t="s">
        <v>5095</v>
      </c>
      <c r="D5164" s="19" t="s">
        <v>20591</v>
      </c>
      <c r="E5164" s="19" t="s">
        <v>32705</v>
      </c>
      <c r="F5164" s="19" t="s">
        <v>35991</v>
      </c>
      <c r="G5164" s="18" t="str">
        <f>"42502"</f>
        <v>42502</v>
      </c>
      <c r="H5164" s="19" t="s">
        <v>31795</v>
      </c>
      <c r="I5164" s="20">
        <v>18.271000000000001</v>
      </c>
      <c r="J5164" s="44" t="s">
        <v>8</v>
      </c>
      <c r="K5164" s="23" t="s">
        <v>8</v>
      </c>
      <c r="L5164" s="23" t="s">
        <v>8</v>
      </c>
      <c r="M5164" s="23" t="s">
        <v>8</v>
      </c>
    </row>
    <row r="5165" spans="1:13" s="21" customFormat="1" x14ac:dyDescent="0.25">
      <c r="A5165" s="22" t="s">
        <v>8</v>
      </c>
      <c r="B5165" s="18" t="str">
        <f>"185408"</f>
        <v>185408</v>
      </c>
      <c r="C5165" s="19" t="s">
        <v>5096</v>
      </c>
      <c r="D5165" s="19" t="s">
        <v>20592</v>
      </c>
      <c r="E5165" s="19" t="s">
        <v>32284</v>
      </c>
      <c r="F5165" s="19" t="s">
        <v>35991</v>
      </c>
      <c r="G5165" s="18" t="str">
        <f>"42539"</f>
        <v>42539</v>
      </c>
      <c r="H5165" s="19" t="s">
        <v>31989</v>
      </c>
      <c r="I5165" s="20">
        <v>20.332000000000001</v>
      </c>
      <c r="J5165" s="44" t="s">
        <v>8</v>
      </c>
      <c r="K5165" s="23" t="s">
        <v>8</v>
      </c>
      <c r="L5165" s="23" t="s">
        <v>8</v>
      </c>
      <c r="M5165" s="23" t="s">
        <v>8</v>
      </c>
    </row>
    <row r="5166" spans="1:13" s="21" customFormat="1" x14ac:dyDescent="0.25">
      <c r="A5166" s="22" t="s">
        <v>8</v>
      </c>
      <c r="B5166" s="18" t="str">
        <f>"185409"</f>
        <v>185409</v>
      </c>
      <c r="C5166" s="19" t="s">
        <v>5097</v>
      </c>
      <c r="D5166" s="19" t="s">
        <v>20593</v>
      </c>
      <c r="E5166" s="19" t="s">
        <v>31910</v>
      </c>
      <c r="F5166" s="19" t="s">
        <v>35991</v>
      </c>
      <c r="G5166" s="18" t="str">
        <f>"40065"</f>
        <v>40065</v>
      </c>
      <c r="H5166" s="19" t="s">
        <v>33565</v>
      </c>
      <c r="I5166" s="20">
        <v>18.007000000000001</v>
      </c>
      <c r="J5166" s="44" t="s">
        <v>8</v>
      </c>
      <c r="K5166" s="23" t="s">
        <v>8</v>
      </c>
      <c r="L5166" s="23" t="s">
        <v>8</v>
      </c>
      <c r="M5166" s="23" t="s">
        <v>8</v>
      </c>
    </row>
    <row r="5167" spans="1:13" s="21" customFormat="1" x14ac:dyDescent="0.25">
      <c r="A5167" s="22" t="s">
        <v>8</v>
      </c>
      <c r="B5167" s="18" t="str">
        <f>"185410"</f>
        <v>185410</v>
      </c>
      <c r="C5167" s="19" t="s">
        <v>5098</v>
      </c>
      <c r="D5167" s="19" t="s">
        <v>20594</v>
      </c>
      <c r="E5167" s="19" t="s">
        <v>32744</v>
      </c>
      <c r="F5167" s="19" t="s">
        <v>35991</v>
      </c>
      <c r="G5167" s="18" t="str">
        <f>"42055"</f>
        <v>42055</v>
      </c>
      <c r="H5167" s="19" t="s">
        <v>36274</v>
      </c>
      <c r="I5167" s="20">
        <v>17</v>
      </c>
      <c r="J5167" s="44" t="s">
        <v>8</v>
      </c>
      <c r="K5167" s="23" t="s">
        <v>8</v>
      </c>
      <c r="L5167" s="23" t="s">
        <v>8</v>
      </c>
      <c r="M5167" s="23" t="s">
        <v>8</v>
      </c>
    </row>
    <row r="5168" spans="1:13" s="21" customFormat="1" x14ac:dyDescent="0.25">
      <c r="A5168" s="22" t="s">
        <v>8</v>
      </c>
      <c r="B5168" s="18" t="str">
        <f>"185414"</f>
        <v>185414</v>
      </c>
      <c r="C5168" s="19" t="s">
        <v>5099</v>
      </c>
      <c r="D5168" s="19" t="s">
        <v>20595</v>
      </c>
      <c r="E5168" s="19" t="s">
        <v>32763</v>
      </c>
      <c r="F5168" s="19" t="s">
        <v>35991</v>
      </c>
      <c r="G5168" s="18" t="str">
        <f>"41240"</f>
        <v>41240</v>
      </c>
      <c r="H5168" s="19" t="s">
        <v>36072</v>
      </c>
      <c r="I5168" s="20">
        <v>18.297999999999998</v>
      </c>
      <c r="J5168" s="44" t="s">
        <v>8</v>
      </c>
      <c r="K5168" s="23" t="s">
        <v>8</v>
      </c>
      <c r="L5168" s="23" t="s">
        <v>8</v>
      </c>
      <c r="M5168" s="23" t="s">
        <v>8</v>
      </c>
    </row>
    <row r="5169" spans="1:13" s="21" customFormat="1" x14ac:dyDescent="0.25">
      <c r="A5169" s="22" t="s">
        <v>8</v>
      </c>
      <c r="B5169" s="18" t="str">
        <f>"185415"</f>
        <v>185415</v>
      </c>
      <c r="C5169" s="19" t="s">
        <v>5100</v>
      </c>
      <c r="D5169" s="19" t="s">
        <v>20596</v>
      </c>
      <c r="E5169" s="19" t="s">
        <v>32764</v>
      </c>
      <c r="F5169" s="19" t="s">
        <v>35991</v>
      </c>
      <c r="G5169" s="18" t="str">
        <f>"41171"</f>
        <v>41171</v>
      </c>
      <c r="H5169" s="19" t="s">
        <v>36352</v>
      </c>
      <c r="I5169" s="20">
        <v>18.928999999999998</v>
      </c>
      <c r="J5169" s="44" t="s">
        <v>8</v>
      </c>
      <c r="K5169" s="23" t="s">
        <v>8</v>
      </c>
      <c r="L5169" s="23" t="s">
        <v>8</v>
      </c>
      <c r="M5169" s="23" t="s">
        <v>8</v>
      </c>
    </row>
    <row r="5170" spans="1:13" s="21" customFormat="1" x14ac:dyDescent="0.25">
      <c r="A5170" s="22" t="s">
        <v>8</v>
      </c>
      <c r="B5170" s="18" t="str">
        <f>"185416"</f>
        <v>185416</v>
      </c>
      <c r="C5170" s="19" t="s">
        <v>5101</v>
      </c>
      <c r="D5170" s="19" t="s">
        <v>20597</v>
      </c>
      <c r="E5170" s="19" t="s">
        <v>32709</v>
      </c>
      <c r="F5170" s="19" t="s">
        <v>35991</v>
      </c>
      <c r="G5170" s="18" t="str">
        <f>"42003"</f>
        <v>42003</v>
      </c>
      <c r="H5170" s="19" t="s">
        <v>36328</v>
      </c>
      <c r="I5170" s="20">
        <v>17.847999999999999</v>
      </c>
      <c r="J5170" s="44" t="s">
        <v>8</v>
      </c>
      <c r="K5170" s="23" t="s">
        <v>8</v>
      </c>
      <c r="L5170" s="23" t="s">
        <v>8</v>
      </c>
      <c r="M5170" s="23" t="s">
        <v>8</v>
      </c>
    </row>
    <row r="5171" spans="1:13" s="21" customFormat="1" x14ac:dyDescent="0.25">
      <c r="A5171" s="22" t="s">
        <v>8</v>
      </c>
      <c r="B5171" s="18" t="str">
        <f>"185418"</f>
        <v>185418</v>
      </c>
      <c r="C5171" s="19" t="s">
        <v>5102</v>
      </c>
      <c r="D5171" s="19" t="s">
        <v>20598</v>
      </c>
      <c r="E5171" s="19" t="s">
        <v>30809</v>
      </c>
      <c r="F5171" s="19" t="s">
        <v>35991</v>
      </c>
      <c r="G5171" s="18" t="str">
        <f>"41102"</f>
        <v>41102</v>
      </c>
      <c r="H5171" s="19" t="s">
        <v>36349</v>
      </c>
      <c r="I5171" s="20">
        <v>21.664999999999999</v>
      </c>
      <c r="J5171" s="44" t="s">
        <v>8</v>
      </c>
      <c r="K5171" s="23" t="s">
        <v>8</v>
      </c>
      <c r="L5171" s="23" t="s">
        <v>8</v>
      </c>
      <c r="M5171" s="23" t="s">
        <v>8</v>
      </c>
    </row>
    <row r="5172" spans="1:13" s="21" customFormat="1" x14ac:dyDescent="0.25">
      <c r="A5172" s="22" t="s">
        <v>8</v>
      </c>
      <c r="B5172" s="18" t="str">
        <f>"185419"</f>
        <v>185419</v>
      </c>
      <c r="C5172" s="19" t="s">
        <v>4872</v>
      </c>
      <c r="D5172" s="19" t="s">
        <v>20599</v>
      </c>
      <c r="E5172" s="19" t="s">
        <v>32684</v>
      </c>
      <c r="F5172" s="19" t="s">
        <v>35991</v>
      </c>
      <c r="G5172" s="18" t="str">
        <f>"42104"</f>
        <v>42104</v>
      </c>
      <c r="H5172" s="19" t="s">
        <v>31025</v>
      </c>
      <c r="I5172" s="20">
        <v>18.718</v>
      </c>
      <c r="J5172" s="44" t="s">
        <v>8</v>
      </c>
      <c r="K5172" s="23" t="s">
        <v>8</v>
      </c>
      <c r="L5172" s="23" t="s">
        <v>8</v>
      </c>
      <c r="M5172" s="23" t="s">
        <v>8</v>
      </c>
    </row>
    <row r="5173" spans="1:13" s="21" customFormat="1" x14ac:dyDescent="0.25">
      <c r="A5173" s="22" t="s">
        <v>8</v>
      </c>
      <c r="B5173" s="18" t="str">
        <f>"185422"</f>
        <v>185422</v>
      </c>
      <c r="C5173" s="19" t="s">
        <v>5103</v>
      </c>
      <c r="D5173" s="19" t="s">
        <v>20600</v>
      </c>
      <c r="E5173" s="19" t="s">
        <v>32702</v>
      </c>
      <c r="F5173" s="19" t="s">
        <v>35991</v>
      </c>
      <c r="G5173" s="18" t="str">
        <f>"40004"</f>
        <v>40004</v>
      </c>
      <c r="H5173" s="19" t="s">
        <v>36324</v>
      </c>
      <c r="I5173" s="20">
        <v>15.388999999999999</v>
      </c>
      <c r="J5173" s="44" t="s">
        <v>8</v>
      </c>
      <c r="K5173" s="23" t="s">
        <v>8</v>
      </c>
      <c r="L5173" s="23" t="s">
        <v>8</v>
      </c>
      <c r="M5173" s="23" t="s">
        <v>8</v>
      </c>
    </row>
    <row r="5174" spans="1:13" s="21" customFormat="1" x14ac:dyDescent="0.25">
      <c r="A5174" s="22" t="s">
        <v>8</v>
      </c>
      <c r="B5174" s="18" t="str">
        <f>"185423"</f>
        <v>185423</v>
      </c>
      <c r="C5174" s="19" t="s">
        <v>5104</v>
      </c>
      <c r="D5174" s="19" t="s">
        <v>20601</v>
      </c>
      <c r="E5174" s="19" t="s">
        <v>32765</v>
      </c>
      <c r="F5174" s="19" t="s">
        <v>35991</v>
      </c>
      <c r="G5174" s="18" t="str">
        <f>"40322"</f>
        <v>40322</v>
      </c>
      <c r="H5174" s="19" t="s">
        <v>36353</v>
      </c>
      <c r="I5174" s="20">
        <v>19.260000000000002</v>
      </c>
      <c r="J5174" s="44" t="s">
        <v>8</v>
      </c>
      <c r="K5174" s="23" t="s">
        <v>8</v>
      </c>
      <c r="L5174" s="23" t="s">
        <v>8</v>
      </c>
      <c r="M5174" s="23" t="s">
        <v>8</v>
      </c>
    </row>
    <row r="5175" spans="1:13" s="21" customFormat="1" x14ac:dyDescent="0.25">
      <c r="A5175" s="22" t="s">
        <v>8</v>
      </c>
      <c r="B5175" s="18" t="str">
        <f>"185427"</f>
        <v>185427</v>
      </c>
      <c r="C5175" s="19" t="s">
        <v>5105</v>
      </c>
      <c r="D5175" s="19" t="s">
        <v>20602</v>
      </c>
      <c r="E5175" s="19" t="s">
        <v>32698</v>
      </c>
      <c r="F5175" s="19" t="s">
        <v>35991</v>
      </c>
      <c r="G5175" s="18" t="str">
        <f>"42701"</f>
        <v>42701</v>
      </c>
      <c r="H5175" s="19" t="s">
        <v>32124</v>
      </c>
      <c r="I5175" s="20">
        <v>18.396000000000001</v>
      </c>
      <c r="J5175" s="44" t="s">
        <v>8</v>
      </c>
      <c r="K5175" s="23" t="s">
        <v>8</v>
      </c>
      <c r="L5175" s="23" t="s">
        <v>8</v>
      </c>
      <c r="M5175" s="23" t="s">
        <v>8</v>
      </c>
    </row>
    <row r="5176" spans="1:13" s="21" customFormat="1" x14ac:dyDescent="0.25">
      <c r="A5176" s="22" t="s">
        <v>8</v>
      </c>
      <c r="B5176" s="18" t="str">
        <f>"185428"</f>
        <v>185428</v>
      </c>
      <c r="C5176" s="19" t="s">
        <v>5106</v>
      </c>
      <c r="D5176" s="19" t="s">
        <v>20603</v>
      </c>
      <c r="E5176" s="19" t="s">
        <v>32175</v>
      </c>
      <c r="F5176" s="19" t="s">
        <v>35991</v>
      </c>
      <c r="G5176" s="18" t="str">
        <f>"40391"</f>
        <v>40391</v>
      </c>
      <c r="H5176" s="19" t="s">
        <v>33967</v>
      </c>
      <c r="I5176" s="20">
        <v>19.059999999999999</v>
      </c>
      <c r="J5176" s="44" t="s">
        <v>8</v>
      </c>
      <c r="K5176" s="23" t="s">
        <v>8</v>
      </c>
      <c r="L5176" s="23" t="s">
        <v>8</v>
      </c>
      <c r="M5176" s="23" t="s">
        <v>8</v>
      </c>
    </row>
    <row r="5177" spans="1:13" s="21" customFormat="1" x14ac:dyDescent="0.25">
      <c r="A5177" s="22" t="s">
        <v>8</v>
      </c>
      <c r="B5177" s="18" t="str">
        <f>"185430"</f>
        <v>185430</v>
      </c>
      <c r="C5177" s="19" t="s">
        <v>5107</v>
      </c>
      <c r="D5177" s="19" t="s">
        <v>20604</v>
      </c>
      <c r="E5177" s="19" t="s">
        <v>32706</v>
      </c>
      <c r="F5177" s="19" t="s">
        <v>35991</v>
      </c>
      <c r="G5177" s="18" t="str">
        <f>"40351"</f>
        <v>40351</v>
      </c>
      <c r="H5177" s="19" t="s">
        <v>36326</v>
      </c>
      <c r="I5177" s="20">
        <v>20.266999999999999</v>
      </c>
      <c r="J5177" s="44" t="s">
        <v>8</v>
      </c>
      <c r="K5177" s="23" t="s">
        <v>8</v>
      </c>
      <c r="L5177" s="23" t="s">
        <v>8</v>
      </c>
      <c r="M5177" s="23" t="s">
        <v>8</v>
      </c>
    </row>
    <row r="5178" spans="1:13" s="21" customFormat="1" x14ac:dyDescent="0.25">
      <c r="A5178" s="22" t="s">
        <v>8</v>
      </c>
      <c r="B5178" s="18" t="str">
        <f>"185433"</f>
        <v>185433</v>
      </c>
      <c r="C5178" s="19" t="s">
        <v>5108</v>
      </c>
      <c r="D5178" s="19" t="s">
        <v>20605</v>
      </c>
      <c r="E5178" s="19" t="s">
        <v>32766</v>
      </c>
      <c r="F5178" s="19" t="s">
        <v>35991</v>
      </c>
      <c r="G5178" s="18" t="str">
        <f>"40823"</f>
        <v>40823</v>
      </c>
      <c r="H5178" s="19" t="s">
        <v>32467</v>
      </c>
      <c r="I5178" s="20">
        <v>23.103000000000002</v>
      </c>
      <c r="J5178" s="44" t="s">
        <v>8</v>
      </c>
      <c r="K5178" s="23" t="s">
        <v>8</v>
      </c>
      <c r="L5178" s="23" t="s">
        <v>8</v>
      </c>
      <c r="M5178" s="23" t="s">
        <v>8</v>
      </c>
    </row>
    <row r="5179" spans="1:13" s="21" customFormat="1" x14ac:dyDescent="0.25">
      <c r="A5179" s="22" t="s">
        <v>8</v>
      </c>
      <c r="B5179" s="18" t="str">
        <f>"185434"</f>
        <v>185434</v>
      </c>
      <c r="C5179" s="19" t="s">
        <v>5109</v>
      </c>
      <c r="D5179" s="19" t="s">
        <v>20606</v>
      </c>
      <c r="E5179" s="19" t="s">
        <v>32681</v>
      </c>
      <c r="F5179" s="19" t="s">
        <v>35991</v>
      </c>
      <c r="G5179" s="18" t="str">
        <f>"40702"</f>
        <v>40702</v>
      </c>
      <c r="H5179" s="19" t="s">
        <v>36254</v>
      </c>
      <c r="I5179" s="20">
        <v>21.501999999999999</v>
      </c>
      <c r="J5179" s="44" t="s">
        <v>8</v>
      </c>
      <c r="K5179" s="23" t="s">
        <v>8</v>
      </c>
      <c r="L5179" s="23" t="s">
        <v>8</v>
      </c>
      <c r="M5179" s="23" t="s">
        <v>8</v>
      </c>
    </row>
    <row r="5180" spans="1:13" s="21" customFormat="1" x14ac:dyDescent="0.25">
      <c r="A5180" s="22" t="s">
        <v>8</v>
      </c>
      <c r="B5180" s="18" t="str">
        <f>"185435"</f>
        <v>185435</v>
      </c>
      <c r="C5180" s="19" t="s">
        <v>5110</v>
      </c>
      <c r="D5180" s="19" t="s">
        <v>20607</v>
      </c>
      <c r="E5180" s="19" t="s">
        <v>32684</v>
      </c>
      <c r="F5180" s="19" t="s">
        <v>35991</v>
      </c>
      <c r="G5180" s="18" t="str">
        <f>"42104"</f>
        <v>42104</v>
      </c>
      <c r="H5180" s="19" t="s">
        <v>31025</v>
      </c>
      <c r="I5180" s="20">
        <v>18.204000000000001</v>
      </c>
      <c r="J5180" s="44" t="s">
        <v>8</v>
      </c>
      <c r="K5180" s="23" t="s">
        <v>8</v>
      </c>
      <c r="L5180" s="23" t="s">
        <v>8</v>
      </c>
      <c r="M5180" s="23" t="s">
        <v>8</v>
      </c>
    </row>
    <row r="5181" spans="1:13" s="21" customFormat="1" x14ac:dyDescent="0.25">
      <c r="A5181" s="22" t="s">
        <v>8</v>
      </c>
      <c r="B5181" s="18" t="str">
        <f>"185436"</f>
        <v>185436</v>
      </c>
      <c r="C5181" s="19" t="s">
        <v>5111</v>
      </c>
      <c r="D5181" s="19" t="s">
        <v>20608</v>
      </c>
      <c r="E5181" s="19" t="s">
        <v>32694</v>
      </c>
      <c r="F5181" s="19" t="s">
        <v>35991</v>
      </c>
      <c r="G5181" s="18" t="str">
        <f>"42303"</f>
        <v>42303</v>
      </c>
      <c r="H5181" s="19" t="s">
        <v>36258</v>
      </c>
      <c r="I5181" s="20">
        <v>18.247</v>
      </c>
      <c r="J5181" s="44" t="s">
        <v>8</v>
      </c>
      <c r="K5181" s="23" t="s">
        <v>8</v>
      </c>
      <c r="L5181" s="23" t="s">
        <v>8</v>
      </c>
      <c r="M5181" s="23" t="s">
        <v>8</v>
      </c>
    </row>
    <row r="5182" spans="1:13" s="21" customFormat="1" x14ac:dyDescent="0.25">
      <c r="A5182" s="22" t="s">
        <v>8</v>
      </c>
      <c r="B5182" s="18" t="str">
        <f>"185437"</f>
        <v>185437</v>
      </c>
      <c r="C5182" s="19" t="s">
        <v>5112</v>
      </c>
      <c r="D5182" s="19" t="s">
        <v>20609</v>
      </c>
      <c r="E5182" s="19" t="s">
        <v>32035</v>
      </c>
      <c r="F5182" s="19" t="s">
        <v>35991</v>
      </c>
      <c r="G5182" s="18" t="str">
        <f>"40033"</f>
        <v>40033</v>
      </c>
      <c r="H5182" s="19" t="s">
        <v>30850</v>
      </c>
      <c r="I5182" s="20">
        <v>17.55</v>
      </c>
      <c r="J5182" s="44" t="s">
        <v>8</v>
      </c>
      <c r="K5182" s="23" t="s">
        <v>8</v>
      </c>
      <c r="L5182" s="23" t="s">
        <v>8</v>
      </c>
      <c r="M5182" s="23" t="s">
        <v>8</v>
      </c>
    </row>
    <row r="5183" spans="1:13" s="21" customFormat="1" x14ac:dyDescent="0.25">
      <c r="A5183" s="22" t="s">
        <v>8</v>
      </c>
      <c r="B5183" s="18" t="str">
        <f>"185438"</f>
        <v>185438</v>
      </c>
      <c r="C5183" s="19" t="s">
        <v>5113</v>
      </c>
      <c r="D5183" s="19" t="s">
        <v>20610</v>
      </c>
      <c r="E5183" s="19" t="s">
        <v>32087</v>
      </c>
      <c r="F5183" s="19" t="s">
        <v>35991</v>
      </c>
      <c r="G5183" s="18" t="str">
        <f>"40031"</f>
        <v>40031</v>
      </c>
      <c r="H5183" s="19" t="s">
        <v>36329</v>
      </c>
      <c r="I5183" s="20">
        <v>21.274000000000001</v>
      </c>
      <c r="J5183" s="44" t="s">
        <v>8</v>
      </c>
      <c r="K5183" s="23" t="s">
        <v>8</v>
      </c>
      <c r="L5183" s="23" t="s">
        <v>8</v>
      </c>
      <c r="M5183" s="23" t="s">
        <v>8</v>
      </c>
    </row>
    <row r="5184" spans="1:13" s="21" customFormat="1" x14ac:dyDescent="0.25">
      <c r="A5184" s="22" t="s">
        <v>8</v>
      </c>
      <c r="B5184" s="18" t="str">
        <f>"185440"</f>
        <v>185440</v>
      </c>
      <c r="C5184" s="19" t="s">
        <v>5114</v>
      </c>
      <c r="D5184" s="19" t="s">
        <v>20611</v>
      </c>
      <c r="E5184" s="19" t="s">
        <v>32767</v>
      </c>
      <c r="F5184" s="19" t="s">
        <v>35991</v>
      </c>
      <c r="G5184" s="18" t="str">
        <f>"41018"</f>
        <v>41018</v>
      </c>
      <c r="H5184" s="19" t="s">
        <v>34545</v>
      </c>
      <c r="I5184" s="20">
        <v>17.358000000000001</v>
      </c>
      <c r="J5184" s="44" t="s">
        <v>8</v>
      </c>
      <c r="K5184" s="23" t="s">
        <v>8</v>
      </c>
      <c r="L5184" s="23" t="s">
        <v>8</v>
      </c>
      <c r="M5184" s="23" t="s">
        <v>8</v>
      </c>
    </row>
    <row r="5185" spans="1:13" s="21" customFormat="1" x14ac:dyDescent="0.25">
      <c r="A5185" s="22" t="s">
        <v>8</v>
      </c>
      <c r="B5185" s="18" t="str">
        <f>"185442"</f>
        <v>185442</v>
      </c>
      <c r="C5185" s="19" t="s">
        <v>5115</v>
      </c>
      <c r="D5185" s="19" t="s">
        <v>20612</v>
      </c>
      <c r="E5185" s="19" t="s">
        <v>31696</v>
      </c>
      <c r="F5185" s="19" t="s">
        <v>35991</v>
      </c>
      <c r="G5185" s="18" t="str">
        <f>"40206"</f>
        <v>40206</v>
      </c>
      <c r="H5185" s="19" t="s">
        <v>32391</v>
      </c>
      <c r="I5185" s="20">
        <v>17.167000000000002</v>
      </c>
      <c r="J5185" s="44" t="s">
        <v>8</v>
      </c>
      <c r="K5185" s="23" t="s">
        <v>8</v>
      </c>
      <c r="L5185" s="23" t="s">
        <v>8</v>
      </c>
      <c r="M5185" s="23" t="s">
        <v>8</v>
      </c>
    </row>
    <row r="5186" spans="1:13" s="21" customFormat="1" x14ac:dyDescent="0.25">
      <c r="A5186" s="22" t="s">
        <v>8</v>
      </c>
      <c r="B5186" s="18" t="str">
        <f>"185443"</f>
        <v>185443</v>
      </c>
      <c r="C5186" s="19" t="s">
        <v>5116</v>
      </c>
      <c r="D5186" s="19" t="s">
        <v>20613</v>
      </c>
      <c r="E5186" s="19" t="s">
        <v>32698</v>
      </c>
      <c r="F5186" s="19" t="s">
        <v>35991</v>
      </c>
      <c r="G5186" s="18" t="str">
        <f>"42701"</f>
        <v>42701</v>
      </c>
      <c r="H5186" s="19" t="s">
        <v>32124</v>
      </c>
      <c r="I5186" s="20">
        <v>18.141999999999999</v>
      </c>
      <c r="J5186" s="44" t="s">
        <v>8</v>
      </c>
      <c r="K5186" s="23" t="s">
        <v>8</v>
      </c>
      <c r="L5186" s="23" t="s">
        <v>8</v>
      </c>
      <c r="M5186" s="23" t="s">
        <v>8</v>
      </c>
    </row>
    <row r="5187" spans="1:13" s="21" customFormat="1" x14ac:dyDescent="0.25">
      <c r="A5187" s="22" t="s">
        <v>8</v>
      </c>
      <c r="B5187" s="18" t="str">
        <f>"185444"</f>
        <v>185444</v>
      </c>
      <c r="C5187" s="19" t="s">
        <v>4700</v>
      </c>
      <c r="D5187" s="19" t="s">
        <v>20614</v>
      </c>
      <c r="E5187" s="19" t="s">
        <v>32692</v>
      </c>
      <c r="F5187" s="19" t="s">
        <v>35991</v>
      </c>
      <c r="G5187" s="18" t="str">
        <f>"40504"</f>
        <v>40504</v>
      </c>
      <c r="H5187" s="19" t="s">
        <v>30805</v>
      </c>
      <c r="I5187" s="20">
        <v>19.707999999999998</v>
      </c>
      <c r="J5187" s="44" t="s">
        <v>8</v>
      </c>
      <c r="K5187" s="23" t="s">
        <v>8</v>
      </c>
      <c r="L5187" s="23" t="s">
        <v>8</v>
      </c>
      <c r="M5187" s="23" t="s">
        <v>8</v>
      </c>
    </row>
    <row r="5188" spans="1:13" s="21" customFormat="1" x14ac:dyDescent="0.25">
      <c r="A5188" s="22" t="s">
        <v>8</v>
      </c>
      <c r="B5188" s="18" t="str">
        <f>"185445"</f>
        <v>185445</v>
      </c>
      <c r="C5188" s="19" t="s">
        <v>5117</v>
      </c>
      <c r="D5188" s="19" t="s">
        <v>20615</v>
      </c>
      <c r="E5188" s="19" t="s">
        <v>32768</v>
      </c>
      <c r="F5188" s="19" t="s">
        <v>35991</v>
      </c>
      <c r="G5188" s="18" t="str">
        <f>"41018"</f>
        <v>41018</v>
      </c>
      <c r="H5188" s="19" t="s">
        <v>34545</v>
      </c>
      <c r="I5188" s="20">
        <v>21.814</v>
      </c>
      <c r="J5188" s="44" t="s">
        <v>8</v>
      </c>
      <c r="K5188" s="23" t="s">
        <v>8</v>
      </c>
      <c r="L5188" s="23" t="s">
        <v>8</v>
      </c>
      <c r="M5188" s="23" t="s">
        <v>8</v>
      </c>
    </row>
    <row r="5189" spans="1:13" s="21" customFormat="1" x14ac:dyDescent="0.25">
      <c r="A5189" s="22" t="s">
        <v>8</v>
      </c>
      <c r="B5189" s="18" t="str">
        <f>"185446"</f>
        <v>185446</v>
      </c>
      <c r="C5189" s="19" t="s">
        <v>5118</v>
      </c>
      <c r="D5189" s="19" t="s">
        <v>20616</v>
      </c>
      <c r="E5189" s="19" t="s">
        <v>32692</v>
      </c>
      <c r="F5189" s="19" t="s">
        <v>35991</v>
      </c>
      <c r="G5189" s="18" t="str">
        <f>"40517"</f>
        <v>40517</v>
      </c>
      <c r="H5189" s="19" t="s">
        <v>30805</v>
      </c>
      <c r="I5189" s="20">
        <v>19.234999999999999</v>
      </c>
      <c r="J5189" s="44" t="s">
        <v>8</v>
      </c>
      <c r="K5189" s="23" t="s">
        <v>8</v>
      </c>
      <c r="L5189" s="23" t="s">
        <v>8</v>
      </c>
      <c r="M5189" s="23" t="s">
        <v>8</v>
      </c>
    </row>
    <row r="5190" spans="1:13" s="21" customFormat="1" x14ac:dyDescent="0.25">
      <c r="A5190" s="22" t="s">
        <v>8</v>
      </c>
      <c r="B5190" s="18" t="str">
        <f>"185447"</f>
        <v>185447</v>
      </c>
      <c r="C5190" s="19" t="s">
        <v>5119</v>
      </c>
      <c r="D5190" s="19" t="s">
        <v>20617</v>
      </c>
      <c r="E5190" s="19" t="s">
        <v>32767</v>
      </c>
      <c r="F5190" s="19" t="s">
        <v>35991</v>
      </c>
      <c r="G5190" s="18" t="str">
        <f>"41018"</f>
        <v>41018</v>
      </c>
      <c r="H5190" s="19" t="s">
        <v>34545</v>
      </c>
      <c r="I5190" s="20">
        <v>20.855</v>
      </c>
      <c r="J5190" s="44" t="s">
        <v>8</v>
      </c>
      <c r="K5190" s="23" t="s">
        <v>8</v>
      </c>
      <c r="L5190" s="23" t="s">
        <v>8</v>
      </c>
      <c r="M5190" s="23" t="s">
        <v>8</v>
      </c>
    </row>
    <row r="5191" spans="1:13" s="21" customFormat="1" x14ac:dyDescent="0.25">
      <c r="A5191" s="22" t="s">
        <v>8</v>
      </c>
      <c r="B5191" s="18" t="str">
        <f>"185449"</f>
        <v>185449</v>
      </c>
      <c r="C5191" s="19" t="s">
        <v>5120</v>
      </c>
      <c r="D5191" s="19" t="s">
        <v>20618</v>
      </c>
      <c r="E5191" s="19" t="s">
        <v>30809</v>
      </c>
      <c r="F5191" s="19" t="s">
        <v>35991</v>
      </c>
      <c r="G5191" s="18" t="str">
        <f>"41102"</f>
        <v>41102</v>
      </c>
      <c r="H5191" s="19" t="s">
        <v>36349</v>
      </c>
      <c r="I5191" s="20">
        <v>20.63</v>
      </c>
      <c r="J5191" s="44" t="s">
        <v>8</v>
      </c>
      <c r="K5191" s="23" t="s">
        <v>8</v>
      </c>
      <c r="L5191" s="23" t="s">
        <v>8</v>
      </c>
      <c r="M5191" s="23" t="s">
        <v>8</v>
      </c>
    </row>
    <row r="5192" spans="1:13" s="21" customFormat="1" x14ac:dyDescent="0.25">
      <c r="A5192" s="22" t="s">
        <v>8</v>
      </c>
      <c r="B5192" s="18" t="str">
        <f>"185451"</f>
        <v>185451</v>
      </c>
      <c r="C5192" s="19" t="s">
        <v>5121</v>
      </c>
      <c r="D5192" s="19" t="s">
        <v>20619</v>
      </c>
      <c r="E5192" s="19" t="s">
        <v>31178</v>
      </c>
      <c r="F5192" s="19" t="s">
        <v>35991</v>
      </c>
      <c r="G5192" s="18" t="str">
        <f>"40475"</f>
        <v>40475</v>
      </c>
      <c r="H5192" s="19" t="s">
        <v>30899</v>
      </c>
      <c r="I5192" s="20">
        <v>18.908999999999999</v>
      </c>
      <c r="J5192" s="44" t="s">
        <v>8</v>
      </c>
      <c r="K5192" s="23" t="s">
        <v>8</v>
      </c>
      <c r="L5192" s="23" t="s">
        <v>8</v>
      </c>
      <c r="M5192" s="23" t="s">
        <v>8</v>
      </c>
    </row>
    <row r="5193" spans="1:13" s="21" customFormat="1" x14ac:dyDescent="0.25">
      <c r="A5193" s="22" t="s">
        <v>8</v>
      </c>
      <c r="B5193" s="18" t="str">
        <f>"185455"</f>
        <v>185455</v>
      </c>
      <c r="C5193" s="19" t="s">
        <v>5122</v>
      </c>
      <c r="D5193" s="19" t="s">
        <v>20620</v>
      </c>
      <c r="E5193" s="19" t="s">
        <v>31696</v>
      </c>
      <c r="F5193" s="19" t="s">
        <v>35991</v>
      </c>
      <c r="G5193" s="18" t="str">
        <f>"40245"</f>
        <v>40245</v>
      </c>
      <c r="H5193" s="19" t="s">
        <v>32391</v>
      </c>
      <c r="I5193" s="20">
        <v>17.364999999999998</v>
      </c>
      <c r="J5193" s="44" t="s">
        <v>8</v>
      </c>
      <c r="K5193" s="23" t="s">
        <v>8</v>
      </c>
      <c r="L5193" s="23" t="s">
        <v>8</v>
      </c>
      <c r="M5193" s="23" t="s">
        <v>8</v>
      </c>
    </row>
    <row r="5194" spans="1:13" s="21" customFormat="1" x14ac:dyDescent="0.25">
      <c r="A5194" s="22" t="s">
        <v>8</v>
      </c>
      <c r="B5194" s="18" t="str">
        <f>"185456"</f>
        <v>185456</v>
      </c>
      <c r="C5194" s="19" t="s">
        <v>5123</v>
      </c>
      <c r="D5194" s="19" t="s">
        <v>20621</v>
      </c>
      <c r="E5194" s="19" t="s">
        <v>31696</v>
      </c>
      <c r="F5194" s="19" t="s">
        <v>35991</v>
      </c>
      <c r="G5194" s="18" t="str">
        <f>"40205"</f>
        <v>40205</v>
      </c>
      <c r="H5194" s="19" t="s">
        <v>32391</v>
      </c>
      <c r="I5194" s="20">
        <v>14.798</v>
      </c>
      <c r="J5194" s="44" t="s">
        <v>8</v>
      </c>
      <c r="K5194" s="23" t="s">
        <v>8</v>
      </c>
      <c r="L5194" s="23" t="s">
        <v>8</v>
      </c>
      <c r="M5194" s="23" t="s">
        <v>8</v>
      </c>
    </row>
    <row r="5195" spans="1:13" s="21" customFormat="1" x14ac:dyDescent="0.25">
      <c r="A5195" s="22" t="s">
        <v>8</v>
      </c>
      <c r="B5195" s="18" t="str">
        <f>"185461"</f>
        <v>185461</v>
      </c>
      <c r="C5195" s="19" t="s">
        <v>5124</v>
      </c>
      <c r="D5195" s="19" t="s">
        <v>20622</v>
      </c>
      <c r="E5195" s="19" t="s">
        <v>31696</v>
      </c>
      <c r="F5195" s="19" t="s">
        <v>35991</v>
      </c>
      <c r="G5195" s="18" t="str">
        <f>"40299"</f>
        <v>40299</v>
      </c>
      <c r="H5195" s="19" t="s">
        <v>32391</v>
      </c>
      <c r="I5195" s="20">
        <v>16.844999999999999</v>
      </c>
      <c r="J5195" s="44" t="s">
        <v>8</v>
      </c>
      <c r="K5195" s="23" t="s">
        <v>8</v>
      </c>
      <c r="L5195" s="23" t="s">
        <v>8</v>
      </c>
      <c r="M5195" s="23" t="s">
        <v>8</v>
      </c>
    </row>
    <row r="5196" spans="1:13" s="21" customFormat="1" x14ac:dyDescent="0.25">
      <c r="A5196" s="22" t="s">
        <v>8</v>
      </c>
      <c r="B5196" s="18" t="str">
        <f>"185462"</f>
        <v>185462</v>
      </c>
      <c r="C5196" s="19" t="s">
        <v>5125</v>
      </c>
      <c r="D5196" s="19" t="s">
        <v>20623</v>
      </c>
      <c r="E5196" s="19" t="s">
        <v>31696</v>
      </c>
      <c r="F5196" s="19" t="s">
        <v>35991</v>
      </c>
      <c r="G5196" s="18" t="str">
        <f>"40272"</f>
        <v>40272</v>
      </c>
      <c r="H5196" s="19" t="s">
        <v>32391</v>
      </c>
      <c r="I5196" s="20">
        <v>18.222999999999999</v>
      </c>
      <c r="J5196" s="44" t="s">
        <v>8</v>
      </c>
      <c r="K5196" s="23" t="s">
        <v>8</v>
      </c>
      <c r="L5196" s="23" t="s">
        <v>8</v>
      </c>
      <c r="M5196" s="23" t="s">
        <v>8</v>
      </c>
    </row>
    <row r="5197" spans="1:13" s="21" customFormat="1" x14ac:dyDescent="0.25">
      <c r="A5197" s="22" t="s">
        <v>8</v>
      </c>
      <c r="B5197" s="18" t="str">
        <f>"185463"</f>
        <v>185463</v>
      </c>
      <c r="C5197" s="19" t="s">
        <v>5126</v>
      </c>
      <c r="D5197" s="19" t="s">
        <v>20624</v>
      </c>
      <c r="E5197" s="19" t="s">
        <v>32692</v>
      </c>
      <c r="F5197" s="19" t="s">
        <v>35991</v>
      </c>
      <c r="G5197" s="18" t="str">
        <f>"40509"</f>
        <v>40509</v>
      </c>
      <c r="H5197" s="19" t="s">
        <v>30805</v>
      </c>
      <c r="I5197" s="20">
        <v>19.018999999999998</v>
      </c>
      <c r="J5197" s="44" t="s">
        <v>8</v>
      </c>
      <c r="K5197" s="23" t="s">
        <v>8</v>
      </c>
      <c r="L5197" s="23" t="s">
        <v>8</v>
      </c>
      <c r="M5197" s="23" t="s">
        <v>8</v>
      </c>
    </row>
    <row r="5198" spans="1:13" s="21" customFormat="1" x14ac:dyDescent="0.25">
      <c r="A5198" s="22" t="s">
        <v>8</v>
      </c>
      <c r="B5198" s="18" t="str">
        <f>"185464"</f>
        <v>185464</v>
      </c>
      <c r="C5198" s="19" t="s">
        <v>5127</v>
      </c>
      <c r="D5198" s="19" t="s">
        <v>20625</v>
      </c>
      <c r="E5198" s="19" t="s">
        <v>32769</v>
      </c>
      <c r="F5198" s="19" t="s">
        <v>35991</v>
      </c>
      <c r="G5198" s="18" t="str">
        <f>"40047"</f>
        <v>40047</v>
      </c>
      <c r="H5198" s="19" t="s">
        <v>36354</v>
      </c>
      <c r="I5198" s="20">
        <v>17.902000000000001</v>
      </c>
      <c r="J5198" s="44" t="s">
        <v>8</v>
      </c>
      <c r="K5198" s="23" t="s">
        <v>8</v>
      </c>
      <c r="L5198" s="23" t="s">
        <v>8</v>
      </c>
      <c r="M5198" s="23" t="s">
        <v>8</v>
      </c>
    </row>
    <row r="5199" spans="1:13" s="21" customFormat="1" x14ac:dyDescent="0.25">
      <c r="A5199" s="22" t="s">
        <v>8</v>
      </c>
      <c r="B5199" s="18" t="str">
        <f>"185465"</f>
        <v>185465</v>
      </c>
      <c r="C5199" s="19" t="s">
        <v>5128</v>
      </c>
      <c r="D5199" s="19" t="s">
        <v>20626</v>
      </c>
      <c r="E5199" s="19" t="s">
        <v>32748</v>
      </c>
      <c r="F5199" s="19" t="s">
        <v>35991</v>
      </c>
      <c r="G5199" s="18" t="str">
        <f>"42437"</f>
        <v>42437</v>
      </c>
      <c r="H5199" s="19" t="s">
        <v>33554</v>
      </c>
      <c r="I5199" s="20">
        <v>18.588999999999999</v>
      </c>
      <c r="J5199" s="44" t="s">
        <v>8</v>
      </c>
      <c r="K5199" s="23" t="s">
        <v>8</v>
      </c>
      <c r="L5199" s="23" t="s">
        <v>8</v>
      </c>
      <c r="M5199" s="23" t="s">
        <v>8</v>
      </c>
    </row>
    <row r="5200" spans="1:13" s="21" customFormat="1" x14ac:dyDescent="0.25">
      <c r="A5200" s="22" t="s">
        <v>8</v>
      </c>
      <c r="B5200" s="18" t="str">
        <f>"185466"</f>
        <v>185466</v>
      </c>
      <c r="C5200" s="19" t="s">
        <v>5129</v>
      </c>
      <c r="D5200" s="19" t="s">
        <v>20627</v>
      </c>
      <c r="E5200" s="19" t="s">
        <v>31696</v>
      </c>
      <c r="F5200" s="19" t="s">
        <v>35991</v>
      </c>
      <c r="G5200" s="18" t="str">
        <f>"40207"</f>
        <v>40207</v>
      </c>
      <c r="H5200" s="19" t="s">
        <v>32391</v>
      </c>
      <c r="I5200" s="20">
        <v>19.646999999999998</v>
      </c>
      <c r="J5200" s="44" t="s">
        <v>8</v>
      </c>
      <c r="K5200" s="23" t="s">
        <v>8</v>
      </c>
      <c r="L5200" s="23" t="s">
        <v>8</v>
      </c>
      <c r="M5200" s="23" t="s">
        <v>8</v>
      </c>
    </row>
    <row r="5201" spans="1:13" s="21" customFormat="1" x14ac:dyDescent="0.25">
      <c r="A5201" s="22" t="s">
        <v>8</v>
      </c>
      <c r="B5201" s="18" t="str">
        <f>"185467"</f>
        <v>185467</v>
      </c>
      <c r="C5201" s="19" t="s">
        <v>5130</v>
      </c>
      <c r="D5201" s="19" t="s">
        <v>20628</v>
      </c>
      <c r="E5201" s="19" t="s">
        <v>32692</v>
      </c>
      <c r="F5201" s="19" t="s">
        <v>35991</v>
      </c>
      <c r="G5201" s="18" t="str">
        <f>"40504"</f>
        <v>40504</v>
      </c>
      <c r="H5201" s="19" t="s">
        <v>30805</v>
      </c>
      <c r="I5201" s="20">
        <v>17.302</v>
      </c>
      <c r="J5201" s="44" t="s">
        <v>8</v>
      </c>
      <c r="K5201" s="23" t="s">
        <v>8</v>
      </c>
      <c r="L5201" s="23" t="s">
        <v>8</v>
      </c>
      <c r="M5201" s="23" t="s">
        <v>8</v>
      </c>
    </row>
    <row r="5202" spans="1:13" s="21" customFormat="1" x14ac:dyDescent="0.25">
      <c r="A5202" s="22" t="s">
        <v>8</v>
      </c>
      <c r="B5202" s="18" t="str">
        <f>"185468"</f>
        <v>185468</v>
      </c>
      <c r="C5202" s="19" t="s">
        <v>5131</v>
      </c>
      <c r="D5202" s="19" t="s">
        <v>20629</v>
      </c>
      <c r="E5202" s="19" t="s">
        <v>31696</v>
      </c>
      <c r="F5202" s="19" t="s">
        <v>35991</v>
      </c>
      <c r="G5202" s="18" t="str">
        <f>"40203"</f>
        <v>40203</v>
      </c>
      <c r="H5202" s="19" t="s">
        <v>32391</v>
      </c>
      <c r="I5202" s="20">
        <v>17.436</v>
      </c>
      <c r="J5202" s="44" t="s">
        <v>8</v>
      </c>
      <c r="K5202" s="23" t="s">
        <v>8</v>
      </c>
      <c r="L5202" s="23" t="s">
        <v>8</v>
      </c>
      <c r="M5202" s="23" t="s">
        <v>8</v>
      </c>
    </row>
    <row r="5203" spans="1:13" s="21" customFormat="1" x14ac:dyDescent="0.25">
      <c r="A5203" s="22" t="s">
        <v>8</v>
      </c>
      <c r="B5203" s="18" t="str">
        <f>"185469"</f>
        <v>185469</v>
      </c>
      <c r="C5203" s="19" t="s">
        <v>5132</v>
      </c>
      <c r="D5203" s="19" t="s">
        <v>20630</v>
      </c>
      <c r="E5203" s="19" t="s">
        <v>31081</v>
      </c>
      <c r="F5203" s="19" t="s">
        <v>35991</v>
      </c>
      <c r="G5203" s="18" t="str">
        <f>"42031"</f>
        <v>42031</v>
      </c>
      <c r="H5203" s="19" t="s">
        <v>36343</v>
      </c>
      <c r="I5203" s="20">
        <v>17.681999999999999</v>
      </c>
      <c r="J5203" s="44" t="s">
        <v>8</v>
      </c>
      <c r="K5203" s="23" t="s">
        <v>8</v>
      </c>
      <c r="L5203" s="23" t="s">
        <v>8</v>
      </c>
      <c r="M5203" s="23" t="s">
        <v>8</v>
      </c>
    </row>
    <row r="5204" spans="1:13" s="21" customFormat="1" x14ac:dyDescent="0.25">
      <c r="A5204" s="22" t="s">
        <v>8</v>
      </c>
      <c r="B5204" s="18" t="str">
        <f>"185470"</f>
        <v>185470</v>
      </c>
      <c r="C5204" s="19" t="s">
        <v>5133</v>
      </c>
      <c r="D5204" s="19" t="s">
        <v>20631</v>
      </c>
      <c r="E5204" s="19" t="s">
        <v>32692</v>
      </c>
      <c r="F5204" s="19" t="s">
        <v>35991</v>
      </c>
      <c r="G5204" s="18" t="str">
        <f>"40509"</f>
        <v>40509</v>
      </c>
      <c r="H5204" s="19" t="s">
        <v>30805</v>
      </c>
      <c r="I5204" s="20">
        <v>18.928000000000001</v>
      </c>
      <c r="J5204" s="44" t="s">
        <v>8</v>
      </c>
      <c r="K5204" s="23" t="s">
        <v>8</v>
      </c>
      <c r="L5204" s="23" t="s">
        <v>8</v>
      </c>
      <c r="M5204" s="23" t="s">
        <v>8</v>
      </c>
    </row>
    <row r="5205" spans="1:13" s="21" customFormat="1" x14ac:dyDescent="0.25">
      <c r="A5205" s="22" t="s">
        <v>8</v>
      </c>
      <c r="B5205" s="18" t="str">
        <f>"185471"</f>
        <v>185471</v>
      </c>
      <c r="C5205" s="19" t="s">
        <v>5134</v>
      </c>
      <c r="D5205" s="19" t="s">
        <v>20632</v>
      </c>
      <c r="E5205" s="19" t="s">
        <v>32701</v>
      </c>
      <c r="F5205" s="19" t="s">
        <v>35991</v>
      </c>
      <c r="G5205" s="18" t="str">
        <f>"41701"</f>
        <v>41701</v>
      </c>
      <c r="H5205" s="19" t="s">
        <v>31503</v>
      </c>
      <c r="I5205" s="20">
        <v>20.492000000000001</v>
      </c>
      <c r="J5205" s="44" t="s">
        <v>8</v>
      </c>
      <c r="K5205" s="23" t="s">
        <v>8</v>
      </c>
      <c r="L5205" s="23" t="s">
        <v>8</v>
      </c>
      <c r="M5205" s="23" t="s">
        <v>8</v>
      </c>
    </row>
    <row r="5206" spans="1:13" s="21" customFormat="1" x14ac:dyDescent="0.25">
      <c r="A5206" s="22" t="s">
        <v>8</v>
      </c>
      <c r="B5206" s="18" t="str">
        <f>"185472"</f>
        <v>185472</v>
      </c>
      <c r="C5206" s="19" t="s">
        <v>5135</v>
      </c>
      <c r="D5206" s="19" t="s">
        <v>20633</v>
      </c>
      <c r="E5206" s="19" t="s">
        <v>32770</v>
      </c>
      <c r="F5206" s="19" t="s">
        <v>35991</v>
      </c>
      <c r="G5206" s="18" t="str">
        <f>"42413"</f>
        <v>42413</v>
      </c>
      <c r="H5206" s="19" t="s">
        <v>33374</v>
      </c>
      <c r="I5206" s="20">
        <v>18.297000000000001</v>
      </c>
      <c r="J5206" s="44" t="s">
        <v>8</v>
      </c>
      <c r="K5206" s="23" t="s">
        <v>8</v>
      </c>
      <c r="L5206" s="23" t="s">
        <v>8</v>
      </c>
      <c r="M5206" s="23" t="s">
        <v>8</v>
      </c>
    </row>
    <row r="5207" spans="1:13" s="21" customFormat="1" x14ac:dyDescent="0.25">
      <c r="A5207" s="22" t="s">
        <v>8</v>
      </c>
      <c r="B5207" s="18" t="str">
        <f>"185473"</f>
        <v>185473</v>
      </c>
      <c r="C5207" s="19" t="s">
        <v>5136</v>
      </c>
      <c r="D5207" s="19" t="s">
        <v>20634</v>
      </c>
      <c r="E5207" s="19" t="s">
        <v>32771</v>
      </c>
      <c r="F5207" s="19" t="s">
        <v>35991</v>
      </c>
      <c r="G5207" s="18" t="str">
        <f>"40390"</f>
        <v>40390</v>
      </c>
      <c r="H5207" s="19" t="s">
        <v>36334</v>
      </c>
      <c r="I5207" s="20">
        <v>17.420999999999999</v>
      </c>
      <c r="J5207" s="44" t="s">
        <v>8</v>
      </c>
      <c r="K5207" s="23" t="s">
        <v>8</v>
      </c>
      <c r="L5207" s="23" t="s">
        <v>8</v>
      </c>
      <c r="M5207" s="23" t="s">
        <v>8</v>
      </c>
    </row>
    <row r="5208" spans="1:13" s="21" customFormat="1" x14ac:dyDescent="0.25">
      <c r="A5208" s="22" t="s">
        <v>8</v>
      </c>
      <c r="B5208" s="18" t="str">
        <f>"185474"</f>
        <v>185474</v>
      </c>
      <c r="C5208" s="19" t="s">
        <v>5137</v>
      </c>
      <c r="D5208" s="19" t="s">
        <v>20635</v>
      </c>
      <c r="E5208" s="19" t="s">
        <v>32692</v>
      </c>
      <c r="F5208" s="19" t="s">
        <v>35991</v>
      </c>
      <c r="G5208" s="18" t="str">
        <f>"40511"</f>
        <v>40511</v>
      </c>
      <c r="H5208" s="19" t="s">
        <v>30805</v>
      </c>
      <c r="I5208" s="20">
        <v>16.72</v>
      </c>
      <c r="J5208" s="44" t="s">
        <v>8</v>
      </c>
      <c r="K5208" s="23" t="s">
        <v>8</v>
      </c>
      <c r="L5208" s="23" t="s">
        <v>8</v>
      </c>
      <c r="M5208" s="23" t="s">
        <v>8</v>
      </c>
    </row>
    <row r="5209" spans="1:13" s="21" customFormat="1" x14ac:dyDescent="0.25">
      <c r="A5209" s="22" t="s">
        <v>8</v>
      </c>
      <c r="B5209" s="18" t="str">
        <f>"185476"</f>
        <v>185476</v>
      </c>
      <c r="C5209" s="19" t="s">
        <v>5138</v>
      </c>
      <c r="D5209" s="19" t="s">
        <v>20636</v>
      </c>
      <c r="E5209" s="19" t="s">
        <v>32772</v>
      </c>
      <c r="F5209" s="19" t="s">
        <v>35991</v>
      </c>
      <c r="G5209" s="18" t="str">
        <f>"41076"</f>
        <v>41076</v>
      </c>
      <c r="H5209" s="19" t="s">
        <v>33699</v>
      </c>
      <c r="I5209" s="20">
        <v>22.318999999999999</v>
      </c>
      <c r="J5209" s="44" t="s">
        <v>8</v>
      </c>
      <c r="K5209" s="23" t="s">
        <v>8</v>
      </c>
      <c r="L5209" s="23" t="s">
        <v>8</v>
      </c>
      <c r="M5209" s="23" t="s">
        <v>8</v>
      </c>
    </row>
    <row r="5210" spans="1:13" s="21" customFormat="1" x14ac:dyDescent="0.25">
      <c r="A5210" s="22" t="s">
        <v>8</v>
      </c>
      <c r="B5210" s="18" t="str">
        <f>"185477"</f>
        <v>185477</v>
      </c>
      <c r="C5210" s="19" t="s">
        <v>5139</v>
      </c>
      <c r="D5210" s="19" t="s">
        <v>20637</v>
      </c>
      <c r="E5210" s="19" t="s">
        <v>31696</v>
      </c>
      <c r="F5210" s="19" t="s">
        <v>35991</v>
      </c>
      <c r="G5210" s="18" t="str">
        <f>"40215"</f>
        <v>40215</v>
      </c>
      <c r="H5210" s="19" t="s">
        <v>32391</v>
      </c>
      <c r="I5210" s="20">
        <v>16.864999999999998</v>
      </c>
      <c r="J5210" s="44" t="s">
        <v>8</v>
      </c>
      <c r="K5210" s="23" t="s">
        <v>8</v>
      </c>
      <c r="L5210" s="23" t="s">
        <v>8</v>
      </c>
      <c r="M5210" s="23" t="s">
        <v>8</v>
      </c>
    </row>
    <row r="5211" spans="1:13" s="21" customFormat="1" x14ac:dyDescent="0.25">
      <c r="A5211" s="22" t="s">
        <v>8</v>
      </c>
      <c r="B5211" s="18" t="str">
        <f>"185478"</f>
        <v>185478</v>
      </c>
      <c r="C5211" s="19" t="s">
        <v>5140</v>
      </c>
      <c r="D5211" s="19" t="s">
        <v>20638</v>
      </c>
      <c r="E5211" s="19" t="s">
        <v>31696</v>
      </c>
      <c r="F5211" s="19" t="s">
        <v>35991</v>
      </c>
      <c r="G5211" s="18" t="str">
        <f>"40245"</f>
        <v>40245</v>
      </c>
      <c r="H5211" s="19" t="s">
        <v>32391</v>
      </c>
      <c r="I5211" s="20">
        <v>15.8</v>
      </c>
      <c r="J5211" s="44" t="s">
        <v>8</v>
      </c>
      <c r="K5211" s="23" t="s">
        <v>8</v>
      </c>
      <c r="L5211" s="23" t="s">
        <v>8</v>
      </c>
      <c r="M5211" s="23" t="s">
        <v>8</v>
      </c>
    </row>
    <row r="5212" spans="1:13" s="21" customFormat="1" x14ac:dyDescent="0.25">
      <c r="A5212" s="22" t="s">
        <v>8</v>
      </c>
      <c r="B5212" s="18" t="s">
        <v>15232</v>
      </c>
      <c r="C5212" s="19" t="s">
        <v>5141</v>
      </c>
      <c r="D5212" s="19" t="s">
        <v>20639</v>
      </c>
      <c r="E5212" s="19" t="s">
        <v>30909</v>
      </c>
      <c r="F5212" s="19" t="s">
        <v>35992</v>
      </c>
      <c r="G5212" s="18" t="str">
        <f>"70510"</f>
        <v>70510</v>
      </c>
      <c r="H5212" s="19" t="s">
        <v>34509</v>
      </c>
      <c r="I5212" s="20">
        <v>18.687999999999999</v>
      </c>
      <c r="J5212" s="44" t="s">
        <v>8</v>
      </c>
      <c r="K5212" s="23" t="s">
        <v>8</v>
      </c>
      <c r="L5212" s="23" t="s">
        <v>8</v>
      </c>
      <c r="M5212" s="23" t="s">
        <v>8</v>
      </c>
    </row>
    <row r="5213" spans="1:13" s="21" customFormat="1" x14ac:dyDescent="0.25">
      <c r="A5213" s="22" t="s">
        <v>8</v>
      </c>
      <c r="B5213" s="18" t="s">
        <v>15233</v>
      </c>
      <c r="C5213" s="19" t="s">
        <v>5142</v>
      </c>
      <c r="D5213" s="19" t="s">
        <v>20640</v>
      </c>
      <c r="E5213" s="19" t="s">
        <v>32773</v>
      </c>
      <c r="F5213" s="19" t="s">
        <v>35992</v>
      </c>
      <c r="G5213" s="18" t="str">
        <f>"70634"</f>
        <v>70634</v>
      </c>
      <c r="H5213" s="19" t="s">
        <v>36355</v>
      </c>
      <c r="I5213" s="20">
        <v>19.881</v>
      </c>
      <c r="J5213" s="44" t="s">
        <v>8</v>
      </c>
      <c r="K5213" s="23" t="s">
        <v>8</v>
      </c>
      <c r="L5213" s="23" t="s">
        <v>8</v>
      </c>
      <c r="M5213" s="23" t="s">
        <v>8</v>
      </c>
    </row>
    <row r="5214" spans="1:13" s="21" customFormat="1" x14ac:dyDescent="0.25">
      <c r="A5214" s="22" t="s">
        <v>8</v>
      </c>
      <c r="B5214" s="18" t="s">
        <v>15234</v>
      </c>
      <c r="C5214" s="19" t="s">
        <v>5143</v>
      </c>
      <c r="D5214" s="19" t="s">
        <v>20641</v>
      </c>
      <c r="E5214" s="19" t="s">
        <v>32774</v>
      </c>
      <c r="F5214" s="19" t="s">
        <v>35992</v>
      </c>
      <c r="G5214" s="18" t="str">
        <f>"70546"</f>
        <v>70546</v>
      </c>
      <c r="H5214" s="19" t="s">
        <v>36356</v>
      </c>
      <c r="I5214" s="20">
        <v>18.97</v>
      </c>
      <c r="J5214" s="44" t="s">
        <v>8</v>
      </c>
      <c r="K5214" s="23" t="s">
        <v>8</v>
      </c>
      <c r="L5214" s="23" t="s">
        <v>8</v>
      </c>
      <c r="M5214" s="23" t="s">
        <v>8</v>
      </c>
    </row>
    <row r="5215" spans="1:13" s="21" customFormat="1" x14ac:dyDescent="0.25">
      <c r="A5215" s="22" t="s">
        <v>8</v>
      </c>
      <c r="B5215" s="18" t="s">
        <v>15235</v>
      </c>
      <c r="C5215" s="19" t="s">
        <v>5144</v>
      </c>
      <c r="D5215" s="19" t="s">
        <v>20642</v>
      </c>
      <c r="E5215" s="19" t="s">
        <v>32775</v>
      </c>
      <c r="F5215" s="19" t="s">
        <v>35992</v>
      </c>
      <c r="G5215" s="18" t="str">
        <f>"71263"</f>
        <v>71263</v>
      </c>
      <c r="H5215" s="19" t="s">
        <v>36357</v>
      </c>
      <c r="I5215" s="20">
        <v>17.994</v>
      </c>
      <c r="J5215" s="44" t="s">
        <v>8</v>
      </c>
      <c r="K5215" s="23" t="s">
        <v>8</v>
      </c>
      <c r="L5215" s="23" t="s">
        <v>8</v>
      </c>
      <c r="M5215" s="23" t="s">
        <v>8</v>
      </c>
    </row>
    <row r="5216" spans="1:13" s="21" customFormat="1" x14ac:dyDescent="0.25">
      <c r="A5216" s="22" t="s">
        <v>8</v>
      </c>
      <c r="B5216" s="18" t="s">
        <v>15236</v>
      </c>
      <c r="C5216" s="19" t="s">
        <v>5145</v>
      </c>
      <c r="D5216" s="19" t="s">
        <v>20643</v>
      </c>
      <c r="E5216" s="19" t="s">
        <v>32776</v>
      </c>
      <c r="F5216" s="19" t="s">
        <v>35992</v>
      </c>
      <c r="G5216" s="18" t="str">
        <f>"71075"</f>
        <v>71075</v>
      </c>
      <c r="H5216" s="19" t="s">
        <v>33048</v>
      </c>
      <c r="I5216" s="20">
        <v>18.337</v>
      </c>
      <c r="J5216" s="44" t="s">
        <v>8</v>
      </c>
      <c r="K5216" s="23" t="s">
        <v>8</v>
      </c>
      <c r="L5216" s="23" t="s">
        <v>8</v>
      </c>
      <c r="M5216" s="23" t="s">
        <v>8</v>
      </c>
    </row>
    <row r="5217" spans="1:13" s="21" customFormat="1" x14ac:dyDescent="0.25">
      <c r="A5217" s="22" t="s">
        <v>8</v>
      </c>
      <c r="B5217" s="18" t="s">
        <v>15237</v>
      </c>
      <c r="C5217" s="19" t="s">
        <v>5146</v>
      </c>
      <c r="D5217" s="19" t="s">
        <v>20644</v>
      </c>
      <c r="E5217" s="19" t="s">
        <v>32777</v>
      </c>
      <c r="F5217" s="19" t="s">
        <v>35992</v>
      </c>
      <c r="G5217" s="18" t="str">
        <f>"71483"</f>
        <v>71483</v>
      </c>
      <c r="H5217" s="19" t="s">
        <v>36358</v>
      </c>
      <c r="I5217" s="20">
        <v>18.405999999999999</v>
      </c>
      <c r="J5217" s="44" t="s">
        <v>8</v>
      </c>
      <c r="K5217" s="23" t="s">
        <v>8</v>
      </c>
      <c r="L5217" s="23" t="s">
        <v>8</v>
      </c>
      <c r="M5217" s="23" t="s">
        <v>8</v>
      </c>
    </row>
    <row r="5218" spans="1:13" s="21" customFormat="1" x14ac:dyDescent="0.25">
      <c r="A5218" s="22" t="s">
        <v>8</v>
      </c>
      <c r="B5218" s="18" t="s">
        <v>15238</v>
      </c>
      <c r="C5218" s="19" t="s">
        <v>5147</v>
      </c>
      <c r="D5218" s="19" t="s">
        <v>20645</v>
      </c>
      <c r="E5218" s="19" t="s">
        <v>32778</v>
      </c>
      <c r="F5218" s="19" t="s">
        <v>35992</v>
      </c>
      <c r="G5218" s="18" t="str">
        <f>"71351"</f>
        <v>71351</v>
      </c>
      <c r="H5218" s="19" t="s">
        <v>36359</v>
      </c>
      <c r="I5218" s="20">
        <v>19.577000000000002</v>
      </c>
      <c r="J5218" s="44" t="s">
        <v>8</v>
      </c>
      <c r="K5218" s="23" t="s">
        <v>8</v>
      </c>
      <c r="L5218" s="23" t="s">
        <v>8</v>
      </c>
      <c r="M5218" s="23" t="s">
        <v>8</v>
      </c>
    </row>
    <row r="5219" spans="1:13" s="21" customFormat="1" x14ac:dyDescent="0.25">
      <c r="A5219" s="22" t="s">
        <v>8</v>
      </c>
      <c r="B5219" s="18" t="s">
        <v>15239</v>
      </c>
      <c r="C5219" s="19" t="s">
        <v>5148</v>
      </c>
      <c r="D5219" s="19" t="s">
        <v>20646</v>
      </c>
      <c r="E5219" s="19" t="s">
        <v>31300</v>
      </c>
      <c r="F5219" s="19" t="s">
        <v>35992</v>
      </c>
      <c r="G5219" s="18" t="str">
        <f>"71463"</f>
        <v>71463</v>
      </c>
      <c r="H5219" s="19" t="s">
        <v>34710</v>
      </c>
      <c r="I5219" s="20">
        <v>20.219000000000001</v>
      </c>
      <c r="J5219" s="44" t="s">
        <v>8</v>
      </c>
      <c r="K5219" s="23" t="s">
        <v>8</v>
      </c>
      <c r="L5219" s="23" t="s">
        <v>8</v>
      </c>
      <c r="M5219" s="23" t="s">
        <v>8</v>
      </c>
    </row>
    <row r="5220" spans="1:13" s="21" customFormat="1" x14ac:dyDescent="0.25">
      <c r="A5220" s="22" t="s">
        <v>8</v>
      </c>
      <c r="B5220" s="18" t="s">
        <v>15240</v>
      </c>
      <c r="C5220" s="19" t="s">
        <v>5149</v>
      </c>
      <c r="D5220" s="19" t="s">
        <v>20647</v>
      </c>
      <c r="E5220" s="19" t="s">
        <v>32779</v>
      </c>
      <c r="F5220" s="19" t="s">
        <v>35992</v>
      </c>
      <c r="G5220" s="18" t="str">
        <f>"71040"</f>
        <v>71040</v>
      </c>
      <c r="H5220" s="19" t="s">
        <v>36360</v>
      </c>
      <c r="I5220" s="20">
        <v>16.641999999999999</v>
      </c>
      <c r="J5220" s="44" t="s">
        <v>8</v>
      </c>
      <c r="K5220" s="23" t="s">
        <v>8</v>
      </c>
      <c r="L5220" s="23" t="s">
        <v>8</v>
      </c>
      <c r="M5220" s="23" t="s">
        <v>8</v>
      </c>
    </row>
    <row r="5221" spans="1:13" s="21" customFormat="1" x14ac:dyDescent="0.25">
      <c r="A5221" s="22" t="s">
        <v>8</v>
      </c>
      <c r="B5221" s="18" t="s">
        <v>15241</v>
      </c>
      <c r="C5221" s="19" t="s">
        <v>5150</v>
      </c>
      <c r="D5221" s="19" t="s">
        <v>20648</v>
      </c>
      <c r="E5221" s="19" t="s">
        <v>32780</v>
      </c>
      <c r="F5221" s="19" t="s">
        <v>35992</v>
      </c>
      <c r="G5221" s="18" t="str">
        <f>"71220"</f>
        <v>71220</v>
      </c>
      <c r="H5221" s="19" t="s">
        <v>36361</v>
      </c>
      <c r="I5221" s="20">
        <v>17.497</v>
      </c>
      <c r="J5221" s="44" t="s">
        <v>8</v>
      </c>
      <c r="K5221" s="23" t="s">
        <v>8</v>
      </c>
      <c r="L5221" s="23" t="s">
        <v>8</v>
      </c>
      <c r="M5221" s="23" t="s">
        <v>8</v>
      </c>
    </row>
    <row r="5222" spans="1:13" s="21" customFormat="1" x14ac:dyDescent="0.25">
      <c r="A5222" s="22" t="s">
        <v>8</v>
      </c>
      <c r="B5222" s="18" t="s">
        <v>15242</v>
      </c>
      <c r="C5222" s="19" t="s">
        <v>5151</v>
      </c>
      <c r="D5222" s="19" t="s">
        <v>20649</v>
      </c>
      <c r="E5222" s="19" t="s">
        <v>31481</v>
      </c>
      <c r="F5222" s="19" t="s">
        <v>35992</v>
      </c>
      <c r="G5222" s="18" t="str">
        <f>"71052"</f>
        <v>71052</v>
      </c>
      <c r="H5222" s="19" t="s">
        <v>32653</v>
      </c>
      <c r="I5222" s="20">
        <v>19.251999999999999</v>
      </c>
      <c r="J5222" s="44" t="s">
        <v>8</v>
      </c>
      <c r="K5222" s="23" t="s">
        <v>8</v>
      </c>
      <c r="L5222" s="23" t="s">
        <v>8</v>
      </c>
      <c r="M5222" s="23" t="s">
        <v>8</v>
      </c>
    </row>
    <row r="5223" spans="1:13" s="21" customFormat="1" x14ac:dyDescent="0.25">
      <c r="A5223" s="22" t="s">
        <v>8</v>
      </c>
      <c r="B5223" s="18" t="s">
        <v>15243</v>
      </c>
      <c r="C5223" s="19" t="s">
        <v>5152</v>
      </c>
      <c r="D5223" s="19" t="s">
        <v>20650</v>
      </c>
      <c r="E5223" s="19" t="s">
        <v>32781</v>
      </c>
      <c r="F5223" s="19" t="s">
        <v>35992</v>
      </c>
      <c r="G5223" s="18" t="str">
        <f>"70648"</f>
        <v>70648</v>
      </c>
      <c r="H5223" s="19" t="s">
        <v>34710</v>
      </c>
      <c r="I5223" s="20">
        <v>18.437999999999999</v>
      </c>
      <c r="J5223" s="44" t="s">
        <v>8</v>
      </c>
      <c r="K5223" s="23" t="s">
        <v>8</v>
      </c>
      <c r="L5223" s="23" t="s">
        <v>8</v>
      </c>
      <c r="M5223" s="23" t="s">
        <v>8</v>
      </c>
    </row>
    <row r="5224" spans="1:13" s="21" customFormat="1" x14ac:dyDescent="0.25">
      <c r="A5224" s="22" t="s">
        <v>8</v>
      </c>
      <c r="B5224" s="18" t="s">
        <v>15244</v>
      </c>
      <c r="C5224" s="19" t="s">
        <v>5153</v>
      </c>
      <c r="D5224" s="19" t="s">
        <v>20651</v>
      </c>
      <c r="E5224" s="19" t="s">
        <v>32782</v>
      </c>
      <c r="F5224" s="19" t="s">
        <v>35992</v>
      </c>
      <c r="G5224" s="18" t="str">
        <f>"71295"</f>
        <v>71295</v>
      </c>
      <c r="H5224" s="19" t="s">
        <v>5</v>
      </c>
      <c r="I5224" s="20">
        <v>20.61</v>
      </c>
      <c r="J5224" s="44" t="s">
        <v>8</v>
      </c>
      <c r="K5224" s="23" t="s">
        <v>8</v>
      </c>
      <c r="L5224" s="23" t="s">
        <v>8</v>
      </c>
      <c r="M5224" s="23" t="s">
        <v>8</v>
      </c>
    </row>
    <row r="5225" spans="1:13" s="21" customFormat="1" x14ac:dyDescent="0.25">
      <c r="A5225" s="22" t="s">
        <v>8</v>
      </c>
      <c r="B5225" s="18" t="s">
        <v>15245</v>
      </c>
      <c r="C5225" s="19" t="s">
        <v>5154</v>
      </c>
      <c r="D5225" s="19" t="s">
        <v>20652</v>
      </c>
      <c r="E5225" s="19" t="s">
        <v>32783</v>
      </c>
      <c r="F5225" s="19" t="s">
        <v>35992</v>
      </c>
      <c r="G5225" s="18" t="str">
        <f>"71342"</f>
        <v>71342</v>
      </c>
      <c r="H5225" s="19" t="s">
        <v>31983</v>
      </c>
      <c r="I5225" s="20">
        <v>19.965</v>
      </c>
      <c r="J5225" s="44" t="s">
        <v>8</v>
      </c>
      <c r="K5225" s="23" t="s">
        <v>8</v>
      </c>
      <c r="L5225" s="23" t="s">
        <v>8</v>
      </c>
      <c r="M5225" s="23" t="s">
        <v>8</v>
      </c>
    </row>
    <row r="5226" spans="1:13" s="21" customFormat="1" x14ac:dyDescent="0.25">
      <c r="A5226" s="22" t="s">
        <v>8</v>
      </c>
      <c r="B5226" s="18" t="s">
        <v>15246</v>
      </c>
      <c r="C5226" s="19" t="s">
        <v>5155</v>
      </c>
      <c r="D5226" s="19" t="s">
        <v>20653</v>
      </c>
      <c r="E5226" s="19" t="s">
        <v>32784</v>
      </c>
      <c r="F5226" s="19" t="s">
        <v>35992</v>
      </c>
      <c r="G5226" s="18" t="str">
        <f>"71269"</f>
        <v>71269</v>
      </c>
      <c r="H5226" s="19" t="s">
        <v>31785</v>
      </c>
      <c r="I5226" s="20">
        <v>19.161999999999999</v>
      </c>
      <c r="J5226" s="44" t="s">
        <v>8</v>
      </c>
      <c r="K5226" s="23" t="s">
        <v>8</v>
      </c>
      <c r="L5226" s="23" t="s">
        <v>8</v>
      </c>
      <c r="M5226" s="23" t="s">
        <v>8</v>
      </c>
    </row>
    <row r="5227" spans="1:13" s="21" customFormat="1" x14ac:dyDescent="0.25">
      <c r="A5227" s="22" t="s">
        <v>8</v>
      </c>
      <c r="B5227" s="18" t="s">
        <v>15247</v>
      </c>
      <c r="C5227" s="19" t="s">
        <v>5156</v>
      </c>
      <c r="D5227" s="19" t="s">
        <v>20654</v>
      </c>
      <c r="E5227" s="19" t="s">
        <v>32785</v>
      </c>
      <c r="F5227" s="19" t="s">
        <v>35992</v>
      </c>
      <c r="G5227" s="18" t="str">
        <f>"70586"</f>
        <v>70586</v>
      </c>
      <c r="H5227" s="19" t="s">
        <v>36362</v>
      </c>
      <c r="I5227" s="20">
        <v>22.213999999999999</v>
      </c>
      <c r="J5227" s="44" t="s">
        <v>8</v>
      </c>
      <c r="K5227" s="23" t="s">
        <v>8</v>
      </c>
      <c r="L5227" s="23" t="s">
        <v>8</v>
      </c>
      <c r="M5227" s="23" t="s">
        <v>8</v>
      </c>
    </row>
    <row r="5228" spans="1:13" s="21" customFormat="1" x14ac:dyDescent="0.25">
      <c r="A5228" s="22" t="s">
        <v>8</v>
      </c>
      <c r="B5228" s="18" t="str">
        <f>"195136"</f>
        <v>195136</v>
      </c>
      <c r="C5228" s="19" t="s">
        <v>5157</v>
      </c>
      <c r="D5228" s="19" t="s">
        <v>20655</v>
      </c>
      <c r="E5228" s="19" t="s">
        <v>32786</v>
      </c>
      <c r="F5228" s="19" t="s">
        <v>35992</v>
      </c>
      <c r="G5228" s="18" t="str">
        <f>"71103"</f>
        <v>71103</v>
      </c>
      <c r="H5228" s="19" t="s">
        <v>36363</v>
      </c>
      <c r="I5228" s="20">
        <v>21.658000000000001</v>
      </c>
      <c r="J5228" s="44" t="s">
        <v>8</v>
      </c>
      <c r="K5228" s="23" t="s">
        <v>8</v>
      </c>
      <c r="L5228" s="23" t="s">
        <v>8</v>
      </c>
      <c r="M5228" s="23" t="s">
        <v>8</v>
      </c>
    </row>
    <row r="5229" spans="1:13" s="21" customFormat="1" x14ac:dyDescent="0.25">
      <c r="A5229" s="22" t="s">
        <v>8</v>
      </c>
      <c r="B5229" s="18" t="str">
        <f>"195139"</f>
        <v>195139</v>
      </c>
      <c r="C5229" s="19" t="s">
        <v>5158</v>
      </c>
      <c r="D5229" s="19" t="s">
        <v>20656</v>
      </c>
      <c r="E5229" s="19" t="s">
        <v>32787</v>
      </c>
      <c r="F5229" s="19" t="s">
        <v>35992</v>
      </c>
      <c r="G5229" s="18" t="str">
        <f>"70806"</f>
        <v>70806</v>
      </c>
      <c r="H5229" s="19" t="s">
        <v>36364</v>
      </c>
      <c r="I5229" s="20">
        <v>17.684999999999999</v>
      </c>
      <c r="J5229" s="44" t="s">
        <v>8</v>
      </c>
      <c r="K5229" s="23" t="s">
        <v>8</v>
      </c>
      <c r="L5229" s="23" t="s">
        <v>8</v>
      </c>
      <c r="M5229" s="23" t="s">
        <v>8</v>
      </c>
    </row>
    <row r="5230" spans="1:13" s="21" customFormat="1" x14ac:dyDescent="0.25">
      <c r="A5230" s="22" t="s">
        <v>8</v>
      </c>
      <c r="B5230" s="18" t="str">
        <f>"195149"</f>
        <v>195149</v>
      </c>
      <c r="C5230" s="19" t="s">
        <v>5159</v>
      </c>
      <c r="D5230" s="19" t="s">
        <v>20657</v>
      </c>
      <c r="E5230" s="19" t="s">
        <v>32788</v>
      </c>
      <c r="F5230" s="19" t="s">
        <v>35992</v>
      </c>
      <c r="G5230" s="18" t="str">
        <f>"70118"</f>
        <v>70118</v>
      </c>
      <c r="H5230" s="19" t="s">
        <v>36365</v>
      </c>
      <c r="I5230" s="20">
        <v>20.89</v>
      </c>
      <c r="J5230" s="44" t="s">
        <v>8</v>
      </c>
      <c r="K5230" s="23" t="s">
        <v>8</v>
      </c>
      <c r="L5230" s="23" t="s">
        <v>8</v>
      </c>
      <c r="M5230" s="23" t="s">
        <v>8</v>
      </c>
    </row>
    <row r="5231" spans="1:13" s="21" customFormat="1" x14ac:dyDescent="0.25">
      <c r="A5231" s="22" t="s">
        <v>8</v>
      </c>
      <c r="B5231" s="18" t="str">
        <f>"195150"</f>
        <v>195150</v>
      </c>
      <c r="C5231" s="19" t="s">
        <v>5160</v>
      </c>
      <c r="D5231" s="19" t="s">
        <v>20658</v>
      </c>
      <c r="E5231" s="19" t="s">
        <v>30816</v>
      </c>
      <c r="F5231" s="19" t="s">
        <v>35992</v>
      </c>
      <c r="G5231" s="18" t="str">
        <f>"70748"</f>
        <v>70748</v>
      </c>
      <c r="H5231" s="19" t="s">
        <v>36366</v>
      </c>
      <c r="I5231" s="20">
        <v>19.436</v>
      </c>
      <c r="J5231" s="44" t="s">
        <v>8</v>
      </c>
      <c r="K5231" s="23" t="s">
        <v>8</v>
      </c>
      <c r="L5231" s="23" t="s">
        <v>8</v>
      </c>
      <c r="M5231" s="23" t="s">
        <v>8</v>
      </c>
    </row>
    <row r="5232" spans="1:13" s="21" customFormat="1" x14ac:dyDescent="0.25">
      <c r="A5232" s="22" t="s">
        <v>8</v>
      </c>
      <c r="B5232" s="18" t="str">
        <f>"195156"</f>
        <v>195156</v>
      </c>
      <c r="C5232" s="19" t="s">
        <v>5161</v>
      </c>
      <c r="D5232" s="19" t="s">
        <v>20659</v>
      </c>
      <c r="E5232" s="19" t="s">
        <v>32788</v>
      </c>
      <c r="F5232" s="19" t="s">
        <v>35992</v>
      </c>
      <c r="G5232" s="18" t="str">
        <f>"70114"</f>
        <v>70114</v>
      </c>
      <c r="H5232" s="19" t="s">
        <v>36365</v>
      </c>
      <c r="I5232" s="20">
        <v>18.475000000000001</v>
      </c>
      <c r="J5232" s="44" t="s">
        <v>8</v>
      </c>
      <c r="K5232" s="23" t="s">
        <v>8</v>
      </c>
      <c r="L5232" s="23" t="s">
        <v>8</v>
      </c>
      <c r="M5232" s="23" t="s">
        <v>8</v>
      </c>
    </row>
    <row r="5233" spans="1:13" s="21" customFormat="1" x14ac:dyDescent="0.25">
      <c r="A5233" s="22" t="s">
        <v>8</v>
      </c>
      <c r="B5233" s="18" t="str">
        <f>"195159"</f>
        <v>195159</v>
      </c>
      <c r="C5233" s="19" t="s">
        <v>5162</v>
      </c>
      <c r="D5233" s="19" t="s">
        <v>20660</v>
      </c>
      <c r="E5233" s="19" t="s">
        <v>31711</v>
      </c>
      <c r="F5233" s="19" t="s">
        <v>35992</v>
      </c>
      <c r="G5233" s="18" t="str">
        <f>"71210"</f>
        <v>71210</v>
      </c>
      <c r="H5233" s="19" t="s">
        <v>36063</v>
      </c>
      <c r="I5233" s="20">
        <v>15.567</v>
      </c>
      <c r="J5233" s="44" t="s">
        <v>8</v>
      </c>
      <c r="K5233" s="23" t="s">
        <v>8</v>
      </c>
      <c r="L5233" s="23" t="s">
        <v>8</v>
      </c>
      <c r="M5233" s="23" t="s">
        <v>8</v>
      </c>
    </row>
    <row r="5234" spans="1:13" s="21" customFormat="1" x14ac:dyDescent="0.25">
      <c r="A5234" s="22" t="s">
        <v>8</v>
      </c>
      <c r="B5234" s="18" t="str">
        <f>"195174"</f>
        <v>195174</v>
      </c>
      <c r="C5234" s="19" t="s">
        <v>5163</v>
      </c>
      <c r="D5234" s="19" t="s">
        <v>20661</v>
      </c>
      <c r="E5234" s="19" t="s">
        <v>32788</v>
      </c>
      <c r="F5234" s="19" t="s">
        <v>35992</v>
      </c>
      <c r="G5234" s="18" t="str">
        <f>"70115"</f>
        <v>70115</v>
      </c>
      <c r="H5234" s="19" t="s">
        <v>36365</v>
      </c>
      <c r="I5234" s="20">
        <v>22.331</v>
      </c>
      <c r="J5234" s="44" t="s">
        <v>8</v>
      </c>
      <c r="K5234" s="23" t="s">
        <v>8</v>
      </c>
      <c r="L5234" s="23" t="s">
        <v>8</v>
      </c>
      <c r="M5234" s="23" t="s">
        <v>8</v>
      </c>
    </row>
    <row r="5235" spans="1:13" s="21" customFormat="1" x14ac:dyDescent="0.25">
      <c r="A5235" s="22" t="s">
        <v>8</v>
      </c>
      <c r="B5235" s="18" t="str">
        <f>"195176"</f>
        <v>195176</v>
      </c>
      <c r="C5235" s="19" t="s">
        <v>5164</v>
      </c>
      <c r="D5235" s="19" t="s">
        <v>20662</v>
      </c>
      <c r="E5235" s="19" t="s">
        <v>32789</v>
      </c>
      <c r="F5235" s="19" t="s">
        <v>35992</v>
      </c>
      <c r="G5235" s="18" t="str">
        <f>"70056"</f>
        <v>70056</v>
      </c>
      <c r="H5235" s="19" t="s">
        <v>32391</v>
      </c>
      <c r="I5235" s="20">
        <v>18.765000000000001</v>
      </c>
      <c r="J5235" s="44" t="s">
        <v>8</v>
      </c>
      <c r="K5235" s="23" t="s">
        <v>8</v>
      </c>
      <c r="L5235" s="23" t="s">
        <v>8</v>
      </c>
      <c r="M5235" s="23" t="s">
        <v>8</v>
      </c>
    </row>
    <row r="5236" spans="1:13" s="21" customFormat="1" x14ac:dyDescent="0.25">
      <c r="A5236" s="22" t="s">
        <v>8</v>
      </c>
      <c r="B5236" s="18" t="str">
        <f>"195177"</f>
        <v>195177</v>
      </c>
      <c r="C5236" s="19" t="s">
        <v>5165</v>
      </c>
      <c r="D5236" s="19" t="s">
        <v>20663</v>
      </c>
      <c r="E5236" s="19" t="s">
        <v>32790</v>
      </c>
      <c r="F5236" s="19" t="s">
        <v>35992</v>
      </c>
      <c r="G5236" s="18" t="str">
        <f>"70458"</f>
        <v>70458</v>
      </c>
      <c r="H5236" s="19" t="s">
        <v>36367</v>
      </c>
      <c r="I5236" s="20">
        <v>21.527999999999999</v>
      </c>
      <c r="J5236" s="44" t="s">
        <v>8</v>
      </c>
      <c r="K5236" s="23" t="s">
        <v>8</v>
      </c>
      <c r="L5236" s="23" t="s">
        <v>8</v>
      </c>
      <c r="M5236" s="23" t="s">
        <v>8</v>
      </c>
    </row>
    <row r="5237" spans="1:13" s="21" customFormat="1" x14ac:dyDescent="0.25">
      <c r="A5237" s="22" t="s">
        <v>8</v>
      </c>
      <c r="B5237" s="18" t="str">
        <f>"195180"</f>
        <v>195180</v>
      </c>
      <c r="C5237" s="19" t="s">
        <v>5166</v>
      </c>
      <c r="D5237" s="19" t="s">
        <v>20664</v>
      </c>
      <c r="E5237" s="19" t="s">
        <v>32788</v>
      </c>
      <c r="F5237" s="19" t="s">
        <v>35992</v>
      </c>
      <c r="G5237" s="18" t="str">
        <f>"70121"</f>
        <v>70121</v>
      </c>
      <c r="H5237" s="19" t="s">
        <v>32391</v>
      </c>
      <c r="I5237" s="20">
        <v>21.646000000000001</v>
      </c>
      <c r="J5237" s="44" t="s">
        <v>8</v>
      </c>
      <c r="K5237" s="23" t="s">
        <v>8</v>
      </c>
      <c r="L5237" s="23" t="s">
        <v>8</v>
      </c>
      <c r="M5237" s="23" t="s">
        <v>8</v>
      </c>
    </row>
    <row r="5238" spans="1:13" s="21" customFormat="1" x14ac:dyDescent="0.25">
      <c r="A5238" s="22" t="s">
        <v>8</v>
      </c>
      <c r="B5238" s="18" t="str">
        <f>"195181"</f>
        <v>195181</v>
      </c>
      <c r="C5238" s="19" t="s">
        <v>5167</v>
      </c>
      <c r="D5238" s="19" t="s">
        <v>20665</v>
      </c>
      <c r="E5238" s="19" t="s">
        <v>32791</v>
      </c>
      <c r="F5238" s="19" t="s">
        <v>35992</v>
      </c>
      <c r="G5238" s="18" t="str">
        <f>"71291"</f>
        <v>71291</v>
      </c>
      <c r="H5238" s="19" t="s">
        <v>36063</v>
      </c>
      <c r="I5238" s="20">
        <v>20.224</v>
      </c>
      <c r="J5238" s="44" t="s">
        <v>8</v>
      </c>
      <c r="K5238" s="23" t="s">
        <v>8</v>
      </c>
      <c r="L5238" s="23" t="s">
        <v>8</v>
      </c>
      <c r="M5238" s="23" t="s">
        <v>8</v>
      </c>
    </row>
    <row r="5239" spans="1:13" s="21" customFormat="1" x14ac:dyDescent="0.25">
      <c r="A5239" s="22" t="s">
        <v>8</v>
      </c>
      <c r="B5239" s="18" t="str">
        <f>"195184"</f>
        <v>195184</v>
      </c>
      <c r="C5239" s="19" t="s">
        <v>5168</v>
      </c>
      <c r="D5239" s="19" t="s">
        <v>20666</v>
      </c>
      <c r="E5239" s="19" t="s">
        <v>32792</v>
      </c>
      <c r="F5239" s="19" t="s">
        <v>35992</v>
      </c>
      <c r="G5239" s="18" t="str">
        <f>"70065"</f>
        <v>70065</v>
      </c>
      <c r="H5239" s="19" t="s">
        <v>32391</v>
      </c>
      <c r="I5239" s="20">
        <v>19.731000000000002</v>
      </c>
      <c r="J5239" s="44" t="s">
        <v>8</v>
      </c>
      <c r="K5239" s="23" t="s">
        <v>8</v>
      </c>
      <c r="L5239" s="23" t="s">
        <v>8</v>
      </c>
      <c r="M5239" s="23" t="s">
        <v>8</v>
      </c>
    </row>
    <row r="5240" spans="1:13" s="21" customFormat="1" x14ac:dyDescent="0.25">
      <c r="A5240" s="22" t="s">
        <v>8</v>
      </c>
      <c r="B5240" s="18" t="str">
        <f>"195185"</f>
        <v>195185</v>
      </c>
      <c r="C5240" s="19" t="s">
        <v>5169</v>
      </c>
      <c r="D5240" s="19" t="s">
        <v>20667</v>
      </c>
      <c r="E5240" s="19" t="s">
        <v>32793</v>
      </c>
      <c r="F5240" s="19" t="s">
        <v>35992</v>
      </c>
      <c r="G5240" s="18" t="str">
        <f>"70360"</f>
        <v>70360</v>
      </c>
      <c r="H5240" s="19" t="s">
        <v>36368</v>
      </c>
      <c r="I5240" s="20">
        <v>18.242000000000001</v>
      </c>
      <c r="J5240" s="44" t="s">
        <v>8</v>
      </c>
      <c r="K5240" s="23" t="s">
        <v>8</v>
      </c>
      <c r="L5240" s="23" t="s">
        <v>8</v>
      </c>
      <c r="M5240" s="23" t="s">
        <v>8</v>
      </c>
    </row>
    <row r="5241" spans="1:13" s="21" customFormat="1" x14ac:dyDescent="0.25">
      <c r="A5241" s="22" t="s">
        <v>8</v>
      </c>
      <c r="B5241" s="18" t="str">
        <f>"195199"</f>
        <v>195199</v>
      </c>
      <c r="C5241" s="19" t="s">
        <v>5170</v>
      </c>
      <c r="D5241" s="19" t="s">
        <v>20668</v>
      </c>
      <c r="E5241" s="19" t="s">
        <v>32794</v>
      </c>
      <c r="F5241" s="19" t="s">
        <v>35992</v>
      </c>
      <c r="G5241" s="18" t="str">
        <f>"70002"</f>
        <v>70002</v>
      </c>
      <c r="H5241" s="19" t="s">
        <v>32391</v>
      </c>
      <c r="I5241" s="20">
        <v>16.050999999999998</v>
      </c>
      <c r="J5241" s="44" t="s">
        <v>8</v>
      </c>
      <c r="K5241" s="23" t="s">
        <v>8</v>
      </c>
      <c r="L5241" s="23" t="s">
        <v>8</v>
      </c>
      <c r="M5241" s="23" t="s">
        <v>8</v>
      </c>
    </row>
    <row r="5242" spans="1:13" s="21" customFormat="1" x14ac:dyDescent="0.25">
      <c r="A5242" s="22" t="s">
        <v>8</v>
      </c>
      <c r="B5242" s="18" t="str">
        <f>"195201"</f>
        <v>195201</v>
      </c>
      <c r="C5242" s="19" t="s">
        <v>5171</v>
      </c>
      <c r="D5242" s="19" t="s">
        <v>20669</v>
      </c>
      <c r="E5242" s="19" t="s">
        <v>32793</v>
      </c>
      <c r="F5242" s="19" t="s">
        <v>35992</v>
      </c>
      <c r="G5242" s="18" t="str">
        <f>"70364"</f>
        <v>70364</v>
      </c>
      <c r="H5242" s="19" t="s">
        <v>36368</v>
      </c>
      <c r="I5242" s="20">
        <v>21.24</v>
      </c>
      <c r="J5242" s="44" t="s">
        <v>8</v>
      </c>
      <c r="K5242" s="23" t="s">
        <v>8</v>
      </c>
      <c r="L5242" s="23" t="s">
        <v>8</v>
      </c>
      <c r="M5242" s="23" t="s">
        <v>8</v>
      </c>
    </row>
    <row r="5243" spans="1:13" s="21" customFormat="1" x14ac:dyDescent="0.25">
      <c r="A5243" s="22" t="s">
        <v>8</v>
      </c>
      <c r="B5243" s="18" t="str">
        <f>"195203"</f>
        <v>195203</v>
      </c>
      <c r="C5243" s="19" t="s">
        <v>5172</v>
      </c>
      <c r="D5243" s="19" t="s">
        <v>20670</v>
      </c>
      <c r="E5243" s="19" t="s">
        <v>32792</v>
      </c>
      <c r="F5243" s="19" t="s">
        <v>35992</v>
      </c>
      <c r="G5243" s="18" t="str">
        <f>"70062"</f>
        <v>70062</v>
      </c>
      <c r="H5243" s="19" t="s">
        <v>32391</v>
      </c>
      <c r="I5243" s="20">
        <v>19.75</v>
      </c>
      <c r="J5243" s="44" t="s">
        <v>8</v>
      </c>
      <c r="K5243" s="23" t="s">
        <v>8</v>
      </c>
      <c r="L5243" s="23" t="s">
        <v>8</v>
      </c>
      <c r="M5243" s="23" t="s">
        <v>8</v>
      </c>
    </row>
    <row r="5244" spans="1:13" s="21" customFormat="1" x14ac:dyDescent="0.25">
      <c r="A5244" s="22" t="s">
        <v>8</v>
      </c>
      <c r="B5244" s="18" t="str">
        <f>"195204"</f>
        <v>195204</v>
      </c>
      <c r="C5244" s="19" t="s">
        <v>5173</v>
      </c>
      <c r="D5244" s="19" t="s">
        <v>20671</v>
      </c>
      <c r="E5244" s="19" t="s">
        <v>32788</v>
      </c>
      <c r="F5244" s="19" t="s">
        <v>35992</v>
      </c>
      <c r="G5244" s="18" t="str">
        <f>"70131"</f>
        <v>70131</v>
      </c>
      <c r="H5244" s="19" t="s">
        <v>36365</v>
      </c>
      <c r="I5244" s="20">
        <v>19.948</v>
      </c>
      <c r="J5244" s="44" t="s">
        <v>8</v>
      </c>
      <c r="K5244" s="23" t="s">
        <v>8</v>
      </c>
      <c r="L5244" s="23" t="s">
        <v>8</v>
      </c>
      <c r="M5244" s="23" t="s">
        <v>8</v>
      </c>
    </row>
    <row r="5245" spans="1:13" s="21" customFormat="1" x14ac:dyDescent="0.25">
      <c r="A5245" s="22" t="s">
        <v>8</v>
      </c>
      <c r="B5245" s="18" t="str">
        <f>"195210"</f>
        <v>195210</v>
      </c>
      <c r="C5245" s="19" t="s">
        <v>5174</v>
      </c>
      <c r="D5245" s="19" t="s">
        <v>20672</v>
      </c>
      <c r="E5245" s="19" t="s">
        <v>32795</v>
      </c>
      <c r="F5245" s="19" t="s">
        <v>35992</v>
      </c>
      <c r="G5245" s="18" t="str">
        <f>"70072"</f>
        <v>70072</v>
      </c>
      <c r="H5245" s="19" t="s">
        <v>32391</v>
      </c>
      <c r="I5245" s="20">
        <v>20.036999999999999</v>
      </c>
      <c r="J5245" s="44" t="s">
        <v>8</v>
      </c>
      <c r="K5245" s="23" t="s">
        <v>8</v>
      </c>
      <c r="L5245" s="23" t="s">
        <v>8</v>
      </c>
      <c r="M5245" s="23" t="s">
        <v>8</v>
      </c>
    </row>
    <row r="5246" spans="1:13" s="21" customFormat="1" x14ac:dyDescent="0.25">
      <c r="A5246" s="22" t="s">
        <v>8</v>
      </c>
      <c r="B5246" s="18" t="str">
        <f>"195213"</f>
        <v>195213</v>
      </c>
      <c r="C5246" s="19" t="s">
        <v>5175</v>
      </c>
      <c r="D5246" s="19" t="s">
        <v>20673</v>
      </c>
      <c r="E5246" s="19" t="s">
        <v>32796</v>
      </c>
      <c r="F5246" s="19" t="s">
        <v>35992</v>
      </c>
      <c r="G5246" s="18" t="str">
        <f>"71457"</f>
        <v>71457</v>
      </c>
      <c r="H5246" s="19" t="s">
        <v>32796</v>
      </c>
      <c r="I5246" s="20">
        <v>20.753</v>
      </c>
      <c r="J5246" s="44" t="s">
        <v>8</v>
      </c>
      <c r="K5246" s="23" t="s">
        <v>8</v>
      </c>
      <c r="L5246" s="23" t="s">
        <v>8</v>
      </c>
      <c r="M5246" s="23" t="s">
        <v>8</v>
      </c>
    </row>
    <row r="5247" spans="1:13" s="21" customFormat="1" x14ac:dyDescent="0.25">
      <c r="A5247" s="22" t="s">
        <v>8</v>
      </c>
      <c r="B5247" s="18" t="str">
        <f>"195214"</f>
        <v>195214</v>
      </c>
      <c r="C5247" s="19" t="s">
        <v>5176</v>
      </c>
      <c r="D5247" s="19" t="s">
        <v>20674</v>
      </c>
      <c r="E5247" s="19" t="s">
        <v>32788</v>
      </c>
      <c r="F5247" s="19" t="s">
        <v>35992</v>
      </c>
      <c r="G5247" s="18" t="str">
        <f>"70128"</f>
        <v>70128</v>
      </c>
      <c r="H5247" s="19" t="s">
        <v>36365</v>
      </c>
      <c r="I5247" s="20">
        <v>16.766999999999999</v>
      </c>
      <c r="J5247" s="44" t="s">
        <v>8</v>
      </c>
      <c r="K5247" s="23" t="s">
        <v>8</v>
      </c>
      <c r="L5247" s="23" t="s">
        <v>8</v>
      </c>
      <c r="M5247" s="23" t="s">
        <v>8</v>
      </c>
    </row>
    <row r="5248" spans="1:13" s="21" customFormat="1" x14ac:dyDescent="0.25">
      <c r="A5248" s="22" t="s">
        <v>8</v>
      </c>
      <c r="B5248" s="18" t="str">
        <f>"195220"</f>
        <v>195220</v>
      </c>
      <c r="C5248" s="19" t="s">
        <v>5177</v>
      </c>
      <c r="D5248" s="19" t="s">
        <v>20675</v>
      </c>
      <c r="E5248" s="19" t="s">
        <v>32790</v>
      </c>
      <c r="F5248" s="19" t="s">
        <v>35992</v>
      </c>
      <c r="G5248" s="18" t="str">
        <f>"70461"</f>
        <v>70461</v>
      </c>
      <c r="H5248" s="19" t="s">
        <v>36367</v>
      </c>
      <c r="I5248" s="20">
        <v>19.536000000000001</v>
      </c>
      <c r="J5248" s="44" t="s">
        <v>8</v>
      </c>
      <c r="K5248" s="23" t="s">
        <v>8</v>
      </c>
      <c r="L5248" s="23" t="s">
        <v>8</v>
      </c>
      <c r="M5248" s="23" t="s">
        <v>8</v>
      </c>
    </row>
    <row r="5249" spans="1:13" s="21" customFormat="1" x14ac:dyDescent="0.25">
      <c r="A5249" s="22" t="s">
        <v>8</v>
      </c>
      <c r="B5249" s="18" t="str">
        <f>"195221"</f>
        <v>195221</v>
      </c>
      <c r="C5249" s="19" t="s">
        <v>5178</v>
      </c>
      <c r="D5249" s="19" t="s">
        <v>20676</v>
      </c>
      <c r="E5249" s="19" t="s">
        <v>32797</v>
      </c>
      <c r="F5249" s="19" t="s">
        <v>35992</v>
      </c>
      <c r="G5249" s="18" t="str">
        <f>"70047"</f>
        <v>70047</v>
      </c>
      <c r="H5249" s="19" t="s">
        <v>33589</v>
      </c>
      <c r="I5249" s="20">
        <v>19.481999999999999</v>
      </c>
      <c r="J5249" s="44" t="s">
        <v>8</v>
      </c>
      <c r="K5249" s="23" t="s">
        <v>8</v>
      </c>
      <c r="L5249" s="23" t="s">
        <v>8</v>
      </c>
      <c r="M5249" s="23" t="s">
        <v>8</v>
      </c>
    </row>
    <row r="5250" spans="1:13" s="21" customFormat="1" x14ac:dyDescent="0.25">
      <c r="A5250" s="22" t="s">
        <v>8</v>
      </c>
      <c r="B5250" s="18" t="str">
        <f>"195247"</f>
        <v>195247</v>
      </c>
      <c r="C5250" s="19" t="s">
        <v>5179</v>
      </c>
      <c r="D5250" s="19" t="s">
        <v>20677</v>
      </c>
      <c r="E5250" s="19" t="s">
        <v>32798</v>
      </c>
      <c r="F5250" s="19" t="s">
        <v>35992</v>
      </c>
      <c r="G5250" s="18" t="str">
        <f>"71111"</f>
        <v>71111</v>
      </c>
      <c r="H5250" s="19" t="s">
        <v>36369</v>
      </c>
      <c r="I5250" s="20">
        <v>18.5</v>
      </c>
      <c r="J5250" s="44" t="s">
        <v>8</v>
      </c>
      <c r="K5250" s="23" t="s">
        <v>8</v>
      </c>
      <c r="L5250" s="23" t="s">
        <v>8</v>
      </c>
      <c r="M5250" s="23" t="s">
        <v>8</v>
      </c>
    </row>
    <row r="5251" spans="1:13" s="21" customFormat="1" x14ac:dyDescent="0.25">
      <c r="A5251" s="22" t="s">
        <v>8</v>
      </c>
      <c r="B5251" s="18" t="str">
        <f>"195248"</f>
        <v>195248</v>
      </c>
      <c r="C5251" s="19" t="s">
        <v>5180</v>
      </c>
      <c r="D5251" s="19" t="s">
        <v>20678</v>
      </c>
      <c r="E5251" s="19" t="s">
        <v>32786</v>
      </c>
      <c r="F5251" s="19" t="s">
        <v>35992</v>
      </c>
      <c r="G5251" s="18" t="str">
        <f>"71106"</f>
        <v>71106</v>
      </c>
      <c r="H5251" s="19" t="s">
        <v>36363</v>
      </c>
      <c r="I5251" s="20">
        <v>17.423999999999999</v>
      </c>
      <c r="J5251" s="44" t="s">
        <v>8</v>
      </c>
      <c r="K5251" s="23" t="s">
        <v>8</v>
      </c>
      <c r="L5251" s="23" t="s">
        <v>8</v>
      </c>
      <c r="M5251" s="23" t="s">
        <v>8</v>
      </c>
    </row>
    <row r="5252" spans="1:13" s="21" customFormat="1" x14ac:dyDescent="0.25">
      <c r="A5252" s="22" t="s">
        <v>8</v>
      </c>
      <c r="B5252" s="18" t="str">
        <f>"195249"</f>
        <v>195249</v>
      </c>
      <c r="C5252" s="19" t="s">
        <v>5181</v>
      </c>
      <c r="D5252" s="19" t="s">
        <v>20679</v>
      </c>
      <c r="E5252" s="19" t="s">
        <v>32799</v>
      </c>
      <c r="F5252" s="19" t="s">
        <v>35992</v>
      </c>
      <c r="G5252" s="18" t="str">
        <f>"71467"</f>
        <v>71467</v>
      </c>
      <c r="H5252" s="19" t="s">
        <v>36078</v>
      </c>
      <c r="I5252" s="20">
        <v>18.623000000000001</v>
      </c>
      <c r="J5252" s="44" t="s">
        <v>8</v>
      </c>
      <c r="K5252" s="23" t="s">
        <v>8</v>
      </c>
      <c r="L5252" s="23" t="s">
        <v>8</v>
      </c>
      <c r="M5252" s="23" t="s">
        <v>8</v>
      </c>
    </row>
    <row r="5253" spans="1:13" s="21" customFormat="1" x14ac:dyDescent="0.25">
      <c r="A5253" s="22" t="s">
        <v>8</v>
      </c>
      <c r="B5253" s="18" t="str">
        <f>"195257"</f>
        <v>195257</v>
      </c>
      <c r="C5253" s="19" t="s">
        <v>5182</v>
      </c>
      <c r="D5253" s="19" t="s">
        <v>20680</v>
      </c>
      <c r="E5253" s="19" t="s">
        <v>32782</v>
      </c>
      <c r="F5253" s="19" t="s">
        <v>35992</v>
      </c>
      <c r="G5253" s="18" t="str">
        <f>"71295"</f>
        <v>71295</v>
      </c>
      <c r="H5253" s="19" t="s">
        <v>5</v>
      </c>
      <c r="I5253" s="20">
        <v>20.655999999999999</v>
      </c>
      <c r="J5253" s="44" t="s">
        <v>8</v>
      </c>
      <c r="K5253" s="23" t="s">
        <v>8</v>
      </c>
      <c r="L5253" s="23" t="s">
        <v>8</v>
      </c>
      <c r="M5253" s="23" t="s">
        <v>8</v>
      </c>
    </row>
    <row r="5254" spans="1:13" s="21" customFormat="1" x14ac:dyDescent="0.25">
      <c r="A5254" s="22" t="s">
        <v>8</v>
      </c>
      <c r="B5254" s="18" t="str">
        <f>"195258"</f>
        <v>195258</v>
      </c>
      <c r="C5254" s="19" t="s">
        <v>5183</v>
      </c>
      <c r="D5254" s="19" t="s">
        <v>20681</v>
      </c>
      <c r="E5254" s="19" t="s">
        <v>32800</v>
      </c>
      <c r="F5254" s="19" t="s">
        <v>35992</v>
      </c>
      <c r="G5254" s="18" t="str">
        <f>"70777"</f>
        <v>70777</v>
      </c>
      <c r="H5254" s="19" t="s">
        <v>36366</v>
      </c>
      <c r="I5254" s="20">
        <v>21.494</v>
      </c>
      <c r="J5254" s="44" t="s">
        <v>8</v>
      </c>
      <c r="K5254" s="23" t="s">
        <v>8</v>
      </c>
      <c r="L5254" s="23" t="s">
        <v>8</v>
      </c>
      <c r="M5254" s="23" t="s">
        <v>8</v>
      </c>
    </row>
    <row r="5255" spans="1:13" s="21" customFormat="1" x14ac:dyDescent="0.25">
      <c r="A5255" s="22" t="s">
        <v>8</v>
      </c>
      <c r="B5255" s="18" t="str">
        <f>"195265"</f>
        <v>195265</v>
      </c>
      <c r="C5255" s="19" t="s">
        <v>5184</v>
      </c>
      <c r="D5255" s="19" t="s">
        <v>20682</v>
      </c>
      <c r="E5255" s="19" t="s">
        <v>32076</v>
      </c>
      <c r="F5255" s="19" t="s">
        <v>35992</v>
      </c>
      <c r="G5255" s="18" t="str">
        <f>"71418"</f>
        <v>71418</v>
      </c>
      <c r="H5255" s="19" t="s">
        <v>31876</v>
      </c>
      <c r="I5255" s="20">
        <v>19.847000000000001</v>
      </c>
      <c r="J5255" s="44" t="s">
        <v>8</v>
      </c>
      <c r="K5255" s="23" t="s">
        <v>8</v>
      </c>
      <c r="L5255" s="23" t="s">
        <v>8</v>
      </c>
      <c r="M5255" s="23" t="s">
        <v>8</v>
      </c>
    </row>
    <row r="5256" spans="1:13" s="21" customFormat="1" x14ac:dyDescent="0.25">
      <c r="A5256" s="22" t="s">
        <v>8</v>
      </c>
      <c r="B5256" s="18" t="str">
        <f>"195269"</f>
        <v>195269</v>
      </c>
      <c r="C5256" s="19" t="s">
        <v>5185</v>
      </c>
      <c r="D5256" s="19" t="s">
        <v>20683</v>
      </c>
      <c r="E5256" s="19" t="s">
        <v>32801</v>
      </c>
      <c r="F5256" s="19" t="s">
        <v>35992</v>
      </c>
      <c r="G5256" s="18" t="str">
        <f>"71270"</f>
        <v>71270</v>
      </c>
      <c r="H5256" s="19" t="s">
        <v>31995</v>
      </c>
      <c r="I5256" s="20">
        <v>20.463000000000001</v>
      </c>
      <c r="J5256" s="44" t="s">
        <v>8</v>
      </c>
      <c r="K5256" s="23" t="s">
        <v>8</v>
      </c>
      <c r="L5256" s="23" t="s">
        <v>8</v>
      </c>
      <c r="M5256" s="23" t="s">
        <v>8</v>
      </c>
    </row>
    <row r="5257" spans="1:13" s="21" customFormat="1" x14ac:dyDescent="0.25">
      <c r="A5257" s="22" t="s">
        <v>8</v>
      </c>
      <c r="B5257" s="18" t="str">
        <f>"195272"</f>
        <v>195272</v>
      </c>
      <c r="C5257" s="19" t="s">
        <v>5186</v>
      </c>
      <c r="D5257" s="19" t="s">
        <v>20684</v>
      </c>
      <c r="E5257" s="19" t="s">
        <v>32391</v>
      </c>
      <c r="F5257" s="19" t="s">
        <v>35992</v>
      </c>
      <c r="G5257" s="18" t="str">
        <f>"70121"</f>
        <v>70121</v>
      </c>
      <c r="H5257" s="19" t="s">
        <v>32391</v>
      </c>
      <c r="I5257" s="20">
        <v>22.41</v>
      </c>
      <c r="J5257" s="44" t="s">
        <v>8</v>
      </c>
      <c r="K5257" s="23" t="s">
        <v>8</v>
      </c>
      <c r="L5257" s="23" t="s">
        <v>8</v>
      </c>
      <c r="M5257" s="23" t="s">
        <v>8</v>
      </c>
    </row>
    <row r="5258" spans="1:13" s="21" customFormat="1" x14ac:dyDescent="0.25">
      <c r="A5258" s="22" t="s">
        <v>8</v>
      </c>
      <c r="B5258" s="18" t="str">
        <f>"195275"</f>
        <v>195275</v>
      </c>
      <c r="C5258" s="19" t="s">
        <v>5187</v>
      </c>
      <c r="D5258" s="19" t="s">
        <v>20685</v>
      </c>
      <c r="E5258" s="19" t="s">
        <v>32802</v>
      </c>
      <c r="F5258" s="19" t="s">
        <v>35992</v>
      </c>
      <c r="G5258" s="18" t="str">
        <f>"70301"</f>
        <v>70301</v>
      </c>
      <c r="H5258" s="19" t="s">
        <v>36370</v>
      </c>
      <c r="I5258" s="20">
        <v>18.759</v>
      </c>
      <c r="J5258" s="44" t="s">
        <v>8</v>
      </c>
      <c r="K5258" s="23" t="s">
        <v>8</v>
      </c>
      <c r="L5258" s="23" t="s">
        <v>8</v>
      </c>
      <c r="M5258" s="23" t="s">
        <v>8</v>
      </c>
    </row>
    <row r="5259" spans="1:13" s="21" customFormat="1" x14ac:dyDescent="0.25">
      <c r="A5259" s="22" t="s">
        <v>8</v>
      </c>
      <c r="B5259" s="18" t="str">
        <f>"195278"</f>
        <v>195278</v>
      </c>
      <c r="C5259" s="19" t="s">
        <v>5188</v>
      </c>
      <c r="D5259" s="19" t="s">
        <v>20686</v>
      </c>
      <c r="E5259" s="19" t="s">
        <v>32794</v>
      </c>
      <c r="F5259" s="19" t="s">
        <v>35992</v>
      </c>
      <c r="G5259" s="18" t="str">
        <f>"70003"</f>
        <v>70003</v>
      </c>
      <c r="H5259" s="19" t="s">
        <v>32391</v>
      </c>
      <c r="I5259" s="20">
        <v>22.079000000000001</v>
      </c>
      <c r="J5259" s="44" t="s">
        <v>8</v>
      </c>
      <c r="K5259" s="23" t="s">
        <v>8</v>
      </c>
      <c r="L5259" s="23" t="s">
        <v>8</v>
      </c>
      <c r="M5259" s="23" t="s">
        <v>8</v>
      </c>
    </row>
    <row r="5260" spans="1:13" s="21" customFormat="1" x14ac:dyDescent="0.25">
      <c r="A5260" s="22" t="s">
        <v>8</v>
      </c>
      <c r="B5260" s="18" t="str">
        <f>"195279"</f>
        <v>195279</v>
      </c>
      <c r="C5260" s="19" t="s">
        <v>5189</v>
      </c>
      <c r="D5260" s="19" t="s">
        <v>20687</v>
      </c>
      <c r="E5260" s="19" t="s">
        <v>32803</v>
      </c>
      <c r="F5260" s="19" t="s">
        <v>35992</v>
      </c>
      <c r="G5260" s="18" t="str">
        <f>"70471"</f>
        <v>70471</v>
      </c>
      <c r="H5260" s="19" t="s">
        <v>36367</v>
      </c>
      <c r="I5260" s="20">
        <v>18.736000000000001</v>
      </c>
      <c r="J5260" s="44" t="s">
        <v>8</v>
      </c>
      <c r="K5260" s="23" t="s">
        <v>8</v>
      </c>
      <c r="L5260" s="23" t="s">
        <v>8</v>
      </c>
      <c r="M5260" s="23" t="s">
        <v>8</v>
      </c>
    </row>
    <row r="5261" spans="1:13" s="21" customFormat="1" x14ac:dyDescent="0.25">
      <c r="A5261" s="22" t="s">
        <v>8</v>
      </c>
      <c r="B5261" s="18" t="str">
        <f>"195281"</f>
        <v>195281</v>
      </c>
      <c r="C5261" s="19" t="s">
        <v>5190</v>
      </c>
      <c r="D5261" s="19" t="s">
        <v>20688</v>
      </c>
      <c r="E5261" s="19" t="s">
        <v>32804</v>
      </c>
      <c r="F5261" s="19" t="s">
        <v>35992</v>
      </c>
      <c r="G5261" s="18" t="str">
        <f>"71055"</f>
        <v>71055</v>
      </c>
      <c r="H5261" s="19" t="s">
        <v>33048</v>
      </c>
      <c r="I5261" s="20">
        <v>18.195</v>
      </c>
      <c r="J5261" s="44" t="s">
        <v>8</v>
      </c>
      <c r="K5261" s="23" t="s">
        <v>8</v>
      </c>
      <c r="L5261" s="23" t="s">
        <v>8</v>
      </c>
      <c r="M5261" s="23" t="s">
        <v>8</v>
      </c>
    </row>
    <row r="5262" spans="1:13" s="21" customFormat="1" x14ac:dyDescent="0.25">
      <c r="A5262" s="22" t="s">
        <v>8</v>
      </c>
      <c r="B5262" s="18" t="str">
        <f>"195291"</f>
        <v>195291</v>
      </c>
      <c r="C5262" s="19" t="s">
        <v>5191</v>
      </c>
      <c r="D5262" s="19" t="s">
        <v>20689</v>
      </c>
      <c r="E5262" s="19" t="s">
        <v>32805</v>
      </c>
      <c r="F5262" s="19" t="s">
        <v>35992</v>
      </c>
      <c r="G5262" s="18" t="str">
        <f>"71334"</f>
        <v>71334</v>
      </c>
      <c r="H5262" s="19" t="s">
        <v>32640</v>
      </c>
      <c r="I5262" s="20">
        <v>19.765999999999998</v>
      </c>
      <c r="J5262" s="44" t="s">
        <v>8</v>
      </c>
      <c r="K5262" s="23" t="s">
        <v>8</v>
      </c>
      <c r="L5262" s="23" t="s">
        <v>8</v>
      </c>
      <c r="M5262" s="23" t="s">
        <v>8</v>
      </c>
    </row>
    <row r="5263" spans="1:13" s="21" customFormat="1" x14ac:dyDescent="0.25">
      <c r="A5263" s="22" t="s">
        <v>8</v>
      </c>
      <c r="B5263" s="18" t="str">
        <f>"195293"</f>
        <v>195293</v>
      </c>
      <c r="C5263" s="19" t="s">
        <v>5192</v>
      </c>
      <c r="D5263" s="19" t="s">
        <v>20690</v>
      </c>
      <c r="E5263" s="19" t="s">
        <v>32796</v>
      </c>
      <c r="F5263" s="19" t="s">
        <v>35992</v>
      </c>
      <c r="G5263" s="18" t="str">
        <f>"71457"</f>
        <v>71457</v>
      </c>
      <c r="H5263" s="19" t="s">
        <v>32796</v>
      </c>
      <c r="I5263" s="20">
        <v>20.896999999999998</v>
      </c>
      <c r="J5263" s="44" t="s">
        <v>8</v>
      </c>
      <c r="K5263" s="23" t="s">
        <v>8</v>
      </c>
      <c r="L5263" s="23" t="s">
        <v>8</v>
      </c>
      <c r="M5263" s="23" t="s">
        <v>8</v>
      </c>
    </row>
    <row r="5264" spans="1:13" s="21" customFormat="1" x14ac:dyDescent="0.25">
      <c r="A5264" s="22" t="s">
        <v>8</v>
      </c>
      <c r="B5264" s="18" t="str">
        <f>"195297"</f>
        <v>195297</v>
      </c>
      <c r="C5264" s="19" t="s">
        <v>5193</v>
      </c>
      <c r="D5264" s="19" t="s">
        <v>20691</v>
      </c>
      <c r="E5264" s="19" t="s">
        <v>32803</v>
      </c>
      <c r="F5264" s="19" t="s">
        <v>35992</v>
      </c>
      <c r="G5264" s="18" t="str">
        <f>"70448"</f>
        <v>70448</v>
      </c>
      <c r="H5264" s="19" t="s">
        <v>36367</v>
      </c>
      <c r="I5264" s="20">
        <v>22.42</v>
      </c>
      <c r="J5264" s="44" t="s">
        <v>8</v>
      </c>
      <c r="K5264" s="23" t="s">
        <v>8</v>
      </c>
      <c r="L5264" s="23" t="s">
        <v>8</v>
      </c>
      <c r="M5264" s="23" t="s">
        <v>8</v>
      </c>
    </row>
    <row r="5265" spans="1:13" s="21" customFormat="1" x14ac:dyDescent="0.25">
      <c r="A5265" s="22" t="s">
        <v>8</v>
      </c>
      <c r="B5265" s="18" t="str">
        <f>"195301"</f>
        <v>195301</v>
      </c>
      <c r="C5265" s="19" t="s">
        <v>5194</v>
      </c>
      <c r="D5265" s="19" t="s">
        <v>20692</v>
      </c>
      <c r="E5265" s="19" t="s">
        <v>32790</v>
      </c>
      <c r="F5265" s="19" t="s">
        <v>35992</v>
      </c>
      <c r="G5265" s="18" t="str">
        <f>"70458"</f>
        <v>70458</v>
      </c>
      <c r="H5265" s="19" t="s">
        <v>36367</v>
      </c>
      <c r="I5265" s="20">
        <v>21.811</v>
      </c>
      <c r="J5265" s="44" t="s">
        <v>8</v>
      </c>
      <c r="K5265" s="23" t="s">
        <v>8</v>
      </c>
      <c r="L5265" s="23" t="s">
        <v>8</v>
      </c>
      <c r="M5265" s="23" t="s">
        <v>8</v>
      </c>
    </row>
    <row r="5266" spans="1:13" s="21" customFormat="1" x14ac:dyDescent="0.25">
      <c r="A5266" s="22" t="s">
        <v>8</v>
      </c>
      <c r="B5266" s="18" t="str">
        <f>"195302"</f>
        <v>195302</v>
      </c>
      <c r="C5266" s="19" t="s">
        <v>5195</v>
      </c>
      <c r="D5266" s="19" t="s">
        <v>20693</v>
      </c>
      <c r="E5266" s="19" t="s">
        <v>32790</v>
      </c>
      <c r="F5266" s="19" t="s">
        <v>35992</v>
      </c>
      <c r="G5266" s="18" t="str">
        <f>"70458"</f>
        <v>70458</v>
      </c>
      <c r="H5266" s="19" t="s">
        <v>36367</v>
      </c>
      <c r="I5266" s="20">
        <v>22.047000000000001</v>
      </c>
      <c r="J5266" s="44" t="s">
        <v>8</v>
      </c>
      <c r="K5266" s="23" t="s">
        <v>8</v>
      </c>
      <c r="L5266" s="23" t="s">
        <v>8</v>
      </c>
      <c r="M5266" s="23" t="s">
        <v>8</v>
      </c>
    </row>
    <row r="5267" spans="1:13" s="21" customFormat="1" x14ac:dyDescent="0.25">
      <c r="A5267" s="22" t="s">
        <v>8</v>
      </c>
      <c r="B5267" s="18" t="str">
        <f>"195303"</f>
        <v>195303</v>
      </c>
      <c r="C5267" s="19" t="s">
        <v>5196</v>
      </c>
      <c r="D5267" s="19" t="s">
        <v>20694</v>
      </c>
      <c r="E5267" s="19" t="s">
        <v>32806</v>
      </c>
      <c r="F5267" s="19" t="s">
        <v>35992</v>
      </c>
      <c r="G5267" s="18" t="str">
        <f>"70068"</f>
        <v>70068</v>
      </c>
      <c r="H5267" s="19" t="s">
        <v>36371</v>
      </c>
      <c r="I5267" s="20">
        <v>22.27</v>
      </c>
      <c r="J5267" s="44" t="s">
        <v>8</v>
      </c>
      <c r="K5267" s="23" t="s">
        <v>8</v>
      </c>
      <c r="L5267" s="23" t="s">
        <v>8</v>
      </c>
      <c r="M5267" s="23" t="s">
        <v>8</v>
      </c>
    </row>
    <row r="5268" spans="1:13" s="21" customFormat="1" x14ac:dyDescent="0.25">
      <c r="A5268" s="22" t="s">
        <v>8</v>
      </c>
      <c r="B5268" s="18" t="str">
        <f>"195304"</f>
        <v>195304</v>
      </c>
      <c r="C5268" s="19" t="s">
        <v>5197</v>
      </c>
      <c r="D5268" s="19" t="s">
        <v>20695</v>
      </c>
      <c r="E5268" s="19" t="s">
        <v>32807</v>
      </c>
      <c r="F5268" s="19" t="s">
        <v>35992</v>
      </c>
      <c r="G5268" s="18" t="str">
        <f>"70071"</f>
        <v>70071</v>
      </c>
      <c r="H5268" s="19" t="s">
        <v>33607</v>
      </c>
      <c r="I5268" s="20">
        <v>20.414999999999999</v>
      </c>
      <c r="J5268" s="44" t="s">
        <v>8</v>
      </c>
      <c r="K5268" s="23" t="s">
        <v>8</v>
      </c>
      <c r="L5268" s="23" t="s">
        <v>8</v>
      </c>
      <c r="M5268" s="23" t="s">
        <v>8</v>
      </c>
    </row>
    <row r="5269" spans="1:13" s="21" customFormat="1" x14ac:dyDescent="0.25">
      <c r="A5269" s="22" t="s">
        <v>8</v>
      </c>
      <c r="B5269" s="18" t="str">
        <f>"195305"</f>
        <v>195305</v>
      </c>
      <c r="C5269" s="19" t="s">
        <v>5198</v>
      </c>
      <c r="D5269" s="19" t="s">
        <v>20696</v>
      </c>
      <c r="E5269" s="19" t="s">
        <v>32808</v>
      </c>
      <c r="F5269" s="19" t="s">
        <v>35992</v>
      </c>
      <c r="G5269" s="18" t="str">
        <f>"70394"</f>
        <v>70394</v>
      </c>
      <c r="H5269" s="19" t="s">
        <v>36370</v>
      </c>
      <c r="I5269" s="20">
        <v>21.201000000000001</v>
      </c>
      <c r="J5269" s="44" t="s">
        <v>8</v>
      </c>
      <c r="K5269" s="23" t="s">
        <v>8</v>
      </c>
      <c r="L5269" s="23" t="s">
        <v>8</v>
      </c>
      <c r="M5269" s="23" t="s">
        <v>8</v>
      </c>
    </row>
    <row r="5270" spans="1:13" s="21" customFormat="1" x14ac:dyDescent="0.25">
      <c r="A5270" s="22" t="s">
        <v>8</v>
      </c>
      <c r="B5270" s="18" t="str">
        <f>"195307"</f>
        <v>195307</v>
      </c>
      <c r="C5270" s="19" t="s">
        <v>5199</v>
      </c>
      <c r="D5270" s="19" t="s">
        <v>20697</v>
      </c>
      <c r="E5270" s="19" t="s">
        <v>32793</v>
      </c>
      <c r="F5270" s="19" t="s">
        <v>35992</v>
      </c>
      <c r="G5270" s="18" t="str">
        <f>"70360"</f>
        <v>70360</v>
      </c>
      <c r="H5270" s="19" t="s">
        <v>36368</v>
      </c>
      <c r="I5270" s="20">
        <v>18.835999999999999</v>
      </c>
      <c r="J5270" s="44" t="s">
        <v>8</v>
      </c>
      <c r="K5270" s="23" t="s">
        <v>8</v>
      </c>
      <c r="L5270" s="23" t="s">
        <v>8</v>
      </c>
      <c r="M5270" s="23" t="s">
        <v>8</v>
      </c>
    </row>
    <row r="5271" spans="1:13" s="21" customFormat="1" x14ac:dyDescent="0.25">
      <c r="A5271" s="22" t="s">
        <v>8</v>
      </c>
      <c r="B5271" s="18" t="str">
        <f>"195309"</f>
        <v>195309</v>
      </c>
      <c r="C5271" s="19" t="s">
        <v>5200</v>
      </c>
      <c r="D5271" s="19" t="s">
        <v>20698</v>
      </c>
      <c r="E5271" s="19" t="s">
        <v>32789</v>
      </c>
      <c r="F5271" s="19" t="s">
        <v>35992</v>
      </c>
      <c r="G5271" s="18" t="str">
        <f>"70056"</f>
        <v>70056</v>
      </c>
      <c r="H5271" s="19" t="s">
        <v>32391</v>
      </c>
      <c r="I5271" s="20">
        <v>20.18</v>
      </c>
      <c r="J5271" s="44" t="s">
        <v>8</v>
      </c>
      <c r="K5271" s="23" t="s">
        <v>8</v>
      </c>
      <c r="L5271" s="23" t="s">
        <v>8</v>
      </c>
      <c r="M5271" s="23" t="s">
        <v>8</v>
      </c>
    </row>
    <row r="5272" spans="1:13" s="21" customFormat="1" x14ac:dyDescent="0.25">
      <c r="A5272" s="22" t="s">
        <v>8</v>
      </c>
      <c r="B5272" s="18" t="str">
        <f>"195310"</f>
        <v>195310</v>
      </c>
      <c r="C5272" s="19" t="s">
        <v>5201</v>
      </c>
      <c r="D5272" s="19" t="s">
        <v>20699</v>
      </c>
      <c r="E5272" s="19" t="s">
        <v>32809</v>
      </c>
      <c r="F5272" s="19" t="s">
        <v>35992</v>
      </c>
      <c r="G5272" s="18" t="str">
        <f>"71449"</f>
        <v>71449</v>
      </c>
      <c r="H5272" s="19" t="s">
        <v>36372</v>
      </c>
      <c r="I5272" s="20">
        <v>19.047999999999998</v>
      </c>
      <c r="J5272" s="44" t="s">
        <v>8</v>
      </c>
      <c r="K5272" s="23" t="s">
        <v>8</v>
      </c>
      <c r="L5272" s="23" t="s">
        <v>8</v>
      </c>
      <c r="M5272" s="23" t="s">
        <v>8</v>
      </c>
    </row>
    <row r="5273" spans="1:13" s="21" customFormat="1" x14ac:dyDescent="0.25">
      <c r="A5273" s="22" t="s">
        <v>8</v>
      </c>
      <c r="B5273" s="18" t="str">
        <f>"195312"</f>
        <v>195312</v>
      </c>
      <c r="C5273" s="19" t="s">
        <v>5202</v>
      </c>
      <c r="D5273" s="19" t="s">
        <v>20700</v>
      </c>
      <c r="E5273" s="19" t="s">
        <v>32786</v>
      </c>
      <c r="F5273" s="19" t="s">
        <v>35992</v>
      </c>
      <c r="G5273" s="18" t="str">
        <f>"71106"</f>
        <v>71106</v>
      </c>
      <c r="H5273" s="19" t="s">
        <v>36363</v>
      </c>
      <c r="I5273" s="20">
        <v>16.702000000000002</v>
      </c>
      <c r="J5273" s="44" t="s">
        <v>8</v>
      </c>
      <c r="K5273" s="23" t="s">
        <v>8</v>
      </c>
      <c r="L5273" s="23" t="s">
        <v>8</v>
      </c>
      <c r="M5273" s="23" t="s">
        <v>8</v>
      </c>
    </row>
    <row r="5274" spans="1:13" s="21" customFormat="1" x14ac:dyDescent="0.25">
      <c r="A5274" s="22" t="s">
        <v>8</v>
      </c>
      <c r="B5274" s="18" t="str">
        <f>"195313"</f>
        <v>195313</v>
      </c>
      <c r="C5274" s="19" t="s">
        <v>5203</v>
      </c>
      <c r="D5274" s="19" t="s">
        <v>20701</v>
      </c>
      <c r="E5274" s="19" t="s">
        <v>32810</v>
      </c>
      <c r="F5274" s="19" t="s">
        <v>35992</v>
      </c>
      <c r="G5274" s="18" t="str">
        <f>"70517"</f>
        <v>70517</v>
      </c>
      <c r="H5274" s="19" t="s">
        <v>36373</v>
      </c>
      <c r="I5274" s="20">
        <v>18.212</v>
      </c>
      <c r="J5274" s="44" t="s">
        <v>8</v>
      </c>
      <c r="K5274" s="23" t="s">
        <v>8</v>
      </c>
      <c r="L5274" s="23" t="s">
        <v>8</v>
      </c>
      <c r="M5274" s="23" t="s">
        <v>8</v>
      </c>
    </row>
    <row r="5275" spans="1:13" s="21" customFormat="1" x14ac:dyDescent="0.25">
      <c r="A5275" s="22" t="s">
        <v>8</v>
      </c>
      <c r="B5275" s="18" t="str">
        <f>"195314"</f>
        <v>195314</v>
      </c>
      <c r="C5275" s="19" t="s">
        <v>5204</v>
      </c>
      <c r="D5275" s="19" t="s">
        <v>20702</v>
      </c>
      <c r="E5275" s="19" t="s">
        <v>32774</v>
      </c>
      <c r="F5275" s="19" t="s">
        <v>35992</v>
      </c>
      <c r="G5275" s="18" t="str">
        <f>"70546"</f>
        <v>70546</v>
      </c>
      <c r="H5275" s="19" t="s">
        <v>36356</v>
      </c>
      <c r="I5275" s="20">
        <v>18.492000000000001</v>
      </c>
      <c r="J5275" s="44" t="s">
        <v>8</v>
      </c>
      <c r="K5275" s="23" t="s">
        <v>8</v>
      </c>
      <c r="L5275" s="23" t="s">
        <v>8</v>
      </c>
      <c r="M5275" s="23" t="s">
        <v>8</v>
      </c>
    </row>
    <row r="5276" spans="1:13" s="21" customFormat="1" x14ac:dyDescent="0.25">
      <c r="A5276" s="22" t="s">
        <v>8</v>
      </c>
      <c r="B5276" s="18" t="str">
        <f>"195315"</f>
        <v>195315</v>
      </c>
      <c r="C5276" s="19" t="s">
        <v>5205</v>
      </c>
      <c r="D5276" s="19" t="s">
        <v>20703</v>
      </c>
      <c r="E5276" s="19" t="s">
        <v>32811</v>
      </c>
      <c r="F5276" s="19" t="s">
        <v>35992</v>
      </c>
      <c r="G5276" s="18" t="str">
        <f>"70548"</f>
        <v>70548</v>
      </c>
      <c r="H5276" s="19" t="s">
        <v>34509</v>
      </c>
      <c r="I5276" s="20">
        <v>19.911000000000001</v>
      </c>
      <c r="J5276" s="44" t="s">
        <v>8</v>
      </c>
      <c r="K5276" s="23" t="s">
        <v>8</v>
      </c>
      <c r="L5276" s="23" t="s">
        <v>8</v>
      </c>
      <c r="M5276" s="23" t="s">
        <v>8</v>
      </c>
    </row>
    <row r="5277" spans="1:13" s="21" customFormat="1" x14ac:dyDescent="0.25">
      <c r="A5277" s="22" t="s">
        <v>8</v>
      </c>
      <c r="B5277" s="18" t="str">
        <f>"195316"</f>
        <v>195316</v>
      </c>
      <c r="C5277" s="19" t="s">
        <v>5206</v>
      </c>
      <c r="D5277" s="19" t="s">
        <v>20704</v>
      </c>
      <c r="E5277" s="19" t="s">
        <v>32786</v>
      </c>
      <c r="F5277" s="19" t="s">
        <v>35992</v>
      </c>
      <c r="G5277" s="18" t="str">
        <f>"71103"</f>
        <v>71103</v>
      </c>
      <c r="H5277" s="19" t="s">
        <v>36363</v>
      </c>
      <c r="I5277" s="20">
        <v>18.201000000000001</v>
      </c>
      <c r="J5277" s="44" t="s">
        <v>8</v>
      </c>
      <c r="K5277" s="23" t="s">
        <v>8</v>
      </c>
      <c r="L5277" s="23" t="s">
        <v>8</v>
      </c>
      <c r="M5277" s="23" t="s">
        <v>8</v>
      </c>
    </row>
    <row r="5278" spans="1:13" s="21" customFormat="1" x14ac:dyDescent="0.25">
      <c r="A5278" s="22" t="s">
        <v>8</v>
      </c>
      <c r="B5278" s="18" t="str">
        <f>"195318"</f>
        <v>195318</v>
      </c>
      <c r="C5278" s="19" t="s">
        <v>5207</v>
      </c>
      <c r="D5278" s="19" t="s">
        <v>20705</v>
      </c>
      <c r="E5278" s="19" t="s">
        <v>32812</v>
      </c>
      <c r="F5278" s="19" t="s">
        <v>35992</v>
      </c>
      <c r="G5278" s="18" t="str">
        <f>"70570"</f>
        <v>70570</v>
      </c>
      <c r="H5278" s="19" t="s">
        <v>36374</v>
      </c>
      <c r="I5278" s="20">
        <v>22.393000000000001</v>
      </c>
      <c r="J5278" s="44" t="s">
        <v>8</v>
      </c>
      <c r="K5278" s="23" t="s">
        <v>8</v>
      </c>
      <c r="L5278" s="23" t="s">
        <v>8</v>
      </c>
      <c r="M5278" s="23" t="s">
        <v>8</v>
      </c>
    </row>
    <row r="5279" spans="1:13" s="21" customFormat="1" x14ac:dyDescent="0.25">
      <c r="A5279" s="22" t="s">
        <v>8</v>
      </c>
      <c r="B5279" s="18" t="str">
        <f>"195319"</f>
        <v>195319</v>
      </c>
      <c r="C5279" s="19" t="s">
        <v>5208</v>
      </c>
      <c r="D5279" s="19" t="s">
        <v>20706</v>
      </c>
      <c r="E5279" s="19" t="s">
        <v>32802</v>
      </c>
      <c r="F5279" s="19" t="s">
        <v>35992</v>
      </c>
      <c r="G5279" s="18" t="str">
        <f>"70301"</f>
        <v>70301</v>
      </c>
      <c r="H5279" s="19" t="s">
        <v>36370</v>
      </c>
      <c r="I5279" s="20">
        <v>21.324000000000002</v>
      </c>
      <c r="J5279" s="44" t="s">
        <v>8</v>
      </c>
      <c r="K5279" s="23" t="s">
        <v>8</v>
      </c>
      <c r="L5279" s="23" t="s">
        <v>8</v>
      </c>
      <c r="M5279" s="23" t="s">
        <v>8</v>
      </c>
    </row>
    <row r="5280" spans="1:13" s="21" customFormat="1" x14ac:dyDescent="0.25">
      <c r="A5280" s="22" t="s">
        <v>8</v>
      </c>
      <c r="B5280" s="18" t="str">
        <f>"195321"</f>
        <v>195321</v>
      </c>
      <c r="C5280" s="19" t="s">
        <v>5209</v>
      </c>
      <c r="D5280" s="19" t="s">
        <v>20707</v>
      </c>
      <c r="E5280" s="19" t="s">
        <v>32812</v>
      </c>
      <c r="F5280" s="19" t="s">
        <v>35992</v>
      </c>
      <c r="G5280" s="18" t="str">
        <f>"70570"</f>
        <v>70570</v>
      </c>
      <c r="H5280" s="19" t="s">
        <v>36374</v>
      </c>
      <c r="I5280" s="20">
        <v>16.654</v>
      </c>
      <c r="J5280" s="44" t="s">
        <v>8</v>
      </c>
      <c r="K5280" s="23" t="s">
        <v>8</v>
      </c>
      <c r="L5280" s="23" t="s">
        <v>8</v>
      </c>
      <c r="M5280" s="23" t="s">
        <v>8</v>
      </c>
    </row>
    <row r="5281" spans="1:13" s="21" customFormat="1" x14ac:dyDescent="0.25">
      <c r="A5281" s="22" t="s">
        <v>8</v>
      </c>
      <c r="B5281" s="18" t="str">
        <f>"195323"</f>
        <v>195323</v>
      </c>
      <c r="C5281" s="19" t="s">
        <v>5210</v>
      </c>
      <c r="D5281" s="19" t="s">
        <v>20708</v>
      </c>
      <c r="E5281" s="19" t="s">
        <v>32798</v>
      </c>
      <c r="F5281" s="19" t="s">
        <v>35992</v>
      </c>
      <c r="G5281" s="18" t="str">
        <f>"71111"</f>
        <v>71111</v>
      </c>
      <c r="H5281" s="19" t="s">
        <v>36369</v>
      </c>
      <c r="I5281" s="20">
        <v>19.765000000000001</v>
      </c>
      <c r="J5281" s="44" t="s">
        <v>8</v>
      </c>
      <c r="K5281" s="23" t="s">
        <v>8</v>
      </c>
      <c r="L5281" s="23" t="s">
        <v>8</v>
      </c>
      <c r="M5281" s="23" t="s">
        <v>8</v>
      </c>
    </row>
    <row r="5282" spans="1:13" s="21" customFormat="1" x14ac:dyDescent="0.25">
      <c r="A5282" s="22" t="s">
        <v>8</v>
      </c>
      <c r="B5282" s="18" t="str">
        <f>"195324"</f>
        <v>195324</v>
      </c>
      <c r="C5282" s="19" t="s">
        <v>5211</v>
      </c>
      <c r="D5282" s="19" t="s">
        <v>20709</v>
      </c>
      <c r="E5282" s="19" t="s">
        <v>32813</v>
      </c>
      <c r="F5282" s="19" t="s">
        <v>35992</v>
      </c>
      <c r="G5282" s="18" t="str">
        <f>"70438"</f>
        <v>70438</v>
      </c>
      <c r="H5282" s="19" t="s">
        <v>31500</v>
      </c>
      <c r="I5282" s="20">
        <v>20.064</v>
      </c>
      <c r="J5282" s="44" t="s">
        <v>8</v>
      </c>
      <c r="K5282" s="23" t="s">
        <v>8</v>
      </c>
      <c r="L5282" s="23" t="s">
        <v>8</v>
      </c>
      <c r="M5282" s="23" t="s">
        <v>8</v>
      </c>
    </row>
    <row r="5283" spans="1:13" s="21" customFormat="1" x14ac:dyDescent="0.25">
      <c r="A5283" s="22" t="s">
        <v>8</v>
      </c>
      <c r="B5283" s="18" t="str">
        <f>"195325"</f>
        <v>195325</v>
      </c>
      <c r="C5283" s="19" t="s">
        <v>5212</v>
      </c>
      <c r="D5283" s="19" t="s">
        <v>20710</v>
      </c>
      <c r="E5283" s="19" t="s">
        <v>32814</v>
      </c>
      <c r="F5283" s="19" t="s">
        <v>35992</v>
      </c>
      <c r="G5283" s="18" t="str">
        <f>"71082"</f>
        <v>71082</v>
      </c>
      <c r="H5283" s="19" t="s">
        <v>36363</v>
      </c>
      <c r="I5283" s="20">
        <v>19.989000000000001</v>
      </c>
      <c r="J5283" s="44" t="s">
        <v>8</v>
      </c>
      <c r="K5283" s="23" t="s">
        <v>8</v>
      </c>
      <c r="L5283" s="23" t="s">
        <v>8</v>
      </c>
      <c r="M5283" s="23" t="s">
        <v>8</v>
      </c>
    </row>
    <row r="5284" spans="1:13" s="21" customFormat="1" x14ac:dyDescent="0.25">
      <c r="A5284" s="22" t="s">
        <v>8</v>
      </c>
      <c r="B5284" s="18" t="str">
        <f>"195326"</f>
        <v>195326</v>
      </c>
      <c r="C5284" s="19" t="s">
        <v>5213</v>
      </c>
      <c r="D5284" s="19" t="s">
        <v>20711</v>
      </c>
      <c r="E5284" s="19" t="s">
        <v>32815</v>
      </c>
      <c r="F5284" s="19" t="s">
        <v>35992</v>
      </c>
      <c r="G5284" s="18" t="str">
        <f>"70560"</f>
        <v>70560</v>
      </c>
      <c r="H5284" s="19" t="s">
        <v>36375</v>
      </c>
      <c r="I5284" s="20">
        <v>18.922000000000001</v>
      </c>
      <c r="J5284" s="44" t="s">
        <v>8</v>
      </c>
      <c r="K5284" s="23" t="s">
        <v>8</v>
      </c>
      <c r="L5284" s="23" t="s">
        <v>8</v>
      </c>
      <c r="M5284" s="23" t="s">
        <v>8</v>
      </c>
    </row>
    <row r="5285" spans="1:13" s="21" customFormat="1" x14ac:dyDescent="0.25">
      <c r="A5285" s="22" t="s">
        <v>8</v>
      </c>
      <c r="B5285" s="18" t="str">
        <f>"195327"</f>
        <v>195327</v>
      </c>
      <c r="C5285" s="19" t="s">
        <v>5214</v>
      </c>
      <c r="D5285" s="19" t="s">
        <v>20712</v>
      </c>
      <c r="E5285" s="19" t="s">
        <v>32816</v>
      </c>
      <c r="F5285" s="19" t="s">
        <v>35992</v>
      </c>
      <c r="G5285" s="18" t="str">
        <f>"70737"</f>
        <v>70737</v>
      </c>
      <c r="H5285" s="19" t="s">
        <v>36376</v>
      </c>
      <c r="I5285" s="20">
        <v>17.141999999999999</v>
      </c>
      <c r="J5285" s="44" t="s">
        <v>8</v>
      </c>
      <c r="K5285" s="23" t="s">
        <v>8</v>
      </c>
      <c r="L5285" s="23" t="s">
        <v>8</v>
      </c>
      <c r="M5285" s="23" t="s">
        <v>8</v>
      </c>
    </row>
    <row r="5286" spans="1:13" s="21" customFormat="1" x14ac:dyDescent="0.25">
      <c r="A5286" s="22" t="s">
        <v>8</v>
      </c>
      <c r="B5286" s="18" t="str">
        <f>"195328"</f>
        <v>195328</v>
      </c>
      <c r="C5286" s="19" t="s">
        <v>5215</v>
      </c>
      <c r="D5286" s="19" t="s">
        <v>20713</v>
      </c>
      <c r="E5286" s="19" t="s">
        <v>32815</v>
      </c>
      <c r="F5286" s="19" t="s">
        <v>35992</v>
      </c>
      <c r="G5286" s="18" t="str">
        <f>"70563"</f>
        <v>70563</v>
      </c>
      <c r="H5286" s="19" t="s">
        <v>36375</v>
      </c>
      <c r="I5286" s="20">
        <v>22.096</v>
      </c>
      <c r="J5286" s="44" t="s">
        <v>8</v>
      </c>
      <c r="K5286" s="23" t="s">
        <v>8</v>
      </c>
      <c r="L5286" s="23" t="s">
        <v>8</v>
      </c>
      <c r="M5286" s="23" t="s">
        <v>8</v>
      </c>
    </row>
    <row r="5287" spans="1:13" s="21" customFormat="1" x14ac:dyDescent="0.25">
      <c r="A5287" s="22" t="s">
        <v>8</v>
      </c>
      <c r="B5287" s="18" t="str">
        <f>"195329"</f>
        <v>195329</v>
      </c>
      <c r="C5287" s="19" t="s">
        <v>5216</v>
      </c>
      <c r="D5287" s="19" t="s">
        <v>20714</v>
      </c>
      <c r="E5287" s="19" t="s">
        <v>32817</v>
      </c>
      <c r="F5287" s="19" t="s">
        <v>35992</v>
      </c>
      <c r="G5287" s="18" t="str">
        <f>"70764"</f>
        <v>70764</v>
      </c>
      <c r="H5287" s="19" t="s">
        <v>36377</v>
      </c>
      <c r="I5287" s="20">
        <v>19.648</v>
      </c>
      <c r="J5287" s="44" t="s">
        <v>8</v>
      </c>
      <c r="K5287" s="23" t="s">
        <v>8</v>
      </c>
      <c r="L5287" s="23" t="s">
        <v>8</v>
      </c>
      <c r="M5287" s="23" t="s">
        <v>8</v>
      </c>
    </row>
    <row r="5288" spans="1:13" s="21" customFormat="1" x14ac:dyDescent="0.25">
      <c r="A5288" s="22" t="s">
        <v>8</v>
      </c>
      <c r="B5288" s="18" t="str">
        <f>"195336"</f>
        <v>195336</v>
      </c>
      <c r="C5288" s="19" t="s">
        <v>5217</v>
      </c>
      <c r="D5288" s="19" t="s">
        <v>20715</v>
      </c>
      <c r="E5288" s="19" t="s">
        <v>32795</v>
      </c>
      <c r="F5288" s="19" t="s">
        <v>35992</v>
      </c>
      <c r="G5288" s="18" t="str">
        <f>"70072"</f>
        <v>70072</v>
      </c>
      <c r="H5288" s="19" t="s">
        <v>32391</v>
      </c>
      <c r="I5288" s="20">
        <v>20.981999999999999</v>
      </c>
      <c r="J5288" s="44" t="s">
        <v>8</v>
      </c>
      <c r="K5288" s="23" t="s">
        <v>8</v>
      </c>
      <c r="L5288" s="23" t="s">
        <v>8</v>
      </c>
      <c r="M5288" s="23" t="s">
        <v>8</v>
      </c>
    </row>
    <row r="5289" spans="1:13" s="21" customFormat="1" x14ac:dyDescent="0.25">
      <c r="A5289" s="22" t="s">
        <v>8</v>
      </c>
      <c r="B5289" s="18" t="str">
        <f>"195341"</f>
        <v>195341</v>
      </c>
      <c r="C5289" s="19" t="s">
        <v>5218</v>
      </c>
      <c r="D5289" s="19" t="s">
        <v>20716</v>
      </c>
      <c r="E5289" s="19" t="s">
        <v>32788</v>
      </c>
      <c r="F5289" s="19" t="s">
        <v>35992</v>
      </c>
      <c r="G5289" s="18" t="str">
        <f>"70131"</f>
        <v>70131</v>
      </c>
      <c r="H5289" s="19" t="s">
        <v>36365</v>
      </c>
      <c r="I5289" s="20">
        <v>18.556000000000001</v>
      </c>
      <c r="J5289" s="44" t="s">
        <v>8</v>
      </c>
      <c r="K5289" s="23" t="s">
        <v>8</v>
      </c>
      <c r="L5289" s="23" t="s">
        <v>8</v>
      </c>
      <c r="M5289" s="23" t="s">
        <v>8</v>
      </c>
    </row>
    <row r="5290" spans="1:13" s="21" customFormat="1" x14ac:dyDescent="0.25">
      <c r="A5290" s="22" t="s">
        <v>8</v>
      </c>
      <c r="B5290" s="18" t="str">
        <f>"195342"</f>
        <v>195342</v>
      </c>
      <c r="C5290" s="19" t="s">
        <v>5219</v>
      </c>
      <c r="D5290" s="19" t="s">
        <v>20717</v>
      </c>
      <c r="E5290" s="19" t="s">
        <v>32818</v>
      </c>
      <c r="F5290" s="19" t="s">
        <v>35992</v>
      </c>
      <c r="G5290" s="18" t="str">
        <f>"70555"</f>
        <v>70555</v>
      </c>
      <c r="H5290" s="19" t="s">
        <v>34509</v>
      </c>
      <c r="I5290" s="20">
        <v>18.378</v>
      </c>
      <c r="J5290" s="44" t="s">
        <v>8</v>
      </c>
      <c r="K5290" s="23" t="s">
        <v>8</v>
      </c>
      <c r="L5290" s="23" t="s">
        <v>8</v>
      </c>
      <c r="M5290" s="23" t="s">
        <v>8</v>
      </c>
    </row>
    <row r="5291" spans="1:13" s="21" customFormat="1" x14ac:dyDescent="0.25">
      <c r="A5291" s="22" t="s">
        <v>8</v>
      </c>
      <c r="B5291" s="18" t="str">
        <f>"195343"</f>
        <v>195343</v>
      </c>
      <c r="C5291" s="19" t="s">
        <v>5220</v>
      </c>
      <c r="D5291" s="19" t="s">
        <v>20718</v>
      </c>
      <c r="E5291" s="19" t="s">
        <v>32817</v>
      </c>
      <c r="F5291" s="19" t="s">
        <v>35992</v>
      </c>
      <c r="G5291" s="18" t="str">
        <f>"70764"</f>
        <v>70764</v>
      </c>
      <c r="H5291" s="19" t="s">
        <v>36377</v>
      </c>
      <c r="I5291" s="20">
        <v>23.242999999999999</v>
      </c>
      <c r="J5291" s="44" t="s">
        <v>8</v>
      </c>
      <c r="K5291" s="23" t="s">
        <v>8</v>
      </c>
      <c r="L5291" s="23" t="s">
        <v>8</v>
      </c>
      <c r="M5291" s="23" t="s">
        <v>8</v>
      </c>
    </row>
    <row r="5292" spans="1:13" s="21" customFormat="1" x14ac:dyDescent="0.25">
      <c r="A5292" s="22" t="s">
        <v>8</v>
      </c>
      <c r="B5292" s="18" t="str">
        <f>"195344"</f>
        <v>195344</v>
      </c>
      <c r="C5292" s="19" t="s">
        <v>2188</v>
      </c>
      <c r="D5292" s="19" t="s">
        <v>20719</v>
      </c>
      <c r="E5292" s="19" t="s">
        <v>32786</v>
      </c>
      <c r="F5292" s="19" t="s">
        <v>35992</v>
      </c>
      <c r="G5292" s="18" t="str">
        <f>"71106"</f>
        <v>71106</v>
      </c>
      <c r="H5292" s="19" t="s">
        <v>36363</v>
      </c>
      <c r="I5292" s="20">
        <v>17.177</v>
      </c>
      <c r="J5292" s="44" t="s">
        <v>8</v>
      </c>
      <c r="K5292" s="23" t="s">
        <v>8</v>
      </c>
      <c r="L5292" s="23" t="s">
        <v>8</v>
      </c>
      <c r="M5292" s="23" t="s">
        <v>8</v>
      </c>
    </row>
    <row r="5293" spans="1:13" s="21" customFormat="1" x14ac:dyDescent="0.25">
      <c r="A5293" s="22" t="s">
        <v>8</v>
      </c>
      <c r="B5293" s="18" t="str">
        <f>"195346"</f>
        <v>195346</v>
      </c>
      <c r="C5293" s="19" t="s">
        <v>5221</v>
      </c>
      <c r="D5293" s="19" t="s">
        <v>20720</v>
      </c>
      <c r="E5293" s="19" t="s">
        <v>31196</v>
      </c>
      <c r="F5293" s="19" t="s">
        <v>35992</v>
      </c>
      <c r="G5293" s="18" t="str">
        <f>"71001"</f>
        <v>71001</v>
      </c>
      <c r="H5293" s="19" t="s">
        <v>36378</v>
      </c>
      <c r="I5293" s="20">
        <v>20.548999999999999</v>
      </c>
      <c r="J5293" s="44" t="s">
        <v>8</v>
      </c>
      <c r="K5293" s="23" t="s">
        <v>8</v>
      </c>
      <c r="L5293" s="23" t="s">
        <v>8</v>
      </c>
      <c r="M5293" s="23" t="s">
        <v>8</v>
      </c>
    </row>
    <row r="5294" spans="1:13" s="21" customFormat="1" x14ac:dyDescent="0.25">
      <c r="A5294" s="22" t="s">
        <v>8</v>
      </c>
      <c r="B5294" s="18" t="str">
        <f>"195348"</f>
        <v>195348</v>
      </c>
      <c r="C5294" s="19" t="s">
        <v>5222</v>
      </c>
      <c r="D5294" s="19" t="s">
        <v>20721</v>
      </c>
      <c r="E5294" s="19" t="s">
        <v>32819</v>
      </c>
      <c r="F5294" s="19" t="s">
        <v>35992</v>
      </c>
      <c r="G5294" s="18" t="str">
        <f>"70445"</f>
        <v>70445</v>
      </c>
      <c r="H5294" s="19" t="s">
        <v>36367</v>
      </c>
      <c r="I5294" s="20">
        <v>20.363</v>
      </c>
      <c r="J5294" s="44" t="s">
        <v>8</v>
      </c>
      <c r="K5294" s="23" t="s">
        <v>8</v>
      </c>
      <c r="L5294" s="23" t="s">
        <v>8</v>
      </c>
      <c r="M5294" s="23" t="s">
        <v>8</v>
      </c>
    </row>
    <row r="5295" spans="1:13" s="21" customFormat="1" x14ac:dyDescent="0.25">
      <c r="A5295" s="22" t="s">
        <v>8</v>
      </c>
      <c r="B5295" s="18" t="str">
        <f>"195349"</f>
        <v>195349</v>
      </c>
      <c r="C5295" s="19" t="s">
        <v>5223</v>
      </c>
      <c r="D5295" s="19" t="s">
        <v>20722</v>
      </c>
      <c r="E5295" s="19" t="s">
        <v>32820</v>
      </c>
      <c r="F5295" s="19" t="s">
        <v>35992</v>
      </c>
      <c r="G5295" s="18" t="str">
        <f>"70422"</f>
        <v>70422</v>
      </c>
      <c r="H5295" s="19" t="s">
        <v>36379</v>
      </c>
      <c r="I5295" s="20">
        <v>17.763000000000002</v>
      </c>
      <c r="J5295" s="44" t="s">
        <v>8</v>
      </c>
      <c r="K5295" s="23" t="s">
        <v>8</v>
      </c>
      <c r="L5295" s="23" t="s">
        <v>8</v>
      </c>
      <c r="M5295" s="23" t="s">
        <v>8</v>
      </c>
    </row>
    <row r="5296" spans="1:13" s="21" customFormat="1" x14ac:dyDescent="0.25">
      <c r="A5296" s="22" t="s">
        <v>8</v>
      </c>
      <c r="B5296" s="18" t="str">
        <f>"195350"</f>
        <v>195350</v>
      </c>
      <c r="C5296" s="19" t="s">
        <v>5224</v>
      </c>
      <c r="D5296" s="19" t="s">
        <v>20723</v>
      </c>
      <c r="E5296" s="19" t="s">
        <v>32786</v>
      </c>
      <c r="F5296" s="19" t="s">
        <v>35992</v>
      </c>
      <c r="G5296" s="18" t="str">
        <f>"71101"</f>
        <v>71101</v>
      </c>
      <c r="H5296" s="19" t="s">
        <v>36363</v>
      </c>
      <c r="I5296" s="20">
        <v>17.975000000000001</v>
      </c>
      <c r="J5296" s="44" t="s">
        <v>8</v>
      </c>
      <c r="K5296" s="23" t="s">
        <v>8</v>
      </c>
      <c r="L5296" s="23" t="s">
        <v>8</v>
      </c>
      <c r="M5296" s="23" t="s">
        <v>8</v>
      </c>
    </row>
    <row r="5297" spans="1:13" s="21" customFormat="1" x14ac:dyDescent="0.25">
      <c r="A5297" s="22" t="s">
        <v>8</v>
      </c>
      <c r="B5297" s="18" t="str">
        <f>"195353"</f>
        <v>195353</v>
      </c>
      <c r="C5297" s="19" t="s">
        <v>5225</v>
      </c>
      <c r="D5297" s="19" t="s">
        <v>20724</v>
      </c>
      <c r="E5297" s="19" t="s">
        <v>32776</v>
      </c>
      <c r="F5297" s="19" t="s">
        <v>35992</v>
      </c>
      <c r="G5297" s="18" t="str">
        <f>"71075"</f>
        <v>71075</v>
      </c>
      <c r="H5297" s="19" t="s">
        <v>33048</v>
      </c>
      <c r="I5297" s="20">
        <v>17.879000000000001</v>
      </c>
      <c r="J5297" s="44" t="s">
        <v>8</v>
      </c>
      <c r="K5297" s="23" t="s">
        <v>8</v>
      </c>
      <c r="L5297" s="23" t="s">
        <v>8</v>
      </c>
      <c r="M5297" s="23" t="s">
        <v>8</v>
      </c>
    </row>
    <row r="5298" spans="1:13" s="21" customFormat="1" x14ac:dyDescent="0.25">
      <c r="A5298" s="22" t="s">
        <v>8</v>
      </c>
      <c r="B5298" s="18" t="str">
        <f>"195356"</f>
        <v>195356</v>
      </c>
      <c r="C5298" s="19" t="s">
        <v>5226</v>
      </c>
      <c r="D5298" s="19" t="s">
        <v>20725</v>
      </c>
      <c r="E5298" s="19" t="s">
        <v>32788</v>
      </c>
      <c r="F5298" s="19" t="s">
        <v>35992</v>
      </c>
      <c r="G5298" s="18" t="str">
        <f>"70122"</f>
        <v>70122</v>
      </c>
      <c r="H5298" s="19" t="s">
        <v>36365</v>
      </c>
      <c r="I5298" s="20">
        <v>23.776</v>
      </c>
      <c r="J5298" s="44" t="s">
        <v>8</v>
      </c>
      <c r="K5298" s="23" t="s">
        <v>8</v>
      </c>
      <c r="L5298" s="23" t="s">
        <v>8</v>
      </c>
      <c r="M5298" s="23" t="s">
        <v>8</v>
      </c>
    </row>
    <row r="5299" spans="1:13" s="21" customFormat="1" x14ac:dyDescent="0.25">
      <c r="A5299" s="22" t="s">
        <v>8</v>
      </c>
      <c r="B5299" s="18" t="str">
        <f>"195358"</f>
        <v>195358</v>
      </c>
      <c r="C5299" s="19" t="s">
        <v>5227</v>
      </c>
      <c r="D5299" s="19" t="s">
        <v>20726</v>
      </c>
      <c r="E5299" s="19" t="s">
        <v>32821</v>
      </c>
      <c r="F5299" s="19" t="s">
        <v>35992</v>
      </c>
      <c r="G5299" s="18" t="str">
        <f>"70070"</f>
        <v>70070</v>
      </c>
      <c r="H5299" s="19" t="s">
        <v>33589</v>
      </c>
      <c r="I5299" s="20">
        <v>23.606000000000002</v>
      </c>
      <c r="J5299" s="44" t="s">
        <v>8</v>
      </c>
      <c r="K5299" s="23" t="s">
        <v>8</v>
      </c>
      <c r="L5299" s="23" t="s">
        <v>8</v>
      </c>
      <c r="M5299" s="23" t="s">
        <v>8</v>
      </c>
    </row>
    <row r="5300" spans="1:13" s="21" customFormat="1" x14ac:dyDescent="0.25">
      <c r="A5300" s="22" t="s">
        <v>8</v>
      </c>
      <c r="B5300" s="18" t="str">
        <f>"195359"</f>
        <v>195359</v>
      </c>
      <c r="C5300" s="19" t="s">
        <v>5228</v>
      </c>
      <c r="D5300" s="19" t="s">
        <v>20727</v>
      </c>
      <c r="E5300" s="19" t="s">
        <v>31711</v>
      </c>
      <c r="F5300" s="19" t="s">
        <v>35992</v>
      </c>
      <c r="G5300" s="18" t="str">
        <f>"71203"</f>
        <v>71203</v>
      </c>
      <c r="H5300" s="19" t="s">
        <v>36063</v>
      </c>
      <c r="I5300" s="20">
        <v>20.21</v>
      </c>
      <c r="J5300" s="44" t="s">
        <v>8</v>
      </c>
      <c r="K5300" s="23" t="s">
        <v>8</v>
      </c>
      <c r="L5300" s="23" t="s">
        <v>8</v>
      </c>
      <c r="M5300" s="23" t="s">
        <v>8</v>
      </c>
    </row>
    <row r="5301" spans="1:13" s="21" customFormat="1" x14ac:dyDescent="0.25">
      <c r="A5301" s="22" t="s">
        <v>8</v>
      </c>
      <c r="B5301" s="18" t="str">
        <f>"195361"</f>
        <v>195361</v>
      </c>
      <c r="C5301" s="19" t="s">
        <v>5229</v>
      </c>
      <c r="D5301" s="19" t="s">
        <v>20728</v>
      </c>
      <c r="E5301" s="19" t="s">
        <v>32787</v>
      </c>
      <c r="F5301" s="19" t="s">
        <v>35992</v>
      </c>
      <c r="G5301" s="18" t="str">
        <f>"70811"</f>
        <v>70811</v>
      </c>
      <c r="H5301" s="19" t="s">
        <v>36364</v>
      </c>
      <c r="I5301" s="20">
        <v>21.212</v>
      </c>
      <c r="J5301" s="44" t="s">
        <v>8</v>
      </c>
      <c r="K5301" s="23" t="s">
        <v>8</v>
      </c>
      <c r="L5301" s="23" t="s">
        <v>8</v>
      </c>
      <c r="M5301" s="23" t="s">
        <v>8</v>
      </c>
    </row>
    <row r="5302" spans="1:13" s="21" customFormat="1" x14ac:dyDescent="0.25">
      <c r="A5302" s="22" t="s">
        <v>8</v>
      </c>
      <c r="B5302" s="18" t="str">
        <f>"195362"</f>
        <v>195362</v>
      </c>
      <c r="C5302" s="19" t="s">
        <v>5230</v>
      </c>
      <c r="D5302" s="19" t="s">
        <v>20729</v>
      </c>
      <c r="E5302" s="19" t="s">
        <v>32822</v>
      </c>
      <c r="F5302" s="19" t="s">
        <v>35992</v>
      </c>
      <c r="G5302" s="18" t="str">
        <f>"70791"</f>
        <v>70791</v>
      </c>
      <c r="H5302" s="19" t="s">
        <v>36364</v>
      </c>
      <c r="I5302" s="20">
        <v>19.701000000000001</v>
      </c>
      <c r="J5302" s="44" t="s">
        <v>8</v>
      </c>
      <c r="K5302" s="23" t="s">
        <v>8</v>
      </c>
      <c r="L5302" s="23" t="s">
        <v>8</v>
      </c>
      <c r="M5302" s="23" t="s">
        <v>8</v>
      </c>
    </row>
    <row r="5303" spans="1:13" s="21" customFormat="1" x14ac:dyDescent="0.25">
      <c r="A5303" s="22" t="s">
        <v>8</v>
      </c>
      <c r="B5303" s="18" t="str">
        <f>"195363"</f>
        <v>195363</v>
      </c>
      <c r="C5303" s="19" t="s">
        <v>5231</v>
      </c>
      <c r="D5303" s="19" t="s">
        <v>20730</v>
      </c>
      <c r="E5303" s="19" t="s">
        <v>32823</v>
      </c>
      <c r="F5303" s="19" t="s">
        <v>35992</v>
      </c>
      <c r="G5303" s="18" t="str">
        <f>"71064"</f>
        <v>71064</v>
      </c>
      <c r="H5303" s="19" t="s">
        <v>36369</v>
      </c>
      <c r="I5303" s="20">
        <v>20.318000000000001</v>
      </c>
      <c r="J5303" s="44" t="s">
        <v>8</v>
      </c>
      <c r="K5303" s="23" t="s">
        <v>8</v>
      </c>
      <c r="L5303" s="23" t="s">
        <v>8</v>
      </c>
      <c r="M5303" s="23" t="s">
        <v>8</v>
      </c>
    </row>
    <row r="5304" spans="1:13" s="21" customFormat="1" x14ac:dyDescent="0.25">
      <c r="A5304" s="22" t="s">
        <v>8</v>
      </c>
      <c r="B5304" s="18" t="str">
        <f>"195365"</f>
        <v>195365</v>
      </c>
      <c r="C5304" s="19" t="s">
        <v>5232</v>
      </c>
      <c r="D5304" s="19" t="s">
        <v>20731</v>
      </c>
      <c r="E5304" s="19" t="s">
        <v>30892</v>
      </c>
      <c r="F5304" s="19" t="s">
        <v>35992</v>
      </c>
      <c r="G5304" s="18" t="str">
        <f>"70508"</f>
        <v>70508</v>
      </c>
      <c r="H5304" s="19" t="s">
        <v>30892</v>
      </c>
      <c r="I5304" s="20">
        <v>19.045000000000002</v>
      </c>
      <c r="J5304" s="44" t="s">
        <v>8</v>
      </c>
      <c r="K5304" s="23" t="s">
        <v>8</v>
      </c>
      <c r="L5304" s="23" t="s">
        <v>8</v>
      </c>
      <c r="M5304" s="23" t="s">
        <v>8</v>
      </c>
    </row>
    <row r="5305" spans="1:13" s="21" customFormat="1" x14ac:dyDescent="0.25">
      <c r="A5305" s="22" t="s">
        <v>8</v>
      </c>
      <c r="B5305" s="18" t="str">
        <f>"195369"</f>
        <v>195369</v>
      </c>
      <c r="C5305" s="19" t="s">
        <v>5233</v>
      </c>
      <c r="D5305" s="19" t="s">
        <v>20732</v>
      </c>
      <c r="E5305" s="19" t="s">
        <v>32812</v>
      </c>
      <c r="F5305" s="19" t="s">
        <v>35992</v>
      </c>
      <c r="G5305" s="18" t="str">
        <f>"70570"</f>
        <v>70570</v>
      </c>
      <c r="H5305" s="19" t="s">
        <v>36374</v>
      </c>
      <c r="I5305" s="20">
        <v>18.645</v>
      </c>
      <c r="J5305" s="44" t="s">
        <v>8</v>
      </c>
      <c r="K5305" s="23" t="s">
        <v>8</v>
      </c>
      <c r="L5305" s="23" t="s">
        <v>8</v>
      </c>
      <c r="M5305" s="23" t="s">
        <v>8</v>
      </c>
    </row>
    <row r="5306" spans="1:13" s="21" customFormat="1" x14ac:dyDescent="0.25">
      <c r="A5306" s="22" t="s">
        <v>8</v>
      </c>
      <c r="B5306" s="18" t="str">
        <f>"195373"</f>
        <v>195373</v>
      </c>
      <c r="C5306" s="19" t="s">
        <v>5234</v>
      </c>
      <c r="D5306" s="19" t="s">
        <v>20733</v>
      </c>
      <c r="E5306" s="19" t="s">
        <v>32784</v>
      </c>
      <c r="F5306" s="19" t="s">
        <v>35992</v>
      </c>
      <c r="G5306" s="18" t="str">
        <f>"71269"</f>
        <v>71269</v>
      </c>
      <c r="H5306" s="19" t="s">
        <v>31785</v>
      </c>
      <c r="I5306" s="20">
        <v>20.863</v>
      </c>
      <c r="J5306" s="44" t="s">
        <v>8</v>
      </c>
      <c r="K5306" s="23" t="s">
        <v>8</v>
      </c>
      <c r="L5306" s="23" t="s">
        <v>8</v>
      </c>
      <c r="M5306" s="23" t="s">
        <v>8</v>
      </c>
    </row>
    <row r="5307" spans="1:13" s="21" customFormat="1" x14ac:dyDescent="0.25">
      <c r="A5307" s="22" t="s">
        <v>8</v>
      </c>
      <c r="B5307" s="18" t="str">
        <f>"195374"</f>
        <v>195374</v>
      </c>
      <c r="C5307" s="19" t="s">
        <v>5235</v>
      </c>
      <c r="D5307" s="19" t="s">
        <v>20734</v>
      </c>
      <c r="E5307" s="19" t="s">
        <v>32824</v>
      </c>
      <c r="F5307" s="19" t="s">
        <v>35992</v>
      </c>
      <c r="G5307" s="18" t="str">
        <f>"70123"</f>
        <v>70123</v>
      </c>
      <c r="H5307" s="19" t="s">
        <v>32391</v>
      </c>
      <c r="I5307" s="20">
        <v>19.161999999999999</v>
      </c>
      <c r="J5307" s="44" t="s">
        <v>8</v>
      </c>
      <c r="K5307" s="23" t="s">
        <v>8</v>
      </c>
      <c r="L5307" s="23" t="s">
        <v>8</v>
      </c>
      <c r="M5307" s="23" t="s">
        <v>8</v>
      </c>
    </row>
    <row r="5308" spans="1:13" s="21" customFormat="1" x14ac:dyDescent="0.25">
      <c r="A5308" s="22" t="s">
        <v>8</v>
      </c>
      <c r="B5308" s="18" t="str">
        <f>"195376"</f>
        <v>195376</v>
      </c>
      <c r="C5308" s="19" t="s">
        <v>5236</v>
      </c>
      <c r="D5308" s="19" t="s">
        <v>20735</v>
      </c>
      <c r="E5308" s="19" t="s">
        <v>32825</v>
      </c>
      <c r="F5308" s="19" t="s">
        <v>35992</v>
      </c>
      <c r="G5308" s="18" t="str">
        <f>"70605"</f>
        <v>70605</v>
      </c>
      <c r="H5308" s="19" t="s">
        <v>36380</v>
      </c>
      <c r="I5308" s="20">
        <v>17.295999999999999</v>
      </c>
      <c r="J5308" s="44" t="s">
        <v>8</v>
      </c>
      <c r="K5308" s="23" t="s">
        <v>8</v>
      </c>
      <c r="L5308" s="23" t="s">
        <v>8</v>
      </c>
      <c r="M5308" s="23" t="s">
        <v>8</v>
      </c>
    </row>
    <row r="5309" spans="1:13" s="21" customFormat="1" x14ac:dyDescent="0.25">
      <c r="A5309" s="22" t="s">
        <v>8</v>
      </c>
      <c r="B5309" s="18" t="str">
        <f>"195380"</f>
        <v>195380</v>
      </c>
      <c r="C5309" s="19" t="s">
        <v>5237</v>
      </c>
      <c r="D5309" s="19" t="s">
        <v>20736</v>
      </c>
      <c r="E5309" s="19" t="s">
        <v>32786</v>
      </c>
      <c r="F5309" s="19" t="s">
        <v>35992</v>
      </c>
      <c r="G5309" s="18" t="str">
        <f>"71118"</f>
        <v>71118</v>
      </c>
      <c r="H5309" s="19" t="s">
        <v>36363</v>
      </c>
      <c r="I5309" s="20">
        <v>22.036999999999999</v>
      </c>
      <c r="J5309" s="44" t="s">
        <v>8</v>
      </c>
      <c r="K5309" s="23" t="s">
        <v>8</v>
      </c>
      <c r="L5309" s="23" t="s">
        <v>8</v>
      </c>
      <c r="M5309" s="23" t="s">
        <v>8</v>
      </c>
    </row>
    <row r="5310" spans="1:13" s="21" customFormat="1" x14ac:dyDescent="0.25">
      <c r="A5310" s="22" t="s">
        <v>8</v>
      </c>
      <c r="B5310" s="18" t="str">
        <f>"195381"</f>
        <v>195381</v>
      </c>
      <c r="C5310" s="19" t="s">
        <v>5238</v>
      </c>
      <c r="D5310" s="19" t="s">
        <v>20737</v>
      </c>
      <c r="E5310" s="19" t="s">
        <v>31753</v>
      </c>
      <c r="F5310" s="19" t="s">
        <v>35992</v>
      </c>
      <c r="G5310" s="18" t="str">
        <f>"70433"</f>
        <v>70433</v>
      </c>
      <c r="H5310" s="19" t="s">
        <v>36367</v>
      </c>
      <c r="I5310" s="20">
        <v>23.367999999999999</v>
      </c>
      <c r="J5310" s="44" t="s">
        <v>8</v>
      </c>
      <c r="K5310" s="23" t="s">
        <v>8</v>
      </c>
      <c r="L5310" s="23" t="s">
        <v>8</v>
      </c>
      <c r="M5310" s="23" t="s">
        <v>8</v>
      </c>
    </row>
    <row r="5311" spans="1:13" s="21" customFormat="1" x14ac:dyDescent="0.25">
      <c r="A5311" s="22" t="s">
        <v>8</v>
      </c>
      <c r="B5311" s="18" t="str">
        <f>"195382"</f>
        <v>195382</v>
      </c>
      <c r="C5311" s="19" t="s">
        <v>5239</v>
      </c>
      <c r="D5311" s="19" t="s">
        <v>20738</v>
      </c>
      <c r="E5311" s="19" t="s">
        <v>32787</v>
      </c>
      <c r="F5311" s="19" t="s">
        <v>35992</v>
      </c>
      <c r="G5311" s="18" t="str">
        <f>"70806"</f>
        <v>70806</v>
      </c>
      <c r="H5311" s="19" t="s">
        <v>36364</v>
      </c>
      <c r="I5311" s="20">
        <v>19.966999999999999</v>
      </c>
      <c r="J5311" s="44" t="s">
        <v>8</v>
      </c>
      <c r="K5311" s="23" t="s">
        <v>8</v>
      </c>
      <c r="L5311" s="23" t="s">
        <v>8</v>
      </c>
      <c r="M5311" s="23" t="s">
        <v>8</v>
      </c>
    </row>
    <row r="5312" spans="1:13" s="21" customFormat="1" x14ac:dyDescent="0.25">
      <c r="A5312" s="22" t="s">
        <v>8</v>
      </c>
      <c r="B5312" s="18" t="str">
        <f>"195385"</f>
        <v>195385</v>
      </c>
      <c r="C5312" s="19" t="s">
        <v>5240</v>
      </c>
      <c r="D5312" s="19" t="s">
        <v>20739</v>
      </c>
      <c r="E5312" s="19" t="s">
        <v>32826</v>
      </c>
      <c r="F5312" s="19" t="s">
        <v>35992</v>
      </c>
      <c r="G5312" s="18" t="str">
        <f>"70512"</f>
        <v>70512</v>
      </c>
      <c r="H5312" s="19" t="s">
        <v>36374</v>
      </c>
      <c r="I5312" s="20">
        <v>18.251999999999999</v>
      </c>
      <c r="J5312" s="44" t="s">
        <v>8</v>
      </c>
      <c r="K5312" s="23" t="s">
        <v>8</v>
      </c>
      <c r="L5312" s="23" t="s">
        <v>8</v>
      </c>
      <c r="M5312" s="23" t="s">
        <v>8</v>
      </c>
    </row>
    <row r="5313" spans="1:13" s="21" customFormat="1" x14ac:dyDescent="0.25">
      <c r="A5313" s="22" t="s">
        <v>8</v>
      </c>
      <c r="B5313" s="18" t="str">
        <f>"195386"</f>
        <v>195386</v>
      </c>
      <c r="C5313" s="19" t="s">
        <v>5241</v>
      </c>
      <c r="D5313" s="19" t="s">
        <v>20740</v>
      </c>
      <c r="E5313" s="19" t="s">
        <v>32827</v>
      </c>
      <c r="F5313" s="19" t="s">
        <v>35992</v>
      </c>
      <c r="G5313" s="18" t="str">
        <f>"70380"</f>
        <v>70380</v>
      </c>
      <c r="H5313" s="19" t="s">
        <v>36381</v>
      </c>
      <c r="I5313" s="20">
        <v>20.492000000000001</v>
      </c>
      <c r="J5313" s="44" t="s">
        <v>8</v>
      </c>
      <c r="K5313" s="23" t="s">
        <v>8</v>
      </c>
      <c r="L5313" s="23" t="s">
        <v>8</v>
      </c>
      <c r="M5313" s="23" t="s">
        <v>8</v>
      </c>
    </row>
    <row r="5314" spans="1:13" s="21" customFormat="1" x14ac:dyDescent="0.25">
      <c r="A5314" s="22" t="s">
        <v>8</v>
      </c>
      <c r="B5314" s="18" t="str">
        <f>"195388"</f>
        <v>195388</v>
      </c>
      <c r="C5314" s="19" t="s">
        <v>5242</v>
      </c>
      <c r="D5314" s="19" t="s">
        <v>20741</v>
      </c>
      <c r="E5314" s="19" t="s">
        <v>5</v>
      </c>
      <c r="F5314" s="19" t="s">
        <v>35992</v>
      </c>
      <c r="G5314" s="18" t="str">
        <f>"70538"</f>
        <v>70538</v>
      </c>
      <c r="H5314" s="19" t="s">
        <v>36381</v>
      </c>
      <c r="I5314" s="20">
        <v>19.254000000000001</v>
      </c>
      <c r="J5314" s="44" t="s">
        <v>8</v>
      </c>
      <c r="K5314" s="23" t="s">
        <v>8</v>
      </c>
      <c r="L5314" s="23" t="s">
        <v>8</v>
      </c>
      <c r="M5314" s="23" t="s">
        <v>8</v>
      </c>
    </row>
    <row r="5315" spans="1:13" s="21" customFormat="1" x14ac:dyDescent="0.25">
      <c r="A5315" s="22" t="s">
        <v>8</v>
      </c>
      <c r="B5315" s="18" t="str">
        <f>"195389"</f>
        <v>195389</v>
      </c>
      <c r="C5315" s="19" t="s">
        <v>5243</v>
      </c>
      <c r="D5315" s="19" t="s">
        <v>20742</v>
      </c>
      <c r="E5315" s="19" t="s">
        <v>32787</v>
      </c>
      <c r="F5315" s="19" t="s">
        <v>35992</v>
      </c>
      <c r="G5315" s="18" t="str">
        <f>"70806"</f>
        <v>70806</v>
      </c>
      <c r="H5315" s="19" t="s">
        <v>36364</v>
      </c>
      <c r="I5315" s="20">
        <v>18.359000000000002</v>
      </c>
      <c r="J5315" s="44" t="s">
        <v>8</v>
      </c>
      <c r="K5315" s="23" t="s">
        <v>8</v>
      </c>
      <c r="L5315" s="23" t="s">
        <v>8</v>
      </c>
      <c r="M5315" s="23" t="s">
        <v>8</v>
      </c>
    </row>
    <row r="5316" spans="1:13" s="21" customFormat="1" x14ac:dyDescent="0.25">
      <c r="A5316" s="22" t="s">
        <v>8</v>
      </c>
      <c r="B5316" s="18" t="str">
        <f>"195390"</f>
        <v>195390</v>
      </c>
      <c r="C5316" s="19" t="s">
        <v>5244</v>
      </c>
      <c r="D5316" s="19" t="s">
        <v>20743</v>
      </c>
      <c r="E5316" s="19" t="s">
        <v>32712</v>
      </c>
      <c r="F5316" s="19" t="s">
        <v>35992</v>
      </c>
      <c r="G5316" s="18" t="str">
        <f>"71360"</f>
        <v>71360</v>
      </c>
      <c r="H5316" s="19" t="s">
        <v>36382</v>
      </c>
      <c r="I5316" s="20">
        <v>20.925999999999998</v>
      </c>
      <c r="J5316" s="44" t="s">
        <v>8</v>
      </c>
      <c r="K5316" s="23" t="s">
        <v>8</v>
      </c>
      <c r="L5316" s="23" t="s">
        <v>8</v>
      </c>
      <c r="M5316" s="23" t="s">
        <v>8</v>
      </c>
    </row>
    <row r="5317" spans="1:13" s="21" customFormat="1" x14ac:dyDescent="0.25">
      <c r="A5317" s="22" t="s">
        <v>8</v>
      </c>
      <c r="B5317" s="18" t="str">
        <f>"195392"</f>
        <v>195392</v>
      </c>
      <c r="C5317" s="19" t="s">
        <v>5245</v>
      </c>
      <c r="D5317" s="19" t="s">
        <v>20744</v>
      </c>
      <c r="E5317" s="19" t="s">
        <v>32782</v>
      </c>
      <c r="F5317" s="19" t="s">
        <v>35992</v>
      </c>
      <c r="G5317" s="18" t="str">
        <f>"71295"</f>
        <v>71295</v>
      </c>
      <c r="H5317" s="19" t="s">
        <v>5</v>
      </c>
      <c r="I5317" s="20">
        <v>18.942</v>
      </c>
      <c r="J5317" s="44" t="s">
        <v>8</v>
      </c>
      <c r="K5317" s="23" t="s">
        <v>8</v>
      </c>
      <c r="L5317" s="23" t="s">
        <v>8</v>
      </c>
      <c r="M5317" s="23" t="s">
        <v>8</v>
      </c>
    </row>
    <row r="5318" spans="1:13" s="21" customFormat="1" x14ac:dyDescent="0.25">
      <c r="A5318" s="22" t="s">
        <v>8</v>
      </c>
      <c r="B5318" s="18" t="str">
        <f>"195393"</f>
        <v>195393</v>
      </c>
      <c r="C5318" s="19" t="s">
        <v>5246</v>
      </c>
      <c r="D5318" s="19" t="s">
        <v>20745</v>
      </c>
      <c r="E5318" s="19" t="s">
        <v>32828</v>
      </c>
      <c r="F5318" s="19" t="s">
        <v>35992</v>
      </c>
      <c r="G5318" s="18" t="str">
        <f>"71232"</f>
        <v>71232</v>
      </c>
      <c r="H5318" s="19" t="s">
        <v>31785</v>
      </c>
      <c r="I5318" s="20">
        <v>18.619</v>
      </c>
      <c r="J5318" s="44" t="s">
        <v>8</v>
      </c>
      <c r="K5318" s="23" t="s">
        <v>8</v>
      </c>
      <c r="L5318" s="23" t="s">
        <v>8</v>
      </c>
      <c r="M5318" s="23" t="s">
        <v>8</v>
      </c>
    </row>
    <row r="5319" spans="1:13" s="21" customFormat="1" x14ac:dyDescent="0.25">
      <c r="A5319" s="22" t="s">
        <v>8</v>
      </c>
      <c r="B5319" s="18" t="str">
        <f>"195394"</f>
        <v>195394</v>
      </c>
      <c r="C5319" s="19" t="s">
        <v>5247</v>
      </c>
      <c r="D5319" s="19" t="s">
        <v>20746</v>
      </c>
      <c r="E5319" s="19" t="s">
        <v>32784</v>
      </c>
      <c r="F5319" s="19" t="s">
        <v>35992</v>
      </c>
      <c r="G5319" s="18" t="str">
        <f>"71269"</f>
        <v>71269</v>
      </c>
      <c r="H5319" s="19" t="s">
        <v>31785</v>
      </c>
      <c r="I5319" s="20">
        <v>18.71</v>
      </c>
      <c r="J5319" s="44" t="s">
        <v>8</v>
      </c>
      <c r="K5319" s="23" t="s">
        <v>8</v>
      </c>
      <c r="L5319" s="23" t="s">
        <v>8</v>
      </c>
      <c r="M5319" s="23" t="s">
        <v>8</v>
      </c>
    </row>
    <row r="5320" spans="1:13" s="21" customFormat="1" x14ac:dyDescent="0.25">
      <c r="A5320" s="22" t="s">
        <v>8</v>
      </c>
      <c r="B5320" s="18" t="str">
        <f>"195396"</f>
        <v>195396</v>
      </c>
      <c r="C5320" s="19" t="s">
        <v>5248</v>
      </c>
      <c r="D5320" s="19" t="s">
        <v>20747</v>
      </c>
      <c r="E5320" s="19" t="s">
        <v>32829</v>
      </c>
      <c r="F5320" s="19" t="s">
        <v>35992</v>
      </c>
      <c r="G5320" s="18" t="str">
        <f>"71222"</f>
        <v>71222</v>
      </c>
      <c r="H5320" s="19" t="s">
        <v>33554</v>
      </c>
      <c r="I5320" s="20">
        <v>17.658000000000001</v>
      </c>
      <c r="J5320" s="44" t="s">
        <v>8</v>
      </c>
      <c r="K5320" s="23" t="s">
        <v>8</v>
      </c>
      <c r="L5320" s="23" t="s">
        <v>8</v>
      </c>
      <c r="M5320" s="23" t="s">
        <v>8</v>
      </c>
    </row>
    <row r="5321" spans="1:13" s="21" customFormat="1" x14ac:dyDescent="0.25">
      <c r="A5321" s="22" t="s">
        <v>8</v>
      </c>
      <c r="B5321" s="18" t="str">
        <f>"195398"</f>
        <v>195398</v>
      </c>
      <c r="C5321" s="19" t="s">
        <v>5249</v>
      </c>
      <c r="D5321" s="19" t="s">
        <v>20642</v>
      </c>
      <c r="E5321" s="19" t="s">
        <v>32775</v>
      </c>
      <c r="F5321" s="19" t="s">
        <v>35992</v>
      </c>
      <c r="G5321" s="18" t="str">
        <f>"71263"</f>
        <v>71263</v>
      </c>
      <c r="H5321" s="19" t="s">
        <v>36357</v>
      </c>
      <c r="I5321" s="20">
        <v>19.21</v>
      </c>
      <c r="J5321" s="44" t="s">
        <v>8</v>
      </c>
      <c r="K5321" s="23" t="s">
        <v>8</v>
      </c>
      <c r="L5321" s="23" t="s">
        <v>8</v>
      </c>
      <c r="M5321" s="23" t="s">
        <v>8</v>
      </c>
    </row>
    <row r="5322" spans="1:13" s="21" customFormat="1" x14ac:dyDescent="0.25">
      <c r="A5322" s="22" t="s">
        <v>8</v>
      </c>
      <c r="B5322" s="18" t="str">
        <f>"195399"</f>
        <v>195399</v>
      </c>
      <c r="C5322" s="19" t="s">
        <v>5250</v>
      </c>
      <c r="D5322" s="19" t="s">
        <v>20748</v>
      </c>
      <c r="E5322" s="19" t="s">
        <v>32783</v>
      </c>
      <c r="F5322" s="19" t="s">
        <v>35992</v>
      </c>
      <c r="G5322" s="18" t="str">
        <f>"71342"</f>
        <v>71342</v>
      </c>
      <c r="H5322" s="19" t="s">
        <v>31983</v>
      </c>
      <c r="I5322" s="20">
        <v>21.033000000000001</v>
      </c>
      <c r="J5322" s="44" t="s">
        <v>8</v>
      </c>
      <c r="K5322" s="23" t="s">
        <v>8</v>
      </c>
      <c r="L5322" s="23" t="s">
        <v>8</v>
      </c>
      <c r="M5322" s="23" t="s">
        <v>8</v>
      </c>
    </row>
    <row r="5323" spans="1:13" s="21" customFormat="1" x14ac:dyDescent="0.25">
      <c r="A5323" s="22" t="s">
        <v>8</v>
      </c>
      <c r="B5323" s="18" t="str">
        <f>"195401"</f>
        <v>195401</v>
      </c>
      <c r="C5323" s="19" t="s">
        <v>5251</v>
      </c>
      <c r="D5323" s="19" t="s">
        <v>20749</v>
      </c>
      <c r="E5323" s="19" t="s">
        <v>32816</v>
      </c>
      <c r="F5323" s="19" t="s">
        <v>35992</v>
      </c>
      <c r="G5323" s="18" t="str">
        <f>"70737"</f>
        <v>70737</v>
      </c>
      <c r="H5323" s="19" t="s">
        <v>36376</v>
      </c>
      <c r="I5323" s="20">
        <v>16.908000000000001</v>
      </c>
      <c r="J5323" s="44" t="s">
        <v>8</v>
      </c>
      <c r="K5323" s="23" t="s">
        <v>8</v>
      </c>
      <c r="L5323" s="23" t="s">
        <v>8</v>
      </c>
      <c r="M5323" s="23" t="s">
        <v>8</v>
      </c>
    </row>
    <row r="5324" spans="1:13" s="21" customFormat="1" x14ac:dyDescent="0.25">
      <c r="A5324" s="22" t="s">
        <v>8</v>
      </c>
      <c r="B5324" s="18" t="str">
        <f>"195403"</f>
        <v>195403</v>
      </c>
      <c r="C5324" s="19" t="s">
        <v>5252</v>
      </c>
      <c r="D5324" s="19" t="s">
        <v>20750</v>
      </c>
      <c r="E5324" s="19" t="s">
        <v>31938</v>
      </c>
      <c r="F5324" s="19" t="s">
        <v>35992</v>
      </c>
      <c r="G5324" s="18" t="str">
        <f>"70058"</f>
        <v>70058</v>
      </c>
      <c r="H5324" s="19" t="s">
        <v>32391</v>
      </c>
      <c r="I5324" s="20">
        <v>19.713000000000001</v>
      </c>
      <c r="J5324" s="44" t="s">
        <v>8</v>
      </c>
      <c r="K5324" s="23" t="s">
        <v>8</v>
      </c>
      <c r="L5324" s="23" t="s">
        <v>8</v>
      </c>
      <c r="M5324" s="23" t="s">
        <v>8</v>
      </c>
    </row>
    <row r="5325" spans="1:13" s="21" customFormat="1" x14ac:dyDescent="0.25">
      <c r="A5325" s="22" t="s">
        <v>8</v>
      </c>
      <c r="B5325" s="18" t="str">
        <f>"195404"</f>
        <v>195404</v>
      </c>
      <c r="C5325" s="19" t="s">
        <v>5253</v>
      </c>
      <c r="D5325" s="19" t="s">
        <v>20751</v>
      </c>
      <c r="E5325" s="19" t="s">
        <v>32786</v>
      </c>
      <c r="F5325" s="19" t="s">
        <v>35992</v>
      </c>
      <c r="G5325" s="18" t="str">
        <f>"71103"</f>
        <v>71103</v>
      </c>
      <c r="H5325" s="19" t="s">
        <v>36363</v>
      </c>
      <c r="I5325" s="20">
        <v>19.617000000000001</v>
      </c>
      <c r="J5325" s="44" t="s">
        <v>8</v>
      </c>
      <c r="K5325" s="23" t="s">
        <v>8</v>
      </c>
      <c r="L5325" s="23" t="s">
        <v>8</v>
      </c>
      <c r="M5325" s="23" t="s">
        <v>8</v>
      </c>
    </row>
    <row r="5326" spans="1:13" s="21" customFormat="1" x14ac:dyDescent="0.25">
      <c r="A5326" s="22" t="s">
        <v>8</v>
      </c>
      <c r="B5326" s="18" t="str">
        <f>"195405"</f>
        <v>195405</v>
      </c>
      <c r="C5326" s="19" t="s">
        <v>5254</v>
      </c>
      <c r="D5326" s="19" t="s">
        <v>20752</v>
      </c>
      <c r="E5326" s="19" t="s">
        <v>32796</v>
      </c>
      <c r="F5326" s="19" t="s">
        <v>35992</v>
      </c>
      <c r="G5326" s="18" t="str">
        <f>"71457"</f>
        <v>71457</v>
      </c>
      <c r="H5326" s="19" t="s">
        <v>32796</v>
      </c>
      <c r="I5326" s="20">
        <v>18.367000000000001</v>
      </c>
      <c r="J5326" s="44" t="s">
        <v>8</v>
      </c>
      <c r="K5326" s="23" t="s">
        <v>8</v>
      </c>
      <c r="L5326" s="23" t="s">
        <v>8</v>
      </c>
      <c r="M5326" s="23" t="s">
        <v>8</v>
      </c>
    </row>
    <row r="5327" spans="1:13" s="21" customFormat="1" x14ac:dyDescent="0.25">
      <c r="A5327" s="22" t="s">
        <v>8</v>
      </c>
      <c r="B5327" s="18" t="str">
        <f>"195406"</f>
        <v>195406</v>
      </c>
      <c r="C5327" s="19" t="s">
        <v>5255</v>
      </c>
      <c r="D5327" s="19" t="s">
        <v>20753</v>
      </c>
      <c r="E5327" s="19" t="s">
        <v>32786</v>
      </c>
      <c r="F5327" s="19" t="s">
        <v>35992</v>
      </c>
      <c r="G5327" s="18" t="str">
        <f>"71103"</f>
        <v>71103</v>
      </c>
      <c r="H5327" s="19" t="s">
        <v>36363</v>
      </c>
      <c r="I5327" s="20">
        <v>20.431000000000001</v>
      </c>
      <c r="J5327" s="44" t="s">
        <v>8</v>
      </c>
      <c r="K5327" s="23" t="s">
        <v>8</v>
      </c>
      <c r="L5327" s="23" t="s">
        <v>8</v>
      </c>
      <c r="M5327" s="23" t="s">
        <v>8</v>
      </c>
    </row>
    <row r="5328" spans="1:13" s="21" customFormat="1" x14ac:dyDescent="0.25">
      <c r="A5328" s="22" t="s">
        <v>8</v>
      </c>
      <c r="B5328" s="18" t="str">
        <f>"195407"</f>
        <v>195407</v>
      </c>
      <c r="C5328" s="19" t="s">
        <v>5256</v>
      </c>
      <c r="D5328" s="19" t="s">
        <v>20754</v>
      </c>
      <c r="E5328" s="19" t="s">
        <v>32830</v>
      </c>
      <c r="F5328" s="19" t="s">
        <v>35992</v>
      </c>
      <c r="G5328" s="18" t="str">
        <f>"71068"</f>
        <v>71068</v>
      </c>
      <c r="H5328" s="19" t="s">
        <v>36378</v>
      </c>
      <c r="I5328" s="20">
        <v>17.968</v>
      </c>
      <c r="J5328" s="44" t="s">
        <v>8</v>
      </c>
      <c r="K5328" s="23" t="s">
        <v>8</v>
      </c>
      <c r="L5328" s="23" t="s">
        <v>8</v>
      </c>
      <c r="M5328" s="23" t="s">
        <v>8</v>
      </c>
    </row>
    <row r="5329" spans="1:13" s="21" customFormat="1" x14ac:dyDescent="0.25">
      <c r="A5329" s="22" t="s">
        <v>8</v>
      </c>
      <c r="B5329" s="18" t="str">
        <f>"195408"</f>
        <v>195408</v>
      </c>
      <c r="C5329" s="19" t="s">
        <v>5257</v>
      </c>
      <c r="D5329" s="19" t="s">
        <v>20755</v>
      </c>
      <c r="E5329" s="19" t="s">
        <v>32786</v>
      </c>
      <c r="F5329" s="19" t="s">
        <v>35992</v>
      </c>
      <c r="G5329" s="18" t="str">
        <f>"71118"</f>
        <v>71118</v>
      </c>
      <c r="H5329" s="19" t="s">
        <v>36363</v>
      </c>
      <c r="I5329" s="20">
        <v>19.62</v>
      </c>
      <c r="J5329" s="44" t="s">
        <v>8</v>
      </c>
      <c r="K5329" s="23" t="s">
        <v>8</v>
      </c>
      <c r="L5329" s="23" t="s">
        <v>8</v>
      </c>
      <c r="M5329" s="23" t="s">
        <v>8</v>
      </c>
    </row>
    <row r="5330" spans="1:13" s="21" customFormat="1" x14ac:dyDescent="0.25">
      <c r="A5330" s="22" t="s">
        <v>8</v>
      </c>
      <c r="B5330" s="18" t="str">
        <f>"195410"</f>
        <v>195410</v>
      </c>
      <c r="C5330" s="19" t="s">
        <v>5258</v>
      </c>
      <c r="D5330" s="19" t="s">
        <v>20756</v>
      </c>
      <c r="E5330" s="19" t="s">
        <v>32787</v>
      </c>
      <c r="F5330" s="19" t="s">
        <v>35992</v>
      </c>
      <c r="G5330" s="18" t="str">
        <f>"70808"</f>
        <v>70808</v>
      </c>
      <c r="H5330" s="19" t="s">
        <v>36364</v>
      </c>
      <c r="I5330" s="20">
        <v>20.119</v>
      </c>
      <c r="J5330" s="44" t="s">
        <v>8</v>
      </c>
      <c r="K5330" s="23" t="s">
        <v>8</v>
      </c>
      <c r="L5330" s="23" t="s">
        <v>8</v>
      </c>
      <c r="M5330" s="23" t="s">
        <v>8</v>
      </c>
    </row>
    <row r="5331" spans="1:13" s="21" customFormat="1" x14ac:dyDescent="0.25">
      <c r="A5331" s="22" t="s">
        <v>8</v>
      </c>
      <c r="B5331" s="18" t="str">
        <f>"195412"</f>
        <v>195412</v>
      </c>
      <c r="C5331" s="19" t="s">
        <v>5259</v>
      </c>
      <c r="D5331" s="19" t="s">
        <v>20757</v>
      </c>
      <c r="E5331" s="19" t="s">
        <v>32777</v>
      </c>
      <c r="F5331" s="19" t="s">
        <v>35992</v>
      </c>
      <c r="G5331" s="18" t="str">
        <f>"71483"</f>
        <v>71483</v>
      </c>
      <c r="H5331" s="19" t="s">
        <v>36358</v>
      </c>
      <c r="I5331" s="20">
        <v>21.166</v>
      </c>
      <c r="J5331" s="44" t="s">
        <v>8</v>
      </c>
      <c r="K5331" s="23" t="s">
        <v>8</v>
      </c>
      <c r="L5331" s="23" t="s">
        <v>8</v>
      </c>
      <c r="M5331" s="23" t="s">
        <v>8</v>
      </c>
    </row>
    <row r="5332" spans="1:13" s="21" customFormat="1" x14ac:dyDescent="0.25">
      <c r="A5332" s="22" t="s">
        <v>8</v>
      </c>
      <c r="B5332" s="18" t="str">
        <f>"195413"</f>
        <v>195413</v>
      </c>
      <c r="C5332" s="19" t="s">
        <v>5260</v>
      </c>
      <c r="D5332" s="19" t="s">
        <v>20758</v>
      </c>
      <c r="E5332" s="19" t="s">
        <v>32825</v>
      </c>
      <c r="F5332" s="19" t="s">
        <v>35992</v>
      </c>
      <c r="G5332" s="18" t="str">
        <f>"70601"</f>
        <v>70601</v>
      </c>
      <c r="H5332" s="19" t="s">
        <v>36380</v>
      </c>
      <c r="I5332" s="20">
        <v>20.792999999999999</v>
      </c>
      <c r="J5332" s="44" t="s">
        <v>8</v>
      </c>
      <c r="K5332" s="23" t="s">
        <v>8</v>
      </c>
      <c r="L5332" s="23" t="s">
        <v>8</v>
      </c>
      <c r="M5332" s="23" t="s">
        <v>8</v>
      </c>
    </row>
    <row r="5333" spans="1:13" s="21" customFormat="1" x14ac:dyDescent="0.25">
      <c r="A5333" s="22" t="s">
        <v>8</v>
      </c>
      <c r="B5333" s="18" t="str">
        <f>"195414"</f>
        <v>195414</v>
      </c>
      <c r="C5333" s="19" t="s">
        <v>5261</v>
      </c>
      <c r="D5333" s="19" t="s">
        <v>20759</v>
      </c>
      <c r="E5333" s="19" t="s">
        <v>32825</v>
      </c>
      <c r="F5333" s="19" t="s">
        <v>35992</v>
      </c>
      <c r="G5333" s="18" t="str">
        <f>"70605"</f>
        <v>70605</v>
      </c>
      <c r="H5333" s="19" t="s">
        <v>36380</v>
      </c>
      <c r="I5333" s="20">
        <v>24.254999999999999</v>
      </c>
      <c r="J5333" s="44" t="s">
        <v>8</v>
      </c>
      <c r="K5333" s="23" t="s">
        <v>8</v>
      </c>
      <c r="L5333" s="23" t="s">
        <v>8</v>
      </c>
      <c r="M5333" s="23" t="s">
        <v>8</v>
      </c>
    </row>
    <row r="5334" spans="1:13" s="21" customFormat="1" x14ac:dyDescent="0.25">
      <c r="A5334" s="22" t="s">
        <v>8</v>
      </c>
      <c r="B5334" s="18" t="str">
        <f>"195416"</f>
        <v>195416</v>
      </c>
      <c r="C5334" s="19" t="s">
        <v>5262</v>
      </c>
      <c r="D5334" s="19" t="s">
        <v>20760</v>
      </c>
      <c r="E5334" s="19" t="s">
        <v>32831</v>
      </c>
      <c r="F5334" s="19" t="s">
        <v>35992</v>
      </c>
      <c r="G5334" s="18" t="str">
        <f>"70659"</f>
        <v>70659</v>
      </c>
      <c r="H5334" s="19" t="s">
        <v>30903</v>
      </c>
      <c r="I5334" s="20">
        <v>22.69</v>
      </c>
      <c r="J5334" s="44" t="s">
        <v>8</v>
      </c>
      <c r="K5334" s="23" t="s">
        <v>8</v>
      </c>
      <c r="L5334" s="23" t="s">
        <v>8</v>
      </c>
      <c r="M5334" s="23" t="s">
        <v>8</v>
      </c>
    </row>
    <row r="5335" spans="1:13" s="21" customFormat="1" x14ac:dyDescent="0.25">
      <c r="A5335" s="22" t="s">
        <v>8</v>
      </c>
      <c r="B5335" s="18" t="str">
        <f>"195420"</f>
        <v>195420</v>
      </c>
      <c r="C5335" s="19" t="s">
        <v>5263</v>
      </c>
      <c r="D5335" s="19" t="s">
        <v>20761</v>
      </c>
      <c r="E5335" s="19" t="s">
        <v>32288</v>
      </c>
      <c r="F5335" s="19" t="s">
        <v>35992</v>
      </c>
      <c r="G5335" s="18" t="str">
        <f>"71301"</f>
        <v>71301</v>
      </c>
      <c r="H5335" s="19" t="s">
        <v>36382</v>
      </c>
      <c r="I5335" s="20">
        <v>18.13</v>
      </c>
      <c r="J5335" s="44" t="s">
        <v>8</v>
      </c>
      <c r="K5335" s="23" t="s">
        <v>8</v>
      </c>
      <c r="L5335" s="23" t="s">
        <v>8</v>
      </c>
      <c r="M5335" s="23" t="s">
        <v>8</v>
      </c>
    </row>
    <row r="5336" spans="1:13" s="21" customFormat="1" x14ac:dyDescent="0.25">
      <c r="A5336" s="22" t="s">
        <v>8</v>
      </c>
      <c r="B5336" s="18" t="str">
        <f>"195422"</f>
        <v>195422</v>
      </c>
      <c r="C5336" s="19" t="s">
        <v>5264</v>
      </c>
      <c r="D5336" s="19" t="s">
        <v>20762</v>
      </c>
      <c r="E5336" s="19" t="s">
        <v>32825</v>
      </c>
      <c r="F5336" s="19" t="s">
        <v>35992</v>
      </c>
      <c r="G5336" s="18" t="str">
        <f>"70601"</f>
        <v>70601</v>
      </c>
      <c r="H5336" s="19" t="s">
        <v>36380</v>
      </c>
      <c r="I5336" s="20">
        <v>20.738</v>
      </c>
      <c r="J5336" s="44" t="s">
        <v>8</v>
      </c>
      <c r="K5336" s="23" t="s">
        <v>8</v>
      </c>
      <c r="L5336" s="23" t="s">
        <v>8</v>
      </c>
      <c r="M5336" s="23" t="s">
        <v>8</v>
      </c>
    </row>
    <row r="5337" spans="1:13" s="21" customFormat="1" x14ac:dyDescent="0.25">
      <c r="A5337" s="22" t="s">
        <v>8</v>
      </c>
      <c r="B5337" s="18" t="str">
        <f>"195423"</f>
        <v>195423</v>
      </c>
      <c r="C5337" s="19" t="s">
        <v>5265</v>
      </c>
      <c r="D5337" s="19" t="s">
        <v>20763</v>
      </c>
      <c r="E5337" s="19" t="s">
        <v>32775</v>
      </c>
      <c r="F5337" s="19" t="s">
        <v>35992</v>
      </c>
      <c r="G5337" s="18" t="str">
        <f>"71263"</f>
        <v>71263</v>
      </c>
      <c r="H5337" s="19" t="s">
        <v>36357</v>
      </c>
      <c r="I5337" s="20">
        <v>19.837</v>
      </c>
      <c r="J5337" s="44" t="s">
        <v>8</v>
      </c>
      <c r="K5337" s="23" t="s">
        <v>8</v>
      </c>
      <c r="L5337" s="23" t="s">
        <v>8</v>
      </c>
      <c r="M5337" s="23" t="s">
        <v>8</v>
      </c>
    </row>
    <row r="5338" spans="1:13" s="21" customFormat="1" x14ac:dyDescent="0.25">
      <c r="A5338" s="22" t="s">
        <v>8</v>
      </c>
      <c r="B5338" s="18" t="str">
        <f>"195424"</f>
        <v>195424</v>
      </c>
      <c r="C5338" s="19" t="s">
        <v>5266</v>
      </c>
      <c r="D5338" s="19" t="s">
        <v>20764</v>
      </c>
      <c r="E5338" s="19" t="s">
        <v>32288</v>
      </c>
      <c r="F5338" s="19" t="s">
        <v>35992</v>
      </c>
      <c r="G5338" s="18" t="str">
        <f>"71303"</f>
        <v>71303</v>
      </c>
      <c r="H5338" s="19" t="s">
        <v>36382</v>
      </c>
      <c r="I5338" s="20">
        <v>19.324000000000002</v>
      </c>
      <c r="J5338" s="44" t="s">
        <v>8</v>
      </c>
      <c r="K5338" s="23" t="s">
        <v>8</v>
      </c>
      <c r="L5338" s="23" t="s">
        <v>8</v>
      </c>
      <c r="M5338" s="23" t="s">
        <v>8</v>
      </c>
    </row>
    <row r="5339" spans="1:13" s="21" customFormat="1" x14ac:dyDescent="0.25">
      <c r="A5339" s="22" t="s">
        <v>8</v>
      </c>
      <c r="B5339" s="18" t="str">
        <f>"195425"</f>
        <v>195425</v>
      </c>
      <c r="C5339" s="19" t="s">
        <v>5267</v>
      </c>
      <c r="D5339" s="19" t="s">
        <v>20765</v>
      </c>
      <c r="E5339" s="19" t="s">
        <v>32832</v>
      </c>
      <c r="F5339" s="19" t="s">
        <v>35992</v>
      </c>
      <c r="G5339" s="18" t="str">
        <f>"70392"</f>
        <v>70392</v>
      </c>
      <c r="H5339" s="19" t="s">
        <v>36381</v>
      </c>
      <c r="I5339" s="20">
        <v>20.071000000000002</v>
      </c>
      <c r="J5339" s="44" t="s">
        <v>8</v>
      </c>
      <c r="K5339" s="23" t="s">
        <v>8</v>
      </c>
      <c r="L5339" s="23" t="s">
        <v>8</v>
      </c>
      <c r="M5339" s="23" t="s">
        <v>8</v>
      </c>
    </row>
    <row r="5340" spans="1:13" s="21" customFormat="1" x14ac:dyDescent="0.25">
      <c r="A5340" s="22" t="s">
        <v>8</v>
      </c>
      <c r="B5340" s="18" t="str">
        <f>"195426"</f>
        <v>195426</v>
      </c>
      <c r="C5340" s="19" t="s">
        <v>5268</v>
      </c>
      <c r="D5340" s="19" t="s">
        <v>20766</v>
      </c>
      <c r="E5340" s="19" t="s">
        <v>32833</v>
      </c>
      <c r="F5340" s="19" t="s">
        <v>35992</v>
      </c>
      <c r="G5340" s="18" t="str">
        <f>"70526"</f>
        <v>70526</v>
      </c>
      <c r="H5340" s="19" t="s">
        <v>36383</v>
      </c>
      <c r="I5340" s="20">
        <v>19.713000000000001</v>
      </c>
      <c r="J5340" s="44" t="s">
        <v>8</v>
      </c>
      <c r="K5340" s="23" t="s">
        <v>8</v>
      </c>
      <c r="L5340" s="23" t="s">
        <v>8</v>
      </c>
      <c r="M5340" s="23" t="s">
        <v>8</v>
      </c>
    </row>
    <row r="5341" spans="1:13" s="21" customFormat="1" x14ac:dyDescent="0.25">
      <c r="A5341" s="22" t="s">
        <v>8</v>
      </c>
      <c r="B5341" s="18" t="str">
        <f>"195430"</f>
        <v>195430</v>
      </c>
      <c r="C5341" s="19" t="s">
        <v>5269</v>
      </c>
      <c r="D5341" s="19" t="s">
        <v>20767</v>
      </c>
      <c r="E5341" s="19" t="s">
        <v>32141</v>
      </c>
      <c r="F5341" s="19" t="s">
        <v>35992</v>
      </c>
      <c r="G5341" s="18" t="str">
        <f>"71417"</f>
        <v>71417</v>
      </c>
      <c r="H5341" s="19" t="s">
        <v>36078</v>
      </c>
      <c r="I5341" s="20">
        <v>19.504999999999999</v>
      </c>
      <c r="J5341" s="44" t="s">
        <v>8</v>
      </c>
      <c r="K5341" s="23" t="s">
        <v>8</v>
      </c>
      <c r="L5341" s="23" t="s">
        <v>8</v>
      </c>
      <c r="M5341" s="23" t="s">
        <v>8</v>
      </c>
    </row>
    <row r="5342" spans="1:13" s="21" customFormat="1" x14ac:dyDescent="0.25">
      <c r="A5342" s="22" t="s">
        <v>8</v>
      </c>
      <c r="B5342" s="18" t="str">
        <f>"195431"</f>
        <v>195431</v>
      </c>
      <c r="C5342" s="19" t="s">
        <v>5270</v>
      </c>
      <c r="D5342" s="19" t="s">
        <v>20768</v>
      </c>
      <c r="E5342" s="19" t="s">
        <v>32834</v>
      </c>
      <c r="F5342" s="19" t="s">
        <v>35992</v>
      </c>
      <c r="G5342" s="18" t="str">
        <f>"70663"</f>
        <v>70663</v>
      </c>
      <c r="H5342" s="19" t="s">
        <v>36380</v>
      </c>
      <c r="I5342" s="20">
        <v>20.331</v>
      </c>
      <c r="J5342" s="44" t="s">
        <v>8</v>
      </c>
      <c r="K5342" s="23" t="s">
        <v>8</v>
      </c>
      <c r="L5342" s="23" t="s">
        <v>8</v>
      </c>
      <c r="M5342" s="23" t="s">
        <v>8</v>
      </c>
    </row>
    <row r="5343" spans="1:13" s="21" customFormat="1" x14ac:dyDescent="0.25">
      <c r="A5343" s="22" t="s">
        <v>8</v>
      </c>
      <c r="B5343" s="18" t="str">
        <f>"195437"</f>
        <v>195437</v>
      </c>
      <c r="C5343" s="19" t="s">
        <v>5271</v>
      </c>
      <c r="D5343" s="19" t="s">
        <v>20769</v>
      </c>
      <c r="E5343" s="19" t="s">
        <v>32788</v>
      </c>
      <c r="F5343" s="19" t="s">
        <v>35992</v>
      </c>
      <c r="G5343" s="18" t="str">
        <f>"70119"</f>
        <v>70119</v>
      </c>
      <c r="H5343" s="19" t="s">
        <v>36365</v>
      </c>
      <c r="I5343" s="20">
        <v>20.669</v>
      </c>
      <c r="J5343" s="44" t="s">
        <v>8</v>
      </c>
      <c r="K5343" s="23" t="s">
        <v>8</v>
      </c>
      <c r="L5343" s="23" t="s">
        <v>8</v>
      </c>
      <c r="M5343" s="23" t="s">
        <v>8</v>
      </c>
    </row>
    <row r="5344" spans="1:13" s="21" customFormat="1" x14ac:dyDescent="0.25">
      <c r="A5344" s="22" t="s">
        <v>8</v>
      </c>
      <c r="B5344" s="18" t="str">
        <f>"195438"</f>
        <v>195438</v>
      </c>
      <c r="C5344" s="19" t="s">
        <v>5272</v>
      </c>
      <c r="D5344" s="19" t="s">
        <v>20770</v>
      </c>
      <c r="E5344" s="19" t="s">
        <v>32791</v>
      </c>
      <c r="F5344" s="19" t="s">
        <v>35992</v>
      </c>
      <c r="G5344" s="18" t="str">
        <f>"71291"</f>
        <v>71291</v>
      </c>
      <c r="H5344" s="19" t="s">
        <v>36063</v>
      </c>
      <c r="I5344" s="20">
        <v>19.506</v>
      </c>
      <c r="J5344" s="44" t="s">
        <v>8</v>
      </c>
      <c r="K5344" s="23" t="s">
        <v>8</v>
      </c>
      <c r="L5344" s="23" t="s">
        <v>8</v>
      </c>
      <c r="M5344" s="23" t="s">
        <v>8</v>
      </c>
    </row>
    <row r="5345" spans="1:13" s="21" customFormat="1" x14ac:dyDescent="0.25">
      <c r="A5345" s="22" t="s">
        <v>8</v>
      </c>
      <c r="B5345" s="18" t="str">
        <f>"195439"</f>
        <v>195439</v>
      </c>
      <c r="C5345" s="19" t="s">
        <v>5273</v>
      </c>
      <c r="D5345" s="19" t="s">
        <v>20771</v>
      </c>
      <c r="E5345" s="19" t="s">
        <v>32835</v>
      </c>
      <c r="F5345" s="19" t="s">
        <v>35992</v>
      </c>
      <c r="G5345" s="18" t="str">
        <f>"71241"</f>
        <v>71241</v>
      </c>
      <c r="H5345" s="19" t="s">
        <v>33554</v>
      </c>
      <c r="I5345" s="20">
        <v>20</v>
      </c>
      <c r="J5345" s="44" t="s">
        <v>8</v>
      </c>
      <c r="K5345" s="23" t="s">
        <v>8</v>
      </c>
      <c r="L5345" s="23" t="s">
        <v>8</v>
      </c>
      <c r="M5345" s="23" t="s">
        <v>8</v>
      </c>
    </row>
    <row r="5346" spans="1:13" s="21" customFormat="1" x14ac:dyDescent="0.25">
      <c r="A5346" s="22" t="s">
        <v>8</v>
      </c>
      <c r="B5346" s="18" t="str">
        <f>"195442"</f>
        <v>195442</v>
      </c>
      <c r="C5346" s="19" t="s">
        <v>5274</v>
      </c>
      <c r="D5346" s="19" t="s">
        <v>20772</v>
      </c>
      <c r="E5346" s="19" t="s">
        <v>32811</v>
      </c>
      <c r="F5346" s="19" t="s">
        <v>35992</v>
      </c>
      <c r="G5346" s="18" t="str">
        <f>"70548"</f>
        <v>70548</v>
      </c>
      <c r="H5346" s="19" t="s">
        <v>34509</v>
      </c>
      <c r="I5346" s="20">
        <v>23.664000000000001</v>
      </c>
      <c r="J5346" s="44" t="s">
        <v>8</v>
      </c>
      <c r="K5346" s="23" t="s">
        <v>8</v>
      </c>
      <c r="L5346" s="23" t="s">
        <v>8</v>
      </c>
      <c r="M5346" s="23" t="s">
        <v>8</v>
      </c>
    </row>
    <row r="5347" spans="1:13" s="21" customFormat="1" x14ac:dyDescent="0.25">
      <c r="A5347" s="22" t="s">
        <v>8</v>
      </c>
      <c r="B5347" s="18" t="str">
        <f>"195443"</f>
        <v>195443</v>
      </c>
      <c r="C5347" s="19" t="s">
        <v>5275</v>
      </c>
      <c r="D5347" s="19" t="s">
        <v>20773</v>
      </c>
      <c r="E5347" s="19" t="s">
        <v>32836</v>
      </c>
      <c r="F5347" s="19" t="s">
        <v>35992</v>
      </c>
      <c r="G5347" s="18" t="str">
        <f>"71282"</f>
        <v>71282</v>
      </c>
      <c r="H5347" s="19" t="s">
        <v>30899</v>
      </c>
      <c r="I5347" s="20">
        <v>20.076000000000001</v>
      </c>
      <c r="J5347" s="44" t="s">
        <v>8</v>
      </c>
      <c r="K5347" s="23" t="s">
        <v>8</v>
      </c>
      <c r="L5347" s="23" t="s">
        <v>8</v>
      </c>
      <c r="M5347" s="23" t="s">
        <v>8</v>
      </c>
    </row>
    <row r="5348" spans="1:13" s="21" customFormat="1" x14ac:dyDescent="0.25">
      <c r="A5348" s="22" t="s">
        <v>8</v>
      </c>
      <c r="B5348" s="18" t="str">
        <f>"195445"</f>
        <v>195445</v>
      </c>
      <c r="C5348" s="19" t="s">
        <v>4034</v>
      </c>
      <c r="D5348" s="19" t="s">
        <v>20774</v>
      </c>
      <c r="E5348" s="19" t="s">
        <v>32778</v>
      </c>
      <c r="F5348" s="19" t="s">
        <v>35992</v>
      </c>
      <c r="G5348" s="18" t="str">
        <f>"71351"</f>
        <v>71351</v>
      </c>
      <c r="H5348" s="19" t="s">
        <v>36359</v>
      </c>
      <c r="I5348" s="20">
        <v>18.966999999999999</v>
      </c>
      <c r="J5348" s="44" t="s">
        <v>8</v>
      </c>
      <c r="K5348" s="23" t="s">
        <v>8</v>
      </c>
      <c r="L5348" s="23" t="s">
        <v>8</v>
      </c>
      <c r="M5348" s="23" t="s">
        <v>8</v>
      </c>
    </row>
    <row r="5349" spans="1:13" s="21" customFormat="1" x14ac:dyDescent="0.25">
      <c r="A5349" s="22" t="s">
        <v>8</v>
      </c>
      <c r="B5349" s="18" t="str">
        <f>"195446"</f>
        <v>195446</v>
      </c>
      <c r="C5349" s="19" t="s">
        <v>5276</v>
      </c>
      <c r="D5349" s="19" t="s">
        <v>20775</v>
      </c>
      <c r="E5349" s="19" t="s">
        <v>32837</v>
      </c>
      <c r="F5349" s="19" t="s">
        <v>35992</v>
      </c>
      <c r="G5349" s="18" t="str">
        <f>"70760"</f>
        <v>70760</v>
      </c>
      <c r="H5349" s="19" t="s">
        <v>36384</v>
      </c>
      <c r="I5349" s="20">
        <v>18.649000000000001</v>
      </c>
      <c r="J5349" s="44" t="s">
        <v>8</v>
      </c>
      <c r="K5349" s="23" t="s">
        <v>8</v>
      </c>
      <c r="L5349" s="23" t="s">
        <v>8</v>
      </c>
      <c r="M5349" s="23" t="s">
        <v>8</v>
      </c>
    </row>
    <row r="5350" spans="1:13" s="21" customFormat="1" x14ac:dyDescent="0.25">
      <c r="A5350" s="22" t="s">
        <v>8</v>
      </c>
      <c r="B5350" s="18" t="str">
        <f>"195447"</f>
        <v>195447</v>
      </c>
      <c r="C5350" s="19" t="s">
        <v>5277</v>
      </c>
      <c r="D5350" s="19" t="s">
        <v>20776</v>
      </c>
      <c r="E5350" s="19" t="s">
        <v>32786</v>
      </c>
      <c r="F5350" s="19" t="s">
        <v>35992</v>
      </c>
      <c r="G5350" s="18" t="str">
        <f>"71129"</f>
        <v>71129</v>
      </c>
      <c r="H5350" s="19" t="s">
        <v>36363</v>
      </c>
      <c r="I5350" s="20">
        <v>19.890999999999998</v>
      </c>
      <c r="J5350" s="44" t="s">
        <v>8</v>
      </c>
      <c r="K5350" s="23" t="s">
        <v>8</v>
      </c>
      <c r="L5350" s="23" t="s">
        <v>8</v>
      </c>
      <c r="M5350" s="23" t="s">
        <v>8</v>
      </c>
    </row>
    <row r="5351" spans="1:13" s="21" customFormat="1" x14ac:dyDescent="0.25">
      <c r="A5351" s="22" t="s">
        <v>8</v>
      </c>
      <c r="B5351" s="18" t="str">
        <f>"195449"</f>
        <v>195449</v>
      </c>
      <c r="C5351" s="19" t="s">
        <v>5278</v>
      </c>
      <c r="D5351" s="19" t="s">
        <v>20777</v>
      </c>
      <c r="E5351" s="19" t="s">
        <v>32802</v>
      </c>
      <c r="F5351" s="19" t="s">
        <v>35992</v>
      </c>
      <c r="G5351" s="18" t="str">
        <f>"70301"</f>
        <v>70301</v>
      </c>
      <c r="H5351" s="19" t="s">
        <v>36370</v>
      </c>
      <c r="I5351" s="20">
        <v>22.869</v>
      </c>
      <c r="J5351" s="44" t="s">
        <v>8</v>
      </c>
      <c r="K5351" s="23" t="s">
        <v>8</v>
      </c>
      <c r="L5351" s="23" t="s">
        <v>8</v>
      </c>
      <c r="M5351" s="23" t="s">
        <v>8</v>
      </c>
    </row>
    <row r="5352" spans="1:13" s="21" customFormat="1" x14ac:dyDescent="0.25">
      <c r="A5352" s="22" t="s">
        <v>8</v>
      </c>
      <c r="B5352" s="18" t="str">
        <f>"195451"</f>
        <v>195451</v>
      </c>
      <c r="C5352" s="19" t="s">
        <v>5279</v>
      </c>
      <c r="D5352" s="19" t="s">
        <v>20778</v>
      </c>
      <c r="E5352" s="19" t="s">
        <v>32838</v>
      </c>
      <c r="F5352" s="19" t="s">
        <v>35992</v>
      </c>
      <c r="G5352" s="18" t="str">
        <f>"70653"</f>
        <v>70653</v>
      </c>
      <c r="H5352" s="19" t="s">
        <v>36355</v>
      </c>
      <c r="I5352" s="20">
        <v>21.37</v>
      </c>
      <c r="J5352" s="44" t="s">
        <v>8</v>
      </c>
      <c r="K5352" s="23" t="s">
        <v>8</v>
      </c>
      <c r="L5352" s="23" t="s">
        <v>8</v>
      </c>
      <c r="M5352" s="23" t="s">
        <v>8</v>
      </c>
    </row>
    <row r="5353" spans="1:13" s="21" customFormat="1" x14ac:dyDescent="0.25">
      <c r="A5353" s="22" t="s">
        <v>8</v>
      </c>
      <c r="B5353" s="18" t="str">
        <f>"195452"</f>
        <v>195452</v>
      </c>
      <c r="C5353" s="19" t="s">
        <v>5280</v>
      </c>
      <c r="D5353" s="19" t="s">
        <v>20779</v>
      </c>
      <c r="E5353" s="19" t="s">
        <v>32798</v>
      </c>
      <c r="F5353" s="19" t="s">
        <v>35992</v>
      </c>
      <c r="G5353" s="18" t="str">
        <f>"71111"</f>
        <v>71111</v>
      </c>
      <c r="H5353" s="19" t="s">
        <v>36369</v>
      </c>
      <c r="I5353" s="20">
        <v>19.158000000000001</v>
      </c>
      <c r="J5353" s="44" t="s">
        <v>8</v>
      </c>
      <c r="K5353" s="23" t="s">
        <v>8</v>
      </c>
      <c r="L5353" s="23" t="s">
        <v>8</v>
      </c>
      <c r="M5353" s="23" t="s">
        <v>8</v>
      </c>
    </row>
    <row r="5354" spans="1:13" s="21" customFormat="1" x14ac:dyDescent="0.25">
      <c r="A5354" s="22" t="s">
        <v>8</v>
      </c>
      <c r="B5354" s="18" t="str">
        <f>"195454"</f>
        <v>195454</v>
      </c>
      <c r="C5354" s="19" t="s">
        <v>5281</v>
      </c>
      <c r="D5354" s="19" t="s">
        <v>20780</v>
      </c>
      <c r="E5354" s="19" t="s">
        <v>32777</v>
      </c>
      <c r="F5354" s="19" t="s">
        <v>35992</v>
      </c>
      <c r="G5354" s="18" t="str">
        <f>"71483"</f>
        <v>71483</v>
      </c>
      <c r="H5354" s="19" t="s">
        <v>36358</v>
      </c>
      <c r="I5354" s="20">
        <v>22.701000000000001</v>
      </c>
      <c r="J5354" s="44" t="s">
        <v>8</v>
      </c>
      <c r="K5354" s="23" t="s">
        <v>8</v>
      </c>
      <c r="L5354" s="23" t="s">
        <v>8</v>
      </c>
      <c r="M5354" s="23" t="s">
        <v>8</v>
      </c>
    </row>
    <row r="5355" spans="1:13" s="21" customFormat="1" x14ac:dyDescent="0.25">
      <c r="A5355" s="22" t="s">
        <v>8</v>
      </c>
      <c r="B5355" s="18" t="str">
        <f>"195458"</f>
        <v>195458</v>
      </c>
      <c r="C5355" s="19" t="s">
        <v>5282</v>
      </c>
      <c r="D5355" s="19" t="s">
        <v>20781</v>
      </c>
      <c r="E5355" s="19" t="s">
        <v>32839</v>
      </c>
      <c r="F5355" s="19" t="s">
        <v>35992</v>
      </c>
      <c r="G5355" s="18" t="str">
        <f>"70542"</f>
        <v>70542</v>
      </c>
      <c r="H5355" s="19" t="s">
        <v>34509</v>
      </c>
      <c r="I5355" s="20">
        <v>20.131</v>
      </c>
      <c r="J5355" s="44" t="s">
        <v>8</v>
      </c>
      <c r="K5355" s="23" t="s">
        <v>8</v>
      </c>
      <c r="L5355" s="23" t="s">
        <v>8</v>
      </c>
      <c r="M5355" s="23" t="s">
        <v>8</v>
      </c>
    </row>
    <row r="5356" spans="1:13" s="21" customFormat="1" x14ac:dyDescent="0.25">
      <c r="A5356" s="22" t="s">
        <v>8</v>
      </c>
      <c r="B5356" s="18" t="str">
        <f>"195459"</f>
        <v>195459</v>
      </c>
      <c r="C5356" s="19" t="s">
        <v>5283</v>
      </c>
      <c r="D5356" s="19" t="s">
        <v>20782</v>
      </c>
      <c r="E5356" s="19" t="s">
        <v>32835</v>
      </c>
      <c r="F5356" s="19" t="s">
        <v>35992</v>
      </c>
      <c r="G5356" s="18" t="str">
        <f>"71241"</f>
        <v>71241</v>
      </c>
      <c r="H5356" s="19" t="s">
        <v>33554</v>
      </c>
      <c r="I5356" s="20">
        <v>19.152999999999999</v>
      </c>
      <c r="J5356" s="44" t="s">
        <v>8</v>
      </c>
      <c r="K5356" s="23" t="s">
        <v>8</v>
      </c>
      <c r="L5356" s="23" t="s">
        <v>8</v>
      </c>
      <c r="M5356" s="23" t="s">
        <v>8</v>
      </c>
    </row>
    <row r="5357" spans="1:13" s="21" customFormat="1" x14ac:dyDescent="0.25">
      <c r="A5357" s="22" t="s">
        <v>8</v>
      </c>
      <c r="B5357" s="18" t="str">
        <f>"195460"</f>
        <v>195460</v>
      </c>
      <c r="C5357" s="19" t="s">
        <v>5284</v>
      </c>
      <c r="D5357" s="19" t="s">
        <v>20783</v>
      </c>
      <c r="E5357" s="19" t="s">
        <v>32815</v>
      </c>
      <c r="F5357" s="19" t="s">
        <v>35992</v>
      </c>
      <c r="G5357" s="18" t="str">
        <f>"70560"</f>
        <v>70560</v>
      </c>
      <c r="H5357" s="19" t="s">
        <v>36375</v>
      </c>
      <c r="I5357" s="20">
        <v>22.972000000000001</v>
      </c>
      <c r="J5357" s="44" t="s">
        <v>8</v>
      </c>
      <c r="K5357" s="23" t="s">
        <v>8</v>
      </c>
      <c r="L5357" s="23" t="s">
        <v>8</v>
      </c>
      <c r="M5357" s="23" t="s">
        <v>8</v>
      </c>
    </row>
    <row r="5358" spans="1:13" s="21" customFormat="1" x14ac:dyDescent="0.25">
      <c r="A5358" s="22" t="s">
        <v>8</v>
      </c>
      <c r="B5358" s="18" t="str">
        <f>"195463"</f>
        <v>195463</v>
      </c>
      <c r="C5358" s="19" t="s">
        <v>5285</v>
      </c>
      <c r="D5358" s="19" t="s">
        <v>20784</v>
      </c>
      <c r="E5358" s="19" t="s">
        <v>30992</v>
      </c>
      <c r="F5358" s="19" t="s">
        <v>35992</v>
      </c>
      <c r="G5358" s="18" t="str">
        <f>"71251"</f>
        <v>71251</v>
      </c>
      <c r="H5358" s="19" t="s">
        <v>30816</v>
      </c>
      <c r="I5358" s="20">
        <v>23.135999999999999</v>
      </c>
      <c r="J5358" s="44" t="s">
        <v>8</v>
      </c>
      <c r="K5358" s="23" t="s">
        <v>8</v>
      </c>
      <c r="L5358" s="23" t="s">
        <v>8</v>
      </c>
      <c r="M5358" s="23" t="s">
        <v>8</v>
      </c>
    </row>
    <row r="5359" spans="1:13" s="21" customFormat="1" x14ac:dyDescent="0.25">
      <c r="A5359" s="22" t="s">
        <v>8</v>
      </c>
      <c r="B5359" s="18" t="str">
        <f>"195464"</f>
        <v>195464</v>
      </c>
      <c r="C5359" s="19" t="s">
        <v>5286</v>
      </c>
      <c r="D5359" s="19" t="s">
        <v>20785</v>
      </c>
      <c r="E5359" s="19" t="s">
        <v>32840</v>
      </c>
      <c r="F5359" s="19" t="s">
        <v>35992</v>
      </c>
      <c r="G5359" s="18" t="str">
        <f>"70578"</f>
        <v>70578</v>
      </c>
      <c r="H5359" s="19" t="s">
        <v>36383</v>
      </c>
      <c r="I5359" s="20">
        <v>18.911000000000001</v>
      </c>
      <c r="J5359" s="44" t="s">
        <v>8</v>
      </c>
      <c r="K5359" s="23" t="s">
        <v>8</v>
      </c>
      <c r="L5359" s="23" t="s">
        <v>8</v>
      </c>
      <c r="M5359" s="23" t="s">
        <v>8</v>
      </c>
    </row>
    <row r="5360" spans="1:13" s="21" customFormat="1" x14ac:dyDescent="0.25">
      <c r="A5360" s="22" t="s">
        <v>8</v>
      </c>
      <c r="B5360" s="18" t="str">
        <f>"195466"</f>
        <v>195466</v>
      </c>
      <c r="C5360" s="19" t="s">
        <v>5287</v>
      </c>
      <c r="D5360" s="19" t="s">
        <v>20786</v>
      </c>
      <c r="E5360" s="19" t="s">
        <v>32783</v>
      </c>
      <c r="F5360" s="19" t="s">
        <v>35992</v>
      </c>
      <c r="G5360" s="18" t="str">
        <f>"71342"</f>
        <v>71342</v>
      </c>
      <c r="H5360" s="19" t="s">
        <v>31983</v>
      </c>
      <c r="I5360" s="20">
        <v>19.416</v>
      </c>
      <c r="J5360" s="44" t="s">
        <v>8</v>
      </c>
      <c r="K5360" s="23" t="s">
        <v>8</v>
      </c>
      <c r="L5360" s="23" t="s">
        <v>8</v>
      </c>
      <c r="M5360" s="23" t="s">
        <v>8</v>
      </c>
    </row>
    <row r="5361" spans="1:13" s="21" customFormat="1" x14ac:dyDescent="0.25">
      <c r="A5361" s="22" t="s">
        <v>8</v>
      </c>
      <c r="B5361" s="18" t="str">
        <f>"195467"</f>
        <v>195467</v>
      </c>
      <c r="C5361" s="19" t="s">
        <v>5288</v>
      </c>
      <c r="D5361" s="19" t="s">
        <v>20787</v>
      </c>
      <c r="E5361" s="19" t="s">
        <v>32825</v>
      </c>
      <c r="F5361" s="19" t="s">
        <v>35992</v>
      </c>
      <c r="G5361" s="18" t="str">
        <f>"70615"</f>
        <v>70615</v>
      </c>
      <c r="H5361" s="19" t="s">
        <v>36380</v>
      </c>
      <c r="I5361" s="20">
        <v>18.204999999999998</v>
      </c>
      <c r="J5361" s="44" t="s">
        <v>8</v>
      </c>
      <c r="K5361" s="23" t="s">
        <v>8</v>
      </c>
      <c r="L5361" s="23" t="s">
        <v>8</v>
      </c>
      <c r="M5361" s="23" t="s">
        <v>8</v>
      </c>
    </row>
    <row r="5362" spans="1:13" s="21" customFormat="1" x14ac:dyDescent="0.25">
      <c r="A5362" s="22" t="s">
        <v>8</v>
      </c>
      <c r="B5362" s="18" t="str">
        <f>"195469"</f>
        <v>195469</v>
      </c>
      <c r="C5362" s="19" t="s">
        <v>5289</v>
      </c>
      <c r="D5362" s="19" t="s">
        <v>20788</v>
      </c>
      <c r="E5362" s="19" t="s">
        <v>30892</v>
      </c>
      <c r="F5362" s="19" t="s">
        <v>35992</v>
      </c>
      <c r="G5362" s="18" t="str">
        <f>"70501"</f>
        <v>70501</v>
      </c>
      <c r="H5362" s="19" t="s">
        <v>30892</v>
      </c>
      <c r="I5362" s="20">
        <v>19.684999999999999</v>
      </c>
      <c r="J5362" s="44" t="s">
        <v>8</v>
      </c>
      <c r="K5362" s="23" t="s">
        <v>8</v>
      </c>
      <c r="L5362" s="23" t="s">
        <v>8</v>
      </c>
      <c r="M5362" s="23" t="s">
        <v>8</v>
      </c>
    </row>
    <row r="5363" spans="1:13" s="21" customFormat="1" x14ac:dyDescent="0.25">
      <c r="A5363" s="22" t="s">
        <v>8</v>
      </c>
      <c r="B5363" s="18" t="str">
        <f>"195471"</f>
        <v>195471</v>
      </c>
      <c r="C5363" s="19" t="s">
        <v>5290</v>
      </c>
      <c r="D5363" s="19" t="s">
        <v>20789</v>
      </c>
      <c r="E5363" s="19" t="s">
        <v>32787</v>
      </c>
      <c r="F5363" s="19" t="s">
        <v>35992</v>
      </c>
      <c r="G5363" s="18" t="str">
        <f>"70809"</f>
        <v>70809</v>
      </c>
      <c r="H5363" s="19" t="s">
        <v>36364</v>
      </c>
      <c r="I5363" s="20">
        <v>20.738</v>
      </c>
      <c r="J5363" s="44" t="s">
        <v>8</v>
      </c>
      <c r="K5363" s="23" t="s">
        <v>8</v>
      </c>
      <c r="L5363" s="23" t="s">
        <v>8</v>
      </c>
      <c r="M5363" s="23" t="s">
        <v>8</v>
      </c>
    </row>
    <row r="5364" spans="1:13" s="21" customFormat="1" x14ac:dyDescent="0.25">
      <c r="A5364" s="22" t="s">
        <v>8</v>
      </c>
      <c r="B5364" s="18" t="str">
        <f>"195472"</f>
        <v>195472</v>
      </c>
      <c r="C5364" s="19" t="s">
        <v>5291</v>
      </c>
      <c r="D5364" s="19" t="s">
        <v>20790</v>
      </c>
      <c r="E5364" s="19" t="s">
        <v>32787</v>
      </c>
      <c r="F5364" s="19" t="s">
        <v>35992</v>
      </c>
      <c r="G5364" s="18" t="str">
        <f>"70816"</f>
        <v>70816</v>
      </c>
      <c r="H5364" s="19" t="s">
        <v>36364</v>
      </c>
      <c r="I5364" s="20">
        <v>18.248000000000001</v>
      </c>
      <c r="J5364" s="44" t="s">
        <v>8</v>
      </c>
      <c r="K5364" s="23" t="s">
        <v>8</v>
      </c>
      <c r="L5364" s="23" t="s">
        <v>8</v>
      </c>
      <c r="M5364" s="23" t="s">
        <v>8</v>
      </c>
    </row>
    <row r="5365" spans="1:13" s="21" customFormat="1" x14ac:dyDescent="0.25">
      <c r="A5365" s="22" t="s">
        <v>8</v>
      </c>
      <c r="B5365" s="18" t="str">
        <f>"195473"</f>
        <v>195473</v>
      </c>
      <c r="C5365" s="19" t="s">
        <v>5292</v>
      </c>
      <c r="D5365" s="19" t="s">
        <v>20791</v>
      </c>
      <c r="E5365" s="19" t="s">
        <v>32787</v>
      </c>
      <c r="F5365" s="19" t="s">
        <v>35992</v>
      </c>
      <c r="G5365" s="18" t="str">
        <f>"70815"</f>
        <v>70815</v>
      </c>
      <c r="H5365" s="19" t="s">
        <v>36364</v>
      </c>
      <c r="I5365" s="20">
        <v>19.321000000000002</v>
      </c>
      <c r="J5365" s="44" t="s">
        <v>8</v>
      </c>
      <c r="K5365" s="23" t="s">
        <v>8</v>
      </c>
      <c r="L5365" s="23" t="s">
        <v>8</v>
      </c>
      <c r="M5365" s="23" t="s">
        <v>8</v>
      </c>
    </row>
    <row r="5366" spans="1:13" s="21" customFormat="1" x14ac:dyDescent="0.25">
      <c r="A5366" s="22" t="s">
        <v>8</v>
      </c>
      <c r="B5366" s="18" t="str">
        <f>"195476"</f>
        <v>195476</v>
      </c>
      <c r="C5366" s="19" t="s">
        <v>5293</v>
      </c>
      <c r="D5366" s="19" t="s">
        <v>20792</v>
      </c>
      <c r="E5366" s="19" t="s">
        <v>32787</v>
      </c>
      <c r="F5366" s="19" t="s">
        <v>35992</v>
      </c>
      <c r="G5366" s="18" t="str">
        <f>"70815"</f>
        <v>70815</v>
      </c>
      <c r="H5366" s="19" t="s">
        <v>36364</v>
      </c>
      <c r="I5366" s="20">
        <v>17.888000000000002</v>
      </c>
      <c r="J5366" s="44" t="s">
        <v>8</v>
      </c>
      <c r="K5366" s="23" t="s">
        <v>8</v>
      </c>
      <c r="L5366" s="23" t="s">
        <v>8</v>
      </c>
      <c r="M5366" s="23" t="s">
        <v>8</v>
      </c>
    </row>
    <row r="5367" spans="1:13" s="21" customFormat="1" x14ac:dyDescent="0.25">
      <c r="A5367" s="22" t="s">
        <v>8</v>
      </c>
      <c r="B5367" s="18" t="str">
        <f>"195477"</f>
        <v>195477</v>
      </c>
      <c r="C5367" s="19" t="s">
        <v>5294</v>
      </c>
      <c r="D5367" s="19" t="s">
        <v>20793</v>
      </c>
      <c r="E5367" s="19" t="s">
        <v>32787</v>
      </c>
      <c r="F5367" s="19" t="s">
        <v>35992</v>
      </c>
      <c r="G5367" s="18" t="str">
        <f>"70815"</f>
        <v>70815</v>
      </c>
      <c r="H5367" s="19" t="s">
        <v>36364</v>
      </c>
      <c r="I5367" s="20">
        <v>18.093</v>
      </c>
      <c r="J5367" s="44" t="s">
        <v>8</v>
      </c>
      <c r="K5367" s="23" t="s">
        <v>8</v>
      </c>
      <c r="L5367" s="23" t="s">
        <v>8</v>
      </c>
      <c r="M5367" s="23" t="s">
        <v>8</v>
      </c>
    </row>
    <row r="5368" spans="1:13" s="21" customFormat="1" x14ac:dyDescent="0.25">
      <c r="A5368" s="22" t="s">
        <v>8</v>
      </c>
      <c r="B5368" s="18" t="str">
        <f>"195478"</f>
        <v>195478</v>
      </c>
      <c r="C5368" s="19" t="s">
        <v>5295</v>
      </c>
      <c r="D5368" s="19" t="s">
        <v>20794</v>
      </c>
      <c r="E5368" s="19" t="s">
        <v>32841</v>
      </c>
      <c r="F5368" s="19" t="s">
        <v>35992</v>
      </c>
      <c r="G5368" s="18" t="str">
        <f>"71343"</f>
        <v>71343</v>
      </c>
      <c r="H5368" s="19" t="s">
        <v>36385</v>
      </c>
      <c r="I5368" s="20">
        <v>18.899999999999999</v>
      </c>
      <c r="J5368" s="44" t="s">
        <v>8</v>
      </c>
      <c r="K5368" s="23" t="s">
        <v>8</v>
      </c>
      <c r="L5368" s="23" t="s">
        <v>8</v>
      </c>
      <c r="M5368" s="23" t="s">
        <v>8</v>
      </c>
    </row>
    <row r="5369" spans="1:13" s="21" customFormat="1" x14ac:dyDescent="0.25">
      <c r="A5369" s="22" t="s">
        <v>8</v>
      </c>
      <c r="B5369" s="18" t="str">
        <f>"195480"</f>
        <v>195480</v>
      </c>
      <c r="C5369" s="19" t="s">
        <v>5296</v>
      </c>
      <c r="D5369" s="19" t="s">
        <v>20795</v>
      </c>
      <c r="E5369" s="19" t="s">
        <v>32787</v>
      </c>
      <c r="F5369" s="19" t="s">
        <v>35992</v>
      </c>
      <c r="G5369" s="18" t="str">
        <f>"70809"</f>
        <v>70809</v>
      </c>
      <c r="H5369" s="19" t="s">
        <v>36364</v>
      </c>
      <c r="I5369" s="20">
        <v>19.841000000000001</v>
      </c>
      <c r="J5369" s="44" t="s">
        <v>8</v>
      </c>
      <c r="K5369" s="23" t="s">
        <v>8</v>
      </c>
      <c r="L5369" s="23" t="s">
        <v>8</v>
      </c>
      <c r="M5369" s="23" t="s">
        <v>8</v>
      </c>
    </row>
    <row r="5370" spans="1:13" s="21" customFormat="1" x14ac:dyDescent="0.25">
      <c r="A5370" s="22" t="s">
        <v>8</v>
      </c>
      <c r="B5370" s="18" t="str">
        <f>"195481"</f>
        <v>195481</v>
      </c>
      <c r="C5370" s="19" t="s">
        <v>5297</v>
      </c>
      <c r="D5370" s="19" t="s">
        <v>20796</v>
      </c>
      <c r="E5370" s="19" t="s">
        <v>32842</v>
      </c>
      <c r="F5370" s="19" t="s">
        <v>35992</v>
      </c>
      <c r="G5370" s="18" t="str">
        <f>"70037"</f>
        <v>70037</v>
      </c>
      <c r="H5370" s="19" t="s">
        <v>36386</v>
      </c>
      <c r="I5370" s="20">
        <v>19.757999999999999</v>
      </c>
      <c r="J5370" s="44" t="s">
        <v>8</v>
      </c>
      <c r="K5370" s="23" t="s">
        <v>8</v>
      </c>
      <c r="L5370" s="23" t="s">
        <v>8</v>
      </c>
      <c r="M5370" s="23" t="s">
        <v>8</v>
      </c>
    </row>
    <row r="5371" spans="1:13" s="21" customFormat="1" x14ac:dyDescent="0.25">
      <c r="A5371" s="22" t="s">
        <v>8</v>
      </c>
      <c r="B5371" s="18" t="str">
        <f>"195482"</f>
        <v>195482</v>
      </c>
      <c r="C5371" s="19" t="s">
        <v>5298</v>
      </c>
      <c r="D5371" s="19" t="s">
        <v>20797</v>
      </c>
      <c r="E5371" s="19" t="s">
        <v>32843</v>
      </c>
      <c r="F5371" s="19" t="s">
        <v>35992</v>
      </c>
      <c r="G5371" s="18" t="str">
        <f>"71446"</f>
        <v>71446</v>
      </c>
      <c r="H5371" s="19" t="s">
        <v>30903</v>
      </c>
      <c r="I5371" s="20">
        <v>20.966000000000001</v>
      </c>
      <c r="J5371" s="44" t="s">
        <v>8</v>
      </c>
      <c r="K5371" s="23" t="s">
        <v>8</v>
      </c>
      <c r="L5371" s="23" t="s">
        <v>8</v>
      </c>
      <c r="M5371" s="23" t="s">
        <v>8</v>
      </c>
    </row>
    <row r="5372" spans="1:13" s="21" customFormat="1" x14ac:dyDescent="0.25">
      <c r="A5372" s="22" t="s">
        <v>8</v>
      </c>
      <c r="B5372" s="18" t="str">
        <f>"195483"</f>
        <v>195483</v>
      </c>
      <c r="C5372" s="19" t="s">
        <v>5299</v>
      </c>
      <c r="D5372" s="19" t="s">
        <v>20798</v>
      </c>
      <c r="E5372" s="19" t="s">
        <v>32787</v>
      </c>
      <c r="F5372" s="19" t="s">
        <v>35992</v>
      </c>
      <c r="G5372" s="18" t="str">
        <f>"70809"</f>
        <v>70809</v>
      </c>
      <c r="H5372" s="19" t="s">
        <v>36364</v>
      </c>
      <c r="I5372" s="20">
        <v>19.559999999999999</v>
      </c>
      <c r="J5372" s="44" t="s">
        <v>8</v>
      </c>
      <c r="K5372" s="23" t="s">
        <v>8</v>
      </c>
      <c r="L5372" s="23" t="s">
        <v>8</v>
      </c>
      <c r="M5372" s="23" t="s">
        <v>8</v>
      </c>
    </row>
    <row r="5373" spans="1:13" s="21" customFormat="1" x14ac:dyDescent="0.25">
      <c r="A5373" s="22" t="s">
        <v>8</v>
      </c>
      <c r="B5373" s="18" t="str">
        <f>"195484"</f>
        <v>195484</v>
      </c>
      <c r="C5373" s="19" t="s">
        <v>5300</v>
      </c>
      <c r="D5373" s="19" t="s">
        <v>20799</v>
      </c>
      <c r="E5373" s="19" t="s">
        <v>32844</v>
      </c>
      <c r="F5373" s="19" t="s">
        <v>35992</v>
      </c>
      <c r="G5373" s="18" t="str">
        <f>"70403"</f>
        <v>70403</v>
      </c>
      <c r="H5373" s="19" t="s">
        <v>36379</v>
      </c>
      <c r="I5373" s="20">
        <v>20.379000000000001</v>
      </c>
      <c r="J5373" s="44" t="s">
        <v>8</v>
      </c>
      <c r="K5373" s="23" t="s">
        <v>8</v>
      </c>
      <c r="L5373" s="23" t="s">
        <v>8</v>
      </c>
      <c r="M5373" s="23" t="s">
        <v>8</v>
      </c>
    </row>
    <row r="5374" spans="1:13" s="21" customFormat="1" x14ac:dyDescent="0.25">
      <c r="A5374" s="22" t="s">
        <v>8</v>
      </c>
      <c r="B5374" s="18" t="str">
        <f>"195485"</f>
        <v>195485</v>
      </c>
      <c r="C5374" s="19" t="s">
        <v>5301</v>
      </c>
      <c r="D5374" s="19" t="s">
        <v>20800</v>
      </c>
      <c r="E5374" s="19" t="s">
        <v>32793</v>
      </c>
      <c r="F5374" s="19" t="s">
        <v>35992</v>
      </c>
      <c r="G5374" s="18" t="str">
        <f>"70360"</f>
        <v>70360</v>
      </c>
      <c r="H5374" s="19" t="s">
        <v>36368</v>
      </c>
      <c r="I5374" s="20">
        <v>19.974</v>
      </c>
      <c r="J5374" s="44" t="s">
        <v>8</v>
      </c>
      <c r="K5374" s="23" t="s">
        <v>8</v>
      </c>
      <c r="L5374" s="23" t="s">
        <v>8</v>
      </c>
      <c r="M5374" s="23" t="s">
        <v>8</v>
      </c>
    </row>
    <row r="5375" spans="1:13" s="21" customFormat="1" x14ac:dyDescent="0.25">
      <c r="A5375" s="22" t="s">
        <v>8</v>
      </c>
      <c r="B5375" s="18" t="str">
        <f>"195486"</f>
        <v>195486</v>
      </c>
      <c r="C5375" s="19" t="s">
        <v>5302</v>
      </c>
      <c r="D5375" s="19" t="s">
        <v>20801</v>
      </c>
      <c r="E5375" s="19" t="s">
        <v>32786</v>
      </c>
      <c r="F5375" s="19" t="s">
        <v>35992</v>
      </c>
      <c r="G5375" s="18" t="str">
        <f>"71115"</f>
        <v>71115</v>
      </c>
      <c r="H5375" s="19" t="s">
        <v>36363</v>
      </c>
      <c r="I5375" s="20">
        <v>21.783999999999999</v>
      </c>
      <c r="J5375" s="44" t="s">
        <v>8</v>
      </c>
      <c r="K5375" s="23" t="s">
        <v>8</v>
      </c>
      <c r="L5375" s="23" t="s">
        <v>8</v>
      </c>
      <c r="M5375" s="23" t="s">
        <v>8</v>
      </c>
    </row>
    <row r="5376" spans="1:13" s="21" customFormat="1" x14ac:dyDescent="0.25">
      <c r="A5376" s="22" t="s">
        <v>8</v>
      </c>
      <c r="B5376" s="18" t="str">
        <f>"195487"</f>
        <v>195487</v>
      </c>
      <c r="C5376" s="19" t="s">
        <v>5303</v>
      </c>
      <c r="D5376" s="19" t="s">
        <v>20802</v>
      </c>
      <c r="E5376" s="19" t="s">
        <v>32845</v>
      </c>
      <c r="F5376" s="19" t="s">
        <v>35992</v>
      </c>
      <c r="G5376" s="18" t="str">
        <f>"70582"</f>
        <v>70582</v>
      </c>
      <c r="H5376" s="19" t="s">
        <v>36373</v>
      </c>
      <c r="I5376" s="20">
        <v>17.917999999999999</v>
      </c>
      <c r="J5376" s="44" t="s">
        <v>8</v>
      </c>
      <c r="K5376" s="23" t="s">
        <v>8</v>
      </c>
      <c r="L5376" s="23" t="s">
        <v>8</v>
      </c>
      <c r="M5376" s="23" t="s">
        <v>8</v>
      </c>
    </row>
    <row r="5377" spans="1:13" s="21" customFormat="1" x14ac:dyDescent="0.25">
      <c r="A5377" s="22" t="s">
        <v>8</v>
      </c>
      <c r="B5377" s="18" t="str">
        <f>"195488"</f>
        <v>195488</v>
      </c>
      <c r="C5377" s="19" t="s">
        <v>5304</v>
      </c>
      <c r="D5377" s="19" t="s">
        <v>20803</v>
      </c>
      <c r="E5377" s="19" t="s">
        <v>32787</v>
      </c>
      <c r="F5377" s="19" t="s">
        <v>35992</v>
      </c>
      <c r="G5377" s="18" t="str">
        <f>"70816"</f>
        <v>70816</v>
      </c>
      <c r="H5377" s="19" t="s">
        <v>36364</v>
      </c>
      <c r="I5377" s="20">
        <v>19.649999999999999</v>
      </c>
      <c r="J5377" s="44" t="s">
        <v>8</v>
      </c>
      <c r="K5377" s="23" t="s">
        <v>8</v>
      </c>
      <c r="L5377" s="23" t="s">
        <v>8</v>
      </c>
      <c r="M5377" s="23" t="s">
        <v>8</v>
      </c>
    </row>
    <row r="5378" spans="1:13" s="21" customFormat="1" x14ac:dyDescent="0.25">
      <c r="A5378" s="22" t="s">
        <v>8</v>
      </c>
      <c r="B5378" s="18" t="str">
        <f>"195489"</f>
        <v>195489</v>
      </c>
      <c r="C5378" s="19" t="s">
        <v>5305</v>
      </c>
      <c r="D5378" s="19" t="s">
        <v>20804</v>
      </c>
      <c r="E5378" s="19" t="s">
        <v>32846</v>
      </c>
      <c r="F5378" s="19" t="s">
        <v>35992</v>
      </c>
      <c r="G5378" s="18" t="str">
        <f>"71350"</f>
        <v>71350</v>
      </c>
      <c r="H5378" s="19" t="s">
        <v>36359</v>
      </c>
      <c r="I5378" s="20">
        <v>20.556000000000001</v>
      </c>
      <c r="J5378" s="44" t="s">
        <v>8</v>
      </c>
      <c r="K5378" s="23" t="s">
        <v>8</v>
      </c>
      <c r="L5378" s="23" t="s">
        <v>8</v>
      </c>
      <c r="M5378" s="23" t="s">
        <v>8</v>
      </c>
    </row>
    <row r="5379" spans="1:13" s="21" customFormat="1" x14ac:dyDescent="0.25">
      <c r="A5379" s="22" t="s">
        <v>8</v>
      </c>
      <c r="B5379" s="18" t="str">
        <f>"195490"</f>
        <v>195490</v>
      </c>
      <c r="C5379" s="19" t="s">
        <v>5306</v>
      </c>
      <c r="D5379" s="19" t="s">
        <v>20805</v>
      </c>
      <c r="E5379" s="19" t="s">
        <v>31753</v>
      </c>
      <c r="F5379" s="19" t="s">
        <v>35992</v>
      </c>
      <c r="G5379" s="18" t="str">
        <f>"70433"</f>
        <v>70433</v>
      </c>
      <c r="H5379" s="19" t="s">
        <v>36367</v>
      </c>
      <c r="I5379" s="20">
        <v>18.504999999999999</v>
      </c>
      <c r="J5379" s="44" t="s">
        <v>8</v>
      </c>
      <c r="K5379" s="23" t="s">
        <v>8</v>
      </c>
      <c r="L5379" s="23" t="s">
        <v>8</v>
      </c>
      <c r="M5379" s="23" t="s">
        <v>8</v>
      </c>
    </row>
    <row r="5380" spans="1:13" s="21" customFormat="1" x14ac:dyDescent="0.25">
      <c r="A5380" s="22" t="s">
        <v>8</v>
      </c>
      <c r="B5380" s="18" t="str">
        <f>"195491"</f>
        <v>195491</v>
      </c>
      <c r="C5380" s="19" t="s">
        <v>5307</v>
      </c>
      <c r="D5380" s="19" t="s">
        <v>20806</v>
      </c>
      <c r="E5380" s="19" t="s">
        <v>32847</v>
      </c>
      <c r="F5380" s="19" t="s">
        <v>35992</v>
      </c>
      <c r="G5380" s="18" t="str">
        <f>"70346"</f>
        <v>70346</v>
      </c>
      <c r="H5380" s="19" t="s">
        <v>36376</v>
      </c>
      <c r="I5380" s="20">
        <v>20.943000000000001</v>
      </c>
      <c r="J5380" s="44" t="s">
        <v>8</v>
      </c>
      <c r="K5380" s="23" t="s">
        <v>8</v>
      </c>
      <c r="L5380" s="23" t="s">
        <v>8</v>
      </c>
      <c r="M5380" s="23" t="s">
        <v>8</v>
      </c>
    </row>
    <row r="5381" spans="1:13" s="21" customFormat="1" x14ac:dyDescent="0.25">
      <c r="A5381" s="22" t="s">
        <v>8</v>
      </c>
      <c r="B5381" s="18" t="str">
        <f>"195492"</f>
        <v>195492</v>
      </c>
      <c r="C5381" s="19" t="s">
        <v>5308</v>
      </c>
      <c r="D5381" s="19" t="s">
        <v>20807</v>
      </c>
      <c r="E5381" s="19" t="s">
        <v>31711</v>
      </c>
      <c r="F5381" s="19" t="s">
        <v>35992</v>
      </c>
      <c r="G5381" s="18" t="str">
        <f>"71203"</f>
        <v>71203</v>
      </c>
      <c r="H5381" s="19" t="s">
        <v>36063</v>
      </c>
      <c r="I5381" s="20">
        <v>19.370999999999999</v>
      </c>
      <c r="J5381" s="44" t="s">
        <v>8</v>
      </c>
      <c r="K5381" s="23" t="s">
        <v>8</v>
      </c>
      <c r="L5381" s="23" t="s">
        <v>8</v>
      </c>
      <c r="M5381" s="23" t="s">
        <v>8</v>
      </c>
    </row>
    <row r="5382" spans="1:13" s="21" customFormat="1" x14ac:dyDescent="0.25">
      <c r="A5382" s="22" t="s">
        <v>8</v>
      </c>
      <c r="B5382" s="18" t="str">
        <f>"195493"</f>
        <v>195493</v>
      </c>
      <c r="C5382" s="19" t="s">
        <v>5309</v>
      </c>
      <c r="D5382" s="19" t="s">
        <v>20808</v>
      </c>
      <c r="E5382" s="19" t="s">
        <v>32781</v>
      </c>
      <c r="F5382" s="19" t="s">
        <v>35992</v>
      </c>
      <c r="G5382" s="18" t="str">
        <f>"70648"</f>
        <v>70648</v>
      </c>
      <c r="H5382" s="19" t="s">
        <v>34710</v>
      </c>
      <c r="I5382" s="20">
        <v>17.614000000000001</v>
      </c>
      <c r="J5382" s="44" t="s">
        <v>8</v>
      </c>
      <c r="K5382" s="23" t="s">
        <v>8</v>
      </c>
      <c r="L5382" s="23" t="s">
        <v>8</v>
      </c>
      <c r="M5382" s="23" t="s">
        <v>8</v>
      </c>
    </row>
    <row r="5383" spans="1:13" s="21" customFormat="1" x14ac:dyDescent="0.25">
      <c r="A5383" s="22" t="s">
        <v>8</v>
      </c>
      <c r="B5383" s="18" t="str">
        <f>"195494"</f>
        <v>195494</v>
      </c>
      <c r="C5383" s="19" t="s">
        <v>5310</v>
      </c>
      <c r="D5383" s="19" t="s">
        <v>20809</v>
      </c>
      <c r="E5383" s="19" t="s">
        <v>32787</v>
      </c>
      <c r="F5383" s="19" t="s">
        <v>35992</v>
      </c>
      <c r="G5383" s="18" t="str">
        <f>"70809"</f>
        <v>70809</v>
      </c>
      <c r="H5383" s="19" t="s">
        <v>36364</v>
      </c>
      <c r="I5383" s="20">
        <v>18.803000000000001</v>
      </c>
      <c r="J5383" s="44" t="s">
        <v>8</v>
      </c>
      <c r="K5383" s="23" t="s">
        <v>8</v>
      </c>
      <c r="L5383" s="23" t="s">
        <v>8</v>
      </c>
      <c r="M5383" s="23" t="s">
        <v>8</v>
      </c>
    </row>
    <row r="5384" spans="1:13" s="21" customFormat="1" x14ac:dyDescent="0.25">
      <c r="A5384" s="22" t="s">
        <v>8</v>
      </c>
      <c r="B5384" s="18" t="str">
        <f>"195496"</f>
        <v>195496</v>
      </c>
      <c r="C5384" s="19" t="s">
        <v>5311</v>
      </c>
      <c r="D5384" s="19" t="s">
        <v>20810</v>
      </c>
      <c r="E5384" s="19" t="s">
        <v>32786</v>
      </c>
      <c r="F5384" s="19" t="s">
        <v>35992</v>
      </c>
      <c r="G5384" s="18" t="str">
        <f>"71103"</f>
        <v>71103</v>
      </c>
      <c r="H5384" s="19" t="s">
        <v>36363</v>
      </c>
      <c r="I5384" s="20">
        <v>20.855</v>
      </c>
      <c r="J5384" s="44" t="s">
        <v>8</v>
      </c>
      <c r="K5384" s="23" t="s">
        <v>8</v>
      </c>
      <c r="L5384" s="23" t="s">
        <v>8</v>
      </c>
      <c r="M5384" s="23" t="s">
        <v>8</v>
      </c>
    </row>
    <row r="5385" spans="1:13" s="21" customFormat="1" x14ac:dyDescent="0.25">
      <c r="A5385" s="22" t="s">
        <v>8</v>
      </c>
      <c r="B5385" s="18" t="str">
        <f>"195497"</f>
        <v>195497</v>
      </c>
      <c r="C5385" s="19" t="s">
        <v>5312</v>
      </c>
      <c r="D5385" s="19" t="s">
        <v>20811</v>
      </c>
      <c r="E5385" s="19" t="s">
        <v>32798</v>
      </c>
      <c r="F5385" s="19" t="s">
        <v>35992</v>
      </c>
      <c r="G5385" s="18" t="str">
        <f>"71112"</f>
        <v>71112</v>
      </c>
      <c r="H5385" s="19" t="s">
        <v>36369</v>
      </c>
      <c r="I5385" s="20">
        <v>23.594000000000001</v>
      </c>
      <c r="J5385" s="44" t="s">
        <v>8</v>
      </c>
      <c r="K5385" s="23" t="s">
        <v>8</v>
      </c>
      <c r="L5385" s="23" t="s">
        <v>8</v>
      </c>
      <c r="M5385" s="23" t="s">
        <v>8</v>
      </c>
    </row>
    <row r="5386" spans="1:13" s="21" customFormat="1" x14ac:dyDescent="0.25">
      <c r="A5386" s="22" t="s">
        <v>8</v>
      </c>
      <c r="B5386" s="18" t="str">
        <f>"195498"</f>
        <v>195498</v>
      </c>
      <c r="C5386" s="19" t="s">
        <v>5313</v>
      </c>
      <c r="D5386" s="19" t="s">
        <v>20812</v>
      </c>
      <c r="E5386" s="19" t="s">
        <v>32848</v>
      </c>
      <c r="F5386" s="19" t="s">
        <v>35992</v>
      </c>
      <c r="G5386" s="18" t="str">
        <f>"70390"</f>
        <v>70390</v>
      </c>
      <c r="H5386" s="19" t="s">
        <v>36387</v>
      </c>
      <c r="I5386" s="20">
        <v>23.556000000000001</v>
      </c>
      <c r="J5386" s="44" t="s">
        <v>8</v>
      </c>
      <c r="K5386" s="23" t="s">
        <v>8</v>
      </c>
      <c r="L5386" s="23" t="s">
        <v>8</v>
      </c>
      <c r="M5386" s="23" t="s">
        <v>8</v>
      </c>
    </row>
    <row r="5387" spans="1:13" s="21" customFormat="1" x14ac:dyDescent="0.25">
      <c r="A5387" s="22" t="s">
        <v>8</v>
      </c>
      <c r="B5387" s="18" t="str">
        <f>"195499"</f>
        <v>195499</v>
      </c>
      <c r="C5387" s="19" t="s">
        <v>5314</v>
      </c>
      <c r="D5387" s="19" t="s">
        <v>20813</v>
      </c>
      <c r="E5387" s="19" t="s">
        <v>32621</v>
      </c>
      <c r="F5387" s="19" t="s">
        <v>35992</v>
      </c>
      <c r="G5387" s="18" t="str">
        <f>"70655"</f>
        <v>70655</v>
      </c>
      <c r="H5387" s="19" t="s">
        <v>34710</v>
      </c>
      <c r="I5387" s="20">
        <v>18.724</v>
      </c>
      <c r="J5387" s="44" t="s">
        <v>8</v>
      </c>
      <c r="K5387" s="23" t="s">
        <v>8</v>
      </c>
      <c r="L5387" s="23" t="s">
        <v>8</v>
      </c>
      <c r="M5387" s="23" t="s">
        <v>8</v>
      </c>
    </row>
    <row r="5388" spans="1:13" s="21" customFormat="1" x14ac:dyDescent="0.25">
      <c r="A5388" s="22" t="s">
        <v>8</v>
      </c>
      <c r="B5388" s="18" t="str">
        <f>"195500"</f>
        <v>195500</v>
      </c>
      <c r="C5388" s="19" t="s">
        <v>5315</v>
      </c>
      <c r="D5388" s="19" t="s">
        <v>20814</v>
      </c>
      <c r="E5388" s="19" t="s">
        <v>32712</v>
      </c>
      <c r="F5388" s="19" t="s">
        <v>35992</v>
      </c>
      <c r="G5388" s="18" t="str">
        <f>"71360"</f>
        <v>71360</v>
      </c>
      <c r="H5388" s="19" t="s">
        <v>36382</v>
      </c>
      <c r="I5388" s="20">
        <v>19.358000000000001</v>
      </c>
      <c r="J5388" s="44" t="s">
        <v>8</v>
      </c>
      <c r="K5388" s="23" t="s">
        <v>8</v>
      </c>
      <c r="L5388" s="23" t="s">
        <v>8</v>
      </c>
      <c r="M5388" s="23" t="s">
        <v>8</v>
      </c>
    </row>
    <row r="5389" spans="1:13" s="21" customFormat="1" x14ac:dyDescent="0.25">
      <c r="A5389" s="22" t="s">
        <v>8</v>
      </c>
      <c r="B5389" s="18" t="str">
        <f>"195501"</f>
        <v>195501</v>
      </c>
      <c r="C5389" s="19" t="s">
        <v>5316</v>
      </c>
      <c r="D5389" s="19" t="s">
        <v>20815</v>
      </c>
      <c r="E5389" s="19" t="s">
        <v>32849</v>
      </c>
      <c r="F5389" s="19" t="s">
        <v>35992</v>
      </c>
      <c r="G5389" s="18" t="str">
        <f>"70726"</f>
        <v>70726</v>
      </c>
      <c r="H5389" s="19" t="s">
        <v>33740</v>
      </c>
      <c r="I5389" s="20">
        <v>16.256</v>
      </c>
      <c r="J5389" s="44" t="s">
        <v>8</v>
      </c>
      <c r="K5389" s="23" t="s">
        <v>8</v>
      </c>
      <c r="L5389" s="23" t="s">
        <v>8</v>
      </c>
      <c r="M5389" s="23" t="s">
        <v>8</v>
      </c>
    </row>
    <row r="5390" spans="1:13" s="21" customFormat="1" x14ac:dyDescent="0.25">
      <c r="A5390" s="22" t="s">
        <v>8</v>
      </c>
      <c r="B5390" s="18" t="str">
        <f>"195502"</f>
        <v>195502</v>
      </c>
      <c r="C5390" s="19" t="s">
        <v>5317</v>
      </c>
      <c r="D5390" s="19" t="s">
        <v>20816</v>
      </c>
      <c r="E5390" s="19" t="s">
        <v>30892</v>
      </c>
      <c r="F5390" s="19" t="s">
        <v>35992</v>
      </c>
      <c r="G5390" s="18" t="str">
        <f>"70501"</f>
        <v>70501</v>
      </c>
      <c r="H5390" s="19" t="s">
        <v>30892</v>
      </c>
      <c r="I5390" s="20">
        <v>18.882999999999999</v>
      </c>
      <c r="J5390" s="44" t="s">
        <v>8</v>
      </c>
      <c r="K5390" s="23" t="s">
        <v>8</v>
      </c>
      <c r="L5390" s="23" t="s">
        <v>8</v>
      </c>
      <c r="M5390" s="23" t="s">
        <v>8</v>
      </c>
    </row>
    <row r="5391" spans="1:13" s="21" customFormat="1" x14ac:dyDescent="0.25">
      <c r="A5391" s="22" t="s">
        <v>8</v>
      </c>
      <c r="B5391" s="18" t="str">
        <f>"195504"</f>
        <v>195504</v>
      </c>
      <c r="C5391" s="19" t="s">
        <v>5318</v>
      </c>
      <c r="D5391" s="19" t="s">
        <v>20817</v>
      </c>
      <c r="E5391" s="19" t="s">
        <v>32850</v>
      </c>
      <c r="F5391" s="19" t="s">
        <v>35992</v>
      </c>
      <c r="G5391" s="18" t="str">
        <f>"71378"</f>
        <v>71378</v>
      </c>
      <c r="H5391" s="19" t="s">
        <v>5</v>
      </c>
      <c r="I5391" s="20">
        <v>19.106000000000002</v>
      </c>
      <c r="J5391" s="44" t="s">
        <v>8</v>
      </c>
      <c r="K5391" s="23" t="s">
        <v>8</v>
      </c>
      <c r="L5391" s="23" t="s">
        <v>8</v>
      </c>
      <c r="M5391" s="23" t="s">
        <v>8</v>
      </c>
    </row>
    <row r="5392" spans="1:13" s="21" customFormat="1" x14ac:dyDescent="0.25">
      <c r="A5392" s="22" t="s">
        <v>8</v>
      </c>
      <c r="B5392" s="18" t="str">
        <f>"195505"</f>
        <v>195505</v>
      </c>
      <c r="C5392" s="19" t="s">
        <v>5319</v>
      </c>
      <c r="D5392" s="19" t="s">
        <v>20818</v>
      </c>
      <c r="E5392" s="19" t="s">
        <v>32787</v>
      </c>
      <c r="F5392" s="19" t="s">
        <v>35992</v>
      </c>
      <c r="G5392" s="18" t="str">
        <f>"70806"</f>
        <v>70806</v>
      </c>
      <c r="H5392" s="19" t="s">
        <v>36364</v>
      </c>
      <c r="I5392" s="20">
        <v>18.052</v>
      </c>
      <c r="J5392" s="44" t="s">
        <v>8</v>
      </c>
      <c r="K5392" s="23" t="s">
        <v>8</v>
      </c>
      <c r="L5392" s="23" t="s">
        <v>8</v>
      </c>
      <c r="M5392" s="23" t="s">
        <v>8</v>
      </c>
    </row>
    <row r="5393" spans="1:13" s="21" customFormat="1" x14ac:dyDescent="0.25">
      <c r="A5393" s="22" t="s">
        <v>8</v>
      </c>
      <c r="B5393" s="18" t="str">
        <f>"195506"</f>
        <v>195506</v>
      </c>
      <c r="C5393" s="19" t="s">
        <v>5320</v>
      </c>
      <c r="D5393" s="19" t="s">
        <v>20819</v>
      </c>
      <c r="E5393" s="19" t="s">
        <v>32851</v>
      </c>
      <c r="F5393" s="19" t="s">
        <v>35992</v>
      </c>
      <c r="G5393" s="18" t="str">
        <f>"71486"</f>
        <v>71486</v>
      </c>
      <c r="H5393" s="19" t="s">
        <v>36372</v>
      </c>
      <c r="I5393" s="20">
        <v>19.786000000000001</v>
      </c>
      <c r="J5393" s="44" t="s">
        <v>8</v>
      </c>
      <c r="K5393" s="23" t="s">
        <v>8</v>
      </c>
      <c r="L5393" s="23" t="s">
        <v>8</v>
      </c>
      <c r="M5393" s="23" t="s">
        <v>8</v>
      </c>
    </row>
    <row r="5394" spans="1:13" s="21" customFormat="1" x14ac:dyDescent="0.25">
      <c r="A5394" s="22" t="s">
        <v>8</v>
      </c>
      <c r="B5394" s="18" t="str">
        <f>"195507"</f>
        <v>195507</v>
      </c>
      <c r="C5394" s="19" t="s">
        <v>5321</v>
      </c>
      <c r="D5394" s="19" t="s">
        <v>20820</v>
      </c>
      <c r="E5394" s="19" t="s">
        <v>32785</v>
      </c>
      <c r="F5394" s="19" t="s">
        <v>35992</v>
      </c>
      <c r="G5394" s="18" t="str">
        <f>"70586"</f>
        <v>70586</v>
      </c>
      <c r="H5394" s="19" t="s">
        <v>36362</v>
      </c>
      <c r="I5394" s="20">
        <v>17.734000000000002</v>
      </c>
      <c r="J5394" s="44" t="s">
        <v>8</v>
      </c>
      <c r="K5394" s="23" t="s">
        <v>8</v>
      </c>
      <c r="L5394" s="23" t="s">
        <v>8</v>
      </c>
      <c r="M5394" s="23" t="s">
        <v>8</v>
      </c>
    </row>
    <row r="5395" spans="1:13" s="21" customFormat="1" x14ac:dyDescent="0.25">
      <c r="A5395" s="22" t="s">
        <v>8</v>
      </c>
      <c r="B5395" s="18" t="str">
        <f>"195508"</f>
        <v>195508</v>
      </c>
      <c r="C5395" s="19" t="s">
        <v>5322</v>
      </c>
      <c r="D5395" s="19" t="s">
        <v>20821</v>
      </c>
      <c r="E5395" s="19" t="s">
        <v>32852</v>
      </c>
      <c r="F5395" s="19" t="s">
        <v>35992</v>
      </c>
      <c r="G5395" s="18" t="str">
        <f>"70775"</f>
        <v>70775</v>
      </c>
      <c r="H5395" s="19" t="s">
        <v>36388</v>
      </c>
      <c r="I5395" s="20">
        <v>21.718</v>
      </c>
      <c r="J5395" s="44" t="s">
        <v>8</v>
      </c>
      <c r="K5395" s="23" t="s">
        <v>8</v>
      </c>
      <c r="L5395" s="23" t="s">
        <v>8</v>
      </c>
      <c r="M5395" s="23" t="s">
        <v>8</v>
      </c>
    </row>
    <row r="5396" spans="1:13" s="21" customFormat="1" x14ac:dyDescent="0.25">
      <c r="A5396" s="22" t="s">
        <v>8</v>
      </c>
      <c r="B5396" s="18" t="str">
        <f>"195509"</f>
        <v>195509</v>
      </c>
      <c r="C5396" s="19" t="s">
        <v>5323</v>
      </c>
      <c r="D5396" s="19" t="s">
        <v>20822</v>
      </c>
      <c r="E5396" s="19" t="s">
        <v>32788</v>
      </c>
      <c r="F5396" s="19" t="s">
        <v>35992</v>
      </c>
      <c r="G5396" s="18" t="str">
        <f>"70131"</f>
        <v>70131</v>
      </c>
      <c r="H5396" s="19" t="s">
        <v>36365</v>
      </c>
      <c r="I5396" s="20">
        <v>18.337</v>
      </c>
      <c r="J5396" s="44" t="s">
        <v>8</v>
      </c>
      <c r="K5396" s="23" t="s">
        <v>8</v>
      </c>
      <c r="L5396" s="23" t="s">
        <v>8</v>
      </c>
      <c r="M5396" s="23" t="s">
        <v>8</v>
      </c>
    </row>
    <row r="5397" spans="1:13" s="21" customFormat="1" x14ac:dyDescent="0.25">
      <c r="A5397" s="22" t="s">
        <v>8</v>
      </c>
      <c r="B5397" s="18" t="str">
        <f>"195510"</f>
        <v>195510</v>
      </c>
      <c r="C5397" s="19" t="s">
        <v>5324</v>
      </c>
      <c r="D5397" s="19" t="s">
        <v>20823</v>
      </c>
      <c r="E5397" s="19" t="s">
        <v>32801</v>
      </c>
      <c r="F5397" s="19" t="s">
        <v>35992</v>
      </c>
      <c r="G5397" s="18" t="str">
        <f>"71270"</f>
        <v>71270</v>
      </c>
      <c r="H5397" s="19" t="s">
        <v>31995</v>
      </c>
      <c r="I5397" s="20">
        <v>19.946999999999999</v>
      </c>
      <c r="J5397" s="44" t="s">
        <v>8</v>
      </c>
      <c r="K5397" s="23" t="s">
        <v>8</v>
      </c>
      <c r="L5397" s="23" t="s">
        <v>8</v>
      </c>
      <c r="M5397" s="23" t="s">
        <v>8</v>
      </c>
    </row>
    <row r="5398" spans="1:13" s="21" customFormat="1" x14ac:dyDescent="0.25">
      <c r="A5398" s="22" t="s">
        <v>8</v>
      </c>
      <c r="B5398" s="18" t="str">
        <f>"195512"</f>
        <v>195512</v>
      </c>
      <c r="C5398" s="19" t="s">
        <v>5325</v>
      </c>
      <c r="D5398" s="19" t="s">
        <v>20824</v>
      </c>
      <c r="E5398" s="19" t="s">
        <v>32787</v>
      </c>
      <c r="F5398" s="19" t="s">
        <v>35992</v>
      </c>
      <c r="G5398" s="18" t="str">
        <f>"70816"</f>
        <v>70816</v>
      </c>
      <c r="H5398" s="19" t="s">
        <v>36364</v>
      </c>
      <c r="I5398" s="20">
        <v>19.908999999999999</v>
      </c>
      <c r="J5398" s="44" t="s">
        <v>8</v>
      </c>
      <c r="K5398" s="23" t="s">
        <v>8</v>
      </c>
      <c r="L5398" s="23" t="s">
        <v>8</v>
      </c>
      <c r="M5398" s="23" t="s">
        <v>8</v>
      </c>
    </row>
    <row r="5399" spans="1:13" s="21" customFormat="1" x14ac:dyDescent="0.25">
      <c r="A5399" s="22" t="s">
        <v>8</v>
      </c>
      <c r="B5399" s="18" t="str">
        <f>"195513"</f>
        <v>195513</v>
      </c>
      <c r="C5399" s="19" t="s">
        <v>5326</v>
      </c>
      <c r="D5399" s="19" t="s">
        <v>20825</v>
      </c>
      <c r="E5399" s="19" t="s">
        <v>32786</v>
      </c>
      <c r="F5399" s="19" t="s">
        <v>35992</v>
      </c>
      <c r="G5399" s="18" t="str">
        <f>"71118"</f>
        <v>71118</v>
      </c>
      <c r="H5399" s="19" t="s">
        <v>36363</v>
      </c>
      <c r="I5399" s="20">
        <v>18.192</v>
      </c>
      <c r="J5399" s="44" t="s">
        <v>8</v>
      </c>
      <c r="K5399" s="23" t="s">
        <v>8</v>
      </c>
      <c r="L5399" s="23" t="s">
        <v>8</v>
      </c>
      <c r="M5399" s="23" t="s">
        <v>8</v>
      </c>
    </row>
    <row r="5400" spans="1:13" s="21" customFormat="1" x14ac:dyDescent="0.25">
      <c r="A5400" s="22" t="s">
        <v>8</v>
      </c>
      <c r="B5400" s="18" t="str">
        <f>"195515"</f>
        <v>195515</v>
      </c>
      <c r="C5400" s="19" t="s">
        <v>5327</v>
      </c>
      <c r="D5400" s="19" t="s">
        <v>20826</v>
      </c>
      <c r="E5400" s="19" t="s">
        <v>32786</v>
      </c>
      <c r="F5400" s="19" t="s">
        <v>35992</v>
      </c>
      <c r="G5400" s="18" t="str">
        <f>"71103"</f>
        <v>71103</v>
      </c>
      <c r="H5400" s="19" t="s">
        <v>36363</v>
      </c>
      <c r="I5400" s="20">
        <v>20.018999999999998</v>
      </c>
      <c r="J5400" s="44" t="s">
        <v>8</v>
      </c>
      <c r="K5400" s="23" t="s">
        <v>8</v>
      </c>
      <c r="L5400" s="23" t="s">
        <v>8</v>
      </c>
      <c r="M5400" s="23" t="s">
        <v>8</v>
      </c>
    </row>
    <row r="5401" spans="1:13" s="21" customFormat="1" x14ac:dyDescent="0.25">
      <c r="A5401" s="22" t="s">
        <v>8</v>
      </c>
      <c r="B5401" s="18" t="str">
        <f>"195516"</f>
        <v>195516</v>
      </c>
      <c r="C5401" s="19" t="s">
        <v>5328</v>
      </c>
      <c r="D5401" s="19" t="s">
        <v>20827</v>
      </c>
      <c r="E5401" s="19" t="s">
        <v>32805</v>
      </c>
      <c r="F5401" s="19" t="s">
        <v>35992</v>
      </c>
      <c r="G5401" s="18" t="str">
        <f>"71334"</f>
        <v>71334</v>
      </c>
      <c r="H5401" s="19" t="s">
        <v>32640</v>
      </c>
      <c r="I5401" s="20">
        <v>20.553000000000001</v>
      </c>
      <c r="J5401" s="44" t="s">
        <v>8</v>
      </c>
      <c r="K5401" s="23" t="s">
        <v>8</v>
      </c>
      <c r="L5401" s="23" t="s">
        <v>8</v>
      </c>
      <c r="M5401" s="23" t="s">
        <v>8</v>
      </c>
    </row>
    <row r="5402" spans="1:13" s="21" customFormat="1" x14ac:dyDescent="0.25">
      <c r="A5402" s="22" t="s">
        <v>8</v>
      </c>
      <c r="B5402" s="18" t="str">
        <f>"195517"</f>
        <v>195517</v>
      </c>
      <c r="C5402" s="19" t="s">
        <v>5329</v>
      </c>
      <c r="D5402" s="19" t="s">
        <v>20828</v>
      </c>
      <c r="E5402" s="19" t="s">
        <v>32788</v>
      </c>
      <c r="F5402" s="19" t="s">
        <v>35992</v>
      </c>
      <c r="G5402" s="18" t="str">
        <f>"70115"</f>
        <v>70115</v>
      </c>
      <c r="H5402" s="19" t="s">
        <v>36365</v>
      </c>
      <c r="I5402" s="20">
        <v>20.704999999999998</v>
      </c>
      <c r="J5402" s="44" t="s">
        <v>8</v>
      </c>
      <c r="K5402" s="23" t="s">
        <v>8</v>
      </c>
      <c r="L5402" s="23" t="s">
        <v>8</v>
      </c>
      <c r="M5402" s="23" t="s">
        <v>8</v>
      </c>
    </row>
    <row r="5403" spans="1:13" s="21" customFormat="1" x14ac:dyDescent="0.25">
      <c r="A5403" s="22" t="s">
        <v>8</v>
      </c>
      <c r="B5403" s="18" t="str">
        <f>"195518"</f>
        <v>195518</v>
      </c>
      <c r="C5403" s="19" t="s">
        <v>5330</v>
      </c>
      <c r="D5403" s="19" t="s">
        <v>20829</v>
      </c>
      <c r="E5403" s="19" t="s">
        <v>32853</v>
      </c>
      <c r="F5403" s="19" t="s">
        <v>35992</v>
      </c>
      <c r="G5403" s="18" t="str">
        <f>"71038"</f>
        <v>71038</v>
      </c>
      <c r="H5403" s="19" t="s">
        <v>36360</v>
      </c>
      <c r="I5403" s="20">
        <v>18.562999999999999</v>
      </c>
      <c r="J5403" s="44" t="s">
        <v>8</v>
      </c>
      <c r="K5403" s="23" t="s">
        <v>8</v>
      </c>
      <c r="L5403" s="23" t="s">
        <v>8</v>
      </c>
      <c r="M5403" s="23" t="s">
        <v>8</v>
      </c>
    </row>
    <row r="5404" spans="1:13" s="21" customFormat="1" x14ac:dyDescent="0.25">
      <c r="A5404" s="22" t="s">
        <v>8</v>
      </c>
      <c r="B5404" s="18" t="str">
        <f>"195519"</f>
        <v>195519</v>
      </c>
      <c r="C5404" s="19" t="s">
        <v>5331</v>
      </c>
      <c r="D5404" s="19" t="s">
        <v>20830</v>
      </c>
      <c r="E5404" s="19" t="s">
        <v>32786</v>
      </c>
      <c r="F5404" s="19" t="s">
        <v>35992</v>
      </c>
      <c r="G5404" s="18" t="str">
        <f>"71118"</f>
        <v>71118</v>
      </c>
      <c r="H5404" s="19" t="s">
        <v>36363</v>
      </c>
      <c r="I5404" s="20">
        <v>19.172999999999998</v>
      </c>
      <c r="J5404" s="44" t="s">
        <v>8</v>
      </c>
      <c r="K5404" s="23" t="s">
        <v>8</v>
      </c>
      <c r="L5404" s="23" t="s">
        <v>8</v>
      </c>
      <c r="M5404" s="23" t="s">
        <v>8</v>
      </c>
    </row>
    <row r="5405" spans="1:13" s="21" customFormat="1" x14ac:dyDescent="0.25">
      <c r="A5405" s="22" t="s">
        <v>8</v>
      </c>
      <c r="B5405" s="18" t="str">
        <f>"195520"</f>
        <v>195520</v>
      </c>
      <c r="C5405" s="19" t="s">
        <v>5332</v>
      </c>
      <c r="D5405" s="19" t="s">
        <v>20831</v>
      </c>
      <c r="E5405" s="19" t="s">
        <v>32801</v>
      </c>
      <c r="F5405" s="19" t="s">
        <v>35992</v>
      </c>
      <c r="G5405" s="18" t="str">
        <f>"71270"</f>
        <v>71270</v>
      </c>
      <c r="H5405" s="19" t="s">
        <v>31995</v>
      </c>
      <c r="I5405" s="20">
        <v>20.553999999999998</v>
      </c>
      <c r="J5405" s="44" t="s">
        <v>8</v>
      </c>
      <c r="K5405" s="23" t="s">
        <v>8</v>
      </c>
      <c r="L5405" s="23" t="s">
        <v>8</v>
      </c>
      <c r="M5405" s="23" t="s">
        <v>8</v>
      </c>
    </row>
    <row r="5406" spans="1:13" s="21" customFormat="1" x14ac:dyDescent="0.25">
      <c r="A5406" s="22" t="s">
        <v>8</v>
      </c>
      <c r="B5406" s="18" t="str">
        <f>"195522"</f>
        <v>195522</v>
      </c>
      <c r="C5406" s="19" t="s">
        <v>5333</v>
      </c>
      <c r="D5406" s="19" t="s">
        <v>20832</v>
      </c>
      <c r="E5406" s="19" t="s">
        <v>32854</v>
      </c>
      <c r="F5406" s="19" t="s">
        <v>35992</v>
      </c>
      <c r="G5406" s="18" t="str">
        <f>"70591"</f>
        <v>70591</v>
      </c>
      <c r="H5406" s="19" t="s">
        <v>36356</v>
      </c>
      <c r="I5406" s="20">
        <v>19.056999999999999</v>
      </c>
      <c r="J5406" s="44" t="s">
        <v>8</v>
      </c>
      <c r="K5406" s="23" t="s">
        <v>8</v>
      </c>
      <c r="L5406" s="23" t="s">
        <v>8</v>
      </c>
      <c r="M5406" s="23" t="s">
        <v>8</v>
      </c>
    </row>
    <row r="5407" spans="1:13" s="21" customFormat="1" x14ac:dyDescent="0.25">
      <c r="A5407" s="22" t="s">
        <v>8</v>
      </c>
      <c r="B5407" s="18" t="str">
        <f>"195523"</f>
        <v>195523</v>
      </c>
      <c r="C5407" s="19" t="s">
        <v>5334</v>
      </c>
      <c r="D5407" s="19" t="s">
        <v>20833</v>
      </c>
      <c r="E5407" s="19" t="s">
        <v>32844</v>
      </c>
      <c r="F5407" s="19" t="s">
        <v>35992</v>
      </c>
      <c r="G5407" s="18" t="str">
        <f>"70403"</f>
        <v>70403</v>
      </c>
      <c r="H5407" s="19" t="s">
        <v>36379</v>
      </c>
      <c r="I5407" s="20">
        <v>18.98</v>
      </c>
      <c r="J5407" s="44" t="s">
        <v>8</v>
      </c>
      <c r="K5407" s="23" t="s">
        <v>8</v>
      </c>
      <c r="L5407" s="23" t="s">
        <v>8</v>
      </c>
      <c r="M5407" s="23" t="s">
        <v>8</v>
      </c>
    </row>
    <row r="5408" spans="1:13" s="21" customFormat="1" x14ac:dyDescent="0.25">
      <c r="A5408" s="22" t="s">
        <v>8</v>
      </c>
      <c r="B5408" s="18" t="str">
        <f>"195524"</f>
        <v>195524</v>
      </c>
      <c r="C5408" s="19" t="s">
        <v>5335</v>
      </c>
      <c r="D5408" s="19" t="s">
        <v>20834</v>
      </c>
      <c r="E5408" s="19" t="s">
        <v>32849</v>
      </c>
      <c r="F5408" s="19" t="s">
        <v>35992</v>
      </c>
      <c r="G5408" s="18" t="str">
        <f>"70726"</f>
        <v>70726</v>
      </c>
      <c r="H5408" s="19" t="s">
        <v>33740</v>
      </c>
      <c r="I5408" s="20">
        <v>17.881</v>
      </c>
      <c r="J5408" s="44" t="s">
        <v>8</v>
      </c>
      <c r="K5408" s="23" t="s">
        <v>8</v>
      </c>
      <c r="L5408" s="23" t="s">
        <v>8</v>
      </c>
      <c r="M5408" s="23" t="s">
        <v>8</v>
      </c>
    </row>
    <row r="5409" spans="1:13" s="21" customFormat="1" x14ac:dyDescent="0.25">
      <c r="A5409" s="22" t="s">
        <v>8</v>
      </c>
      <c r="B5409" s="18" t="str">
        <f>"195525"</f>
        <v>195525</v>
      </c>
      <c r="C5409" s="19" t="s">
        <v>5336</v>
      </c>
      <c r="D5409" s="19" t="s">
        <v>20835</v>
      </c>
      <c r="E5409" s="19" t="s">
        <v>32773</v>
      </c>
      <c r="F5409" s="19" t="s">
        <v>35992</v>
      </c>
      <c r="G5409" s="18" t="str">
        <f>"70634"</f>
        <v>70634</v>
      </c>
      <c r="H5409" s="19" t="s">
        <v>36355</v>
      </c>
      <c r="I5409" s="20">
        <v>21.425999999999998</v>
      </c>
      <c r="J5409" s="44" t="s">
        <v>8</v>
      </c>
      <c r="K5409" s="23" t="s">
        <v>8</v>
      </c>
      <c r="L5409" s="23" t="s">
        <v>8</v>
      </c>
      <c r="M5409" s="23" t="s">
        <v>8</v>
      </c>
    </row>
    <row r="5410" spans="1:13" s="21" customFormat="1" x14ac:dyDescent="0.25">
      <c r="A5410" s="22" t="s">
        <v>8</v>
      </c>
      <c r="B5410" s="18" t="str">
        <f>"195526"</f>
        <v>195526</v>
      </c>
      <c r="C5410" s="19" t="s">
        <v>5337</v>
      </c>
      <c r="D5410" s="19" t="s">
        <v>20836</v>
      </c>
      <c r="E5410" s="19" t="s">
        <v>32844</v>
      </c>
      <c r="F5410" s="19" t="s">
        <v>35992</v>
      </c>
      <c r="G5410" s="18" t="str">
        <f>"70403"</f>
        <v>70403</v>
      </c>
      <c r="H5410" s="19" t="s">
        <v>36379</v>
      </c>
      <c r="I5410" s="20">
        <v>20.353999999999999</v>
      </c>
      <c r="J5410" s="44" t="s">
        <v>8</v>
      </c>
      <c r="K5410" s="23" t="s">
        <v>8</v>
      </c>
      <c r="L5410" s="23" t="s">
        <v>8</v>
      </c>
      <c r="M5410" s="23" t="s">
        <v>8</v>
      </c>
    </row>
    <row r="5411" spans="1:13" s="21" customFormat="1" x14ac:dyDescent="0.25">
      <c r="A5411" s="22" t="s">
        <v>8</v>
      </c>
      <c r="B5411" s="18" t="str">
        <f>"195527"</f>
        <v>195527</v>
      </c>
      <c r="C5411" s="19" t="s">
        <v>5338</v>
      </c>
      <c r="D5411" s="19" t="s">
        <v>20837</v>
      </c>
      <c r="E5411" s="19" t="s">
        <v>32855</v>
      </c>
      <c r="F5411" s="19" t="s">
        <v>35992</v>
      </c>
      <c r="G5411" s="18" t="str">
        <f>"70633"</f>
        <v>70633</v>
      </c>
      <c r="H5411" s="19" t="s">
        <v>36380</v>
      </c>
      <c r="I5411" s="20">
        <v>17.933</v>
      </c>
      <c r="J5411" s="44" t="s">
        <v>8</v>
      </c>
      <c r="K5411" s="23" t="s">
        <v>8</v>
      </c>
      <c r="L5411" s="23" t="s">
        <v>8</v>
      </c>
      <c r="M5411" s="23" t="s">
        <v>8</v>
      </c>
    </row>
    <row r="5412" spans="1:13" s="21" customFormat="1" x14ac:dyDescent="0.25">
      <c r="A5412" s="22" t="s">
        <v>8</v>
      </c>
      <c r="B5412" s="18" t="str">
        <f>"195528"</f>
        <v>195528</v>
      </c>
      <c r="C5412" s="19" t="s">
        <v>5339</v>
      </c>
      <c r="D5412" s="19" t="s">
        <v>20838</v>
      </c>
      <c r="E5412" s="19" t="s">
        <v>32791</v>
      </c>
      <c r="F5412" s="19" t="s">
        <v>35992</v>
      </c>
      <c r="G5412" s="18" t="str">
        <f>"71291"</f>
        <v>71291</v>
      </c>
      <c r="H5412" s="19" t="s">
        <v>36063</v>
      </c>
      <c r="I5412" s="20">
        <v>22.698</v>
      </c>
      <c r="J5412" s="44" t="s">
        <v>8</v>
      </c>
      <c r="K5412" s="23" t="s">
        <v>8</v>
      </c>
      <c r="L5412" s="23" t="s">
        <v>8</v>
      </c>
      <c r="M5412" s="23" t="s">
        <v>8</v>
      </c>
    </row>
    <row r="5413" spans="1:13" s="21" customFormat="1" x14ac:dyDescent="0.25">
      <c r="A5413" s="22" t="s">
        <v>8</v>
      </c>
      <c r="B5413" s="18" t="str">
        <f>"195529"</f>
        <v>195529</v>
      </c>
      <c r="C5413" s="19" t="s">
        <v>5340</v>
      </c>
      <c r="D5413" s="19" t="s">
        <v>20839</v>
      </c>
      <c r="E5413" s="19" t="s">
        <v>32712</v>
      </c>
      <c r="F5413" s="19" t="s">
        <v>35992</v>
      </c>
      <c r="G5413" s="18" t="str">
        <f>"71360"</f>
        <v>71360</v>
      </c>
      <c r="H5413" s="19" t="s">
        <v>36382</v>
      </c>
      <c r="I5413" s="20">
        <v>19.846</v>
      </c>
      <c r="J5413" s="44" t="s">
        <v>8</v>
      </c>
      <c r="K5413" s="23" t="s">
        <v>8</v>
      </c>
      <c r="L5413" s="23" t="s">
        <v>8</v>
      </c>
      <c r="M5413" s="23" t="s">
        <v>8</v>
      </c>
    </row>
    <row r="5414" spans="1:13" s="21" customFormat="1" x14ac:dyDescent="0.25">
      <c r="A5414" s="22" t="s">
        <v>8</v>
      </c>
      <c r="B5414" s="18" t="str">
        <f>"195530"</f>
        <v>195530</v>
      </c>
      <c r="C5414" s="19" t="s">
        <v>5341</v>
      </c>
      <c r="D5414" s="19" t="s">
        <v>20840</v>
      </c>
      <c r="E5414" s="19" t="s">
        <v>31711</v>
      </c>
      <c r="F5414" s="19" t="s">
        <v>35992</v>
      </c>
      <c r="G5414" s="18" t="str">
        <f>"71202"</f>
        <v>71202</v>
      </c>
      <c r="H5414" s="19" t="s">
        <v>36063</v>
      </c>
      <c r="I5414" s="20">
        <v>21.213999999999999</v>
      </c>
      <c r="J5414" s="44" t="s">
        <v>8</v>
      </c>
      <c r="K5414" s="23" t="s">
        <v>8</v>
      </c>
      <c r="L5414" s="23" t="s">
        <v>8</v>
      </c>
      <c r="M5414" s="23" t="s">
        <v>8</v>
      </c>
    </row>
    <row r="5415" spans="1:13" s="21" customFormat="1" x14ac:dyDescent="0.25">
      <c r="A5415" s="22" t="s">
        <v>8</v>
      </c>
      <c r="B5415" s="18" t="str">
        <f>"195531"</f>
        <v>195531</v>
      </c>
      <c r="C5415" s="19" t="s">
        <v>5342</v>
      </c>
      <c r="D5415" s="19" t="s">
        <v>20841</v>
      </c>
      <c r="E5415" s="19" t="s">
        <v>31711</v>
      </c>
      <c r="F5415" s="19" t="s">
        <v>35992</v>
      </c>
      <c r="G5415" s="18" t="str">
        <f>"71203"</f>
        <v>71203</v>
      </c>
      <c r="H5415" s="19" t="s">
        <v>36063</v>
      </c>
      <c r="I5415" s="20">
        <v>19.899999999999999</v>
      </c>
      <c r="J5415" s="44" t="s">
        <v>8</v>
      </c>
      <c r="K5415" s="23" t="s">
        <v>8</v>
      </c>
      <c r="L5415" s="23" t="s">
        <v>8</v>
      </c>
      <c r="M5415" s="23" t="s">
        <v>8</v>
      </c>
    </row>
    <row r="5416" spans="1:13" s="21" customFormat="1" x14ac:dyDescent="0.25">
      <c r="A5416" s="22" t="s">
        <v>8</v>
      </c>
      <c r="B5416" s="18" t="str">
        <f>"195532"</f>
        <v>195532</v>
      </c>
      <c r="C5416" s="19" t="s">
        <v>5343</v>
      </c>
      <c r="D5416" s="19" t="s">
        <v>20842</v>
      </c>
      <c r="E5416" s="19" t="s">
        <v>32804</v>
      </c>
      <c r="F5416" s="19" t="s">
        <v>35992</v>
      </c>
      <c r="G5416" s="18" t="str">
        <f>"71055"</f>
        <v>71055</v>
      </c>
      <c r="H5416" s="19" t="s">
        <v>33048</v>
      </c>
      <c r="I5416" s="20">
        <v>19.058</v>
      </c>
      <c r="J5416" s="44" t="s">
        <v>8</v>
      </c>
      <c r="K5416" s="23" t="s">
        <v>8</v>
      </c>
      <c r="L5416" s="23" t="s">
        <v>8</v>
      </c>
      <c r="M5416" s="23" t="s">
        <v>8</v>
      </c>
    </row>
    <row r="5417" spans="1:13" s="21" customFormat="1" x14ac:dyDescent="0.25">
      <c r="A5417" s="22" t="s">
        <v>8</v>
      </c>
      <c r="B5417" s="18" t="str">
        <f>"195533"</f>
        <v>195533</v>
      </c>
      <c r="C5417" s="19" t="s">
        <v>5344</v>
      </c>
      <c r="D5417" s="19" t="s">
        <v>20843</v>
      </c>
      <c r="E5417" s="19" t="s">
        <v>32786</v>
      </c>
      <c r="F5417" s="19" t="s">
        <v>35992</v>
      </c>
      <c r="G5417" s="18" t="str">
        <f>"71115"</f>
        <v>71115</v>
      </c>
      <c r="H5417" s="19" t="s">
        <v>36363</v>
      </c>
      <c r="I5417" s="20">
        <v>20.672999999999998</v>
      </c>
      <c r="J5417" s="44" t="s">
        <v>8</v>
      </c>
      <c r="K5417" s="23" t="s">
        <v>8</v>
      </c>
      <c r="L5417" s="23" t="s">
        <v>8</v>
      </c>
      <c r="M5417" s="23" t="s">
        <v>8</v>
      </c>
    </row>
    <row r="5418" spans="1:13" s="21" customFormat="1" x14ac:dyDescent="0.25">
      <c r="A5418" s="22" t="s">
        <v>8</v>
      </c>
      <c r="B5418" s="18" t="str">
        <f>"195535"</f>
        <v>195535</v>
      </c>
      <c r="C5418" s="19" t="s">
        <v>5345</v>
      </c>
      <c r="D5418" s="19" t="s">
        <v>20844</v>
      </c>
      <c r="E5418" s="19" t="s">
        <v>32773</v>
      </c>
      <c r="F5418" s="19" t="s">
        <v>35992</v>
      </c>
      <c r="G5418" s="18" t="str">
        <f>"70634"</f>
        <v>70634</v>
      </c>
      <c r="H5418" s="19" t="s">
        <v>36355</v>
      </c>
      <c r="I5418" s="20">
        <v>22.26</v>
      </c>
      <c r="J5418" s="44" t="s">
        <v>8</v>
      </c>
      <c r="K5418" s="23" t="s">
        <v>8</v>
      </c>
      <c r="L5418" s="23" t="s">
        <v>8</v>
      </c>
      <c r="M5418" s="23" t="s">
        <v>8</v>
      </c>
    </row>
    <row r="5419" spans="1:13" s="21" customFormat="1" x14ac:dyDescent="0.25">
      <c r="A5419" s="22" t="s">
        <v>8</v>
      </c>
      <c r="B5419" s="18" t="str">
        <f>"195536"</f>
        <v>195536</v>
      </c>
      <c r="C5419" s="19" t="s">
        <v>5346</v>
      </c>
      <c r="D5419" s="19" t="s">
        <v>20845</v>
      </c>
      <c r="E5419" s="19" t="s">
        <v>32794</v>
      </c>
      <c r="F5419" s="19" t="s">
        <v>35992</v>
      </c>
      <c r="G5419" s="18" t="str">
        <f>"70006"</f>
        <v>70006</v>
      </c>
      <c r="H5419" s="19" t="s">
        <v>32391</v>
      </c>
      <c r="I5419" s="20">
        <v>22.05</v>
      </c>
      <c r="J5419" s="44" t="s">
        <v>8</v>
      </c>
      <c r="K5419" s="23" t="s">
        <v>8</v>
      </c>
      <c r="L5419" s="23" t="s">
        <v>8</v>
      </c>
      <c r="M5419" s="23" t="s">
        <v>8</v>
      </c>
    </row>
    <row r="5420" spans="1:13" s="21" customFormat="1" x14ac:dyDescent="0.25">
      <c r="A5420" s="22" t="s">
        <v>8</v>
      </c>
      <c r="B5420" s="18" t="str">
        <f>"195537"</f>
        <v>195537</v>
      </c>
      <c r="C5420" s="19" t="s">
        <v>5347</v>
      </c>
      <c r="D5420" s="19" t="s">
        <v>20846</v>
      </c>
      <c r="E5420" s="19" t="s">
        <v>32787</v>
      </c>
      <c r="F5420" s="19" t="s">
        <v>35992</v>
      </c>
      <c r="G5420" s="18" t="str">
        <f>"70815"</f>
        <v>70815</v>
      </c>
      <c r="H5420" s="19" t="s">
        <v>36364</v>
      </c>
      <c r="I5420" s="20">
        <v>19.052</v>
      </c>
      <c r="J5420" s="44" t="s">
        <v>8</v>
      </c>
      <c r="K5420" s="23" t="s">
        <v>8</v>
      </c>
      <c r="L5420" s="23" t="s">
        <v>8</v>
      </c>
      <c r="M5420" s="23" t="s">
        <v>8</v>
      </c>
    </row>
    <row r="5421" spans="1:13" s="21" customFormat="1" x14ac:dyDescent="0.25">
      <c r="A5421" s="22" t="s">
        <v>8</v>
      </c>
      <c r="B5421" s="18" t="str">
        <f>"195538"</f>
        <v>195538</v>
      </c>
      <c r="C5421" s="19" t="s">
        <v>5348</v>
      </c>
      <c r="D5421" s="19" t="s">
        <v>20847</v>
      </c>
      <c r="E5421" s="19" t="s">
        <v>32801</v>
      </c>
      <c r="F5421" s="19" t="s">
        <v>35992</v>
      </c>
      <c r="G5421" s="18" t="str">
        <f>"71270"</f>
        <v>71270</v>
      </c>
      <c r="H5421" s="19" t="s">
        <v>31995</v>
      </c>
      <c r="I5421" s="20">
        <v>19.806999999999999</v>
      </c>
      <c r="J5421" s="44" t="s">
        <v>8</v>
      </c>
      <c r="K5421" s="23" t="s">
        <v>8</v>
      </c>
      <c r="L5421" s="23" t="s">
        <v>8</v>
      </c>
      <c r="M5421" s="23" t="s">
        <v>8</v>
      </c>
    </row>
    <row r="5422" spans="1:13" s="21" customFormat="1" x14ac:dyDescent="0.25">
      <c r="A5422" s="22" t="s">
        <v>8</v>
      </c>
      <c r="B5422" s="18" t="str">
        <f>"195539"</f>
        <v>195539</v>
      </c>
      <c r="C5422" s="19" t="s">
        <v>5349</v>
      </c>
      <c r="D5422" s="19" t="s">
        <v>20848</v>
      </c>
      <c r="E5422" s="19" t="s">
        <v>31481</v>
      </c>
      <c r="F5422" s="19" t="s">
        <v>35992</v>
      </c>
      <c r="G5422" s="18" t="str">
        <f>"71052"</f>
        <v>71052</v>
      </c>
      <c r="H5422" s="19" t="s">
        <v>32653</v>
      </c>
      <c r="I5422" s="20">
        <v>21.492000000000001</v>
      </c>
      <c r="J5422" s="44" t="s">
        <v>8</v>
      </c>
      <c r="K5422" s="23" t="s">
        <v>8</v>
      </c>
      <c r="L5422" s="23" t="s">
        <v>8</v>
      </c>
      <c r="M5422" s="23" t="s">
        <v>8</v>
      </c>
    </row>
    <row r="5423" spans="1:13" s="21" customFormat="1" x14ac:dyDescent="0.25">
      <c r="A5423" s="22" t="s">
        <v>8</v>
      </c>
      <c r="B5423" s="18" t="str">
        <f>"195541"</f>
        <v>195541</v>
      </c>
      <c r="C5423" s="19" t="s">
        <v>5350</v>
      </c>
      <c r="D5423" s="19" t="s">
        <v>20849</v>
      </c>
      <c r="E5423" s="19" t="s">
        <v>32780</v>
      </c>
      <c r="F5423" s="19" t="s">
        <v>35992</v>
      </c>
      <c r="G5423" s="18" t="str">
        <f>"71220"</f>
        <v>71220</v>
      </c>
      <c r="H5423" s="19" t="s">
        <v>36361</v>
      </c>
      <c r="I5423" s="20">
        <v>21.004999999999999</v>
      </c>
      <c r="J5423" s="44" t="s">
        <v>8</v>
      </c>
      <c r="K5423" s="23" t="s">
        <v>8</v>
      </c>
      <c r="L5423" s="23" t="s">
        <v>8</v>
      </c>
      <c r="M5423" s="23" t="s">
        <v>8</v>
      </c>
    </row>
    <row r="5424" spans="1:13" s="21" customFormat="1" x14ac:dyDescent="0.25">
      <c r="A5424" s="22" t="s">
        <v>8</v>
      </c>
      <c r="B5424" s="18" t="str">
        <f>"195542"</f>
        <v>195542</v>
      </c>
      <c r="C5424" s="19" t="s">
        <v>5351</v>
      </c>
      <c r="D5424" s="19" t="s">
        <v>20850</v>
      </c>
      <c r="E5424" s="19" t="s">
        <v>31711</v>
      </c>
      <c r="F5424" s="19" t="s">
        <v>35992</v>
      </c>
      <c r="G5424" s="18" t="str">
        <f>"71201"</f>
        <v>71201</v>
      </c>
      <c r="H5424" s="19" t="s">
        <v>36063</v>
      </c>
      <c r="I5424" s="20">
        <v>21.465</v>
      </c>
      <c r="J5424" s="44" t="s">
        <v>8</v>
      </c>
      <c r="K5424" s="23" t="s">
        <v>8</v>
      </c>
      <c r="L5424" s="23" t="s">
        <v>8</v>
      </c>
      <c r="M5424" s="23" t="s">
        <v>8</v>
      </c>
    </row>
    <row r="5425" spans="1:13" s="21" customFormat="1" x14ac:dyDescent="0.25">
      <c r="A5425" s="22" t="s">
        <v>8</v>
      </c>
      <c r="B5425" s="18" t="str">
        <f>"195543"</f>
        <v>195543</v>
      </c>
      <c r="C5425" s="19" t="s">
        <v>5352</v>
      </c>
      <c r="D5425" s="19" t="s">
        <v>20851</v>
      </c>
      <c r="E5425" s="19" t="s">
        <v>32856</v>
      </c>
      <c r="F5425" s="19" t="s">
        <v>35992</v>
      </c>
      <c r="G5425" s="18" t="str">
        <f>"70444"</f>
        <v>70444</v>
      </c>
      <c r="H5425" s="19" t="s">
        <v>36379</v>
      </c>
      <c r="I5425" s="20">
        <v>19.111000000000001</v>
      </c>
      <c r="J5425" s="44" t="s">
        <v>8</v>
      </c>
      <c r="K5425" s="23" t="s">
        <v>8</v>
      </c>
      <c r="L5425" s="23" t="s">
        <v>8</v>
      </c>
      <c r="M5425" s="23" t="s">
        <v>8</v>
      </c>
    </row>
    <row r="5426" spans="1:13" s="21" customFormat="1" x14ac:dyDescent="0.25">
      <c r="A5426" s="22" t="s">
        <v>8</v>
      </c>
      <c r="B5426" s="18" t="str">
        <f>"195544"</f>
        <v>195544</v>
      </c>
      <c r="C5426" s="19" t="s">
        <v>5353</v>
      </c>
      <c r="D5426" s="19" t="s">
        <v>20852</v>
      </c>
      <c r="E5426" s="19" t="s">
        <v>32840</v>
      </c>
      <c r="F5426" s="19" t="s">
        <v>35992</v>
      </c>
      <c r="G5426" s="18" t="str">
        <f>"70578"</f>
        <v>70578</v>
      </c>
      <c r="H5426" s="19" t="s">
        <v>36383</v>
      </c>
      <c r="I5426" s="20">
        <v>18.399999999999999</v>
      </c>
      <c r="J5426" s="44" t="s">
        <v>8</v>
      </c>
      <c r="K5426" s="23" t="s">
        <v>8</v>
      </c>
      <c r="L5426" s="23" t="s">
        <v>8</v>
      </c>
      <c r="M5426" s="23" t="s">
        <v>8</v>
      </c>
    </row>
    <row r="5427" spans="1:13" s="21" customFormat="1" x14ac:dyDescent="0.25">
      <c r="A5427" s="22" t="s">
        <v>8</v>
      </c>
      <c r="B5427" s="18" t="str">
        <f>"195545"</f>
        <v>195545</v>
      </c>
      <c r="C5427" s="19" t="s">
        <v>5354</v>
      </c>
      <c r="D5427" s="19" t="s">
        <v>20853</v>
      </c>
      <c r="E5427" s="19" t="s">
        <v>32779</v>
      </c>
      <c r="F5427" s="19" t="s">
        <v>35992</v>
      </c>
      <c r="G5427" s="18" t="str">
        <f>"71040"</f>
        <v>71040</v>
      </c>
      <c r="H5427" s="19" t="s">
        <v>36360</v>
      </c>
      <c r="I5427" s="20">
        <v>18.696000000000002</v>
      </c>
      <c r="J5427" s="44" t="s">
        <v>8</v>
      </c>
      <c r="K5427" s="23" t="s">
        <v>8</v>
      </c>
      <c r="L5427" s="23" t="s">
        <v>8</v>
      </c>
      <c r="M5427" s="23" t="s">
        <v>8</v>
      </c>
    </row>
    <row r="5428" spans="1:13" s="21" customFormat="1" x14ac:dyDescent="0.25">
      <c r="A5428" s="22" t="s">
        <v>8</v>
      </c>
      <c r="B5428" s="18" t="str">
        <f>"195546"</f>
        <v>195546</v>
      </c>
      <c r="C5428" s="19" t="s">
        <v>5355</v>
      </c>
      <c r="D5428" s="19" t="s">
        <v>20854</v>
      </c>
      <c r="E5428" s="19" t="s">
        <v>32857</v>
      </c>
      <c r="F5428" s="19" t="s">
        <v>35992</v>
      </c>
      <c r="G5428" s="18" t="str">
        <f>"71369"</f>
        <v>71369</v>
      </c>
      <c r="H5428" s="19" t="s">
        <v>36359</v>
      </c>
      <c r="I5428" s="20">
        <v>19.329000000000001</v>
      </c>
      <c r="J5428" s="44" t="s">
        <v>8</v>
      </c>
      <c r="K5428" s="23" t="s">
        <v>8</v>
      </c>
      <c r="L5428" s="23" t="s">
        <v>8</v>
      </c>
      <c r="M5428" s="23" t="s">
        <v>8</v>
      </c>
    </row>
    <row r="5429" spans="1:13" s="21" customFormat="1" x14ac:dyDescent="0.25">
      <c r="A5429" s="22" t="s">
        <v>8</v>
      </c>
      <c r="B5429" s="18" t="str">
        <f>"195547"</f>
        <v>195547</v>
      </c>
      <c r="C5429" s="19" t="s">
        <v>5356</v>
      </c>
      <c r="D5429" s="19" t="s">
        <v>20855</v>
      </c>
      <c r="E5429" s="19" t="s">
        <v>32858</v>
      </c>
      <c r="F5429" s="19" t="s">
        <v>35992</v>
      </c>
      <c r="G5429" s="18" t="str">
        <f>"70535"</f>
        <v>70535</v>
      </c>
      <c r="H5429" s="19" t="s">
        <v>36374</v>
      </c>
      <c r="I5429" s="20">
        <v>19.358000000000001</v>
      </c>
      <c r="J5429" s="44" t="s">
        <v>8</v>
      </c>
      <c r="K5429" s="23" t="s">
        <v>8</v>
      </c>
      <c r="L5429" s="23" t="s">
        <v>8</v>
      </c>
      <c r="M5429" s="23" t="s">
        <v>8</v>
      </c>
    </row>
    <row r="5430" spans="1:13" s="21" customFormat="1" x14ac:dyDescent="0.25">
      <c r="A5430" s="22" t="s">
        <v>8</v>
      </c>
      <c r="B5430" s="18" t="str">
        <f>"195550"</f>
        <v>195550</v>
      </c>
      <c r="C5430" s="19" t="s">
        <v>5357</v>
      </c>
      <c r="D5430" s="19" t="s">
        <v>20856</v>
      </c>
      <c r="E5430" s="19" t="s">
        <v>32774</v>
      </c>
      <c r="F5430" s="19" t="s">
        <v>35992</v>
      </c>
      <c r="G5430" s="18" t="str">
        <f>"70546"</f>
        <v>70546</v>
      </c>
      <c r="H5430" s="19" t="s">
        <v>36356</v>
      </c>
      <c r="I5430" s="20">
        <v>19.288</v>
      </c>
      <c r="J5430" s="44" t="s">
        <v>8</v>
      </c>
      <c r="K5430" s="23" t="s">
        <v>8</v>
      </c>
      <c r="L5430" s="23" t="s">
        <v>8</v>
      </c>
      <c r="M5430" s="23" t="s">
        <v>8</v>
      </c>
    </row>
    <row r="5431" spans="1:13" s="21" customFormat="1" x14ac:dyDescent="0.25">
      <c r="A5431" s="22" t="s">
        <v>8</v>
      </c>
      <c r="B5431" s="18" t="str">
        <f>"195551"</f>
        <v>195551</v>
      </c>
      <c r="C5431" s="19" t="s">
        <v>5358</v>
      </c>
      <c r="D5431" s="19" t="s">
        <v>20857</v>
      </c>
      <c r="E5431" s="19" t="s">
        <v>32791</v>
      </c>
      <c r="F5431" s="19" t="s">
        <v>35992</v>
      </c>
      <c r="G5431" s="18" t="str">
        <f>"71292"</f>
        <v>71292</v>
      </c>
      <c r="H5431" s="19" t="s">
        <v>36063</v>
      </c>
      <c r="I5431" s="20">
        <v>20.175999999999998</v>
      </c>
      <c r="J5431" s="44" t="s">
        <v>8</v>
      </c>
      <c r="K5431" s="23" t="s">
        <v>8</v>
      </c>
      <c r="L5431" s="23" t="s">
        <v>8</v>
      </c>
      <c r="M5431" s="23" t="s">
        <v>8</v>
      </c>
    </row>
    <row r="5432" spans="1:13" s="21" customFormat="1" x14ac:dyDescent="0.25">
      <c r="A5432" s="22" t="s">
        <v>8</v>
      </c>
      <c r="B5432" s="18" t="str">
        <f>"195552"</f>
        <v>195552</v>
      </c>
      <c r="C5432" s="19" t="s">
        <v>5359</v>
      </c>
      <c r="D5432" s="19" t="s">
        <v>20858</v>
      </c>
      <c r="E5432" s="19" t="s">
        <v>31636</v>
      </c>
      <c r="F5432" s="19" t="s">
        <v>35992</v>
      </c>
      <c r="G5432" s="18" t="str">
        <f>"71358"</f>
        <v>71358</v>
      </c>
      <c r="H5432" s="19" t="s">
        <v>36374</v>
      </c>
      <c r="I5432" s="20">
        <v>19.39</v>
      </c>
      <c r="J5432" s="44" t="s">
        <v>8</v>
      </c>
      <c r="K5432" s="23" t="s">
        <v>8</v>
      </c>
      <c r="L5432" s="23" t="s">
        <v>8</v>
      </c>
      <c r="M5432" s="23" t="s">
        <v>8</v>
      </c>
    </row>
    <row r="5433" spans="1:13" s="21" customFormat="1" x14ac:dyDescent="0.25">
      <c r="A5433" s="22" t="s">
        <v>8</v>
      </c>
      <c r="B5433" s="18" t="str">
        <f>"195553"</f>
        <v>195553</v>
      </c>
      <c r="C5433" s="19" t="s">
        <v>5360</v>
      </c>
      <c r="D5433" s="19" t="s">
        <v>20859</v>
      </c>
      <c r="E5433" s="19" t="s">
        <v>30909</v>
      </c>
      <c r="F5433" s="19" t="s">
        <v>35992</v>
      </c>
      <c r="G5433" s="18" t="str">
        <f>"70510"</f>
        <v>70510</v>
      </c>
      <c r="H5433" s="19" t="s">
        <v>34509</v>
      </c>
      <c r="I5433" s="20">
        <v>22.882999999999999</v>
      </c>
      <c r="J5433" s="44" t="s">
        <v>8</v>
      </c>
      <c r="K5433" s="23" t="s">
        <v>8</v>
      </c>
      <c r="L5433" s="23" t="s">
        <v>8</v>
      </c>
      <c r="M5433" s="23" t="s">
        <v>8</v>
      </c>
    </row>
    <row r="5434" spans="1:13" s="21" customFormat="1" x14ac:dyDescent="0.25">
      <c r="A5434" s="22" t="s">
        <v>8</v>
      </c>
      <c r="B5434" s="18" t="str">
        <f>"195554"</f>
        <v>195554</v>
      </c>
      <c r="C5434" s="19" t="s">
        <v>5361</v>
      </c>
      <c r="D5434" s="19" t="s">
        <v>20860</v>
      </c>
      <c r="E5434" s="19" t="s">
        <v>32780</v>
      </c>
      <c r="F5434" s="19" t="s">
        <v>35992</v>
      </c>
      <c r="G5434" s="18" t="str">
        <f>"71220"</f>
        <v>71220</v>
      </c>
      <c r="H5434" s="19" t="s">
        <v>36361</v>
      </c>
      <c r="I5434" s="20">
        <v>17.859000000000002</v>
      </c>
      <c r="J5434" s="44" t="s">
        <v>8</v>
      </c>
      <c r="K5434" s="23" t="s">
        <v>8</v>
      </c>
      <c r="L5434" s="23" t="s">
        <v>8</v>
      </c>
      <c r="M5434" s="23" t="s">
        <v>8</v>
      </c>
    </row>
    <row r="5435" spans="1:13" s="21" customFormat="1" x14ac:dyDescent="0.25">
      <c r="A5435" s="22" t="s">
        <v>8</v>
      </c>
      <c r="B5435" s="18" t="str">
        <f>"195555"</f>
        <v>195555</v>
      </c>
      <c r="C5435" s="19" t="s">
        <v>5362</v>
      </c>
      <c r="D5435" s="19" t="s">
        <v>20861</v>
      </c>
      <c r="E5435" s="19" t="s">
        <v>32809</v>
      </c>
      <c r="F5435" s="19" t="s">
        <v>35992</v>
      </c>
      <c r="G5435" s="18" t="str">
        <f>"71449"</f>
        <v>71449</v>
      </c>
      <c r="H5435" s="19" t="s">
        <v>36372</v>
      </c>
      <c r="I5435" s="20">
        <v>21.085000000000001</v>
      </c>
      <c r="J5435" s="44" t="s">
        <v>8</v>
      </c>
      <c r="K5435" s="23" t="s">
        <v>8</v>
      </c>
      <c r="L5435" s="23" t="s">
        <v>8</v>
      </c>
      <c r="M5435" s="23" t="s">
        <v>8</v>
      </c>
    </row>
    <row r="5436" spans="1:13" s="21" customFormat="1" x14ac:dyDescent="0.25">
      <c r="A5436" s="22" t="s">
        <v>8</v>
      </c>
      <c r="B5436" s="18" t="str">
        <f>"195556"</f>
        <v>195556</v>
      </c>
      <c r="C5436" s="19" t="s">
        <v>5363</v>
      </c>
      <c r="D5436" s="19" t="s">
        <v>20862</v>
      </c>
      <c r="E5436" s="19" t="s">
        <v>31481</v>
      </c>
      <c r="F5436" s="19" t="s">
        <v>35992</v>
      </c>
      <c r="G5436" s="18" t="str">
        <f>"71052"</f>
        <v>71052</v>
      </c>
      <c r="H5436" s="19" t="s">
        <v>32653</v>
      </c>
      <c r="I5436" s="20">
        <v>19.71</v>
      </c>
      <c r="J5436" s="44" t="s">
        <v>8</v>
      </c>
      <c r="K5436" s="23" t="s">
        <v>8</v>
      </c>
      <c r="L5436" s="23" t="s">
        <v>8</v>
      </c>
      <c r="M5436" s="23" t="s">
        <v>8</v>
      </c>
    </row>
    <row r="5437" spans="1:13" s="21" customFormat="1" x14ac:dyDescent="0.25">
      <c r="A5437" s="22" t="s">
        <v>8</v>
      </c>
      <c r="B5437" s="18" t="str">
        <f>"195557"</f>
        <v>195557</v>
      </c>
      <c r="C5437" s="19" t="s">
        <v>5364</v>
      </c>
      <c r="D5437" s="19" t="s">
        <v>20863</v>
      </c>
      <c r="E5437" s="19" t="s">
        <v>32778</v>
      </c>
      <c r="F5437" s="19" t="s">
        <v>35992</v>
      </c>
      <c r="G5437" s="18" t="str">
        <f>"71351"</f>
        <v>71351</v>
      </c>
      <c r="H5437" s="19" t="s">
        <v>36359</v>
      </c>
      <c r="I5437" s="20">
        <v>19.088999999999999</v>
      </c>
      <c r="J5437" s="44" t="s">
        <v>8</v>
      </c>
      <c r="K5437" s="23" t="s">
        <v>8</v>
      </c>
      <c r="L5437" s="23" t="s">
        <v>8</v>
      </c>
      <c r="M5437" s="23" t="s">
        <v>8</v>
      </c>
    </row>
    <row r="5438" spans="1:13" s="21" customFormat="1" x14ac:dyDescent="0.25">
      <c r="A5438" s="22" t="s">
        <v>8</v>
      </c>
      <c r="B5438" s="18" t="str">
        <f>"195558"</f>
        <v>195558</v>
      </c>
      <c r="C5438" s="19" t="s">
        <v>5365</v>
      </c>
      <c r="D5438" s="19" t="s">
        <v>20864</v>
      </c>
      <c r="E5438" s="19" t="s">
        <v>32786</v>
      </c>
      <c r="F5438" s="19" t="s">
        <v>35992</v>
      </c>
      <c r="G5438" s="18" t="str">
        <f>"71103"</f>
        <v>71103</v>
      </c>
      <c r="H5438" s="19" t="s">
        <v>36363</v>
      </c>
      <c r="I5438" s="20">
        <v>19.027999999999999</v>
      </c>
      <c r="J5438" s="44" t="s">
        <v>8</v>
      </c>
      <c r="K5438" s="23" t="s">
        <v>8</v>
      </c>
      <c r="L5438" s="23" t="s">
        <v>8</v>
      </c>
      <c r="M5438" s="23" t="s">
        <v>8</v>
      </c>
    </row>
    <row r="5439" spans="1:13" s="21" customFormat="1" x14ac:dyDescent="0.25">
      <c r="A5439" s="22" t="s">
        <v>8</v>
      </c>
      <c r="B5439" s="18" t="str">
        <f>"195559"</f>
        <v>195559</v>
      </c>
      <c r="C5439" s="19" t="s">
        <v>5366</v>
      </c>
      <c r="D5439" s="19" t="s">
        <v>20865</v>
      </c>
      <c r="E5439" s="19" t="s">
        <v>32859</v>
      </c>
      <c r="F5439" s="19" t="s">
        <v>35992</v>
      </c>
      <c r="G5439" s="18" t="str">
        <f>"71341"</f>
        <v>71341</v>
      </c>
      <c r="H5439" s="19" t="s">
        <v>36359</v>
      </c>
      <c r="I5439" s="20">
        <v>21.65</v>
      </c>
      <c r="J5439" s="44" t="s">
        <v>8</v>
      </c>
      <c r="K5439" s="23" t="s">
        <v>8</v>
      </c>
      <c r="L5439" s="23" t="s">
        <v>8</v>
      </c>
      <c r="M5439" s="23" t="s">
        <v>8</v>
      </c>
    </row>
    <row r="5440" spans="1:13" s="21" customFormat="1" x14ac:dyDescent="0.25">
      <c r="A5440" s="22" t="s">
        <v>8</v>
      </c>
      <c r="B5440" s="18" t="str">
        <f>"195560"</f>
        <v>195560</v>
      </c>
      <c r="C5440" s="19" t="s">
        <v>5367</v>
      </c>
      <c r="D5440" s="19" t="s">
        <v>20866</v>
      </c>
      <c r="E5440" s="19" t="s">
        <v>32288</v>
      </c>
      <c r="F5440" s="19" t="s">
        <v>35992</v>
      </c>
      <c r="G5440" s="18" t="str">
        <f>"71301"</f>
        <v>71301</v>
      </c>
      <c r="H5440" s="19" t="s">
        <v>36382</v>
      </c>
      <c r="I5440" s="20">
        <v>17.997</v>
      </c>
      <c r="J5440" s="44" t="s">
        <v>8</v>
      </c>
      <c r="K5440" s="23" t="s">
        <v>8</v>
      </c>
      <c r="L5440" s="23" t="s">
        <v>8</v>
      </c>
      <c r="M5440" s="23" t="s">
        <v>8</v>
      </c>
    </row>
    <row r="5441" spans="1:13" s="21" customFormat="1" x14ac:dyDescent="0.25">
      <c r="A5441" s="22" t="s">
        <v>8</v>
      </c>
      <c r="B5441" s="18" t="str">
        <f>"195561"</f>
        <v>195561</v>
      </c>
      <c r="C5441" s="19" t="s">
        <v>1222</v>
      </c>
      <c r="D5441" s="19" t="s">
        <v>20867</v>
      </c>
      <c r="E5441" s="19" t="s">
        <v>32860</v>
      </c>
      <c r="F5441" s="19" t="s">
        <v>35992</v>
      </c>
      <c r="G5441" s="18" t="str">
        <f>"70714"</f>
        <v>70714</v>
      </c>
      <c r="H5441" s="19" t="s">
        <v>36364</v>
      </c>
      <c r="I5441" s="20">
        <v>20.048999999999999</v>
      </c>
      <c r="J5441" s="44" t="s">
        <v>8</v>
      </c>
      <c r="K5441" s="23" t="s">
        <v>8</v>
      </c>
      <c r="L5441" s="23" t="s">
        <v>8</v>
      </c>
      <c r="M5441" s="23" t="s">
        <v>8</v>
      </c>
    </row>
    <row r="5442" spans="1:13" s="21" customFormat="1" x14ac:dyDescent="0.25">
      <c r="A5442" s="22" t="s">
        <v>8</v>
      </c>
      <c r="B5442" s="18" t="str">
        <f>"195562"</f>
        <v>195562</v>
      </c>
      <c r="C5442" s="19" t="s">
        <v>5368</v>
      </c>
      <c r="D5442" s="19" t="s">
        <v>20868</v>
      </c>
      <c r="E5442" s="19" t="s">
        <v>32861</v>
      </c>
      <c r="F5442" s="19" t="s">
        <v>35992</v>
      </c>
      <c r="G5442" s="18" t="str">
        <f>"71019"</f>
        <v>71019</v>
      </c>
      <c r="H5442" s="19" t="s">
        <v>36389</v>
      </c>
      <c r="I5442" s="20">
        <v>21.812000000000001</v>
      </c>
      <c r="J5442" s="44" t="s">
        <v>8</v>
      </c>
      <c r="K5442" s="23" t="s">
        <v>8</v>
      </c>
      <c r="L5442" s="23" t="s">
        <v>8</v>
      </c>
      <c r="M5442" s="23" t="s">
        <v>8</v>
      </c>
    </row>
    <row r="5443" spans="1:13" s="21" customFormat="1" x14ac:dyDescent="0.25">
      <c r="A5443" s="22" t="s">
        <v>8</v>
      </c>
      <c r="B5443" s="18" t="str">
        <f>"195563"</f>
        <v>195563</v>
      </c>
      <c r="C5443" s="19" t="s">
        <v>5369</v>
      </c>
      <c r="D5443" s="19" t="s">
        <v>20869</v>
      </c>
      <c r="E5443" s="19" t="s">
        <v>32833</v>
      </c>
      <c r="F5443" s="19" t="s">
        <v>35992</v>
      </c>
      <c r="G5443" s="18" t="str">
        <f>"70526"</f>
        <v>70526</v>
      </c>
      <c r="H5443" s="19" t="s">
        <v>36383</v>
      </c>
      <c r="I5443" s="20">
        <v>21.474</v>
      </c>
      <c r="J5443" s="44" t="s">
        <v>8</v>
      </c>
      <c r="K5443" s="23" t="s">
        <v>8</v>
      </c>
      <c r="L5443" s="23" t="s">
        <v>8</v>
      </c>
      <c r="M5443" s="23" t="s">
        <v>8</v>
      </c>
    </row>
    <row r="5444" spans="1:13" s="21" customFormat="1" x14ac:dyDescent="0.25">
      <c r="A5444" s="22" t="s">
        <v>8</v>
      </c>
      <c r="B5444" s="18" t="str">
        <f>"195564"</f>
        <v>195564</v>
      </c>
      <c r="C5444" s="19" t="s">
        <v>5370</v>
      </c>
      <c r="D5444" s="19" t="s">
        <v>20870</v>
      </c>
      <c r="E5444" s="19" t="s">
        <v>32862</v>
      </c>
      <c r="F5444" s="19" t="s">
        <v>35992</v>
      </c>
      <c r="G5444" s="18" t="str">
        <f>"70525"</f>
        <v>70525</v>
      </c>
      <c r="H5444" s="19" t="s">
        <v>36383</v>
      </c>
      <c r="I5444" s="20">
        <v>21.831</v>
      </c>
      <c r="J5444" s="44" t="s">
        <v>8</v>
      </c>
      <c r="K5444" s="23" t="s">
        <v>8</v>
      </c>
      <c r="L5444" s="23" t="s">
        <v>8</v>
      </c>
      <c r="M5444" s="23" t="s">
        <v>8</v>
      </c>
    </row>
    <row r="5445" spans="1:13" s="21" customFormat="1" x14ac:dyDescent="0.25">
      <c r="A5445" s="22" t="s">
        <v>8</v>
      </c>
      <c r="B5445" s="18" t="str">
        <f>"195565"</f>
        <v>195565</v>
      </c>
      <c r="C5445" s="19" t="s">
        <v>5371</v>
      </c>
      <c r="D5445" s="19" t="s">
        <v>20871</v>
      </c>
      <c r="E5445" s="19" t="s">
        <v>30892</v>
      </c>
      <c r="F5445" s="19" t="s">
        <v>35992</v>
      </c>
      <c r="G5445" s="18" t="str">
        <f>"70506"</f>
        <v>70506</v>
      </c>
      <c r="H5445" s="19" t="s">
        <v>30892</v>
      </c>
      <c r="I5445" s="20">
        <v>17.795999999999999</v>
      </c>
      <c r="J5445" s="44" t="s">
        <v>8</v>
      </c>
      <c r="K5445" s="23" t="s">
        <v>8</v>
      </c>
      <c r="L5445" s="23" t="s">
        <v>8</v>
      </c>
      <c r="M5445" s="23" t="s">
        <v>8</v>
      </c>
    </row>
    <row r="5446" spans="1:13" s="21" customFormat="1" x14ac:dyDescent="0.25">
      <c r="A5446" s="22" t="s">
        <v>8</v>
      </c>
      <c r="B5446" s="18" t="str">
        <f>"195566"</f>
        <v>195566</v>
      </c>
      <c r="C5446" s="19" t="s">
        <v>5372</v>
      </c>
      <c r="D5446" s="19" t="s">
        <v>20872</v>
      </c>
      <c r="E5446" s="19" t="s">
        <v>32787</v>
      </c>
      <c r="F5446" s="19" t="s">
        <v>35992</v>
      </c>
      <c r="G5446" s="18" t="str">
        <f>"70809"</f>
        <v>70809</v>
      </c>
      <c r="H5446" s="19" t="s">
        <v>36364</v>
      </c>
      <c r="I5446" s="20">
        <v>17.96</v>
      </c>
      <c r="J5446" s="44" t="s">
        <v>8</v>
      </c>
      <c r="K5446" s="23" t="s">
        <v>8</v>
      </c>
      <c r="L5446" s="23" t="s">
        <v>8</v>
      </c>
      <c r="M5446" s="23" t="s">
        <v>8</v>
      </c>
    </row>
    <row r="5447" spans="1:13" s="21" customFormat="1" x14ac:dyDescent="0.25">
      <c r="A5447" s="22" t="s">
        <v>8</v>
      </c>
      <c r="B5447" s="18" t="str">
        <f>"195567"</f>
        <v>195567</v>
      </c>
      <c r="C5447" s="19" t="s">
        <v>5373</v>
      </c>
      <c r="D5447" s="19" t="s">
        <v>20873</v>
      </c>
      <c r="E5447" s="19" t="s">
        <v>30909</v>
      </c>
      <c r="F5447" s="19" t="s">
        <v>35992</v>
      </c>
      <c r="G5447" s="18" t="str">
        <f>"70510"</f>
        <v>70510</v>
      </c>
      <c r="H5447" s="19" t="s">
        <v>34509</v>
      </c>
      <c r="I5447" s="20">
        <v>19.010999999999999</v>
      </c>
      <c r="J5447" s="44" t="s">
        <v>8</v>
      </c>
      <c r="K5447" s="23" t="s">
        <v>8</v>
      </c>
      <c r="L5447" s="23" t="s">
        <v>8</v>
      </c>
      <c r="M5447" s="23" t="s">
        <v>8</v>
      </c>
    </row>
    <row r="5448" spans="1:13" s="21" customFormat="1" x14ac:dyDescent="0.25">
      <c r="A5448" s="22" t="s">
        <v>8</v>
      </c>
      <c r="B5448" s="18" t="str">
        <f>"195568"</f>
        <v>195568</v>
      </c>
      <c r="C5448" s="19" t="s">
        <v>5374</v>
      </c>
      <c r="D5448" s="19" t="s">
        <v>20874</v>
      </c>
      <c r="E5448" s="19" t="s">
        <v>30992</v>
      </c>
      <c r="F5448" s="19" t="s">
        <v>35992</v>
      </c>
      <c r="G5448" s="18" t="str">
        <f>"71251"</f>
        <v>71251</v>
      </c>
      <c r="H5448" s="19" t="s">
        <v>30816</v>
      </c>
      <c r="I5448" s="20">
        <v>20.222000000000001</v>
      </c>
      <c r="J5448" s="44" t="s">
        <v>8</v>
      </c>
      <c r="K5448" s="23" t="s">
        <v>8</v>
      </c>
      <c r="L5448" s="23" t="s">
        <v>8</v>
      </c>
      <c r="M5448" s="23" t="s">
        <v>8</v>
      </c>
    </row>
    <row r="5449" spans="1:13" s="21" customFormat="1" x14ac:dyDescent="0.25">
      <c r="A5449" s="22" t="s">
        <v>8</v>
      </c>
      <c r="B5449" s="18" t="str">
        <f>"195570"</f>
        <v>195570</v>
      </c>
      <c r="C5449" s="19" t="s">
        <v>5375</v>
      </c>
      <c r="D5449" s="19" t="s">
        <v>20875</v>
      </c>
      <c r="E5449" s="19" t="s">
        <v>32794</v>
      </c>
      <c r="F5449" s="19" t="s">
        <v>35992</v>
      </c>
      <c r="G5449" s="18" t="str">
        <f>"70003"</f>
        <v>70003</v>
      </c>
      <c r="H5449" s="19" t="s">
        <v>32391</v>
      </c>
      <c r="I5449" s="20">
        <v>20.78</v>
      </c>
      <c r="J5449" s="44" t="s">
        <v>8</v>
      </c>
      <c r="K5449" s="23" t="s">
        <v>8</v>
      </c>
      <c r="L5449" s="23" t="s">
        <v>8</v>
      </c>
      <c r="M5449" s="23" t="s">
        <v>8</v>
      </c>
    </row>
    <row r="5450" spans="1:13" s="21" customFormat="1" x14ac:dyDescent="0.25">
      <c r="A5450" s="22" t="s">
        <v>8</v>
      </c>
      <c r="B5450" s="18" t="str">
        <f>"195571"</f>
        <v>195571</v>
      </c>
      <c r="C5450" s="19" t="s">
        <v>5376</v>
      </c>
      <c r="D5450" s="19" t="s">
        <v>20876</v>
      </c>
      <c r="E5450" s="19" t="s">
        <v>32787</v>
      </c>
      <c r="F5450" s="19" t="s">
        <v>35992</v>
      </c>
      <c r="G5450" s="18" t="str">
        <f>"70817"</f>
        <v>70817</v>
      </c>
      <c r="H5450" s="19" t="s">
        <v>36364</v>
      </c>
      <c r="I5450" s="20">
        <v>19.582999999999998</v>
      </c>
      <c r="J5450" s="44" t="s">
        <v>8</v>
      </c>
      <c r="K5450" s="23" t="s">
        <v>8</v>
      </c>
      <c r="L5450" s="23" t="s">
        <v>8</v>
      </c>
      <c r="M5450" s="23" t="s">
        <v>8</v>
      </c>
    </row>
    <row r="5451" spans="1:13" s="21" customFormat="1" x14ac:dyDescent="0.25">
      <c r="A5451" s="22" t="s">
        <v>8</v>
      </c>
      <c r="B5451" s="18" t="str">
        <f>"195572"</f>
        <v>195572</v>
      </c>
      <c r="C5451" s="19" t="s">
        <v>5377</v>
      </c>
      <c r="D5451" s="19" t="s">
        <v>20877</v>
      </c>
      <c r="E5451" s="19" t="s">
        <v>31196</v>
      </c>
      <c r="F5451" s="19" t="s">
        <v>35992</v>
      </c>
      <c r="G5451" s="18" t="str">
        <f>"71001"</f>
        <v>71001</v>
      </c>
      <c r="H5451" s="19" t="s">
        <v>36378</v>
      </c>
      <c r="I5451" s="20">
        <v>20.202999999999999</v>
      </c>
      <c r="J5451" s="44" t="s">
        <v>8</v>
      </c>
      <c r="K5451" s="23" t="s">
        <v>8</v>
      </c>
      <c r="L5451" s="23" t="s">
        <v>8</v>
      </c>
      <c r="M5451" s="23" t="s">
        <v>8</v>
      </c>
    </row>
    <row r="5452" spans="1:13" s="21" customFormat="1" x14ac:dyDescent="0.25">
      <c r="A5452" s="22" t="s">
        <v>8</v>
      </c>
      <c r="B5452" s="18" t="str">
        <f>"195573"</f>
        <v>195573</v>
      </c>
      <c r="C5452" s="19" t="s">
        <v>5378</v>
      </c>
      <c r="D5452" s="19" t="s">
        <v>20878</v>
      </c>
      <c r="E5452" s="19" t="s">
        <v>30892</v>
      </c>
      <c r="F5452" s="19" t="s">
        <v>35992</v>
      </c>
      <c r="G5452" s="18" t="str">
        <f>"70506"</f>
        <v>70506</v>
      </c>
      <c r="H5452" s="19" t="s">
        <v>30892</v>
      </c>
      <c r="I5452" s="20">
        <v>23.263999999999999</v>
      </c>
      <c r="J5452" s="44" t="s">
        <v>8</v>
      </c>
      <c r="K5452" s="23" t="s">
        <v>8</v>
      </c>
      <c r="L5452" s="23" t="s">
        <v>8</v>
      </c>
      <c r="M5452" s="23" t="s">
        <v>8</v>
      </c>
    </row>
    <row r="5453" spans="1:13" s="21" customFormat="1" x14ac:dyDescent="0.25">
      <c r="A5453" s="22" t="s">
        <v>8</v>
      </c>
      <c r="B5453" s="18" t="str">
        <f>"195574"</f>
        <v>195574</v>
      </c>
      <c r="C5453" s="19" t="s">
        <v>5379</v>
      </c>
      <c r="D5453" s="19" t="s">
        <v>20879</v>
      </c>
      <c r="E5453" s="19" t="s">
        <v>32863</v>
      </c>
      <c r="F5453" s="19" t="s">
        <v>35992</v>
      </c>
      <c r="G5453" s="18" t="str">
        <f>"70544"</f>
        <v>70544</v>
      </c>
      <c r="H5453" s="19" t="s">
        <v>36375</v>
      </c>
      <c r="I5453" s="20">
        <v>20.431999999999999</v>
      </c>
      <c r="J5453" s="44" t="s">
        <v>8</v>
      </c>
      <c r="K5453" s="23" t="s">
        <v>8</v>
      </c>
      <c r="L5453" s="23" t="s">
        <v>8</v>
      </c>
      <c r="M5453" s="23" t="s">
        <v>8</v>
      </c>
    </row>
    <row r="5454" spans="1:13" s="21" customFormat="1" x14ac:dyDescent="0.25">
      <c r="A5454" s="22" t="s">
        <v>8</v>
      </c>
      <c r="B5454" s="18" t="str">
        <f>"195575"</f>
        <v>195575</v>
      </c>
      <c r="C5454" s="19" t="s">
        <v>5380</v>
      </c>
      <c r="D5454" s="19" t="s">
        <v>20880</v>
      </c>
      <c r="E5454" s="19" t="s">
        <v>32864</v>
      </c>
      <c r="F5454" s="19" t="s">
        <v>35992</v>
      </c>
      <c r="G5454" s="18" t="str">
        <f>"71323"</f>
        <v>71323</v>
      </c>
      <c r="H5454" s="19" t="s">
        <v>36359</v>
      </c>
      <c r="I5454" s="20">
        <v>18.422999999999998</v>
      </c>
      <c r="J5454" s="44" t="s">
        <v>8</v>
      </c>
      <c r="K5454" s="23" t="s">
        <v>8</v>
      </c>
      <c r="L5454" s="23" t="s">
        <v>8</v>
      </c>
      <c r="M5454" s="23" t="s">
        <v>8</v>
      </c>
    </row>
    <row r="5455" spans="1:13" s="21" customFormat="1" x14ac:dyDescent="0.25">
      <c r="A5455" s="22" t="s">
        <v>8</v>
      </c>
      <c r="B5455" s="18" t="str">
        <f>"195577"</f>
        <v>195577</v>
      </c>
      <c r="C5455" s="19" t="s">
        <v>5381</v>
      </c>
      <c r="D5455" s="19" t="s">
        <v>20881</v>
      </c>
      <c r="E5455" s="19" t="s">
        <v>32865</v>
      </c>
      <c r="F5455" s="19" t="s">
        <v>35992</v>
      </c>
      <c r="G5455" s="18" t="str">
        <f>"70576"</f>
        <v>70576</v>
      </c>
      <c r="H5455" s="19" t="s">
        <v>36362</v>
      </c>
      <c r="I5455" s="20">
        <v>19.643999999999998</v>
      </c>
      <c r="J5455" s="44" t="s">
        <v>8</v>
      </c>
      <c r="K5455" s="23" t="s">
        <v>8</v>
      </c>
      <c r="L5455" s="23" t="s">
        <v>8</v>
      </c>
      <c r="M5455" s="23" t="s">
        <v>8</v>
      </c>
    </row>
    <row r="5456" spans="1:13" s="21" customFormat="1" x14ac:dyDescent="0.25">
      <c r="A5456" s="22" t="s">
        <v>8</v>
      </c>
      <c r="B5456" s="18" t="str">
        <f>"195578"</f>
        <v>195578</v>
      </c>
      <c r="C5456" s="19" t="s">
        <v>5382</v>
      </c>
      <c r="D5456" s="19" t="s">
        <v>20882</v>
      </c>
      <c r="E5456" s="19" t="s">
        <v>32866</v>
      </c>
      <c r="F5456" s="19" t="s">
        <v>35992</v>
      </c>
      <c r="G5456" s="18" t="str">
        <f>"70520"</f>
        <v>70520</v>
      </c>
      <c r="H5456" s="19" t="s">
        <v>30892</v>
      </c>
      <c r="I5456" s="20">
        <v>18.510000000000002</v>
      </c>
      <c r="J5456" s="44" t="s">
        <v>8</v>
      </c>
      <c r="K5456" s="23" t="s">
        <v>8</v>
      </c>
      <c r="L5456" s="23" t="s">
        <v>8</v>
      </c>
      <c r="M5456" s="23" t="s">
        <v>8</v>
      </c>
    </row>
    <row r="5457" spans="1:13" s="21" customFormat="1" x14ac:dyDescent="0.25">
      <c r="A5457" s="22" t="s">
        <v>8</v>
      </c>
      <c r="B5457" s="18" t="str">
        <f>"195579"</f>
        <v>195579</v>
      </c>
      <c r="C5457" s="19" t="s">
        <v>5383</v>
      </c>
      <c r="D5457" s="19" t="s">
        <v>20883</v>
      </c>
      <c r="E5457" s="19" t="s">
        <v>32779</v>
      </c>
      <c r="F5457" s="19" t="s">
        <v>35992</v>
      </c>
      <c r="G5457" s="18" t="str">
        <f>"71040"</f>
        <v>71040</v>
      </c>
      <c r="H5457" s="19" t="s">
        <v>36360</v>
      </c>
      <c r="I5457" s="20">
        <v>17.847000000000001</v>
      </c>
      <c r="J5457" s="44" t="s">
        <v>8</v>
      </c>
      <c r="K5457" s="23" t="s">
        <v>8</v>
      </c>
      <c r="L5457" s="23" t="s">
        <v>8</v>
      </c>
      <c r="M5457" s="23" t="s">
        <v>8</v>
      </c>
    </row>
    <row r="5458" spans="1:13" s="21" customFormat="1" x14ac:dyDescent="0.25">
      <c r="A5458" s="22" t="s">
        <v>8</v>
      </c>
      <c r="B5458" s="18" t="str">
        <f>"195580"</f>
        <v>195580</v>
      </c>
      <c r="C5458" s="19" t="s">
        <v>5384</v>
      </c>
      <c r="D5458" s="19" t="s">
        <v>20884</v>
      </c>
      <c r="E5458" s="19" t="s">
        <v>32867</v>
      </c>
      <c r="F5458" s="19" t="s">
        <v>35992</v>
      </c>
      <c r="G5458" s="18" t="str">
        <f>"71329"</f>
        <v>71329</v>
      </c>
      <c r="H5458" s="19" t="s">
        <v>36359</v>
      </c>
      <c r="I5458" s="20">
        <v>19.771999999999998</v>
      </c>
      <c r="J5458" s="44" t="s">
        <v>8</v>
      </c>
      <c r="K5458" s="23" t="s">
        <v>8</v>
      </c>
      <c r="L5458" s="23" t="s">
        <v>8</v>
      </c>
      <c r="M5458" s="23" t="s">
        <v>8</v>
      </c>
    </row>
    <row r="5459" spans="1:13" s="21" customFormat="1" x14ac:dyDescent="0.25">
      <c r="A5459" s="22" t="s">
        <v>8</v>
      </c>
      <c r="B5459" s="18" t="str">
        <f>"195582"</f>
        <v>195582</v>
      </c>
      <c r="C5459" s="19" t="s">
        <v>5385</v>
      </c>
      <c r="D5459" s="19" t="s">
        <v>20885</v>
      </c>
      <c r="E5459" s="19" t="s">
        <v>32868</v>
      </c>
      <c r="F5459" s="19" t="s">
        <v>35992</v>
      </c>
      <c r="G5459" s="18" t="str">
        <f>"70515"</f>
        <v>70515</v>
      </c>
      <c r="H5459" s="19" t="s">
        <v>36362</v>
      </c>
      <c r="I5459" s="20">
        <v>21.454000000000001</v>
      </c>
      <c r="J5459" s="44" t="s">
        <v>8</v>
      </c>
      <c r="K5459" s="23" t="s">
        <v>8</v>
      </c>
      <c r="L5459" s="23" t="s">
        <v>8</v>
      </c>
      <c r="M5459" s="23" t="s">
        <v>8</v>
      </c>
    </row>
    <row r="5460" spans="1:13" s="21" customFormat="1" x14ac:dyDescent="0.25">
      <c r="A5460" s="22" t="s">
        <v>8</v>
      </c>
      <c r="B5460" s="18" t="str">
        <f>"195583"</f>
        <v>195583</v>
      </c>
      <c r="C5460" s="19" t="s">
        <v>5386</v>
      </c>
      <c r="D5460" s="19" t="s">
        <v>20886</v>
      </c>
      <c r="E5460" s="19" t="s">
        <v>32869</v>
      </c>
      <c r="F5460" s="19" t="s">
        <v>35992</v>
      </c>
      <c r="G5460" s="18" t="str">
        <f>"70374"</f>
        <v>70374</v>
      </c>
      <c r="H5460" s="19" t="s">
        <v>36370</v>
      </c>
      <c r="I5460" s="20">
        <v>20.669</v>
      </c>
      <c r="J5460" s="44" t="s">
        <v>8</v>
      </c>
      <c r="K5460" s="23" t="s">
        <v>8</v>
      </c>
      <c r="L5460" s="23" t="s">
        <v>8</v>
      </c>
      <c r="M5460" s="23" t="s">
        <v>8</v>
      </c>
    </row>
    <row r="5461" spans="1:13" s="21" customFormat="1" x14ac:dyDescent="0.25">
      <c r="A5461" s="22" t="s">
        <v>8</v>
      </c>
      <c r="B5461" s="18" t="str">
        <f>"195584"</f>
        <v>195584</v>
      </c>
      <c r="C5461" s="19" t="s">
        <v>5387</v>
      </c>
      <c r="D5461" s="19" t="s">
        <v>20887</v>
      </c>
      <c r="E5461" s="19" t="s">
        <v>31300</v>
      </c>
      <c r="F5461" s="19" t="s">
        <v>35992</v>
      </c>
      <c r="G5461" s="18" t="str">
        <f>"71463"</f>
        <v>71463</v>
      </c>
      <c r="H5461" s="19" t="s">
        <v>34710</v>
      </c>
      <c r="I5461" s="20">
        <v>18.648</v>
      </c>
      <c r="J5461" s="44" t="s">
        <v>8</v>
      </c>
      <c r="K5461" s="23" t="s">
        <v>8</v>
      </c>
      <c r="L5461" s="23" t="s">
        <v>8</v>
      </c>
      <c r="M5461" s="23" t="s">
        <v>8</v>
      </c>
    </row>
    <row r="5462" spans="1:13" s="21" customFormat="1" x14ac:dyDescent="0.25">
      <c r="A5462" s="22" t="s">
        <v>8</v>
      </c>
      <c r="B5462" s="18" t="str">
        <f>"195585"</f>
        <v>195585</v>
      </c>
      <c r="C5462" s="19" t="s">
        <v>5388</v>
      </c>
      <c r="D5462" s="19" t="s">
        <v>20888</v>
      </c>
      <c r="E5462" s="19" t="s">
        <v>32870</v>
      </c>
      <c r="F5462" s="19" t="s">
        <v>35992</v>
      </c>
      <c r="G5462" s="18" t="str">
        <f>"71254"</f>
        <v>71254</v>
      </c>
      <c r="H5462" s="19" t="s">
        <v>36390</v>
      </c>
      <c r="I5462" s="20">
        <v>19.818000000000001</v>
      </c>
      <c r="J5462" s="44" t="s">
        <v>8</v>
      </c>
      <c r="K5462" s="23" t="s">
        <v>8</v>
      </c>
      <c r="L5462" s="23" t="s">
        <v>8</v>
      </c>
      <c r="M5462" s="23" t="s">
        <v>8</v>
      </c>
    </row>
    <row r="5463" spans="1:13" s="21" customFormat="1" x14ac:dyDescent="0.25">
      <c r="A5463" s="22" t="s">
        <v>8</v>
      </c>
      <c r="B5463" s="18" t="str">
        <f>"195588"</f>
        <v>195588</v>
      </c>
      <c r="C5463" s="19" t="s">
        <v>5389</v>
      </c>
      <c r="D5463" s="19" t="s">
        <v>20889</v>
      </c>
      <c r="E5463" s="19" t="s">
        <v>32858</v>
      </c>
      <c r="F5463" s="19" t="s">
        <v>35992</v>
      </c>
      <c r="G5463" s="18" t="str">
        <f>"70535"</f>
        <v>70535</v>
      </c>
      <c r="H5463" s="19" t="s">
        <v>36374</v>
      </c>
      <c r="I5463" s="20">
        <v>20.053999999999998</v>
      </c>
      <c r="J5463" s="44" t="s">
        <v>8</v>
      </c>
      <c r="K5463" s="23" t="s">
        <v>8</v>
      </c>
      <c r="L5463" s="23" t="s">
        <v>8</v>
      </c>
      <c r="M5463" s="23" t="s">
        <v>8</v>
      </c>
    </row>
    <row r="5464" spans="1:13" s="21" customFormat="1" x14ac:dyDescent="0.25">
      <c r="A5464" s="22" t="s">
        <v>8</v>
      </c>
      <c r="B5464" s="18" t="str">
        <f>"195589"</f>
        <v>195589</v>
      </c>
      <c r="C5464" s="19" t="s">
        <v>5390</v>
      </c>
      <c r="D5464" s="19" t="s">
        <v>20890</v>
      </c>
      <c r="E5464" s="19" t="s">
        <v>32788</v>
      </c>
      <c r="F5464" s="19" t="s">
        <v>35992</v>
      </c>
      <c r="G5464" s="18" t="str">
        <f>"70125"</f>
        <v>70125</v>
      </c>
      <c r="H5464" s="19" t="s">
        <v>36365</v>
      </c>
      <c r="I5464" s="20">
        <v>18.196000000000002</v>
      </c>
      <c r="J5464" s="44" t="s">
        <v>8</v>
      </c>
      <c r="K5464" s="23" t="s">
        <v>8</v>
      </c>
      <c r="L5464" s="23" t="s">
        <v>8</v>
      </c>
      <c r="M5464" s="23" t="s">
        <v>8</v>
      </c>
    </row>
    <row r="5465" spans="1:13" s="21" customFormat="1" x14ac:dyDescent="0.25">
      <c r="A5465" s="22" t="s">
        <v>8</v>
      </c>
      <c r="B5465" s="18" t="str">
        <f>"195590"</f>
        <v>195590</v>
      </c>
      <c r="C5465" s="19" t="s">
        <v>5391</v>
      </c>
      <c r="D5465" s="19" t="s">
        <v>20891</v>
      </c>
      <c r="E5465" s="19" t="s">
        <v>32787</v>
      </c>
      <c r="F5465" s="19" t="s">
        <v>35992</v>
      </c>
      <c r="G5465" s="18" t="str">
        <f>"70806"</f>
        <v>70806</v>
      </c>
      <c r="H5465" s="19" t="s">
        <v>36364</v>
      </c>
      <c r="I5465" s="20">
        <v>21.556999999999999</v>
      </c>
      <c r="J5465" s="44" t="s">
        <v>8</v>
      </c>
      <c r="K5465" s="23" t="s">
        <v>8</v>
      </c>
      <c r="L5465" s="23" t="s">
        <v>8</v>
      </c>
      <c r="M5465" s="23" t="s">
        <v>8</v>
      </c>
    </row>
    <row r="5466" spans="1:13" s="21" customFormat="1" x14ac:dyDescent="0.25">
      <c r="A5466" s="22" t="s">
        <v>8</v>
      </c>
      <c r="B5466" s="18" t="str">
        <f>"195591"</f>
        <v>195591</v>
      </c>
      <c r="C5466" s="19" t="s">
        <v>5392</v>
      </c>
      <c r="D5466" s="19" t="s">
        <v>20892</v>
      </c>
      <c r="E5466" s="19" t="s">
        <v>31938</v>
      </c>
      <c r="F5466" s="19" t="s">
        <v>35992</v>
      </c>
      <c r="G5466" s="18" t="str">
        <f>"70058"</f>
        <v>70058</v>
      </c>
      <c r="H5466" s="19" t="s">
        <v>32391</v>
      </c>
      <c r="I5466" s="20">
        <v>19.405999999999999</v>
      </c>
      <c r="J5466" s="44" t="s">
        <v>8</v>
      </c>
      <c r="K5466" s="23" t="s">
        <v>8</v>
      </c>
      <c r="L5466" s="23" t="s">
        <v>8</v>
      </c>
      <c r="M5466" s="23" t="s">
        <v>8</v>
      </c>
    </row>
    <row r="5467" spans="1:13" s="21" customFormat="1" x14ac:dyDescent="0.25">
      <c r="A5467" s="22" t="s">
        <v>8</v>
      </c>
      <c r="B5467" s="18" t="str">
        <f>"195592"</f>
        <v>195592</v>
      </c>
      <c r="C5467" s="19" t="s">
        <v>5393</v>
      </c>
      <c r="D5467" s="19" t="s">
        <v>20893</v>
      </c>
      <c r="E5467" s="19" t="s">
        <v>32871</v>
      </c>
      <c r="F5467" s="19" t="s">
        <v>35992</v>
      </c>
      <c r="G5467" s="18" t="str">
        <f>"70518"</f>
        <v>70518</v>
      </c>
      <c r="H5467" s="19" t="s">
        <v>30892</v>
      </c>
      <c r="I5467" s="20">
        <v>20.140999999999998</v>
      </c>
      <c r="J5467" s="44" t="s">
        <v>8</v>
      </c>
      <c r="K5467" s="23" t="s">
        <v>8</v>
      </c>
      <c r="L5467" s="23" t="s">
        <v>8</v>
      </c>
      <c r="M5467" s="23" t="s">
        <v>8</v>
      </c>
    </row>
    <row r="5468" spans="1:13" s="21" customFormat="1" x14ac:dyDescent="0.25">
      <c r="A5468" s="22" t="s">
        <v>8</v>
      </c>
      <c r="B5468" s="18" t="str">
        <f>"195593"</f>
        <v>195593</v>
      </c>
      <c r="C5468" s="19" t="s">
        <v>5394</v>
      </c>
      <c r="D5468" s="19" t="s">
        <v>20894</v>
      </c>
      <c r="E5468" s="19" t="s">
        <v>32780</v>
      </c>
      <c r="F5468" s="19" t="s">
        <v>35992</v>
      </c>
      <c r="G5468" s="18" t="str">
        <f>"71220"</f>
        <v>71220</v>
      </c>
      <c r="H5468" s="19" t="s">
        <v>36361</v>
      </c>
      <c r="I5468" s="20">
        <v>18.303000000000001</v>
      </c>
      <c r="J5468" s="44" t="s">
        <v>8</v>
      </c>
      <c r="K5468" s="23" t="s">
        <v>8</v>
      </c>
      <c r="L5468" s="23" t="s">
        <v>8</v>
      </c>
      <c r="M5468" s="23" t="s">
        <v>8</v>
      </c>
    </row>
    <row r="5469" spans="1:13" s="21" customFormat="1" x14ac:dyDescent="0.25">
      <c r="A5469" s="22" t="s">
        <v>8</v>
      </c>
      <c r="B5469" s="18" t="str">
        <f>"195594"</f>
        <v>195594</v>
      </c>
      <c r="C5469" s="19" t="s">
        <v>5395</v>
      </c>
      <c r="D5469" s="19" t="s">
        <v>20895</v>
      </c>
      <c r="E5469" s="19" t="s">
        <v>32798</v>
      </c>
      <c r="F5469" s="19" t="s">
        <v>35992</v>
      </c>
      <c r="G5469" s="18" t="str">
        <f>"71111"</f>
        <v>71111</v>
      </c>
      <c r="H5469" s="19" t="s">
        <v>36369</v>
      </c>
      <c r="I5469" s="20">
        <v>21.106000000000002</v>
      </c>
      <c r="J5469" s="44" t="s">
        <v>8</v>
      </c>
      <c r="K5469" s="23" t="s">
        <v>8</v>
      </c>
      <c r="L5469" s="23" t="s">
        <v>8</v>
      </c>
      <c r="M5469" s="23" t="s">
        <v>8</v>
      </c>
    </row>
    <row r="5470" spans="1:13" s="21" customFormat="1" x14ac:dyDescent="0.25">
      <c r="A5470" s="22" t="s">
        <v>8</v>
      </c>
      <c r="B5470" s="18" t="str">
        <f>"195596"</f>
        <v>195596</v>
      </c>
      <c r="C5470" s="19" t="s">
        <v>5396</v>
      </c>
      <c r="D5470" s="19" t="s">
        <v>20896</v>
      </c>
      <c r="E5470" s="19" t="s">
        <v>31711</v>
      </c>
      <c r="F5470" s="19" t="s">
        <v>35992</v>
      </c>
      <c r="G5470" s="18" t="str">
        <f>"71203"</f>
        <v>71203</v>
      </c>
      <c r="H5470" s="19" t="s">
        <v>36063</v>
      </c>
      <c r="I5470" s="20">
        <v>21.907</v>
      </c>
      <c r="J5470" s="44" t="s">
        <v>8</v>
      </c>
      <c r="K5470" s="23" t="s">
        <v>8</v>
      </c>
      <c r="L5470" s="23" t="s">
        <v>8</v>
      </c>
      <c r="M5470" s="23" t="s">
        <v>8</v>
      </c>
    </row>
    <row r="5471" spans="1:13" s="21" customFormat="1" x14ac:dyDescent="0.25">
      <c r="A5471" s="22" t="s">
        <v>8</v>
      </c>
      <c r="B5471" s="18" t="str">
        <f>"195597"</f>
        <v>195597</v>
      </c>
      <c r="C5471" s="19" t="s">
        <v>5397</v>
      </c>
      <c r="D5471" s="19" t="s">
        <v>20897</v>
      </c>
      <c r="E5471" s="19" t="s">
        <v>32786</v>
      </c>
      <c r="F5471" s="19" t="s">
        <v>35992</v>
      </c>
      <c r="G5471" s="18" t="str">
        <f>"71115"</f>
        <v>71115</v>
      </c>
      <c r="H5471" s="19" t="s">
        <v>36363</v>
      </c>
      <c r="I5471" s="20">
        <v>19.117000000000001</v>
      </c>
      <c r="J5471" s="44" t="s">
        <v>8</v>
      </c>
      <c r="K5471" s="23" t="s">
        <v>8</v>
      </c>
      <c r="L5471" s="23" t="s">
        <v>8</v>
      </c>
      <c r="M5471" s="23" t="s">
        <v>8</v>
      </c>
    </row>
    <row r="5472" spans="1:13" s="21" customFormat="1" x14ac:dyDescent="0.25">
      <c r="A5472" s="22" t="s">
        <v>8</v>
      </c>
      <c r="B5472" s="18" t="str">
        <f>"195598"</f>
        <v>195598</v>
      </c>
      <c r="C5472" s="19" t="s">
        <v>5398</v>
      </c>
      <c r="D5472" s="19" t="s">
        <v>20898</v>
      </c>
      <c r="E5472" s="19" t="s">
        <v>32872</v>
      </c>
      <c r="F5472" s="19" t="s">
        <v>35992</v>
      </c>
      <c r="G5472" s="18" t="str">
        <f>"71261"</f>
        <v>71261</v>
      </c>
      <c r="H5472" s="19" t="s">
        <v>36361</v>
      </c>
      <c r="I5472" s="20">
        <v>19.53</v>
      </c>
      <c r="J5472" s="44" t="s">
        <v>8</v>
      </c>
      <c r="K5472" s="23" t="s">
        <v>8</v>
      </c>
      <c r="L5472" s="23" t="s">
        <v>8</v>
      </c>
      <c r="M5472" s="23" t="s">
        <v>8</v>
      </c>
    </row>
    <row r="5473" spans="1:13" s="21" customFormat="1" x14ac:dyDescent="0.25">
      <c r="A5473" s="22" t="s">
        <v>8</v>
      </c>
      <c r="B5473" s="18" t="str">
        <f>"195599"</f>
        <v>195599</v>
      </c>
      <c r="C5473" s="19" t="s">
        <v>5399</v>
      </c>
      <c r="D5473" s="19" t="s">
        <v>20899</v>
      </c>
      <c r="E5473" s="19" t="s">
        <v>32873</v>
      </c>
      <c r="F5473" s="19" t="s">
        <v>35992</v>
      </c>
      <c r="G5473" s="18" t="str">
        <f>"70767"</f>
        <v>70767</v>
      </c>
      <c r="H5473" s="19" t="s">
        <v>36391</v>
      </c>
      <c r="I5473" s="20">
        <v>18.805</v>
      </c>
      <c r="J5473" s="44" t="s">
        <v>8</v>
      </c>
      <c r="K5473" s="23" t="s">
        <v>8</v>
      </c>
      <c r="L5473" s="23" t="s">
        <v>8</v>
      </c>
      <c r="M5473" s="23" t="s">
        <v>8</v>
      </c>
    </row>
    <row r="5474" spans="1:13" s="21" customFormat="1" x14ac:dyDescent="0.25">
      <c r="A5474" s="22" t="s">
        <v>8</v>
      </c>
      <c r="B5474" s="18" t="str">
        <f>"195600"</f>
        <v>195600</v>
      </c>
      <c r="C5474" s="19" t="s">
        <v>5400</v>
      </c>
      <c r="D5474" s="19" t="s">
        <v>20900</v>
      </c>
      <c r="E5474" s="19" t="s">
        <v>32288</v>
      </c>
      <c r="F5474" s="19" t="s">
        <v>35992</v>
      </c>
      <c r="G5474" s="18" t="str">
        <f>"71303"</f>
        <v>71303</v>
      </c>
      <c r="H5474" s="19" t="s">
        <v>36382</v>
      </c>
      <c r="I5474" s="20">
        <v>20.042999999999999</v>
      </c>
      <c r="J5474" s="44" t="s">
        <v>8</v>
      </c>
      <c r="K5474" s="23" t="s">
        <v>8</v>
      </c>
      <c r="L5474" s="23" t="s">
        <v>8</v>
      </c>
      <c r="M5474" s="23" t="s">
        <v>8</v>
      </c>
    </row>
    <row r="5475" spans="1:13" s="21" customFormat="1" x14ac:dyDescent="0.25">
      <c r="A5475" s="22" t="s">
        <v>8</v>
      </c>
      <c r="B5475" s="18" t="str">
        <f>"195601"</f>
        <v>195601</v>
      </c>
      <c r="C5475" s="19" t="s">
        <v>5401</v>
      </c>
      <c r="D5475" s="19" t="s">
        <v>20901</v>
      </c>
      <c r="E5475" s="19" t="s">
        <v>32834</v>
      </c>
      <c r="F5475" s="19" t="s">
        <v>35992</v>
      </c>
      <c r="G5475" s="18" t="str">
        <f>"70663"</f>
        <v>70663</v>
      </c>
      <c r="H5475" s="19" t="s">
        <v>36380</v>
      </c>
      <c r="I5475" s="20">
        <v>18.277999999999999</v>
      </c>
      <c r="J5475" s="44" t="s">
        <v>8</v>
      </c>
      <c r="K5475" s="23" t="s">
        <v>8</v>
      </c>
      <c r="L5475" s="23" t="s">
        <v>8</v>
      </c>
      <c r="M5475" s="23" t="s">
        <v>8</v>
      </c>
    </row>
    <row r="5476" spans="1:13" s="21" customFormat="1" x14ac:dyDescent="0.25">
      <c r="A5476" s="22" t="s">
        <v>8</v>
      </c>
      <c r="B5476" s="18" t="str">
        <f>"195602"</f>
        <v>195602</v>
      </c>
      <c r="C5476" s="19" t="s">
        <v>5402</v>
      </c>
      <c r="D5476" s="19" t="s">
        <v>20902</v>
      </c>
      <c r="E5476" s="19" t="s">
        <v>32793</v>
      </c>
      <c r="F5476" s="19" t="s">
        <v>35992</v>
      </c>
      <c r="G5476" s="18" t="str">
        <f>"70360"</f>
        <v>70360</v>
      </c>
      <c r="H5476" s="19" t="s">
        <v>36368</v>
      </c>
      <c r="I5476" s="20">
        <v>19.866</v>
      </c>
      <c r="J5476" s="44" t="s">
        <v>8</v>
      </c>
      <c r="K5476" s="23" t="s">
        <v>8</v>
      </c>
      <c r="L5476" s="23" t="s">
        <v>8</v>
      </c>
      <c r="M5476" s="23" t="s">
        <v>8</v>
      </c>
    </row>
    <row r="5477" spans="1:13" s="21" customFormat="1" x14ac:dyDescent="0.25">
      <c r="A5477" s="22" t="s">
        <v>8</v>
      </c>
      <c r="B5477" s="18" t="str">
        <f>"195603"</f>
        <v>195603</v>
      </c>
      <c r="C5477" s="19" t="s">
        <v>5403</v>
      </c>
      <c r="D5477" s="19" t="s">
        <v>20903</v>
      </c>
      <c r="E5477" s="19" t="s">
        <v>32874</v>
      </c>
      <c r="F5477" s="19" t="s">
        <v>35992</v>
      </c>
      <c r="G5477" s="18" t="str">
        <f>"71322"</f>
        <v>71322</v>
      </c>
      <c r="H5477" s="19" t="s">
        <v>36359</v>
      </c>
      <c r="I5477" s="20">
        <v>23.173999999999999</v>
      </c>
      <c r="J5477" s="44" t="s">
        <v>8</v>
      </c>
      <c r="K5477" s="23" t="s">
        <v>8</v>
      </c>
      <c r="L5477" s="23" t="s">
        <v>8</v>
      </c>
      <c r="M5477" s="23" t="s">
        <v>8</v>
      </c>
    </row>
    <row r="5478" spans="1:13" s="21" customFormat="1" x14ac:dyDescent="0.25">
      <c r="A5478" s="22" t="s">
        <v>8</v>
      </c>
      <c r="B5478" s="18" t="str">
        <f>"195604"</f>
        <v>195604</v>
      </c>
      <c r="C5478" s="19" t="s">
        <v>5404</v>
      </c>
      <c r="D5478" s="19" t="s">
        <v>20904</v>
      </c>
      <c r="E5478" s="19" t="s">
        <v>32798</v>
      </c>
      <c r="F5478" s="19" t="s">
        <v>35992</v>
      </c>
      <c r="G5478" s="18" t="str">
        <f>"71112"</f>
        <v>71112</v>
      </c>
      <c r="H5478" s="19" t="s">
        <v>36369</v>
      </c>
      <c r="I5478" s="20">
        <v>20.884</v>
      </c>
      <c r="J5478" s="44" t="s">
        <v>8</v>
      </c>
      <c r="K5478" s="23" t="s">
        <v>8</v>
      </c>
      <c r="L5478" s="23" t="s">
        <v>8</v>
      </c>
      <c r="M5478" s="23" t="s">
        <v>8</v>
      </c>
    </row>
    <row r="5479" spans="1:13" s="21" customFormat="1" x14ac:dyDescent="0.25">
      <c r="A5479" s="22" t="s">
        <v>8</v>
      </c>
      <c r="B5479" s="18" t="str">
        <f>"195605"</f>
        <v>195605</v>
      </c>
      <c r="C5479" s="19" t="s">
        <v>5405</v>
      </c>
      <c r="D5479" s="19" t="s">
        <v>20905</v>
      </c>
      <c r="E5479" s="19" t="s">
        <v>32850</v>
      </c>
      <c r="F5479" s="19" t="s">
        <v>35992</v>
      </c>
      <c r="G5479" s="18" t="str">
        <f>"71378"</f>
        <v>71378</v>
      </c>
      <c r="H5479" s="19" t="s">
        <v>5</v>
      </c>
      <c r="I5479" s="20">
        <v>18.100999999999999</v>
      </c>
      <c r="J5479" s="44" t="s">
        <v>8</v>
      </c>
      <c r="K5479" s="23" t="s">
        <v>8</v>
      </c>
      <c r="L5479" s="23" t="s">
        <v>8</v>
      </c>
      <c r="M5479" s="23" t="s">
        <v>8</v>
      </c>
    </row>
    <row r="5480" spans="1:13" s="21" customFormat="1" x14ac:dyDescent="0.25">
      <c r="A5480" s="22" t="s">
        <v>8</v>
      </c>
      <c r="B5480" s="18" t="str">
        <f>"195606"</f>
        <v>195606</v>
      </c>
      <c r="C5480" s="19" t="s">
        <v>5406</v>
      </c>
      <c r="D5480" s="19" t="s">
        <v>20906</v>
      </c>
      <c r="E5480" s="19" t="s">
        <v>30892</v>
      </c>
      <c r="F5480" s="19" t="s">
        <v>35992</v>
      </c>
      <c r="G5480" s="18" t="str">
        <f>"70507"</f>
        <v>70507</v>
      </c>
      <c r="H5480" s="19" t="s">
        <v>30892</v>
      </c>
      <c r="I5480" s="20">
        <v>21.37</v>
      </c>
      <c r="J5480" s="44" t="s">
        <v>8</v>
      </c>
      <c r="K5480" s="23" t="s">
        <v>8</v>
      </c>
      <c r="L5480" s="23" t="s">
        <v>8</v>
      </c>
      <c r="M5480" s="23" t="s">
        <v>8</v>
      </c>
    </row>
    <row r="5481" spans="1:13" s="21" customFormat="1" x14ac:dyDescent="0.25">
      <c r="A5481" s="22" t="s">
        <v>8</v>
      </c>
      <c r="B5481" s="18" t="str">
        <f>"195608"</f>
        <v>195608</v>
      </c>
      <c r="C5481" s="19" t="s">
        <v>5407</v>
      </c>
      <c r="D5481" s="19" t="s">
        <v>20907</v>
      </c>
      <c r="E5481" s="19" t="s">
        <v>32774</v>
      </c>
      <c r="F5481" s="19" t="s">
        <v>35992</v>
      </c>
      <c r="G5481" s="18" t="str">
        <f>"70546"</f>
        <v>70546</v>
      </c>
      <c r="H5481" s="19" t="s">
        <v>36356</v>
      </c>
      <c r="I5481" s="20">
        <v>18.981000000000002</v>
      </c>
      <c r="J5481" s="44" t="s">
        <v>8</v>
      </c>
      <c r="K5481" s="23" t="s">
        <v>8</v>
      </c>
      <c r="L5481" s="23" t="s">
        <v>8</v>
      </c>
      <c r="M5481" s="23" t="s">
        <v>8</v>
      </c>
    </row>
    <row r="5482" spans="1:13" s="21" customFormat="1" x14ac:dyDescent="0.25">
      <c r="A5482" s="22" t="s">
        <v>8</v>
      </c>
      <c r="B5482" s="18" t="str">
        <f>"195610"</f>
        <v>195610</v>
      </c>
      <c r="C5482" s="19" t="s">
        <v>5408</v>
      </c>
      <c r="D5482" s="19" t="s">
        <v>20908</v>
      </c>
      <c r="E5482" s="19" t="s">
        <v>32236</v>
      </c>
      <c r="F5482" s="19" t="s">
        <v>35992</v>
      </c>
      <c r="G5482" s="18" t="str">
        <f>"70441"</f>
        <v>70441</v>
      </c>
      <c r="H5482" s="19" t="s">
        <v>36392</v>
      </c>
      <c r="I5482" s="20">
        <v>19.152999999999999</v>
      </c>
      <c r="J5482" s="44" t="s">
        <v>8</v>
      </c>
      <c r="K5482" s="23" t="s">
        <v>8</v>
      </c>
      <c r="L5482" s="23" t="s">
        <v>8</v>
      </c>
      <c r="M5482" s="23" t="s">
        <v>8</v>
      </c>
    </row>
    <row r="5483" spans="1:13" s="21" customFormat="1" x14ac:dyDescent="0.25">
      <c r="A5483" s="22" t="s">
        <v>8</v>
      </c>
      <c r="B5483" s="18" t="str">
        <f>"195611"</f>
        <v>195611</v>
      </c>
      <c r="C5483" s="19" t="s">
        <v>5409</v>
      </c>
      <c r="D5483" s="19" t="s">
        <v>20909</v>
      </c>
      <c r="E5483" s="19" t="s">
        <v>32844</v>
      </c>
      <c r="F5483" s="19" t="s">
        <v>35992</v>
      </c>
      <c r="G5483" s="18" t="str">
        <f>"70403"</f>
        <v>70403</v>
      </c>
      <c r="H5483" s="19" t="s">
        <v>36379</v>
      </c>
      <c r="I5483" s="20">
        <v>17.651</v>
      </c>
      <c r="J5483" s="44" t="s">
        <v>8</v>
      </c>
      <c r="K5483" s="23" t="s">
        <v>8</v>
      </c>
      <c r="L5483" s="23" t="s">
        <v>8</v>
      </c>
      <c r="M5483" s="23" t="s">
        <v>8</v>
      </c>
    </row>
    <row r="5484" spans="1:13" s="21" customFormat="1" x14ac:dyDescent="0.25">
      <c r="A5484" s="22" t="s">
        <v>8</v>
      </c>
      <c r="B5484" s="18" t="str">
        <f>"195612"</f>
        <v>195612</v>
      </c>
      <c r="C5484" s="19" t="s">
        <v>5410</v>
      </c>
      <c r="D5484" s="19" t="s">
        <v>20910</v>
      </c>
      <c r="E5484" s="19" t="s">
        <v>32813</v>
      </c>
      <c r="F5484" s="19" t="s">
        <v>35992</v>
      </c>
      <c r="G5484" s="18" t="str">
        <f>"70438"</f>
        <v>70438</v>
      </c>
      <c r="H5484" s="19" t="s">
        <v>31500</v>
      </c>
      <c r="I5484" s="20">
        <v>17.276</v>
      </c>
      <c r="J5484" s="44" t="s">
        <v>8</v>
      </c>
      <c r="K5484" s="23" t="s">
        <v>8</v>
      </c>
      <c r="L5484" s="23" t="s">
        <v>8</v>
      </c>
      <c r="M5484" s="23" t="s">
        <v>8</v>
      </c>
    </row>
    <row r="5485" spans="1:13" s="21" customFormat="1" x14ac:dyDescent="0.25">
      <c r="A5485" s="22" t="s">
        <v>8</v>
      </c>
      <c r="B5485" s="18" t="str">
        <f>"195613"</f>
        <v>195613</v>
      </c>
      <c r="C5485" s="19" t="s">
        <v>5411</v>
      </c>
      <c r="D5485" s="19" t="s">
        <v>20911</v>
      </c>
      <c r="E5485" s="19" t="s">
        <v>32712</v>
      </c>
      <c r="F5485" s="19" t="s">
        <v>35992</v>
      </c>
      <c r="G5485" s="18" t="str">
        <f>"71360"</f>
        <v>71360</v>
      </c>
      <c r="H5485" s="19" t="s">
        <v>36382</v>
      </c>
      <c r="I5485" s="20">
        <v>19.475999999999999</v>
      </c>
      <c r="J5485" s="44" t="s">
        <v>8</v>
      </c>
      <c r="K5485" s="23" t="s">
        <v>8</v>
      </c>
      <c r="L5485" s="23" t="s">
        <v>8</v>
      </c>
      <c r="M5485" s="23" t="s">
        <v>8</v>
      </c>
    </row>
    <row r="5486" spans="1:13" s="21" customFormat="1" x14ac:dyDescent="0.25">
      <c r="A5486" s="22" t="s">
        <v>8</v>
      </c>
      <c r="B5486" s="18" t="str">
        <f>"195614"</f>
        <v>195614</v>
      </c>
      <c r="C5486" s="19" t="s">
        <v>5412</v>
      </c>
      <c r="D5486" s="19" t="s">
        <v>20912</v>
      </c>
      <c r="E5486" s="19" t="s">
        <v>32788</v>
      </c>
      <c r="F5486" s="19" t="s">
        <v>35992</v>
      </c>
      <c r="G5486" s="18" t="str">
        <f>"70115"</f>
        <v>70115</v>
      </c>
      <c r="H5486" s="19" t="s">
        <v>36365</v>
      </c>
      <c r="I5486" s="20">
        <v>17.760000000000002</v>
      </c>
      <c r="J5486" s="44" t="s">
        <v>8</v>
      </c>
      <c r="K5486" s="23" t="s">
        <v>8</v>
      </c>
      <c r="L5486" s="23" t="s">
        <v>8</v>
      </c>
      <c r="M5486" s="23" t="s">
        <v>8</v>
      </c>
    </row>
    <row r="5487" spans="1:13" s="21" customFormat="1" x14ac:dyDescent="0.25">
      <c r="A5487" s="22" t="s">
        <v>8</v>
      </c>
      <c r="B5487" s="18" t="str">
        <f>"195615"</f>
        <v>195615</v>
      </c>
      <c r="C5487" s="19" t="s">
        <v>5413</v>
      </c>
      <c r="D5487" s="19" t="s">
        <v>20913</v>
      </c>
      <c r="E5487" s="19" t="s">
        <v>32786</v>
      </c>
      <c r="F5487" s="19" t="s">
        <v>35992</v>
      </c>
      <c r="G5487" s="18" t="str">
        <f>"71106"</f>
        <v>71106</v>
      </c>
      <c r="H5487" s="19" t="s">
        <v>36363</v>
      </c>
      <c r="I5487" s="20">
        <v>20.756</v>
      </c>
      <c r="J5487" s="44" t="s">
        <v>8</v>
      </c>
      <c r="K5487" s="23" t="s">
        <v>8</v>
      </c>
      <c r="L5487" s="23" t="s">
        <v>8</v>
      </c>
      <c r="M5487" s="23" t="s">
        <v>8</v>
      </c>
    </row>
    <row r="5488" spans="1:13" s="21" customFormat="1" x14ac:dyDescent="0.25">
      <c r="A5488" s="22" t="s">
        <v>8</v>
      </c>
      <c r="B5488" s="18" t="str">
        <f>"195617"</f>
        <v>195617</v>
      </c>
      <c r="C5488" s="19" t="s">
        <v>5414</v>
      </c>
      <c r="D5488" s="19" t="s">
        <v>20914</v>
      </c>
      <c r="E5488" s="19" t="s">
        <v>32822</v>
      </c>
      <c r="F5488" s="19" t="s">
        <v>35992</v>
      </c>
      <c r="G5488" s="18" t="str">
        <f>"70791"</f>
        <v>70791</v>
      </c>
      <c r="H5488" s="19" t="s">
        <v>36364</v>
      </c>
      <c r="I5488" s="20">
        <v>18.844999999999999</v>
      </c>
      <c r="J5488" s="44" t="s">
        <v>8</v>
      </c>
      <c r="K5488" s="23" t="s">
        <v>8</v>
      </c>
      <c r="L5488" s="23" t="s">
        <v>8</v>
      </c>
      <c r="M5488" s="23" t="s">
        <v>8</v>
      </c>
    </row>
    <row r="5489" spans="1:13" s="21" customFormat="1" x14ac:dyDescent="0.25">
      <c r="A5489" s="22" t="s">
        <v>8</v>
      </c>
      <c r="B5489" s="18" t="str">
        <f>"195618"</f>
        <v>195618</v>
      </c>
      <c r="C5489" s="19" t="s">
        <v>5415</v>
      </c>
      <c r="D5489" s="19" t="s">
        <v>20915</v>
      </c>
      <c r="E5489" s="19" t="s">
        <v>32815</v>
      </c>
      <c r="F5489" s="19" t="s">
        <v>35992</v>
      </c>
      <c r="G5489" s="18" t="str">
        <f>"70560"</f>
        <v>70560</v>
      </c>
      <c r="H5489" s="19" t="s">
        <v>36375</v>
      </c>
      <c r="I5489" s="20">
        <v>18.09</v>
      </c>
      <c r="J5489" s="44" t="s">
        <v>8</v>
      </c>
      <c r="K5489" s="23" t="s">
        <v>8</v>
      </c>
      <c r="L5489" s="23" t="s">
        <v>8</v>
      </c>
      <c r="M5489" s="23" t="s">
        <v>8</v>
      </c>
    </row>
    <row r="5490" spans="1:13" s="21" customFormat="1" x14ac:dyDescent="0.25">
      <c r="A5490" s="22" t="s">
        <v>8</v>
      </c>
      <c r="B5490" s="18" t="str">
        <f>"195619"</f>
        <v>195619</v>
      </c>
      <c r="C5490" s="19" t="s">
        <v>5416</v>
      </c>
      <c r="D5490" s="19" t="s">
        <v>20916</v>
      </c>
      <c r="E5490" s="19" t="s">
        <v>32875</v>
      </c>
      <c r="F5490" s="19" t="s">
        <v>35992</v>
      </c>
      <c r="G5490" s="18" t="str">
        <f>"70554"</f>
        <v>70554</v>
      </c>
      <c r="H5490" s="19" t="s">
        <v>36362</v>
      </c>
      <c r="I5490" s="20">
        <v>20.513000000000002</v>
      </c>
      <c r="J5490" s="44" t="s">
        <v>8</v>
      </c>
      <c r="K5490" s="23" t="s">
        <v>8</v>
      </c>
      <c r="L5490" s="23" t="s">
        <v>8</v>
      </c>
      <c r="M5490" s="23" t="s">
        <v>8</v>
      </c>
    </row>
    <row r="5491" spans="1:13" s="21" customFormat="1" x14ac:dyDescent="0.25">
      <c r="A5491" s="22" t="s">
        <v>8</v>
      </c>
      <c r="B5491" s="18" t="str">
        <f>"195620"</f>
        <v>195620</v>
      </c>
      <c r="C5491" s="19" t="s">
        <v>5417</v>
      </c>
      <c r="D5491" s="19" t="s">
        <v>20917</v>
      </c>
      <c r="E5491" s="19" t="s">
        <v>32837</v>
      </c>
      <c r="F5491" s="19" t="s">
        <v>35992</v>
      </c>
      <c r="G5491" s="18" t="str">
        <f>"70760"</f>
        <v>70760</v>
      </c>
      <c r="H5491" s="19" t="s">
        <v>36384</v>
      </c>
      <c r="I5491" s="20">
        <v>19.277999999999999</v>
      </c>
      <c r="J5491" s="44" t="s">
        <v>8</v>
      </c>
      <c r="K5491" s="23" t="s">
        <v>8</v>
      </c>
      <c r="L5491" s="23" t="s">
        <v>8</v>
      </c>
      <c r="M5491" s="23" t="s">
        <v>8</v>
      </c>
    </row>
    <row r="5492" spans="1:13" s="21" customFormat="1" x14ac:dyDescent="0.25">
      <c r="A5492" s="22" t="s">
        <v>8</v>
      </c>
      <c r="B5492" s="18" t="str">
        <f>"195621"</f>
        <v>195621</v>
      </c>
      <c r="C5492" s="19" t="s">
        <v>5418</v>
      </c>
      <c r="D5492" s="19" t="s">
        <v>20918</v>
      </c>
      <c r="E5492" s="19" t="s">
        <v>32787</v>
      </c>
      <c r="F5492" s="19" t="s">
        <v>35992</v>
      </c>
      <c r="G5492" s="18" t="str">
        <f>"70809"</f>
        <v>70809</v>
      </c>
      <c r="H5492" s="19" t="s">
        <v>36364</v>
      </c>
      <c r="I5492" s="20">
        <v>17.344999999999999</v>
      </c>
      <c r="J5492" s="44" t="s">
        <v>8</v>
      </c>
      <c r="K5492" s="23" t="s">
        <v>8</v>
      </c>
      <c r="L5492" s="23" t="s">
        <v>8</v>
      </c>
      <c r="M5492" s="23" t="s">
        <v>8</v>
      </c>
    </row>
    <row r="5493" spans="1:13" s="21" customFormat="1" x14ac:dyDescent="0.25">
      <c r="A5493" s="22" t="s">
        <v>8</v>
      </c>
      <c r="B5493" s="18" t="str">
        <f>"195622"</f>
        <v>195622</v>
      </c>
      <c r="C5493" s="19" t="s">
        <v>5419</v>
      </c>
      <c r="D5493" s="19" t="s">
        <v>20919</v>
      </c>
      <c r="E5493" s="19" t="s">
        <v>32786</v>
      </c>
      <c r="F5493" s="19" t="s">
        <v>35992</v>
      </c>
      <c r="G5493" s="18" t="str">
        <f>"71103"</f>
        <v>71103</v>
      </c>
      <c r="H5493" s="19" t="s">
        <v>36363</v>
      </c>
      <c r="I5493" s="20">
        <v>17.965</v>
      </c>
      <c r="J5493" s="44" t="s">
        <v>8</v>
      </c>
      <c r="K5493" s="23" t="s">
        <v>8</v>
      </c>
      <c r="L5493" s="23" t="s">
        <v>8</v>
      </c>
      <c r="M5493" s="23" t="s">
        <v>8</v>
      </c>
    </row>
    <row r="5494" spans="1:13" s="21" customFormat="1" x14ac:dyDescent="0.25">
      <c r="A5494" s="22" t="s">
        <v>8</v>
      </c>
      <c r="B5494" s="18" t="str">
        <f>"195623"</f>
        <v>195623</v>
      </c>
      <c r="C5494" s="19" t="s">
        <v>5420</v>
      </c>
      <c r="D5494" s="19" t="s">
        <v>20920</v>
      </c>
      <c r="E5494" s="19" t="s">
        <v>32798</v>
      </c>
      <c r="F5494" s="19" t="s">
        <v>35992</v>
      </c>
      <c r="G5494" s="18" t="str">
        <f>"71112"</f>
        <v>71112</v>
      </c>
      <c r="H5494" s="19" t="s">
        <v>36369</v>
      </c>
      <c r="I5494" s="20">
        <v>17.427</v>
      </c>
      <c r="J5494" s="44" t="s">
        <v>8</v>
      </c>
      <c r="K5494" s="23" t="s">
        <v>8</v>
      </c>
      <c r="L5494" s="23" t="s">
        <v>8</v>
      </c>
      <c r="M5494" s="23" t="s">
        <v>8</v>
      </c>
    </row>
    <row r="5495" spans="1:13" s="21" customFormat="1" x14ac:dyDescent="0.25">
      <c r="A5495" s="22" t="s">
        <v>8</v>
      </c>
      <c r="B5495" s="18" t="str">
        <f>"195624"</f>
        <v>195624</v>
      </c>
      <c r="C5495" s="19" t="s">
        <v>5421</v>
      </c>
      <c r="D5495" s="19" t="s">
        <v>20921</v>
      </c>
      <c r="E5495" s="19" t="s">
        <v>32876</v>
      </c>
      <c r="F5495" s="19" t="s">
        <v>35992</v>
      </c>
      <c r="G5495" s="18" t="str">
        <f>"70427"</f>
        <v>70427</v>
      </c>
      <c r="H5495" s="19" t="s">
        <v>31500</v>
      </c>
      <c r="I5495" s="20">
        <v>20.721</v>
      </c>
      <c r="J5495" s="44" t="s">
        <v>8</v>
      </c>
      <c r="K5495" s="23" t="s">
        <v>8</v>
      </c>
      <c r="L5495" s="23" t="s">
        <v>8</v>
      </c>
      <c r="M5495" s="23" t="s">
        <v>8</v>
      </c>
    </row>
    <row r="5496" spans="1:13" s="21" customFormat="1" x14ac:dyDescent="0.25">
      <c r="A5496" s="22" t="s">
        <v>8</v>
      </c>
      <c r="B5496" s="18" t="str">
        <f>"195625"</f>
        <v>195625</v>
      </c>
      <c r="C5496" s="19" t="s">
        <v>5422</v>
      </c>
      <c r="D5496" s="19" t="s">
        <v>20922</v>
      </c>
      <c r="E5496" s="19" t="s">
        <v>32877</v>
      </c>
      <c r="F5496" s="19" t="s">
        <v>35992</v>
      </c>
      <c r="G5496" s="18" t="str">
        <f>"70084"</f>
        <v>70084</v>
      </c>
      <c r="H5496" s="19" t="s">
        <v>36371</v>
      </c>
      <c r="I5496" s="20">
        <v>19.119</v>
      </c>
      <c r="J5496" s="44" t="s">
        <v>8</v>
      </c>
      <c r="K5496" s="23" t="s">
        <v>8</v>
      </c>
      <c r="L5496" s="23" t="s">
        <v>8</v>
      </c>
      <c r="M5496" s="23" t="s">
        <v>8</v>
      </c>
    </row>
    <row r="5497" spans="1:13" s="21" customFormat="1" x14ac:dyDescent="0.25">
      <c r="A5497" s="22" t="s">
        <v>8</v>
      </c>
      <c r="B5497" s="18" t="str">
        <f>"195628"</f>
        <v>195628</v>
      </c>
      <c r="C5497" s="19" t="s">
        <v>5423</v>
      </c>
      <c r="D5497" s="19" t="s">
        <v>20923</v>
      </c>
      <c r="E5497" s="19" t="s">
        <v>31711</v>
      </c>
      <c r="F5497" s="19" t="s">
        <v>35992</v>
      </c>
      <c r="G5497" s="18" t="str">
        <f>"71211"</f>
        <v>71211</v>
      </c>
      <c r="H5497" s="19" t="s">
        <v>36063</v>
      </c>
      <c r="I5497" s="20">
        <v>20.492999999999999</v>
      </c>
      <c r="J5497" s="44" t="s">
        <v>8</v>
      </c>
      <c r="K5497" s="23" t="s">
        <v>8</v>
      </c>
      <c r="L5497" s="23" t="s">
        <v>8</v>
      </c>
      <c r="M5497" s="23" t="s">
        <v>8</v>
      </c>
    </row>
    <row r="5498" spans="1:13" s="21" customFormat="1" x14ac:dyDescent="0.25">
      <c r="A5498" s="22" t="s">
        <v>8</v>
      </c>
      <c r="B5498" s="18" t="str">
        <f>"195629"</f>
        <v>195629</v>
      </c>
      <c r="C5498" s="19" t="s">
        <v>5424</v>
      </c>
      <c r="D5498" s="19" t="s">
        <v>20924</v>
      </c>
      <c r="E5498" s="19" t="s">
        <v>30816</v>
      </c>
      <c r="F5498" s="19" t="s">
        <v>35992</v>
      </c>
      <c r="G5498" s="18" t="str">
        <f>"70748"</f>
        <v>70748</v>
      </c>
      <c r="H5498" s="19" t="s">
        <v>36366</v>
      </c>
      <c r="I5498" s="20">
        <v>22.018999999999998</v>
      </c>
      <c r="J5498" s="44" t="s">
        <v>8</v>
      </c>
      <c r="K5498" s="23" t="s">
        <v>8</v>
      </c>
      <c r="L5498" s="23" t="s">
        <v>8</v>
      </c>
      <c r="M5498" s="23" t="s">
        <v>8</v>
      </c>
    </row>
    <row r="5499" spans="1:13" s="21" customFormat="1" x14ac:dyDescent="0.25">
      <c r="A5499" s="22" t="s">
        <v>8</v>
      </c>
      <c r="B5499" s="18" t="str">
        <f>"195630"</f>
        <v>195630</v>
      </c>
      <c r="C5499" s="19" t="s">
        <v>5425</v>
      </c>
      <c r="D5499" s="19" t="s">
        <v>20925</v>
      </c>
      <c r="E5499" s="19" t="s">
        <v>32825</v>
      </c>
      <c r="F5499" s="19" t="s">
        <v>35992</v>
      </c>
      <c r="G5499" s="18" t="str">
        <f>"70601"</f>
        <v>70601</v>
      </c>
      <c r="H5499" s="19" t="s">
        <v>36380</v>
      </c>
      <c r="I5499" s="20">
        <v>20.553000000000001</v>
      </c>
      <c r="J5499" s="44" t="s">
        <v>8</v>
      </c>
      <c r="K5499" s="23" t="s">
        <v>8</v>
      </c>
      <c r="L5499" s="23" t="s">
        <v>8</v>
      </c>
      <c r="M5499" s="23" t="s">
        <v>8</v>
      </c>
    </row>
    <row r="5500" spans="1:13" s="21" customFormat="1" x14ac:dyDescent="0.25">
      <c r="A5500" s="22" t="s">
        <v>8</v>
      </c>
      <c r="B5500" s="18" t="str">
        <f>"195631"</f>
        <v>195631</v>
      </c>
      <c r="C5500" s="19" t="s">
        <v>5426</v>
      </c>
      <c r="D5500" s="19" t="s">
        <v>20926</v>
      </c>
      <c r="E5500" s="19" t="s">
        <v>32788</v>
      </c>
      <c r="F5500" s="19" t="s">
        <v>35992</v>
      </c>
      <c r="G5500" s="18" t="str">
        <f>"70131"</f>
        <v>70131</v>
      </c>
      <c r="H5500" s="19" t="s">
        <v>36365</v>
      </c>
      <c r="I5500" s="20">
        <v>18.196999999999999</v>
      </c>
      <c r="J5500" s="44" t="s">
        <v>8</v>
      </c>
      <c r="K5500" s="23" t="s">
        <v>8</v>
      </c>
      <c r="L5500" s="23" t="s">
        <v>8</v>
      </c>
      <c r="M5500" s="23" t="s">
        <v>8</v>
      </c>
    </row>
    <row r="5501" spans="1:13" s="21" customFormat="1" x14ac:dyDescent="0.25">
      <c r="A5501" s="22" t="s">
        <v>8</v>
      </c>
      <c r="B5501" s="18" t="str">
        <f>"195632"</f>
        <v>195632</v>
      </c>
      <c r="C5501" s="19" t="s">
        <v>5427</v>
      </c>
      <c r="D5501" s="19" t="s">
        <v>20927</v>
      </c>
      <c r="E5501" s="19" t="s">
        <v>32788</v>
      </c>
      <c r="F5501" s="19" t="s">
        <v>35992</v>
      </c>
      <c r="G5501" s="18" t="str">
        <f>"70126"</f>
        <v>70126</v>
      </c>
      <c r="H5501" s="19" t="s">
        <v>36365</v>
      </c>
      <c r="I5501" s="20">
        <v>18.253</v>
      </c>
      <c r="J5501" s="44" t="s">
        <v>8</v>
      </c>
      <c r="K5501" s="23" t="s">
        <v>8</v>
      </c>
      <c r="L5501" s="23" t="s">
        <v>8</v>
      </c>
      <c r="M5501" s="23" t="s">
        <v>8</v>
      </c>
    </row>
    <row r="5502" spans="1:13" s="21" customFormat="1" x14ac:dyDescent="0.25">
      <c r="A5502" s="22" t="s">
        <v>8</v>
      </c>
      <c r="B5502" s="18" t="str">
        <f>"195633"</f>
        <v>195633</v>
      </c>
      <c r="C5502" s="19" t="s">
        <v>5428</v>
      </c>
      <c r="D5502" s="19" t="s">
        <v>20928</v>
      </c>
      <c r="E5502" s="19" t="s">
        <v>30892</v>
      </c>
      <c r="F5502" s="19" t="s">
        <v>35992</v>
      </c>
      <c r="G5502" s="18" t="str">
        <f>"70506"</f>
        <v>70506</v>
      </c>
      <c r="H5502" s="19" t="s">
        <v>30892</v>
      </c>
      <c r="I5502" s="20">
        <v>16.905000000000001</v>
      </c>
      <c r="J5502" s="44" t="s">
        <v>8</v>
      </c>
      <c r="K5502" s="23" t="s">
        <v>8</v>
      </c>
      <c r="L5502" s="23" t="s">
        <v>8</v>
      </c>
      <c r="M5502" s="23" t="s">
        <v>8</v>
      </c>
    </row>
    <row r="5503" spans="1:13" s="21" customFormat="1" x14ac:dyDescent="0.25">
      <c r="A5503" s="22" t="s">
        <v>8</v>
      </c>
      <c r="B5503" s="18" t="str">
        <f>"195634"</f>
        <v>195634</v>
      </c>
      <c r="C5503" s="19" t="s">
        <v>5429</v>
      </c>
      <c r="D5503" s="19" t="s">
        <v>20929</v>
      </c>
      <c r="E5503" s="19" t="s">
        <v>30892</v>
      </c>
      <c r="F5503" s="19" t="s">
        <v>35992</v>
      </c>
      <c r="G5503" s="18" t="str">
        <f>"70508"</f>
        <v>70508</v>
      </c>
      <c r="H5503" s="19" t="s">
        <v>30892</v>
      </c>
      <c r="I5503" s="20">
        <v>20.486000000000001</v>
      </c>
      <c r="J5503" s="44" t="s">
        <v>8</v>
      </c>
      <c r="K5503" s="23" t="s">
        <v>8</v>
      </c>
      <c r="L5503" s="23" t="s">
        <v>8</v>
      </c>
      <c r="M5503" s="23" t="s">
        <v>8</v>
      </c>
    </row>
    <row r="5504" spans="1:13" s="21" customFormat="1" x14ac:dyDescent="0.25">
      <c r="A5504" s="22" t="s">
        <v>8</v>
      </c>
      <c r="B5504" s="18" t="str">
        <f>"195635"</f>
        <v>195635</v>
      </c>
      <c r="C5504" s="19" t="s">
        <v>5430</v>
      </c>
      <c r="D5504" s="19" t="s">
        <v>20930</v>
      </c>
      <c r="E5504" s="19" t="s">
        <v>32787</v>
      </c>
      <c r="F5504" s="19" t="s">
        <v>35992</v>
      </c>
      <c r="G5504" s="18" t="str">
        <f>"70806"</f>
        <v>70806</v>
      </c>
      <c r="H5504" s="19" t="s">
        <v>36364</v>
      </c>
      <c r="I5504" s="20">
        <v>19.225999999999999</v>
      </c>
      <c r="J5504" s="44" t="s">
        <v>8</v>
      </c>
      <c r="K5504" s="23" t="s">
        <v>8</v>
      </c>
      <c r="L5504" s="23" t="s">
        <v>8</v>
      </c>
      <c r="M5504" s="23" t="s">
        <v>8</v>
      </c>
    </row>
    <row r="5505" spans="1:13" s="21" customFormat="1" x14ac:dyDescent="0.25">
      <c r="A5505" s="22" t="s">
        <v>8</v>
      </c>
      <c r="B5505" s="18" t="str">
        <f>"195636"</f>
        <v>195636</v>
      </c>
      <c r="C5505" s="19" t="s">
        <v>5431</v>
      </c>
      <c r="D5505" s="19" t="s">
        <v>20931</v>
      </c>
      <c r="E5505" s="19" t="s">
        <v>32825</v>
      </c>
      <c r="F5505" s="19" t="s">
        <v>35992</v>
      </c>
      <c r="G5505" s="18" t="str">
        <f>"70605"</f>
        <v>70605</v>
      </c>
      <c r="H5505" s="19" t="s">
        <v>36380</v>
      </c>
      <c r="I5505" s="20">
        <v>18.245999999999999</v>
      </c>
      <c r="J5505" s="44" t="s">
        <v>8</v>
      </c>
      <c r="K5505" s="23" t="s">
        <v>8</v>
      </c>
      <c r="L5505" s="23" t="s">
        <v>8</v>
      </c>
      <c r="M5505" s="23" t="s">
        <v>8</v>
      </c>
    </row>
    <row r="5506" spans="1:13" s="21" customFormat="1" x14ac:dyDescent="0.25">
      <c r="A5506" s="22" t="s">
        <v>8</v>
      </c>
      <c r="B5506" s="18" t="str">
        <f>"195637"</f>
        <v>195637</v>
      </c>
      <c r="C5506" s="19" t="s">
        <v>5432</v>
      </c>
      <c r="D5506" s="19" t="s">
        <v>20932</v>
      </c>
      <c r="E5506" s="19" t="s">
        <v>32288</v>
      </c>
      <c r="F5506" s="19" t="s">
        <v>35992</v>
      </c>
      <c r="G5506" s="18" t="str">
        <f>"71301"</f>
        <v>71301</v>
      </c>
      <c r="H5506" s="19" t="s">
        <v>36382</v>
      </c>
      <c r="I5506" s="20">
        <v>18.698</v>
      </c>
      <c r="J5506" s="44" t="s">
        <v>8</v>
      </c>
      <c r="K5506" s="23" t="s">
        <v>8</v>
      </c>
      <c r="L5506" s="23" t="s">
        <v>8</v>
      </c>
      <c r="M5506" s="23" t="s">
        <v>8</v>
      </c>
    </row>
    <row r="5507" spans="1:13" s="21" customFormat="1" x14ac:dyDescent="0.25">
      <c r="A5507" s="22" t="s">
        <v>8</v>
      </c>
      <c r="B5507" s="18" t="s">
        <v>15248</v>
      </c>
      <c r="C5507" s="19" t="s">
        <v>5433</v>
      </c>
      <c r="D5507" s="19" t="s">
        <v>20933</v>
      </c>
      <c r="E5507" s="19" t="s">
        <v>32587</v>
      </c>
      <c r="F5507" s="19" t="s">
        <v>35993</v>
      </c>
      <c r="G5507" s="18" t="str">
        <f>"04605"</f>
        <v>04605</v>
      </c>
      <c r="H5507" s="19" t="s">
        <v>33144</v>
      </c>
      <c r="I5507" s="20">
        <v>17.597000000000001</v>
      </c>
      <c r="J5507" s="44" t="s">
        <v>8</v>
      </c>
      <c r="K5507" s="23" t="s">
        <v>8</v>
      </c>
      <c r="L5507" s="23" t="s">
        <v>8</v>
      </c>
      <c r="M5507" s="23" t="s">
        <v>8</v>
      </c>
    </row>
    <row r="5508" spans="1:13" s="21" customFormat="1" x14ac:dyDescent="0.25">
      <c r="A5508" s="22" t="s">
        <v>8</v>
      </c>
      <c r="B5508" s="18" t="s">
        <v>15249</v>
      </c>
      <c r="C5508" s="19" t="s">
        <v>5434</v>
      </c>
      <c r="D5508" s="19" t="s">
        <v>20934</v>
      </c>
      <c r="E5508" s="19" t="s">
        <v>32878</v>
      </c>
      <c r="F5508" s="19" t="s">
        <v>35993</v>
      </c>
      <c r="G5508" s="18" t="str">
        <f>"04743"</f>
        <v>04743</v>
      </c>
      <c r="H5508" s="19" t="s">
        <v>36393</v>
      </c>
      <c r="I5508" s="20">
        <v>16.492999999999999</v>
      </c>
      <c r="J5508" s="44" t="s">
        <v>8</v>
      </c>
      <c r="K5508" s="23" t="s">
        <v>8</v>
      </c>
      <c r="L5508" s="23" t="s">
        <v>8</v>
      </c>
      <c r="M5508" s="23" t="s">
        <v>8</v>
      </c>
    </row>
    <row r="5509" spans="1:13" s="21" customFormat="1" x14ac:dyDescent="0.25">
      <c r="A5509" s="22" t="s">
        <v>8</v>
      </c>
      <c r="B5509" s="18" t="str">
        <f>"205003"</f>
        <v>205003</v>
      </c>
      <c r="C5509" s="19" t="s">
        <v>5435</v>
      </c>
      <c r="D5509" s="19" t="s">
        <v>20935</v>
      </c>
      <c r="E5509" s="19" t="s">
        <v>31432</v>
      </c>
      <c r="F5509" s="19" t="s">
        <v>35993</v>
      </c>
      <c r="G5509" s="18" t="str">
        <f>"04112"</f>
        <v>04112</v>
      </c>
      <c r="H5509" s="19" t="s">
        <v>32766</v>
      </c>
      <c r="I5509" s="20">
        <v>16.434000000000001</v>
      </c>
      <c r="J5509" s="44" t="s">
        <v>8</v>
      </c>
      <c r="K5509" s="23" t="s">
        <v>8</v>
      </c>
      <c r="L5509" s="23" t="s">
        <v>8</v>
      </c>
      <c r="M5509" s="23" t="s">
        <v>8</v>
      </c>
    </row>
    <row r="5510" spans="1:13" s="21" customFormat="1" x14ac:dyDescent="0.25">
      <c r="A5510" s="22" t="s">
        <v>8</v>
      </c>
      <c r="B5510" s="18" t="str">
        <f>"205004"</f>
        <v>205004</v>
      </c>
      <c r="C5510" s="19" t="s">
        <v>5436</v>
      </c>
      <c r="D5510" s="19" t="s">
        <v>20936</v>
      </c>
      <c r="E5510" s="19" t="s">
        <v>32879</v>
      </c>
      <c r="F5510" s="19" t="s">
        <v>35993</v>
      </c>
      <c r="G5510" s="18" t="str">
        <f>"04426"</f>
        <v>04426</v>
      </c>
      <c r="H5510" s="19" t="s">
        <v>36394</v>
      </c>
      <c r="I5510" s="20">
        <v>19.292999999999999</v>
      </c>
      <c r="J5510" s="44" t="s">
        <v>8</v>
      </c>
      <c r="K5510" s="23" t="s">
        <v>8</v>
      </c>
      <c r="L5510" s="23" t="s">
        <v>8</v>
      </c>
      <c r="M5510" s="23" t="s">
        <v>8</v>
      </c>
    </row>
    <row r="5511" spans="1:13" s="21" customFormat="1" x14ac:dyDescent="0.25">
      <c r="A5511" s="22" t="s">
        <v>8</v>
      </c>
      <c r="B5511" s="18" t="str">
        <f>"205006"</f>
        <v>205006</v>
      </c>
      <c r="C5511" s="19" t="s">
        <v>5437</v>
      </c>
      <c r="D5511" s="19" t="s">
        <v>20937</v>
      </c>
      <c r="E5511" s="19" t="s">
        <v>31880</v>
      </c>
      <c r="F5511" s="19" t="s">
        <v>35993</v>
      </c>
      <c r="G5511" s="18" t="str">
        <f>"04240"</f>
        <v>04240</v>
      </c>
      <c r="H5511" s="19" t="s">
        <v>36395</v>
      </c>
      <c r="I5511" s="20">
        <v>17.837</v>
      </c>
      <c r="J5511" s="44" t="s">
        <v>8</v>
      </c>
      <c r="K5511" s="23" t="s">
        <v>8</v>
      </c>
      <c r="L5511" s="23" t="s">
        <v>8</v>
      </c>
      <c r="M5511" s="23" t="s">
        <v>8</v>
      </c>
    </row>
    <row r="5512" spans="1:13" s="21" customFormat="1" x14ac:dyDescent="0.25">
      <c r="A5512" s="22" t="s">
        <v>8</v>
      </c>
      <c r="B5512" s="18" t="str">
        <f>"205011"</f>
        <v>205011</v>
      </c>
      <c r="C5512" s="19" t="s">
        <v>5438</v>
      </c>
      <c r="D5512" s="19" t="s">
        <v>20938</v>
      </c>
      <c r="E5512" s="19" t="s">
        <v>31432</v>
      </c>
      <c r="F5512" s="19" t="s">
        <v>35993</v>
      </c>
      <c r="G5512" s="18" t="str">
        <f>"04102"</f>
        <v>04102</v>
      </c>
      <c r="H5512" s="19" t="s">
        <v>32766</v>
      </c>
      <c r="I5512" s="20">
        <v>16.914999999999999</v>
      </c>
      <c r="J5512" s="44" t="s">
        <v>8</v>
      </c>
      <c r="K5512" s="23" t="s">
        <v>8</v>
      </c>
      <c r="L5512" s="23" t="s">
        <v>8</v>
      </c>
      <c r="M5512" s="23" t="s">
        <v>8</v>
      </c>
    </row>
    <row r="5513" spans="1:13" s="21" customFormat="1" x14ac:dyDescent="0.25">
      <c r="A5513" s="22" t="s">
        <v>8</v>
      </c>
      <c r="B5513" s="18" t="str">
        <f>"205012"</f>
        <v>205012</v>
      </c>
      <c r="C5513" s="19" t="s">
        <v>5439</v>
      </c>
      <c r="D5513" s="19" t="s">
        <v>20939</v>
      </c>
      <c r="E5513" s="19" t="s">
        <v>31628</v>
      </c>
      <c r="F5513" s="19" t="s">
        <v>35993</v>
      </c>
      <c r="G5513" s="18" t="str">
        <f>"04073"</f>
        <v>04073</v>
      </c>
      <c r="H5513" s="19" t="s">
        <v>30834</v>
      </c>
      <c r="I5513" s="20">
        <v>21.239000000000001</v>
      </c>
      <c r="J5513" s="44" t="s">
        <v>8</v>
      </c>
      <c r="K5513" s="23" t="s">
        <v>8</v>
      </c>
      <c r="L5513" s="23" t="s">
        <v>8</v>
      </c>
      <c r="M5513" s="23" t="s">
        <v>8</v>
      </c>
    </row>
    <row r="5514" spans="1:13" s="21" customFormat="1" x14ac:dyDescent="0.25">
      <c r="A5514" s="22" t="s">
        <v>8</v>
      </c>
      <c r="B5514" s="18" t="str">
        <f>"205018"</f>
        <v>205018</v>
      </c>
      <c r="C5514" s="19" t="s">
        <v>5440</v>
      </c>
      <c r="D5514" s="19" t="s">
        <v>20940</v>
      </c>
      <c r="E5514" s="19" t="s">
        <v>32880</v>
      </c>
      <c r="F5514" s="19" t="s">
        <v>35993</v>
      </c>
      <c r="G5514" s="18" t="str">
        <f>"04758"</f>
        <v>04758</v>
      </c>
      <c r="H5514" s="19" t="s">
        <v>36393</v>
      </c>
      <c r="I5514" s="20">
        <v>17.939</v>
      </c>
      <c r="J5514" s="44" t="s">
        <v>8</v>
      </c>
      <c r="K5514" s="23" t="s">
        <v>8</v>
      </c>
      <c r="L5514" s="23" t="s">
        <v>8</v>
      </c>
      <c r="M5514" s="23" t="s">
        <v>8</v>
      </c>
    </row>
    <row r="5515" spans="1:13" s="21" customFormat="1" x14ac:dyDescent="0.25">
      <c r="A5515" s="22" t="s">
        <v>8</v>
      </c>
      <c r="B5515" s="18" t="str">
        <f>"205020"</f>
        <v>205020</v>
      </c>
      <c r="C5515" s="19" t="s">
        <v>5441</v>
      </c>
      <c r="D5515" s="19" t="s">
        <v>20941</v>
      </c>
      <c r="E5515" s="19" t="s">
        <v>32881</v>
      </c>
      <c r="F5515" s="19" t="s">
        <v>35993</v>
      </c>
      <c r="G5515" s="18" t="str">
        <f>"04401"</f>
        <v>04401</v>
      </c>
      <c r="H5515" s="19" t="s">
        <v>36396</v>
      </c>
      <c r="I5515" s="20">
        <v>17.657</v>
      </c>
      <c r="J5515" s="44" t="s">
        <v>8</v>
      </c>
      <c r="K5515" s="23" t="s">
        <v>8</v>
      </c>
      <c r="L5515" s="23" t="s">
        <v>8</v>
      </c>
      <c r="M5515" s="23" t="s">
        <v>8</v>
      </c>
    </row>
    <row r="5516" spans="1:13" s="21" customFormat="1" x14ac:dyDescent="0.25">
      <c r="A5516" s="22" t="s">
        <v>8</v>
      </c>
      <c r="B5516" s="18" t="str">
        <f>"205031"</f>
        <v>205031</v>
      </c>
      <c r="C5516" s="19" t="s">
        <v>5442</v>
      </c>
      <c r="D5516" s="19" t="s">
        <v>20942</v>
      </c>
      <c r="E5516" s="19" t="s">
        <v>32882</v>
      </c>
      <c r="F5516" s="19" t="s">
        <v>35993</v>
      </c>
      <c r="G5516" s="18" t="str">
        <f>"04473"</f>
        <v>04473</v>
      </c>
      <c r="H5516" s="19" t="s">
        <v>36396</v>
      </c>
      <c r="I5516" s="20">
        <v>19.446000000000002</v>
      </c>
      <c r="J5516" s="44" t="s">
        <v>8</v>
      </c>
      <c r="K5516" s="23" t="s">
        <v>8</v>
      </c>
      <c r="L5516" s="23" t="s">
        <v>8</v>
      </c>
      <c r="M5516" s="23" t="s">
        <v>8</v>
      </c>
    </row>
    <row r="5517" spans="1:13" s="21" customFormat="1" x14ac:dyDescent="0.25">
      <c r="A5517" s="22" t="s">
        <v>8</v>
      </c>
      <c r="B5517" s="18" t="str">
        <f>"205051"</f>
        <v>205051</v>
      </c>
      <c r="C5517" s="19" t="s">
        <v>5443</v>
      </c>
      <c r="D5517" s="19" t="s">
        <v>20943</v>
      </c>
      <c r="E5517" s="19" t="s">
        <v>30910</v>
      </c>
      <c r="F5517" s="19" t="s">
        <v>35993</v>
      </c>
      <c r="G5517" s="18" t="str">
        <f>"04843"</f>
        <v>04843</v>
      </c>
      <c r="H5517" s="19" t="s">
        <v>32252</v>
      </c>
      <c r="I5517" s="20">
        <v>19.663</v>
      </c>
      <c r="J5517" s="44" t="s">
        <v>8</v>
      </c>
      <c r="K5517" s="23" t="s">
        <v>8</v>
      </c>
      <c r="L5517" s="23" t="s">
        <v>8</v>
      </c>
      <c r="M5517" s="23" t="s">
        <v>8</v>
      </c>
    </row>
    <row r="5518" spans="1:13" s="21" customFormat="1" x14ac:dyDescent="0.25">
      <c r="A5518" s="22" t="s">
        <v>8</v>
      </c>
      <c r="B5518" s="18" t="str">
        <f>"205052"</f>
        <v>205052</v>
      </c>
      <c r="C5518" s="19" t="s">
        <v>5444</v>
      </c>
      <c r="D5518" s="19" t="s">
        <v>20944</v>
      </c>
      <c r="E5518" s="19" t="s">
        <v>31880</v>
      </c>
      <c r="F5518" s="19" t="s">
        <v>35993</v>
      </c>
      <c r="G5518" s="18" t="str">
        <f>"04240"</f>
        <v>04240</v>
      </c>
      <c r="H5518" s="19" t="s">
        <v>36395</v>
      </c>
      <c r="I5518" s="20">
        <v>16.661999999999999</v>
      </c>
      <c r="J5518" s="44" t="s">
        <v>8</v>
      </c>
      <c r="K5518" s="23" t="s">
        <v>8</v>
      </c>
      <c r="L5518" s="23" t="s">
        <v>8</v>
      </c>
      <c r="M5518" s="23" t="s">
        <v>8</v>
      </c>
    </row>
    <row r="5519" spans="1:13" s="21" customFormat="1" x14ac:dyDescent="0.25">
      <c r="A5519" s="22" t="s">
        <v>8</v>
      </c>
      <c r="B5519" s="18" t="str">
        <f>"205053"</f>
        <v>205053</v>
      </c>
      <c r="C5519" s="19" t="s">
        <v>5445</v>
      </c>
      <c r="D5519" s="19" t="s">
        <v>20945</v>
      </c>
      <c r="E5519" s="19" t="s">
        <v>31880</v>
      </c>
      <c r="F5519" s="19" t="s">
        <v>35993</v>
      </c>
      <c r="G5519" s="18" t="str">
        <f>"04240"</f>
        <v>04240</v>
      </c>
      <c r="H5519" s="19" t="s">
        <v>36395</v>
      </c>
      <c r="I5519" s="20">
        <v>17.437999999999999</v>
      </c>
      <c r="J5519" s="44" t="s">
        <v>8</v>
      </c>
      <c r="K5519" s="23" t="s">
        <v>8</v>
      </c>
      <c r="L5519" s="23" t="s">
        <v>8</v>
      </c>
      <c r="M5519" s="23" t="s">
        <v>8</v>
      </c>
    </row>
    <row r="5520" spans="1:13" s="21" customFormat="1" x14ac:dyDescent="0.25">
      <c r="A5520" s="22" t="s">
        <v>8</v>
      </c>
      <c r="B5520" s="18" t="str">
        <f>"205054"</f>
        <v>205054</v>
      </c>
      <c r="C5520" s="19" t="s">
        <v>5446</v>
      </c>
      <c r="D5520" s="19" t="s">
        <v>20946</v>
      </c>
      <c r="E5520" s="19" t="s">
        <v>31714</v>
      </c>
      <c r="F5520" s="19" t="s">
        <v>35993</v>
      </c>
      <c r="G5520" s="18" t="str">
        <f>"04330"</f>
        <v>04330</v>
      </c>
      <c r="H5520" s="19" t="s">
        <v>36397</v>
      </c>
      <c r="I5520" s="20">
        <v>14.234999999999999</v>
      </c>
      <c r="J5520" s="44" t="s">
        <v>8</v>
      </c>
      <c r="K5520" s="23" t="s">
        <v>8</v>
      </c>
      <c r="L5520" s="23" t="s">
        <v>8</v>
      </c>
      <c r="M5520" s="23" t="s">
        <v>8</v>
      </c>
    </row>
    <row r="5521" spans="1:13" s="21" customFormat="1" x14ac:dyDescent="0.25">
      <c r="A5521" s="22" t="s">
        <v>8</v>
      </c>
      <c r="B5521" s="18" t="str">
        <f>"205060"</f>
        <v>205060</v>
      </c>
      <c r="C5521" s="19" t="s">
        <v>5447</v>
      </c>
      <c r="D5521" s="19" t="s">
        <v>20947</v>
      </c>
      <c r="E5521" s="19" t="s">
        <v>32883</v>
      </c>
      <c r="F5521" s="19" t="s">
        <v>35993</v>
      </c>
      <c r="G5521" s="18" t="str">
        <f>"04976"</f>
        <v>04976</v>
      </c>
      <c r="H5521" s="19" t="s">
        <v>32705</v>
      </c>
      <c r="I5521" s="20">
        <v>17.507999999999999</v>
      </c>
      <c r="J5521" s="44" t="s">
        <v>8</v>
      </c>
      <c r="K5521" s="23" t="s">
        <v>8</v>
      </c>
      <c r="L5521" s="23" t="s">
        <v>8</v>
      </c>
      <c r="M5521" s="23" t="s">
        <v>8</v>
      </c>
    </row>
    <row r="5522" spans="1:13" s="21" customFormat="1" x14ac:dyDescent="0.25">
      <c r="A5522" s="22" t="s">
        <v>8</v>
      </c>
      <c r="B5522" s="18" t="str">
        <f>"205062"</f>
        <v>205062</v>
      </c>
      <c r="C5522" s="19" t="s">
        <v>5448</v>
      </c>
      <c r="D5522" s="19" t="s">
        <v>20948</v>
      </c>
      <c r="E5522" s="19" t="s">
        <v>32884</v>
      </c>
      <c r="F5522" s="19" t="s">
        <v>35993</v>
      </c>
      <c r="G5522" s="18" t="str">
        <f>"04412"</f>
        <v>04412</v>
      </c>
      <c r="H5522" s="19" t="s">
        <v>36396</v>
      </c>
      <c r="I5522" s="20">
        <v>20.856000000000002</v>
      </c>
      <c r="J5522" s="44" t="s">
        <v>8</v>
      </c>
      <c r="K5522" s="23" t="s">
        <v>8</v>
      </c>
      <c r="L5522" s="23" t="s">
        <v>8</v>
      </c>
      <c r="M5522" s="23" t="s">
        <v>8</v>
      </c>
    </row>
    <row r="5523" spans="1:13" s="21" customFormat="1" x14ac:dyDescent="0.25">
      <c r="A5523" s="22" t="s">
        <v>8</v>
      </c>
      <c r="B5523" s="18" t="str">
        <f>"205063"</f>
        <v>205063</v>
      </c>
      <c r="C5523" s="19" t="s">
        <v>5449</v>
      </c>
      <c r="D5523" s="19" t="s">
        <v>20949</v>
      </c>
      <c r="E5523" s="19" t="s">
        <v>30926</v>
      </c>
      <c r="F5523" s="19" t="s">
        <v>35993</v>
      </c>
      <c r="G5523" s="18" t="str">
        <f>"04210"</f>
        <v>04210</v>
      </c>
      <c r="H5523" s="19" t="s">
        <v>36395</v>
      </c>
      <c r="I5523" s="20">
        <v>18.821999999999999</v>
      </c>
      <c r="J5523" s="44" t="s">
        <v>8</v>
      </c>
      <c r="K5523" s="23" t="s">
        <v>8</v>
      </c>
      <c r="L5523" s="23" t="s">
        <v>8</v>
      </c>
      <c r="M5523" s="23" t="s">
        <v>8</v>
      </c>
    </row>
    <row r="5524" spans="1:13" s="21" customFormat="1" x14ac:dyDescent="0.25">
      <c r="A5524" s="22" t="s">
        <v>8</v>
      </c>
      <c r="B5524" s="18" t="str">
        <f>"205064"</f>
        <v>205064</v>
      </c>
      <c r="C5524" s="19" t="s">
        <v>5450</v>
      </c>
      <c r="D5524" s="19" t="s">
        <v>20950</v>
      </c>
      <c r="E5524" s="19" t="s">
        <v>32881</v>
      </c>
      <c r="F5524" s="19" t="s">
        <v>35993</v>
      </c>
      <c r="G5524" s="18" t="str">
        <f>"04401"</f>
        <v>04401</v>
      </c>
      <c r="H5524" s="19" t="s">
        <v>36396</v>
      </c>
      <c r="I5524" s="20">
        <v>21.271999999999998</v>
      </c>
      <c r="J5524" s="44" t="s">
        <v>8</v>
      </c>
      <c r="K5524" s="23" t="s">
        <v>8</v>
      </c>
      <c r="L5524" s="23" t="s">
        <v>8</v>
      </c>
      <c r="M5524" s="23" t="s">
        <v>8</v>
      </c>
    </row>
    <row r="5525" spans="1:13" s="21" customFormat="1" x14ac:dyDescent="0.25">
      <c r="A5525" s="22" t="s">
        <v>8</v>
      </c>
      <c r="B5525" s="18" t="str">
        <f>"205065"</f>
        <v>205065</v>
      </c>
      <c r="C5525" s="19" t="s">
        <v>2900</v>
      </c>
      <c r="D5525" s="19" t="s">
        <v>20951</v>
      </c>
      <c r="E5525" s="19" t="s">
        <v>32885</v>
      </c>
      <c r="F5525" s="19" t="s">
        <v>35993</v>
      </c>
      <c r="G5525" s="18" t="str">
        <f>"04043"</f>
        <v>04043</v>
      </c>
      <c r="H5525" s="19" t="s">
        <v>30834</v>
      </c>
      <c r="I5525" s="20">
        <v>18.369</v>
      </c>
      <c r="J5525" s="44" t="s">
        <v>8</v>
      </c>
      <c r="K5525" s="23" t="s">
        <v>8</v>
      </c>
      <c r="L5525" s="23" t="s">
        <v>8</v>
      </c>
      <c r="M5525" s="23" t="s">
        <v>8</v>
      </c>
    </row>
    <row r="5526" spans="1:13" s="21" customFormat="1" x14ac:dyDescent="0.25">
      <c r="A5526" s="22" t="s">
        <v>8</v>
      </c>
      <c r="B5526" s="18" t="str">
        <f>"205066"</f>
        <v>205066</v>
      </c>
      <c r="C5526" s="19" t="s">
        <v>5451</v>
      </c>
      <c r="D5526" s="19" t="s">
        <v>20952</v>
      </c>
      <c r="E5526" s="19" t="s">
        <v>32886</v>
      </c>
      <c r="F5526" s="19" t="s">
        <v>35993</v>
      </c>
      <c r="G5526" s="18" t="str">
        <f>"04037"</f>
        <v>04037</v>
      </c>
      <c r="H5526" s="19" t="s">
        <v>30861</v>
      </c>
      <c r="I5526" s="20">
        <v>19.535</v>
      </c>
      <c r="J5526" s="44" t="s">
        <v>8</v>
      </c>
      <c r="K5526" s="23" t="s">
        <v>8</v>
      </c>
      <c r="L5526" s="23" t="s">
        <v>8</v>
      </c>
      <c r="M5526" s="23" t="s">
        <v>8</v>
      </c>
    </row>
    <row r="5527" spans="1:13" s="21" customFormat="1" x14ac:dyDescent="0.25">
      <c r="A5527" s="22" t="s">
        <v>8</v>
      </c>
      <c r="B5527" s="18" t="str">
        <f>"205067"</f>
        <v>205067</v>
      </c>
      <c r="C5527" s="19" t="s">
        <v>5452</v>
      </c>
      <c r="D5527" s="19" t="s">
        <v>20953</v>
      </c>
      <c r="E5527" s="19" t="s">
        <v>32887</v>
      </c>
      <c r="F5527" s="19" t="s">
        <v>35993</v>
      </c>
      <c r="G5527" s="18" t="str">
        <f>"04543"</f>
        <v>04543</v>
      </c>
      <c r="H5527" s="19" t="s">
        <v>31995</v>
      </c>
      <c r="I5527" s="20">
        <v>20.420000000000002</v>
      </c>
      <c r="J5527" s="44" t="s">
        <v>8</v>
      </c>
      <c r="K5527" s="23" t="s">
        <v>8</v>
      </c>
      <c r="L5527" s="23" t="s">
        <v>8</v>
      </c>
      <c r="M5527" s="23" t="s">
        <v>8</v>
      </c>
    </row>
    <row r="5528" spans="1:13" s="21" customFormat="1" x14ac:dyDescent="0.25">
      <c r="A5528" s="22" t="s">
        <v>8</v>
      </c>
      <c r="B5528" s="18" t="str">
        <f>"205068"</f>
        <v>205068</v>
      </c>
      <c r="C5528" s="19" t="s">
        <v>5453</v>
      </c>
      <c r="D5528" s="19" t="s">
        <v>20954</v>
      </c>
      <c r="E5528" s="19" t="s">
        <v>32888</v>
      </c>
      <c r="F5528" s="19" t="s">
        <v>35993</v>
      </c>
      <c r="G5528" s="18" t="str">
        <f>"04092"</f>
        <v>04092</v>
      </c>
      <c r="H5528" s="19" t="s">
        <v>32766</v>
      </c>
      <c r="I5528" s="20">
        <v>17.923999999999999</v>
      </c>
      <c r="J5528" s="44" t="s">
        <v>8</v>
      </c>
      <c r="K5528" s="23" t="s">
        <v>8</v>
      </c>
      <c r="L5528" s="23" t="s">
        <v>8</v>
      </c>
      <c r="M5528" s="23" t="s">
        <v>8</v>
      </c>
    </row>
    <row r="5529" spans="1:13" s="21" customFormat="1" x14ac:dyDescent="0.25">
      <c r="A5529" s="22" t="s">
        <v>8</v>
      </c>
      <c r="B5529" s="18" t="str">
        <f>"205069"</f>
        <v>205069</v>
      </c>
      <c r="C5529" s="19" t="s">
        <v>5454</v>
      </c>
      <c r="D5529" s="19" t="s">
        <v>20955</v>
      </c>
      <c r="E5529" s="19" t="s">
        <v>31445</v>
      </c>
      <c r="F5529" s="19" t="s">
        <v>35993</v>
      </c>
      <c r="G5529" s="18" t="str">
        <f>"04938"</f>
        <v>04938</v>
      </c>
      <c r="H5529" s="19" t="s">
        <v>5</v>
      </c>
      <c r="I5529" s="20">
        <v>18.545999999999999</v>
      </c>
      <c r="J5529" s="44" t="s">
        <v>8</v>
      </c>
      <c r="K5529" s="23" t="s">
        <v>8</v>
      </c>
      <c r="L5529" s="23" t="s">
        <v>8</v>
      </c>
      <c r="M5529" s="23" t="s">
        <v>8</v>
      </c>
    </row>
    <row r="5530" spans="1:13" s="21" customFormat="1" x14ac:dyDescent="0.25">
      <c r="A5530" s="22" t="s">
        <v>8</v>
      </c>
      <c r="B5530" s="18" t="str">
        <f>"205070"</f>
        <v>205070</v>
      </c>
      <c r="C5530" s="19" t="s">
        <v>5455</v>
      </c>
      <c r="D5530" s="19" t="s">
        <v>20956</v>
      </c>
      <c r="E5530" s="19" t="s">
        <v>32889</v>
      </c>
      <c r="F5530" s="19" t="s">
        <v>35993</v>
      </c>
      <c r="G5530" s="18" t="str">
        <f>"04074"</f>
        <v>04074</v>
      </c>
      <c r="H5530" s="19" t="s">
        <v>32766</v>
      </c>
      <c r="I5530" s="20">
        <v>20.303000000000001</v>
      </c>
      <c r="J5530" s="44" t="s">
        <v>8</v>
      </c>
      <c r="K5530" s="23" t="s">
        <v>8</v>
      </c>
      <c r="L5530" s="23" t="s">
        <v>8</v>
      </c>
      <c r="M5530" s="23" t="s">
        <v>8</v>
      </c>
    </row>
    <row r="5531" spans="1:13" s="21" customFormat="1" x14ac:dyDescent="0.25">
      <c r="A5531" s="22" t="s">
        <v>8</v>
      </c>
      <c r="B5531" s="18" t="str">
        <f>"205072"</f>
        <v>205072</v>
      </c>
      <c r="C5531" s="19" t="s">
        <v>5456</v>
      </c>
      <c r="D5531" s="19" t="s">
        <v>20957</v>
      </c>
      <c r="E5531" s="19" t="s">
        <v>31880</v>
      </c>
      <c r="F5531" s="19" t="s">
        <v>35993</v>
      </c>
      <c r="G5531" s="18" t="str">
        <f>"04240"</f>
        <v>04240</v>
      </c>
      <c r="H5531" s="19" t="s">
        <v>36395</v>
      </c>
      <c r="I5531" s="20">
        <v>18.454999999999998</v>
      </c>
      <c r="J5531" s="44" t="s">
        <v>8</v>
      </c>
      <c r="K5531" s="23" t="s">
        <v>8</v>
      </c>
      <c r="L5531" s="23" t="s">
        <v>8</v>
      </c>
      <c r="M5531" s="23" t="s">
        <v>8</v>
      </c>
    </row>
    <row r="5532" spans="1:13" s="21" customFormat="1" x14ac:dyDescent="0.25">
      <c r="A5532" s="22" t="s">
        <v>8</v>
      </c>
      <c r="B5532" s="18" t="str">
        <f>"205073"</f>
        <v>205073</v>
      </c>
      <c r="C5532" s="19" t="s">
        <v>5457</v>
      </c>
      <c r="D5532" s="19" t="s">
        <v>20958</v>
      </c>
      <c r="E5532" s="19" t="s">
        <v>32890</v>
      </c>
      <c r="F5532" s="19" t="s">
        <v>35993</v>
      </c>
      <c r="G5532" s="18" t="str">
        <f>"04009"</f>
        <v>04009</v>
      </c>
      <c r="H5532" s="19" t="s">
        <v>32766</v>
      </c>
      <c r="I5532" s="20">
        <v>16.940999999999999</v>
      </c>
      <c r="J5532" s="44" t="s">
        <v>8</v>
      </c>
      <c r="K5532" s="23" t="s">
        <v>8</v>
      </c>
      <c r="L5532" s="23" t="s">
        <v>8</v>
      </c>
      <c r="M5532" s="23" t="s">
        <v>8</v>
      </c>
    </row>
    <row r="5533" spans="1:13" s="21" customFormat="1" x14ac:dyDescent="0.25">
      <c r="A5533" s="22" t="s">
        <v>8</v>
      </c>
      <c r="B5533" s="18" t="str">
        <f>"205074"</f>
        <v>205074</v>
      </c>
      <c r="C5533" s="19" t="s">
        <v>5458</v>
      </c>
      <c r="D5533" s="19" t="s">
        <v>20959</v>
      </c>
      <c r="E5533" s="19" t="s">
        <v>31432</v>
      </c>
      <c r="F5533" s="19" t="s">
        <v>35993</v>
      </c>
      <c r="G5533" s="18" t="str">
        <f>"04103"</f>
        <v>04103</v>
      </c>
      <c r="H5533" s="19" t="s">
        <v>32766</v>
      </c>
      <c r="I5533" s="20">
        <v>15.465999999999999</v>
      </c>
      <c r="J5533" s="44" t="s">
        <v>8</v>
      </c>
      <c r="K5533" s="23" t="s">
        <v>8</v>
      </c>
      <c r="L5533" s="23" t="s">
        <v>8</v>
      </c>
      <c r="M5533" s="23" t="s">
        <v>8</v>
      </c>
    </row>
    <row r="5534" spans="1:13" s="21" customFormat="1" x14ac:dyDescent="0.25">
      <c r="A5534" s="22" t="s">
        <v>8</v>
      </c>
      <c r="B5534" s="18" t="str">
        <f>"205075"</f>
        <v>205075</v>
      </c>
      <c r="C5534" s="19" t="s">
        <v>5459</v>
      </c>
      <c r="D5534" s="19" t="s">
        <v>20960</v>
      </c>
      <c r="E5534" s="19" t="s">
        <v>32891</v>
      </c>
      <c r="F5534" s="19" t="s">
        <v>35993</v>
      </c>
      <c r="G5534" s="18" t="str">
        <f>"04627"</f>
        <v>04627</v>
      </c>
      <c r="H5534" s="19" t="s">
        <v>33144</v>
      </c>
      <c r="I5534" s="20">
        <v>18.623000000000001</v>
      </c>
      <c r="J5534" s="44" t="s">
        <v>8</v>
      </c>
      <c r="K5534" s="23" t="s">
        <v>8</v>
      </c>
      <c r="L5534" s="23" t="s">
        <v>8</v>
      </c>
      <c r="M5534" s="23" t="s">
        <v>8</v>
      </c>
    </row>
    <row r="5535" spans="1:13" s="21" customFormat="1" x14ac:dyDescent="0.25">
      <c r="A5535" s="22" t="s">
        <v>8</v>
      </c>
      <c r="B5535" s="18" t="str">
        <f>"205076"</f>
        <v>205076</v>
      </c>
      <c r="C5535" s="19" t="s">
        <v>5460</v>
      </c>
      <c r="D5535" s="19" t="s">
        <v>20961</v>
      </c>
      <c r="E5535" s="19" t="s">
        <v>32892</v>
      </c>
      <c r="F5535" s="19" t="s">
        <v>35993</v>
      </c>
      <c r="G5535" s="18" t="str">
        <f>"04281"</f>
        <v>04281</v>
      </c>
      <c r="H5535" s="19" t="s">
        <v>30861</v>
      </c>
      <c r="I5535" s="20">
        <v>20.896999999999998</v>
      </c>
      <c r="J5535" s="44" t="s">
        <v>8</v>
      </c>
      <c r="K5535" s="23" t="s">
        <v>8</v>
      </c>
      <c r="L5535" s="23" t="s">
        <v>8</v>
      </c>
      <c r="M5535" s="23" t="s">
        <v>8</v>
      </c>
    </row>
    <row r="5536" spans="1:13" s="21" customFormat="1" x14ac:dyDescent="0.25">
      <c r="A5536" s="22" t="s">
        <v>8</v>
      </c>
      <c r="B5536" s="18" t="str">
        <f>"205077"</f>
        <v>205077</v>
      </c>
      <c r="C5536" s="19" t="s">
        <v>5461</v>
      </c>
      <c r="D5536" s="19" t="s">
        <v>20962</v>
      </c>
      <c r="E5536" s="19" t="s">
        <v>31714</v>
      </c>
      <c r="F5536" s="19" t="s">
        <v>35993</v>
      </c>
      <c r="G5536" s="18" t="str">
        <f>"04330"</f>
        <v>04330</v>
      </c>
      <c r="H5536" s="19" t="s">
        <v>36397</v>
      </c>
      <c r="I5536" s="20">
        <v>19.498999999999999</v>
      </c>
      <c r="J5536" s="44" t="s">
        <v>8</v>
      </c>
      <c r="K5536" s="23" t="s">
        <v>8</v>
      </c>
      <c r="L5536" s="23" t="s">
        <v>8</v>
      </c>
      <c r="M5536" s="23" t="s">
        <v>8</v>
      </c>
    </row>
    <row r="5537" spans="1:13" s="21" customFormat="1" x14ac:dyDescent="0.25">
      <c r="A5537" s="22" t="s">
        <v>8</v>
      </c>
      <c r="B5537" s="18" t="str">
        <f>"205078"</f>
        <v>205078</v>
      </c>
      <c r="C5537" s="19" t="s">
        <v>5462</v>
      </c>
      <c r="D5537" s="19" t="s">
        <v>20963</v>
      </c>
      <c r="E5537" s="19" t="s">
        <v>32893</v>
      </c>
      <c r="F5537" s="19" t="s">
        <v>35993</v>
      </c>
      <c r="G5537" s="18" t="str">
        <f>"04530"</f>
        <v>04530</v>
      </c>
      <c r="H5537" s="19" t="s">
        <v>36398</v>
      </c>
      <c r="I5537" s="20">
        <v>19.18</v>
      </c>
      <c r="J5537" s="44" t="s">
        <v>8</v>
      </c>
      <c r="K5537" s="23" t="s">
        <v>8</v>
      </c>
      <c r="L5537" s="23" t="s">
        <v>8</v>
      </c>
      <c r="M5537" s="23" t="s">
        <v>8</v>
      </c>
    </row>
    <row r="5538" spans="1:13" s="21" customFormat="1" x14ac:dyDescent="0.25">
      <c r="A5538" s="22" t="s">
        <v>8</v>
      </c>
      <c r="B5538" s="18" t="str">
        <f>"205079"</f>
        <v>205079</v>
      </c>
      <c r="C5538" s="19" t="s">
        <v>5463</v>
      </c>
      <c r="D5538" s="19" t="s">
        <v>20964</v>
      </c>
      <c r="E5538" s="19" t="s">
        <v>32894</v>
      </c>
      <c r="F5538" s="19" t="s">
        <v>35993</v>
      </c>
      <c r="G5538" s="18" t="str">
        <f>"04096"</f>
        <v>04096</v>
      </c>
      <c r="H5538" s="19" t="s">
        <v>32766</v>
      </c>
      <c r="I5538" s="20">
        <v>18.143999999999998</v>
      </c>
      <c r="J5538" s="44" t="s">
        <v>8</v>
      </c>
      <c r="K5538" s="23" t="s">
        <v>8</v>
      </c>
      <c r="L5538" s="23" t="s">
        <v>8</v>
      </c>
      <c r="M5538" s="23" t="s">
        <v>8</v>
      </c>
    </row>
    <row r="5539" spans="1:13" s="21" customFormat="1" x14ac:dyDescent="0.25">
      <c r="A5539" s="22" t="s">
        <v>8</v>
      </c>
      <c r="B5539" s="18" t="str">
        <f>"205080"</f>
        <v>205080</v>
      </c>
      <c r="C5539" s="19" t="s">
        <v>5464</v>
      </c>
      <c r="D5539" s="19" t="s">
        <v>20965</v>
      </c>
      <c r="E5539" s="19" t="s">
        <v>32895</v>
      </c>
      <c r="F5539" s="19" t="s">
        <v>35993</v>
      </c>
      <c r="G5539" s="18" t="str">
        <f>"04730"</f>
        <v>04730</v>
      </c>
      <c r="H5539" s="19" t="s">
        <v>36393</v>
      </c>
      <c r="I5539" s="20">
        <v>17.193999999999999</v>
      </c>
      <c r="J5539" s="44" t="s">
        <v>8</v>
      </c>
      <c r="K5539" s="23" t="s">
        <v>8</v>
      </c>
      <c r="L5539" s="23" t="s">
        <v>8</v>
      </c>
      <c r="M5539" s="23" t="s">
        <v>8</v>
      </c>
    </row>
    <row r="5540" spans="1:13" s="21" customFormat="1" x14ac:dyDescent="0.25">
      <c r="A5540" s="22" t="s">
        <v>8</v>
      </c>
      <c r="B5540" s="18" t="str">
        <f>"205082"</f>
        <v>205082</v>
      </c>
      <c r="C5540" s="19" t="s">
        <v>5465</v>
      </c>
      <c r="D5540" s="19" t="s">
        <v>20966</v>
      </c>
      <c r="E5540" s="19" t="s">
        <v>31628</v>
      </c>
      <c r="F5540" s="19" t="s">
        <v>35993</v>
      </c>
      <c r="G5540" s="18" t="str">
        <f>"04073"</f>
        <v>04073</v>
      </c>
      <c r="H5540" s="19" t="s">
        <v>30834</v>
      </c>
      <c r="I5540" s="20">
        <v>19.29</v>
      </c>
      <c r="J5540" s="44" t="s">
        <v>8</v>
      </c>
      <c r="K5540" s="23" t="s">
        <v>8</v>
      </c>
      <c r="L5540" s="23" t="s">
        <v>8</v>
      </c>
      <c r="M5540" s="23" t="s">
        <v>8</v>
      </c>
    </row>
    <row r="5541" spans="1:13" s="21" customFormat="1" x14ac:dyDescent="0.25">
      <c r="A5541" s="22" t="s">
        <v>8</v>
      </c>
      <c r="B5541" s="18" t="str">
        <f>"205083"</f>
        <v>205083</v>
      </c>
      <c r="C5541" s="19" t="s">
        <v>5466</v>
      </c>
      <c r="D5541" s="19" t="s">
        <v>20967</v>
      </c>
      <c r="E5541" s="19" t="s">
        <v>32895</v>
      </c>
      <c r="F5541" s="19" t="s">
        <v>35993</v>
      </c>
      <c r="G5541" s="18" t="str">
        <f>"04730"</f>
        <v>04730</v>
      </c>
      <c r="H5541" s="19" t="s">
        <v>36393</v>
      </c>
      <c r="I5541" s="20">
        <v>18.721</v>
      </c>
      <c r="J5541" s="44" t="s">
        <v>8</v>
      </c>
      <c r="K5541" s="23" t="s">
        <v>8</v>
      </c>
      <c r="L5541" s="23" t="s">
        <v>8</v>
      </c>
      <c r="M5541" s="23" t="s">
        <v>8</v>
      </c>
    </row>
    <row r="5542" spans="1:13" s="21" customFormat="1" x14ac:dyDescent="0.25">
      <c r="A5542" s="22" t="s">
        <v>8</v>
      </c>
      <c r="B5542" s="18" t="str">
        <f>"205085"</f>
        <v>205085</v>
      </c>
      <c r="C5542" s="19" t="s">
        <v>5467</v>
      </c>
      <c r="D5542" s="19" t="s">
        <v>20968</v>
      </c>
      <c r="E5542" s="19" t="s">
        <v>31794</v>
      </c>
      <c r="F5542" s="19" t="s">
        <v>35993</v>
      </c>
      <c r="G5542" s="18" t="str">
        <f>"04011"</f>
        <v>04011</v>
      </c>
      <c r="H5542" s="19" t="s">
        <v>32766</v>
      </c>
      <c r="I5542" s="20">
        <v>19.719000000000001</v>
      </c>
      <c r="J5542" s="44" t="s">
        <v>8</v>
      </c>
      <c r="K5542" s="23" t="s">
        <v>8</v>
      </c>
      <c r="L5542" s="23" t="s">
        <v>8</v>
      </c>
      <c r="M5542" s="23" t="s">
        <v>8</v>
      </c>
    </row>
    <row r="5543" spans="1:13" s="21" customFormat="1" x14ac:dyDescent="0.25">
      <c r="A5543" s="22" t="s">
        <v>8</v>
      </c>
      <c r="B5543" s="18" t="str">
        <f>"205086"</f>
        <v>205086</v>
      </c>
      <c r="C5543" s="19" t="s">
        <v>5468</v>
      </c>
      <c r="D5543" s="19" t="s">
        <v>20969</v>
      </c>
      <c r="E5543" s="19" t="s">
        <v>32896</v>
      </c>
      <c r="F5543" s="19" t="s">
        <v>35993</v>
      </c>
      <c r="G5543" s="18" t="str">
        <f>"03906"</f>
        <v>03906</v>
      </c>
      <c r="H5543" s="19" t="s">
        <v>30834</v>
      </c>
      <c r="I5543" s="20">
        <v>18.141999999999999</v>
      </c>
      <c r="J5543" s="44" t="s">
        <v>8</v>
      </c>
      <c r="K5543" s="23" t="s">
        <v>8</v>
      </c>
      <c r="L5543" s="23" t="s">
        <v>8</v>
      </c>
      <c r="M5543" s="23" t="s">
        <v>8</v>
      </c>
    </row>
    <row r="5544" spans="1:13" s="21" customFormat="1" x14ac:dyDescent="0.25">
      <c r="A5544" s="22" t="s">
        <v>8</v>
      </c>
      <c r="B5544" s="18" t="str">
        <f>"205090"</f>
        <v>205090</v>
      </c>
      <c r="C5544" s="19" t="s">
        <v>5469</v>
      </c>
      <c r="D5544" s="19" t="s">
        <v>20970</v>
      </c>
      <c r="E5544" s="19" t="s">
        <v>30993</v>
      </c>
      <c r="F5544" s="19" t="s">
        <v>35993</v>
      </c>
      <c r="G5544" s="18" t="str">
        <f>"04785"</f>
        <v>04785</v>
      </c>
      <c r="H5544" s="19" t="s">
        <v>36393</v>
      </c>
      <c r="I5544" s="20">
        <v>18.36</v>
      </c>
      <c r="J5544" s="44" t="s">
        <v>8</v>
      </c>
      <c r="K5544" s="23" t="s">
        <v>8</v>
      </c>
      <c r="L5544" s="23" t="s">
        <v>8</v>
      </c>
      <c r="M5544" s="23" t="s">
        <v>8</v>
      </c>
    </row>
    <row r="5545" spans="1:13" s="21" customFormat="1" x14ac:dyDescent="0.25">
      <c r="A5545" s="22" t="s">
        <v>8</v>
      </c>
      <c r="B5545" s="18" t="str">
        <f>"205091"</f>
        <v>205091</v>
      </c>
      <c r="C5545" s="19" t="s">
        <v>5470</v>
      </c>
      <c r="D5545" s="19" t="s">
        <v>20971</v>
      </c>
      <c r="E5545" s="19" t="s">
        <v>32897</v>
      </c>
      <c r="F5545" s="19" t="s">
        <v>35993</v>
      </c>
      <c r="G5545" s="18" t="str">
        <f>"04901"</f>
        <v>04901</v>
      </c>
      <c r="H5545" s="19" t="s">
        <v>36397</v>
      </c>
      <c r="I5545" s="20">
        <v>18.733000000000001</v>
      </c>
      <c r="J5545" s="44" t="s">
        <v>8</v>
      </c>
      <c r="K5545" s="23" t="s">
        <v>8</v>
      </c>
      <c r="L5545" s="23" t="s">
        <v>8</v>
      </c>
      <c r="M5545" s="23" t="s">
        <v>8</v>
      </c>
    </row>
    <row r="5546" spans="1:13" s="21" customFormat="1" x14ac:dyDescent="0.25">
      <c r="A5546" s="22" t="s">
        <v>8</v>
      </c>
      <c r="B5546" s="18" t="str">
        <f>"205092"</f>
        <v>205092</v>
      </c>
      <c r="C5546" s="19" t="s">
        <v>5471</v>
      </c>
      <c r="D5546" s="19" t="s">
        <v>20972</v>
      </c>
      <c r="E5546" s="19" t="s">
        <v>31947</v>
      </c>
      <c r="F5546" s="19" t="s">
        <v>35993</v>
      </c>
      <c r="G5546" s="18" t="str">
        <f>"04032"</f>
        <v>04032</v>
      </c>
      <c r="H5546" s="19" t="s">
        <v>32766</v>
      </c>
      <c r="I5546" s="20">
        <v>18.948</v>
      </c>
      <c r="J5546" s="44" t="s">
        <v>8</v>
      </c>
      <c r="K5546" s="23" t="s">
        <v>8</v>
      </c>
      <c r="L5546" s="23" t="s">
        <v>8</v>
      </c>
      <c r="M5546" s="23" t="s">
        <v>8</v>
      </c>
    </row>
    <row r="5547" spans="1:13" s="21" customFormat="1" x14ac:dyDescent="0.25">
      <c r="A5547" s="22" t="s">
        <v>8</v>
      </c>
      <c r="B5547" s="18" t="str">
        <f>"205095"</f>
        <v>205095</v>
      </c>
      <c r="C5547" s="19" t="s">
        <v>5472</v>
      </c>
      <c r="D5547" s="19" t="s">
        <v>20973</v>
      </c>
      <c r="E5547" s="19" t="s">
        <v>32885</v>
      </c>
      <c r="F5547" s="19" t="s">
        <v>35993</v>
      </c>
      <c r="G5547" s="18" t="str">
        <f>"04043"</f>
        <v>04043</v>
      </c>
      <c r="H5547" s="19" t="s">
        <v>30834</v>
      </c>
      <c r="I5547" s="20">
        <v>19.876000000000001</v>
      </c>
      <c r="J5547" s="44" t="s">
        <v>8</v>
      </c>
      <c r="K5547" s="23" t="s">
        <v>8</v>
      </c>
      <c r="L5547" s="23" t="s">
        <v>8</v>
      </c>
      <c r="M5547" s="23" t="s">
        <v>8</v>
      </c>
    </row>
    <row r="5548" spans="1:13" s="21" customFormat="1" x14ac:dyDescent="0.25">
      <c r="A5548" s="22" t="s">
        <v>8</v>
      </c>
      <c r="B5548" s="18" t="str">
        <f>"205097"</f>
        <v>205097</v>
      </c>
      <c r="C5548" s="19" t="s">
        <v>5473</v>
      </c>
      <c r="D5548" s="19" t="s">
        <v>20974</v>
      </c>
      <c r="E5548" s="19" t="s">
        <v>32898</v>
      </c>
      <c r="F5548" s="19" t="s">
        <v>35993</v>
      </c>
      <c r="G5548" s="18" t="str">
        <f>"04268"</f>
        <v>04268</v>
      </c>
      <c r="H5548" s="19" t="s">
        <v>30861</v>
      </c>
      <c r="I5548" s="20">
        <v>21.274000000000001</v>
      </c>
      <c r="J5548" s="44" t="s">
        <v>8</v>
      </c>
      <c r="K5548" s="23" t="s">
        <v>8</v>
      </c>
      <c r="L5548" s="23" t="s">
        <v>8</v>
      </c>
      <c r="M5548" s="23" t="s">
        <v>8</v>
      </c>
    </row>
    <row r="5549" spans="1:13" s="21" customFormat="1" x14ac:dyDescent="0.25">
      <c r="A5549" s="22" t="s">
        <v>8</v>
      </c>
      <c r="B5549" s="18" t="str">
        <f>"205098"</f>
        <v>205098</v>
      </c>
      <c r="C5549" s="19" t="s">
        <v>5474</v>
      </c>
      <c r="D5549" s="19" t="s">
        <v>20975</v>
      </c>
      <c r="E5549" s="19" t="s">
        <v>31947</v>
      </c>
      <c r="F5549" s="19" t="s">
        <v>35993</v>
      </c>
      <c r="G5549" s="18" t="str">
        <f>"04032"</f>
        <v>04032</v>
      </c>
      <c r="H5549" s="19" t="s">
        <v>32766</v>
      </c>
      <c r="I5549" s="20">
        <v>17.09</v>
      </c>
      <c r="J5549" s="44" t="s">
        <v>8</v>
      </c>
      <c r="K5549" s="23" t="s">
        <v>8</v>
      </c>
      <c r="L5549" s="23" t="s">
        <v>8</v>
      </c>
      <c r="M5549" s="23" t="s">
        <v>8</v>
      </c>
    </row>
    <row r="5550" spans="1:13" s="21" customFormat="1" x14ac:dyDescent="0.25">
      <c r="A5550" s="22" t="s">
        <v>8</v>
      </c>
      <c r="B5550" s="18" t="str">
        <f>"205099"</f>
        <v>205099</v>
      </c>
      <c r="C5550" s="19" t="s">
        <v>5475</v>
      </c>
      <c r="D5550" s="19" t="s">
        <v>20976</v>
      </c>
      <c r="E5550" s="19" t="s">
        <v>32899</v>
      </c>
      <c r="F5550" s="19" t="s">
        <v>35993</v>
      </c>
      <c r="G5550" s="18" t="str">
        <f>"04276"</f>
        <v>04276</v>
      </c>
      <c r="H5550" s="19" t="s">
        <v>30861</v>
      </c>
      <c r="I5550" s="20">
        <v>18.963999999999999</v>
      </c>
      <c r="J5550" s="44" t="s">
        <v>8</v>
      </c>
      <c r="K5550" s="23" t="s">
        <v>8</v>
      </c>
      <c r="L5550" s="23" t="s">
        <v>8</v>
      </c>
      <c r="M5550" s="23" t="s">
        <v>8</v>
      </c>
    </row>
    <row r="5551" spans="1:13" s="21" customFormat="1" x14ac:dyDescent="0.25">
      <c r="A5551" s="22" t="s">
        <v>8</v>
      </c>
      <c r="B5551" s="18" t="str">
        <f>"205100"</f>
        <v>205100</v>
      </c>
      <c r="C5551" s="19" t="s">
        <v>5476</v>
      </c>
      <c r="D5551" s="19" t="s">
        <v>20977</v>
      </c>
      <c r="E5551" s="19" t="s">
        <v>32900</v>
      </c>
      <c r="F5551" s="19" t="s">
        <v>35993</v>
      </c>
      <c r="G5551" s="18" t="str">
        <f>"04769"</f>
        <v>04769</v>
      </c>
      <c r="H5551" s="19" t="s">
        <v>36393</v>
      </c>
      <c r="I5551" s="20">
        <v>18.347999999999999</v>
      </c>
      <c r="J5551" s="44" t="s">
        <v>8</v>
      </c>
      <c r="K5551" s="23" t="s">
        <v>8</v>
      </c>
      <c r="L5551" s="23" t="s">
        <v>8</v>
      </c>
      <c r="M5551" s="23" t="s">
        <v>8</v>
      </c>
    </row>
    <row r="5552" spans="1:13" s="21" customFormat="1" x14ac:dyDescent="0.25">
      <c r="A5552" s="22" t="s">
        <v>8</v>
      </c>
      <c r="B5552" s="18" t="str">
        <f>"205101"</f>
        <v>205101</v>
      </c>
      <c r="C5552" s="19" t="s">
        <v>5477</v>
      </c>
      <c r="D5552" s="19" t="s">
        <v>20978</v>
      </c>
      <c r="E5552" s="19" t="s">
        <v>31791</v>
      </c>
      <c r="F5552" s="19" t="s">
        <v>35993</v>
      </c>
      <c r="G5552" s="18" t="str">
        <f>"04221"</f>
        <v>04221</v>
      </c>
      <c r="H5552" s="19" t="s">
        <v>30861</v>
      </c>
      <c r="I5552" s="20">
        <v>17.166</v>
      </c>
      <c r="J5552" s="44" t="s">
        <v>8</v>
      </c>
      <c r="K5552" s="23" t="s">
        <v>8</v>
      </c>
      <c r="L5552" s="23" t="s">
        <v>8</v>
      </c>
      <c r="M5552" s="23" t="s">
        <v>8</v>
      </c>
    </row>
    <row r="5553" spans="1:13" s="21" customFormat="1" x14ac:dyDescent="0.25">
      <c r="A5553" s="22" t="s">
        <v>8</v>
      </c>
      <c r="B5553" s="18" t="str">
        <f>"205103"</f>
        <v>205103</v>
      </c>
      <c r="C5553" s="19" t="s">
        <v>5478</v>
      </c>
      <c r="D5553" s="19" t="s">
        <v>20979</v>
      </c>
      <c r="E5553" s="19" t="s">
        <v>32901</v>
      </c>
      <c r="F5553" s="19" t="s">
        <v>35993</v>
      </c>
      <c r="G5553" s="18" t="str">
        <f>"04072"</f>
        <v>04072</v>
      </c>
      <c r="H5553" s="19" t="s">
        <v>30834</v>
      </c>
      <c r="I5553" s="20">
        <v>17.975999999999999</v>
      </c>
      <c r="J5553" s="44" t="s">
        <v>8</v>
      </c>
      <c r="K5553" s="23" t="s">
        <v>8</v>
      </c>
      <c r="L5553" s="23" t="s">
        <v>8</v>
      </c>
      <c r="M5553" s="23" t="s">
        <v>8</v>
      </c>
    </row>
    <row r="5554" spans="1:13" s="21" customFormat="1" x14ac:dyDescent="0.25">
      <c r="A5554" s="22" t="s">
        <v>8</v>
      </c>
      <c r="B5554" s="18" t="str">
        <f>"205105"</f>
        <v>205105</v>
      </c>
      <c r="C5554" s="19" t="s">
        <v>5479</v>
      </c>
      <c r="D5554" s="19" t="s">
        <v>20980</v>
      </c>
      <c r="E5554" s="19" t="s">
        <v>32881</v>
      </c>
      <c r="F5554" s="19" t="s">
        <v>35993</v>
      </c>
      <c r="G5554" s="18" t="str">
        <f>"04401"</f>
        <v>04401</v>
      </c>
      <c r="H5554" s="19" t="s">
        <v>36396</v>
      </c>
      <c r="I5554" s="20">
        <v>16.445</v>
      </c>
      <c r="J5554" s="44" t="s">
        <v>8</v>
      </c>
      <c r="K5554" s="23" t="s">
        <v>8</v>
      </c>
      <c r="L5554" s="23" t="s">
        <v>8</v>
      </c>
      <c r="M5554" s="23" t="s">
        <v>8</v>
      </c>
    </row>
    <row r="5555" spans="1:13" s="21" customFormat="1" x14ac:dyDescent="0.25">
      <c r="A5555" s="22" t="s">
        <v>8</v>
      </c>
      <c r="B5555" s="18" t="str">
        <f>"205106"</f>
        <v>205106</v>
      </c>
      <c r="C5555" s="19" t="s">
        <v>5480</v>
      </c>
      <c r="D5555" s="19" t="s">
        <v>20981</v>
      </c>
      <c r="E5555" s="19" t="s">
        <v>32881</v>
      </c>
      <c r="F5555" s="19" t="s">
        <v>35993</v>
      </c>
      <c r="G5555" s="18" t="str">
        <f>"04401"</f>
        <v>04401</v>
      </c>
      <c r="H5555" s="19" t="s">
        <v>36396</v>
      </c>
      <c r="I5555" s="20">
        <v>17.204999999999998</v>
      </c>
      <c r="J5555" s="44" t="s">
        <v>8</v>
      </c>
      <c r="K5555" s="23" t="s">
        <v>8</v>
      </c>
      <c r="L5555" s="23" t="s">
        <v>8</v>
      </c>
      <c r="M5555" s="23" t="s">
        <v>8</v>
      </c>
    </row>
    <row r="5556" spans="1:13" s="21" customFormat="1" x14ac:dyDescent="0.25">
      <c r="A5556" s="22" t="s">
        <v>8</v>
      </c>
      <c r="B5556" s="18" t="str">
        <f>"205108"</f>
        <v>205108</v>
      </c>
      <c r="C5556" s="19" t="s">
        <v>5481</v>
      </c>
      <c r="D5556" s="19" t="s">
        <v>20982</v>
      </c>
      <c r="E5556" s="19" t="s">
        <v>32902</v>
      </c>
      <c r="F5556" s="19" t="s">
        <v>35993</v>
      </c>
      <c r="G5556" s="18" t="str">
        <f>"04005"</f>
        <v>04005</v>
      </c>
      <c r="H5556" s="19" t="s">
        <v>30834</v>
      </c>
      <c r="I5556" s="20">
        <v>16.664000000000001</v>
      </c>
      <c r="J5556" s="44" t="s">
        <v>8</v>
      </c>
      <c r="K5556" s="23" t="s">
        <v>8</v>
      </c>
      <c r="L5556" s="23" t="s">
        <v>8</v>
      </c>
      <c r="M5556" s="23" t="s">
        <v>8</v>
      </c>
    </row>
    <row r="5557" spans="1:13" s="21" customFormat="1" x14ac:dyDescent="0.25">
      <c r="A5557" s="22" t="s">
        <v>8</v>
      </c>
      <c r="B5557" s="18" t="str">
        <f>"205109"</f>
        <v>205109</v>
      </c>
      <c r="C5557" s="19" t="s">
        <v>5482</v>
      </c>
      <c r="D5557" s="19" t="s">
        <v>20983</v>
      </c>
      <c r="E5557" s="19" t="s">
        <v>32903</v>
      </c>
      <c r="F5557" s="19" t="s">
        <v>35993</v>
      </c>
      <c r="G5557" s="18" t="str">
        <f>"04654"</f>
        <v>04654</v>
      </c>
      <c r="H5557" s="19" t="s">
        <v>31500</v>
      </c>
      <c r="I5557" s="20">
        <v>18.959</v>
      </c>
      <c r="J5557" s="44" t="s">
        <v>8</v>
      </c>
      <c r="K5557" s="23" t="s">
        <v>8</v>
      </c>
      <c r="L5557" s="23" t="s">
        <v>8</v>
      </c>
      <c r="M5557" s="23" t="s">
        <v>8</v>
      </c>
    </row>
    <row r="5558" spans="1:13" s="21" customFormat="1" x14ac:dyDescent="0.25">
      <c r="A5558" s="22" t="s">
        <v>8</v>
      </c>
      <c r="B5558" s="18" t="str">
        <f>"205111"</f>
        <v>205111</v>
      </c>
      <c r="C5558" s="19" t="s">
        <v>5483</v>
      </c>
      <c r="D5558" s="19" t="s">
        <v>20984</v>
      </c>
      <c r="E5558" s="19" t="s">
        <v>32904</v>
      </c>
      <c r="F5558" s="19" t="s">
        <v>35993</v>
      </c>
      <c r="G5558" s="18" t="str">
        <f>"04341"</f>
        <v>04341</v>
      </c>
      <c r="H5558" s="19" t="s">
        <v>31995</v>
      </c>
      <c r="I5558" s="20">
        <v>20.251000000000001</v>
      </c>
      <c r="J5558" s="44" t="s">
        <v>8</v>
      </c>
      <c r="K5558" s="23" t="s">
        <v>8</v>
      </c>
      <c r="L5558" s="23" t="s">
        <v>8</v>
      </c>
      <c r="M5558" s="23" t="s">
        <v>8</v>
      </c>
    </row>
    <row r="5559" spans="1:13" s="21" customFormat="1" x14ac:dyDescent="0.25">
      <c r="A5559" s="22" t="s">
        <v>8</v>
      </c>
      <c r="B5559" s="18" t="str">
        <f>"205112"</f>
        <v>205112</v>
      </c>
      <c r="C5559" s="19" t="s">
        <v>5484</v>
      </c>
      <c r="D5559" s="19" t="s">
        <v>20985</v>
      </c>
      <c r="E5559" s="19" t="s">
        <v>32905</v>
      </c>
      <c r="F5559" s="19" t="s">
        <v>35993</v>
      </c>
      <c r="G5559" s="18" t="str">
        <f>"04105"</f>
        <v>04105</v>
      </c>
      <c r="H5559" s="19" t="s">
        <v>32766</v>
      </c>
      <c r="I5559" s="20">
        <v>17.693000000000001</v>
      </c>
      <c r="J5559" s="44" t="s">
        <v>8</v>
      </c>
      <c r="K5559" s="23" t="s">
        <v>8</v>
      </c>
      <c r="L5559" s="23" t="s">
        <v>8</v>
      </c>
      <c r="M5559" s="23" t="s">
        <v>8</v>
      </c>
    </row>
    <row r="5560" spans="1:13" s="21" customFormat="1" x14ac:dyDescent="0.25">
      <c r="A5560" s="22" t="s">
        <v>8</v>
      </c>
      <c r="B5560" s="18" t="str">
        <f>"205113"</f>
        <v>205113</v>
      </c>
      <c r="C5560" s="19" t="s">
        <v>5485</v>
      </c>
      <c r="D5560" s="19" t="s">
        <v>20986</v>
      </c>
      <c r="E5560" s="19" t="s">
        <v>31995</v>
      </c>
      <c r="F5560" s="19" t="s">
        <v>35993</v>
      </c>
      <c r="G5560" s="18" t="str">
        <f>"04457"</f>
        <v>04457</v>
      </c>
      <c r="H5560" s="19" t="s">
        <v>36396</v>
      </c>
      <c r="I5560" s="20">
        <v>20.033999999999999</v>
      </c>
      <c r="J5560" s="44" t="s">
        <v>8</v>
      </c>
      <c r="K5560" s="23" t="s">
        <v>8</v>
      </c>
      <c r="L5560" s="23" t="s">
        <v>8</v>
      </c>
      <c r="M5560" s="23" t="s">
        <v>8</v>
      </c>
    </row>
    <row r="5561" spans="1:13" s="21" customFormat="1" x14ac:dyDescent="0.25">
      <c r="A5561" s="22" t="s">
        <v>8</v>
      </c>
      <c r="B5561" s="18" t="str">
        <f>"205114"</f>
        <v>205114</v>
      </c>
      <c r="C5561" s="19" t="s">
        <v>5486</v>
      </c>
      <c r="D5561" s="19" t="s">
        <v>20987</v>
      </c>
      <c r="E5561" s="19" t="s">
        <v>32906</v>
      </c>
      <c r="F5561" s="19" t="s">
        <v>35993</v>
      </c>
      <c r="G5561" s="18" t="str">
        <f>"04756"</f>
        <v>04756</v>
      </c>
      <c r="H5561" s="19" t="s">
        <v>36393</v>
      </c>
      <c r="I5561" s="20">
        <v>16.562999999999999</v>
      </c>
      <c r="J5561" s="44" t="s">
        <v>8</v>
      </c>
      <c r="K5561" s="23" t="s">
        <v>8</v>
      </c>
      <c r="L5561" s="23" t="s">
        <v>8</v>
      </c>
      <c r="M5561" s="23" t="s">
        <v>8</v>
      </c>
    </row>
    <row r="5562" spans="1:13" s="21" customFormat="1" x14ac:dyDescent="0.25">
      <c r="A5562" s="22" t="s">
        <v>8</v>
      </c>
      <c r="B5562" s="18" t="str">
        <f>"205115"</f>
        <v>205115</v>
      </c>
      <c r="C5562" s="19" t="s">
        <v>5487</v>
      </c>
      <c r="D5562" s="19" t="s">
        <v>20988</v>
      </c>
      <c r="E5562" s="19" t="s">
        <v>32907</v>
      </c>
      <c r="F5562" s="19" t="s">
        <v>35993</v>
      </c>
      <c r="G5562" s="18" t="str">
        <f>"04930"</f>
        <v>04930</v>
      </c>
      <c r="H5562" s="19" t="s">
        <v>36396</v>
      </c>
      <c r="I5562" s="20">
        <v>19.66</v>
      </c>
      <c r="J5562" s="44" t="s">
        <v>8</v>
      </c>
      <c r="K5562" s="23" t="s">
        <v>8</v>
      </c>
      <c r="L5562" s="23" t="s">
        <v>8</v>
      </c>
      <c r="M5562" s="23" t="s">
        <v>8</v>
      </c>
    </row>
    <row r="5563" spans="1:13" s="21" customFormat="1" x14ac:dyDescent="0.25">
      <c r="A5563" s="22" t="s">
        <v>8</v>
      </c>
      <c r="B5563" s="18" t="str">
        <f>"205116"</f>
        <v>205116</v>
      </c>
      <c r="C5563" s="19" t="s">
        <v>5488</v>
      </c>
      <c r="D5563" s="19" t="s">
        <v>20989</v>
      </c>
      <c r="E5563" s="19" t="s">
        <v>32881</v>
      </c>
      <c r="F5563" s="19" t="s">
        <v>35993</v>
      </c>
      <c r="G5563" s="18" t="str">
        <f>"04401"</f>
        <v>04401</v>
      </c>
      <c r="H5563" s="19" t="s">
        <v>36396</v>
      </c>
      <c r="I5563" s="20">
        <v>22.311</v>
      </c>
      <c r="J5563" s="44" t="s">
        <v>8</v>
      </c>
      <c r="K5563" s="23" t="s">
        <v>8</v>
      </c>
      <c r="L5563" s="23" t="s">
        <v>8</v>
      </c>
      <c r="M5563" s="23" t="s">
        <v>8</v>
      </c>
    </row>
    <row r="5564" spans="1:13" s="21" customFormat="1" x14ac:dyDescent="0.25">
      <c r="A5564" s="22" t="s">
        <v>8</v>
      </c>
      <c r="B5564" s="18" t="str">
        <f>"205117"</f>
        <v>205117</v>
      </c>
      <c r="C5564" s="19" t="s">
        <v>5489</v>
      </c>
      <c r="D5564" s="19" t="s">
        <v>20990</v>
      </c>
      <c r="E5564" s="19" t="s">
        <v>32908</v>
      </c>
      <c r="F5564" s="19" t="s">
        <v>35993</v>
      </c>
      <c r="G5564" s="18" t="str">
        <f>"04736"</f>
        <v>04736</v>
      </c>
      <c r="H5564" s="19" t="s">
        <v>36393</v>
      </c>
      <c r="I5564" s="20">
        <v>18.286999999999999</v>
      </c>
      <c r="J5564" s="44" t="s">
        <v>8</v>
      </c>
      <c r="K5564" s="23" t="s">
        <v>8</v>
      </c>
      <c r="L5564" s="23" t="s">
        <v>8</v>
      </c>
      <c r="M5564" s="23" t="s">
        <v>8</v>
      </c>
    </row>
    <row r="5565" spans="1:13" s="21" customFormat="1" x14ac:dyDescent="0.25">
      <c r="A5565" s="22" t="s">
        <v>8</v>
      </c>
      <c r="B5565" s="18" t="str">
        <f>"205118"</f>
        <v>205118</v>
      </c>
      <c r="C5565" s="19" t="s">
        <v>5490</v>
      </c>
      <c r="D5565" s="19" t="s">
        <v>20991</v>
      </c>
      <c r="E5565" s="19" t="s">
        <v>32909</v>
      </c>
      <c r="F5565" s="19" t="s">
        <v>35993</v>
      </c>
      <c r="G5565" s="18" t="str">
        <f>"04658"</f>
        <v>04658</v>
      </c>
      <c r="H5565" s="19" t="s">
        <v>31500</v>
      </c>
      <c r="I5565" s="20">
        <v>17.164000000000001</v>
      </c>
      <c r="J5565" s="44" t="s">
        <v>8</v>
      </c>
      <c r="K5565" s="23" t="s">
        <v>8</v>
      </c>
      <c r="L5565" s="23" t="s">
        <v>8</v>
      </c>
      <c r="M5565" s="23" t="s">
        <v>8</v>
      </c>
    </row>
    <row r="5566" spans="1:13" s="21" customFormat="1" x14ac:dyDescent="0.25">
      <c r="A5566" s="22" t="s">
        <v>8</v>
      </c>
      <c r="B5566" s="18" t="str">
        <f>"205120"</f>
        <v>205120</v>
      </c>
      <c r="C5566" s="19" t="s">
        <v>5491</v>
      </c>
      <c r="D5566" s="19" t="s">
        <v>20992</v>
      </c>
      <c r="E5566" s="19" t="s">
        <v>32897</v>
      </c>
      <c r="F5566" s="19" t="s">
        <v>35993</v>
      </c>
      <c r="G5566" s="18" t="str">
        <f>"04901"</f>
        <v>04901</v>
      </c>
      <c r="H5566" s="19" t="s">
        <v>36397</v>
      </c>
      <c r="I5566" s="20">
        <v>15.273</v>
      </c>
      <c r="J5566" s="44" t="s">
        <v>8</v>
      </c>
      <c r="K5566" s="23" t="s">
        <v>8</v>
      </c>
      <c r="L5566" s="23" t="s">
        <v>8</v>
      </c>
      <c r="M5566" s="23" t="s">
        <v>8</v>
      </c>
    </row>
    <row r="5567" spans="1:13" s="21" customFormat="1" x14ac:dyDescent="0.25">
      <c r="A5567" s="22" t="s">
        <v>8</v>
      </c>
      <c r="B5567" s="18" t="str">
        <f>"205121"</f>
        <v>205121</v>
      </c>
      <c r="C5567" s="19" t="s">
        <v>5492</v>
      </c>
      <c r="D5567" s="19" t="s">
        <v>20993</v>
      </c>
      <c r="E5567" s="19" t="s">
        <v>32910</v>
      </c>
      <c r="F5567" s="19" t="s">
        <v>35993</v>
      </c>
      <c r="G5567" s="18" t="str">
        <f>"04106"</f>
        <v>04106</v>
      </c>
      <c r="H5567" s="19" t="s">
        <v>32766</v>
      </c>
      <c r="I5567" s="20">
        <v>18.122</v>
      </c>
      <c r="J5567" s="44" t="s">
        <v>8</v>
      </c>
      <c r="K5567" s="23" t="s">
        <v>8</v>
      </c>
      <c r="L5567" s="23" t="s">
        <v>8</v>
      </c>
      <c r="M5567" s="23" t="s">
        <v>8</v>
      </c>
    </row>
    <row r="5568" spans="1:13" s="21" customFormat="1" x14ac:dyDescent="0.25">
      <c r="A5568" s="22" t="s">
        <v>8</v>
      </c>
      <c r="B5568" s="18" t="str">
        <f>"205122"</f>
        <v>205122</v>
      </c>
      <c r="C5568" s="19" t="s">
        <v>5493</v>
      </c>
      <c r="D5568" s="19" t="s">
        <v>20994</v>
      </c>
      <c r="E5568" s="19" t="s">
        <v>32911</v>
      </c>
      <c r="F5568" s="19" t="s">
        <v>35993</v>
      </c>
      <c r="G5568" s="18" t="str">
        <f>"04915"</f>
        <v>04915</v>
      </c>
      <c r="H5568" s="19" t="s">
        <v>36399</v>
      </c>
      <c r="I5568" s="20">
        <v>16.437999999999999</v>
      </c>
      <c r="J5568" s="44" t="s">
        <v>8</v>
      </c>
      <c r="K5568" s="23" t="s">
        <v>8</v>
      </c>
      <c r="L5568" s="23" t="s">
        <v>8</v>
      </c>
      <c r="M5568" s="23" t="s">
        <v>8</v>
      </c>
    </row>
    <row r="5569" spans="1:13" s="21" customFormat="1" x14ac:dyDescent="0.25">
      <c r="A5569" s="22" t="s">
        <v>8</v>
      </c>
      <c r="B5569" s="18" t="str">
        <f>"205123"</f>
        <v>205123</v>
      </c>
      <c r="C5569" s="19" t="s">
        <v>5494</v>
      </c>
      <c r="D5569" s="19" t="s">
        <v>20995</v>
      </c>
      <c r="E5569" s="19" t="s">
        <v>32587</v>
      </c>
      <c r="F5569" s="19" t="s">
        <v>35993</v>
      </c>
      <c r="G5569" s="18" t="str">
        <f>"04605"</f>
        <v>04605</v>
      </c>
      <c r="H5569" s="19" t="s">
        <v>33144</v>
      </c>
      <c r="I5569" s="20">
        <v>20.297000000000001</v>
      </c>
      <c r="J5569" s="44" t="s">
        <v>8</v>
      </c>
      <c r="K5569" s="23" t="s">
        <v>8</v>
      </c>
      <c r="L5569" s="23" t="s">
        <v>8</v>
      </c>
      <c r="M5569" s="23" t="s">
        <v>8</v>
      </c>
    </row>
    <row r="5570" spans="1:13" s="21" customFormat="1" x14ac:dyDescent="0.25">
      <c r="A5570" s="22" t="s">
        <v>8</v>
      </c>
      <c r="B5570" s="18" t="str">
        <f>"205124"</f>
        <v>205124</v>
      </c>
      <c r="C5570" s="19" t="s">
        <v>5495</v>
      </c>
      <c r="D5570" s="19" t="s">
        <v>20996</v>
      </c>
      <c r="E5570" s="19" t="s">
        <v>32912</v>
      </c>
      <c r="F5570" s="19" t="s">
        <v>35993</v>
      </c>
      <c r="G5570" s="18" t="str">
        <f>"04841"</f>
        <v>04841</v>
      </c>
      <c r="H5570" s="19" t="s">
        <v>32252</v>
      </c>
      <c r="I5570" s="20">
        <v>16.652000000000001</v>
      </c>
      <c r="J5570" s="44" t="s">
        <v>8</v>
      </c>
      <c r="K5570" s="23" t="s">
        <v>8</v>
      </c>
      <c r="L5570" s="23" t="s">
        <v>8</v>
      </c>
      <c r="M5570" s="23" t="s">
        <v>8</v>
      </c>
    </row>
    <row r="5571" spans="1:13" s="21" customFormat="1" x14ac:dyDescent="0.25">
      <c r="A5571" s="22" t="s">
        <v>8</v>
      </c>
      <c r="B5571" s="18" t="str">
        <f>"205125"</f>
        <v>205125</v>
      </c>
      <c r="C5571" s="19" t="s">
        <v>5496</v>
      </c>
      <c r="D5571" s="19" t="s">
        <v>20997</v>
      </c>
      <c r="E5571" s="19" t="s">
        <v>32913</v>
      </c>
      <c r="F5571" s="19" t="s">
        <v>35993</v>
      </c>
      <c r="G5571" s="18" t="str">
        <f>"04289"</f>
        <v>04289</v>
      </c>
      <c r="H5571" s="19" t="s">
        <v>30861</v>
      </c>
      <c r="I5571" s="20">
        <v>19.538</v>
      </c>
      <c r="J5571" s="44" t="s">
        <v>8</v>
      </c>
      <c r="K5571" s="23" t="s">
        <v>8</v>
      </c>
      <c r="L5571" s="23" t="s">
        <v>8</v>
      </c>
      <c r="M5571" s="23" t="s">
        <v>8</v>
      </c>
    </row>
    <row r="5572" spans="1:13" s="21" customFormat="1" x14ac:dyDescent="0.25">
      <c r="A5572" s="22" t="s">
        <v>8</v>
      </c>
      <c r="B5572" s="18" t="str">
        <f>"205126"</f>
        <v>205126</v>
      </c>
      <c r="C5572" s="19" t="s">
        <v>5497</v>
      </c>
      <c r="D5572" s="19" t="s">
        <v>20998</v>
      </c>
      <c r="E5572" s="19" t="s">
        <v>31714</v>
      </c>
      <c r="F5572" s="19" t="s">
        <v>35993</v>
      </c>
      <c r="G5572" s="18" t="str">
        <f>"04330"</f>
        <v>04330</v>
      </c>
      <c r="H5572" s="19" t="s">
        <v>36397</v>
      </c>
      <c r="I5572" s="20">
        <v>18.128</v>
      </c>
      <c r="J5572" s="44" t="s">
        <v>8</v>
      </c>
      <c r="K5572" s="23" t="s">
        <v>8</v>
      </c>
      <c r="L5572" s="23" t="s">
        <v>8</v>
      </c>
      <c r="M5572" s="23" t="s">
        <v>8</v>
      </c>
    </row>
    <row r="5573" spans="1:13" s="21" customFormat="1" x14ac:dyDescent="0.25">
      <c r="A5573" s="22" t="s">
        <v>8</v>
      </c>
      <c r="B5573" s="18" t="str">
        <f>"205127"</f>
        <v>205127</v>
      </c>
      <c r="C5573" s="19" t="s">
        <v>5498</v>
      </c>
      <c r="D5573" s="19" t="s">
        <v>20999</v>
      </c>
      <c r="E5573" s="19" t="s">
        <v>32889</v>
      </c>
      <c r="F5573" s="19" t="s">
        <v>35993</v>
      </c>
      <c r="G5573" s="18" t="str">
        <f>"04074"</f>
        <v>04074</v>
      </c>
      <c r="H5573" s="19" t="s">
        <v>32766</v>
      </c>
      <c r="I5573" s="20">
        <v>14.98</v>
      </c>
      <c r="J5573" s="44" t="s">
        <v>8</v>
      </c>
      <c r="K5573" s="23" t="s">
        <v>8</v>
      </c>
      <c r="L5573" s="23" t="s">
        <v>8</v>
      </c>
      <c r="M5573" s="23" t="s">
        <v>8</v>
      </c>
    </row>
    <row r="5574" spans="1:13" s="21" customFormat="1" x14ac:dyDescent="0.25">
      <c r="A5574" s="22" t="s">
        <v>8</v>
      </c>
      <c r="B5574" s="18" t="str">
        <f>"205128"</f>
        <v>205128</v>
      </c>
      <c r="C5574" s="19" t="s">
        <v>5499</v>
      </c>
      <c r="D5574" s="19" t="s">
        <v>21000</v>
      </c>
      <c r="E5574" s="19" t="s">
        <v>30899</v>
      </c>
      <c r="F5574" s="19" t="s">
        <v>35993</v>
      </c>
      <c r="G5574" s="18" t="str">
        <f>"04950"</f>
        <v>04950</v>
      </c>
      <c r="H5574" s="19" t="s">
        <v>32705</v>
      </c>
      <c r="I5574" s="20">
        <v>17.815999999999999</v>
      </c>
      <c r="J5574" s="44" t="s">
        <v>8</v>
      </c>
      <c r="K5574" s="23" t="s">
        <v>8</v>
      </c>
      <c r="L5574" s="23" t="s">
        <v>8</v>
      </c>
      <c r="M5574" s="23" t="s">
        <v>8</v>
      </c>
    </row>
    <row r="5575" spans="1:13" s="21" customFormat="1" x14ac:dyDescent="0.25">
      <c r="A5575" s="22" t="s">
        <v>8</v>
      </c>
      <c r="B5575" s="18" t="str">
        <f>"205129"</f>
        <v>205129</v>
      </c>
      <c r="C5575" s="19" t="s">
        <v>5500</v>
      </c>
      <c r="D5575" s="19" t="s">
        <v>21001</v>
      </c>
      <c r="E5575" s="19" t="s">
        <v>32914</v>
      </c>
      <c r="F5575" s="19" t="s">
        <v>35993</v>
      </c>
      <c r="G5575" s="18" t="str">
        <f>"04739"</f>
        <v>04739</v>
      </c>
      <c r="H5575" s="19" t="s">
        <v>36393</v>
      </c>
      <c r="I5575" s="20">
        <v>17.646000000000001</v>
      </c>
      <c r="J5575" s="44" t="s">
        <v>8</v>
      </c>
      <c r="K5575" s="23" t="s">
        <v>8</v>
      </c>
      <c r="L5575" s="23" t="s">
        <v>8</v>
      </c>
      <c r="M5575" s="23" t="s">
        <v>8</v>
      </c>
    </row>
    <row r="5576" spans="1:13" s="21" customFormat="1" x14ac:dyDescent="0.25">
      <c r="A5576" s="22" t="s">
        <v>8</v>
      </c>
      <c r="B5576" s="18" t="str">
        <f>"205131"</f>
        <v>205131</v>
      </c>
      <c r="C5576" s="19" t="s">
        <v>5501</v>
      </c>
      <c r="D5576" s="19" t="s">
        <v>21002</v>
      </c>
      <c r="E5576" s="19" t="s">
        <v>31445</v>
      </c>
      <c r="F5576" s="19" t="s">
        <v>35993</v>
      </c>
      <c r="G5576" s="18" t="str">
        <f>"04938"</f>
        <v>04938</v>
      </c>
      <c r="H5576" s="19" t="s">
        <v>5</v>
      </c>
      <c r="I5576" s="20">
        <v>19.661999999999999</v>
      </c>
      <c r="J5576" s="44" t="s">
        <v>8</v>
      </c>
      <c r="K5576" s="23" t="s">
        <v>8</v>
      </c>
      <c r="L5576" s="23" t="s">
        <v>8</v>
      </c>
      <c r="M5576" s="23" t="s">
        <v>8</v>
      </c>
    </row>
    <row r="5577" spans="1:13" s="21" customFormat="1" x14ac:dyDescent="0.25">
      <c r="A5577" s="22" t="s">
        <v>8</v>
      </c>
      <c r="B5577" s="18" t="str">
        <f>"205132"</f>
        <v>205132</v>
      </c>
      <c r="C5577" s="19" t="s">
        <v>5502</v>
      </c>
      <c r="D5577" s="19" t="s">
        <v>21003</v>
      </c>
      <c r="E5577" s="19" t="s">
        <v>32915</v>
      </c>
      <c r="F5577" s="19" t="s">
        <v>35993</v>
      </c>
      <c r="G5577" s="18" t="str">
        <f>"03904"</f>
        <v>03904</v>
      </c>
      <c r="H5577" s="19" t="s">
        <v>30834</v>
      </c>
      <c r="I5577" s="20">
        <v>15.849</v>
      </c>
      <c r="J5577" s="44" t="s">
        <v>8</v>
      </c>
      <c r="K5577" s="23" t="s">
        <v>8</v>
      </c>
      <c r="L5577" s="23" t="s">
        <v>8</v>
      </c>
      <c r="M5577" s="23" t="s">
        <v>8</v>
      </c>
    </row>
    <row r="5578" spans="1:13" s="21" customFormat="1" x14ac:dyDescent="0.25">
      <c r="A5578" s="22" t="s">
        <v>8</v>
      </c>
      <c r="B5578" s="18" t="str">
        <f>"205133"</f>
        <v>205133</v>
      </c>
      <c r="C5578" s="19" t="s">
        <v>5503</v>
      </c>
      <c r="D5578" s="19" t="s">
        <v>21004</v>
      </c>
      <c r="E5578" s="19" t="s">
        <v>32916</v>
      </c>
      <c r="F5578" s="19" t="s">
        <v>35993</v>
      </c>
      <c r="G5578" s="18" t="str">
        <f>"04364"</f>
        <v>04364</v>
      </c>
      <c r="H5578" s="19" t="s">
        <v>36397</v>
      </c>
      <c r="I5578" s="20">
        <v>19.827999999999999</v>
      </c>
      <c r="J5578" s="44" t="s">
        <v>8</v>
      </c>
      <c r="K5578" s="23" t="s">
        <v>8</v>
      </c>
      <c r="L5578" s="23" t="s">
        <v>8</v>
      </c>
      <c r="M5578" s="23" t="s">
        <v>8</v>
      </c>
    </row>
    <row r="5579" spans="1:13" s="21" customFormat="1" x14ac:dyDescent="0.25">
      <c r="A5579" s="22" t="s">
        <v>8</v>
      </c>
      <c r="B5579" s="18" t="str">
        <f>"205134"</f>
        <v>205134</v>
      </c>
      <c r="C5579" s="19" t="s">
        <v>5504</v>
      </c>
      <c r="D5579" s="19" t="s">
        <v>21005</v>
      </c>
      <c r="E5579" s="19" t="s">
        <v>31432</v>
      </c>
      <c r="F5579" s="19" t="s">
        <v>35993</v>
      </c>
      <c r="G5579" s="18" t="str">
        <f>"04103"</f>
        <v>04103</v>
      </c>
      <c r="H5579" s="19" t="s">
        <v>32766</v>
      </c>
      <c r="I5579" s="20">
        <v>18.513000000000002</v>
      </c>
      <c r="J5579" s="44" t="s">
        <v>8</v>
      </c>
      <c r="K5579" s="23" t="s">
        <v>8</v>
      </c>
      <c r="L5579" s="23" t="s">
        <v>8</v>
      </c>
      <c r="M5579" s="23" t="s">
        <v>8</v>
      </c>
    </row>
    <row r="5580" spans="1:13" s="21" customFormat="1" x14ac:dyDescent="0.25">
      <c r="A5580" s="22" t="s">
        <v>8</v>
      </c>
      <c r="B5580" s="18" t="str">
        <f>"205135"</f>
        <v>205135</v>
      </c>
      <c r="C5580" s="19" t="s">
        <v>5505</v>
      </c>
      <c r="D5580" s="19" t="s">
        <v>21006</v>
      </c>
      <c r="E5580" s="19" t="s">
        <v>32917</v>
      </c>
      <c r="F5580" s="19" t="s">
        <v>35993</v>
      </c>
      <c r="G5580" s="18" t="str">
        <f>"04609"</f>
        <v>04609</v>
      </c>
      <c r="H5580" s="19" t="s">
        <v>33144</v>
      </c>
      <c r="I5580" s="20">
        <v>17.911000000000001</v>
      </c>
      <c r="J5580" s="44" t="s">
        <v>8</v>
      </c>
      <c r="K5580" s="23" t="s">
        <v>8</v>
      </c>
      <c r="L5580" s="23" t="s">
        <v>8</v>
      </c>
      <c r="M5580" s="23" t="s">
        <v>8</v>
      </c>
    </row>
    <row r="5581" spans="1:13" s="21" customFormat="1" x14ac:dyDescent="0.25">
      <c r="A5581" s="22" t="s">
        <v>8</v>
      </c>
      <c r="B5581" s="18" t="str">
        <f>"205136"</f>
        <v>205136</v>
      </c>
      <c r="C5581" s="19" t="s">
        <v>5506</v>
      </c>
      <c r="D5581" s="19" t="s">
        <v>21007</v>
      </c>
      <c r="E5581" s="19" t="s">
        <v>32902</v>
      </c>
      <c r="F5581" s="19" t="s">
        <v>35993</v>
      </c>
      <c r="G5581" s="18" t="str">
        <f>"04005"</f>
        <v>04005</v>
      </c>
      <c r="H5581" s="19" t="s">
        <v>30834</v>
      </c>
      <c r="I5581" s="20">
        <v>20.132999999999999</v>
      </c>
      <c r="J5581" s="44" t="s">
        <v>8</v>
      </c>
      <c r="K5581" s="23" t="s">
        <v>8</v>
      </c>
      <c r="L5581" s="23" t="s">
        <v>8</v>
      </c>
      <c r="M5581" s="23" t="s">
        <v>8</v>
      </c>
    </row>
    <row r="5582" spans="1:13" s="21" customFormat="1" x14ac:dyDescent="0.25">
      <c r="A5582" s="22" t="s">
        <v>8</v>
      </c>
      <c r="B5582" s="18" t="str">
        <f>"205137"</f>
        <v>205137</v>
      </c>
      <c r="C5582" s="19" t="s">
        <v>5507</v>
      </c>
      <c r="D5582" s="19" t="s">
        <v>21008</v>
      </c>
      <c r="E5582" s="19" t="s">
        <v>31446</v>
      </c>
      <c r="F5582" s="19" t="s">
        <v>35993</v>
      </c>
      <c r="G5582" s="18" t="str">
        <f>"04062"</f>
        <v>04062</v>
      </c>
      <c r="H5582" s="19" t="s">
        <v>32766</v>
      </c>
      <c r="I5582" s="20">
        <v>17.48</v>
      </c>
      <c r="J5582" s="44" t="s">
        <v>8</v>
      </c>
      <c r="K5582" s="23" t="s">
        <v>8</v>
      </c>
      <c r="L5582" s="23" t="s">
        <v>8</v>
      </c>
      <c r="M5582" s="23" t="s">
        <v>8</v>
      </c>
    </row>
    <row r="5583" spans="1:13" s="21" customFormat="1" x14ac:dyDescent="0.25">
      <c r="A5583" s="22" t="s">
        <v>8</v>
      </c>
      <c r="B5583" s="18" t="str">
        <f>"205138"</f>
        <v>205138</v>
      </c>
      <c r="C5583" s="19" t="s">
        <v>5508</v>
      </c>
      <c r="D5583" s="19" t="s">
        <v>21009</v>
      </c>
      <c r="E5583" s="19" t="s">
        <v>32897</v>
      </c>
      <c r="F5583" s="19" t="s">
        <v>35993</v>
      </c>
      <c r="G5583" s="18" t="str">
        <f>"04901"</f>
        <v>04901</v>
      </c>
      <c r="H5583" s="19" t="s">
        <v>36397</v>
      </c>
      <c r="I5583" s="20">
        <v>16.620999999999999</v>
      </c>
      <c r="J5583" s="44" t="s">
        <v>8</v>
      </c>
      <c r="K5583" s="23" t="s">
        <v>8</v>
      </c>
      <c r="L5583" s="23" t="s">
        <v>8</v>
      </c>
      <c r="M5583" s="23" t="s">
        <v>8</v>
      </c>
    </row>
    <row r="5584" spans="1:13" s="21" customFormat="1" x14ac:dyDescent="0.25">
      <c r="A5584" s="22" t="s">
        <v>8</v>
      </c>
      <c r="B5584" s="18" t="str">
        <f>"205139"</f>
        <v>205139</v>
      </c>
      <c r="C5584" s="19" t="s">
        <v>5509</v>
      </c>
      <c r="D5584" s="19" t="s">
        <v>21010</v>
      </c>
      <c r="E5584" s="19" t="s">
        <v>31714</v>
      </c>
      <c r="F5584" s="19" t="s">
        <v>35993</v>
      </c>
      <c r="G5584" s="18" t="str">
        <f>"04330"</f>
        <v>04330</v>
      </c>
      <c r="H5584" s="19" t="s">
        <v>36397</v>
      </c>
      <c r="I5584" s="20">
        <v>17.716000000000001</v>
      </c>
      <c r="J5584" s="44" t="s">
        <v>8</v>
      </c>
      <c r="K5584" s="23" t="s">
        <v>8</v>
      </c>
      <c r="L5584" s="23" t="s">
        <v>8</v>
      </c>
      <c r="M5584" s="23" t="s">
        <v>8</v>
      </c>
    </row>
    <row r="5585" spans="1:13" s="21" customFormat="1" x14ac:dyDescent="0.25">
      <c r="A5585" s="22" t="s">
        <v>8</v>
      </c>
      <c r="B5585" s="18" t="str">
        <f>"205140"</f>
        <v>205140</v>
      </c>
      <c r="C5585" s="19" t="s">
        <v>5510</v>
      </c>
      <c r="D5585" s="19" t="s">
        <v>21011</v>
      </c>
      <c r="E5585" s="19" t="s">
        <v>32911</v>
      </c>
      <c r="F5585" s="19" t="s">
        <v>35993</v>
      </c>
      <c r="G5585" s="18" t="str">
        <f>"04915"</f>
        <v>04915</v>
      </c>
      <c r="H5585" s="19" t="s">
        <v>36399</v>
      </c>
      <c r="I5585" s="20">
        <v>18.876999999999999</v>
      </c>
      <c r="J5585" s="44" t="s">
        <v>8</v>
      </c>
      <c r="K5585" s="23" t="s">
        <v>8</v>
      </c>
      <c r="L5585" s="23" t="s">
        <v>8</v>
      </c>
      <c r="M5585" s="23" t="s">
        <v>8</v>
      </c>
    </row>
    <row r="5586" spans="1:13" s="21" customFormat="1" x14ac:dyDescent="0.25">
      <c r="A5586" s="22" t="s">
        <v>8</v>
      </c>
      <c r="B5586" s="18" t="str">
        <f>"205143"</f>
        <v>205143</v>
      </c>
      <c r="C5586" s="19" t="s">
        <v>5511</v>
      </c>
      <c r="D5586" s="19" t="s">
        <v>21012</v>
      </c>
      <c r="E5586" s="19" t="s">
        <v>32918</v>
      </c>
      <c r="F5586" s="19" t="s">
        <v>35993</v>
      </c>
      <c r="G5586" s="18" t="str">
        <f>"04448"</f>
        <v>04448</v>
      </c>
      <c r="H5586" s="19" t="s">
        <v>36396</v>
      </c>
      <c r="I5586" s="20">
        <v>18.29</v>
      </c>
      <c r="J5586" s="44" t="s">
        <v>8</v>
      </c>
      <c r="K5586" s="23" t="s">
        <v>8</v>
      </c>
      <c r="L5586" s="23" t="s">
        <v>8</v>
      </c>
      <c r="M5586" s="23" t="s">
        <v>8</v>
      </c>
    </row>
    <row r="5587" spans="1:13" s="21" customFormat="1" x14ac:dyDescent="0.25">
      <c r="A5587" s="22" t="s">
        <v>8</v>
      </c>
      <c r="B5587" s="18" t="str">
        <f>"205144"</f>
        <v>205144</v>
      </c>
      <c r="C5587" s="19" t="s">
        <v>3585</v>
      </c>
      <c r="D5587" s="19" t="s">
        <v>21013</v>
      </c>
      <c r="E5587" s="19" t="s">
        <v>32919</v>
      </c>
      <c r="F5587" s="19" t="s">
        <v>35993</v>
      </c>
      <c r="G5587" s="18" t="str">
        <f>"04745"</f>
        <v>04745</v>
      </c>
      <c r="H5587" s="19" t="s">
        <v>36393</v>
      </c>
      <c r="I5587" s="20">
        <v>17.850000000000001</v>
      </c>
      <c r="J5587" s="44" t="s">
        <v>8</v>
      </c>
      <c r="K5587" s="23" t="s">
        <v>8</v>
      </c>
      <c r="L5587" s="23" t="s">
        <v>8</v>
      </c>
      <c r="M5587" s="23" t="s">
        <v>8</v>
      </c>
    </row>
    <row r="5588" spans="1:13" s="21" customFormat="1" x14ac:dyDescent="0.25">
      <c r="A5588" s="22" t="s">
        <v>8</v>
      </c>
      <c r="B5588" s="18" t="str">
        <f>"205145"</f>
        <v>205145</v>
      </c>
      <c r="C5588" s="19" t="s">
        <v>5512</v>
      </c>
      <c r="D5588" s="19" t="s">
        <v>21014</v>
      </c>
      <c r="E5588" s="19" t="s">
        <v>32587</v>
      </c>
      <c r="F5588" s="19" t="s">
        <v>35993</v>
      </c>
      <c r="G5588" s="18" t="str">
        <f>"04605"</f>
        <v>04605</v>
      </c>
      <c r="H5588" s="19" t="s">
        <v>33144</v>
      </c>
      <c r="I5588" s="20">
        <v>17.466000000000001</v>
      </c>
      <c r="J5588" s="44" t="s">
        <v>8</v>
      </c>
      <c r="K5588" s="23" t="s">
        <v>8</v>
      </c>
      <c r="L5588" s="23" t="s">
        <v>8</v>
      </c>
      <c r="M5588" s="23" t="s">
        <v>8</v>
      </c>
    </row>
    <row r="5589" spans="1:13" s="21" customFormat="1" x14ac:dyDescent="0.25">
      <c r="A5589" s="22" t="s">
        <v>8</v>
      </c>
      <c r="B5589" s="18" t="str">
        <f>"205149"</f>
        <v>205149</v>
      </c>
      <c r="C5589" s="19" t="s">
        <v>5513</v>
      </c>
      <c r="D5589" s="19" t="s">
        <v>21015</v>
      </c>
      <c r="E5589" s="19" t="s">
        <v>32920</v>
      </c>
      <c r="F5589" s="19" t="s">
        <v>35993</v>
      </c>
      <c r="G5589" s="18" t="str">
        <f>"04462"</f>
        <v>04462</v>
      </c>
      <c r="H5589" s="19" t="s">
        <v>36396</v>
      </c>
      <c r="I5589" s="20">
        <v>19.469000000000001</v>
      </c>
      <c r="J5589" s="44" t="s">
        <v>8</v>
      </c>
      <c r="K5589" s="23" t="s">
        <v>8</v>
      </c>
      <c r="L5589" s="23" t="s">
        <v>8</v>
      </c>
      <c r="M5589" s="23" t="s">
        <v>8</v>
      </c>
    </row>
    <row r="5590" spans="1:13" s="21" customFormat="1" x14ac:dyDescent="0.25">
      <c r="A5590" s="22" t="s">
        <v>8</v>
      </c>
      <c r="B5590" s="18" t="str">
        <f>"205151"</f>
        <v>205151</v>
      </c>
      <c r="C5590" s="19" t="s">
        <v>5514</v>
      </c>
      <c r="D5590" s="19" t="s">
        <v>21016</v>
      </c>
      <c r="E5590" s="19" t="s">
        <v>32908</v>
      </c>
      <c r="F5590" s="19" t="s">
        <v>35993</v>
      </c>
      <c r="G5590" s="18" t="str">
        <f>"04736"</f>
        <v>04736</v>
      </c>
      <c r="H5590" s="19" t="s">
        <v>36393</v>
      </c>
      <c r="I5590" s="20">
        <v>19.184999999999999</v>
      </c>
      <c r="J5590" s="44" t="s">
        <v>8</v>
      </c>
      <c r="K5590" s="23" t="s">
        <v>8</v>
      </c>
      <c r="L5590" s="23" t="s">
        <v>8</v>
      </c>
      <c r="M5590" s="23" t="s">
        <v>8</v>
      </c>
    </row>
    <row r="5591" spans="1:13" s="21" customFormat="1" x14ac:dyDescent="0.25">
      <c r="A5591" s="22" t="s">
        <v>8</v>
      </c>
      <c r="B5591" s="18" t="str">
        <f>"205154"</f>
        <v>205154</v>
      </c>
      <c r="C5591" s="19" t="s">
        <v>5515</v>
      </c>
      <c r="D5591" s="19" t="s">
        <v>21017</v>
      </c>
      <c r="E5591" s="19" t="s">
        <v>32883</v>
      </c>
      <c r="F5591" s="19" t="s">
        <v>35993</v>
      </c>
      <c r="G5591" s="18" t="str">
        <f>"04976"</f>
        <v>04976</v>
      </c>
      <c r="H5591" s="19" t="s">
        <v>32705</v>
      </c>
      <c r="I5591" s="20">
        <v>18.77</v>
      </c>
      <c r="J5591" s="44" t="s">
        <v>8</v>
      </c>
      <c r="K5591" s="23" t="s">
        <v>8</v>
      </c>
      <c r="L5591" s="23" t="s">
        <v>8</v>
      </c>
      <c r="M5591" s="23" t="s">
        <v>8</v>
      </c>
    </row>
    <row r="5592" spans="1:13" s="21" customFormat="1" x14ac:dyDescent="0.25">
      <c r="A5592" s="22" t="s">
        <v>8</v>
      </c>
      <c r="B5592" s="18" t="str">
        <f>"205157"</f>
        <v>205157</v>
      </c>
      <c r="C5592" s="19" t="s">
        <v>2754</v>
      </c>
      <c r="D5592" s="19" t="s">
        <v>21018</v>
      </c>
      <c r="E5592" s="19" t="s">
        <v>32894</v>
      </c>
      <c r="F5592" s="19" t="s">
        <v>35993</v>
      </c>
      <c r="G5592" s="18" t="str">
        <f>"04096"</f>
        <v>04096</v>
      </c>
      <c r="H5592" s="19" t="s">
        <v>32766</v>
      </c>
      <c r="I5592" s="20">
        <v>18.922999999999998</v>
      </c>
      <c r="J5592" s="44" t="s">
        <v>8</v>
      </c>
      <c r="K5592" s="23" t="s">
        <v>8</v>
      </c>
      <c r="L5592" s="23" t="s">
        <v>8</v>
      </c>
      <c r="M5592" s="23" t="s">
        <v>8</v>
      </c>
    </row>
    <row r="5593" spans="1:13" s="21" customFormat="1" x14ac:dyDescent="0.25">
      <c r="A5593" s="22" t="s">
        <v>8</v>
      </c>
      <c r="B5593" s="18" t="str">
        <f>"205158"</f>
        <v>205158</v>
      </c>
      <c r="C5593" s="19" t="s">
        <v>5516</v>
      </c>
      <c r="D5593" s="19" t="s">
        <v>21019</v>
      </c>
      <c r="E5593" s="19" t="s">
        <v>32921</v>
      </c>
      <c r="F5593" s="19" t="s">
        <v>35993</v>
      </c>
      <c r="G5593" s="18" t="str">
        <f>"04538"</f>
        <v>04538</v>
      </c>
      <c r="H5593" s="19" t="s">
        <v>31995</v>
      </c>
      <c r="I5593" s="20">
        <v>20.231999999999999</v>
      </c>
      <c r="J5593" s="44" t="s">
        <v>8</v>
      </c>
      <c r="K5593" s="23" t="s">
        <v>8</v>
      </c>
      <c r="L5593" s="23" t="s">
        <v>8</v>
      </c>
      <c r="M5593" s="23" t="s">
        <v>8</v>
      </c>
    </row>
    <row r="5594" spans="1:13" s="21" customFormat="1" x14ac:dyDescent="0.25">
      <c r="A5594" s="22" t="s">
        <v>8</v>
      </c>
      <c r="B5594" s="18" t="str">
        <f>"205159"</f>
        <v>205159</v>
      </c>
      <c r="C5594" s="19" t="s">
        <v>5517</v>
      </c>
      <c r="D5594" s="19" t="s">
        <v>21020</v>
      </c>
      <c r="E5594" s="19" t="s">
        <v>32905</v>
      </c>
      <c r="F5594" s="19" t="s">
        <v>35993</v>
      </c>
      <c r="G5594" s="18" t="str">
        <f>"04105"</f>
        <v>04105</v>
      </c>
      <c r="H5594" s="19" t="s">
        <v>32766</v>
      </c>
      <c r="I5594" s="20">
        <v>21.395</v>
      </c>
      <c r="J5594" s="44" t="s">
        <v>8</v>
      </c>
      <c r="K5594" s="23" t="s">
        <v>8</v>
      </c>
      <c r="L5594" s="23" t="s">
        <v>8</v>
      </c>
      <c r="M5594" s="23" t="s">
        <v>8</v>
      </c>
    </row>
    <row r="5595" spans="1:13" s="21" customFormat="1" x14ac:dyDescent="0.25">
      <c r="A5595" s="22" t="s">
        <v>8</v>
      </c>
      <c r="B5595" s="18" t="str">
        <f>"205162"</f>
        <v>205162</v>
      </c>
      <c r="C5595" s="19" t="s">
        <v>5518</v>
      </c>
      <c r="D5595" s="19" t="s">
        <v>21021</v>
      </c>
      <c r="E5595" s="19" t="s">
        <v>32901</v>
      </c>
      <c r="F5595" s="19" t="s">
        <v>35993</v>
      </c>
      <c r="G5595" s="18" t="str">
        <f>"04072"</f>
        <v>04072</v>
      </c>
      <c r="H5595" s="19" t="s">
        <v>30834</v>
      </c>
      <c r="I5595" s="20">
        <v>23.988</v>
      </c>
      <c r="J5595" s="44" t="s">
        <v>8</v>
      </c>
      <c r="K5595" s="23" t="s">
        <v>8</v>
      </c>
      <c r="L5595" s="23" t="s">
        <v>8</v>
      </c>
      <c r="M5595" s="23" t="s">
        <v>8</v>
      </c>
    </row>
    <row r="5596" spans="1:13" s="21" customFormat="1" x14ac:dyDescent="0.25">
      <c r="A5596" s="22" t="s">
        <v>8</v>
      </c>
      <c r="B5596" s="18" t="str">
        <f>"205163"</f>
        <v>205163</v>
      </c>
      <c r="C5596" s="19" t="s">
        <v>5519</v>
      </c>
      <c r="D5596" s="19" t="s">
        <v>21022</v>
      </c>
      <c r="E5596" s="19" t="s">
        <v>31794</v>
      </c>
      <c r="F5596" s="19" t="s">
        <v>35993</v>
      </c>
      <c r="G5596" s="18" t="str">
        <f>"04011"</f>
        <v>04011</v>
      </c>
      <c r="H5596" s="19" t="s">
        <v>32766</v>
      </c>
      <c r="I5596" s="20">
        <v>17.975000000000001</v>
      </c>
      <c r="J5596" s="44" t="s">
        <v>8</v>
      </c>
      <c r="K5596" s="23" t="s">
        <v>8</v>
      </c>
      <c r="L5596" s="23" t="s">
        <v>8</v>
      </c>
      <c r="M5596" s="23" t="s">
        <v>8</v>
      </c>
    </row>
    <row r="5597" spans="1:13" s="21" customFormat="1" x14ac:dyDescent="0.25">
      <c r="A5597" s="22" t="s">
        <v>8</v>
      </c>
      <c r="B5597" s="18" t="str">
        <f>"205165"</f>
        <v>205165</v>
      </c>
      <c r="C5597" s="19" t="s">
        <v>5520</v>
      </c>
      <c r="D5597" s="19" t="s">
        <v>21023</v>
      </c>
      <c r="E5597" s="19" t="s">
        <v>32922</v>
      </c>
      <c r="F5597" s="19" t="s">
        <v>35993</v>
      </c>
      <c r="G5597" s="18" t="str">
        <f>"04920"</f>
        <v>04920</v>
      </c>
      <c r="H5597" s="19" t="s">
        <v>32705</v>
      </c>
      <c r="I5597" s="20">
        <v>17.437000000000001</v>
      </c>
      <c r="J5597" s="44" t="s">
        <v>8</v>
      </c>
      <c r="K5597" s="23" t="s">
        <v>8</v>
      </c>
      <c r="L5597" s="23" t="s">
        <v>8</v>
      </c>
      <c r="M5597" s="23" t="s">
        <v>8</v>
      </c>
    </row>
    <row r="5598" spans="1:13" s="21" customFormat="1" x14ac:dyDescent="0.25">
      <c r="A5598" s="22" t="s">
        <v>8</v>
      </c>
      <c r="B5598" s="18" t="str">
        <f>"205166"</f>
        <v>205166</v>
      </c>
      <c r="C5598" s="19" t="s">
        <v>5521</v>
      </c>
      <c r="D5598" s="19" t="s">
        <v>21024</v>
      </c>
      <c r="E5598" s="19" t="s">
        <v>32923</v>
      </c>
      <c r="F5598" s="19" t="s">
        <v>35993</v>
      </c>
      <c r="G5598" s="18" t="str">
        <f>"04038"</f>
        <v>04038</v>
      </c>
      <c r="H5598" s="19" t="s">
        <v>32766</v>
      </c>
      <c r="I5598" s="20">
        <v>17.786999999999999</v>
      </c>
      <c r="J5598" s="44" t="s">
        <v>8</v>
      </c>
      <c r="K5598" s="23" t="s">
        <v>8</v>
      </c>
      <c r="L5598" s="23" t="s">
        <v>8</v>
      </c>
      <c r="M5598" s="23" t="s">
        <v>8</v>
      </c>
    </row>
    <row r="5599" spans="1:13" s="21" customFormat="1" x14ac:dyDescent="0.25">
      <c r="A5599" s="22" t="s">
        <v>8</v>
      </c>
      <c r="B5599" s="18" t="str">
        <f>"205168"</f>
        <v>205168</v>
      </c>
      <c r="C5599" s="19" t="s">
        <v>5522</v>
      </c>
      <c r="D5599" s="19" t="s">
        <v>21025</v>
      </c>
      <c r="E5599" s="19" t="s">
        <v>31445</v>
      </c>
      <c r="F5599" s="19" t="s">
        <v>35993</v>
      </c>
      <c r="G5599" s="18" t="str">
        <f>"04938"</f>
        <v>04938</v>
      </c>
      <c r="H5599" s="19" t="s">
        <v>5</v>
      </c>
      <c r="I5599" s="20">
        <v>18.98</v>
      </c>
      <c r="J5599" s="44" t="s">
        <v>8</v>
      </c>
      <c r="K5599" s="23" t="s">
        <v>8</v>
      </c>
      <c r="L5599" s="23" t="s">
        <v>8</v>
      </c>
      <c r="M5599" s="23" t="s">
        <v>8</v>
      </c>
    </row>
    <row r="5600" spans="1:13" s="21" customFormat="1" x14ac:dyDescent="0.25">
      <c r="A5600" s="22" t="s">
        <v>8</v>
      </c>
      <c r="B5600" s="18" t="str">
        <f>"205169"</f>
        <v>205169</v>
      </c>
      <c r="C5600" s="19" t="s">
        <v>5523</v>
      </c>
      <c r="D5600" s="19" t="s">
        <v>21026</v>
      </c>
      <c r="E5600" s="19" t="s">
        <v>32916</v>
      </c>
      <c r="F5600" s="19" t="s">
        <v>35993</v>
      </c>
      <c r="G5600" s="18" t="str">
        <f>"04364"</f>
        <v>04364</v>
      </c>
      <c r="H5600" s="19" t="s">
        <v>36397</v>
      </c>
      <c r="I5600" s="20">
        <v>19.167000000000002</v>
      </c>
      <c r="J5600" s="44" t="s">
        <v>8</v>
      </c>
      <c r="K5600" s="23" t="s">
        <v>8</v>
      </c>
      <c r="L5600" s="23" t="s">
        <v>8</v>
      </c>
      <c r="M5600" s="23" t="s">
        <v>8</v>
      </c>
    </row>
    <row r="5601" spans="1:13" s="21" customFormat="1" x14ac:dyDescent="0.25">
      <c r="A5601" s="22" t="s">
        <v>8</v>
      </c>
      <c r="B5601" s="18" t="str">
        <f>"205172"</f>
        <v>205172</v>
      </c>
      <c r="C5601" s="19" t="s">
        <v>5524</v>
      </c>
      <c r="D5601" s="19" t="s">
        <v>21027</v>
      </c>
      <c r="E5601" s="19" t="s">
        <v>32924</v>
      </c>
      <c r="F5601" s="19" t="s">
        <v>35993</v>
      </c>
      <c r="G5601" s="18" t="str">
        <f>"04649"</f>
        <v>04649</v>
      </c>
      <c r="H5601" s="19" t="s">
        <v>31500</v>
      </c>
      <c r="I5601" s="20">
        <v>22.408000000000001</v>
      </c>
      <c r="J5601" s="44" t="s">
        <v>8</v>
      </c>
      <c r="K5601" s="23" t="s">
        <v>8</v>
      </c>
      <c r="L5601" s="23" t="s">
        <v>8</v>
      </c>
      <c r="M5601" s="23" t="s">
        <v>8</v>
      </c>
    </row>
    <row r="5602" spans="1:13" s="21" customFormat="1" x14ac:dyDescent="0.25">
      <c r="A5602" s="22" t="s">
        <v>8</v>
      </c>
      <c r="B5602" s="18" t="str">
        <f>"205174"</f>
        <v>205174</v>
      </c>
      <c r="C5602" s="19" t="s">
        <v>5525</v>
      </c>
      <c r="D5602" s="19" t="s">
        <v>21028</v>
      </c>
      <c r="E5602" s="19" t="s">
        <v>32925</v>
      </c>
      <c r="F5602" s="19" t="s">
        <v>35993</v>
      </c>
      <c r="G5602" s="18" t="str">
        <f>"04943"</f>
        <v>04943</v>
      </c>
      <c r="H5602" s="19" t="s">
        <v>32705</v>
      </c>
      <c r="I5602" s="20">
        <v>17.234999999999999</v>
      </c>
      <c r="J5602" s="44" t="s">
        <v>8</v>
      </c>
      <c r="K5602" s="23" t="s">
        <v>8</v>
      </c>
      <c r="L5602" s="23" t="s">
        <v>8</v>
      </c>
      <c r="M5602" s="23" t="s">
        <v>8</v>
      </c>
    </row>
    <row r="5603" spans="1:13" s="21" customFormat="1" x14ac:dyDescent="0.25">
      <c r="A5603" s="22" t="s">
        <v>8</v>
      </c>
      <c r="B5603" s="18" t="str">
        <f>"205176"</f>
        <v>205176</v>
      </c>
      <c r="C5603" s="19" t="s">
        <v>5526</v>
      </c>
      <c r="D5603" s="19" t="s">
        <v>21029</v>
      </c>
      <c r="E5603" s="19" t="s">
        <v>32878</v>
      </c>
      <c r="F5603" s="19" t="s">
        <v>35993</v>
      </c>
      <c r="G5603" s="18" t="str">
        <f>"04743"</f>
        <v>04743</v>
      </c>
      <c r="H5603" s="19" t="s">
        <v>36393</v>
      </c>
      <c r="I5603" s="20">
        <v>16.891999999999999</v>
      </c>
      <c r="J5603" s="44" t="s">
        <v>8</v>
      </c>
      <c r="K5603" s="23" t="s">
        <v>8</v>
      </c>
      <c r="L5603" s="23" t="s">
        <v>8</v>
      </c>
      <c r="M5603" s="23" t="s">
        <v>8</v>
      </c>
    </row>
    <row r="5604" spans="1:13" s="21" customFormat="1" x14ac:dyDescent="0.25">
      <c r="A5604" s="22" t="s">
        <v>8</v>
      </c>
      <c r="B5604" s="18" t="str">
        <f>"205180"</f>
        <v>205180</v>
      </c>
      <c r="C5604" s="19" t="s">
        <v>5527</v>
      </c>
      <c r="D5604" s="19" t="s">
        <v>21030</v>
      </c>
      <c r="E5604" s="19" t="s">
        <v>30910</v>
      </c>
      <c r="F5604" s="19" t="s">
        <v>35993</v>
      </c>
      <c r="G5604" s="18" t="str">
        <f>"04843"</f>
        <v>04843</v>
      </c>
      <c r="H5604" s="19" t="s">
        <v>32252</v>
      </c>
      <c r="I5604" s="20">
        <v>15.587</v>
      </c>
      <c r="J5604" s="44" t="s">
        <v>8</v>
      </c>
      <c r="K5604" s="23" t="s">
        <v>8</v>
      </c>
      <c r="L5604" s="23" t="s">
        <v>8</v>
      </c>
      <c r="M5604" s="23" t="s">
        <v>8</v>
      </c>
    </row>
    <row r="5605" spans="1:13" s="21" customFormat="1" x14ac:dyDescent="0.25">
      <c r="A5605" s="22" t="s">
        <v>8</v>
      </c>
      <c r="B5605" s="18" t="str">
        <f>"205181"</f>
        <v>205181</v>
      </c>
      <c r="C5605" s="19" t="s">
        <v>5528</v>
      </c>
      <c r="D5605" s="19" t="s">
        <v>21031</v>
      </c>
      <c r="E5605" s="19" t="s">
        <v>32926</v>
      </c>
      <c r="F5605" s="19" t="s">
        <v>35993</v>
      </c>
      <c r="G5605" s="18" t="str">
        <f>"04765"</f>
        <v>04765</v>
      </c>
      <c r="H5605" s="19" t="s">
        <v>36396</v>
      </c>
      <c r="I5605" s="20">
        <v>19.388000000000002</v>
      </c>
      <c r="J5605" s="44" t="s">
        <v>8</v>
      </c>
      <c r="K5605" s="23" t="s">
        <v>8</v>
      </c>
      <c r="L5605" s="23" t="s">
        <v>8</v>
      </c>
      <c r="M5605" s="23" t="s">
        <v>8</v>
      </c>
    </row>
    <row r="5606" spans="1:13" s="21" customFormat="1" x14ac:dyDescent="0.25">
      <c r="A5606" s="22" t="s">
        <v>8</v>
      </c>
      <c r="B5606" s="18" t="str">
        <f>"205184"</f>
        <v>205184</v>
      </c>
      <c r="C5606" s="19" t="s">
        <v>5529</v>
      </c>
      <c r="D5606" s="19" t="s">
        <v>21032</v>
      </c>
      <c r="E5606" s="19" t="s">
        <v>32892</v>
      </c>
      <c r="F5606" s="19" t="s">
        <v>35993</v>
      </c>
      <c r="G5606" s="18" t="str">
        <f>"04281"</f>
        <v>04281</v>
      </c>
      <c r="H5606" s="19" t="s">
        <v>30861</v>
      </c>
      <c r="I5606" s="20">
        <v>17.312999999999999</v>
      </c>
      <c r="J5606" s="44" t="s">
        <v>8</v>
      </c>
      <c r="K5606" s="23" t="s">
        <v>8</v>
      </c>
      <c r="L5606" s="23" t="s">
        <v>8</v>
      </c>
      <c r="M5606" s="23" t="s">
        <v>8</v>
      </c>
    </row>
    <row r="5607" spans="1:13" s="21" customFormat="1" x14ac:dyDescent="0.25">
      <c r="A5607" s="22" t="s">
        <v>8</v>
      </c>
      <c r="B5607" s="18" t="str">
        <f>"205185"</f>
        <v>205185</v>
      </c>
      <c r="C5607" s="19" t="s">
        <v>5530</v>
      </c>
      <c r="D5607" s="19" t="s">
        <v>21033</v>
      </c>
      <c r="E5607" s="19" t="s">
        <v>32881</v>
      </c>
      <c r="F5607" s="19" t="s">
        <v>35993</v>
      </c>
      <c r="G5607" s="18" t="str">
        <f>"04401"</f>
        <v>04401</v>
      </c>
      <c r="H5607" s="19" t="s">
        <v>36396</v>
      </c>
      <c r="I5607" s="20">
        <v>17.998999999999999</v>
      </c>
      <c r="J5607" s="44" t="s">
        <v>8</v>
      </c>
      <c r="K5607" s="23" t="s">
        <v>8</v>
      </c>
      <c r="L5607" s="23" t="s">
        <v>8</v>
      </c>
      <c r="M5607" s="23" t="s">
        <v>8</v>
      </c>
    </row>
    <row r="5608" spans="1:13" s="21" customFormat="1" x14ac:dyDescent="0.25">
      <c r="A5608" s="22" t="s">
        <v>8</v>
      </c>
      <c r="B5608" s="18" t="str">
        <f>"205187"</f>
        <v>205187</v>
      </c>
      <c r="C5608" s="19" t="s">
        <v>5531</v>
      </c>
      <c r="D5608" s="19" t="s">
        <v>21034</v>
      </c>
      <c r="E5608" s="19" t="s">
        <v>32889</v>
      </c>
      <c r="F5608" s="19" t="s">
        <v>35993</v>
      </c>
      <c r="G5608" s="18" t="str">
        <f>"04074"</f>
        <v>04074</v>
      </c>
      <c r="H5608" s="19" t="s">
        <v>32766</v>
      </c>
      <c r="I5608" s="20">
        <v>19.288</v>
      </c>
      <c r="J5608" s="44" t="s">
        <v>8</v>
      </c>
      <c r="K5608" s="23" t="s">
        <v>8</v>
      </c>
      <c r="L5608" s="23" t="s">
        <v>8</v>
      </c>
      <c r="M5608" s="23" t="s">
        <v>8</v>
      </c>
    </row>
    <row r="5609" spans="1:13" s="21" customFormat="1" x14ac:dyDescent="0.25">
      <c r="A5609" s="22" t="s">
        <v>8</v>
      </c>
      <c r="B5609" s="18" t="str">
        <f>"215001"</f>
        <v>215001</v>
      </c>
      <c r="C5609" s="19" t="s">
        <v>5532</v>
      </c>
      <c r="D5609" s="19" t="s">
        <v>21035</v>
      </c>
      <c r="E5609" s="19" t="s">
        <v>32927</v>
      </c>
      <c r="F5609" s="19" t="s">
        <v>35994</v>
      </c>
      <c r="G5609" s="18" t="str">
        <f>"21701"</f>
        <v>21701</v>
      </c>
      <c r="H5609" s="19" t="s">
        <v>32927</v>
      </c>
      <c r="I5609" s="20">
        <v>19.808</v>
      </c>
      <c r="J5609" s="44" t="s">
        <v>8</v>
      </c>
      <c r="K5609" s="23" t="s">
        <v>8</v>
      </c>
      <c r="L5609" s="23" t="s">
        <v>8</v>
      </c>
      <c r="M5609" s="23" t="s">
        <v>8</v>
      </c>
    </row>
    <row r="5610" spans="1:13" s="21" customFormat="1" x14ac:dyDescent="0.25">
      <c r="A5610" s="22" t="s">
        <v>8</v>
      </c>
      <c r="B5610" s="18" t="str">
        <f>"215005"</f>
        <v>215005</v>
      </c>
      <c r="C5610" s="19" t="s">
        <v>5533</v>
      </c>
      <c r="D5610" s="19" t="s">
        <v>21036</v>
      </c>
      <c r="E5610" s="19" t="s">
        <v>32928</v>
      </c>
      <c r="F5610" s="19" t="s">
        <v>35994</v>
      </c>
      <c r="G5610" s="18" t="str">
        <f>"21403"</f>
        <v>21403</v>
      </c>
      <c r="H5610" s="19" t="s">
        <v>36400</v>
      </c>
      <c r="I5610" s="20">
        <v>19.074000000000002</v>
      </c>
      <c r="J5610" s="44" t="s">
        <v>8</v>
      </c>
      <c r="K5610" s="23" t="s">
        <v>8</v>
      </c>
      <c r="L5610" s="23" t="s">
        <v>8</v>
      </c>
      <c r="M5610" s="23" t="s">
        <v>8</v>
      </c>
    </row>
    <row r="5611" spans="1:13" s="21" customFormat="1" x14ac:dyDescent="0.25">
      <c r="A5611" s="22" t="s">
        <v>8</v>
      </c>
      <c r="B5611" s="18" t="str">
        <f>"215007"</f>
        <v>215007</v>
      </c>
      <c r="C5611" s="19" t="s">
        <v>5534</v>
      </c>
      <c r="D5611" s="19" t="s">
        <v>21037</v>
      </c>
      <c r="E5611" s="19" t="s">
        <v>31440</v>
      </c>
      <c r="F5611" s="19" t="s">
        <v>35994</v>
      </c>
      <c r="G5611" s="18" t="str">
        <f>"21802"</f>
        <v>21802</v>
      </c>
      <c r="H5611" s="19" t="s">
        <v>36401</v>
      </c>
      <c r="I5611" s="20">
        <v>17.675000000000001</v>
      </c>
      <c r="J5611" s="44" t="s">
        <v>8</v>
      </c>
      <c r="K5611" s="23" t="s">
        <v>8</v>
      </c>
      <c r="L5611" s="23" t="s">
        <v>8</v>
      </c>
      <c r="M5611" s="23" t="s">
        <v>8</v>
      </c>
    </row>
    <row r="5612" spans="1:13" s="21" customFormat="1" x14ac:dyDescent="0.25">
      <c r="A5612" s="22" t="s">
        <v>8</v>
      </c>
      <c r="B5612" s="18" t="str">
        <f>"215010"</f>
        <v>215010</v>
      </c>
      <c r="C5612" s="19" t="s">
        <v>5535</v>
      </c>
      <c r="D5612" s="19" t="s">
        <v>21038</v>
      </c>
      <c r="E5612" s="19" t="s">
        <v>32639</v>
      </c>
      <c r="F5612" s="19" t="s">
        <v>35994</v>
      </c>
      <c r="G5612" s="18" t="str">
        <f>"21601"</f>
        <v>21601</v>
      </c>
      <c r="H5612" s="19" t="s">
        <v>36402</v>
      </c>
      <c r="I5612" s="20">
        <v>18.326000000000001</v>
      </c>
      <c r="J5612" s="44" t="s">
        <v>8</v>
      </c>
      <c r="K5612" s="23" t="s">
        <v>8</v>
      </c>
      <c r="L5612" s="23" t="s">
        <v>8</v>
      </c>
      <c r="M5612" s="23" t="s">
        <v>8</v>
      </c>
    </row>
    <row r="5613" spans="1:13" s="21" customFormat="1" x14ac:dyDescent="0.25">
      <c r="A5613" s="22" t="s">
        <v>8</v>
      </c>
      <c r="B5613" s="18" t="str">
        <f>"215013"</f>
        <v>215013</v>
      </c>
      <c r="C5613" s="19" t="s">
        <v>5536</v>
      </c>
      <c r="D5613" s="19" t="s">
        <v>21039</v>
      </c>
      <c r="E5613" s="19" t="s">
        <v>32929</v>
      </c>
      <c r="F5613" s="19" t="s">
        <v>35994</v>
      </c>
      <c r="G5613" s="18" t="str">
        <f>"20650"</f>
        <v>20650</v>
      </c>
      <c r="H5613" s="19" t="s">
        <v>31847</v>
      </c>
      <c r="I5613" s="20">
        <v>17.233000000000001</v>
      </c>
      <c r="J5613" s="44" t="s">
        <v>8</v>
      </c>
      <c r="K5613" s="23" t="s">
        <v>8</v>
      </c>
      <c r="L5613" s="23" t="s">
        <v>8</v>
      </c>
      <c r="M5613" s="23" t="s">
        <v>8</v>
      </c>
    </row>
    <row r="5614" spans="1:13" s="21" customFormat="1" x14ac:dyDescent="0.25">
      <c r="A5614" s="22" t="s">
        <v>8</v>
      </c>
      <c r="B5614" s="18" t="str">
        <f>"215014"</f>
        <v>215014</v>
      </c>
      <c r="C5614" s="19" t="s">
        <v>5537</v>
      </c>
      <c r="D5614" s="19" t="s">
        <v>21040</v>
      </c>
      <c r="E5614" s="19" t="s">
        <v>15103</v>
      </c>
      <c r="F5614" s="19" t="s">
        <v>35994</v>
      </c>
      <c r="G5614" s="18" t="str">
        <f>"20902"</f>
        <v>20902</v>
      </c>
      <c r="H5614" s="19" t="s">
        <v>30833</v>
      </c>
      <c r="I5614" s="20">
        <v>16.158999999999999</v>
      </c>
      <c r="J5614" s="44" t="s">
        <v>8</v>
      </c>
      <c r="K5614" s="23" t="s">
        <v>8</v>
      </c>
      <c r="L5614" s="23" t="s">
        <v>8</v>
      </c>
      <c r="M5614" s="23" t="s">
        <v>8</v>
      </c>
    </row>
    <row r="5615" spans="1:13" s="21" customFormat="1" x14ac:dyDescent="0.25">
      <c r="A5615" s="22" t="s">
        <v>8</v>
      </c>
      <c r="B5615" s="18" t="str">
        <f>"215015"</f>
        <v>215015</v>
      </c>
      <c r="C5615" s="19" t="s">
        <v>5538</v>
      </c>
      <c r="D5615" s="19" t="s">
        <v>21041</v>
      </c>
      <c r="E5615" s="19" t="s">
        <v>15103</v>
      </c>
      <c r="F5615" s="19" t="s">
        <v>35994</v>
      </c>
      <c r="G5615" s="18" t="str">
        <f>"20904"</f>
        <v>20904</v>
      </c>
      <c r="H5615" s="19" t="s">
        <v>30833</v>
      </c>
      <c r="I5615" s="20">
        <v>20.641999999999999</v>
      </c>
      <c r="J5615" s="44" t="s">
        <v>8</v>
      </c>
      <c r="K5615" s="23" t="s">
        <v>8</v>
      </c>
      <c r="L5615" s="23" t="s">
        <v>8</v>
      </c>
      <c r="M5615" s="23" t="s">
        <v>8</v>
      </c>
    </row>
    <row r="5616" spans="1:13" s="21" customFormat="1" x14ac:dyDescent="0.25">
      <c r="A5616" s="22" t="s">
        <v>8</v>
      </c>
      <c r="B5616" s="18" t="str">
        <f>"215017"</f>
        <v>215017</v>
      </c>
      <c r="C5616" s="19" t="s">
        <v>5539</v>
      </c>
      <c r="D5616" s="19" t="s">
        <v>21042</v>
      </c>
      <c r="E5616" s="19" t="s">
        <v>31394</v>
      </c>
      <c r="F5616" s="19" t="s">
        <v>35994</v>
      </c>
      <c r="G5616" s="18" t="str">
        <f>"21102"</f>
        <v>21102</v>
      </c>
      <c r="H5616" s="19" t="s">
        <v>32334</v>
      </c>
      <c r="I5616" s="20">
        <v>18.195</v>
      </c>
      <c r="J5616" s="44" t="s">
        <v>8</v>
      </c>
      <c r="K5616" s="23" t="s">
        <v>8</v>
      </c>
      <c r="L5616" s="23" t="s">
        <v>8</v>
      </c>
      <c r="M5616" s="23" t="s">
        <v>8</v>
      </c>
    </row>
    <row r="5617" spans="1:13" s="21" customFormat="1" x14ac:dyDescent="0.25">
      <c r="A5617" s="22" t="s">
        <v>8</v>
      </c>
      <c r="B5617" s="18" t="str">
        <f>"215020"</f>
        <v>215020</v>
      </c>
      <c r="C5617" s="19" t="s">
        <v>5540</v>
      </c>
      <c r="D5617" s="19" t="s">
        <v>21043</v>
      </c>
      <c r="E5617" s="19" t="s">
        <v>31424</v>
      </c>
      <c r="F5617" s="19" t="s">
        <v>35994</v>
      </c>
      <c r="G5617" s="18" t="str">
        <f>"20747"</f>
        <v>20747</v>
      </c>
      <c r="H5617" s="19" t="s">
        <v>36403</v>
      </c>
      <c r="I5617" s="20">
        <v>17.797999999999998</v>
      </c>
      <c r="J5617" s="44" t="s">
        <v>8</v>
      </c>
      <c r="K5617" s="23" t="s">
        <v>8</v>
      </c>
      <c r="L5617" s="23" t="s">
        <v>8</v>
      </c>
      <c r="M5617" s="23" t="s">
        <v>8</v>
      </c>
    </row>
    <row r="5618" spans="1:13" s="21" customFormat="1" x14ac:dyDescent="0.25">
      <c r="A5618" s="22" t="s">
        <v>8</v>
      </c>
      <c r="B5618" s="18" t="str">
        <f>"215022"</f>
        <v>215022</v>
      </c>
      <c r="C5618" s="19" t="s">
        <v>5541</v>
      </c>
      <c r="D5618" s="19" t="s">
        <v>21044</v>
      </c>
      <c r="E5618" s="19" t="s">
        <v>32930</v>
      </c>
      <c r="F5618" s="19" t="s">
        <v>35994</v>
      </c>
      <c r="G5618" s="18" t="str">
        <f>"21208"</f>
        <v>21208</v>
      </c>
      <c r="H5618" s="19" t="s">
        <v>32930</v>
      </c>
      <c r="I5618" s="20">
        <v>20.783000000000001</v>
      </c>
      <c r="J5618" s="44" t="s">
        <v>8</v>
      </c>
      <c r="K5618" s="23" t="s">
        <v>8</v>
      </c>
      <c r="L5618" s="23" t="s">
        <v>8</v>
      </c>
      <c r="M5618" s="23" t="s">
        <v>8</v>
      </c>
    </row>
    <row r="5619" spans="1:13" s="21" customFormat="1" x14ac:dyDescent="0.25">
      <c r="A5619" s="22" t="s">
        <v>8</v>
      </c>
      <c r="B5619" s="18" t="str">
        <f>"215024"</f>
        <v>215024</v>
      </c>
      <c r="C5619" s="19" t="s">
        <v>5542</v>
      </c>
      <c r="D5619" s="19" t="s">
        <v>21045</v>
      </c>
      <c r="E5619" s="19" t="s">
        <v>32931</v>
      </c>
      <c r="F5619" s="19" t="s">
        <v>35994</v>
      </c>
      <c r="G5619" s="18" t="str">
        <f>"20783"</f>
        <v>20783</v>
      </c>
      <c r="H5619" s="19" t="s">
        <v>36403</v>
      </c>
      <c r="I5619" s="20">
        <v>21.056000000000001</v>
      </c>
      <c r="J5619" s="44" t="s">
        <v>8</v>
      </c>
      <c r="K5619" s="23" t="s">
        <v>8</v>
      </c>
      <c r="L5619" s="23" t="s">
        <v>8</v>
      </c>
      <c r="M5619" s="23" t="s">
        <v>8</v>
      </c>
    </row>
    <row r="5620" spans="1:13" s="21" customFormat="1" x14ac:dyDescent="0.25">
      <c r="A5620" s="22" t="s">
        <v>8</v>
      </c>
      <c r="B5620" s="18" t="str">
        <f>"215025"</f>
        <v>215025</v>
      </c>
      <c r="C5620" s="19" t="s">
        <v>5543</v>
      </c>
      <c r="D5620" s="19" t="s">
        <v>21046</v>
      </c>
      <c r="E5620" s="19" t="s">
        <v>31926</v>
      </c>
      <c r="F5620" s="19" t="s">
        <v>35994</v>
      </c>
      <c r="G5620" s="18" t="str">
        <f>"20902"</f>
        <v>20902</v>
      </c>
      <c r="H5620" s="19" t="s">
        <v>30833</v>
      </c>
      <c r="I5620" s="20">
        <v>16.795999999999999</v>
      </c>
      <c r="J5620" s="44" t="s">
        <v>8</v>
      </c>
      <c r="K5620" s="23" t="s">
        <v>8</v>
      </c>
      <c r="L5620" s="23" t="s">
        <v>8</v>
      </c>
      <c r="M5620" s="23" t="s">
        <v>8</v>
      </c>
    </row>
    <row r="5621" spans="1:13" s="21" customFormat="1" x14ac:dyDescent="0.25">
      <c r="A5621" s="22" t="s">
        <v>8</v>
      </c>
      <c r="B5621" s="18" t="str">
        <f>"215026"</f>
        <v>215026</v>
      </c>
      <c r="C5621" s="19" t="s">
        <v>5544</v>
      </c>
      <c r="D5621" s="19" t="s">
        <v>21047</v>
      </c>
      <c r="E5621" s="19" t="s">
        <v>31421</v>
      </c>
      <c r="F5621" s="19" t="s">
        <v>35994</v>
      </c>
      <c r="G5621" s="18" t="str">
        <f>"20850"</f>
        <v>20850</v>
      </c>
      <c r="H5621" s="19" t="s">
        <v>30833</v>
      </c>
      <c r="I5621" s="20">
        <v>17.257000000000001</v>
      </c>
      <c r="J5621" s="44" t="s">
        <v>8</v>
      </c>
      <c r="K5621" s="23" t="s">
        <v>8</v>
      </c>
      <c r="L5621" s="23" t="s">
        <v>8</v>
      </c>
      <c r="M5621" s="23" t="s">
        <v>8</v>
      </c>
    </row>
    <row r="5622" spans="1:13" s="21" customFormat="1" x14ac:dyDescent="0.25">
      <c r="A5622" s="22" t="s">
        <v>8</v>
      </c>
      <c r="B5622" s="18" t="str">
        <f>"215029"</f>
        <v>215029</v>
      </c>
      <c r="C5622" s="19" t="s">
        <v>5545</v>
      </c>
      <c r="D5622" s="19" t="s">
        <v>21048</v>
      </c>
      <c r="E5622" s="19" t="s">
        <v>32932</v>
      </c>
      <c r="F5622" s="19" t="s">
        <v>35994</v>
      </c>
      <c r="G5622" s="18" t="str">
        <f>"20815"</f>
        <v>20815</v>
      </c>
      <c r="H5622" s="19" t="s">
        <v>30833</v>
      </c>
      <c r="I5622" s="20">
        <v>22.228000000000002</v>
      </c>
      <c r="J5622" s="44" t="s">
        <v>8</v>
      </c>
      <c r="K5622" s="23" t="s">
        <v>8</v>
      </c>
      <c r="L5622" s="23" t="s">
        <v>8</v>
      </c>
      <c r="M5622" s="23" t="s">
        <v>8</v>
      </c>
    </row>
    <row r="5623" spans="1:13" s="21" customFormat="1" x14ac:dyDescent="0.25">
      <c r="A5623" s="22" t="s">
        <v>8</v>
      </c>
      <c r="B5623" s="18" t="str">
        <f>"215031"</f>
        <v>215031</v>
      </c>
      <c r="C5623" s="19" t="s">
        <v>5546</v>
      </c>
      <c r="D5623" s="19" t="s">
        <v>21049</v>
      </c>
      <c r="E5623" s="19" t="s">
        <v>32930</v>
      </c>
      <c r="F5623" s="19" t="s">
        <v>35994</v>
      </c>
      <c r="G5623" s="18" t="str">
        <f>"21212"</f>
        <v>21212</v>
      </c>
      <c r="H5623" s="19" t="s">
        <v>36404</v>
      </c>
      <c r="I5623" s="20">
        <v>15.131</v>
      </c>
      <c r="J5623" s="44" t="s">
        <v>8</v>
      </c>
      <c r="K5623" s="23" t="s">
        <v>8</v>
      </c>
      <c r="L5623" s="23" t="s">
        <v>8</v>
      </c>
      <c r="M5623" s="23" t="s">
        <v>8</v>
      </c>
    </row>
    <row r="5624" spans="1:13" s="21" customFormat="1" x14ac:dyDescent="0.25">
      <c r="A5624" s="22" t="s">
        <v>8</v>
      </c>
      <c r="B5624" s="18" t="str">
        <f>"215033"</f>
        <v>215033</v>
      </c>
      <c r="C5624" s="19" t="s">
        <v>5547</v>
      </c>
      <c r="D5624" s="19" t="s">
        <v>21050</v>
      </c>
      <c r="E5624" s="19" t="s">
        <v>32930</v>
      </c>
      <c r="F5624" s="19" t="s">
        <v>35994</v>
      </c>
      <c r="G5624" s="18" t="str">
        <f>"21215"</f>
        <v>21215</v>
      </c>
      <c r="H5624" s="19" t="s">
        <v>36404</v>
      </c>
      <c r="I5624" s="20">
        <v>16.52</v>
      </c>
      <c r="J5624" s="44" t="s">
        <v>8</v>
      </c>
      <c r="K5624" s="23" t="s">
        <v>8</v>
      </c>
      <c r="L5624" s="23" t="s">
        <v>8</v>
      </c>
      <c r="M5624" s="23" t="s">
        <v>8</v>
      </c>
    </row>
    <row r="5625" spans="1:13" s="21" customFormat="1" x14ac:dyDescent="0.25">
      <c r="A5625" s="22" t="s">
        <v>8</v>
      </c>
      <c r="B5625" s="18" t="str">
        <f>"215037"</f>
        <v>215037</v>
      </c>
      <c r="C5625" s="19" t="s">
        <v>5548</v>
      </c>
      <c r="D5625" s="19" t="s">
        <v>21051</v>
      </c>
      <c r="E5625" s="19" t="s">
        <v>32930</v>
      </c>
      <c r="F5625" s="19" t="s">
        <v>35994</v>
      </c>
      <c r="G5625" s="18" t="str">
        <f>"21211"</f>
        <v>21211</v>
      </c>
      <c r="H5625" s="19" t="s">
        <v>36404</v>
      </c>
      <c r="I5625" s="20">
        <v>14.064</v>
      </c>
      <c r="J5625" s="44" t="s">
        <v>8</v>
      </c>
      <c r="K5625" s="23" t="s">
        <v>8</v>
      </c>
      <c r="L5625" s="23" t="s">
        <v>8</v>
      </c>
      <c r="M5625" s="23" t="s">
        <v>8</v>
      </c>
    </row>
    <row r="5626" spans="1:13" s="21" customFormat="1" x14ac:dyDescent="0.25">
      <c r="A5626" s="22" t="s">
        <v>8</v>
      </c>
      <c r="B5626" s="18" t="str">
        <f>"215039"</f>
        <v>215039</v>
      </c>
      <c r="C5626" s="19" t="s">
        <v>5549</v>
      </c>
      <c r="D5626" s="19" t="s">
        <v>21052</v>
      </c>
      <c r="E5626" s="19" t="s">
        <v>32933</v>
      </c>
      <c r="F5626" s="19" t="s">
        <v>35994</v>
      </c>
      <c r="G5626" s="18" t="str">
        <f>"21078"</f>
        <v>21078</v>
      </c>
      <c r="H5626" s="19" t="s">
        <v>36405</v>
      </c>
      <c r="I5626" s="20">
        <v>20.254999999999999</v>
      </c>
      <c r="J5626" s="44" t="s">
        <v>8</v>
      </c>
      <c r="K5626" s="23" t="s">
        <v>8</v>
      </c>
      <c r="L5626" s="23" t="s">
        <v>8</v>
      </c>
      <c r="M5626" s="23" t="s">
        <v>8</v>
      </c>
    </row>
    <row r="5627" spans="1:13" s="21" customFormat="1" x14ac:dyDescent="0.25">
      <c r="A5627" s="22" t="s">
        <v>8</v>
      </c>
      <c r="B5627" s="18" t="str">
        <f>"215043"</f>
        <v>215043</v>
      </c>
      <c r="C5627" s="19" t="s">
        <v>5550</v>
      </c>
      <c r="D5627" s="19" t="s">
        <v>21053</v>
      </c>
      <c r="E5627" s="19" t="s">
        <v>31437</v>
      </c>
      <c r="F5627" s="19" t="s">
        <v>35994</v>
      </c>
      <c r="G5627" s="18" t="str">
        <f>"20895"</f>
        <v>20895</v>
      </c>
      <c r="H5627" s="19" t="s">
        <v>30833</v>
      </c>
      <c r="I5627" s="20">
        <v>20.472000000000001</v>
      </c>
      <c r="J5627" s="44" t="s">
        <v>8</v>
      </c>
      <c r="K5627" s="23" t="s">
        <v>8</v>
      </c>
      <c r="L5627" s="23" t="s">
        <v>8</v>
      </c>
      <c r="M5627" s="23" t="s">
        <v>8</v>
      </c>
    </row>
    <row r="5628" spans="1:13" s="21" customFormat="1" x14ac:dyDescent="0.25">
      <c r="A5628" s="22" t="s">
        <v>8</v>
      </c>
      <c r="B5628" s="18" t="str">
        <f>"215044"</f>
        <v>215044</v>
      </c>
      <c r="C5628" s="19" t="s">
        <v>5551</v>
      </c>
      <c r="D5628" s="19" t="s">
        <v>21054</v>
      </c>
      <c r="E5628" s="19" t="s">
        <v>32930</v>
      </c>
      <c r="F5628" s="19" t="s">
        <v>35994</v>
      </c>
      <c r="G5628" s="18" t="str">
        <f>"21227"</f>
        <v>21227</v>
      </c>
      <c r="H5628" s="19" t="s">
        <v>32930</v>
      </c>
      <c r="I5628" s="20">
        <v>17.75</v>
      </c>
      <c r="J5628" s="44" t="s">
        <v>8</v>
      </c>
      <c r="K5628" s="23" t="s">
        <v>8</v>
      </c>
      <c r="L5628" s="23" t="s">
        <v>8</v>
      </c>
      <c r="M5628" s="23" t="s">
        <v>8</v>
      </c>
    </row>
    <row r="5629" spans="1:13" s="21" customFormat="1" x14ac:dyDescent="0.25">
      <c r="A5629" s="22" t="s">
        <v>8</v>
      </c>
      <c r="B5629" s="18" t="str">
        <f>"215048"</f>
        <v>215048</v>
      </c>
      <c r="C5629" s="19" t="s">
        <v>5552</v>
      </c>
      <c r="D5629" s="19" t="s">
        <v>21055</v>
      </c>
      <c r="E5629" s="19" t="s">
        <v>31926</v>
      </c>
      <c r="F5629" s="19" t="s">
        <v>35994</v>
      </c>
      <c r="G5629" s="18" t="str">
        <f>"20902"</f>
        <v>20902</v>
      </c>
      <c r="H5629" s="19" t="s">
        <v>30833</v>
      </c>
      <c r="I5629" s="20">
        <v>19.696000000000002</v>
      </c>
      <c r="J5629" s="44" t="s">
        <v>8</v>
      </c>
      <c r="K5629" s="23" t="s">
        <v>8</v>
      </c>
      <c r="L5629" s="23" t="s">
        <v>8</v>
      </c>
      <c r="M5629" s="23" t="s">
        <v>8</v>
      </c>
    </row>
    <row r="5630" spans="1:13" s="21" customFormat="1" x14ac:dyDescent="0.25">
      <c r="A5630" s="22" t="s">
        <v>8</v>
      </c>
      <c r="B5630" s="18" t="str">
        <f>"215052"</f>
        <v>215052</v>
      </c>
      <c r="C5630" s="19" t="s">
        <v>5553</v>
      </c>
      <c r="D5630" s="19" t="s">
        <v>21056</v>
      </c>
      <c r="E5630" s="19" t="s">
        <v>15103</v>
      </c>
      <c r="F5630" s="19" t="s">
        <v>35994</v>
      </c>
      <c r="G5630" s="18" t="str">
        <f>"20904"</f>
        <v>20904</v>
      </c>
      <c r="H5630" s="19" t="s">
        <v>30833</v>
      </c>
      <c r="I5630" s="20">
        <v>16.777000000000001</v>
      </c>
      <c r="J5630" s="44" t="s">
        <v>8</v>
      </c>
      <c r="K5630" s="23" t="s">
        <v>8</v>
      </c>
      <c r="L5630" s="23" t="s">
        <v>8</v>
      </c>
      <c r="M5630" s="23" t="s">
        <v>8</v>
      </c>
    </row>
    <row r="5631" spans="1:13" s="21" customFormat="1" x14ac:dyDescent="0.25">
      <c r="A5631" s="22" t="s">
        <v>8</v>
      </c>
      <c r="B5631" s="18" t="str">
        <f>"215054"</f>
        <v>215054</v>
      </c>
      <c r="C5631" s="19" t="s">
        <v>5554</v>
      </c>
      <c r="D5631" s="19" t="s">
        <v>21057</v>
      </c>
      <c r="E5631" s="19" t="s">
        <v>32934</v>
      </c>
      <c r="F5631" s="19" t="s">
        <v>35994</v>
      </c>
      <c r="G5631" s="18" t="str">
        <f>"21286"</f>
        <v>21286</v>
      </c>
      <c r="H5631" s="19" t="s">
        <v>32930</v>
      </c>
      <c r="I5631" s="20">
        <v>15.632999999999999</v>
      </c>
      <c r="J5631" s="44" t="s">
        <v>8</v>
      </c>
      <c r="K5631" s="23" t="s">
        <v>8</v>
      </c>
      <c r="L5631" s="23" t="s">
        <v>8</v>
      </c>
      <c r="M5631" s="23" t="s">
        <v>8</v>
      </c>
    </row>
    <row r="5632" spans="1:13" s="21" customFormat="1" x14ac:dyDescent="0.25">
      <c r="A5632" s="22" t="s">
        <v>8</v>
      </c>
      <c r="B5632" s="18" t="str">
        <f>"215055"</f>
        <v>215055</v>
      </c>
      <c r="C5632" s="19" t="s">
        <v>5555</v>
      </c>
      <c r="D5632" s="19" t="s">
        <v>21058</v>
      </c>
      <c r="E5632" s="19" t="s">
        <v>32766</v>
      </c>
      <c r="F5632" s="19" t="s">
        <v>35994</v>
      </c>
      <c r="G5632" s="18" t="str">
        <f>"21502"</f>
        <v>21502</v>
      </c>
      <c r="H5632" s="19" t="s">
        <v>34178</v>
      </c>
      <c r="I5632" s="20">
        <v>17.373999999999999</v>
      </c>
      <c r="J5632" s="44" t="s">
        <v>8</v>
      </c>
      <c r="K5632" s="23" t="s">
        <v>8</v>
      </c>
      <c r="L5632" s="23" t="s">
        <v>8</v>
      </c>
      <c r="M5632" s="23" t="s">
        <v>8</v>
      </c>
    </row>
    <row r="5633" spans="1:13" s="21" customFormat="1" x14ac:dyDescent="0.25">
      <c r="A5633" s="22" t="s">
        <v>8</v>
      </c>
      <c r="B5633" s="18" t="str">
        <f>"215058"</f>
        <v>215058</v>
      </c>
      <c r="C5633" s="19" t="s">
        <v>5556</v>
      </c>
      <c r="D5633" s="19" t="s">
        <v>21059</v>
      </c>
      <c r="E5633" s="19" t="s">
        <v>32935</v>
      </c>
      <c r="F5633" s="19" t="s">
        <v>35994</v>
      </c>
      <c r="G5633" s="18" t="str">
        <f>"21817"</f>
        <v>21817</v>
      </c>
      <c r="H5633" s="19" t="s">
        <v>32705</v>
      </c>
      <c r="I5633" s="20">
        <v>17.573</v>
      </c>
      <c r="J5633" s="44" t="s">
        <v>8</v>
      </c>
      <c r="K5633" s="23" t="s">
        <v>8</v>
      </c>
      <c r="L5633" s="23" t="s">
        <v>8</v>
      </c>
      <c r="M5633" s="23" t="s">
        <v>8</v>
      </c>
    </row>
    <row r="5634" spans="1:13" s="21" customFormat="1" x14ac:dyDescent="0.25">
      <c r="A5634" s="22" t="s">
        <v>8</v>
      </c>
      <c r="B5634" s="18" t="str">
        <f>"215060"</f>
        <v>215060</v>
      </c>
      <c r="C5634" s="19" t="s">
        <v>5557</v>
      </c>
      <c r="D5634" s="19" t="s">
        <v>21060</v>
      </c>
      <c r="E5634" s="19" t="s">
        <v>15103</v>
      </c>
      <c r="F5634" s="19" t="s">
        <v>35994</v>
      </c>
      <c r="G5634" s="18" t="str">
        <f>"20910"</f>
        <v>20910</v>
      </c>
      <c r="H5634" s="19" t="s">
        <v>30833</v>
      </c>
      <c r="I5634" s="20">
        <v>16.571000000000002</v>
      </c>
      <c r="J5634" s="44" t="s">
        <v>8</v>
      </c>
      <c r="K5634" s="23" t="s">
        <v>8</v>
      </c>
      <c r="L5634" s="23" t="s">
        <v>8</v>
      </c>
      <c r="M5634" s="23" t="s">
        <v>8</v>
      </c>
    </row>
    <row r="5635" spans="1:13" s="21" customFormat="1" x14ac:dyDescent="0.25">
      <c r="A5635" s="22" t="s">
        <v>8</v>
      </c>
      <c r="B5635" s="18" t="str">
        <f>"215064"</f>
        <v>215064</v>
      </c>
      <c r="C5635" s="19" t="s">
        <v>5558</v>
      </c>
      <c r="D5635" s="19" t="s">
        <v>21061</v>
      </c>
      <c r="E5635" s="19" t="s">
        <v>32936</v>
      </c>
      <c r="F5635" s="19" t="s">
        <v>35994</v>
      </c>
      <c r="G5635" s="18" t="str">
        <f>"20783"</f>
        <v>20783</v>
      </c>
      <c r="H5635" s="19" t="s">
        <v>36403</v>
      </c>
      <c r="I5635" s="20">
        <v>18.488</v>
      </c>
      <c r="J5635" s="44" t="s">
        <v>8</v>
      </c>
      <c r="K5635" s="23" t="s">
        <v>8</v>
      </c>
      <c r="L5635" s="23" t="s">
        <v>8</v>
      </c>
      <c r="M5635" s="23" t="s">
        <v>8</v>
      </c>
    </row>
    <row r="5636" spans="1:13" s="21" customFormat="1" x14ac:dyDescent="0.25">
      <c r="A5636" s="22" t="s">
        <v>8</v>
      </c>
      <c r="B5636" s="18" t="str">
        <f>"215065"</f>
        <v>215065</v>
      </c>
      <c r="C5636" s="19" t="s">
        <v>5559</v>
      </c>
      <c r="D5636" s="19" t="s">
        <v>21062</v>
      </c>
      <c r="E5636" s="19" t="s">
        <v>15103</v>
      </c>
      <c r="F5636" s="19" t="s">
        <v>35994</v>
      </c>
      <c r="G5636" s="18" t="str">
        <f>"20906"</f>
        <v>20906</v>
      </c>
      <c r="H5636" s="19" t="s">
        <v>30833</v>
      </c>
      <c r="I5636" s="20">
        <v>17.84</v>
      </c>
      <c r="J5636" s="44" t="s">
        <v>8</v>
      </c>
      <c r="K5636" s="23" t="s">
        <v>8</v>
      </c>
      <c r="L5636" s="23" t="s">
        <v>8</v>
      </c>
      <c r="M5636" s="23" t="s">
        <v>8</v>
      </c>
    </row>
    <row r="5637" spans="1:13" s="21" customFormat="1" x14ac:dyDescent="0.25">
      <c r="A5637" s="22" t="s">
        <v>8</v>
      </c>
      <c r="B5637" s="18" t="str">
        <f>"215067"</f>
        <v>215067</v>
      </c>
      <c r="C5637" s="19" t="s">
        <v>5560</v>
      </c>
      <c r="D5637" s="19" t="s">
        <v>21063</v>
      </c>
      <c r="E5637" s="19" t="s">
        <v>31440</v>
      </c>
      <c r="F5637" s="19" t="s">
        <v>35994</v>
      </c>
      <c r="G5637" s="18" t="str">
        <f>"21804"</f>
        <v>21804</v>
      </c>
      <c r="H5637" s="19" t="s">
        <v>36401</v>
      </c>
      <c r="I5637" s="20">
        <v>17.876999999999999</v>
      </c>
      <c r="J5637" s="44" t="s">
        <v>8</v>
      </c>
      <c r="K5637" s="23" t="s">
        <v>8</v>
      </c>
      <c r="L5637" s="23" t="s">
        <v>8</v>
      </c>
      <c r="M5637" s="23" t="s">
        <v>8</v>
      </c>
    </row>
    <row r="5638" spans="1:13" s="21" customFormat="1" x14ac:dyDescent="0.25">
      <c r="A5638" s="22" t="s">
        <v>8</v>
      </c>
      <c r="B5638" s="18" t="str">
        <f>"215069"</f>
        <v>215069</v>
      </c>
      <c r="C5638" s="19" t="s">
        <v>5561</v>
      </c>
      <c r="D5638" s="19" t="s">
        <v>21064</v>
      </c>
      <c r="E5638" s="19" t="s">
        <v>32934</v>
      </c>
      <c r="F5638" s="19" t="s">
        <v>35994</v>
      </c>
      <c r="G5638" s="18" t="str">
        <f>"21204"</f>
        <v>21204</v>
      </c>
      <c r="H5638" s="19" t="s">
        <v>32930</v>
      </c>
      <c r="I5638" s="20">
        <v>20.902000000000001</v>
      </c>
      <c r="J5638" s="44" t="s">
        <v>8</v>
      </c>
      <c r="K5638" s="23" t="s">
        <v>8</v>
      </c>
      <c r="L5638" s="23" t="s">
        <v>8</v>
      </c>
      <c r="M5638" s="23" t="s">
        <v>8</v>
      </c>
    </row>
    <row r="5639" spans="1:13" s="21" customFormat="1" x14ac:dyDescent="0.25">
      <c r="A5639" s="22" t="s">
        <v>8</v>
      </c>
      <c r="B5639" s="18" t="str">
        <f>"215071"</f>
        <v>215071</v>
      </c>
      <c r="C5639" s="19" t="s">
        <v>5562</v>
      </c>
      <c r="D5639" s="19" t="s">
        <v>21065</v>
      </c>
      <c r="E5639" s="19" t="s">
        <v>31421</v>
      </c>
      <c r="F5639" s="19" t="s">
        <v>35994</v>
      </c>
      <c r="G5639" s="18" t="str">
        <f>"20852"</f>
        <v>20852</v>
      </c>
      <c r="H5639" s="19" t="s">
        <v>30833</v>
      </c>
      <c r="I5639" s="20">
        <v>14.194000000000001</v>
      </c>
      <c r="J5639" s="44" t="s">
        <v>8</v>
      </c>
      <c r="K5639" s="23" t="s">
        <v>8</v>
      </c>
      <c r="L5639" s="23" t="s">
        <v>8</v>
      </c>
      <c r="M5639" s="23" t="s">
        <v>8</v>
      </c>
    </row>
    <row r="5640" spans="1:13" s="21" customFormat="1" x14ac:dyDescent="0.25">
      <c r="A5640" s="22" t="s">
        <v>8</v>
      </c>
      <c r="B5640" s="18" t="str">
        <f>"215073"</f>
        <v>215073</v>
      </c>
      <c r="C5640" s="19" t="s">
        <v>5563</v>
      </c>
      <c r="D5640" s="19" t="s">
        <v>21066</v>
      </c>
      <c r="E5640" s="19" t="s">
        <v>32766</v>
      </c>
      <c r="F5640" s="19" t="s">
        <v>35994</v>
      </c>
      <c r="G5640" s="18" t="str">
        <f>"21502"</f>
        <v>21502</v>
      </c>
      <c r="H5640" s="19" t="s">
        <v>34178</v>
      </c>
      <c r="I5640" s="20">
        <v>15.839</v>
      </c>
      <c r="J5640" s="44" t="s">
        <v>8</v>
      </c>
      <c r="K5640" s="23" t="s">
        <v>8</v>
      </c>
      <c r="L5640" s="23" t="s">
        <v>8</v>
      </c>
      <c r="M5640" s="23" t="s">
        <v>8</v>
      </c>
    </row>
    <row r="5641" spans="1:13" s="21" customFormat="1" x14ac:dyDescent="0.25">
      <c r="A5641" s="22" t="s">
        <v>8</v>
      </c>
      <c r="B5641" s="18" t="str">
        <f>"215074"</f>
        <v>215074</v>
      </c>
      <c r="C5641" s="19" t="s">
        <v>5564</v>
      </c>
      <c r="D5641" s="19" t="s">
        <v>21067</v>
      </c>
      <c r="E5641" s="19" t="s">
        <v>32930</v>
      </c>
      <c r="F5641" s="19" t="s">
        <v>35994</v>
      </c>
      <c r="G5641" s="18" t="str">
        <f>"21212"</f>
        <v>21212</v>
      </c>
      <c r="H5641" s="19" t="s">
        <v>36404</v>
      </c>
      <c r="I5641" s="20">
        <v>19.239999999999998</v>
      </c>
      <c r="J5641" s="44" t="s">
        <v>8</v>
      </c>
      <c r="K5641" s="23" t="s">
        <v>8</v>
      </c>
      <c r="L5641" s="23" t="s">
        <v>8</v>
      </c>
      <c r="M5641" s="23" t="s">
        <v>8</v>
      </c>
    </row>
    <row r="5642" spans="1:13" s="21" customFormat="1" x14ac:dyDescent="0.25">
      <c r="A5642" s="22" t="s">
        <v>8</v>
      </c>
      <c r="B5642" s="18" t="str">
        <f>"215077"</f>
        <v>215077</v>
      </c>
      <c r="C5642" s="19" t="s">
        <v>5565</v>
      </c>
      <c r="D5642" s="19" t="s">
        <v>21068</v>
      </c>
      <c r="E5642" s="19" t="s">
        <v>32934</v>
      </c>
      <c r="F5642" s="19" t="s">
        <v>35994</v>
      </c>
      <c r="G5642" s="18" t="str">
        <f>"21204"</f>
        <v>21204</v>
      </c>
      <c r="H5642" s="19" t="s">
        <v>32930</v>
      </c>
      <c r="I5642" s="20">
        <v>18.702000000000002</v>
      </c>
      <c r="J5642" s="44" t="s">
        <v>8</v>
      </c>
      <c r="K5642" s="23" t="s">
        <v>8</v>
      </c>
      <c r="L5642" s="23" t="s">
        <v>8</v>
      </c>
      <c r="M5642" s="23" t="s">
        <v>8</v>
      </c>
    </row>
    <row r="5643" spans="1:13" s="21" customFormat="1" x14ac:dyDescent="0.25">
      <c r="A5643" s="22" t="s">
        <v>8</v>
      </c>
      <c r="B5643" s="18" t="str">
        <f>"215081"</f>
        <v>215081</v>
      </c>
      <c r="C5643" s="19" t="s">
        <v>5566</v>
      </c>
      <c r="D5643" s="19" t="s">
        <v>21069</v>
      </c>
      <c r="E5643" s="19" t="s">
        <v>32930</v>
      </c>
      <c r="F5643" s="19" t="s">
        <v>35994</v>
      </c>
      <c r="G5643" s="18" t="str">
        <f>"21234"</f>
        <v>21234</v>
      </c>
      <c r="H5643" s="19" t="s">
        <v>32930</v>
      </c>
      <c r="I5643" s="20">
        <v>17.372</v>
      </c>
      <c r="J5643" s="44" t="s">
        <v>8</v>
      </c>
      <c r="K5643" s="23" t="s">
        <v>8</v>
      </c>
      <c r="L5643" s="23" t="s">
        <v>8</v>
      </c>
      <c r="M5643" s="23" t="s">
        <v>8</v>
      </c>
    </row>
    <row r="5644" spans="1:13" s="21" customFormat="1" x14ac:dyDescent="0.25">
      <c r="A5644" s="22" t="s">
        <v>8</v>
      </c>
      <c r="B5644" s="18" t="str">
        <f>"215082"</f>
        <v>215082</v>
      </c>
      <c r="C5644" s="19" t="s">
        <v>5567</v>
      </c>
      <c r="D5644" s="19" t="s">
        <v>21070</v>
      </c>
      <c r="E5644" s="19" t="s">
        <v>32937</v>
      </c>
      <c r="F5644" s="19" t="s">
        <v>35994</v>
      </c>
      <c r="G5644" s="18" t="str">
        <f>"21208"</f>
        <v>21208</v>
      </c>
      <c r="H5644" s="19" t="s">
        <v>32930</v>
      </c>
      <c r="I5644" s="20">
        <v>18.568000000000001</v>
      </c>
      <c r="J5644" s="44" t="s">
        <v>8</v>
      </c>
      <c r="K5644" s="23" t="s">
        <v>8</v>
      </c>
      <c r="L5644" s="23" t="s">
        <v>8</v>
      </c>
      <c r="M5644" s="23" t="s">
        <v>8</v>
      </c>
    </row>
    <row r="5645" spans="1:13" s="21" customFormat="1" x14ac:dyDescent="0.25">
      <c r="A5645" s="22" t="s">
        <v>8</v>
      </c>
      <c r="B5645" s="18" t="str">
        <f>"215083"</f>
        <v>215083</v>
      </c>
      <c r="C5645" s="19" t="s">
        <v>5568</v>
      </c>
      <c r="D5645" s="19" t="s">
        <v>21071</v>
      </c>
      <c r="E5645" s="19" t="s">
        <v>32938</v>
      </c>
      <c r="F5645" s="19" t="s">
        <v>35994</v>
      </c>
      <c r="G5645" s="18" t="str">
        <f>"21629"</f>
        <v>21629</v>
      </c>
      <c r="H5645" s="19" t="s">
        <v>36406</v>
      </c>
      <c r="I5645" s="20">
        <v>18.571999999999999</v>
      </c>
      <c r="J5645" s="44" t="s">
        <v>8</v>
      </c>
      <c r="K5645" s="23" t="s">
        <v>8</v>
      </c>
      <c r="L5645" s="23" t="s">
        <v>8</v>
      </c>
      <c r="M5645" s="23" t="s">
        <v>8</v>
      </c>
    </row>
    <row r="5646" spans="1:13" s="21" customFormat="1" x14ac:dyDescent="0.25">
      <c r="A5646" s="22" t="s">
        <v>8</v>
      </c>
      <c r="B5646" s="18" t="str">
        <f>"215084"</f>
        <v>215084</v>
      </c>
      <c r="C5646" s="19" t="s">
        <v>5569</v>
      </c>
      <c r="D5646" s="19" t="s">
        <v>21072</v>
      </c>
      <c r="E5646" s="19" t="s">
        <v>32939</v>
      </c>
      <c r="F5646" s="19" t="s">
        <v>35994</v>
      </c>
      <c r="G5646" s="18" t="str">
        <f>"21133"</f>
        <v>21133</v>
      </c>
      <c r="H5646" s="19" t="s">
        <v>32930</v>
      </c>
      <c r="I5646" s="20">
        <v>17.396999999999998</v>
      </c>
      <c r="J5646" s="44" t="s">
        <v>8</v>
      </c>
      <c r="K5646" s="23" t="s">
        <v>8</v>
      </c>
      <c r="L5646" s="23" t="s">
        <v>8</v>
      </c>
      <c r="M5646" s="23" t="s">
        <v>8</v>
      </c>
    </row>
    <row r="5647" spans="1:13" s="21" customFormat="1" x14ac:dyDescent="0.25">
      <c r="A5647" s="22" t="s">
        <v>8</v>
      </c>
      <c r="B5647" s="18" t="str">
        <f>"215085"</f>
        <v>215085</v>
      </c>
      <c r="C5647" s="19" t="s">
        <v>5570</v>
      </c>
      <c r="D5647" s="19" t="s">
        <v>21073</v>
      </c>
      <c r="E5647" s="19" t="s">
        <v>32930</v>
      </c>
      <c r="F5647" s="19" t="s">
        <v>35994</v>
      </c>
      <c r="G5647" s="18" t="str">
        <f>"21229"</f>
        <v>21229</v>
      </c>
      <c r="H5647" s="19" t="s">
        <v>36404</v>
      </c>
      <c r="I5647" s="20">
        <v>19.07</v>
      </c>
      <c r="J5647" s="44" t="s">
        <v>8</v>
      </c>
      <c r="K5647" s="23" t="s">
        <v>8</v>
      </c>
      <c r="L5647" s="23" t="s">
        <v>8</v>
      </c>
      <c r="M5647" s="23" t="s">
        <v>8</v>
      </c>
    </row>
    <row r="5648" spans="1:13" s="21" customFormat="1" x14ac:dyDescent="0.25">
      <c r="A5648" s="22" t="s">
        <v>8</v>
      </c>
      <c r="B5648" s="18" t="str">
        <f>"215088"</f>
        <v>215088</v>
      </c>
      <c r="C5648" s="19" t="s">
        <v>5571</v>
      </c>
      <c r="D5648" s="19" t="s">
        <v>21074</v>
      </c>
      <c r="E5648" s="19" t="s">
        <v>32940</v>
      </c>
      <c r="F5648" s="19" t="s">
        <v>35994</v>
      </c>
      <c r="G5648" s="18" t="str">
        <f>"21225"</f>
        <v>21225</v>
      </c>
      <c r="H5648" s="19" t="s">
        <v>36404</v>
      </c>
      <c r="I5648" s="20">
        <v>18.341000000000001</v>
      </c>
      <c r="J5648" s="44" t="s">
        <v>8</v>
      </c>
      <c r="K5648" s="23" t="s">
        <v>8</v>
      </c>
      <c r="L5648" s="23" t="s">
        <v>8</v>
      </c>
      <c r="M5648" s="23" t="s">
        <v>8</v>
      </c>
    </row>
    <row r="5649" spans="1:13" s="21" customFormat="1" x14ac:dyDescent="0.25">
      <c r="A5649" s="22" t="s">
        <v>8</v>
      </c>
      <c r="B5649" s="18" t="str">
        <f>"215090"</f>
        <v>215090</v>
      </c>
      <c r="C5649" s="19" t="s">
        <v>5572</v>
      </c>
      <c r="D5649" s="19" t="s">
        <v>21075</v>
      </c>
      <c r="E5649" s="19" t="s">
        <v>32930</v>
      </c>
      <c r="F5649" s="19" t="s">
        <v>35994</v>
      </c>
      <c r="G5649" s="18" t="str">
        <f>"21234"</f>
        <v>21234</v>
      </c>
      <c r="H5649" s="19" t="s">
        <v>32930</v>
      </c>
      <c r="I5649" s="20">
        <v>23.754000000000001</v>
      </c>
      <c r="J5649" s="44" t="s">
        <v>8</v>
      </c>
      <c r="K5649" s="23" t="s">
        <v>8</v>
      </c>
      <c r="L5649" s="23" t="s">
        <v>8</v>
      </c>
      <c r="M5649" s="23" t="s">
        <v>8</v>
      </c>
    </row>
    <row r="5650" spans="1:13" s="21" customFormat="1" x14ac:dyDescent="0.25">
      <c r="A5650" s="22" t="s">
        <v>8</v>
      </c>
      <c r="B5650" s="18" t="str">
        <f>"215092"</f>
        <v>215092</v>
      </c>
      <c r="C5650" s="19" t="s">
        <v>5573</v>
      </c>
      <c r="D5650" s="19" t="s">
        <v>21076</v>
      </c>
      <c r="E5650" s="19" t="s">
        <v>31421</v>
      </c>
      <c r="F5650" s="19" t="s">
        <v>35994</v>
      </c>
      <c r="G5650" s="18" t="str">
        <f>"20850"</f>
        <v>20850</v>
      </c>
      <c r="H5650" s="19" t="s">
        <v>30833</v>
      </c>
      <c r="I5650" s="20">
        <v>17.484000000000002</v>
      </c>
      <c r="J5650" s="44" t="s">
        <v>8</v>
      </c>
      <c r="K5650" s="23" t="s">
        <v>8</v>
      </c>
      <c r="L5650" s="23" t="s">
        <v>8</v>
      </c>
      <c r="M5650" s="23" t="s">
        <v>8</v>
      </c>
    </row>
    <row r="5651" spans="1:13" s="21" customFormat="1" x14ac:dyDescent="0.25">
      <c r="A5651" s="22" t="s">
        <v>8</v>
      </c>
      <c r="B5651" s="18" t="str">
        <f>"215094"</f>
        <v>215094</v>
      </c>
      <c r="C5651" s="19" t="s">
        <v>5574</v>
      </c>
      <c r="D5651" s="19" t="s">
        <v>21077</v>
      </c>
      <c r="E5651" s="19" t="s">
        <v>31313</v>
      </c>
      <c r="F5651" s="19" t="s">
        <v>35994</v>
      </c>
      <c r="G5651" s="18" t="str">
        <f>"21157"</f>
        <v>21157</v>
      </c>
      <c r="H5651" s="19" t="s">
        <v>32334</v>
      </c>
      <c r="I5651" s="20">
        <v>17.757000000000001</v>
      </c>
      <c r="J5651" s="44" t="s">
        <v>8</v>
      </c>
      <c r="K5651" s="23" t="s">
        <v>8</v>
      </c>
      <c r="L5651" s="23" t="s">
        <v>8</v>
      </c>
      <c r="M5651" s="23" t="s">
        <v>8</v>
      </c>
    </row>
    <row r="5652" spans="1:13" s="21" customFormat="1" x14ac:dyDescent="0.25">
      <c r="A5652" s="22" t="s">
        <v>8</v>
      </c>
      <c r="B5652" s="18" t="str">
        <f>"215095"</f>
        <v>215095</v>
      </c>
      <c r="C5652" s="19" t="s">
        <v>5575</v>
      </c>
      <c r="D5652" s="19" t="s">
        <v>21078</v>
      </c>
      <c r="E5652" s="19" t="s">
        <v>32941</v>
      </c>
      <c r="F5652" s="19" t="s">
        <v>35994</v>
      </c>
      <c r="G5652" s="18" t="str">
        <f>"20817"</f>
        <v>20817</v>
      </c>
      <c r="H5652" s="19" t="s">
        <v>30833</v>
      </c>
      <c r="I5652" s="20">
        <v>22.875</v>
      </c>
      <c r="J5652" s="44" t="s">
        <v>8</v>
      </c>
      <c r="K5652" s="23" t="s">
        <v>8</v>
      </c>
      <c r="L5652" s="23" t="s">
        <v>8</v>
      </c>
      <c r="M5652" s="23" t="s">
        <v>8</v>
      </c>
    </row>
    <row r="5653" spans="1:13" s="21" customFormat="1" x14ac:dyDescent="0.25">
      <c r="A5653" s="22" t="s">
        <v>8</v>
      </c>
      <c r="B5653" s="18" t="str">
        <f>"215096"</f>
        <v>215096</v>
      </c>
      <c r="C5653" s="19" t="s">
        <v>5576</v>
      </c>
      <c r="D5653" s="19" t="s">
        <v>21079</v>
      </c>
      <c r="E5653" s="19" t="s">
        <v>32934</v>
      </c>
      <c r="F5653" s="19" t="s">
        <v>35994</v>
      </c>
      <c r="G5653" s="18" t="str">
        <f>"21204"</f>
        <v>21204</v>
      </c>
      <c r="H5653" s="19" t="s">
        <v>32930</v>
      </c>
      <c r="I5653" s="20">
        <v>19.588000000000001</v>
      </c>
      <c r="J5653" s="44" t="s">
        <v>8</v>
      </c>
      <c r="K5653" s="23" t="s">
        <v>8</v>
      </c>
      <c r="L5653" s="23" t="s">
        <v>8</v>
      </c>
      <c r="M5653" s="23" t="s">
        <v>8</v>
      </c>
    </row>
    <row r="5654" spans="1:13" s="21" customFormat="1" x14ac:dyDescent="0.25">
      <c r="A5654" s="22" t="s">
        <v>8</v>
      </c>
      <c r="B5654" s="18" t="str">
        <f>"215097"</f>
        <v>215097</v>
      </c>
      <c r="C5654" s="19" t="s">
        <v>5577</v>
      </c>
      <c r="D5654" s="19" t="s">
        <v>21080</v>
      </c>
      <c r="E5654" s="19" t="s">
        <v>32942</v>
      </c>
      <c r="F5654" s="19" t="s">
        <v>35994</v>
      </c>
      <c r="G5654" s="18" t="str">
        <f>"21228"</f>
        <v>21228</v>
      </c>
      <c r="H5654" s="19" t="s">
        <v>32930</v>
      </c>
      <c r="I5654" s="20">
        <v>18.565000000000001</v>
      </c>
      <c r="J5654" s="44" t="s">
        <v>8</v>
      </c>
      <c r="K5654" s="23" t="s">
        <v>8</v>
      </c>
      <c r="L5654" s="23" t="s">
        <v>8</v>
      </c>
      <c r="M5654" s="23" t="s">
        <v>8</v>
      </c>
    </row>
    <row r="5655" spans="1:13" s="21" customFormat="1" x14ac:dyDescent="0.25">
      <c r="A5655" s="22" t="s">
        <v>8</v>
      </c>
      <c r="B5655" s="18" t="str">
        <f>"215099"</f>
        <v>215099</v>
      </c>
      <c r="C5655" s="19" t="s">
        <v>5578</v>
      </c>
      <c r="D5655" s="19" t="s">
        <v>21081</v>
      </c>
      <c r="E5655" s="19" t="s">
        <v>32943</v>
      </c>
      <c r="F5655" s="19" t="s">
        <v>35994</v>
      </c>
      <c r="G5655" s="18" t="str">
        <f>"20877"</f>
        <v>20877</v>
      </c>
      <c r="H5655" s="19" t="s">
        <v>30833</v>
      </c>
      <c r="I5655" s="20">
        <v>18.606000000000002</v>
      </c>
      <c r="J5655" s="44" t="s">
        <v>8</v>
      </c>
      <c r="K5655" s="23" t="s">
        <v>8</v>
      </c>
      <c r="L5655" s="23" t="s">
        <v>8</v>
      </c>
      <c r="M5655" s="23" t="s">
        <v>8</v>
      </c>
    </row>
    <row r="5656" spans="1:13" s="21" customFormat="1" x14ac:dyDescent="0.25">
      <c r="A5656" s="22" t="s">
        <v>8</v>
      </c>
      <c r="B5656" s="18" t="str">
        <f>"215105"</f>
        <v>215105</v>
      </c>
      <c r="C5656" s="19" t="s">
        <v>5579</v>
      </c>
      <c r="D5656" s="19" t="s">
        <v>21082</v>
      </c>
      <c r="E5656" s="19" t="s">
        <v>32927</v>
      </c>
      <c r="F5656" s="19" t="s">
        <v>35994</v>
      </c>
      <c r="G5656" s="18" t="str">
        <f>"21702"</f>
        <v>21702</v>
      </c>
      <c r="H5656" s="19" t="s">
        <v>32927</v>
      </c>
      <c r="I5656" s="20">
        <v>15.962</v>
      </c>
      <c r="J5656" s="44" t="s">
        <v>8</v>
      </c>
      <c r="K5656" s="23" t="s">
        <v>8</v>
      </c>
      <c r="L5656" s="23" t="s">
        <v>8</v>
      </c>
      <c r="M5656" s="23" t="s">
        <v>8</v>
      </c>
    </row>
    <row r="5657" spans="1:13" s="21" customFormat="1" x14ac:dyDescent="0.25">
      <c r="A5657" s="22" t="s">
        <v>8</v>
      </c>
      <c r="B5657" s="18" t="str">
        <f>"215106"</f>
        <v>215106</v>
      </c>
      <c r="C5657" s="19" t="s">
        <v>5580</v>
      </c>
      <c r="D5657" s="19" t="s">
        <v>21083</v>
      </c>
      <c r="E5657" s="19" t="s">
        <v>32944</v>
      </c>
      <c r="F5657" s="19" t="s">
        <v>35994</v>
      </c>
      <c r="G5657" s="18" t="str">
        <f>"20646"</f>
        <v>20646</v>
      </c>
      <c r="H5657" s="19" t="s">
        <v>36407</v>
      </c>
      <c r="I5657" s="20">
        <v>22.001999999999999</v>
      </c>
      <c r="J5657" s="44" t="s">
        <v>8</v>
      </c>
      <c r="K5657" s="23" t="s">
        <v>8</v>
      </c>
      <c r="L5657" s="23" t="s">
        <v>8</v>
      </c>
      <c r="M5657" s="23" t="s">
        <v>8</v>
      </c>
    </row>
    <row r="5658" spans="1:13" s="21" customFormat="1" x14ac:dyDescent="0.25">
      <c r="A5658" s="22" t="s">
        <v>8</v>
      </c>
      <c r="B5658" s="18" t="str">
        <f>"215107"</f>
        <v>215107</v>
      </c>
      <c r="C5658" s="19" t="s">
        <v>5581</v>
      </c>
      <c r="D5658" s="19" t="s">
        <v>21084</v>
      </c>
      <c r="E5658" s="19" t="s">
        <v>31421</v>
      </c>
      <c r="F5658" s="19" t="s">
        <v>35994</v>
      </c>
      <c r="G5658" s="18" t="str">
        <f>"20850"</f>
        <v>20850</v>
      </c>
      <c r="H5658" s="19" t="s">
        <v>30833</v>
      </c>
      <c r="I5658" s="20">
        <v>18.829999999999998</v>
      </c>
      <c r="J5658" s="44" t="s">
        <v>8</v>
      </c>
      <c r="K5658" s="23" t="s">
        <v>8</v>
      </c>
      <c r="L5658" s="23" t="s">
        <v>8</v>
      </c>
      <c r="M5658" s="23" t="s">
        <v>8</v>
      </c>
    </row>
    <row r="5659" spans="1:13" s="21" customFormat="1" x14ac:dyDescent="0.25">
      <c r="A5659" s="22" t="s">
        <v>8</v>
      </c>
      <c r="B5659" s="18" t="str">
        <f>"215108"</f>
        <v>215108</v>
      </c>
      <c r="C5659" s="19" t="s">
        <v>5582</v>
      </c>
      <c r="D5659" s="19" t="s">
        <v>21085</v>
      </c>
      <c r="E5659" s="19" t="s">
        <v>32945</v>
      </c>
      <c r="F5659" s="19" t="s">
        <v>35994</v>
      </c>
      <c r="G5659" s="18" t="str">
        <f>"20706"</f>
        <v>20706</v>
      </c>
      <c r="H5659" s="19" t="s">
        <v>36403</v>
      </c>
      <c r="I5659" s="20">
        <v>20.873999999999999</v>
      </c>
      <c r="J5659" s="44" t="s">
        <v>8</v>
      </c>
      <c r="K5659" s="23" t="s">
        <v>8</v>
      </c>
      <c r="L5659" s="23" t="s">
        <v>8</v>
      </c>
      <c r="M5659" s="23" t="s">
        <v>8</v>
      </c>
    </row>
    <row r="5660" spans="1:13" s="21" customFormat="1" x14ac:dyDescent="0.25">
      <c r="A5660" s="22" t="s">
        <v>8</v>
      </c>
      <c r="B5660" s="18" t="str">
        <f>"215109"</f>
        <v>215109</v>
      </c>
      <c r="C5660" s="19" t="s">
        <v>5583</v>
      </c>
      <c r="D5660" s="19" t="s">
        <v>21086</v>
      </c>
      <c r="E5660" s="19" t="s">
        <v>32930</v>
      </c>
      <c r="F5660" s="19" t="s">
        <v>35994</v>
      </c>
      <c r="G5660" s="18" t="str">
        <f>"21237"</f>
        <v>21237</v>
      </c>
      <c r="H5660" s="19" t="s">
        <v>32930</v>
      </c>
      <c r="I5660" s="20">
        <v>19.347000000000001</v>
      </c>
      <c r="J5660" s="44" t="s">
        <v>8</v>
      </c>
      <c r="K5660" s="23" t="s">
        <v>8</v>
      </c>
      <c r="L5660" s="23" t="s">
        <v>8</v>
      </c>
      <c r="M5660" s="23" t="s">
        <v>8</v>
      </c>
    </row>
    <row r="5661" spans="1:13" s="21" customFormat="1" x14ac:dyDescent="0.25">
      <c r="A5661" s="22" t="s">
        <v>8</v>
      </c>
      <c r="B5661" s="18" t="str">
        <f>"215110"</f>
        <v>215110</v>
      </c>
      <c r="C5661" s="19" t="s">
        <v>5584</v>
      </c>
      <c r="D5661" s="19" t="s">
        <v>21087</v>
      </c>
      <c r="E5661" s="19" t="s">
        <v>32946</v>
      </c>
      <c r="F5661" s="19" t="s">
        <v>35994</v>
      </c>
      <c r="G5661" s="18" t="str">
        <f>"21742"</f>
        <v>21742</v>
      </c>
      <c r="H5661" s="19" t="s">
        <v>31500</v>
      </c>
      <c r="I5661" s="20">
        <v>18.706</v>
      </c>
      <c r="J5661" s="44" t="s">
        <v>8</v>
      </c>
      <c r="K5661" s="23" t="s">
        <v>8</v>
      </c>
      <c r="L5661" s="23" t="s">
        <v>8</v>
      </c>
      <c r="M5661" s="23" t="s">
        <v>8</v>
      </c>
    </row>
    <row r="5662" spans="1:13" s="21" customFormat="1" x14ac:dyDescent="0.25">
      <c r="A5662" s="22" t="s">
        <v>8</v>
      </c>
      <c r="B5662" s="18" t="str">
        <f>"215111"</f>
        <v>215111</v>
      </c>
      <c r="C5662" s="19" t="s">
        <v>5585</v>
      </c>
      <c r="D5662" s="19" t="s">
        <v>21088</v>
      </c>
      <c r="E5662" s="19" t="s">
        <v>32761</v>
      </c>
      <c r="F5662" s="19" t="s">
        <v>35994</v>
      </c>
      <c r="G5662" s="18" t="str">
        <f>"21921"</f>
        <v>21921</v>
      </c>
      <c r="H5662" s="19" t="s">
        <v>36408</v>
      </c>
      <c r="I5662" s="20">
        <v>20.58</v>
      </c>
      <c r="J5662" s="44" t="s">
        <v>8</v>
      </c>
      <c r="K5662" s="23" t="s">
        <v>8</v>
      </c>
      <c r="L5662" s="23" t="s">
        <v>8</v>
      </c>
      <c r="M5662" s="23" t="s">
        <v>8</v>
      </c>
    </row>
    <row r="5663" spans="1:13" s="21" customFormat="1" x14ac:dyDescent="0.25">
      <c r="A5663" s="22" t="s">
        <v>8</v>
      </c>
      <c r="B5663" s="18" t="str">
        <f>"215112"</f>
        <v>215112</v>
      </c>
      <c r="C5663" s="19" t="s">
        <v>5586</v>
      </c>
      <c r="D5663" s="19" t="s">
        <v>21089</v>
      </c>
      <c r="E5663" s="19" t="s">
        <v>32076</v>
      </c>
      <c r="F5663" s="19" t="s">
        <v>35994</v>
      </c>
      <c r="G5663" s="18" t="str">
        <f>"21044"</f>
        <v>21044</v>
      </c>
      <c r="H5663" s="19" t="s">
        <v>32644</v>
      </c>
      <c r="I5663" s="20">
        <v>22.276</v>
      </c>
      <c r="J5663" s="44" t="s">
        <v>8</v>
      </c>
      <c r="K5663" s="23" t="s">
        <v>8</v>
      </c>
      <c r="L5663" s="23" t="s">
        <v>8</v>
      </c>
      <c r="M5663" s="23" t="s">
        <v>8</v>
      </c>
    </row>
    <row r="5664" spans="1:13" s="21" customFormat="1" x14ac:dyDescent="0.25">
      <c r="A5664" s="22" t="s">
        <v>8</v>
      </c>
      <c r="B5664" s="18" t="str">
        <f>"215113"</f>
        <v>215113</v>
      </c>
      <c r="C5664" s="19" t="s">
        <v>5587</v>
      </c>
      <c r="D5664" s="19" t="s">
        <v>21090</v>
      </c>
      <c r="E5664" s="19" t="s">
        <v>32946</v>
      </c>
      <c r="F5664" s="19" t="s">
        <v>35994</v>
      </c>
      <c r="G5664" s="18" t="str">
        <f>"21740"</f>
        <v>21740</v>
      </c>
      <c r="H5664" s="19" t="s">
        <v>31500</v>
      </c>
      <c r="I5664" s="20">
        <v>20.023</v>
      </c>
      <c r="J5664" s="44" t="s">
        <v>8</v>
      </c>
      <c r="K5664" s="23" t="s">
        <v>8</v>
      </c>
      <c r="L5664" s="23" t="s">
        <v>8</v>
      </c>
      <c r="M5664" s="23" t="s">
        <v>8</v>
      </c>
    </row>
    <row r="5665" spans="1:13" s="21" customFormat="1" x14ac:dyDescent="0.25">
      <c r="A5665" s="22" t="s">
        <v>8</v>
      </c>
      <c r="B5665" s="18" t="str">
        <f>"215114"</f>
        <v>215114</v>
      </c>
      <c r="C5665" s="19" t="s">
        <v>5588</v>
      </c>
      <c r="D5665" s="19" t="s">
        <v>21091</v>
      </c>
      <c r="E5665" s="19" t="s">
        <v>30806</v>
      </c>
      <c r="F5665" s="19" t="s">
        <v>35994</v>
      </c>
      <c r="G5665" s="18" t="str">
        <f>"21617"</f>
        <v>21617</v>
      </c>
      <c r="H5665" s="19" t="s">
        <v>36409</v>
      </c>
      <c r="I5665" s="20">
        <v>15.692</v>
      </c>
      <c r="J5665" s="44" t="s">
        <v>8</v>
      </c>
      <c r="K5665" s="23" t="s">
        <v>8</v>
      </c>
      <c r="L5665" s="23" t="s">
        <v>8</v>
      </c>
      <c r="M5665" s="23" t="s">
        <v>8</v>
      </c>
    </row>
    <row r="5666" spans="1:13" s="21" customFormat="1" x14ac:dyDescent="0.25">
      <c r="A5666" s="22" t="s">
        <v>8</v>
      </c>
      <c r="B5666" s="18" t="str">
        <f>"215115"</f>
        <v>215115</v>
      </c>
      <c r="C5666" s="19" t="s">
        <v>5589</v>
      </c>
      <c r="D5666" s="19" t="s">
        <v>21092</v>
      </c>
      <c r="E5666" s="19" t="s">
        <v>32947</v>
      </c>
      <c r="F5666" s="19" t="s">
        <v>35994</v>
      </c>
      <c r="G5666" s="18" t="str">
        <f>"21532"</f>
        <v>21532</v>
      </c>
      <c r="H5666" s="19" t="s">
        <v>34178</v>
      </c>
      <c r="I5666" s="20">
        <v>18.465</v>
      </c>
      <c r="J5666" s="44" t="s">
        <v>8</v>
      </c>
      <c r="K5666" s="23" t="s">
        <v>8</v>
      </c>
      <c r="L5666" s="23" t="s">
        <v>8</v>
      </c>
      <c r="M5666" s="23" t="s">
        <v>8</v>
      </c>
    </row>
    <row r="5667" spans="1:13" s="21" customFormat="1" x14ac:dyDescent="0.25">
      <c r="A5667" s="22" t="s">
        <v>8</v>
      </c>
      <c r="B5667" s="18" t="str">
        <f>"215117"</f>
        <v>215117</v>
      </c>
      <c r="C5667" s="19" t="s">
        <v>5590</v>
      </c>
      <c r="D5667" s="19" t="s">
        <v>21093</v>
      </c>
      <c r="E5667" s="19" t="s">
        <v>32948</v>
      </c>
      <c r="F5667" s="19" t="s">
        <v>35994</v>
      </c>
      <c r="G5667" s="18" t="str">
        <f>"21093"</f>
        <v>21093</v>
      </c>
      <c r="H5667" s="19" t="s">
        <v>32930</v>
      </c>
      <c r="I5667" s="20">
        <v>18.984999999999999</v>
      </c>
      <c r="J5667" s="44" t="s">
        <v>8</v>
      </c>
      <c r="K5667" s="23" t="s">
        <v>8</v>
      </c>
      <c r="L5667" s="23" t="s">
        <v>8</v>
      </c>
      <c r="M5667" s="23" t="s">
        <v>8</v>
      </c>
    </row>
    <row r="5668" spans="1:13" s="21" customFormat="1" x14ac:dyDescent="0.25">
      <c r="A5668" s="22" t="s">
        <v>8</v>
      </c>
      <c r="B5668" s="18" t="str">
        <f>"215118"</f>
        <v>215118</v>
      </c>
      <c r="C5668" s="19" t="s">
        <v>5591</v>
      </c>
      <c r="D5668" s="19" t="s">
        <v>21094</v>
      </c>
      <c r="E5668" s="19" t="s">
        <v>32939</v>
      </c>
      <c r="F5668" s="19" t="s">
        <v>35994</v>
      </c>
      <c r="G5668" s="18" t="str">
        <f>"21133"</f>
        <v>21133</v>
      </c>
      <c r="H5668" s="19" t="s">
        <v>32930</v>
      </c>
      <c r="I5668" s="20">
        <v>21.82</v>
      </c>
      <c r="J5668" s="44" t="s">
        <v>8</v>
      </c>
      <c r="K5668" s="23" t="s">
        <v>8</v>
      </c>
      <c r="L5668" s="23" t="s">
        <v>8</v>
      </c>
      <c r="M5668" s="23" t="s">
        <v>8</v>
      </c>
    </row>
    <row r="5669" spans="1:13" s="21" customFormat="1" x14ac:dyDescent="0.25">
      <c r="A5669" s="22" t="s">
        <v>8</v>
      </c>
      <c r="B5669" s="18" t="str">
        <f>"215120"</f>
        <v>215120</v>
      </c>
      <c r="C5669" s="19" t="s">
        <v>5592</v>
      </c>
      <c r="D5669" s="19" t="s">
        <v>21095</v>
      </c>
      <c r="E5669" s="19" t="s">
        <v>32949</v>
      </c>
      <c r="F5669" s="19" t="s">
        <v>35994</v>
      </c>
      <c r="G5669" s="18" t="str">
        <f>"21114"</f>
        <v>21114</v>
      </c>
      <c r="H5669" s="19" t="s">
        <v>36400</v>
      </c>
      <c r="I5669" s="20">
        <v>18.856000000000002</v>
      </c>
      <c r="J5669" s="44" t="s">
        <v>8</v>
      </c>
      <c r="K5669" s="23" t="s">
        <v>8</v>
      </c>
      <c r="L5669" s="23" t="s">
        <v>8</v>
      </c>
      <c r="M5669" s="23" t="s">
        <v>8</v>
      </c>
    </row>
    <row r="5670" spans="1:13" s="21" customFormat="1" x14ac:dyDescent="0.25">
      <c r="A5670" s="22" t="s">
        <v>8</v>
      </c>
      <c r="B5670" s="18" t="str">
        <f>"215121"</f>
        <v>215121</v>
      </c>
      <c r="C5670" s="19" t="s">
        <v>5593</v>
      </c>
      <c r="D5670" s="19" t="s">
        <v>21096</v>
      </c>
      <c r="E5670" s="19" t="s">
        <v>32950</v>
      </c>
      <c r="F5670" s="19" t="s">
        <v>35994</v>
      </c>
      <c r="G5670" s="18" t="str">
        <f>"21863"</f>
        <v>21863</v>
      </c>
      <c r="H5670" s="19" t="s">
        <v>33002</v>
      </c>
      <c r="I5670" s="20">
        <v>17.914999999999999</v>
      </c>
      <c r="J5670" s="44" t="s">
        <v>8</v>
      </c>
      <c r="K5670" s="23" t="s">
        <v>8</v>
      </c>
      <c r="L5670" s="23" t="s">
        <v>8</v>
      </c>
      <c r="M5670" s="23" t="s">
        <v>8</v>
      </c>
    </row>
    <row r="5671" spans="1:13" s="21" customFormat="1" x14ac:dyDescent="0.25">
      <c r="A5671" s="22" t="s">
        <v>8</v>
      </c>
      <c r="B5671" s="18" t="str">
        <f>"215123"</f>
        <v>215123</v>
      </c>
      <c r="C5671" s="19" t="s">
        <v>5594</v>
      </c>
      <c r="D5671" s="19" t="s">
        <v>21097</v>
      </c>
      <c r="E5671" s="19" t="s">
        <v>32951</v>
      </c>
      <c r="F5671" s="19" t="s">
        <v>35994</v>
      </c>
      <c r="G5671" s="18" t="str">
        <f>"21030"</f>
        <v>21030</v>
      </c>
      <c r="H5671" s="19" t="s">
        <v>32930</v>
      </c>
      <c r="I5671" s="20">
        <v>19.742999999999999</v>
      </c>
      <c r="J5671" s="44" t="s">
        <v>8</v>
      </c>
      <c r="K5671" s="23" t="s">
        <v>8</v>
      </c>
      <c r="L5671" s="23" t="s">
        <v>8</v>
      </c>
      <c r="M5671" s="23" t="s">
        <v>8</v>
      </c>
    </row>
    <row r="5672" spans="1:13" s="21" customFormat="1" x14ac:dyDescent="0.25">
      <c r="A5672" s="22" t="s">
        <v>8</v>
      </c>
      <c r="B5672" s="18" t="str">
        <f>"215125"</f>
        <v>215125</v>
      </c>
      <c r="C5672" s="19" t="s">
        <v>5595</v>
      </c>
      <c r="D5672" s="19" t="s">
        <v>21098</v>
      </c>
      <c r="E5672" s="19" t="s">
        <v>31421</v>
      </c>
      <c r="F5672" s="19" t="s">
        <v>35994</v>
      </c>
      <c r="G5672" s="18" t="str">
        <f>"20850"</f>
        <v>20850</v>
      </c>
      <c r="H5672" s="19" t="s">
        <v>30833</v>
      </c>
      <c r="I5672" s="20">
        <v>14.727</v>
      </c>
      <c r="J5672" s="44" t="s">
        <v>8</v>
      </c>
      <c r="K5672" s="23" t="s">
        <v>8</v>
      </c>
      <c r="L5672" s="23" t="s">
        <v>8</v>
      </c>
      <c r="M5672" s="23" t="s">
        <v>8</v>
      </c>
    </row>
    <row r="5673" spans="1:13" s="21" customFormat="1" x14ac:dyDescent="0.25">
      <c r="A5673" s="22" t="s">
        <v>8</v>
      </c>
      <c r="B5673" s="18" t="str">
        <f>"215126"</f>
        <v>215126</v>
      </c>
      <c r="C5673" s="19" t="s">
        <v>5596</v>
      </c>
      <c r="D5673" s="19" t="s">
        <v>21099</v>
      </c>
      <c r="E5673" s="19" t="s">
        <v>32952</v>
      </c>
      <c r="F5673" s="19" t="s">
        <v>35994</v>
      </c>
      <c r="G5673" s="18" t="str">
        <f>"21811"</f>
        <v>21811</v>
      </c>
      <c r="H5673" s="19" t="s">
        <v>33002</v>
      </c>
      <c r="I5673" s="20">
        <v>17.161999999999999</v>
      </c>
      <c r="J5673" s="44" t="s">
        <v>8</v>
      </c>
      <c r="K5673" s="23" t="s">
        <v>8</v>
      </c>
      <c r="L5673" s="23" t="s">
        <v>8</v>
      </c>
      <c r="M5673" s="23" t="s">
        <v>8</v>
      </c>
    </row>
    <row r="5674" spans="1:13" s="21" customFormat="1" x14ac:dyDescent="0.25">
      <c r="A5674" s="22" t="s">
        <v>8</v>
      </c>
      <c r="B5674" s="18" t="str">
        <f>"215128"</f>
        <v>215128</v>
      </c>
      <c r="C5674" s="19" t="s">
        <v>5597</v>
      </c>
      <c r="D5674" s="19" t="s">
        <v>21100</v>
      </c>
      <c r="E5674" s="19" t="s">
        <v>32930</v>
      </c>
      <c r="F5674" s="19" t="s">
        <v>35994</v>
      </c>
      <c r="G5674" s="18" t="str">
        <f>"21208"</f>
        <v>21208</v>
      </c>
      <c r="H5674" s="19" t="s">
        <v>32930</v>
      </c>
      <c r="I5674" s="20">
        <v>19.779</v>
      </c>
      <c r="J5674" s="44" t="s">
        <v>8</v>
      </c>
      <c r="K5674" s="23" t="s">
        <v>8</v>
      </c>
      <c r="L5674" s="23" t="s">
        <v>8</v>
      </c>
      <c r="M5674" s="23" t="s">
        <v>8</v>
      </c>
    </row>
    <row r="5675" spans="1:13" s="21" customFormat="1" x14ac:dyDescent="0.25">
      <c r="A5675" s="22" t="s">
        <v>8</v>
      </c>
      <c r="B5675" s="18" t="str">
        <f>"215129"</f>
        <v>215129</v>
      </c>
      <c r="C5675" s="19" t="s">
        <v>5598</v>
      </c>
      <c r="D5675" s="19" t="s">
        <v>21101</v>
      </c>
      <c r="E5675" s="19" t="s">
        <v>32930</v>
      </c>
      <c r="F5675" s="19" t="s">
        <v>35994</v>
      </c>
      <c r="G5675" s="18" t="str">
        <f>"21234"</f>
        <v>21234</v>
      </c>
      <c r="H5675" s="19" t="s">
        <v>32930</v>
      </c>
      <c r="I5675" s="20">
        <v>17.132000000000001</v>
      </c>
      <c r="J5675" s="44" t="s">
        <v>8</v>
      </c>
      <c r="K5675" s="23" t="s">
        <v>8</v>
      </c>
      <c r="L5675" s="23" t="s">
        <v>8</v>
      </c>
      <c r="M5675" s="23" t="s">
        <v>8</v>
      </c>
    </row>
    <row r="5676" spans="1:13" s="21" customFormat="1" x14ac:dyDescent="0.25">
      <c r="A5676" s="22" t="s">
        <v>8</v>
      </c>
      <c r="B5676" s="18" t="str">
        <f>"215130"</f>
        <v>215130</v>
      </c>
      <c r="C5676" s="19" t="s">
        <v>5599</v>
      </c>
      <c r="D5676" s="19" t="s">
        <v>21102</v>
      </c>
      <c r="E5676" s="19" t="s">
        <v>32953</v>
      </c>
      <c r="F5676" s="19" t="s">
        <v>35994</v>
      </c>
      <c r="G5676" s="18" t="str">
        <f>"21784"</f>
        <v>21784</v>
      </c>
      <c r="H5676" s="19" t="s">
        <v>32334</v>
      </c>
      <c r="I5676" s="20">
        <v>19.321999999999999</v>
      </c>
      <c r="J5676" s="44" t="s">
        <v>8</v>
      </c>
      <c r="K5676" s="23" t="s">
        <v>8</v>
      </c>
      <c r="L5676" s="23" t="s">
        <v>8</v>
      </c>
      <c r="M5676" s="23" t="s">
        <v>8</v>
      </c>
    </row>
    <row r="5677" spans="1:13" s="21" customFormat="1" x14ac:dyDescent="0.25">
      <c r="A5677" s="22" t="s">
        <v>8</v>
      </c>
      <c r="B5677" s="18" t="str">
        <f>"215132"</f>
        <v>215132</v>
      </c>
      <c r="C5677" s="19" t="s">
        <v>5600</v>
      </c>
      <c r="D5677" s="19" t="s">
        <v>21103</v>
      </c>
      <c r="E5677" s="19" t="s">
        <v>31440</v>
      </c>
      <c r="F5677" s="19" t="s">
        <v>35994</v>
      </c>
      <c r="G5677" s="18" t="str">
        <f>"21802"</f>
        <v>21802</v>
      </c>
      <c r="H5677" s="19" t="s">
        <v>36401</v>
      </c>
      <c r="I5677" s="20">
        <v>18.533000000000001</v>
      </c>
      <c r="J5677" s="44" t="s">
        <v>8</v>
      </c>
      <c r="K5677" s="23" t="s">
        <v>8</v>
      </c>
      <c r="L5677" s="23" t="s">
        <v>8</v>
      </c>
      <c r="M5677" s="23" t="s">
        <v>8</v>
      </c>
    </row>
    <row r="5678" spans="1:13" s="21" customFormat="1" x14ac:dyDescent="0.25">
      <c r="A5678" s="22" t="s">
        <v>8</v>
      </c>
      <c r="B5678" s="18" t="str">
        <f>"215133"</f>
        <v>215133</v>
      </c>
      <c r="C5678" s="19" t="s">
        <v>5601</v>
      </c>
      <c r="D5678" s="19" t="s">
        <v>21104</v>
      </c>
      <c r="E5678" s="19" t="s">
        <v>31313</v>
      </c>
      <c r="F5678" s="19" t="s">
        <v>35994</v>
      </c>
      <c r="G5678" s="18" t="str">
        <f>"21157"</f>
        <v>21157</v>
      </c>
      <c r="H5678" s="19" t="s">
        <v>32334</v>
      </c>
      <c r="I5678" s="20">
        <v>19.606000000000002</v>
      </c>
      <c r="J5678" s="44" t="s">
        <v>8</v>
      </c>
      <c r="K5678" s="23" t="s">
        <v>8</v>
      </c>
      <c r="L5678" s="23" t="s">
        <v>8</v>
      </c>
      <c r="M5678" s="23" t="s">
        <v>8</v>
      </c>
    </row>
    <row r="5679" spans="1:13" s="21" customFormat="1" x14ac:dyDescent="0.25">
      <c r="A5679" s="22" t="s">
        <v>8</v>
      </c>
      <c r="B5679" s="18" t="str">
        <f>"215134"</f>
        <v>215134</v>
      </c>
      <c r="C5679" s="19" t="s">
        <v>5602</v>
      </c>
      <c r="D5679" s="19" t="s">
        <v>21105</v>
      </c>
      <c r="E5679" s="19" t="s">
        <v>32954</v>
      </c>
      <c r="F5679" s="19" t="s">
        <v>35994</v>
      </c>
      <c r="G5679" s="18" t="str">
        <f>"21851"</f>
        <v>21851</v>
      </c>
      <c r="H5679" s="19" t="s">
        <v>33002</v>
      </c>
      <c r="I5679" s="20">
        <v>19.187000000000001</v>
      </c>
      <c r="J5679" s="44" t="s">
        <v>8</v>
      </c>
      <c r="K5679" s="23" t="s">
        <v>8</v>
      </c>
      <c r="L5679" s="23" t="s">
        <v>8</v>
      </c>
      <c r="M5679" s="23" t="s">
        <v>8</v>
      </c>
    </row>
    <row r="5680" spans="1:13" s="21" customFormat="1" x14ac:dyDescent="0.25">
      <c r="A5680" s="22" t="s">
        <v>8</v>
      </c>
      <c r="B5680" s="18" t="str">
        <f>"215135"</f>
        <v>215135</v>
      </c>
      <c r="C5680" s="19" t="s">
        <v>3667</v>
      </c>
      <c r="D5680" s="19" t="s">
        <v>21106</v>
      </c>
      <c r="E5680" s="19" t="s">
        <v>32955</v>
      </c>
      <c r="F5680" s="19" t="s">
        <v>35994</v>
      </c>
      <c r="G5680" s="18" t="str">
        <f>"21222"</f>
        <v>21222</v>
      </c>
      <c r="H5680" s="19" t="s">
        <v>32930</v>
      </c>
      <c r="I5680" s="20">
        <v>17.257000000000001</v>
      </c>
      <c r="J5680" s="44" t="s">
        <v>8</v>
      </c>
      <c r="K5680" s="23" t="s">
        <v>8</v>
      </c>
      <c r="L5680" s="23" t="s">
        <v>8</v>
      </c>
      <c r="M5680" s="23" t="s">
        <v>8</v>
      </c>
    </row>
    <row r="5681" spans="1:13" s="21" customFormat="1" x14ac:dyDescent="0.25">
      <c r="A5681" s="22" t="s">
        <v>8</v>
      </c>
      <c r="B5681" s="18" t="str">
        <f>"215136"</f>
        <v>215136</v>
      </c>
      <c r="C5681" s="19" t="s">
        <v>5603</v>
      </c>
      <c r="D5681" s="19" t="s">
        <v>21107</v>
      </c>
      <c r="E5681" s="19" t="s">
        <v>32953</v>
      </c>
      <c r="F5681" s="19" t="s">
        <v>35994</v>
      </c>
      <c r="G5681" s="18" t="str">
        <f>"21784"</f>
        <v>21784</v>
      </c>
      <c r="H5681" s="19" t="s">
        <v>32334</v>
      </c>
      <c r="I5681" s="20">
        <v>18.952999999999999</v>
      </c>
      <c r="J5681" s="44" t="s">
        <v>8</v>
      </c>
      <c r="K5681" s="23" t="s">
        <v>8</v>
      </c>
      <c r="L5681" s="23" t="s">
        <v>8</v>
      </c>
      <c r="M5681" s="23" t="s">
        <v>8</v>
      </c>
    </row>
    <row r="5682" spans="1:13" s="21" customFormat="1" x14ac:dyDescent="0.25">
      <c r="A5682" s="22" t="s">
        <v>8</v>
      </c>
      <c r="B5682" s="18" t="str">
        <f>"215137"</f>
        <v>215137</v>
      </c>
      <c r="C5682" s="19" t="s">
        <v>5604</v>
      </c>
      <c r="D5682" s="19" t="s">
        <v>21108</v>
      </c>
      <c r="E5682" s="19" t="s">
        <v>32639</v>
      </c>
      <c r="F5682" s="19" t="s">
        <v>35994</v>
      </c>
      <c r="G5682" s="18" t="str">
        <f>"21601"</f>
        <v>21601</v>
      </c>
      <c r="H5682" s="19" t="s">
        <v>36402</v>
      </c>
      <c r="I5682" s="20">
        <v>20.050999999999998</v>
      </c>
      <c r="J5682" s="44" t="s">
        <v>8</v>
      </c>
      <c r="K5682" s="23" t="s">
        <v>8</v>
      </c>
      <c r="L5682" s="23" t="s">
        <v>8</v>
      </c>
      <c r="M5682" s="23" t="s">
        <v>8</v>
      </c>
    </row>
    <row r="5683" spans="1:13" s="21" customFormat="1" x14ac:dyDescent="0.25">
      <c r="A5683" s="22" t="s">
        <v>8</v>
      </c>
      <c r="B5683" s="18" t="str">
        <f>"215138"</f>
        <v>215138</v>
      </c>
      <c r="C5683" s="19" t="s">
        <v>5605</v>
      </c>
      <c r="D5683" s="19" t="s">
        <v>21109</v>
      </c>
      <c r="E5683" s="19" t="s">
        <v>32956</v>
      </c>
      <c r="F5683" s="19" t="s">
        <v>35994</v>
      </c>
      <c r="G5683" s="18" t="str">
        <f>"21060"</f>
        <v>21060</v>
      </c>
      <c r="H5683" s="19" t="s">
        <v>36400</v>
      </c>
      <c r="I5683" s="20">
        <v>18.613</v>
      </c>
      <c r="J5683" s="44" t="s">
        <v>8</v>
      </c>
      <c r="K5683" s="23" t="s">
        <v>8</v>
      </c>
      <c r="L5683" s="23" t="s">
        <v>8</v>
      </c>
      <c r="M5683" s="23" t="s">
        <v>8</v>
      </c>
    </row>
    <row r="5684" spans="1:13" s="21" customFormat="1" x14ac:dyDescent="0.25">
      <c r="A5684" s="22" t="s">
        <v>8</v>
      </c>
      <c r="B5684" s="18" t="str">
        <f>"215141"</f>
        <v>215141</v>
      </c>
      <c r="C5684" s="19" t="s">
        <v>5606</v>
      </c>
      <c r="D5684" s="19" t="s">
        <v>21110</v>
      </c>
      <c r="E5684" s="19" t="s">
        <v>32957</v>
      </c>
      <c r="F5684" s="19" t="s">
        <v>35994</v>
      </c>
      <c r="G5684" s="18" t="str">
        <f>"20707"</f>
        <v>20707</v>
      </c>
      <c r="H5684" s="19" t="s">
        <v>36403</v>
      </c>
      <c r="I5684" s="20">
        <v>18.186</v>
      </c>
      <c r="J5684" s="44" t="s">
        <v>8</v>
      </c>
      <c r="K5684" s="23" t="s">
        <v>8</v>
      </c>
      <c r="L5684" s="23" t="s">
        <v>8</v>
      </c>
      <c r="M5684" s="23" t="s">
        <v>8</v>
      </c>
    </row>
    <row r="5685" spans="1:13" s="21" customFormat="1" x14ac:dyDescent="0.25">
      <c r="A5685" s="22" t="s">
        <v>8</v>
      </c>
      <c r="B5685" s="18" t="str">
        <f>"215142"</f>
        <v>215142</v>
      </c>
      <c r="C5685" s="19" t="s">
        <v>5607</v>
      </c>
      <c r="D5685" s="19" t="s">
        <v>21111</v>
      </c>
      <c r="E5685" s="19" t="s">
        <v>32958</v>
      </c>
      <c r="F5685" s="19" t="s">
        <v>35994</v>
      </c>
      <c r="G5685" s="18" t="str">
        <f>"20653"</f>
        <v>20653</v>
      </c>
      <c r="H5685" s="19" t="s">
        <v>31847</v>
      </c>
      <c r="I5685" s="20">
        <v>19.390999999999998</v>
      </c>
      <c r="J5685" s="44" t="s">
        <v>8</v>
      </c>
      <c r="K5685" s="23" t="s">
        <v>8</v>
      </c>
      <c r="L5685" s="23" t="s">
        <v>8</v>
      </c>
      <c r="M5685" s="23" t="s">
        <v>8</v>
      </c>
    </row>
    <row r="5686" spans="1:13" s="21" customFormat="1" x14ac:dyDescent="0.25">
      <c r="A5686" s="22" t="s">
        <v>8</v>
      </c>
      <c r="B5686" s="18" t="str">
        <f>"215143"</f>
        <v>215143</v>
      </c>
      <c r="C5686" s="19" t="s">
        <v>5608</v>
      </c>
      <c r="D5686" s="19" t="s">
        <v>21112</v>
      </c>
      <c r="E5686" s="19" t="s">
        <v>32959</v>
      </c>
      <c r="F5686" s="19" t="s">
        <v>35994</v>
      </c>
      <c r="G5686" s="18" t="str">
        <f>"21146"</f>
        <v>21146</v>
      </c>
      <c r="H5686" s="19" t="s">
        <v>36400</v>
      </c>
      <c r="I5686" s="20">
        <v>21.539000000000001</v>
      </c>
      <c r="J5686" s="44" t="s">
        <v>8</v>
      </c>
      <c r="K5686" s="23" t="s">
        <v>8</v>
      </c>
      <c r="L5686" s="23" t="s">
        <v>8</v>
      </c>
      <c r="M5686" s="23" t="s">
        <v>8</v>
      </c>
    </row>
    <row r="5687" spans="1:13" s="21" customFormat="1" x14ac:dyDescent="0.25">
      <c r="A5687" s="22" t="s">
        <v>8</v>
      </c>
      <c r="B5687" s="18" t="str">
        <f>"215144"</f>
        <v>215144</v>
      </c>
      <c r="C5687" s="19" t="s">
        <v>5609</v>
      </c>
      <c r="D5687" s="19" t="s">
        <v>21113</v>
      </c>
      <c r="E5687" s="19" t="s">
        <v>32960</v>
      </c>
      <c r="F5687" s="19" t="s">
        <v>35994</v>
      </c>
      <c r="G5687" s="18" t="str">
        <f>"21713"</f>
        <v>21713</v>
      </c>
      <c r="H5687" s="19" t="s">
        <v>31500</v>
      </c>
      <c r="I5687" s="20">
        <v>23.605</v>
      </c>
      <c r="J5687" s="44" t="s">
        <v>8</v>
      </c>
      <c r="K5687" s="23" t="s">
        <v>8</v>
      </c>
      <c r="L5687" s="23" t="s">
        <v>8</v>
      </c>
      <c r="M5687" s="23" t="s">
        <v>8</v>
      </c>
    </row>
    <row r="5688" spans="1:13" s="21" customFormat="1" x14ac:dyDescent="0.25">
      <c r="A5688" s="22" t="s">
        <v>8</v>
      </c>
      <c r="B5688" s="18" t="str">
        <f>"215145"</f>
        <v>215145</v>
      </c>
      <c r="C5688" s="19" t="s">
        <v>5610</v>
      </c>
      <c r="D5688" s="19" t="s">
        <v>21114</v>
      </c>
      <c r="E5688" s="19" t="s">
        <v>32931</v>
      </c>
      <c r="F5688" s="19" t="s">
        <v>35994</v>
      </c>
      <c r="G5688" s="18" t="str">
        <f>"20782"</f>
        <v>20782</v>
      </c>
      <c r="H5688" s="19" t="s">
        <v>36403</v>
      </c>
      <c r="I5688" s="20">
        <v>17.201000000000001</v>
      </c>
      <c r="J5688" s="44" t="s">
        <v>8</v>
      </c>
      <c r="K5688" s="23" t="s">
        <v>8</v>
      </c>
      <c r="L5688" s="23" t="s">
        <v>8</v>
      </c>
      <c r="M5688" s="23" t="s">
        <v>8</v>
      </c>
    </row>
    <row r="5689" spans="1:13" s="21" customFormat="1" x14ac:dyDescent="0.25">
      <c r="A5689" s="22" t="s">
        <v>8</v>
      </c>
      <c r="B5689" s="18" t="str">
        <f>"215146"</f>
        <v>215146</v>
      </c>
      <c r="C5689" s="19" t="s">
        <v>5611</v>
      </c>
      <c r="D5689" s="19" t="s">
        <v>21115</v>
      </c>
      <c r="E5689" s="19" t="s">
        <v>32961</v>
      </c>
      <c r="F5689" s="19" t="s">
        <v>35994</v>
      </c>
      <c r="G5689" s="18" t="str">
        <f>"20744"</f>
        <v>20744</v>
      </c>
      <c r="H5689" s="19" t="s">
        <v>36403</v>
      </c>
      <c r="I5689" s="20">
        <v>16.396000000000001</v>
      </c>
      <c r="J5689" s="44" t="s">
        <v>8</v>
      </c>
      <c r="K5689" s="23" t="s">
        <v>8</v>
      </c>
      <c r="L5689" s="23" t="s">
        <v>8</v>
      </c>
      <c r="M5689" s="23" t="s">
        <v>8</v>
      </c>
    </row>
    <row r="5690" spans="1:13" s="21" customFormat="1" x14ac:dyDescent="0.25">
      <c r="A5690" s="22" t="s">
        <v>8</v>
      </c>
      <c r="B5690" s="18" t="str">
        <f>"215147"</f>
        <v>215147</v>
      </c>
      <c r="C5690" s="19" t="s">
        <v>5612</v>
      </c>
      <c r="D5690" s="19" t="s">
        <v>21116</v>
      </c>
      <c r="E5690" s="19" t="s">
        <v>32930</v>
      </c>
      <c r="F5690" s="19" t="s">
        <v>35994</v>
      </c>
      <c r="G5690" s="18" t="str">
        <f>"21224"</f>
        <v>21224</v>
      </c>
      <c r="H5690" s="19" t="s">
        <v>36404</v>
      </c>
      <c r="I5690" s="20">
        <v>19.384</v>
      </c>
      <c r="J5690" s="44" t="s">
        <v>8</v>
      </c>
      <c r="K5690" s="23" t="s">
        <v>8</v>
      </c>
      <c r="L5690" s="23" t="s">
        <v>8</v>
      </c>
      <c r="M5690" s="23" t="s">
        <v>8</v>
      </c>
    </row>
    <row r="5691" spans="1:13" s="21" customFormat="1" x14ac:dyDescent="0.25">
      <c r="A5691" s="22" t="s">
        <v>8</v>
      </c>
      <c r="B5691" s="18" t="str">
        <f>"215148"</f>
        <v>215148</v>
      </c>
      <c r="C5691" s="19" t="s">
        <v>5613</v>
      </c>
      <c r="D5691" s="19" t="s">
        <v>21117</v>
      </c>
      <c r="E5691" s="19" t="s">
        <v>32962</v>
      </c>
      <c r="F5691" s="19" t="s">
        <v>35994</v>
      </c>
      <c r="G5691" s="18" t="str">
        <f>"21054"</f>
        <v>21054</v>
      </c>
      <c r="H5691" s="19" t="s">
        <v>36400</v>
      </c>
      <c r="I5691" s="20">
        <v>18.975000000000001</v>
      </c>
      <c r="J5691" s="44" t="s">
        <v>8</v>
      </c>
      <c r="K5691" s="23" t="s">
        <v>8</v>
      </c>
      <c r="L5691" s="23" t="s">
        <v>8</v>
      </c>
      <c r="M5691" s="23" t="s">
        <v>8</v>
      </c>
    </row>
    <row r="5692" spans="1:13" s="21" customFormat="1" x14ac:dyDescent="0.25">
      <c r="A5692" s="22" t="s">
        <v>8</v>
      </c>
      <c r="B5692" s="18" t="str">
        <f>"215149"</f>
        <v>215149</v>
      </c>
      <c r="C5692" s="19" t="s">
        <v>5614</v>
      </c>
      <c r="D5692" s="19" t="s">
        <v>21118</v>
      </c>
      <c r="E5692" s="19" t="s">
        <v>32938</v>
      </c>
      <c r="F5692" s="19" t="s">
        <v>35994</v>
      </c>
      <c r="G5692" s="18" t="str">
        <f>"21629"</f>
        <v>21629</v>
      </c>
      <c r="H5692" s="19" t="s">
        <v>36406</v>
      </c>
      <c r="I5692" s="20">
        <v>20.702000000000002</v>
      </c>
      <c r="J5692" s="44" t="s">
        <v>8</v>
      </c>
      <c r="K5692" s="23" t="s">
        <v>8</v>
      </c>
      <c r="L5692" s="23" t="s">
        <v>8</v>
      </c>
      <c r="M5692" s="23" t="s">
        <v>8</v>
      </c>
    </row>
    <row r="5693" spans="1:13" s="21" customFormat="1" x14ac:dyDescent="0.25">
      <c r="A5693" s="22" t="s">
        <v>8</v>
      </c>
      <c r="B5693" s="18" t="str">
        <f>"215151"</f>
        <v>215151</v>
      </c>
      <c r="C5693" s="19" t="s">
        <v>5615</v>
      </c>
      <c r="D5693" s="19" t="s">
        <v>21119</v>
      </c>
      <c r="E5693" s="19" t="s">
        <v>32944</v>
      </c>
      <c r="F5693" s="19" t="s">
        <v>35994</v>
      </c>
      <c r="G5693" s="18" t="str">
        <f>"20646"</f>
        <v>20646</v>
      </c>
      <c r="H5693" s="19" t="s">
        <v>36407</v>
      </c>
      <c r="I5693" s="20">
        <v>18.759</v>
      </c>
      <c r="J5693" s="44" t="s">
        <v>8</v>
      </c>
      <c r="K5693" s="23" t="s">
        <v>8</v>
      </c>
      <c r="L5693" s="23" t="s">
        <v>8</v>
      </c>
      <c r="M5693" s="23" t="s">
        <v>8</v>
      </c>
    </row>
    <row r="5694" spans="1:13" s="21" customFormat="1" x14ac:dyDescent="0.25">
      <c r="A5694" s="22" t="s">
        <v>8</v>
      </c>
      <c r="B5694" s="18" t="str">
        <f>"215154"</f>
        <v>215154</v>
      </c>
      <c r="C5694" s="19" t="s">
        <v>5616</v>
      </c>
      <c r="D5694" s="19" t="s">
        <v>21120</v>
      </c>
      <c r="E5694" s="19" t="s">
        <v>32930</v>
      </c>
      <c r="F5694" s="19" t="s">
        <v>35994</v>
      </c>
      <c r="G5694" s="18" t="str">
        <f>"21211"</f>
        <v>21211</v>
      </c>
      <c r="H5694" s="19" t="s">
        <v>36404</v>
      </c>
      <c r="I5694" s="20">
        <v>19.015999999999998</v>
      </c>
      <c r="J5694" s="44" t="s">
        <v>8</v>
      </c>
      <c r="K5694" s="23" t="s">
        <v>8</v>
      </c>
      <c r="L5694" s="23" t="s">
        <v>8</v>
      </c>
      <c r="M5694" s="23" t="s">
        <v>8</v>
      </c>
    </row>
    <row r="5695" spans="1:13" s="21" customFormat="1" x14ac:dyDescent="0.25">
      <c r="A5695" s="22" t="s">
        <v>8</v>
      </c>
      <c r="B5695" s="18" t="str">
        <f>"215160"</f>
        <v>215160</v>
      </c>
      <c r="C5695" s="19" t="s">
        <v>5617</v>
      </c>
      <c r="D5695" s="19" t="s">
        <v>21121</v>
      </c>
      <c r="E5695" s="19" t="s">
        <v>32963</v>
      </c>
      <c r="F5695" s="19" t="s">
        <v>35994</v>
      </c>
      <c r="G5695" s="18" t="str">
        <f>"21043"</f>
        <v>21043</v>
      </c>
      <c r="H5695" s="19" t="s">
        <v>32644</v>
      </c>
      <c r="I5695" s="20">
        <v>17.268999999999998</v>
      </c>
      <c r="J5695" s="44" t="s">
        <v>8</v>
      </c>
      <c r="K5695" s="23" t="s">
        <v>8</v>
      </c>
      <c r="L5695" s="23" t="s">
        <v>8</v>
      </c>
      <c r="M5695" s="23" t="s">
        <v>8</v>
      </c>
    </row>
    <row r="5696" spans="1:13" s="21" customFormat="1" x14ac:dyDescent="0.25">
      <c r="A5696" s="22" t="s">
        <v>8</v>
      </c>
      <c r="B5696" s="18" t="str">
        <f>"215161"</f>
        <v>215161</v>
      </c>
      <c r="C5696" s="19" t="s">
        <v>5618</v>
      </c>
      <c r="D5696" s="19" t="s">
        <v>21122</v>
      </c>
      <c r="E5696" s="19" t="s">
        <v>32964</v>
      </c>
      <c r="F5696" s="19" t="s">
        <v>35994</v>
      </c>
      <c r="G5696" s="18" t="str">
        <f>"20622"</f>
        <v>20622</v>
      </c>
      <c r="H5696" s="19" t="s">
        <v>31847</v>
      </c>
      <c r="I5696" s="20">
        <v>16.63</v>
      </c>
      <c r="J5696" s="44" t="s">
        <v>8</v>
      </c>
      <c r="K5696" s="23" t="s">
        <v>8</v>
      </c>
      <c r="L5696" s="23" t="s">
        <v>8</v>
      </c>
      <c r="M5696" s="23" t="s">
        <v>8</v>
      </c>
    </row>
    <row r="5697" spans="1:13" s="21" customFormat="1" x14ac:dyDescent="0.25">
      <c r="A5697" s="22" t="s">
        <v>8</v>
      </c>
      <c r="B5697" s="18" t="str">
        <f>"215164"</f>
        <v>215164</v>
      </c>
      <c r="C5697" s="19" t="s">
        <v>5619</v>
      </c>
      <c r="D5697" s="19" t="s">
        <v>21123</v>
      </c>
      <c r="E5697" s="19" t="s">
        <v>31421</v>
      </c>
      <c r="F5697" s="19" t="s">
        <v>35994</v>
      </c>
      <c r="G5697" s="18" t="str">
        <f>"20850"</f>
        <v>20850</v>
      </c>
      <c r="H5697" s="19" t="s">
        <v>30833</v>
      </c>
      <c r="I5697" s="20">
        <v>19.946000000000002</v>
      </c>
      <c r="J5697" s="44" t="s">
        <v>8</v>
      </c>
      <c r="K5697" s="23" t="s">
        <v>8</v>
      </c>
      <c r="L5697" s="23" t="s">
        <v>8</v>
      </c>
      <c r="M5697" s="23" t="s">
        <v>8</v>
      </c>
    </row>
    <row r="5698" spans="1:13" s="21" customFormat="1" x14ac:dyDescent="0.25">
      <c r="A5698" s="22" t="s">
        <v>8</v>
      </c>
      <c r="B5698" s="18" t="str">
        <f>"215165"</f>
        <v>215165</v>
      </c>
      <c r="C5698" s="19" t="s">
        <v>5620</v>
      </c>
      <c r="D5698" s="19" t="s">
        <v>21124</v>
      </c>
      <c r="E5698" s="19" t="s">
        <v>31081</v>
      </c>
      <c r="F5698" s="19" t="s">
        <v>35994</v>
      </c>
      <c r="G5698" s="18" t="str">
        <f>"20735"</f>
        <v>20735</v>
      </c>
      <c r="H5698" s="19" t="s">
        <v>36403</v>
      </c>
      <c r="I5698" s="20">
        <v>22.175000000000001</v>
      </c>
      <c r="J5698" s="44" t="s">
        <v>8</v>
      </c>
      <c r="K5698" s="23" t="s">
        <v>8</v>
      </c>
      <c r="L5698" s="23" t="s">
        <v>8</v>
      </c>
      <c r="M5698" s="23" t="s">
        <v>8</v>
      </c>
    </row>
    <row r="5699" spans="1:13" s="21" customFormat="1" x14ac:dyDescent="0.25">
      <c r="A5699" s="22" t="s">
        <v>8</v>
      </c>
      <c r="B5699" s="18" t="str">
        <f>"215168"</f>
        <v>215168</v>
      </c>
      <c r="C5699" s="19" t="s">
        <v>5621</v>
      </c>
      <c r="D5699" s="19" t="s">
        <v>21125</v>
      </c>
      <c r="E5699" s="19" t="s">
        <v>15103</v>
      </c>
      <c r="F5699" s="19" t="s">
        <v>35994</v>
      </c>
      <c r="G5699" s="18" t="str">
        <f>"20906"</f>
        <v>20906</v>
      </c>
      <c r="H5699" s="19" t="s">
        <v>30833</v>
      </c>
      <c r="I5699" s="20">
        <v>21.323</v>
      </c>
      <c r="J5699" s="44" t="s">
        <v>8</v>
      </c>
      <c r="K5699" s="23" t="s">
        <v>8</v>
      </c>
      <c r="L5699" s="23" t="s">
        <v>8</v>
      </c>
      <c r="M5699" s="23" t="s">
        <v>8</v>
      </c>
    </row>
    <row r="5700" spans="1:13" s="21" customFormat="1" x14ac:dyDescent="0.25">
      <c r="A5700" s="22" t="s">
        <v>8</v>
      </c>
      <c r="B5700" s="18" t="str">
        <f>"215171"</f>
        <v>215171</v>
      </c>
      <c r="C5700" s="19" t="s">
        <v>5622</v>
      </c>
      <c r="D5700" s="19" t="s">
        <v>21126</v>
      </c>
      <c r="E5700" s="19" t="s">
        <v>32965</v>
      </c>
      <c r="F5700" s="19" t="s">
        <v>35994</v>
      </c>
      <c r="G5700" s="18" t="str">
        <f>"20854"</f>
        <v>20854</v>
      </c>
      <c r="H5700" s="19" t="s">
        <v>30833</v>
      </c>
      <c r="I5700" s="20">
        <v>16.593</v>
      </c>
      <c r="J5700" s="44" t="s">
        <v>8</v>
      </c>
      <c r="K5700" s="23" t="s">
        <v>8</v>
      </c>
      <c r="L5700" s="23" t="s">
        <v>8</v>
      </c>
      <c r="M5700" s="23" t="s">
        <v>8</v>
      </c>
    </row>
    <row r="5701" spans="1:13" s="21" customFormat="1" x14ac:dyDescent="0.25">
      <c r="A5701" s="22" t="s">
        <v>8</v>
      </c>
      <c r="B5701" s="18" t="str">
        <f>"215174"</f>
        <v>215174</v>
      </c>
      <c r="C5701" s="19" t="s">
        <v>5623</v>
      </c>
      <c r="D5701" s="19" t="s">
        <v>21127</v>
      </c>
      <c r="E5701" s="19" t="s">
        <v>32928</v>
      </c>
      <c r="F5701" s="19" t="s">
        <v>35994</v>
      </c>
      <c r="G5701" s="18" t="str">
        <f>"21401"</f>
        <v>21401</v>
      </c>
      <c r="H5701" s="19" t="s">
        <v>36400</v>
      </c>
      <c r="I5701" s="20">
        <v>18.45</v>
      </c>
      <c r="J5701" s="44" t="s">
        <v>8</v>
      </c>
      <c r="K5701" s="23" t="s">
        <v>8</v>
      </c>
      <c r="L5701" s="23" t="s">
        <v>8</v>
      </c>
      <c r="M5701" s="23" t="s">
        <v>8</v>
      </c>
    </row>
    <row r="5702" spans="1:13" s="21" customFormat="1" x14ac:dyDescent="0.25">
      <c r="A5702" s="22" t="s">
        <v>8</v>
      </c>
      <c r="B5702" s="18" t="str">
        <f>"215176"</f>
        <v>215176</v>
      </c>
      <c r="C5702" s="19" t="s">
        <v>5624</v>
      </c>
      <c r="D5702" s="19" t="s">
        <v>21128</v>
      </c>
      <c r="E5702" s="19" t="s">
        <v>32930</v>
      </c>
      <c r="F5702" s="19" t="s">
        <v>35994</v>
      </c>
      <c r="G5702" s="18" t="str">
        <f>"21224"</f>
        <v>21224</v>
      </c>
      <c r="H5702" s="19" t="s">
        <v>36404</v>
      </c>
      <c r="I5702" s="20">
        <v>19.827999999999999</v>
      </c>
      <c r="J5702" s="44" t="s">
        <v>8</v>
      </c>
      <c r="K5702" s="23" t="s">
        <v>8</v>
      </c>
      <c r="L5702" s="23" t="s">
        <v>8</v>
      </c>
      <c r="M5702" s="23" t="s">
        <v>8</v>
      </c>
    </row>
    <row r="5703" spans="1:13" s="21" customFormat="1" x14ac:dyDescent="0.25">
      <c r="A5703" s="22" t="s">
        <v>8</v>
      </c>
      <c r="B5703" s="18" t="str">
        <f>"215177"</f>
        <v>215177</v>
      </c>
      <c r="C5703" s="19" t="s">
        <v>5625</v>
      </c>
      <c r="D5703" s="19" t="s">
        <v>21129</v>
      </c>
      <c r="E5703" s="19" t="s">
        <v>32957</v>
      </c>
      <c r="F5703" s="19" t="s">
        <v>35994</v>
      </c>
      <c r="G5703" s="18" t="str">
        <f>"20708"</f>
        <v>20708</v>
      </c>
      <c r="H5703" s="19" t="s">
        <v>36403</v>
      </c>
      <c r="I5703" s="20">
        <v>23.891999999999999</v>
      </c>
      <c r="J5703" s="44" t="s">
        <v>8</v>
      </c>
      <c r="K5703" s="23" t="s">
        <v>8</v>
      </c>
      <c r="L5703" s="23" t="s">
        <v>8</v>
      </c>
      <c r="M5703" s="23" t="s">
        <v>8</v>
      </c>
    </row>
    <row r="5704" spans="1:13" s="21" customFormat="1" x14ac:dyDescent="0.25">
      <c r="A5704" s="22" t="s">
        <v>8</v>
      </c>
      <c r="B5704" s="18" t="str">
        <f>"215178"</f>
        <v>215178</v>
      </c>
      <c r="C5704" s="19" t="s">
        <v>5626</v>
      </c>
      <c r="D5704" s="19" t="s">
        <v>21130</v>
      </c>
      <c r="E5704" s="19" t="s">
        <v>32942</v>
      </c>
      <c r="F5704" s="19" t="s">
        <v>35994</v>
      </c>
      <c r="G5704" s="18" t="str">
        <f>"21228"</f>
        <v>21228</v>
      </c>
      <c r="H5704" s="19" t="s">
        <v>32930</v>
      </c>
      <c r="I5704" s="20">
        <v>17.856000000000002</v>
      </c>
      <c r="J5704" s="44" t="s">
        <v>8</v>
      </c>
      <c r="K5704" s="23" t="s">
        <v>8</v>
      </c>
      <c r="L5704" s="23" t="s">
        <v>8</v>
      </c>
      <c r="M5704" s="23" t="s">
        <v>8</v>
      </c>
    </row>
    <row r="5705" spans="1:13" s="21" customFormat="1" x14ac:dyDescent="0.25">
      <c r="A5705" s="22" t="s">
        <v>8</v>
      </c>
      <c r="B5705" s="18" t="str">
        <f>"215179"</f>
        <v>215179</v>
      </c>
      <c r="C5705" s="19" t="s">
        <v>5627</v>
      </c>
      <c r="D5705" s="19" t="s">
        <v>21131</v>
      </c>
      <c r="E5705" s="19" t="s">
        <v>32966</v>
      </c>
      <c r="F5705" s="19" t="s">
        <v>35994</v>
      </c>
      <c r="G5705" s="18" t="str">
        <f>"21853"</f>
        <v>21853</v>
      </c>
      <c r="H5705" s="19" t="s">
        <v>32705</v>
      </c>
      <c r="I5705" s="20">
        <v>19.087</v>
      </c>
      <c r="J5705" s="44" t="s">
        <v>8</v>
      </c>
      <c r="K5705" s="23" t="s">
        <v>8</v>
      </c>
      <c r="L5705" s="23" t="s">
        <v>8</v>
      </c>
      <c r="M5705" s="23" t="s">
        <v>8</v>
      </c>
    </row>
    <row r="5706" spans="1:13" s="21" customFormat="1" x14ac:dyDescent="0.25">
      <c r="A5706" s="22" t="s">
        <v>8</v>
      </c>
      <c r="B5706" s="18" t="str">
        <f>"215180"</f>
        <v>215180</v>
      </c>
      <c r="C5706" s="19" t="s">
        <v>5628</v>
      </c>
      <c r="D5706" s="19" t="s">
        <v>21132</v>
      </c>
      <c r="E5706" s="19" t="s">
        <v>32410</v>
      </c>
      <c r="F5706" s="19" t="s">
        <v>35994</v>
      </c>
      <c r="G5706" s="18" t="str">
        <f>"20721"</f>
        <v>20721</v>
      </c>
      <c r="H5706" s="19" t="s">
        <v>36403</v>
      </c>
      <c r="I5706" s="20">
        <v>18.433</v>
      </c>
      <c r="J5706" s="44" t="s">
        <v>8</v>
      </c>
      <c r="K5706" s="23" t="s">
        <v>8</v>
      </c>
      <c r="L5706" s="23" t="s">
        <v>8</v>
      </c>
      <c r="M5706" s="23" t="s">
        <v>8</v>
      </c>
    </row>
    <row r="5707" spans="1:13" s="21" customFormat="1" x14ac:dyDescent="0.25">
      <c r="A5707" s="22" t="s">
        <v>8</v>
      </c>
      <c r="B5707" s="18" t="str">
        <f>"215181"</f>
        <v>215181</v>
      </c>
      <c r="C5707" s="19" t="s">
        <v>4336</v>
      </c>
      <c r="D5707" s="19" t="s">
        <v>21133</v>
      </c>
      <c r="E5707" s="19" t="s">
        <v>32930</v>
      </c>
      <c r="F5707" s="19" t="s">
        <v>35994</v>
      </c>
      <c r="G5707" s="18" t="str">
        <f>"21220"</f>
        <v>21220</v>
      </c>
      <c r="H5707" s="19" t="s">
        <v>32930</v>
      </c>
      <c r="I5707" s="20">
        <v>18.634</v>
      </c>
      <c r="J5707" s="44" t="s">
        <v>8</v>
      </c>
      <c r="K5707" s="23" t="s">
        <v>8</v>
      </c>
      <c r="L5707" s="23" t="s">
        <v>8</v>
      </c>
      <c r="M5707" s="23" t="s">
        <v>8</v>
      </c>
    </row>
    <row r="5708" spans="1:13" s="21" customFormat="1" x14ac:dyDescent="0.25">
      <c r="A5708" s="22" t="s">
        <v>8</v>
      </c>
      <c r="B5708" s="18" t="str">
        <f>"215183"</f>
        <v>215183</v>
      </c>
      <c r="C5708" s="19" t="s">
        <v>5629</v>
      </c>
      <c r="D5708" s="19" t="s">
        <v>21134</v>
      </c>
      <c r="E5708" s="19" t="s">
        <v>32930</v>
      </c>
      <c r="F5708" s="19" t="s">
        <v>35994</v>
      </c>
      <c r="G5708" s="18" t="str">
        <f>"21223"</f>
        <v>21223</v>
      </c>
      <c r="H5708" s="19" t="s">
        <v>36404</v>
      </c>
      <c r="I5708" s="20">
        <v>23.701000000000001</v>
      </c>
      <c r="J5708" s="44" t="s">
        <v>8</v>
      </c>
      <c r="K5708" s="23" t="s">
        <v>8</v>
      </c>
      <c r="L5708" s="23" t="s">
        <v>8</v>
      </c>
      <c r="M5708" s="23" t="s">
        <v>8</v>
      </c>
    </row>
    <row r="5709" spans="1:13" s="21" customFormat="1" x14ac:dyDescent="0.25">
      <c r="A5709" s="22" t="s">
        <v>8</v>
      </c>
      <c r="B5709" s="18" t="str">
        <f>"215184"</f>
        <v>215184</v>
      </c>
      <c r="C5709" s="19" t="s">
        <v>5630</v>
      </c>
      <c r="D5709" s="19" t="s">
        <v>21135</v>
      </c>
      <c r="E5709" s="19" t="s">
        <v>32927</v>
      </c>
      <c r="F5709" s="19" t="s">
        <v>35994</v>
      </c>
      <c r="G5709" s="18" t="str">
        <f>"21701"</f>
        <v>21701</v>
      </c>
      <c r="H5709" s="19" t="s">
        <v>32927</v>
      </c>
      <c r="I5709" s="20">
        <v>20.965</v>
      </c>
      <c r="J5709" s="44" t="s">
        <v>8</v>
      </c>
      <c r="K5709" s="23" t="s">
        <v>8</v>
      </c>
      <c r="L5709" s="23" t="s">
        <v>8</v>
      </c>
      <c r="M5709" s="23" t="s">
        <v>8</v>
      </c>
    </row>
    <row r="5710" spans="1:13" s="21" customFormat="1" x14ac:dyDescent="0.25">
      <c r="A5710" s="22" t="s">
        <v>8</v>
      </c>
      <c r="B5710" s="18" t="str">
        <f>"215186"</f>
        <v>215186</v>
      </c>
      <c r="C5710" s="19" t="s">
        <v>5631</v>
      </c>
      <c r="D5710" s="19" t="s">
        <v>21136</v>
      </c>
      <c r="E5710" s="19" t="s">
        <v>32967</v>
      </c>
      <c r="F5710" s="19" t="s">
        <v>35994</v>
      </c>
      <c r="G5710" s="18" t="str">
        <f>"21012"</f>
        <v>21012</v>
      </c>
      <c r="H5710" s="19" t="s">
        <v>36400</v>
      </c>
      <c r="I5710" s="20">
        <v>18.687000000000001</v>
      </c>
      <c r="J5710" s="44" t="s">
        <v>8</v>
      </c>
      <c r="K5710" s="23" t="s">
        <v>8</v>
      </c>
      <c r="L5710" s="23" t="s">
        <v>8</v>
      </c>
      <c r="M5710" s="23" t="s">
        <v>8</v>
      </c>
    </row>
    <row r="5711" spans="1:13" s="21" customFormat="1" x14ac:dyDescent="0.25">
      <c r="A5711" s="22" t="s">
        <v>8</v>
      </c>
      <c r="B5711" s="18" t="str">
        <f>"215187"</f>
        <v>215187</v>
      </c>
      <c r="C5711" s="19" t="s">
        <v>5632</v>
      </c>
      <c r="D5711" s="19" t="s">
        <v>21137</v>
      </c>
      <c r="E5711" s="19" t="s">
        <v>32941</v>
      </c>
      <c r="F5711" s="19" t="s">
        <v>35994</v>
      </c>
      <c r="G5711" s="18" t="str">
        <f>"20814"</f>
        <v>20814</v>
      </c>
      <c r="H5711" s="19" t="s">
        <v>30833</v>
      </c>
      <c r="I5711" s="20">
        <v>17.07</v>
      </c>
      <c r="J5711" s="44" t="s">
        <v>8</v>
      </c>
      <c r="K5711" s="23" t="s">
        <v>8</v>
      </c>
      <c r="L5711" s="23" t="s">
        <v>8</v>
      </c>
      <c r="M5711" s="23" t="s">
        <v>8</v>
      </c>
    </row>
    <row r="5712" spans="1:13" s="21" customFormat="1" x14ac:dyDescent="0.25">
      <c r="A5712" s="22" t="s">
        <v>8</v>
      </c>
      <c r="B5712" s="18" t="str">
        <f>"215188"</f>
        <v>215188</v>
      </c>
      <c r="C5712" s="19" t="s">
        <v>5633</v>
      </c>
      <c r="D5712" s="19" t="s">
        <v>21138</v>
      </c>
      <c r="E5712" s="19" t="s">
        <v>32968</v>
      </c>
      <c r="F5712" s="19" t="s">
        <v>35994</v>
      </c>
      <c r="G5712" s="18" t="str">
        <f>"20678"</f>
        <v>20678</v>
      </c>
      <c r="H5712" s="19" t="s">
        <v>36410</v>
      </c>
      <c r="I5712" s="20">
        <v>21.023</v>
      </c>
      <c r="J5712" s="44" t="s">
        <v>8</v>
      </c>
      <c r="K5712" s="23" t="s">
        <v>8</v>
      </c>
      <c r="L5712" s="23" t="s">
        <v>8</v>
      </c>
      <c r="M5712" s="23" t="s">
        <v>8</v>
      </c>
    </row>
    <row r="5713" spans="1:13" s="21" customFormat="1" x14ac:dyDescent="0.25">
      <c r="A5713" s="22" t="s">
        <v>8</v>
      </c>
      <c r="B5713" s="18" t="str">
        <f>"215189"</f>
        <v>215189</v>
      </c>
      <c r="C5713" s="19" t="s">
        <v>5634</v>
      </c>
      <c r="D5713" s="19" t="s">
        <v>21139</v>
      </c>
      <c r="E5713" s="19" t="s">
        <v>32278</v>
      </c>
      <c r="F5713" s="19" t="s">
        <v>35994</v>
      </c>
      <c r="G5713" s="18" t="str">
        <f>"21911"</f>
        <v>21911</v>
      </c>
      <c r="H5713" s="19" t="s">
        <v>36408</v>
      </c>
      <c r="I5713" s="20">
        <v>22.228000000000002</v>
      </c>
      <c r="J5713" s="44" t="s">
        <v>8</v>
      </c>
      <c r="K5713" s="23" t="s">
        <v>8</v>
      </c>
      <c r="L5713" s="23" t="s">
        <v>8</v>
      </c>
      <c r="M5713" s="23" t="s">
        <v>8</v>
      </c>
    </row>
    <row r="5714" spans="1:13" s="21" customFormat="1" x14ac:dyDescent="0.25">
      <c r="A5714" s="22" t="s">
        <v>8</v>
      </c>
      <c r="B5714" s="18" t="str">
        <f>"215191"</f>
        <v>215191</v>
      </c>
      <c r="C5714" s="19" t="s">
        <v>5635</v>
      </c>
      <c r="D5714" s="19" t="s">
        <v>21140</v>
      </c>
      <c r="E5714" s="19" t="s">
        <v>32969</v>
      </c>
      <c r="F5714" s="19" t="s">
        <v>35994</v>
      </c>
      <c r="G5714" s="18" t="str">
        <f>"21613"</f>
        <v>21613</v>
      </c>
      <c r="H5714" s="19" t="s">
        <v>33086</v>
      </c>
      <c r="I5714" s="20">
        <v>15.906000000000001</v>
      </c>
      <c r="J5714" s="44" t="s">
        <v>8</v>
      </c>
      <c r="K5714" s="23" t="s">
        <v>8</v>
      </c>
      <c r="L5714" s="23" t="s">
        <v>8</v>
      </c>
      <c r="M5714" s="23" t="s">
        <v>8</v>
      </c>
    </row>
    <row r="5715" spans="1:13" s="21" customFormat="1" x14ac:dyDescent="0.25">
      <c r="A5715" s="22" t="s">
        <v>8</v>
      </c>
      <c r="B5715" s="18" t="str">
        <f>"215192"</f>
        <v>215192</v>
      </c>
      <c r="C5715" s="19" t="s">
        <v>5636</v>
      </c>
      <c r="D5715" s="19" t="s">
        <v>21141</v>
      </c>
      <c r="E5715" s="19" t="s">
        <v>32970</v>
      </c>
      <c r="F5715" s="19" t="s">
        <v>35994</v>
      </c>
      <c r="G5715" s="18" t="str">
        <f>"21136"</f>
        <v>21136</v>
      </c>
      <c r="H5715" s="19" t="s">
        <v>32930</v>
      </c>
      <c r="I5715" s="20">
        <v>17.109000000000002</v>
      </c>
      <c r="J5715" s="44" t="s">
        <v>8</v>
      </c>
      <c r="K5715" s="23" t="s">
        <v>8</v>
      </c>
      <c r="L5715" s="23" t="s">
        <v>8</v>
      </c>
      <c r="M5715" s="23" t="s">
        <v>8</v>
      </c>
    </row>
    <row r="5716" spans="1:13" s="21" customFormat="1" x14ac:dyDescent="0.25">
      <c r="A5716" s="22" t="s">
        <v>8</v>
      </c>
      <c r="B5716" s="18" t="str">
        <f>"215193"</f>
        <v>215193</v>
      </c>
      <c r="C5716" s="19" t="s">
        <v>5637</v>
      </c>
      <c r="D5716" s="19" t="s">
        <v>21142</v>
      </c>
      <c r="E5716" s="19" t="s">
        <v>32930</v>
      </c>
      <c r="F5716" s="19" t="s">
        <v>35994</v>
      </c>
      <c r="G5716" s="18" t="str">
        <f>"21207"</f>
        <v>21207</v>
      </c>
      <c r="H5716" s="19" t="s">
        <v>32930</v>
      </c>
      <c r="I5716" s="20">
        <v>19.111999999999998</v>
      </c>
      <c r="J5716" s="44" t="s">
        <v>8</v>
      </c>
      <c r="K5716" s="23" t="s">
        <v>8</v>
      </c>
      <c r="L5716" s="23" t="s">
        <v>8</v>
      </c>
      <c r="M5716" s="23" t="s">
        <v>8</v>
      </c>
    </row>
    <row r="5717" spans="1:13" s="21" customFormat="1" x14ac:dyDescent="0.25">
      <c r="A5717" s="22" t="s">
        <v>8</v>
      </c>
      <c r="B5717" s="18" t="str">
        <f>"215194"</f>
        <v>215194</v>
      </c>
      <c r="C5717" s="19" t="s">
        <v>5638</v>
      </c>
      <c r="D5717" s="19" t="s">
        <v>21143</v>
      </c>
      <c r="E5717" s="19" t="s">
        <v>32971</v>
      </c>
      <c r="F5717" s="19" t="s">
        <v>35994</v>
      </c>
      <c r="G5717" s="18" t="str">
        <f>"21050"</f>
        <v>21050</v>
      </c>
      <c r="H5717" s="19" t="s">
        <v>36405</v>
      </c>
      <c r="I5717" s="20">
        <v>20.719000000000001</v>
      </c>
      <c r="J5717" s="44" t="s">
        <v>8</v>
      </c>
      <c r="K5717" s="23" t="s">
        <v>8</v>
      </c>
      <c r="L5717" s="23" t="s">
        <v>8</v>
      </c>
      <c r="M5717" s="23" t="s">
        <v>8</v>
      </c>
    </row>
    <row r="5718" spans="1:13" s="21" customFormat="1" x14ac:dyDescent="0.25">
      <c r="A5718" s="22" t="s">
        <v>8</v>
      </c>
      <c r="B5718" s="18" t="str">
        <f>"215195"</f>
        <v>215195</v>
      </c>
      <c r="C5718" s="19" t="s">
        <v>5639</v>
      </c>
      <c r="D5718" s="19" t="s">
        <v>21144</v>
      </c>
      <c r="E5718" s="19" t="s">
        <v>32930</v>
      </c>
      <c r="F5718" s="19" t="s">
        <v>35994</v>
      </c>
      <c r="G5718" s="18" t="str">
        <f>"21207"</f>
        <v>21207</v>
      </c>
      <c r="H5718" s="19" t="s">
        <v>32930</v>
      </c>
      <c r="I5718" s="20">
        <v>18.425999999999998</v>
      </c>
      <c r="J5718" s="44" t="s">
        <v>8</v>
      </c>
      <c r="K5718" s="23" t="s">
        <v>8</v>
      </c>
      <c r="L5718" s="23" t="s">
        <v>8</v>
      </c>
      <c r="M5718" s="23" t="s">
        <v>8</v>
      </c>
    </row>
    <row r="5719" spans="1:13" s="21" customFormat="1" x14ac:dyDescent="0.25">
      <c r="A5719" s="22" t="s">
        <v>8</v>
      </c>
      <c r="B5719" s="18" t="str">
        <f>"215197"</f>
        <v>215197</v>
      </c>
      <c r="C5719" s="19" t="s">
        <v>5640</v>
      </c>
      <c r="D5719" s="19" t="s">
        <v>21145</v>
      </c>
      <c r="E5719" s="19" t="s">
        <v>15103</v>
      </c>
      <c r="F5719" s="19" t="s">
        <v>35994</v>
      </c>
      <c r="G5719" s="18" t="str">
        <f>"20910"</f>
        <v>20910</v>
      </c>
      <c r="H5719" s="19" t="s">
        <v>30833</v>
      </c>
      <c r="I5719" s="20">
        <v>18.948</v>
      </c>
      <c r="J5719" s="44" t="s">
        <v>8</v>
      </c>
      <c r="K5719" s="23" t="s">
        <v>8</v>
      </c>
      <c r="L5719" s="23" t="s">
        <v>8</v>
      </c>
      <c r="M5719" s="23" t="s">
        <v>8</v>
      </c>
    </row>
    <row r="5720" spans="1:13" s="21" customFormat="1" x14ac:dyDescent="0.25">
      <c r="A5720" s="22" t="s">
        <v>8</v>
      </c>
      <c r="B5720" s="18" t="str">
        <f>"215198"</f>
        <v>215198</v>
      </c>
      <c r="C5720" s="19" t="s">
        <v>5641</v>
      </c>
      <c r="D5720" s="19" t="s">
        <v>21146</v>
      </c>
      <c r="E5720" s="19" t="s">
        <v>32298</v>
      </c>
      <c r="F5720" s="19" t="s">
        <v>35994</v>
      </c>
      <c r="G5720" s="18" t="str">
        <f>"21795"</f>
        <v>21795</v>
      </c>
      <c r="H5720" s="19" t="s">
        <v>31500</v>
      </c>
      <c r="I5720" s="20">
        <v>17.094000000000001</v>
      </c>
      <c r="J5720" s="44" t="s">
        <v>8</v>
      </c>
      <c r="K5720" s="23" t="s">
        <v>8</v>
      </c>
      <c r="L5720" s="23" t="s">
        <v>8</v>
      </c>
      <c r="M5720" s="23" t="s">
        <v>8</v>
      </c>
    </row>
    <row r="5721" spans="1:13" s="21" customFormat="1" x14ac:dyDescent="0.25">
      <c r="A5721" s="22" t="s">
        <v>8</v>
      </c>
      <c r="B5721" s="18" t="str">
        <f>"215199"</f>
        <v>215199</v>
      </c>
      <c r="C5721" s="19" t="s">
        <v>5642</v>
      </c>
      <c r="D5721" s="19" t="s">
        <v>21147</v>
      </c>
      <c r="E5721" s="19" t="s">
        <v>32972</v>
      </c>
      <c r="F5721" s="19" t="s">
        <v>35994</v>
      </c>
      <c r="G5721" s="18" t="str">
        <f>"21714"</f>
        <v>21714</v>
      </c>
      <c r="H5721" s="19" t="s">
        <v>32927</v>
      </c>
      <c r="I5721" s="20">
        <v>19.361999999999998</v>
      </c>
      <c r="J5721" s="44" t="s">
        <v>8</v>
      </c>
      <c r="K5721" s="23" t="s">
        <v>8</v>
      </c>
      <c r="L5721" s="23" t="s">
        <v>8</v>
      </c>
      <c r="M5721" s="23" t="s">
        <v>8</v>
      </c>
    </row>
    <row r="5722" spans="1:13" s="21" customFormat="1" x14ac:dyDescent="0.25">
      <c r="A5722" s="22" t="s">
        <v>8</v>
      </c>
      <c r="B5722" s="18" t="str">
        <f>"215200"</f>
        <v>215200</v>
      </c>
      <c r="C5722" s="19" t="s">
        <v>5643</v>
      </c>
      <c r="D5722" s="19" t="s">
        <v>21148</v>
      </c>
      <c r="E5722" s="19" t="s">
        <v>32973</v>
      </c>
      <c r="F5722" s="19" t="s">
        <v>35994</v>
      </c>
      <c r="G5722" s="18" t="str">
        <f>"20860"</f>
        <v>20860</v>
      </c>
      <c r="H5722" s="19" t="s">
        <v>30833</v>
      </c>
      <c r="I5722" s="20">
        <v>17.573</v>
      </c>
      <c r="J5722" s="44" t="s">
        <v>8</v>
      </c>
      <c r="K5722" s="23" t="s">
        <v>8</v>
      </c>
      <c r="L5722" s="23" t="s">
        <v>8</v>
      </c>
      <c r="M5722" s="23" t="s">
        <v>8</v>
      </c>
    </row>
    <row r="5723" spans="1:13" s="21" customFormat="1" x14ac:dyDescent="0.25">
      <c r="A5723" s="22" t="s">
        <v>8</v>
      </c>
      <c r="B5723" s="18" t="str">
        <f>"215203"</f>
        <v>215203</v>
      </c>
      <c r="C5723" s="19" t="s">
        <v>5644</v>
      </c>
      <c r="D5723" s="19" t="s">
        <v>21149</v>
      </c>
      <c r="E5723" s="19" t="s">
        <v>32930</v>
      </c>
      <c r="F5723" s="19" t="s">
        <v>35994</v>
      </c>
      <c r="G5723" s="18" t="str">
        <f>"21221"</f>
        <v>21221</v>
      </c>
      <c r="H5723" s="19" t="s">
        <v>32930</v>
      </c>
      <c r="I5723" s="20">
        <v>19.23</v>
      </c>
      <c r="J5723" s="44" t="s">
        <v>8</v>
      </c>
      <c r="K5723" s="23" t="s">
        <v>8</v>
      </c>
      <c r="L5723" s="23" t="s">
        <v>8</v>
      </c>
      <c r="M5723" s="23" t="s">
        <v>8</v>
      </c>
    </row>
    <row r="5724" spans="1:13" s="21" customFormat="1" x14ac:dyDescent="0.25">
      <c r="A5724" s="22" t="s">
        <v>8</v>
      </c>
      <c r="B5724" s="18" t="str">
        <f>"215204"</f>
        <v>215204</v>
      </c>
      <c r="C5724" s="19" t="s">
        <v>5645</v>
      </c>
      <c r="D5724" s="19" t="s">
        <v>21150</v>
      </c>
      <c r="E5724" s="19" t="s">
        <v>32934</v>
      </c>
      <c r="F5724" s="19" t="s">
        <v>35994</v>
      </c>
      <c r="G5724" s="18" t="str">
        <f>"21286"</f>
        <v>21286</v>
      </c>
      <c r="H5724" s="19" t="s">
        <v>32930</v>
      </c>
      <c r="I5724" s="20">
        <v>22.460999999999999</v>
      </c>
      <c r="J5724" s="44" t="s">
        <v>8</v>
      </c>
      <c r="K5724" s="23" t="s">
        <v>8</v>
      </c>
      <c r="L5724" s="23" t="s">
        <v>8</v>
      </c>
      <c r="M5724" s="23" t="s">
        <v>8</v>
      </c>
    </row>
    <row r="5725" spans="1:13" s="21" customFormat="1" x14ac:dyDescent="0.25">
      <c r="A5725" s="22" t="s">
        <v>8</v>
      </c>
      <c r="B5725" s="18" t="str">
        <f>"215207"</f>
        <v>215207</v>
      </c>
      <c r="C5725" s="19" t="s">
        <v>5646</v>
      </c>
      <c r="D5725" s="19" t="s">
        <v>21151</v>
      </c>
      <c r="E5725" s="19" t="s">
        <v>32930</v>
      </c>
      <c r="F5725" s="19" t="s">
        <v>35994</v>
      </c>
      <c r="G5725" s="18" t="str">
        <f>"21215"</f>
        <v>21215</v>
      </c>
      <c r="H5725" s="19" t="s">
        <v>36404</v>
      </c>
      <c r="I5725" s="20">
        <v>18.273</v>
      </c>
      <c r="J5725" s="44" t="s">
        <v>8</v>
      </c>
      <c r="K5725" s="23" t="s">
        <v>8</v>
      </c>
      <c r="L5725" s="23" t="s">
        <v>8</v>
      </c>
      <c r="M5725" s="23" t="s">
        <v>8</v>
      </c>
    </row>
    <row r="5726" spans="1:13" s="21" customFormat="1" x14ac:dyDescent="0.25">
      <c r="A5726" s="22" t="s">
        <v>8</v>
      </c>
      <c r="B5726" s="18" t="str">
        <f>"215209"</f>
        <v>215209</v>
      </c>
      <c r="C5726" s="19" t="s">
        <v>5647</v>
      </c>
      <c r="D5726" s="19" t="s">
        <v>21152</v>
      </c>
      <c r="E5726" s="19" t="s">
        <v>32930</v>
      </c>
      <c r="F5726" s="19" t="s">
        <v>35994</v>
      </c>
      <c r="G5726" s="18" t="str">
        <f>"21206"</f>
        <v>21206</v>
      </c>
      <c r="H5726" s="19" t="s">
        <v>36404</v>
      </c>
      <c r="I5726" s="20">
        <v>18.550999999999998</v>
      </c>
      <c r="J5726" s="44" t="s">
        <v>8</v>
      </c>
      <c r="K5726" s="23" t="s">
        <v>8</v>
      </c>
      <c r="L5726" s="23" t="s">
        <v>8</v>
      </c>
      <c r="M5726" s="23" t="s">
        <v>8</v>
      </c>
    </row>
    <row r="5727" spans="1:13" s="21" customFormat="1" x14ac:dyDescent="0.25">
      <c r="A5727" s="22" t="s">
        <v>8</v>
      </c>
      <c r="B5727" s="18" t="str">
        <f>"215211"</f>
        <v>215211</v>
      </c>
      <c r="C5727" s="19" t="s">
        <v>5648</v>
      </c>
      <c r="D5727" s="19" t="s">
        <v>21153</v>
      </c>
      <c r="E5727" s="19" t="s">
        <v>32973</v>
      </c>
      <c r="F5727" s="19" t="s">
        <v>35994</v>
      </c>
      <c r="G5727" s="18" t="str">
        <f>"20860"</f>
        <v>20860</v>
      </c>
      <c r="H5727" s="19" t="s">
        <v>30833</v>
      </c>
      <c r="I5727" s="20">
        <v>19.388999999999999</v>
      </c>
      <c r="J5727" s="44" t="s">
        <v>8</v>
      </c>
      <c r="K5727" s="23" t="s">
        <v>8</v>
      </c>
      <c r="L5727" s="23" t="s">
        <v>8</v>
      </c>
      <c r="M5727" s="23" t="s">
        <v>8</v>
      </c>
    </row>
    <row r="5728" spans="1:13" s="21" customFormat="1" x14ac:dyDescent="0.25">
      <c r="A5728" s="22" t="s">
        <v>8</v>
      </c>
      <c r="B5728" s="18" t="str">
        <f>"215212"</f>
        <v>215212</v>
      </c>
      <c r="C5728" s="19" t="s">
        <v>5649</v>
      </c>
      <c r="D5728" s="19" t="s">
        <v>21154</v>
      </c>
      <c r="E5728" s="19" t="s">
        <v>32936</v>
      </c>
      <c r="F5728" s="19" t="s">
        <v>35994</v>
      </c>
      <c r="G5728" s="18" t="str">
        <f>"20783"</f>
        <v>20783</v>
      </c>
      <c r="H5728" s="19" t="s">
        <v>36403</v>
      </c>
      <c r="I5728" s="20">
        <v>17.402999999999999</v>
      </c>
      <c r="J5728" s="44" t="s">
        <v>8</v>
      </c>
      <c r="K5728" s="23" t="s">
        <v>8</v>
      </c>
      <c r="L5728" s="23" t="s">
        <v>8</v>
      </c>
      <c r="M5728" s="23" t="s">
        <v>8</v>
      </c>
    </row>
    <row r="5729" spans="1:13" s="21" customFormat="1" x14ac:dyDescent="0.25">
      <c r="A5729" s="22" t="s">
        <v>8</v>
      </c>
      <c r="B5729" s="18" t="str">
        <f>"215215"</f>
        <v>215215</v>
      </c>
      <c r="C5729" s="19" t="s">
        <v>5650</v>
      </c>
      <c r="D5729" s="19" t="s">
        <v>21155</v>
      </c>
      <c r="E5729" s="19" t="s">
        <v>32930</v>
      </c>
      <c r="F5729" s="19" t="s">
        <v>35994</v>
      </c>
      <c r="G5729" s="18" t="str">
        <f>"21211"</f>
        <v>21211</v>
      </c>
      <c r="H5729" s="19" t="s">
        <v>36404</v>
      </c>
      <c r="I5729" s="20">
        <v>17.440999999999999</v>
      </c>
      <c r="J5729" s="44" t="s">
        <v>8</v>
      </c>
      <c r="K5729" s="23" t="s">
        <v>8</v>
      </c>
      <c r="L5729" s="23" t="s">
        <v>8</v>
      </c>
      <c r="M5729" s="23" t="s">
        <v>8</v>
      </c>
    </row>
    <row r="5730" spans="1:13" s="21" customFormat="1" x14ac:dyDescent="0.25">
      <c r="A5730" s="22" t="s">
        <v>8</v>
      </c>
      <c r="B5730" s="18" t="str">
        <f>"215216"</f>
        <v>215216</v>
      </c>
      <c r="C5730" s="19" t="s">
        <v>5651</v>
      </c>
      <c r="D5730" s="19" t="s">
        <v>21156</v>
      </c>
      <c r="E5730" s="19" t="s">
        <v>31143</v>
      </c>
      <c r="F5730" s="19" t="s">
        <v>35994</v>
      </c>
      <c r="G5730" s="18" t="str">
        <f>"21550"</f>
        <v>21550</v>
      </c>
      <c r="H5730" s="19" t="s">
        <v>32307</v>
      </c>
      <c r="I5730" s="20">
        <v>16.995999999999999</v>
      </c>
      <c r="J5730" s="44" t="s">
        <v>8</v>
      </c>
      <c r="K5730" s="23" t="s">
        <v>8</v>
      </c>
      <c r="L5730" s="23" t="s">
        <v>8</v>
      </c>
      <c r="M5730" s="23" t="s">
        <v>8</v>
      </c>
    </row>
    <row r="5731" spans="1:13" s="21" customFormat="1" x14ac:dyDescent="0.25">
      <c r="A5731" s="22" t="s">
        <v>8</v>
      </c>
      <c r="B5731" s="18" t="str">
        <f>"215217"</f>
        <v>215217</v>
      </c>
      <c r="C5731" s="19" t="s">
        <v>5652</v>
      </c>
      <c r="D5731" s="19" t="s">
        <v>21157</v>
      </c>
      <c r="E5731" s="19" t="s">
        <v>32927</v>
      </c>
      <c r="F5731" s="19" t="s">
        <v>35994</v>
      </c>
      <c r="G5731" s="18" t="str">
        <f>"21701"</f>
        <v>21701</v>
      </c>
      <c r="H5731" s="19" t="s">
        <v>32927</v>
      </c>
      <c r="I5731" s="20">
        <v>14.815</v>
      </c>
      <c r="J5731" s="44" t="s">
        <v>8</v>
      </c>
      <c r="K5731" s="23" t="s">
        <v>8</v>
      </c>
      <c r="L5731" s="23" t="s">
        <v>8</v>
      </c>
      <c r="M5731" s="23" t="s">
        <v>8</v>
      </c>
    </row>
    <row r="5732" spans="1:13" s="21" customFormat="1" x14ac:dyDescent="0.25">
      <c r="A5732" s="22" t="s">
        <v>8</v>
      </c>
      <c r="B5732" s="18" t="str">
        <f>"215219"</f>
        <v>215219</v>
      </c>
      <c r="C5732" s="19" t="s">
        <v>5653</v>
      </c>
      <c r="D5732" s="19" t="s">
        <v>21158</v>
      </c>
      <c r="E5732" s="19" t="s">
        <v>32930</v>
      </c>
      <c r="F5732" s="19" t="s">
        <v>35994</v>
      </c>
      <c r="G5732" s="18" t="str">
        <f>"21229"</f>
        <v>21229</v>
      </c>
      <c r="H5732" s="19" t="s">
        <v>36404</v>
      </c>
      <c r="I5732" s="20">
        <v>16.861999999999998</v>
      </c>
      <c r="J5732" s="44" t="s">
        <v>8</v>
      </c>
      <c r="K5732" s="23" t="s">
        <v>8</v>
      </c>
      <c r="L5732" s="23" t="s">
        <v>8</v>
      </c>
      <c r="M5732" s="23" t="s">
        <v>8</v>
      </c>
    </row>
    <row r="5733" spans="1:13" s="21" customFormat="1" x14ac:dyDescent="0.25">
      <c r="A5733" s="22" t="s">
        <v>8</v>
      </c>
      <c r="B5733" s="18" t="str">
        <f>"215220"</f>
        <v>215220</v>
      </c>
      <c r="C5733" s="19" t="s">
        <v>5654</v>
      </c>
      <c r="D5733" s="19" t="s">
        <v>21159</v>
      </c>
      <c r="E5733" s="19" t="s">
        <v>32939</v>
      </c>
      <c r="F5733" s="19" t="s">
        <v>35994</v>
      </c>
      <c r="G5733" s="18" t="str">
        <f>"21133"</f>
        <v>21133</v>
      </c>
      <c r="H5733" s="19" t="s">
        <v>32930</v>
      </c>
      <c r="I5733" s="20">
        <v>18.059999999999999</v>
      </c>
      <c r="J5733" s="44" t="s">
        <v>8</v>
      </c>
      <c r="K5733" s="23" t="s">
        <v>8</v>
      </c>
      <c r="L5733" s="23" t="s">
        <v>8</v>
      </c>
      <c r="M5733" s="23" t="s">
        <v>8</v>
      </c>
    </row>
    <row r="5734" spans="1:13" s="21" customFormat="1" x14ac:dyDescent="0.25">
      <c r="A5734" s="22" t="s">
        <v>8</v>
      </c>
      <c r="B5734" s="18" t="str">
        <f>"215221"</f>
        <v>215221</v>
      </c>
      <c r="C5734" s="19" t="s">
        <v>5655</v>
      </c>
      <c r="D5734" s="19" t="s">
        <v>21160</v>
      </c>
      <c r="E5734" s="19" t="s">
        <v>32969</v>
      </c>
      <c r="F5734" s="19" t="s">
        <v>35994</v>
      </c>
      <c r="G5734" s="18" t="str">
        <f>"21613"</f>
        <v>21613</v>
      </c>
      <c r="H5734" s="19" t="s">
        <v>33086</v>
      </c>
      <c r="I5734" s="20">
        <v>18.387</v>
      </c>
      <c r="J5734" s="44" t="s">
        <v>8</v>
      </c>
      <c r="K5734" s="23" t="s">
        <v>8</v>
      </c>
      <c r="L5734" s="23" t="s">
        <v>8</v>
      </c>
      <c r="M5734" s="23" t="s">
        <v>8</v>
      </c>
    </row>
    <row r="5735" spans="1:13" s="21" customFormat="1" x14ac:dyDescent="0.25">
      <c r="A5735" s="22" t="s">
        <v>8</v>
      </c>
      <c r="B5735" s="18" t="str">
        <f>"215223"</f>
        <v>215223</v>
      </c>
      <c r="C5735" s="19" t="s">
        <v>5656</v>
      </c>
      <c r="D5735" s="19" t="s">
        <v>21161</v>
      </c>
      <c r="E5735" s="19" t="s">
        <v>32942</v>
      </c>
      <c r="F5735" s="19" t="s">
        <v>35994</v>
      </c>
      <c r="G5735" s="18" t="str">
        <f>"21228"</f>
        <v>21228</v>
      </c>
      <c r="H5735" s="19" t="s">
        <v>32930</v>
      </c>
      <c r="I5735" s="20">
        <v>17.48</v>
      </c>
      <c r="J5735" s="44" t="s">
        <v>8</v>
      </c>
      <c r="K5735" s="23" t="s">
        <v>8</v>
      </c>
      <c r="L5735" s="23" t="s">
        <v>8</v>
      </c>
      <c r="M5735" s="23" t="s">
        <v>8</v>
      </c>
    </row>
    <row r="5736" spans="1:13" s="21" customFormat="1" x14ac:dyDescent="0.25">
      <c r="A5736" s="22" t="s">
        <v>8</v>
      </c>
      <c r="B5736" s="18" t="str">
        <f>"215224"</f>
        <v>215224</v>
      </c>
      <c r="C5736" s="19" t="s">
        <v>5657</v>
      </c>
      <c r="D5736" s="19" t="s">
        <v>21162</v>
      </c>
      <c r="E5736" s="19" t="s">
        <v>15103</v>
      </c>
      <c r="F5736" s="19" t="s">
        <v>35994</v>
      </c>
      <c r="G5736" s="18" t="str">
        <f>"20904"</f>
        <v>20904</v>
      </c>
      <c r="H5736" s="19" t="s">
        <v>30833</v>
      </c>
      <c r="I5736" s="20">
        <v>18.707000000000001</v>
      </c>
      <c r="J5736" s="44" t="s">
        <v>8</v>
      </c>
      <c r="K5736" s="23" t="s">
        <v>8</v>
      </c>
      <c r="L5736" s="23" t="s">
        <v>8</v>
      </c>
      <c r="M5736" s="23" t="s">
        <v>8</v>
      </c>
    </row>
    <row r="5737" spans="1:13" s="21" customFormat="1" x14ac:dyDescent="0.25">
      <c r="A5737" s="22" t="s">
        <v>8</v>
      </c>
      <c r="B5737" s="18" t="str">
        <f>"215225"</f>
        <v>215225</v>
      </c>
      <c r="C5737" s="19" t="s">
        <v>5658</v>
      </c>
      <c r="D5737" s="19" t="s">
        <v>21163</v>
      </c>
      <c r="E5737" s="19" t="s">
        <v>32298</v>
      </c>
      <c r="F5737" s="19" t="s">
        <v>35994</v>
      </c>
      <c r="G5737" s="18" t="str">
        <f>"21795"</f>
        <v>21795</v>
      </c>
      <c r="H5737" s="19" t="s">
        <v>31500</v>
      </c>
      <c r="I5737" s="20">
        <v>17.779</v>
      </c>
      <c r="J5737" s="44" t="s">
        <v>8</v>
      </c>
      <c r="K5737" s="23" t="s">
        <v>8</v>
      </c>
      <c r="L5737" s="23" t="s">
        <v>8</v>
      </c>
      <c r="M5737" s="23" t="s">
        <v>8</v>
      </c>
    </row>
    <row r="5738" spans="1:13" s="21" customFormat="1" x14ac:dyDescent="0.25">
      <c r="A5738" s="22" t="s">
        <v>8</v>
      </c>
      <c r="B5738" s="18" t="str">
        <f>"215226"</f>
        <v>215226</v>
      </c>
      <c r="C5738" s="19" t="s">
        <v>5659</v>
      </c>
      <c r="D5738" s="19" t="s">
        <v>21164</v>
      </c>
      <c r="E5738" s="19" t="s">
        <v>32974</v>
      </c>
      <c r="F5738" s="19" t="s">
        <v>35994</v>
      </c>
      <c r="G5738" s="18" t="str">
        <f>"21093"</f>
        <v>21093</v>
      </c>
      <c r="H5738" s="19" t="s">
        <v>32930</v>
      </c>
      <c r="I5738" s="20">
        <v>18.931999999999999</v>
      </c>
      <c r="J5738" s="44" t="s">
        <v>8</v>
      </c>
      <c r="K5738" s="23" t="s">
        <v>8</v>
      </c>
      <c r="L5738" s="23" t="s">
        <v>8</v>
      </c>
      <c r="M5738" s="23" t="s">
        <v>8</v>
      </c>
    </row>
    <row r="5739" spans="1:13" s="21" customFormat="1" x14ac:dyDescent="0.25">
      <c r="A5739" s="22" t="s">
        <v>8</v>
      </c>
      <c r="B5739" s="18" t="str">
        <f>"215227"</f>
        <v>215227</v>
      </c>
      <c r="C5739" s="19" t="s">
        <v>5660</v>
      </c>
      <c r="D5739" s="19" t="s">
        <v>21165</v>
      </c>
      <c r="E5739" s="19" t="s">
        <v>32942</v>
      </c>
      <c r="F5739" s="19" t="s">
        <v>35994</v>
      </c>
      <c r="G5739" s="18" t="str">
        <f>"21228"</f>
        <v>21228</v>
      </c>
      <c r="H5739" s="19" t="s">
        <v>32930</v>
      </c>
      <c r="I5739" s="20">
        <v>19.774999999999999</v>
      </c>
      <c r="J5739" s="44" t="s">
        <v>8</v>
      </c>
      <c r="K5739" s="23" t="s">
        <v>8</v>
      </c>
      <c r="L5739" s="23" t="s">
        <v>8</v>
      </c>
      <c r="M5739" s="23" t="s">
        <v>8</v>
      </c>
    </row>
    <row r="5740" spans="1:13" s="21" customFormat="1" x14ac:dyDescent="0.25">
      <c r="A5740" s="22" t="s">
        <v>8</v>
      </c>
      <c r="B5740" s="18" t="str">
        <f>"215228"</f>
        <v>215228</v>
      </c>
      <c r="C5740" s="19" t="s">
        <v>5661</v>
      </c>
      <c r="D5740" s="19" t="s">
        <v>21166</v>
      </c>
      <c r="E5740" s="19" t="s">
        <v>15103</v>
      </c>
      <c r="F5740" s="19" t="s">
        <v>35994</v>
      </c>
      <c r="G5740" s="18" t="str">
        <f>"20901"</f>
        <v>20901</v>
      </c>
      <c r="H5740" s="19" t="s">
        <v>30833</v>
      </c>
      <c r="I5740" s="20">
        <v>19.762</v>
      </c>
      <c r="J5740" s="44" t="s">
        <v>8</v>
      </c>
      <c r="K5740" s="23" t="s">
        <v>8</v>
      </c>
      <c r="L5740" s="23" t="s">
        <v>8</v>
      </c>
      <c r="M5740" s="23" t="s">
        <v>8</v>
      </c>
    </row>
    <row r="5741" spans="1:13" s="21" customFormat="1" x14ac:dyDescent="0.25">
      <c r="A5741" s="22" t="s">
        <v>8</v>
      </c>
      <c r="B5741" s="18" t="str">
        <f>"215229"</f>
        <v>215229</v>
      </c>
      <c r="C5741" s="19" t="s">
        <v>5662</v>
      </c>
      <c r="D5741" s="19" t="s">
        <v>21167</v>
      </c>
      <c r="E5741" s="19" t="s">
        <v>32930</v>
      </c>
      <c r="F5741" s="19" t="s">
        <v>35994</v>
      </c>
      <c r="G5741" s="18" t="str">
        <f>"21208"</f>
        <v>21208</v>
      </c>
      <c r="H5741" s="19" t="s">
        <v>32930</v>
      </c>
      <c r="I5741" s="20">
        <v>19.329999999999998</v>
      </c>
      <c r="J5741" s="44" t="s">
        <v>8</v>
      </c>
      <c r="K5741" s="23" t="s">
        <v>8</v>
      </c>
      <c r="L5741" s="23" t="s">
        <v>8</v>
      </c>
      <c r="M5741" s="23" t="s">
        <v>8</v>
      </c>
    </row>
    <row r="5742" spans="1:13" s="21" customFormat="1" x14ac:dyDescent="0.25">
      <c r="A5742" s="22" t="s">
        <v>8</v>
      </c>
      <c r="B5742" s="18" t="str">
        <f>"215230"</f>
        <v>215230</v>
      </c>
      <c r="C5742" s="19" t="s">
        <v>5663</v>
      </c>
      <c r="D5742" s="19" t="s">
        <v>21168</v>
      </c>
      <c r="E5742" s="19" t="s">
        <v>32766</v>
      </c>
      <c r="F5742" s="19" t="s">
        <v>35994</v>
      </c>
      <c r="G5742" s="18" t="str">
        <f>"21502"</f>
        <v>21502</v>
      </c>
      <c r="H5742" s="19" t="s">
        <v>34178</v>
      </c>
      <c r="I5742" s="20">
        <v>18.140999999999998</v>
      </c>
      <c r="J5742" s="44" t="s">
        <v>8</v>
      </c>
      <c r="K5742" s="23" t="s">
        <v>8</v>
      </c>
      <c r="L5742" s="23" t="s">
        <v>8</v>
      </c>
      <c r="M5742" s="23" t="s">
        <v>8</v>
      </c>
    </row>
    <row r="5743" spans="1:13" s="21" customFormat="1" x14ac:dyDescent="0.25">
      <c r="A5743" s="22" t="s">
        <v>8</v>
      </c>
      <c r="B5743" s="18" t="str">
        <f>"215231"</f>
        <v>215231</v>
      </c>
      <c r="C5743" s="19" t="s">
        <v>5664</v>
      </c>
      <c r="D5743" s="19" t="s">
        <v>21169</v>
      </c>
      <c r="E5743" s="19" t="s">
        <v>31081</v>
      </c>
      <c r="F5743" s="19" t="s">
        <v>35994</v>
      </c>
      <c r="G5743" s="18" t="str">
        <f>"20735"</f>
        <v>20735</v>
      </c>
      <c r="H5743" s="19" t="s">
        <v>36403</v>
      </c>
      <c r="I5743" s="20">
        <v>16.768999999999998</v>
      </c>
      <c r="J5743" s="44" t="s">
        <v>8</v>
      </c>
      <c r="K5743" s="23" t="s">
        <v>8</v>
      </c>
      <c r="L5743" s="23" t="s">
        <v>8</v>
      </c>
      <c r="M5743" s="23" t="s">
        <v>8</v>
      </c>
    </row>
    <row r="5744" spans="1:13" s="21" customFormat="1" x14ac:dyDescent="0.25">
      <c r="A5744" s="22" t="s">
        <v>8</v>
      </c>
      <c r="B5744" s="18" t="str">
        <f>"215232"</f>
        <v>215232</v>
      </c>
      <c r="C5744" s="19" t="s">
        <v>5665</v>
      </c>
      <c r="D5744" s="19" t="s">
        <v>21170</v>
      </c>
      <c r="E5744" s="19" t="s">
        <v>31143</v>
      </c>
      <c r="F5744" s="19" t="s">
        <v>35994</v>
      </c>
      <c r="G5744" s="18" t="str">
        <f>"21550"</f>
        <v>21550</v>
      </c>
      <c r="H5744" s="19" t="s">
        <v>32307</v>
      </c>
      <c r="I5744" s="20">
        <v>17.199000000000002</v>
      </c>
      <c r="J5744" s="44" t="s">
        <v>8</v>
      </c>
      <c r="K5744" s="23" t="s">
        <v>8</v>
      </c>
      <c r="L5744" s="23" t="s">
        <v>8</v>
      </c>
      <c r="M5744" s="23" t="s">
        <v>8</v>
      </c>
    </row>
    <row r="5745" spans="1:13" s="21" customFormat="1" x14ac:dyDescent="0.25">
      <c r="A5745" s="22" t="s">
        <v>8</v>
      </c>
      <c r="B5745" s="18" t="str">
        <f>"215233"</f>
        <v>215233</v>
      </c>
      <c r="C5745" s="19" t="s">
        <v>5666</v>
      </c>
      <c r="D5745" s="19" t="s">
        <v>21171</v>
      </c>
      <c r="E5745" s="19" t="s">
        <v>32975</v>
      </c>
      <c r="F5745" s="19" t="s">
        <v>35994</v>
      </c>
      <c r="G5745" s="18" t="str">
        <f>"21017"</f>
        <v>21017</v>
      </c>
      <c r="H5745" s="19" t="s">
        <v>36405</v>
      </c>
      <c r="I5745" s="20">
        <v>23.036000000000001</v>
      </c>
      <c r="J5745" s="44" t="s">
        <v>8</v>
      </c>
      <c r="K5745" s="23" t="s">
        <v>8</v>
      </c>
      <c r="L5745" s="23" t="s">
        <v>8</v>
      </c>
      <c r="M5745" s="23" t="s">
        <v>8</v>
      </c>
    </row>
    <row r="5746" spans="1:13" s="21" customFormat="1" x14ac:dyDescent="0.25">
      <c r="A5746" s="22" t="s">
        <v>8</v>
      </c>
      <c r="B5746" s="18" t="str">
        <f>"215234"</f>
        <v>215234</v>
      </c>
      <c r="C5746" s="19" t="s">
        <v>5667</v>
      </c>
      <c r="D5746" s="19" t="s">
        <v>21172</v>
      </c>
      <c r="E5746" s="19" t="s">
        <v>32941</v>
      </c>
      <c r="F5746" s="19" t="s">
        <v>35994</v>
      </c>
      <c r="G5746" s="18" t="str">
        <f>"20814"</f>
        <v>20814</v>
      </c>
      <c r="H5746" s="19" t="s">
        <v>30833</v>
      </c>
      <c r="I5746" s="20">
        <v>17.875</v>
      </c>
      <c r="J5746" s="44" t="s">
        <v>8</v>
      </c>
      <c r="K5746" s="23" t="s">
        <v>8</v>
      </c>
      <c r="L5746" s="23" t="s">
        <v>8</v>
      </c>
      <c r="M5746" s="23" t="s">
        <v>8</v>
      </c>
    </row>
    <row r="5747" spans="1:13" s="21" customFormat="1" x14ac:dyDescent="0.25">
      <c r="A5747" s="22" t="s">
        <v>8</v>
      </c>
      <c r="B5747" s="18" t="str">
        <f>"215235"</f>
        <v>215235</v>
      </c>
      <c r="C5747" s="19" t="s">
        <v>5668</v>
      </c>
      <c r="D5747" s="19" t="s">
        <v>21173</v>
      </c>
      <c r="E5747" s="19" t="s">
        <v>32976</v>
      </c>
      <c r="F5747" s="19" t="s">
        <v>35994</v>
      </c>
      <c r="G5747" s="18" t="str">
        <f>"21620"</f>
        <v>21620</v>
      </c>
      <c r="H5747" s="19" t="s">
        <v>31478</v>
      </c>
      <c r="I5747" s="20">
        <v>18.792000000000002</v>
      </c>
      <c r="J5747" s="44" t="s">
        <v>8</v>
      </c>
      <c r="K5747" s="23" t="s">
        <v>8</v>
      </c>
      <c r="L5747" s="23" t="s">
        <v>8</v>
      </c>
      <c r="M5747" s="23" t="s">
        <v>8</v>
      </c>
    </row>
    <row r="5748" spans="1:13" s="21" customFormat="1" x14ac:dyDescent="0.25">
      <c r="A5748" s="22" t="s">
        <v>8</v>
      </c>
      <c r="B5748" s="18" t="str">
        <f>"215236"</f>
        <v>215236</v>
      </c>
      <c r="C5748" s="19" t="s">
        <v>5669</v>
      </c>
      <c r="D5748" s="19" t="s">
        <v>21174</v>
      </c>
      <c r="E5748" s="19" t="s">
        <v>32977</v>
      </c>
      <c r="F5748" s="19" t="s">
        <v>35994</v>
      </c>
      <c r="G5748" s="18" t="str">
        <f>"21032"</f>
        <v>21032</v>
      </c>
      <c r="H5748" s="19" t="s">
        <v>36400</v>
      </c>
      <c r="I5748" s="20">
        <v>20.638000000000002</v>
      </c>
      <c r="J5748" s="44" t="s">
        <v>8</v>
      </c>
      <c r="K5748" s="23" t="s">
        <v>8</v>
      </c>
      <c r="L5748" s="23" t="s">
        <v>8</v>
      </c>
      <c r="M5748" s="23" t="s">
        <v>8</v>
      </c>
    </row>
    <row r="5749" spans="1:13" s="21" customFormat="1" x14ac:dyDescent="0.25">
      <c r="A5749" s="22" t="s">
        <v>8</v>
      </c>
      <c r="B5749" s="18" t="str">
        <f>"215240"</f>
        <v>215240</v>
      </c>
      <c r="C5749" s="19" t="s">
        <v>5670</v>
      </c>
      <c r="D5749" s="19" t="s">
        <v>21175</v>
      </c>
      <c r="E5749" s="19" t="s">
        <v>32978</v>
      </c>
      <c r="F5749" s="19" t="s">
        <v>35994</v>
      </c>
      <c r="G5749" s="18" t="str">
        <f>"21562"</f>
        <v>21562</v>
      </c>
      <c r="H5749" s="19" t="s">
        <v>34178</v>
      </c>
      <c r="I5749" s="20">
        <v>20.611000000000001</v>
      </c>
      <c r="J5749" s="44" t="s">
        <v>8</v>
      </c>
      <c r="K5749" s="23" t="s">
        <v>8</v>
      </c>
      <c r="L5749" s="23" t="s">
        <v>8</v>
      </c>
      <c r="M5749" s="23" t="s">
        <v>8</v>
      </c>
    </row>
    <row r="5750" spans="1:13" s="21" customFormat="1" x14ac:dyDescent="0.25">
      <c r="A5750" s="22" t="s">
        <v>8</v>
      </c>
      <c r="B5750" s="18" t="str">
        <f>"215241"</f>
        <v>215241</v>
      </c>
      <c r="C5750" s="19" t="s">
        <v>5671</v>
      </c>
      <c r="D5750" s="19" t="s">
        <v>21176</v>
      </c>
      <c r="E5750" s="19" t="s">
        <v>32930</v>
      </c>
      <c r="F5750" s="19" t="s">
        <v>35994</v>
      </c>
      <c r="G5750" s="18" t="str">
        <f>"21239"</f>
        <v>21239</v>
      </c>
      <c r="H5750" s="19" t="s">
        <v>36404</v>
      </c>
      <c r="I5750" s="20">
        <v>18.385000000000002</v>
      </c>
      <c r="J5750" s="44" t="s">
        <v>8</v>
      </c>
      <c r="K5750" s="23" t="s">
        <v>8</v>
      </c>
      <c r="L5750" s="23" t="s">
        <v>8</v>
      </c>
      <c r="M5750" s="23" t="s">
        <v>8</v>
      </c>
    </row>
    <row r="5751" spans="1:13" s="21" customFormat="1" x14ac:dyDescent="0.25">
      <c r="A5751" s="22" t="s">
        <v>8</v>
      </c>
      <c r="B5751" s="18" t="str">
        <f>"215244"</f>
        <v>215244</v>
      </c>
      <c r="C5751" s="19" t="s">
        <v>5672</v>
      </c>
      <c r="D5751" s="19" t="s">
        <v>21177</v>
      </c>
      <c r="E5751" s="19" t="s">
        <v>32766</v>
      </c>
      <c r="F5751" s="19" t="s">
        <v>35994</v>
      </c>
      <c r="G5751" s="18" t="str">
        <f>"21502"</f>
        <v>21502</v>
      </c>
      <c r="H5751" s="19" t="s">
        <v>34178</v>
      </c>
      <c r="I5751" s="20">
        <v>18.649999999999999</v>
      </c>
      <c r="J5751" s="44" t="s">
        <v>8</v>
      </c>
      <c r="K5751" s="23" t="s">
        <v>8</v>
      </c>
      <c r="L5751" s="23" t="s">
        <v>8</v>
      </c>
      <c r="M5751" s="23" t="s">
        <v>8</v>
      </c>
    </row>
    <row r="5752" spans="1:13" s="21" customFormat="1" x14ac:dyDescent="0.25">
      <c r="A5752" s="22" t="s">
        <v>8</v>
      </c>
      <c r="B5752" s="18" t="str">
        <f>"215245"</f>
        <v>215245</v>
      </c>
      <c r="C5752" s="19" t="s">
        <v>5673</v>
      </c>
      <c r="D5752" s="19" t="s">
        <v>21178</v>
      </c>
      <c r="E5752" s="19" t="s">
        <v>32927</v>
      </c>
      <c r="F5752" s="19" t="s">
        <v>35994</v>
      </c>
      <c r="G5752" s="18" t="str">
        <f>"21702"</f>
        <v>21702</v>
      </c>
      <c r="H5752" s="19" t="s">
        <v>32927</v>
      </c>
      <c r="I5752" s="20">
        <v>18.43</v>
      </c>
      <c r="J5752" s="44" t="s">
        <v>8</v>
      </c>
      <c r="K5752" s="23" t="s">
        <v>8</v>
      </c>
      <c r="L5752" s="23" t="s">
        <v>8</v>
      </c>
      <c r="M5752" s="23" t="s">
        <v>8</v>
      </c>
    </row>
    <row r="5753" spans="1:13" s="21" customFormat="1" x14ac:dyDescent="0.25">
      <c r="A5753" s="22" t="s">
        <v>8</v>
      </c>
      <c r="B5753" s="18" t="str">
        <f>"215246"</f>
        <v>215246</v>
      </c>
      <c r="C5753" s="19" t="s">
        <v>5674</v>
      </c>
      <c r="D5753" s="19" t="s">
        <v>21179</v>
      </c>
      <c r="E5753" s="19" t="s">
        <v>15103</v>
      </c>
      <c r="F5753" s="19" t="s">
        <v>35994</v>
      </c>
      <c r="G5753" s="18" t="str">
        <f>"20906"</f>
        <v>20906</v>
      </c>
      <c r="H5753" s="19" t="s">
        <v>30833</v>
      </c>
      <c r="I5753" s="20">
        <v>24.081</v>
      </c>
      <c r="J5753" s="44" t="s">
        <v>8</v>
      </c>
      <c r="K5753" s="23" t="s">
        <v>8</v>
      </c>
      <c r="L5753" s="23" t="s">
        <v>8</v>
      </c>
      <c r="M5753" s="23" t="s">
        <v>8</v>
      </c>
    </row>
    <row r="5754" spans="1:13" s="21" customFormat="1" x14ac:dyDescent="0.25">
      <c r="A5754" s="22" t="s">
        <v>8</v>
      </c>
      <c r="B5754" s="18" t="str">
        <f>"215247"</f>
        <v>215247</v>
      </c>
      <c r="C5754" s="19" t="s">
        <v>5675</v>
      </c>
      <c r="D5754" s="19" t="s">
        <v>21180</v>
      </c>
      <c r="E5754" s="19" t="s">
        <v>32953</v>
      </c>
      <c r="F5754" s="19" t="s">
        <v>35994</v>
      </c>
      <c r="G5754" s="18" t="str">
        <f>"21784"</f>
        <v>21784</v>
      </c>
      <c r="H5754" s="19" t="s">
        <v>32334</v>
      </c>
      <c r="I5754" s="20">
        <v>17.198</v>
      </c>
      <c r="J5754" s="44" t="s">
        <v>8</v>
      </c>
      <c r="K5754" s="23" t="s">
        <v>8</v>
      </c>
      <c r="L5754" s="23" t="s">
        <v>8</v>
      </c>
      <c r="M5754" s="23" t="s">
        <v>8</v>
      </c>
    </row>
    <row r="5755" spans="1:13" s="21" customFormat="1" x14ac:dyDescent="0.25">
      <c r="A5755" s="22" t="s">
        <v>8</v>
      </c>
      <c r="B5755" s="18" t="str">
        <f>"215249"</f>
        <v>215249</v>
      </c>
      <c r="C5755" s="19" t="s">
        <v>5676</v>
      </c>
      <c r="D5755" s="19" t="s">
        <v>21181</v>
      </c>
      <c r="E5755" s="19" t="s">
        <v>32930</v>
      </c>
      <c r="F5755" s="19" t="s">
        <v>35994</v>
      </c>
      <c r="G5755" s="18" t="str">
        <f>"21218"</f>
        <v>21218</v>
      </c>
      <c r="H5755" s="19" t="s">
        <v>36404</v>
      </c>
      <c r="I5755" s="20">
        <v>19.178999999999998</v>
      </c>
      <c r="J5755" s="44" t="s">
        <v>8</v>
      </c>
      <c r="K5755" s="23" t="s">
        <v>8</v>
      </c>
      <c r="L5755" s="23" t="s">
        <v>8</v>
      </c>
      <c r="M5755" s="23" t="s">
        <v>8</v>
      </c>
    </row>
    <row r="5756" spans="1:13" s="21" customFormat="1" x14ac:dyDescent="0.25">
      <c r="A5756" s="22" t="s">
        <v>8</v>
      </c>
      <c r="B5756" s="18" t="str">
        <f>"215250"</f>
        <v>215250</v>
      </c>
      <c r="C5756" s="19" t="s">
        <v>5677</v>
      </c>
      <c r="D5756" s="19" t="s">
        <v>21182</v>
      </c>
      <c r="E5756" s="19" t="s">
        <v>32979</v>
      </c>
      <c r="F5756" s="19" t="s">
        <v>35994</v>
      </c>
      <c r="G5756" s="18" t="str">
        <f>"21536"</f>
        <v>21536</v>
      </c>
      <c r="H5756" s="19" t="s">
        <v>32307</v>
      </c>
      <c r="I5756" s="20">
        <v>16.942</v>
      </c>
      <c r="J5756" s="44" t="s">
        <v>8</v>
      </c>
      <c r="K5756" s="23" t="s">
        <v>8</v>
      </c>
      <c r="L5756" s="23" t="s">
        <v>8</v>
      </c>
      <c r="M5756" s="23" t="s">
        <v>8</v>
      </c>
    </row>
    <row r="5757" spans="1:13" s="21" customFormat="1" x14ac:dyDescent="0.25">
      <c r="A5757" s="22" t="s">
        <v>8</v>
      </c>
      <c r="B5757" s="18" t="str">
        <f>"215252"</f>
        <v>215252</v>
      </c>
      <c r="C5757" s="19" t="s">
        <v>5678</v>
      </c>
      <c r="D5757" s="19" t="s">
        <v>21183</v>
      </c>
      <c r="E5757" s="19" t="s">
        <v>32942</v>
      </c>
      <c r="F5757" s="19" t="s">
        <v>35994</v>
      </c>
      <c r="G5757" s="18" t="str">
        <f>"21228"</f>
        <v>21228</v>
      </c>
      <c r="H5757" s="19" t="s">
        <v>32930</v>
      </c>
      <c r="I5757" s="20">
        <v>18.209</v>
      </c>
      <c r="J5757" s="44" t="s">
        <v>8</v>
      </c>
      <c r="K5757" s="23" t="s">
        <v>8</v>
      </c>
      <c r="L5757" s="23" t="s">
        <v>8</v>
      </c>
      <c r="M5757" s="23" t="s">
        <v>8</v>
      </c>
    </row>
    <row r="5758" spans="1:13" s="21" customFormat="1" x14ac:dyDescent="0.25">
      <c r="A5758" s="22" t="s">
        <v>8</v>
      </c>
      <c r="B5758" s="18" t="str">
        <f>"215253"</f>
        <v>215253</v>
      </c>
      <c r="C5758" s="19" t="s">
        <v>5679</v>
      </c>
      <c r="D5758" s="19" t="s">
        <v>21184</v>
      </c>
      <c r="E5758" s="19" t="s">
        <v>32930</v>
      </c>
      <c r="F5758" s="19" t="s">
        <v>35994</v>
      </c>
      <c r="G5758" s="18" t="str">
        <f>"21214"</f>
        <v>21214</v>
      </c>
      <c r="H5758" s="19" t="s">
        <v>36404</v>
      </c>
      <c r="I5758" s="20">
        <v>16.585999999999999</v>
      </c>
      <c r="J5758" s="44" t="s">
        <v>8</v>
      </c>
      <c r="K5758" s="23" t="s">
        <v>8</v>
      </c>
      <c r="L5758" s="23" t="s">
        <v>8</v>
      </c>
      <c r="M5758" s="23" t="s">
        <v>8</v>
      </c>
    </row>
    <row r="5759" spans="1:13" s="21" customFormat="1" x14ac:dyDescent="0.25">
      <c r="A5759" s="22" t="s">
        <v>8</v>
      </c>
      <c r="B5759" s="18" t="str">
        <f>"215255"</f>
        <v>215255</v>
      </c>
      <c r="C5759" s="19" t="s">
        <v>5680</v>
      </c>
      <c r="D5759" s="19" t="s">
        <v>21185</v>
      </c>
      <c r="E5759" s="19" t="s">
        <v>32934</v>
      </c>
      <c r="F5759" s="19" t="s">
        <v>35994</v>
      </c>
      <c r="G5759" s="18" t="str">
        <f>"21204"</f>
        <v>21204</v>
      </c>
      <c r="H5759" s="19" t="s">
        <v>32930</v>
      </c>
      <c r="I5759" s="20">
        <v>17.280999999999999</v>
      </c>
      <c r="J5759" s="44" t="s">
        <v>8</v>
      </c>
      <c r="K5759" s="23" t="s">
        <v>8</v>
      </c>
      <c r="L5759" s="23" t="s">
        <v>8</v>
      </c>
      <c r="M5759" s="23" t="s">
        <v>8</v>
      </c>
    </row>
    <row r="5760" spans="1:13" s="21" customFormat="1" x14ac:dyDescent="0.25">
      <c r="A5760" s="22" t="s">
        <v>8</v>
      </c>
      <c r="B5760" s="18" t="str">
        <f>"215256"</f>
        <v>215256</v>
      </c>
      <c r="C5760" s="19" t="s">
        <v>5681</v>
      </c>
      <c r="D5760" s="19" t="s">
        <v>21186</v>
      </c>
      <c r="E5760" s="19" t="s">
        <v>32946</v>
      </c>
      <c r="F5760" s="19" t="s">
        <v>35994</v>
      </c>
      <c r="G5760" s="18" t="str">
        <f>"21742"</f>
        <v>21742</v>
      </c>
      <c r="H5760" s="19" t="s">
        <v>31500</v>
      </c>
      <c r="I5760" s="20">
        <v>18.344999999999999</v>
      </c>
      <c r="J5760" s="44" t="s">
        <v>8</v>
      </c>
      <c r="K5760" s="23" t="s">
        <v>8</v>
      </c>
      <c r="L5760" s="23" t="s">
        <v>8</v>
      </c>
      <c r="M5760" s="23" t="s">
        <v>8</v>
      </c>
    </row>
    <row r="5761" spans="1:13" s="21" customFormat="1" x14ac:dyDescent="0.25">
      <c r="A5761" s="22" t="s">
        <v>8</v>
      </c>
      <c r="B5761" s="18" t="str">
        <f>"215258"</f>
        <v>215258</v>
      </c>
      <c r="C5761" s="19" t="s">
        <v>5682</v>
      </c>
      <c r="D5761" s="19" t="s">
        <v>21187</v>
      </c>
      <c r="E5761" s="19" t="s">
        <v>32928</v>
      </c>
      <c r="F5761" s="19" t="s">
        <v>35994</v>
      </c>
      <c r="G5761" s="18" t="str">
        <f>"21403"</f>
        <v>21403</v>
      </c>
      <c r="H5761" s="19" t="s">
        <v>36400</v>
      </c>
      <c r="I5761" s="20">
        <v>16.166</v>
      </c>
      <c r="J5761" s="44" t="s">
        <v>8</v>
      </c>
      <c r="K5761" s="23" t="s">
        <v>8</v>
      </c>
      <c r="L5761" s="23" t="s">
        <v>8</v>
      </c>
      <c r="M5761" s="23" t="s">
        <v>8</v>
      </c>
    </row>
    <row r="5762" spans="1:13" s="21" customFormat="1" x14ac:dyDescent="0.25">
      <c r="A5762" s="22" t="s">
        <v>8</v>
      </c>
      <c r="B5762" s="18" t="str">
        <f>"215259"</f>
        <v>215259</v>
      </c>
      <c r="C5762" s="19" t="s">
        <v>5683</v>
      </c>
      <c r="D5762" s="19" t="s">
        <v>21188</v>
      </c>
      <c r="E5762" s="19" t="s">
        <v>32934</v>
      </c>
      <c r="F5762" s="19" t="s">
        <v>35994</v>
      </c>
      <c r="G5762" s="18" t="str">
        <f>"21204"</f>
        <v>21204</v>
      </c>
      <c r="H5762" s="19" t="s">
        <v>32930</v>
      </c>
      <c r="I5762" s="20">
        <v>19.05</v>
      </c>
      <c r="J5762" s="44" t="s">
        <v>8</v>
      </c>
      <c r="K5762" s="23" t="s">
        <v>8</v>
      </c>
      <c r="L5762" s="23" t="s">
        <v>8</v>
      </c>
      <c r="M5762" s="23" t="s">
        <v>8</v>
      </c>
    </row>
    <row r="5763" spans="1:13" s="21" customFormat="1" x14ac:dyDescent="0.25">
      <c r="A5763" s="22" t="s">
        <v>8</v>
      </c>
      <c r="B5763" s="18" t="str">
        <f>"215260"</f>
        <v>215260</v>
      </c>
      <c r="C5763" s="19" t="s">
        <v>5684</v>
      </c>
      <c r="D5763" s="19" t="s">
        <v>21189</v>
      </c>
      <c r="E5763" s="19" t="s">
        <v>32976</v>
      </c>
      <c r="F5763" s="19" t="s">
        <v>35994</v>
      </c>
      <c r="G5763" s="18" t="str">
        <f>"21620"</f>
        <v>21620</v>
      </c>
      <c r="H5763" s="19" t="s">
        <v>31478</v>
      </c>
      <c r="I5763" s="20">
        <v>19.507000000000001</v>
      </c>
      <c r="J5763" s="44" t="s">
        <v>8</v>
      </c>
      <c r="K5763" s="23" t="s">
        <v>8</v>
      </c>
      <c r="L5763" s="23" t="s">
        <v>8</v>
      </c>
      <c r="M5763" s="23" t="s">
        <v>8</v>
      </c>
    </row>
    <row r="5764" spans="1:13" s="21" customFormat="1" x14ac:dyDescent="0.25">
      <c r="A5764" s="22" t="s">
        <v>8</v>
      </c>
      <c r="B5764" s="18" t="str">
        <f>"215261"</f>
        <v>215261</v>
      </c>
      <c r="C5764" s="19" t="s">
        <v>5685</v>
      </c>
      <c r="D5764" s="19" t="s">
        <v>21190</v>
      </c>
      <c r="E5764" s="19" t="s">
        <v>32930</v>
      </c>
      <c r="F5764" s="19" t="s">
        <v>35994</v>
      </c>
      <c r="G5764" s="18" t="str">
        <f>"21237"</f>
        <v>21237</v>
      </c>
      <c r="H5764" s="19" t="s">
        <v>32930</v>
      </c>
      <c r="I5764" s="20">
        <v>17.635999999999999</v>
      </c>
      <c r="J5764" s="44" t="s">
        <v>8</v>
      </c>
      <c r="K5764" s="23" t="s">
        <v>8</v>
      </c>
      <c r="L5764" s="23" t="s">
        <v>8</v>
      </c>
      <c r="M5764" s="23" t="s">
        <v>8</v>
      </c>
    </row>
    <row r="5765" spans="1:13" s="21" customFormat="1" x14ac:dyDescent="0.25">
      <c r="A5765" s="22" t="s">
        <v>8</v>
      </c>
      <c r="B5765" s="18" t="str">
        <f>"215262"</f>
        <v>215262</v>
      </c>
      <c r="C5765" s="19" t="s">
        <v>5686</v>
      </c>
      <c r="D5765" s="19" t="s">
        <v>21191</v>
      </c>
      <c r="E5765" s="19" t="s">
        <v>32976</v>
      </c>
      <c r="F5765" s="19" t="s">
        <v>35994</v>
      </c>
      <c r="G5765" s="18" t="str">
        <f>"21620"</f>
        <v>21620</v>
      </c>
      <c r="H5765" s="19" t="s">
        <v>31478</v>
      </c>
      <c r="I5765" s="20">
        <v>18.297999999999998</v>
      </c>
      <c r="J5765" s="44" t="s">
        <v>8</v>
      </c>
      <c r="K5765" s="23" t="s">
        <v>8</v>
      </c>
      <c r="L5765" s="23" t="s">
        <v>8</v>
      </c>
      <c r="M5765" s="23" t="s">
        <v>8</v>
      </c>
    </row>
    <row r="5766" spans="1:13" s="21" customFormat="1" x14ac:dyDescent="0.25">
      <c r="A5766" s="22" t="s">
        <v>8</v>
      </c>
      <c r="B5766" s="18" t="str">
        <f>"215264"</f>
        <v>215264</v>
      </c>
      <c r="C5766" s="19" t="s">
        <v>5687</v>
      </c>
      <c r="D5766" s="19" t="s">
        <v>21192</v>
      </c>
      <c r="E5766" s="19" t="s">
        <v>32980</v>
      </c>
      <c r="F5766" s="19" t="s">
        <v>35994</v>
      </c>
      <c r="G5766" s="18" t="str">
        <f>"20716"</f>
        <v>20716</v>
      </c>
      <c r="H5766" s="19" t="s">
        <v>36403</v>
      </c>
      <c r="I5766" s="20">
        <v>18.010999999999999</v>
      </c>
      <c r="J5766" s="44" t="s">
        <v>8</v>
      </c>
      <c r="K5766" s="23" t="s">
        <v>8</v>
      </c>
      <c r="L5766" s="23" t="s">
        <v>8</v>
      </c>
      <c r="M5766" s="23" t="s">
        <v>8</v>
      </c>
    </row>
    <row r="5767" spans="1:13" s="21" customFormat="1" x14ac:dyDescent="0.25">
      <c r="A5767" s="22" t="s">
        <v>8</v>
      </c>
      <c r="B5767" s="18" t="str">
        <f>"215265"</f>
        <v>215265</v>
      </c>
      <c r="C5767" s="19" t="s">
        <v>5688</v>
      </c>
      <c r="D5767" s="19" t="s">
        <v>21193</v>
      </c>
      <c r="E5767" s="19" t="s">
        <v>32953</v>
      </c>
      <c r="F5767" s="19" t="s">
        <v>35994</v>
      </c>
      <c r="G5767" s="18" t="str">
        <f>"21784"</f>
        <v>21784</v>
      </c>
      <c r="H5767" s="19" t="s">
        <v>32334</v>
      </c>
      <c r="I5767" s="20">
        <v>20.513000000000002</v>
      </c>
      <c r="J5767" s="44" t="s">
        <v>8</v>
      </c>
      <c r="K5767" s="23" t="s">
        <v>8</v>
      </c>
      <c r="L5767" s="23" t="s">
        <v>8</v>
      </c>
      <c r="M5767" s="23" t="s">
        <v>8</v>
      </c>
    </row>
    <row r="5768" spans="1:13" s="21" customFormat="1" x14ac:dyDescent="0.25">
      <c r="A5768" s="22" t="s">
        <v>8</v>
      </c>
      <c r="B5768" s="18" t="str">
        <f>"215266"</f>
        <v>215266</v>
      </c>
      <c r="C5768" s="19" t="s">
        <v>5689</v>
      </c>
      <c r="D5768" s="19" t="s">
        <v>21194</v>
      </c>
      <c r="E5768" s="19" t="s">
        <v>32956</v>
      </c>
      <c r="F5768" s="19" t="s">
        <v>35994</v>
      </c>
      <c r="G5768" s="18" t="str">
        <f>"21060"</f>
        <v>21060</v>
      </c>
      <c r="H5768" s="19" t="s">
        <v>36400</v>
      </c>
      <c r="I5768" s="20">
        <v>18.93</v>
      </c>
      <c r="J5768" s="44" t="s">
        <v>8</v>
      </c>
      <c r="K5768" s="23" t="s">
        <v>8</v>
      </c>
      <c r="L5768" s="23" t="s">
        <v>8</v>
      </c>
      <c r="M5768" s="23" t="s">
        <v>8</v>
      </c>
    </row>
    <row r="5769" spans="1:13" s="21" customFormat="1" x14ac:dyDescent="0.25">
      <c r="A5769" s="22" t="s">
        <v>8</v>
      </c>
      <c r="B5769" s="18" t="str">
        <f>"215267"</f>
        <v>215267</v>
      </c>
      <c r="C5769" s="19" t="s">
        <v>5690</v>
      </c>
      <c r="D5769" s="19" t="s">
        <v>21195</v>
      </c>
      <c r="E5769" s="19" t="s">
        <v>32981</v>
      </c>
      <c r="F5769" s="19" t="s">
        <v>35994</v>
      </c>
      <c r="G5769" s="18" t="str">
        <f>"21727"</f>
        <v>21727</v>
      </c>
      <c r="H5769" s="19" t="s">
        <v>32927</v>
      </c>
      <c r="I5769" s="20">
        <v>18.291</v>
      </c>
      <c r="J5769" s="44" t="s">
        <v>8</v>
      </c>
      <c r="K5769" s="23" t="s">
        <v>8</v>
      </c>
      <c r="L5769" s="23" t="s">
        <v>8</v>
      </c>
      <c r="M5769" s="23" t="s">
        <v>8</v>
      </c>
    </row>
    <row r="5770" spans="1:13" s="21" customFormat="1" x14ac:dyDescent="0.25">
      <c r="A5770" s="22" t="s">
        <v>8</v>
      </c>
      <c r="B5770" s="18" t="str">
        <f>"215268"</f>
        <v>215268</v>
      </c>
      <c r="C5770" s="19" t="s">
        <v>5691</v>
      </c>
      <c r="D5770" s="19" t="s">
        <v>21196</v>
      </c>
      <c r="E5770" s="19" t="s">
        <v>32982</v>
      </c>
      <c r="F5770" s="19" t="s">
        <v>35994</v>
      </c>
      <c r="G5770" s="18" t="str">
        <f>"21771"</f>
        <v>21771</v>
      </c>
      <c r="H5770" s="19" t="s">
        <v>32927</v>
      </c>
      <c r="I5770" s="20">
        <v>23.222999999999999</v>
      </c>
      <c r="J5770" s="44" t="s">
        <v>8</v>
      </c>
      <c r="K5770" s="23" t="s">
        <v>8</v>
      </c>
      <c r="L5770" s="23" t="s">
        <v>8</v>
      </c>
      <c r="M5770" s="23" t="s">
        <v>8</v>
      </c>
    </row>
    <row r="5771" spans="1:13" s="21" customFormat="1" x14ac:dyDescent="0.25">
      <c r="A5771" s="22" t="s">
        <v>8</v>
      </c>
      <c r="B5771" s="18" t="str">
        <f>"215269"</f>
        <v>215269</v>
      </c>
      <c r="C5771" s="19" t="s">
        <v>5692</v>
      </c>
      <c r="D5771" s="19" t="s">
        <v>21197</v>
      </c>
      <c r="E5771" s="19" t="s">
        <v>32761</v>
      </c>
      <c r="F5771" s="19" t="s">
        <v>35994</v>
      </c>
      <c r="G5771" s="18" t="str">
        <f>"21921"</f>
        <v>21921</v>
      </c>
      <c r="H5771" s="19" t="s">
        <v>36408</v>
      </c>
      <c r="I5771" s="20">
        <v>21.869</v>
      </c>
      <c r="J5771" s="44" t="s">
        <v>8</v>
      </c>
      <c r="K5771" s="23" t="s">
        <v>8</v>
      </c>
      <c r="L5771" s="23" t="s">
        <v>8</v>
      </c>
      <c r="M5771" s="23" t="s">
        <v>8</v>
      </c>
    </row>
    <row r="5772" spans="1:13" s="21" customFormat="1" x14ac:dyDescent="0.25">
      <c r="A5772" s="22" t="s">
        <v>8</v>
      </c>
      <c r="B5772" s="18" t="str">
        <f>"215270"</f>
        <v>215270</v>
      </c>
      <c r="C5772" s="19" t="s">
        <v>5693</v>
      </c>
      <c r="D5772" s="19" t="s">
        <v>21198</v>
      </c>
      <c r="E5772" s="19" t="s">
        <v>32983</v>
      </c>
      <c r="F5772" s="19" t="s">
        <v>35994</v>
      </c>
      <c r="G5772" s="18" t="str">
        <f>"20688"</f>
        <v>20688</v>
      </c>
      <c r="H5772" s="19" t="s">
        <v>36410</v>
      </c>
      <c r="I5772" s="20">
        <v>24.398</v>
      </c>
      <c r="J5772" s="44" t="s">
        <v>8</v>
      </c>
      <c r="K5772" s="23" t="s">
        <v>8</v>
      </c>
      <c r="L5772" s="23" t="s">
        <v>8</v>
      </c>
      <c r="M5772" s="23" t="s">
        <v>8</v>
      </c>
    </row>
    <row r="5773" spans="1:13" s="21" customFormat="1" x14ac:dyDescent="0.25">
      <c r="A5773" s="22" t="s">
        <v>8</v>
      </c>
      <c r="B5773" s="18" t="str">
        <f>"215271"</f>
        <v>215271</v>
      </c>
      <c r="C5773" s="19" t="s">
        <v>5694</v>
      </c>
      <c r="D5773" s="19" t="s">
        <v>21199</v>
      </c>
      <c r="E5773" s="19" t="s">
        <v>32930</v>
      </c>
      <c r="F5773" s="19" t="s">
        <v>35994</v>
      </c>
      <c r="G5773" s="18" t="str">
        <f>"21217"</f>
        <v>21217</v>
      </c>
      <c r="H5773" s="19" t="s">
        <v>36404</v>
      </c>
      <c r="I5773" s="20">
        <v>19.582000000000001</v>
      </c>
      <c r="J5773" s="44" t="s">
        <v>8</v>
      </c>
      <c r="K5773" s="23" t="s">
        <v>8</v>
      </c>
      <c r="L5773" s="23" t="s">
        <v>8</v>
      </c>
      <c r="M5773" s="23" t="s">
        <v>8</v>
      </c>
    </row>
    <row r="5774" spans="1:13" s="21" customFormat="1" x14ac:dyDescent="0.25">
      <c r="A5774" s="22" t="s">
        <v>8</v>
      </c>
      <c r="B5774" s="18" t="str">
        <f>"215272"</f>
        <v>215272</v>
      </c>
      <c r="C5774" s="19" t="s">
        <v>5695</v>
      </c>
      <c r="D5774" s="19" t="s">
        <v>21200</v>
      </c>
      <c r="E5774" s="19" t="s">
        <v>32943</v>
      </c>
      <c r="F5774" s="19" t="s">
        <v>35994</v>
      </c>
      <c r="G5774" s="18" t="str">
        <f>"20879"</f>
        <v>20879</v>
      </c>
      <c r="H5774" s="19" t="s">
        <v>30833</v>
      </c>
      <c r="I5774" s="20">
        <v>20.817</v>
      </c>
      <c r="J5774" s="44" t="s">
        <v>8</v>
      </c>
      <c r="K5774" s="23" t="s">
        <v>8</v>
      </c>
      <c r="L5774" s="23" t="s">
        <v>8</v>
      </c>
      <c r="M5774" s="23" t="s">
        <v>8</v>
      </c>
    </row>
    <row r="5775" spans="1:13" s="21" customFormat="1" x14ac:dyDescent="0.25">
      <c r="A5775" s="22" t="s">
        <v>8</v>
      </c>
      <c r="B5775" s="18" t="str">
        <f>"215273"</f>
        <v>215273</v>
      </c>
      <c r="C5775" s="19" t="s">
        <v>5696</v>
      </c>
      <c r="D5775" s="19" t="s">
        <v>21201</v>
      </c>
      <c r="E5775" s="19" t="s">
        <v>32984</v>
      </c>
      <c r="F5775" s="19" t="s">
        <v>35994</v>
      </c>
      <c r="G5775" s="18" t="str">
        <f>"20602"</f>
        <v>20602</v>
      </c>
      <c r="H5775" s="19" t="s">
        <v>36407</v>
      </c>
      <c r="I5775" s="20">
        <v>16.244</v>
      </c>
      <c r="J5775" s="44" t="s">
        <v>8</v>
      </c>
      <c r="K5775" s="23" t="s">
        <v>8</v>
      </c>
      <c r="L5775" s="23" t="s">
        <v>8</v>
      </c>
      <c r="M5775" s="23" t="s">
        <v>8</v>
      </c>
    </row>
    <row r="5776" spans="1:13" s="21" customFormat="1" x14ac:dyDescent="0.25">
      <c r="A5776" s="22" t="s">
        <v>8</v>
      </c>
      <c r="B5776" s="18" t="str">
        <f>"215277"</f>
        <v>215277</v>
      </c>
      <c r="C5776" s="19" t="s">
        <v>5697</v>
      </c>
      <c r="D5776" s="19" t="s">
        <v>21202</v>
      </c>
      <c r="E5776" s="19" t="s">
        <v>32947</v>
      </c>
      <c r="F5776" s="19" t="s">
        <v>35994</v>
      </c>
      <c r="G5776" s="18" t="str">
        <f>"21532"</f>
        <v>21532</v>
      </c>
      <c r="H5776" s="19" t="s">
        <v>34178</v>
      </c>
      <c r="I5776" s="20">
        <v>18.236000000000001</v>
      </c>
      <c r="J5776" s="44" t="s">
        <v>8</v>
      </c>
      <c r="K5776" s="23" t="s">
        <v>8</v>
      </c>
      <c r="L5776" s="23" t="s">
        <v>8</v>
      </c>
      <c r="M5776" s="23" t="s">
        <v>8</v>
      </c>
    </row>
    <row r="5777" spans="1:13" s="21" customFormat="1" x14ac:dyDescent="0.25">
      <c r="A5777" s="22" t="s">
        <v>8</v>
      </c>
      <c r="B5777" s="18" t="str">
        <f>"215278"</f>
        <v>215278</v>
      </c>
      <c r="C5777" s="19" t="s">
        <v>5698</v>
      </c>
      <c r="D5777" s="19" t="s">
        <v>21203</v>
      </c>
      <c r="E5777" s="19" t="s">
        <v>32985</v>
      </c>
      <c r="F5777" s="19" t="s">
        <v>35994</v>
      </c>
      <c r="G5777" s="18" t="str">
        <f>"21057"</f>
        <v>21057</v>
      </c>
      <c r="H5777" s="19" t="s">
        <v>32930</v>
      </c>
      <c r="I5777" s="20">
        <v>17.238</v>
      </c>
      <c r="J5777" s="44" t="s">
        <v>8</v>
      </c>
      <c r="K5777" s="23" t="s">
        <v>8</v>
      </c>
      <c r="L5777" s="23" t="s">
        <v>8</v>
      </c>
      <c r="M5777" s="23" t="s">
        <v>8</v>
      </c>
    </row>
    <row r="5778" spans="1:13" s="21" customFormat="1" x14ac:dyDescent="0.25">
      <c r="A5778" s="22" t="s">
        <v>8</v>
      </c>
      <c r="B5778" s="18" t="str">
        <f>"215280"</f>
        <v>215280</v>
      </c>
      <c r="C5778" s="19" t="s">
        <v>5699</v>
      </c>
      <c r="D5778" s="19" t="s">
        <v>21204</v>
      </c>
      <c r="E5778" s="19" t="s">
        <v>32930</v>
      </c>
      <c r="F5778" s="19" t="s">
        <v>35994</v>
      </c>
      <c r="G5778" s="18" t="str">
        <f>"21239"</f>
        <v>21239</v>
      </c>
      <c r="H5778" s="19" t="s">
        <v>36404</v>
      </c>
      <c r="I5778" s="20">
        <v>20.004999999999999</v>
      </c>
      <c r="J5778" s="44" t="s">
        <v>8</v>
      </c>
      <c r="K5778" s="23" t="s">
        <v>8</v>
      </c>
      <c r="L5778" s="23" t="s">
        <v>8</v>
      </c>
      <c r="M5778" s="23" t="s">
        <v>8</v>
      </c>
    </row>
    <row r="5779" spans="1:13" s="21" customFormat="1" x14ac:dyDescent="0.25">
      <c r="A5779" s="22" t="s">
        <v>8</v>
      </c>
      <c r="B5779" s="18" t="str">
        <f>"215283"</f>
        <v>215283</v>
      </c>
      <c r="C5779" s="19" t="s">
        <v>5700</v>
      </c>
      <c r="D5779" s="19" t="s">
        <v>21205</v>
      </c>
      <c r="E5779" s="19" t="s">
        <v>32930</v>
      </c>
      <c r="F5779" s="19" t="s">
        <v>35994</v>
      </c>
      <c r="G5779" s="18" t="str">
        <f>"21202"</f>
        <v>21202</v>
      </c>
      <c r="H5779" s="19" t="s">
        <v>36404</v>
      </c>
      <c r="I5779" s="20">
        <v>18.09</v>
      </c>
      <c r="J5779" s="44" t="s">
        <v>8</v>
      </c>
      <c r="K5779" s="23" t="s">
        <v>8</v>
      </c>
      <c r="L5779" s="23" t="s">
        <v>8</v>
      </c>
      <c r="M5779" s="23" t="s">
        <v>8</v>
      </c>
    </row>
    <row r="5780" spans="1:13" s="21" customFormat="1" x14ac:dyDescent="0.25">
      <c r="A5780" s="22" t="s">
        <v>8</v>
      </c>
      <c r="B5780" s="18" t="str">
        <f>"215287"</f>
        <v>215287</v>
      </c>
      <c r="C5780" s="19" t="s">
        <v>5701</v>
      </c>
      <c r="D5780" s="19" t="s">
        <v>21206</v>
      </c>
      <c r="E5780" s="19" t="s">
        <v>32941</v>
      </c>
      <c r="F5780" s="19" t="s">
        <v>35994</v>
      </c>
      <c r="G5780" s="18" t="str">
        <f>"20814"</f>
        <v>20814</v>
      </c>
      <c r="H5780" s="19" t="s">
        <v>30833</v>
      </c>
      <c r="I5780" s="20">
        <v>16.777000000000001</v>
      </c>
      <c r="J5780" s="44" t="s">
        <v>8</v>
      </c>
      <c r="K5780" s="23" t="s">
        <v>8</v>
      </c>
      <c r="L5780" s="23" t="s">
        <v>8</v>
      </c>
      <c r="M5780" s="23" t="s">
        <v>8</v>
      </c>
    </row>
    <row r="5781" spans="1:13" s="21" customFormat="1" x14ac:dyDescent="0.25">
      <c r="A5781" s="22" t="s">
        <v>8</v>
      </c>
      <c r="B5781" s="18" t="str">
        <f>"215289"</f>
        <v>215289</v>
      </c>
      <c r="C5781" s="19" t="s">
        <v>5702</v>
      </c>
      <c r="D5781" s="19" t="s">
        <v>21207</v>
      </c>
      <c r="E5781" s="19" t="s">
        <v>32968</v>
      </c>
      <c r="F5781" s="19" t="s">
        <v>35994</v>
      </c>
      <c r="G5781" s="18" t="str">
        <f>"20678"</f>
        <v>20678</v>
      </c>
      <c r="H5781" s="19" t="s">
        <v>36410</v>
      </c>
      <c r="I5781" s="20">
        <v>16.350000000000001</v>
      </c>
      <c r="J5781" s="44" t="s">
        <v>8</v>
      </c>
      <c r="K5781" s="23" t="s">
        <v>8</v>
      </c>
      <c r="L5781" s="23" t="s">
        <v>8</v>
      </c>
      <c r="M5781" s="23" t="s">
        <v>8</v>
      </c>
    </row>
    <row r="5782" spans="1:13" s="21" customFormat="1" x14ac:dyDescent="0.25">
      <c r="A5782" s="22" t="s">
        <v>8</v>
      </c>
      <c r="B5782" s="18" t="str">
        <f>"215291"</f>
        <v>215291</v>
      </c>
      <c r="C5782" s="19" t="s">
        <v>5703</v>
      </c>
      <c r="D5782" s="19" t="s">
        <v>21208</v>
      </c>
      <c r="E5782" s="19" t="s">
        <v>32939</v>
      </c>
      <c r="F5782" s="19" t="s">
        <v>35994</v>
      </c>
      <c r="G5782" s="18" t="str">
        <f>"21133"</f>
        <v>21133</v>
      </c>
      <c r="H5782" s="19" t="s">
        <v>32930</v>
      </c>
      <c r="I5782" s="20">
        <v>22.359000000000002</v>
      </c>
      <c r="J5782" s="44" t="s">
        <v>8</v>
      </c>
      <c r="K5782" s="23" t="s">
        <v>8</v>
      </c>
      <c r="L5782" s="23" t="s">
        <v>8</v>
      </c>
      <c r="M5782" s="23" t="s">
        <v>8</v>
      </c>
    </row>
    <row r="5783" spans="1:13" s="21" customFormat="1" x14ac:dyDescent="0.25">
      <c r="A5783" s="22" t="s">
        <v>8</v>
      </c>
      <c r="B5783" s="18" t="str">
        <f>"215296"</f>
        <v>215296</v>
      </c>
      <c r="C5783" s="19" t="s">
        <v>5704</v>
      </c>
      <c r="D5783" s="19" t="s">
        <v>21209</v>
      </c>
      <c r="E5783" s="19" t="s">
        <v>32930</v>
      </c>
      <c r="F5783" s="19" t="s">
        <v>35994</v>
      </c>
      <c r="G5783" s="18" t="str">
        <f>"21212"</f>
        <v>21212</v>
      </c>
      <c r="H5783" s="19" t="s">
        <v>36404</v>
      </c>
      <c r="I5783" s="20">
        <v>19.218</v>
      </c>
      <c r="J5783" s="44" t="s">
        <v>8</v>
      </c>
      <c r="K5783" s="23" t="s">
        <v>8</v>
      </c>
      <c r="L5783" s="23" t="s">
        <v>8</v>
      </c>
      <c r="M5783" s="23" t="s">
        <v>8</v>
      </c>
    </row>
    <row r="5784" spans="1:13" s="21" customFormat="1" x14ac:dyDescent="0.25">
      <c r="A5784" s="22" t="s">
        <v>8</v>
      </c>
      <c r="B5784" s="18" t="str">
        <f>"215297"</f>
        <v>215297</v>
      </c>
      <c r="C5784" s="19" t="s">
        <v>5705</v>
      </c>
      <c r="D5784" s="19" t="s">
        <v>21210</v>
      </c>
      <c r="E5784" s="19" t="s">
        <v>32986</v>
      </c>
      <c r="F5784" s="19" t="s">
        <v>35994</v>
      </c>
      <c r="G5784" s="18" t="str">
        <f>"21037"</f>
        <v>21037</v>
      </c>
      <c r="H5784" s="19" t="s">
        <v>36400</v>
      </c>
      <c r="I5784" s="20">
        <v>18.437999999999999</v>
      </c>
      <c r="J5784" s="44" t="s">
        <v>8</v>
      </c>
      <c r="K5784" s="23" t="s">
        <v>8</v>
      </c>
      <c r="L5784" s="23" t="s">
        <v>8</v>
      </c>
      <c r="M5784" s="23" t="s">
        <v>8</v>
      </c>
    </row>
    <row r="5785" spans="1:13" s="21" customFormat="1" x14ac:dyDescent="0.25">
      <c r="A5785" s="22" t="s">
        <v>8</v>
      </c>
      <c r="B5785" s="18" t="str">
        <f>"215299"</f>
        <v>215299</v>
      </c>
      <c r="C5785" s="19" t="s">
        <v>5706</v>
      </c>
      <c r="D5785" s="19" t="s">
        <v>21211</v>
      </c>
      <c r="E5785" s="19" t="s">
        <v>32930</v>
      </c>
      <c r="F5785" s="19" t="s">
        <v>35994</v>
      </c>
      <c r="G5785" s="18" t="str">
        <f>"21229"</f>
        <v>21229</v>
      </c>
      <c r="H5785" s="19" t="s">
        <v>36404</v>
      </c>
      <c r="I5785" s="20">
        <v>19.317</v>
      </c>
      <c r="J5785" s="44" t="s">
        <v>8</v>
      </c>
      <c r="K5785" s="23" t="s">
        <v>8</v>
      </c>
      <c r="L5785" s="23" t="s">
        <v>8</v>
      </c>
      <c r="M5785" s="23" t="s">
        <v>8</v>
      </c>
    </row>
    <row r="5786" spans="1:13" s="21" customFormat="1" x14ac:dyDescent="0.25">
      <c r="A5786" s="22" t="s">
        <v>8</v>
      </c>
      <c r="B5786" s="18" t="str">
        <f>"215300"</f>
        <v>215300</v>
      </c>
      <c r="C5786" s="19" t="s">
        <v>5707</v>
      </c>
      <c r="D5786" s="19" t="s">
        <v>21212</v>
      </c>
      <c r="E5786" s="19" t="s">
        <v>32930</v>
      </c>
      <c r="F5786" s="19" t="s">
        <v>35994</v>
      </c>
      <c r="G5786" s="18" t="str">
        <f>"21212"</f>
        <v>21212</v>
      </c>
      <c r="H5786" s="19" t="s">
        <v>36404</v>
      </c>
      <c r="I5786" s="20">
        <v>18.033999999999999</v>
      </c>
      <c r="J5786" s="44" t="s">
        <v>8</v>
      </c>
      <c r="K5786" s="23" t="s">
        <v>8</v>
      </c>
      <c r="L5786" s="23" t="s">
        <v>8</v>
      </c>
      <c r="M5786" s="23" t="s">
        <v>8</v>
      </c>
    </row>
    <row r="5787" spans="1:13" s="21" customFormat="1" x14ac:dyDescent="0.25">
      <c r="A5787" s="22" t="s">
        <v>8</v>
      </c>
      <c r="B5787" s="18" t="str">
        <f>"215301"</f>
        <v>215301</v>
      </c>
      <c r="C5787" s="19" t="s">
        <v>5708</v>
      </c>
      <c r="D5787" s="19" t="s">
        <v>21213</v>
      </c>
      <c r="E5787" s="19" t="s">
        <v>32930</v>
      </c>
      <c r="F5787" s="19" t="s">
        <v>35994</v>
      </c>
      <c r="G5787" s="18" t="str">
        <f>"21209"</f>
        <v>21209</v>
      </c>
      <c r="H5787" s="19" t="s">
        <v>36404</v>
      </c>
      <c r="I5787" s="20">
        <v>21.215</v>
      </c>
      <c r="J5787" s="44" t="s">
        <v>8</v>
      </c>
      <c r="K5787" s="23" t="s">
        <v>8</v>
      </c>
      <c r="L5787" s="23" t="s">
        <v>8</v>
      </c>
      <c r="M5787" s="23" t="s">
        <v>8</v>
      </c>
    </row>
    <row r="5788" spans="1:13" s="21" customFormat="1" x14ac:dyDescent="0.25">
      <c r="A5788" s="22" t="s">
        <v>8</v>
      </c>
      <c r="B5788" s="18" t="str">
        <f>"215304"</f>
        <v>215304</v>
      </c>
      <c r="C5788" s="19" t="s">
        <v>5709</v>
      </c>
      <c r="D5788" s="19" t="s">
        <v>21214</v>
      </c>
      <c r="E5788" s="19" t="s">
        <v>32983</v>
      </c>
      <c r="F5788" s="19" t="s">
        <v>35994</v>
      </c>
      <c r="G5788" s="18" t="str">
        <f>"20688"</f>
        <v>20688</v>
      </c>
      <c r="H5788" s="19" t="s">
        <v>36410</v>
      </c>
      <c r="I5788" s="20">
        <v>16.495999999999999</v>
      </c>
      <c r="J5788" s="44" t="s">
        <v>8</v>
      </c>
      <c r="K5788" s="23" t="s">
        <v>8</v>
      </c>
      <c r="L5788" s="23" t="s">
        <v>8</v>
      </c>
      <c r="M5788" s="23" t="s">
        <v>8</v>
      </c>
    </row>
    <row r="5789" spans="1:13" s="21" customFormat="1" x14ac:dyDescent="0.25">
      <c r="A5789" s="22" t="s">
        <v>8</v>
      </c>
      <c r="B5789" s="18" t="str">
        <f>"215307"</f>
        <v>215307</v>
      </c>
      <c r="C5789" s="19" t="s">
        <v>5710</v>
      </c>
      <c r="D5789" s="19" t="s">
        <v>21215</v>
      </c>
      <c r="E5789" s="19" t="s">
        <v>32987</v>
      </c>
      <c r="F5789" s="19" t="s">
        <v>35994</v>
      </c>
      <c r="G5789" s="18" t="str">
        <f>"21539"</f>
        <v>21539</v>
      </c>
      <c r="H5789" s="19" t="s">
        <v>34178</v>
      </c>
      <c r="I5789" s="20">
        <v>18.704000000000001</v>
      </c>
      <c r="J5789" s="44" t="s">
        <v>8</v>
      </c>
      <c r="K5789" s="23" t="s">
        <v>8</v>
      </c>
      <c r="L5789" s="23" t="s">
        <v>8</v>
      </c>
      <c r="M5789" s="23" t="s">
        <v>8</v>
      </c>
    </row>
    <row r="5790" spans="1:13" s="21" customFormat="1" x14ac:dyDescent="0.25">
      <c r="A5790" s="22" t="s">
        <v>8</v>
      </c>
      <c r="B5790" s="18" t="str">
        <f>"215308"</f>
        <v>215308</v>
      </c>
      <c r="C5790" s="19" t="s">
        <v>5711</v>
      </c>
      <c r="D5790" s="19" t="s">
        <v>21216</v>
      </c>
      <c r="E5790" s="19" t="s">
        <v>32988</v>
      </c>
      <c r="F5790" s="19" t="s">
        <v>35994</v>
      </c>
      <c r="G5790" s="18" t="str">
        <f>"21234"</f>
        <v>21234</v>
      </c>
      <c r="H5790" s="19" t="s">
        <v>32930</v>
      </c>
      <c r="I5790" s="20">
        <v>17.148</v>
      </c>
      <c r="J5790" s="44" t="s">
        <v>8</v>
      </c>
      <c r="K5790" s="23" t="s">
        <v>8</v>
      </c>
      <c r="L5790" s="23" t="s">
        <v>8</v>
      </c>
      <c r="M5790" s="23" t="s">
        <v>8</v>
      </c>
    </row>
    <row r="5791" spans="1:13" s="21" customFormat="1" x14ac:dyDescent="0.25">
      <c r="A5791" s="22" t="s">
        <v>8</v>
      </c>
      <c r="B5791" s="18" t="str">
        <f>"215310"</f>
        <v>215310</v>
      </c>
      <c r="C5791" s="19" t="s">
        <v>5712</v>
      </c>
      <c r="D5791" s="19" t="s">
        <v>21217</v>
      </c>
      <c r="E5791" s="19" t="s">
        <v>31143</v>
      </c>
      <c r="F5791" s="19" t="s">
        <v>35994</v>
      </c>
      <c r="G5791" s="18" t="str">
        <f>"21550"</f>
        <v>21550</v>
      </c>
      <c r="H5791" s="19" t="s">
        <v>32307</v>
      </c>
      <c r="I5791" s="20">
        <v>17.7</v>
      </c>
      <c r="J5791" s="44" t="s">
        <v>8</v>
      </c>
      <c r="K5791" s="23" t="s">
        <v>8</v>
      </c>
      <c r="L5791" s="23" t="s">
        <v>8</v>
      </c>
      <c r="M5791" s="23" t="s">
        <v>8</v>
      </c>
    </row>
    <row r="5792" spans="1:13" s="21" customFormat="1" x14ac:dyDescent="0.25">
      <c r="A5792" s="22" t="s">
        <v>8</v>
      </c>
      <c r="B5792" s="18" t="str">
        <f>"215312"</f>
        <v>215312</v>
      </c>
      <c r="C5792" s="19" t="s">
        <v>5713</v>
      </c>
      <c r="D5792" s="19" t="s">
        <v>21218</v>
      </c>
      <c r="E5792" s="19" t="s">
        <v>32989</v>
      </c>
      <c r="F5792" s="19" t="s">
        <v>35994</v>
      </c>
      <c r="G5792" s="18" t="str">
        <f>"21014"</f>
        <v>21014</v>
      </c>
      <c r="H5792" s="19" t="s">
        <v>36405</v>
      </c>
      <c r="I5792" s="20">
        <v>20.568999999999999</v>
      </c>
      <c r="J5792" s="44" t="s">
        <v>8</v>
      </c>
      <c r="K5792" s="23" t="s">
        <v>8</v>
      </c>
      <c r="L5792" s="23" t="s">
        <v>8</v>
      </c>
      <c r="M5792" s="23" t="s">
        <v>8</v>
      </c>
    </row>
    <row r="5793" spans="1:13" s="21" customFormat="1" x14ac:dyDescent="0.25">
      <c r="A5793" s="22" t="s">
        <v>8</v>
      </c>
      <c r="B5793" s="18" t="str">
        <f>"215313"</f>
        <v>215313</v>
      </c>
      <c r="C5793" s="19" t="s">
        <v>5714</v>
      </c>
      <c r="D5793" s="19" t="s">
        <v>21219</v>
      </c>
      <c r="E5793" s="19" t="s">
        <v>32990</v>
      </c>
      <c r="F5793" s="19" t="s">
        <v>35994</v>
      </c>
      <c r="G5793" s="18" t="str">
        <f>"21793"</f>
        <v>21793</v>
      </c>
      <c r="H5793" s="19" t="s">
        <v>32927</v>
      </c>
      <c r="I5793" s="20">
        <v>16.286999999999999</v>
      </c>
      <c r="J5793" s="44" t="s">
        <v>8</v>
      </c>
      <c r="K5793" s="23" t="s">
        <v>8</v>
      </c>
      <c r="L5793" s="23" t="s">
        <v>8</v>
      </c>
      <c r="M5793" s="23" t="s">
        <v>8</v>
      </c>
    </row>
    <row r="5794" spans="1:13" s="21" customFormat="1" x14ac:dyDescent="0.25">
      <c r="A5794" s="22" t="s">
        <v>8</v>
      </c>
      <c r="B5794" s="18" t="str">
        <f>"215314"</f>
        <v>215314</v>
      </c>
      <c r="C5794" s="19" t="s">
        <v>5715</v>
      </c>
      <c r="D5794" s="19" t="s">
        <v>21220</v>
      </c>
      <c r="E5794" s="19" t="s">
        <v>32930</v>
      </c>
      <c r="F5794" s="19" t="s">
        <v>35994</v>
      </c>
      <c r="G5794" s="18" t="str">
        <f>"21204"</f>
        <v>21204</v>
      </c>
      <c r="H5794" s="19" t="s">
        <v>32930</v>
      </c>
      <c r="I5794" s="20">
        <v>17.015999999999998</v>
      </c>
      <c r="J5794" s="44" t="s">
        <v>8</v>
      </c>
      <c r="K5794" s="23" t="s">
        <v>8</v>
      </c>
      <c r="L5794" s="23" t="s">
        <v>8</v>
      </c>
      <c r="M5794" s="23" t="s">
        <v>8</v>
      </c>
    </row>
    <row r="5795" spans="1:13" s="21" customFormat="1" x14ac:dyDescent="0.25">
      <c r="A5795" s="22" t="s">
        <v>8</v>
      </c>
      <c r="B5795" s="18" t="str">
        <f>"215315"</f>
        <v>215315</v>
      </c>
      <c r="C5795" s="19" t="s">
        <v>5716</v>
      </c>
      <c r="D5795" s="19" t="s">
        <v>21221</v>
      </c>
      <c r="E5795" s="19" t="s">
        <v>32991</v>
      </c>
      <c r="F5795" s="19" t="s">
        <v>35994</v>
      </c>
      <c r="G5795" s="18" t="str">
        <f>"20866"</f>
        <v>20866</v>
      </c>
      <c r="H5795" s="19" t="s">
        <v>30833</v>
      </c>
      <c r="I5795" s="20">
        <v>18.992999999999999</v>
      </c>
      <c r="J5795" s="44" t="s">
        <v>8</v>
      </c>
      <c r="K5795" s="23" t="s">
        <v>8</v>
      </c>
      <c r="L5795" s="23" t="s">
        <v>8</v>
      </c>
      <c r="M5795" s="23" t="s">
        <v>8</v>
      </c>
    </row>
    <row r="5796" spans="1:13" s="21" customFormat="1" x14ac:dyDescent="0.25">
      <c r="A5796" s="22" t="s">
        <v>8</v>
      </c>
      <c r="B5796" s="18" t="str">
        <f>"215316"</f>
        <v>215316</v>
      </c>
      <c r="C5796" s="19" t="s">
        <v>5717</v>
      </c>
      <c r="D5796" s="19" t="s">
        <v>21222</v>
      </c>
      <c r="E5796" s="19" t="s">
        <v>32956</v>
      </c>
      <c r="F5796" s="19" t="s">
        <v>35994</v>
      </c>
      <c r="G5796" s="18" t="str">
        <f>"21061"</f>
        <v>21061</v>
      </c>
      <c r="H5796" s="19" t="s">
        <v>36400</v>
      </c>
      <c r="I5796" s="20">
        <v>17.317</v>
      </c>
      <c r="J5796" s="44" t="s">
        <v>8</v>
      </c>
      <c r="K5796" s="23" t="s">
        <v>8</v>
      </c>
      <c r="L5796" s="23" t="s">
        <v>8</v>
      </c>
      <c r="M5796" s="23" t="s">
        <v>8</v>
      </c>
    </row>
    <row r="5797" spans="1:13" s="21" customFormat="1" x14ac:dyDescent="0.25">
      <c r="A5797" s="22" t="s">
        <v>8</v>
      </c>
      <c r="B5797" s="18" t="str">
        <f>"215320"</f>
        <v>215320</v>
      </c>
      <c r="C5797" s="19" t="s">
        <v>5718</v>
      </c>
      <c r="D5797" s="19" t="s">
        <v>21223</v>
      </c>
      <c r="E5797" s="19" t="s">
        <v>32992</v>
      </c>
      <c r="F5797" s="19" t="s">
        <v>35994</v>
      </c>
      <c r="G5797" s="18" t="str">
        <f>"20852"</f>
        <v>20852</v>
      </c>
      <c r="H5797" s="19" t="s">
        <v>30833</v>
      </c>
      <c r="I5797" s="20">
        <v>18.766999999999999</v>
      </c>
      <c r="J5797" s="44" t="s">
        <v>8</v>
      </c>
      <c r="K5797" s="23" t="s">
        <v>8</v>
      </c>
      <c r="L5797" s="23" t="s">
        <v>8</v>
      </c>
      <c r="M5797" s="23" t="s">
        <v>8</v>
      </c>
    </row>
    <row r="5798" spans="1:13" s="21" customFormat="1" x14ac:dyDescent="0.25">
      <c r="A5798" s="22" t="s">
        <v>8</v>
      </c>
      <c r="B5798" s="18" t="str">
        <f>"215321"</f>
        <v>215321</v>
      </c>
      <c r="C5798" s="19" t="s">
        <v>5719</v>
      </c>
      <c r="D5798" s="19" t="s">
        <v>21224</v>
      </c>
      <c r="E5798" s="19" t="s">
        <v>32946</v>
      </c>
      <c r="F5798" s="19" t="s">
        <v>35994</v>
      </c>
      <c r="G5798" s="18" t="str">
        <f>"21740"</f>
        <v>21740</v>
      </c>
      <c r="H5798" s="19" t="s">
        <v>31500</v>
      </c>
      <c r="I5798" s="20">
        <v>18.068999999999999</v>
      </c>
      <c r="J5798" s="44" t="s">
        <v>8</v>
      </c>
      <c r="K5798" s="23" t="s">
        <v>8</v>
      </c>
      <c r="L5798" s="23" t="s">
        <v>8</v>
      </c>
      <c r="M5798" s="23" t="s">
        <v>8</v>
      </c>
    </row>
    <row r="5799" spans="1:13" s="21" customFormat="1" x14ac:dyDescent="0.25">
      <c r="A5799" s="22" t="s">
        <v>8</v>
      </c>
      <c r="B5799" s="18" t="str">
        <f>"215323"</f>
        <v>215323</v>
      </c>
      <c r="C5799" s="19" t="s">
        <v>5720</v>
      </c>
      <c r="D5799" s="19" t="s">
        <v>21225</v>
      </c>
      <c r="E5799" s="19" t="s">
        <v>31721</v>
      </c>
      <c r="F5799" s="19" t="s">
        <v>35994</v>
      </c>
      <c r="G5799" s="18" t="str">
        <f>"20737"</f>
        <v>20737</v>
      </c>
      <c r="H5799" s="19" t="s">
        <v>36403</v>
      </c>
      <c r="I5799" s="20">
        <v>21.347999999999999</v>
      </c>
      <c r="J5799" s="44" t="s">
        <v>8</v>
      </c>
      <c r="K5799" s="23" t="s">
        <v>8</v>
      </c>
      <c r="L5799" s="23" t="s">
        <v>8</v>
      </c>
      <c r="M5799" s="23" t="s">
        <v>8</v>
      </c>
    </row>
    <row r="5800" spans="1:13" s="21" customFormat="1" x14ac:dyDescent="0.25">
      <c r="A5800" s="22" t="s">
        <v>8</v>
      </c>
      <c r="B5800" s="18" t="str">
        <f>"215324"</f>
        <v>215324</v>
      </c>
      <c r="C5800" s="19" t="s">
        <v>5721</v>
      </c>
      <c r="D5800" s="19" t="s">
        <v>21226</v>
      </c>
      <c r="E5800" s="19" t="s">
        <v>32930</v>
      </c>
      <c r="F5800" s="19" t="s">
        <v>35994</v>
      </c>
      <c r="G5800" s="18" t="str">
        <f>"21218"</f>
        <v>21218</v>
      </c>
      <c r="H5800" s="19" t="s">
        <v>36404</v>
      </c>
      <c r="I5800" s="20">
        <v>23.434000000000001</v>
      </c>
      <c r="J5800" s="44" t="s">
        <v>8</v>
      </c>
      <c r="K5800" s="23" t="s">
        <v>8</v>
      </c>
      <c r="L5800" s="23" t="s">
        <v>8</v>
      </c>
      <c r="M5800" s="23" t="s">
        <v>8</v>
      </c>
    </row>
    <row r="5801" spans="1:13" s="21" customFormat="1" x14ac:dyDescent="0.25">
      <c r="A5801" s="22" t="s">
        <v>8</v>
      </c>
      <c r="B5801" s="18" t="str">
        <f>"215325"</f>
        <v>215325</v>
      </c>
      <c r="C5801" s="19" t="s">
        <v>5722</v>
      </c>
      <c r="D5801" s="19" t="s">
        <v>21227</v>
      </c>
      <c r="E5801" s="19" t="s">
        <v>32928</v>
      </c>
      <c r="F5801" s="19" t="s">
        <v>35994</v>
      </c>
      <c r="G5801" s="18" t="str">
        <f>"21401"</f>
        <v>21401</v>
      </c>
      <c r="H5801" s="19" t="s">
        <v>36400</v>
      </c>
      <c r="I5801" s="20">
        <v>20.007999999999999</v>
      </c>
      <c r="J5801" s="44" t="s">
        <v>8</v>
      </c>
      <c r="K5801" s="23" t="s">
        <v>8</v>
      </c>
      <c r="L5801" s="23" t="s">
        <v>8</v>
      </c>
      <c r="M5801" s="23" t="s">
        <v>8</v>
      </c>
    </row>
    <row r="5802" spans="1:13" s="21" customFormat="1" x14ac:dyDescent="0.25">
      <c r="A5802" s="22" t="s">
        <v>8</v>
      </c>
      <c r="B5802" s="18" t="str">
        <f>"215326"</f>
        <v>215326</v>
      </c>
      <c r="C5802" s="19" t="s">
        <v>5723</v>
      </c>
      <c r="D5802" s="19" t="s">
        <v>21228</v>
      </c>
      <c r="E5802" s="19" t="s">
        <v>32942</v>
      </c>
      <c r="F5802" s="19" t="s">
        <v>35994</v>
      </c>
      <c r="G5802" s="18" t="str">
        <f>"21228"</f>
        <v>21228</v>
      </c>
      <c r="H5802" s="19" t="s">
        <v>32930</v>
      </c>
      <c r="I5802" s="20">
        <v>19.573</v>
      </c>
      <c r="J5802" s="44" t="s">
        <v>8</v>
      </c>
      <c r="K5802" s="23" t="s">
        <v>8</v>
      </c>
      <c r="L5802" s="23" t="s">
        <v>8</v>
      </c>
      <c r="M5802" s="23" t="s">
        <v>8</v>
      </c>
    </row>
    <row r="5803" spans="1:13" s="21" customFormat="1" x14ac:dyDescent="0.25">
      <c r="A5803" s="22" t="s">
        <v>8</v>
      </c>
      <c r="B5803" s="18" t="str">
        <f>"215327"</f>
        <v>215327</v>
      </c>
      <c r="C5803" s="19" t="s">
        <v>5724</v>
      </c>
      <c r="D5803" s="19" t="s">
        <v>21229</v>
      </c>
      <c r="E5803" s="19" t="s">
        <v>32993</v>
      </c>
      <c r="F5803" s="19" t="s">
        <v>35994</v>
      </c>
      <c r="G5803" s="18" t="str">
        <f>"20912"</f>
        <v>20912</v>
      </c>
      <c r="H5803" s="19" t="s">
        <v>30833</v>
      </c>
      <c r="I5803" s="20">
        <v>18.274000000000001</v>
      </c>
      <c r="J5803" s="44" t="s">
        <v>8</v>
      </c>
      <c r="K5803" s="23" t="s">
        <v>8</v>
      </c>
      <c r="L5803" s="23" t="s">
        <v>8</v>
      </c>
      <c r="M5803" s="23" t="s">
        <v>8</v>
      </c>
    </row>
    <row r="5804" spans="1:13" s="21" customFormat="1" x14ac:dyDescent="0.25">
      <c r="A5804" s="22" t="s">
        <v>8</v>
      </c>
      <c r="B5804" s="18" t="str">
        <f>"215328"</f>
        <v>215328</v>
      </c>
      <c r="C5804" s="19" t="s">
        <v>5725</v>
      </c>
      <c r="D5804" s="19" t="s">
        <v>21230</v>
      </c>
      <c r="E5804" s="19" t="s">
        <v>31081</v>
      </c>
      <c r="F5804" s="19" t="s">
        <v>35994</v>
      </c>
      <c r="G5804" s="18" t="str">
        <f>"20735"</f>
        <v>20735</v>
      </c>
      <c r="H5804" s="19" t="s">
        <v>36403</v>
      </c>
      <c r="I5804" s="20">
        <v>19.867999999999999</v>
      </c>
      <c r="J5804" s="44" t="s">
        <v>8</v>
      </c>
      <c r="K5804" s="23" t="s">
        <v>8</v>
      </c>
      <c r="L5804" s="23" t="s">
        <v>8</v>
      </c>
      <c r="M5804" s="23" t="s">
        <v>8</v>
      </c>
    </row>
    <row r="5805" spans="1:13" s="21" customFormat="1" x14ac:dyDescent="0.25">
      <c r="A5805" s="22" t="s">
        <v>8</v>
      </c>
      <c r="B5805" s="18" t="str">
        <f>"215329"</f>
        <v>215329</v>
      </c>
      <c r="C5805" s="19" t="s">
        <v>5726</v>
      </c>
      <c r="D5805" s="19" t="s">
        <v>21231</v>
      </c>
      <c r="E5805" s="19" t="s">
        <v>32994</v>
      </c>
      <c r="F5805" s="19" t="s">
        <v>35994</v>
      </c>
      <c r="G5805" s="18" t="str">
        <f>"21710"</f>
        <v>21710</v>
      </c>
      <c r="H5805" s="19" t="s">
        <v>32927</v>
      </c>
      <c r="I5805" s="20">
        <v>16.928000000000001</v>
      </c>
      <c r="J5805" s="44" t="s">
        <v>8</v>
      </c>
      <c r="K5805" s="23" t="s">
        <v>8</v>
      </c>
      <c r="L5805" s="23" t="s">
        <v>8</v>
      </c>
      <c r="M5805" s="23" t="s">
        <v>8</v>
      </c>
    </row>
    <row r="5806" spans="1:13" s="21" customFormat="1" x14ac:dyDescent="0.25">
      <c r="A5806" s="22" t="s">
        <v>8</v>
      </c>
      <c r="B5806" s="18" t="str">
        <f>"215330"</f>
        <v>215330</v>
      </c>
      <c r="C5806" s="19" t="s">
        <v>5727</v>
      </c>
      <c r="D5806" s="19" t="s">
        <v>21232</v>
      </c>
      <c r="E5806" s="19" t="s">
        <v>32930</v>
      </c>
      <c r="F5806" s="19" t="s">
        <v>35994</v>
      </c>
      <c r="G5806" s="18" t="str">
        <f>"21206"</f>
        <v>21206</v>
      </c>
      <c r="H5806" s="19" t="s">
        <v>36404</v>
      </c>
      <c r="I5806" s="20">
        <v>15.048999999999999</v>
      </c>
      <c r="J5806" s="44" t="s">
        <v>8</v>
      </c>
      <c r="K5806" s="23" t="s">
        <v>8</v>
      </c>
      <c r="L5806" s="23" t="s">
        <v>8</v>
      </c>
      <c r="M5806" s="23" t="s">
        <v>8</v>
      </c>
    </row>
    <row r="5807" spans="1:13" s="21" customFormat="1" x14ac:dyDescent="0.25">
      <c r="A5807" s="22" t="s">
        <v>8</v>
      </c>
      <c r="B5807" s="18" t="str">
        <f>"215331"</f>
        <v>215331</v>
      </c>
      <c r="C5807" s="19" t="s">
        <v>5728</v>
      </c>
      <c r="D5807" s="19" t="s">
        <v>21233</v>
      </c>
      <c r="E5807" s="19" t="s">
        <v>32995</v>
      </c>
      <c r="F5807" s="19" t="s">
        <v>35994</v>
      </c>
      <c r="G5807" s="18" t="str">
        <f>"20774"</f>
        <v>20774</v>
      </c>
      <c r="H5807" s="19" t="s">
        <v>36403</v>
      </c>
      <c r="I5807" s="20">
        <v>20.934000000000001</v>
      </c>
      <c r="J5807" s="44" t="s">
        <v>8</v>
      </c>
      <c r="K5807" s="23" t="s">
        <v>8</v>
      </c>
      <c r="L5807" s="23" t="s">
        <v>8</v>
      </c>
      <c r="M5807" s="23" t="s">
        <v>8</v>
      </c>
    </row>
    <row r="5808" spans="1:13" s="21" customFormat="1" x14ac:dyDescent="0.25">
      <c r="A5808" s="22" t="s">
        <v>8</v>
      </c>
      <c r="B5808" s="18" t="str">
        <f>"215335"</f>
        <v>215335</v>
      </c>
      <c r="C5808" s="19" t="s">
        <v>5729</v>
      </c>
      <c r="D5808" s="19" t="s">
        <v>21234</v>
      </c>
      <c r="E5808" s="19" t="s">
        <v>32982</v>
      </c>
      <c r="F5808" s="19" t="s">
        <v>35994</v>
      </c>
      <c r="G5808" s="18" t="str">
        <f>"21771"</f>
        <v>21771</v>
      </c>
      <c r="H5808" s="19" t="s">
        <v>32927</v>
      </c>
      <c r="I5808" s="20">
        <v>17.452999999999999</v>
      </c>
      <c r="J5808" s="44" t="s">
        <v>8</v>
      </c>
      <c r="K5808" s="23" t="s">
        <v>8</v>
      </c>
      <c r="L5808" s="23" t="s">
        <v>8</v>
      </c>
      <c r="M5808" s="23" t="s">
        <v>8</v>
      </c>
    </row>
    <row r="5809" spans="1:13" s="21" customFormat="1" x14ac:dyDescent="0.25">
      <c r="A5809" s="22" t="s">
        <v>8</v>
      </c>
      <c r="B5809" s="18" t="str">
        <f>"215336"</f>
        <v>215336</v>
      </c>
      <c r="C5809" s="19" t="s">
        <v>5730</v>
      </c>
      <c r="D5809" s="19" t="s">
        <v>21235</v>
      </c>
      <c r="E5809" s="19" t="s">
        <v>32946</v>
      </c>
      <c r="F5809" s="19" t="s">
        <v>35994</v>
      </c>
      <c r="G5809" s="18" t="str">
        <f>"21740"</f>
        <v>21740</v>
      </c>
      <c r="H5809" s="19" t="s">
        <v>31500</v>
      </c>
      <c r="I5809" s="20">
        <v>16.632000000000001</v>
      </c>
      <c r="J5809" s="44" t="s">
        <v>8</v>
      </c>
      <c r="K5809" s="23" t="s">
        <v>8</v>
      </c>
      <c r="L5809" s="23" t="s">
        <v>8</v>
      </c>
      <c r="M5809" s="23" t="s">
        <v>8</v>
      </c>
    </row>
    <row r="5810" spans="1:13" s="21" customFormat="1" x14ac:dyDescent="0.25">
      <c r="A5810" s="22" t="s">
        <v>8</v>
      </c>
      <c r="B5810" s="18" t="str">
        <f>"215337"</f>
        <v>215337</v>
      </c>
      <c r="C5810" s="19" t="s">
        <v>5731</v>
      </c>
      <c r="D5810" s="19" t="s">
        <v>21236</v>
      </c>
      <c r="E5810" s="19" t="s">
        <v>32960</v>
      </c>
      <c r="F5810" s="19" t="s">
        <v>35994</v>
      </c>
      <c r="G5810" s="18" t="str">
        <f>"21713"</f>
        <v>21713</v>
      </c>
      <c r="H5810" s="19" t="s">
        <v>31500</v>
      </c>
      <c r="I5810" s="20">
        <v>23.285</v>
      </c>
      <c r="J5810" s="44" t="s">
        <v>8</v>
      </c>
      <c r="K5810" s="23" t="s">
        <v>8</v>
      </c>
      <c r="L5810" s="23" t="s">
        <v>8</v>
      </c>
      <c r="M5810" s="23" t="s">
        <v>8</v>
      </c>
    </row>
    <row r="5811" spans="1:13" s="21" customFormat="1" x14ac:dyDescent="0.25">
      <c r="A5811" s="22" t="s">
        <v>8</v>
      </c>
      <c r="B5811" s="18" t="str">
        <f>"215338"</f>
        <v>215338</v>
      </c>
      <c r="C5811" s="19" t="s">
        <v>5732</v>
      </c>
      <c r="D5811" s="19" t="s">
        <v>21237</v>
      </c>
      <c r="E5811" s="19" t="s">
        <v>15103</v>
      </c>
      <c r="F5811" s="19" t="s">
        <v>35994</v>
      </c>
      <c r="G5811" s="18" t="str">
        <f>"20910"</f>
        <v>20910</v>
      </c>
      <c r="H5811" s="19" t="s">
        <v>30833</v>
      </c>
      <c r="I5811" s="20">
        <v>20.056999999999999</v>
      </c>
      <c r="J5811" s="44" t="s">
        <v>8</v>
      </c>
      <c r="K5811" s="23" t="s">
        <v>8</v>
      </c>
      <c r="L5811" s="23" t="s">
        <v>8</v>
      </c>
      <c r="M5811" s="23" t="s">
        <v>8</v>
      </c>
    </row>
    <row r="5812" spans="1:13" s="21" customFormat="1" x14ac:dyDescent="0.25">
      <c r="A5812" s="22" t="s">
        <v>8</v>
      </c>
      <c r="B5812" s="18" t="str">
        <f>"215339"</f>
        <v>215339</v>
      </c>
      <c r="C5812" s="19" t="s">
        <v>5733</v>
      </c>
      <c r="D5812" s="19" t="s">
        <v>21238</v>
      </c>
      <c r="E5812" s="19" t="s">
        <v>31440</v>
      </c>
      <c r="F5812" s="19" t="s">
        <v>35994</v>
      </c>
      <c r="G5812" s="18" t="str">
        <f>"21801"</f>
        <v>21801</v>
      </c>
      <c r="H5812" s="19" t="s">
        <v>36401</v>
      </c>
      <c r="I5812" s="20">
        <v>19.001000000000001</v>
      </c>
      <c r="J5812" s="44" t="s">
        <v>8</v>
      </c>
      <c r="K5812" s="23" t="s">
        <v>8</v>
      </c>
      <c r="L5812" s="23" t="s">
        <v>8</v>
      </c>
      <c r="M5812" s="23" t="s">
        <v>8</v>
      </c>
    </row>
    <row r="5813" spans="1:13" s="21" customFormat="1" x14ac:dyDescent="0.25">
      <c r="A5813" s="22" t="s">
        <v>8</v>
      </c>
      <c r="B5813" s="18" t="str">
        <f>"215340"</f>
        <v>215340</v>
      </c>
      <c r="C5813" s="19" t="s">
        <v>5734</v>
      </c>
      <c r="D5813" s="19" t="s">
        <v>21239</v>
      </c>
      <c r="E5813" s="19" t="s">
        <v>32930</v>
      </c>
      <c r="F5813" s="19" t="s">
        <v>35994</v>
      </c>
      <c r="G5813" s="18" t="str">
        <f>"21215"</f>
        <v>21215</v>
      </c>
      <c r="H5813" s="19" t="s">
        <v>36404</v>
      </c>
      <c r="I5813" s="20">
        <v>19.498999999999999</v>
      </c>
      <c r="J5813" s="44" t="s">
        <v>8</v>
      </c>
      <c r="K5813" s="23" t="s">
        <v>8</v>
      </c>
      <c r="L5813" s="23" t="s">
        <v>8</v>
      </c>
      <c r="M5813" s="23" t="s">
        <v>8</v>
      </c>
    </row>
    <row r="5814" spans="1:13" s="21" customFormat="1" x14ac:dyDescent="0.25">
      <c r="A5814" s="22" t="s">
        <v>8</v>
      </c>
      <c r="B5814" s="18" t="str">
        <f>"215341"</f>
        <v>215341</v>
      </c>
      <c r="C5814" s="19" t="s">
        <v>5735</v>
      </c>
      <c r="D5814" s="19" t="s">
        <v>21240</v>
      </c>
      <c r="E5814" s="19" t="s">
        <v>32989</v>
      </c>
      <c r="F5814" s="19" t="s">
        <v>35994</v>
      </c>
      <c r="G5814" s="18" t="str">
        <f>"21015"</f>
        <v>21015</v>
      </c>
      <c r="H5814" s="19" t="s">
        <v>36405</v>
      </c>
      <c r="I5814" s="20">
        <v>18.459</v>
      </c>
      <c r="J5814" s="44" t="s">
        <v>8</v>
      </c>
      <c r="K5814" s="23" t="s">
        <v>8</v>
      </c>
      <c r="L5814" s="23" t="s">
        <v>8</v>
      </c>
      <c r="M5814" s="23" t="s">
        <v>8</v>
      </c>
    </row>
    <row r="5815" spans="1:13" s="21" customFormat="1" x14ac:dyDescent="0.25">
      <c r="A5815" s="22" t="s">
        <v>8</v>
      </c>
      <c r="B5815" s="18" t="str">
        <f>"215343"</f>
        <v>215343</v>
      </c>
      <c r="C5815" s="19" t="s">
        <v>5736</v>
      </c>
      <c r="D5815" s="19" t="s">
        <v>21241</v>
      </c>
      <c r="E5815" s="19" t="s">
        <v>15103</v>
      </c>
      <c r="F5815" s="19" t="s">
        <v>35994</v>
      </c>
      <c r="G5815" s="18" t="str">
        <f>"20904"</f>
        <v>20904</v>
      </c>
      <c r="H5815" s="19" t="s">
        <v>30833</v>
      </c>
      <c r="I5815" s="20">
        <v>11.808999999999999</v>
      </c>
      <c r="J5815" s="44" t="s">
        <v>8</v>
      </c>
      <c r="K5815" s="23" t="s">
        <v>8</v>
      </c>
      <c r="L5815" s="23" t="s">
        <v>8</v>
      </c>
      <c r="M5815" s="23" t="s">
        <v>8</v>
      </c>
    </row>
    <row r="5816" spans="1:13" s="21" customFormat="1" x14ac:dyDescent="0.25">
      <c r="A5816" s="22" t="s">
        <v>8</v>
      </c>
      <c r="B5816" s="18" t="str">
        <f>"215344"</f>
        <v>215344</v>
      </c>
      <c r="C5816" s="19" t="s">
        <v>5737</v>
      </c>
      <c r="D5816" s="19" t="s">
        <v>21242</v>
      </c>
      <c r="E5816" s="19" t="s">
        <v>32076</v>
      </c>
      <c r="F5816" s="19" t="s">
        <v>35994</v>
      </c>
      <c r="G5816" s="18" t="str">
        <f>"21044"</f>
        <v>21044</v>
      </c>
      <c r="H5816" s="19" t="s">
        <v>32644</v>
      </c>
      <c r="I5816" s="20">
        <v>19.616</v>
      </c>
      <c r="J5816" s="44" t="s">
        <v>8</v>
      </c>
      <c r="K5816" s="23" t="s">
        <v>8</v>
      </c>
      <c r="L5816" s="23" t="s">
        <v>8</v>
      </c>
      <c r="M5816" s="23" t="s">
        <v>8</v>
      </c>
    </row>
    <row r="5817" spans="1:13" s="21" customFormat="1" x14ac:dyDescent="0.25">
      <c r="A5817" s="22" t="s">
        <v>8</v>
      </c>
      <c r="B5817" s="18" t="str">
        <f>"215345"</f>
        <v>215345</v>
      </c>
      <c r="C5817" s="19" t="s">
        <v>5738</v>
      </c>
      <c r="D5817" s="19" t="s">
        <v>21243</v>
      </c>
      <c r="E5817" s="19" t="s">
        <v>32928</v>
      </c>
      <c r="F5817" s="19" t="s">
        <v>35994</v>
      </c>
      <c r="G5817" s="18" t="str">
        <f>"21403"</f>
        <v>21403</v>
      </c>
      <c r="H5817" s="19" t="s">
        <v>36400</v>
      </c>
      <c r="I5817" s="20">
        <v>20.212</v>
      </c>
      <c r="J5817" s="44" t="s">
        <v>8</v>
      </c>
      <c r="K5817" s="23" t="s">
        <v>8</v>
      </c>
      <c r="L5817" s="23" t="s">
        <v>8</v>
      </c>
      <c r="M5817" s="23" t="s">
        <v>8</v>
      </c>
    </row>
    <row r="5818" spans="1:13" s="21" customFormat="1" x14ac:dyDescent="0.25">
      <c r="A5818" s="22" t="s">
        <v>8</v>
      </c>
      <c r="B5818" s="18" t="str">
        <f>"215346"</f>
        <v>215346</v>
      </c>
      <c r="C5818" s="19" t="s">
        <v>5739</v>
      </c>
      <c r="D5818" s="19" t="s">
        <v>21244</v>
      </c>
      <c r="E5818" s="19" t="s">
        <v>32930</v>
      </c>
      <c r="F5818" s="19" t="s">
        <v>35994</v>
      </c>
      <c r="G5818" s="18" t="str">
        <f>"21215"</f>
        <v>21215</v>
      </c>
      <c r="H5818" s="19" t="s">
        <v>36404</v>
      </c>
      <c r="I5818" s="20">
        <v>19.152999999999999</v>
      </c>
      <c r="J5818" s="44" t="s">
        <v>8</v>
      </c>
      <c r="K5818" s="23" t="s">
        <v>8</v>
      </c>
      <c r="L5818" s="23" t="s">
        <v>8</v>
      </c>
      <c r="M5818" s="23" t="s">
        <v>8</v>
      </c>
    </row>
    <row r="5819" spans="1:13" s="21" customFormat="1" x14ac:dyDescent="0.25">
      <c r="A5819" s="22" t="s">
        <v>8</v>
      </c>
      <c r="B5819" s="18" t="str">
        <f>"215347"</f>
        <v>215347</v>
      </c>
      <c r="C5819" s="19" t="s">
        <v>5740</v>
      </c>
      <c r="D5819" s="19" t="s">
        <v>21245</v>
      </c>
      <c r="E5819" s="19" t="s">
        <v>32942</v>
      </c>
      <c r="F5819" s="19" t="s">
        <v>35994</v>
      </c>
      <c r="G5819" s="18" t="str">
        <f>"21228"</f>
        <v>21228</v>
      </c>
      <c r="H5819" s="19" t="s">
        <v>32930</v>
      </c>
      <c r="I5819" s="20">
        <v>21.887</v>
      </c>
      <c r="J5819" s="44" t="s">
        <v>8</v>
      </c>
      <c r="K5819" s="23" t="s">
        <v>8</v>
      </c>
      <c r="L5819" s="23" t="s">
        <v>8</v>
      </c>
      <c r="M5819" s="23" t="s">
        <v>8</v>
      </c>
    </row>
    <row r="5820" spans="1:13" s="21" customFormat="1" x14ac:dyDescent="0.25">
      <c r="A5820" s="22" t="s">
        <v>8</v>
      </c>
      <c r="B5820" s="18" t="str">
        <f>"215348"</f>
        <v>215348</v>
      </c>
      <c r="C5820" s="19" t="s">
        <v>5741</v>
      </c>
      <c r="D5820" s="19" t="s">
        <v>21246</v>
      </c>
      <c r="E5820" s="19" t="s">
        <v>32996</v>
      </c>
      <c r="F5820" s="19" t="s">
        <v>35994</v>
      </c>
      <c r="G5820" s="18" t="str">
        <f>"21787"</f>
        <v>21787</v>
      </c>
      <c r="H5820" s="19" t="s">
        <v>32334</v>
      </c>
      <c r="I5820" s="20">
        <v>17.309999999999999</v>
      </c>
      <c r="J5820" s="44" t="s">
        <v>8</v>
      </c>
      <c r="K5820" s="23" t="s">
        <v>8</v>
      </c>
      <c r="L5820" s="23" t="s">
        <v>8</v>
      </c>
      <c r="M5820" s="23" t="s">
        <v>8</v>
      </c>
    </row>
    <row r="5821" spans="1:13" s="21" customFormat="1" x14ac:dyDescent="0.25">
      <c r="A5821" s="22" t="s">
        <v>8</v>
      </c>
      <c r="B5821" s="18" t="str">
        <f>"215349"</f>
        <v>215349</v>
      </c>
      <c r="C5821" s="19" t="s">
        <v>5742</v>
      </c>
      <c r="D5821" s="19" t="s">
        <v>21247</v>
      </c>
      <c r="E5821" s="19" t="s">
        <v>32930</v>
      </c>
      <c r="F5821" s="19" t="s">
        <v>35994</v>
      </c>
      <c r="G5821" s="18" t="str">
        <f>"21215"</f>
        <v>21215</v>
      </c>
      <c r="H5821" s="19" t="s">
        <v>36404</v>
      </c>
      <c r="I5821" s="20">
        <v>19.202000000000002</v>
      </c>
      <c r="J5821" s="44" t="s">
        <v>8</v>
      </c>
      <c r="K5821" s="23" t="s">
        <v>8</v>
      </c>
      <c r="L5821" s="23" t="s">
        <v>8</v>
      </c>
      <c r="M5821" s="23" t="s">
        <v>8</v>
      </c>
    </row>
    <row r="5822" spans="1:13" s="21" customFormat="1" x14ac:dyDescent="0.25">
      <c r="A5822" s="22" t="s">
        <v>8</v>
      </c>
      <c r="B5822" s="18" t="str">
        <f>"215350"</f>
        <v>215350</v>
      </c>
      <c r="C5822" s="19" t="s">
        <v>5743</v>
      </c>
      <c r="D5822" s="19" t="s">
        <v>21248</v>
      </c>
      <c r="E5822" s="19" t="s">
        <v>32410</v>
      </c>
      <c r="F5822" s="19" t="s">
        <v>35994</v>
      </c>
      <c r="G5822" s="18" t="str">
        <f>"20721"</f>
        <v>20721</v>
      </c>
      <c r="H5822" s="19" t="s">
        <v>36403</v>
      </c>
      <c r="I5822" s="20">
        <v>20.016999999999999</v>
      </c>
      <c r="J5822" s="44" t="s">
        <v>8</v>
      </c>
      <c r="K5822" s="23" t="s">
        <v>8</v>
      </c>
      <c r="L5822" s="23" t="s">
        <v>8</v>
      </c>
      <c r="M5822" s="23" t="s">
        <v>8</v>
      </c>
    </row>
    <row r="5823" spans="1:13" s="21" customFormat="1" x14ac:dyDescent="0.25">
      <c r="A5823" s="22" t="s">
        <v>8</v>
      </c>
      <c r="B5823" s="18" t="str">
        <f>"215351"</f>
        <v>215351</v>
      </c>
      <c r="C5823" s="19" t="s">
        <v>5744</v>
      </c>
      <c r="D5823" s="19" t="s">
        <v>21249</v>
      </c>
      <c r="E5823" s="19" t="s">
        <v>32948</v>
      </c>
      <c r="F5823" s="19" t="s">
        <v>35994</v>
      </c>
      <c r="G5823" s="18" t="str">
        <f>"21093"</f>
        <v>21093</v>
      </c>
      <c r="H5823" s="19" t="s">
        <v>32930</v>
      </c>
      <c r="I5823" s="20">
        <v>17.335999999999999</v>
      </c>
      <c r="J5823" s="44" t="s">
        <v>8</v>
      </c>
      <c r="K5823" s="23" t="s">
        <v>8</v>
      </c>
      <c r="L5823" s="23" t="s">
        <v>8</v>
      </c>
      <c r="M5823" s="23" t="s">
        <v>8</v>
      </c>
    </row>
    <row r="5824" spans="1:13" s="21" customFormat="1" x14ac:dyDescent="0.25">
      <c r="A5824" s="22" t="s">
        <v>8</v>
      </c>
      <c r="B5824" s="18" t="str">
        <f>"215352"</f>
        <v>215352</v>
      </c>
      <c r="C5824" s="19" t="s">
        <v>5745</v>
      </c>
      <c r="D5824" s="19" t="s">
        <v>21250</v>
      </c>
      <c r="E5824" s="19" t="s">
        <v>32946</v>
      </c>
      <c r="F5824" s="19" t="s">
        <v>35994</v>
      </c>
      <c r="G5824" s="18" t="str">
        <f>"21742"</f>
        <v>21742</v>
      </c>
      <c r="H5824" s="19" t="s">
        <v>31500</v>
      </c>
      <c r="I5824" s="20">
        <v>18.38</v>
      </c>
      <c r="J5824" s="44" t="s">
        <v>8</v>
      </c>
      <c r="K5824" s="23" t="s">
        <v>8</v>
      </c>
      <c r="L5824" s="23" t="s">
        <v>8</v>
      </c>
      <c r="M5824" s="23" t="s">
        <v>8</v>
      </c>
    </row>
    <row r="5825" spans="1:13" s="21" customFormat="1" x14ac:dyDescent="0.25">
      <c r="A5825" s="22" t="s">
        <v>8</v>
      </c>
      <c r="B5825" s="18" t="str">
        <f>"215353"</f>
        <v>215353</v>
      </c>
      <c r="C5825" s="19" t="s">
        <v>5746</v>
      </c>
      <c r="D5825" s="19" t="s">
        <v>21251</v>
      </c>
      <c r="E5825" s="19" t="s">
        <v>31421</v>
      </c>
      <c r="F5825" s="19" t="s">
        <v>35994</v>
      </c>
      <c r="G5825" s="18" t="str">
        <f>"20850"</f>
        <v>20850</v>
      </c>
      <c r="H5825" s="19" t="s">
        <v>30833</v>
      </c>
      <c r="I5825" s="20">
        <v>17.632999999999999</v>
      </c>
      <c r="J5825" s="44" t="s">
        <v>8</v>
      </c>
      <c r="K5825" s="23" t="s">
        <v>8</v>
      </c>
      <c r="L5825" s="23" t="s">
        <v>8</v>
      </c>
      <c r="M5825" s="23" t="s">
        <v>8</v>
      </c>
    </row>
    <row r="5826" spans="1:13" s="21" customFormat="1" x14ac:dyDescent="0.25">
      <c r="A5826" s="22" t="s">
        <v>8</v>
      </c>
      <c r="B5826" s="18" t="str">
        <f>"215354"</f>
        <v>215354</v>
      </c>
      <c r="C5826" s="19" t="s">
        <v>4991</v>
      </c>
      <c r="D5826" s="19" t="s">
        <v>21252</v>
      </c>
      <c r="E5826" s="19" t="s">
        <v>32930</v>
      </c>
      <c r="F5826" s="19" t="s">
        <v>35994</v>
      </c>
      <c r="G5826" s="18" t="str">
        <f>"21228"</f>
        <v>21228</v>
      </c>
      <c r="H5826" s="19" t="s">
        <v>32930</v>
      </c>
      <c r="I5826" s="20">
        <v>18.149999999999999</v>
      </c>
      <c r="J5826" s="44" t="s">
        <v>8</v>
      </c>
      <c r="K5826" s="23" t="s">
        <v>8</v>
      </c>
      <c r="L5826" s="23" t="s">
        <v>8</v>
      </c>
      <c r="M5826" s="23" t="s">
        <v>8</v>
      </c>
    </row>
    <row r="5827" spans="1:13" s="21" customFormat="1" x14ac:dyDescent="0.25">
      <c r="A5827" s="22" t="s">
        <v>8</v>
      </c>
      <c r="B5827" s="18" t="str">
        <f>"215355"</f>
        <v>215355</v>
      </c>
      <c r="C5827" s="19" t="s">
        <v>5747</v>
      </c>
      <c r="D5827" s="19" t="s">
        <v>21253</v>
      </c>
      <c r="E5827" s="19" t="s">
        <v>32963</v>
      </c>
      <c r="F5827" s="19" t="s">
        <v>35994</v>
      </c>
      <c r="G5827" s="18" t="str">
        <f>"21042"</f>
        <v>21042</v>
      </c>
      <c r="H5827" s="19" t="s">
        <v>32644</v>
      </c>
      <c r="I5827" s="20">
        <v>21.922000000000001</v>
      </c>
      <c r="J5827" s="44" t="s">
        <v>8</v>
      </c>
      <c r="K5827" s="23" t="s">
        <v>8</v>
      </c>
      <c r="L5827" s="23" t="s">
        <v>8</v>
      </c>
      <c r="M5827" s="23" t="s">
        <v>8</v>
      </c>
    </row>
    <row r="5828" spans="1:13" s="21" customFormat="1" x14ac:dyDescent="0.25">
      <c r="A5828" s="22" t="s">
        <v>8</v>
      </c>
      <c r="B5828" s="18" t="str">
        <f>"215356"</f>
        <v>215356</v>
      </c>
      <c r="C5828" s="19" t="s">
        <v>5748</v>
      </c>
      <c r="D5828" s="19" t="s">
        <v>21254</v>
      </c>
      <c r="E5828" s="19" t="s">
        <v>32930</v>
      </c>
      <c r="F5828" s="19" t="s">
        <v>35994</v>
      </c>
      <c r="G5828" s="18" t="str">
        <f>"21218"</f>
        <v>21218</v>
      </c>
      <c r="H5828" s="19" t="s">
        <v>36404</v>
      </c>
      <c r="I5828" s="20">
        <v>18.989999999999998</v>
      </c>
      <c r="J5828" s="44" t="s">
        <v>8</v>
      </c>
      <c r="K5828" s="23" t="s">
        <v>8</v>
      </c>
      <c r="L5828" s="23" t="s">
        <v>8</v>
      </c>
      <c r="M5828" s="23" t="s">
        <v>8</v>
      </c>
    </row>
    <row r="5829" spans="1:13" s="21" customFormat="1" x14ac:dyDescent="0.25">
      <c r="A5829" s="22" t="s">
        <v>8</v>
      </c>
      <c r="B5829" s="18" t="str">
        <f>"215357"</f>
        <v>215357</v>
      </c>
      <c r="C5829" s="19" t="s">
        <v>5749</v>
      </c>
      <c r="D5829" s="19" t="s">
        <v>21255</v>
      </c>
      <c r="E5829" s="19" t="s">
        <v>32997</v>
      </c>
      <c r="F5829" s="19" t="s">
        <v>35994</v>
      </c>
      <c r="G5829" s="18" t="str">
        <f>"21075"</f>
        <v>21075</v>
      </c>
      <c r="H5829" s="19" t="s">
        <v>32644</v>
      </c>
      <c r="I5829" s="20">
        <v>21.396999999999998</v>
      </c>
      <c r="J5829" s="44" t="s">
        <v>8</v>
      </c>
      <c r="K5829" s="23" t="s">
        <v>8</v>
      </c>
      <c r="L5829" s="23" t="s">
        <v>8</v>
      </c>
      <c r="M5829" s="23" t="s">
        <v>8</v>
      </c>
    </row>
    <row r="5830" spans="1:13" s="21" customFormat="1" x14ac:dyDescent="0.25">
      <c r="A5830" s="22" t="s">
        <v>8</v>
      </c>
      <c r="B5830" s="18" t="str">
        <f>"215358"</f>
        <v>215358</v>
      </c>
      <c r="C5830" s="19" t="s">
        <v>5750</v>
      </c>
      <c r="D5830" s="19" t="s">
        <v>21256</v>
      </c>
      <c r="E5830" s="19" t="s">
        <v>31081</v>
      </c>
      <c r="F5830" s="19" t="s">
        <v>35994</v>
      </c>
      <c r="G5830" s="18" t="str">
        <f>"20735"</f>
        <v>20735</v>
      </c>
      <c r="H5830" s="19" t="s">
        <v>36403</v>
      </c>
      <c r="I5830" s="20">
        <v>18.452000000000002</v>
      </c>
      <c r="J5830" s="44" t="s">
        <v>8</v>
      </c>
      <c r="K5830" s="23" t="s">
        <v>8</v>
      </c>
      <c r="L5830" s="23" t="s">
        <v>8</v>
      </c>
      <c r="M5830" s="23" t="s">
        <v>8</v>
      </c>
    </row>
    <row r="5831" spans="1:13" s="21" customFormat="1" x14ac:dyDescent="0.25">
      <c r="A5831" s="22" t="s">
        <v>8</v>
      </c>
      <c r="B5831" s="18" t="str">
        <f>"215359"</f>
        <v>215359</v>
      </c>
      <c r="C5831" s="19" t="s">
        <v>5751</v>
      </c>
      <c r="D5831" s="19" t="s">
        <v>21257</v>
      </c>
      <c r="E5831" s="19" t="s">
        <v>32933</v>
      </c>
      <c r="F5831" s="19" t="s">
        <v>35994</v>
      </c>
      <c r="G5831" s="18" t="str">
        <f>"21078"</f>
        <v>21078</v>
      </c>
      <c r="H5831" s="19" t="s">
        <v>36405</v>
      </c>
      <c r="I5831" s="20">
        <v>22.969000000000001</v>
      </c>
      <c r="J5831" s="44" t="s">
        <v>8</v>
      </c>
      <c r="K5831" s="23" t="s">
        <v>8</v>
      </c>
      <c r="L5831" s="23" t="s">
        <v>8</v>
      </c>
      <c r="M5831" s="23" t="s">
        <v>8</v>
      </c>
    </row>
    <row r="5832" spans="1:13" s="21" customFormat="1" x14ac:dyDescent="0.25">
      <c r="A5832" s="22" t="s">
        <v>8</v>
      </c>
      <c r="B5832" s="18" t="str">
        <f>"215360"</f>
        <v>215360</v>
      </c>
      <c r="C5832" s="19" t="s">
        <v>5752</v>
      </c>
      <c r="D5832" s="19" t="s">
        <v>21258</v>
      </c>
      <c r="E5832" s="19" t="s">
        <v>32930</v>
      </c>
      <c r="F5832" s="19" t="s">
        <v>35994</v>
      </c>
      <c r="G5832" s="18" t="str">
        <f>"21216"</f>
        <v>21216</v>
      </c>
      <c r="H5832" s="19" t="s">
        <v>36404</v>
      </c>
      <c r="I5832" s="20">
        <v>18.718</v>
      </c>
      <c r="J5832" s="44" t="s">
        <v>8</v>
      </c>
      <c r="K5832" s="23" t="s">
        <v>8</v>
      </c>
      <c r="L5832" s="23" t="s">
        <v>8</v>
      </c>
      <c r="M5832" s="23" t="s">
        <v>8</v>
      </c>
    </row>
    <row r="5833" spans="1:13" s="21" customFormat="1" x14ac:dyDescent="0.25">
      <c r="A5833" s="22" t="s">
        <v>8</v>
      </c>
      <c r="B5833" s="18" t="str">
        <f>"215361"</f>
        <v>215361</v>
      </c>
      <c r="C5833" s="19" t="s">
        <v>5753</v>
      </c>
      <c r="D5833" s="19" t="s">
        <v>21259</v>
      </c>
      <c r="E5833" s="19" t="s">
        <v>32951</v>
      </c>
      <c r="F5833" s="19" t="s">
        <v>35994</v>
      </c>
      <c r="G5833" s="18" t="str">
        <f>"21030"</f>
        <v>21030</v>
      </c>
      <c r="H5833" s="19" t="s">
        <v>32930</v>
      </c>
      <c r="I5833" s="20">
        <v>18.436</v>
      </c>
      <c r="J5833" s="44" t="s">
        <v>8</v>
      </c>
      <c r="K5833" s="23" t="s">
        <v>8</v>
      </c>
      <c r="L5833" s="23" t="s">
        <v>8</v>
      </c>
      <c r="M5833" s="23" t="s">
        <v>8</v>
      </c>
    </row>
    <row r="5834" spans="1:13" s="21" customFormat="1" x14ac:dyDescent="0.25">
      <c r="A5834" s="22" t="s">
        <v>8</v>
      </c>
      <c r="B5834" s="18" t="str">
        <f>"215362"</f>
        <v>215362</v>
      </c>
      <c r="C5834" s="19" t="s">
        <v>5754</v>
      </c>
      <c r="D5834" s="19" t="s">
        <v>21260</v>
      </c>
      <c r="E5834" s="19" t="s">
        <v>32998</v>
      </c>
      <c r="F5834" s="19" t="s">
        <v>35994</v>
      </c>
      <c r="G5834" s="18" t="str">
        <f>"20695"</f>
        <v>20695</v>
      </c>
      <c r="H5834" s="19" t="s">
        <v>36407</v>
      </c>
      <c r="I5834" s="20">
        <v>20.719000000000001</v>
      </c>
      <c r="J5834" s="44" t="s">
        <v>8</v>
      </c>
      <c r="K5834" s="23" t="s">
        <v>8</v>
      </c>
      <c r="L5834" s="23" t="s">
        <v>8</v>
      </c>
      <c r="M5834" s="23" t="s">
        <v>8</v>
      </c>
    </row>
    <row r="5835" spans="1:13" s="21" customFormat="1" x14ac:dyDescent="0.25">
      <c r="A5835" s="22" t="s">
        <v>8</v>
      </c>
      <c r="B5835" s="18" t="s">
        <v>15250</v>
      </c>
      <c r="C5835" s="19" t="s">
        <v>5755</v>
      </c>
      <c r="D5835" s="19" t="s">
        <v>21261</v>
      </c>
      <c r="E5835" s="19" t="s">
        <v>32999</v>
      </c>
      <c r="F5835" s="19" t="s">
        <v>35995</v>
      </c>
      <c r="G5835" s="18" t="str">
        <f>"02554"</f>
        <v>02554</v>
      </c>
      <c r="H5835" s="19" t="s">
        <v>32999</v>
      </c>
      <c r="I5835" s="20">
        <v>17.138999999999999</v>
      </c>
      <c r="J5835" s="44" t="s">
        <v>8</v>
      </c>
      <c r="K5835" s="23" t="s">
        <v>8</v>
      </c>
      <c r="L5835" s="23" t="s">
        <v>8</v>
      </c>
      <c r="M5835" s="23" t="s">
        <v>8</v>
      </c>
    </row>
    <row r="5836" spans="1:13" s="21" customFormat="1" x14ac:dyDescent="0.25">
      <c r="A5836" s="22" t="s">
        <v>8</v>
      </c>
      <c r="B5836" s="18" t="str">
        <f>"225002"</f>
        <v>225002</v>
      </c>
      <c r="C5836" s="19" t="s">
        <v>5756</v>
      </c>
      <c r="D5836" s="19" t="s">
        <v>21262</v>
      </c>
      <c r="E5836" s="19" t="s">
        <v>33000</v>
      </c>
      <c r="F5836" s="19" t="s">
        <v>35995</v>
      </c>
      <c r="G5836" s="18" t="str">
        <f>"01520"</f>
        <v>01520</v>
      </c>
      <c r="H5836" s="19" t="s">
        <v>33002</v>
      </c>
      <c r="I5836" s="20">
        <v>20.649000000000001</v>
      </c>
      <c r="J5836" s="44" t="s">
        <v>8</v>
      </c>
      <c r="K5836" s="23" t="s">
        <v>8</v>
      </c>
      <c r="L5836" s="23" t="s">
        <v>8</v>
      </c>
      <c r="M5836" s="23" t="s">
        <v>8</v>
      </c>
    </row>
    <row r="5837" spans="1:13" s="21" customFormat="1" x14ac:dyDescent="0.25">
      <c r="A5837" s="22" t="s">
        <v>8</v>
      </c>
      <c r="B5837" s="18" t="str">
        <f>"225007"</f>
        <v>225007</v>
      </c>
      <c r="C5837" s="19" t="s">
        <v>5757</v>
      </c>
      <c r="D5837" s="19" t="s">
        <v>21263</v>
      </c>
      <c r="E5837" s="19" t="s">
        <v>33001</v>
      </c>
      <c r="F5837" s="19" t="s">
        <v>35995</v>
      </c>
      <c r="G5837" s="18" t="str">
        <f>"02176"</f>
        <v>02176</v>
      </c>
      <c r="H5837" s="19" t="s">
        <v>36120</v>
      </c>
      <c r="I5837" s="20">
        <v>17.863</v>
      </c>
      <c r="J5837" s="44" t="s">
        <v>8</v>
      </c>
      <c r="K5837" s="23" t="s">
        <v>8</v>
      </c>
      <c r="L5837" s="23" t="s">
        <v>8</v>
      </c>
      <c r="M5837" s="23" t="s">
        <v>8</v>
      </c>
    </row>
    <row r="5838" spans="1:13" s="21" customFormat="1" x14ac:dyDescent="0.25">
      <c r="A5838" s="22" t="s">
        <v>8</v>
      </c>
      <c r="B5838" s="18" t="str">
        <f>"225009"</f>
        <v>225009</v>
      </c>
      <c r="C5838" s="19" t="s">
        <v>5758</v>
      </c>
      <c r="D5838" s="19" t="s">
        <v>21264</v>
      </c>
      <c r="E5838" s="19" t="s">
        <v>33002</v>
      </c>
      <c r="F5838" s="19" t="s">
        <v>35995</v>
      </c>
      <c r="G5838" s="18" t="str">
        <f>"01602"</f>
        <v>01602</v>
      </c>
      <c r="H5838" s="19" t="s">
        <v>33002</v>
      </c>
      <c r="I5838" s="20">
        <v>19.779</v>
      </c>
      <c r="J5838" s="44" t="s">
        <v>8</v>
      </c>
      <c r="K5838" s="23" t="s">
        <v>8</v>
      </c>
      <c r="L5838" s="23" t="s">
        <v>8</v>
      </c>
      <c r="M5838" s="23" t="s">
        <v>8</v>
      </c>
    </row>
    <row r="5839" spans="1:13" s="21" customFormat="1" x14ac:dyDescent="0.25">
      <c r="A5839" s="22" t="s">
        <v>8</v>
      </c>
      <c r="B5839" s="18" t="str">
        <f>"225014"</f>
        <v>225014</v>
      </c>
      <c r="C5839" s="19" t="s">
        <v>5759</v>
      </c>
      <c r="D5839" s="19" t="s">
        <v>21265</v>
      </c>
      <c r="E5839" s="19" t="s">
        <v>33003</v>
      </c>
      <c r="F5839" s="19" t="s">
        <v>35995</v>
      </c>
      <c r="G5839" s="18" t="str">
        <f>"02132"</f>
        <v>02132</v>
      </c>
      <c r="H5839" s="19" t="s">
        <v>35389</v>
      </c>
      <c r="I5839" s="20">
        <v>20.218</v>
      </c>
      <c r="J5839" s="44" t="s">
        <v>8</v>
      </c>
      <c r="K5839" s="23" t="s">
        <v>8</v>
      </c>
      <c r="L5839" s="23" t="s">
        <v>8</v>
      </c>
      <c r="M5839" s="23" t="s">
        <v>8</v>
      </c>
    </row>
    <row r="5840" spans="1:13" s="21" customFormat="1" x14ac:dyDescent="0.25">
      <c r="A5840" s="22" t="s">
        <v>8</v>
      </c>
      <c r="B5840" s="18" t="str">
        <f>"225016"</f>
        <v>225016</v>
      </c>
      <c r="C5840" s="19" t="s">
        <v>5760</v>
      </c>
      <c r="D5840" s="19" t="s">
        <v>21266</v>
      </c>
      <c r="E5840" s="19" t="s">
        <v>33002</v>
      </c>
      <c r="F5840" s="19" t="s">
        <v>35995</v>
      </c>
      <c r="G5840" s="18" t="str">
        <f>"01606"</f>
        <v>01606</v>
      </c>
      <c r="H5840" s="19" t="s">
        <v>33002</v>
      </c>
      <c r="I5840" s="20">
        <v>17.321999999999999</v>
      </c>
      <c r="J5840" s="44" t="s">
        <v>8</v>
      </c>
      <c r="K5840" s="23" t="s">
        <v>8</v>
      </c>
      <c r="L5840" s="23" t="s">
        <v>8</v>
      </c>
      <c r="M5840" s="23" t="s">
        <v>8</v>
      </c>
    </row>
    <row r="5841" spans="1:13" s="21" customFormat="1" x14ac:dyDescent="0.25">
      <c r="A5841" s="22" t="s">
        <v>8</v>
      </c>
      <c r="B5841" s="18" t="str">
        <f>"225036"</f>
        <v>225036</v>
      </c>
      <c r="C5841" s="19" t="s">
        <v>5761</v>
      </c>
      <c r="D5841" s="19" t="s">
        <v>21267</v>
      </c>
      <c r="E5841" s="19" t="s">
        <v>33004</v>
      </c>
      <c r="F5841" s="19" t="s">
        <v>35995</v>
      </c>
      <c r="G5841" s="18" t="str">
        <f>"02301"</f>
        <v>02301</v>
      </c>
      <c r="H5841" s="19" t="s">
        <v>31465</v>
      </c>
      <c r="I5841" s="20">
        <v>22.056999999999999</v>
      </c>
      <c r="J5841" s="44" t="s">
        <v>8</v>
      </c>
      <c r="K5841" s="23" t="s">
        <v>8</v>
      </c>
      <c r="L5841" s="23" t="s">
        <v>8</v>
      </c>
      <c r="M5841" s="23" t="s">
        <v>8</v>
      </c>
    </row>
    <row r="5842" spans="1:13" s="21" customFormat="1" x14ac:dyDescent="0.25">
      <c r="A5842" s="22" t="s">
        <v>8</v>
      </c>
      <c r="B5842" s="18" t="str">
        <f>"225038"</f>
        <v>225038</v>
      </c>
      <c r="C5842" s="19" t="s">
        <v>5762</v>
      </c>
      <c r="D5842" s="19" t="s">
        <v>21268</v>
      </c>
      <c r="E5842" s="19" t="s">
        <v>33005</v>
      </c>
      <c r="F5842" s="19" t="s">
        <v>35995</v>
      </c>
      <c r="G5842" s="18" t="str">
        <f>"01453"</f>
        <v>01453</v>
      </c>
      <c r="H5842" s="19" t="s">
        <v>33002</v>
      </c>
      <c r="I5842" s="20">
        <v>16.783000000000001</v>
      </c>
      <c r="J5842" s="44" t="s">
        <v>8</v>
      </c>
      <c r="K5842" s="23" t="s">
        <v>8</v>
      </c>
      <c r="L5842" s="23" t="s">
        <v>8</v>
      </c>
      <c r="M5842" s="23" t="s">
        <v>8</v>
      </c>
    </row>
    <row r="5843" spans="1:13" s="21" customFormat="1" x14ac:dyDescent="0.25">
      <c r="A5843" s="22" t="s">
        <v>8</v>
      </c>
      <c r="B5843" s="18" t="str">
        <f>"225040"</f>
        <v>225040</v>
      </c>
      <c r="C5843" s="19" t="s">
        <v>5763</v>
      </c>
      <c r="D5843" s="19" t="s">
        <v>21269</v>
      </c>
      <c r="E5843" s="19" t="s">
        <v>33006</v>
      </c>
      <c r="F5843" s="19" t="s">
        <v>35995</v>
      </c>
      <c r="G5843" s="18" t="str">
        <f>"01106"</f>
        <v>01106</v>
      </c>
      <c r="H5843" s="19" t="s">
        <v>33041</v>
      </c>
      <c r="I5843" s="20">
        <v>20.396000000000001</v>
      </c>
      <c r="J5843" s="44" t="s">
        <v>8</v>
      </c>
      <c r="K5843" s="23" t="s">
        <v>8</v>
      </c>
      <c r="L5843" s="23" t="s">
        <v>8</v>
      </c>
      <c r="M5843" s="23" t="s">
        <v>8</v>
      </c>
    </row>
    <row r="5844" spans="1:13" s="21" customFormat="1" x14ac:dyDescent="0.25">
      <c r="A5844" s="22" t="s">
        <v>8</v>
      </c>
      <c r="B5844" s="18" t="str">
        <f>"225048"</f>
        <v>225048</v>
      </c>
      <c r="C5844" s="19" t="s">
        <v>5764</v>
      </c>
      <c r="D5844" s="19" t="s">
        <v>21270</v>
      </c>
      <c r="E5844" s="19" t="s">
        <v>32649</v>
      </c>
      <c r="F5844" s="19" t="s">
        <v>35995</v>
      </c>
      <c r="G5844" s="18" t="str">
        <f>"01960"</f>
        <v>01960</v>
      </c>
      <c r="H5844" s="19" t="s">
        <v>31458</v>
      </c>
      <c r="I5844" s="20">
        <v>18.879000000000001</v>
      </c>
      <c r="J5844" s="44" t="s">
        <v>8</v>
      </c>
      <c r="K5844" s="23" t="s">
        <v>8</v>
      </c>
      <c r="L5844" s="23" t="s">
        <v>8</v>
      </c>
      <c r="M5844" s="23" t="s">
        <v>8</v>
      </c>
    </row>
    <row r="5845" spans="1:13" s="21" customFormat="1" x14ac:dyDescent="0.25">
      <c r="A5845" s="22" t="s">
        <v>8</v>
      </c>
      <c r="B5845" s="18" t="str">
        <f>"225049"</f>
        <v>225049</v>
      </c>
      <c r="C5845" s="19" t="s">
        <v>5765</v>
      </c>
      <c r="D5845" s="19" t="s">
        <v>21271</v>
      </c>
      <c r="E5845" s="19" t="s">
        <v>32692</v>
      </c>
      <c r="F5845" s="19" t="s">
        <v>35995</v>
      </c>
      <c r="G5845" s="18" t="str">
        <f>"02420"</f>
        <v>02420</v>
      </c>
      <c r="H5845" s="19" t="s">
        <v>36120</v>
      </c>
      <c r="I5845" s="20">
        <v>18.449000000000002</v>
      </c>
      <c r="J5845" s="44" t="s">
        <v>8</v>
      </c>
      <c r="K5845" s="23" t="s">
        <v>8</v>
      </c>
      <c r="L5845" s="23" t="s">
        <v>8</v>
      </c>
      <c r="M5845" s="23" t="s">
        <v>8</v>
      </c>
    </row>
    <row r="5846" spans="1:13" s="21" customFormat="1" x14ac:dyDescent="0.25">
      <c r="A5846" s="22" t="s">
        <v>8</v>
      </c>
      <c r="B5846" s="18" t="str">
        <f>"225051"</f>
        <v>225051</v>
      </c>
      <c r="C5846" s="19" t="s">
        <v>5766</v>
      </c>
      <c r="D5846" s="19" t="s">
        <v>21272</v>
      </c>
      <c r="E5846" s="19" t="s">
        <v>32665</v>
      </c>
      <c r="F5846" s="19" t="s">
        <v>35995</v>
      </c>
      <c r="G5846" s="18" t="str">
        <f>"02766"</f>
        <v>02766</v>
      </c>
      <c r="H5846" s="19" t="s">
        <v>31434</v>
      </c>
      <c r="I5846" s="20">
        <v>20.963000000000001</v>
      </c>
      <c r="J5846" s="44" t="s">
        <v>8</v>
      </c>
      <c r="K5846" s="23" t="s">
        <v>8</v>
      </c>
      <c r="L5846" s="23" t="s">
        <v>8</v>
      </c>
      <c r="M5846" s="23" t="s">
        <v>8</v>
      </c>
    </row>
    <row r="5847" spans="1:13" s="21" customFormat="1" x14ac:dyDescent="0.25">
      <c r="A5847" s="22" t="s">
        <v>8</v>
      </c>
      <c r="B5847" s="18" t="str">
        <f>"225054"</f>
        <v>225054</v>
      </c>
      <c r="C5847" s="19" t="s">
        <v>5767</v>
      </c>
      <c r="D5847" s="19" t="s">
        <v>21273</v>
      </c>
      <c r="E5847" s="19" t="s">
        <v>33007</v>
      </c>
      <c r="F5847" s="19" t="s">
        <v>35995</v>
      </c>
      <c r="G5847" s="18" t="str">
        <f>"02184"</f>
        <v>02184</v>
      </c>
      <c r="H5847" s="19" t="s">
        <v>33776</v>
      </c>
      <c r="I5847" s="20">
        <v>20.765000000000001</v>
      </c>
      <c r="J5847" s="44" t="s">
        <v>8</v>
      </c>
      <c r="K5847" s="23" t="s">
        <v>8</v>
      </c>
      <c r="L5847" s="23" t="s">
        <v>8</v>
      </c>
      <c r="M5847" s="23" t="s">
        <v>8</v>
      </c>
    </row>
    <row r="5848" spans="1:13" s="21" customFormat="1" x14ac:dyDescent="0.25">
      <c r="A5848" s="22" t="s">
        <v>8</v>
      </c>
      <c r="B5848" s="18" t="str">
        <f>"225058"</f>
        <v>225058</v>
      </c>
      <c r="C5848" s="19" t="s">
        <v>5768</v>
      </c>
      <c r="D5848" s="19" t="s">
        <v>21274</v>
      </c>
      <c r="E5848" s="19" t="s">
        <v>33007</v>
      </c>
      <c r="F5848" s="19" t="s">
        <v>35995</v>
      </c>
      <c r="G5848" s="18" t="str">
        <f>"02184"</f>
        <v>02184</v>
      </c>
      <c r="H5848" s="19" t="s">
        <v>33776</v>
      </c>
      <c r="I5848" s="20">
        <v>21.581</v>
      </c>
      <c r="J5848" s="44" t="s">
        <v>8</v>
      </c>
      <c r="K5848" s="23" t="s">
        <v>8</v>
      </c>
      <c r="L5848" s="23" t="s">
        <v>8</v>
      </c>
      <c r="M5848" s="23" t="s">
        <v>8</v>
      </c>
    </row>
    <row r="5849" spans="1:13" s="21" customFormat="1" x14ac:dyDescent="0.25">
      <c r="A5849" s="22" t="s">
        <v>8</v>
      </c>
      <c r="B5849" s="18" t="str">
        <f>"225059"</f>
        <v>225059</v>
      </c>
      <c r="C5849" s="19" t="s">
        <v>5769</v>
      </c>
      <c r="D5849" s="19" t="s">
        <v>21275</v>
      </c>
      <c r="E5849" s="19" t="s">
        <v>33008</v>
      </c>
      <c r="F5849" s="19" t="s">
        <v>35995</v>
      </c>
      <c r="G5849" s="18" t="str">
        <f>"02188"</f>
        <v>02188</v>
      </c>
      <c r="H5849" s="19" t="s">
        <v>33776</v>
      </c>
      <c r="I5849" s="20">
        <v>24.622</v>
      </c>
      <c r="J5849" s="44" t="s">
        <v>8</v>
      </c>
      <c r="K5849" s="23" t="s">
        <v>8</v>
      </c>
      <c r="L5849" s="23" t="s">
        <v>8</v>
      </c>
      <c r="M5849" s="23" t="s">
        <v>8</v>
      </c>
    </row>
    <row r="5850" spans="1:13" s="21" customFormat="1" x14ac:dyDescent="0.25">
      <c r="A5850" s="22" t="s">
        <v>8</v>
      </c>
      <c r="B5850" s="18" t="str">
        <f>"225063"</f>
        <v>225063</v>
      </c>
      <c r="C5850" s="19" t="s">
        <v>5770</v>
      </c>
      <c r="D5850" s="19" t="s">
        <v>21276</v>
      </c>
      <c r="E5850" s="19" t="s">
        <v>31476</v>
      </c>
      <c r="F5850" s="19" t="s">
        <v>35995</v>
      </c>
      <c r="G5850" s="18" t="str">
        <f>"01752"</f>
        <v>01752</v>
      </c>
      <c r="H5850" s="19" t="s">
        <v>36120</v>
      </c>
      <c r="I5850" s="20">
        <v>23.248000000000001</v>
      </c>
      <c r="J5850" s="44" t="s">
        <v>8</v>
      </c>
      <c r="K5850" s="23" t="s">
        <v>8</v>
      </c>
      <c r="L5850" s="23" t="s">
        <v>8</v>
      </c>
      <c r="M5850" s="23" t="s">
        <v>8</v>
      </c>
    </row>
    <row r="5851" spans="1:13" s="21" customFormat="1" x14ac:dyDescent="0.25">
      <c r="A5851" s="22" t="s">
        <v>8</v>
      </c>
      <c r="B5851" s="18" t="str">
        <f>"225067"</f>
        <v>225067</v>
      </c>
      <c r="C5851" s="19" t="s">
        <v>5771</v>
      </c>
      <c r="D5851" s="19" t="s">
        <v>21277</v>
      </c>
      <c r="E5851" s="19" t="s">
        <v>33009</v>
      </c>
      <c r="F5851" s="19" t="s">
        <v>35995</v>
      </c>
      <c r="G5851" s="18" t="str">
        <f>"02780"</f>
        <v>02780</v>
      </c>
      <c r="H5851" s="19" t="s">
        <v>31434</v>
      </c>
      <c r="I5851" s="20">
        <v>19.356999999999999</v>
      </c>
      <c r="J5851" s="44" t="s">
        <v>8</v>
      </c>
      <c r="K5851" s="23" t="s">
        <v>8</v>
      </c>
      <c r="L5851" s="23" t="s">
        <v>8</v>
      </c>
      <c r="M5851" s="23" t="s">
        <v>8</v>
      </c>
    </row>
    <row r="5852" spans="1:13" s="21" customFormat="1" x14ac:dyDescent="0.25">
      <c r="A5852" s="22" t="s">
        <v>8</v>
      </c>
      <c r="B5852" s="18" t="str">
        <f>"225080"</f>
        <v>225080</v>
      </c>
      <c r="C5852" s="19" t="s">
        <v>5772</v>
      </c>
      <c r="D5852" s="19" t="s">
        <v>21278</v>
      </c>
      <c r="E5852" s="19" t="s">
        <v>33010</v>
      </c>
      <c r="F5852" s="19" t="s">
        <v>35995</v>
      </c>
      <c r="G5852" s="18" t="str">
        <f>"01742"</f>
        <v>01742</v>
      </c>
      <c r="H5852" s="19" t="s">
        <v>36120</v>
      </c>
      <c r="I5852" s="20">
        <v>18.329000000000001</v>
      </c>
      <c r="J5852" s="44" t="s">
        <v>8</v>
      </c>
      <c r="K5852" s="23" t="s">
        <v>8</v>
      </c>
      <c r="L5852" s="23" t="s">
        <v>8</v>
      </c>
      <c r="M5852" s="23" t="s">
        <v>8</v>
      </c>
    </row>
    <row r="5853" spans="1:13" s="21" customFormat="1" x14ac:dyDescent="0.25">
      <c r="A5853" s="22" t="s">
        <v>8</v>
      </c>
      <c r="B5853" s="18" t="str">
        <f>"225117"</f>
        <v>225117</v>
      </c>
      <c r="C5853" s="19" t="s">
        <v>5773</v>
      </c>
      <c r="D5853" s="19" t="s">
        <v>21279</v>
      </c>
      <c r="E5853" s="19" t="s">
        <v>33011</v>
      </c>
      <c r="F5853" s="19" t="s">
        <v>35995</v>
      </c>
      <c r="G5853" s="18" t="str">
        <f>"02719"</f>
        <v>02719</v>
      </c>
      <c r="H5853" s="19" t="s">
        <v>31434</v>
      </c>
      <c r="I5853" s="20">
        <v>17.594999999999999</v>
      </c>
      <c r="J5853" s="44" t="s">
        <v>8</v>
      </c>
      <c r="K5853" s="23" t="s">
        <v>8</v>
      </c>
      <c r="L5853" s="23" t="s">
        <v>8</v>
      </c>
      <c r="M5853" s="23" t="s">
        <v>8</v>
      </c>
    </row>
    <row r="5854" spans="1:13" s="21" customFormat="1" x14ac:dyDescent="0.25">
      <c r="A5854" s="22" t="s">
        <v>8</v>
      </c>
      <c r="B5854" s="18" t="str">
        <f>"225133"</f>
        <v>225133</v>
      </c>
      <c r="C5854" s="19" t="s">
        <v>5774</v>
      </c>
      <c r="D5854" s="19" t="s">
        <v>21280</v>
      </c>
      <c r="E5854" s="19" t="s">
        <v>33012</v>
      </c>
      <c r="F5854" s="19" t="s">
        <v>35995</v>
      </c>
      <c r="G5854" s="18" t="str">
        <f>"01915"</f>
        <v>01915</v>
      </c>
      <c r="H5854" s="19" t="s">
        <v>31458</v>
      </c>
      <c r="I5854" s="20">
        <v>21.326000000000001</v>
      </c>
      <c r="J5854" s="44" t="s">
        <v>8</v>
      </c>
      <c r="K5854" s="23" t="s">
        <v>8</v>
      </c>
      <c r="L5854" s="23" t="s">
        <v>8</v>
      </c>
      <c r="M5854" s="23" t="s">
        <v>8</v>
      </c>
    </row>
    <row r="5855" spans="1:13" s="21" customFormat="1" x14ac:dyDescent="0.25">
      <c r="A5855" s="22" t="s">
        <v>8</v>
      </c>
      <c r="B5855" s="18" t="str">
        <f>"225134"</f>
        <v>225134</v>
      </c>
      <c r="C5855" s="19" t="s">
        <v>5775</v>
      </c>
      <c r="D5855" s="19" t="s">
        <v>21281</v>
      </c>
      <c r="E5855" s="19" t="s">
        <v>31474</v>
      </c>
      <c r="F5855" s="19" t="s">
        <v>35995</v>
      </c>
      <c r="G5855" s="18" t="str">
        <f>"02067"</f>
        <v>02067</v>
      </c>
      <c r="H5855" s="19" t="s">
        <v>33776</v>
      </c>
      <c r="I5855" s="20">
        <v>22.292999999999999</v>
      </c>
      <c r="J5855" s="44" t="s">
        <v>8</v>
      </c>
      <c r="K5855" s="23" t="s">
        <v>8</v>
      </c>
      <c r="L5855" s="23" t="s">
        <v>8</v>
      </c>
      <c r="M5855" s="23" t="s">
        <v>8</v>
      </c>
    </row>
    <row r="5856" spans="1:13" s="21" customFormat="1" x14ac:dyDescent="0.25">
      <c r="A5856" s="22" t="s">
        <v>8</v>
      </c>
      <c r="B5856" s="18" t="str">
        <f>"225137"</f>
        <v>225137</v>
      </c>
      <c r="C5856" s="19" t="s">
        <v>5776</v>
      </c>
      <c r="D5856" s="19" t="s">
        <v>20374</v>
      </c>
      <c r="E5856" s="19" t="s">
        <v>33013</v>
      </c>
      <c r="F5856" s="19" t="s">
        <v>35995</v>
      </c>
      <c r="G5856" s="18" t="str">
        <f>"02148"</f>
        <v>02148</v>
      </c>
      <c r="H5856" s="19" t="s">
        <v>36120</v>
      </c>
      <c r="I5856" s="20">
        <v>20.062000000000001</v>
      </c>
      <c r="J5856" s="44" t="s">
        <v>8</v>
      </c>
      <c r="K5856" s="23" t="s">
        <v>8</v>
      </c>
      <c r="L5856" s="23" t="s">
        <v>8</v>
      </c>
      <c r="M5856" s="23" t="s">
        <v>8</v>
      </c>
    </row>
    <row r="5857" spans="1:13" s="21" customFormat="1" x14ac:dyDescent="0.25">
      <c r="A5857" s="22" t="s">
        <v>8</v>
      </c>
      <c r="B5857" s="18" t="str">
        <f>"225145"</f>
        <v>225145</v>
      </c>
      <c r="C5857" s="19" t="s">
        <v>5777</v>
      </c>
      <c r="D5857" s="19" t="s">
        <v>21282</v>
      </c>
      <c r="E5857" s="19" t="s">
        <v>33014</v>
      </c>
      <c r="F5857" s="19" t="s">
        <v>35995</v>
      </c>
      <c r="G5857" s="18" t="str">
        <f>"02346"</f>
        <v>02346</v>
      </c>
      <c r="H5857" s="19" t="s">
        <v>31465</v>
      </c>
      <c r="I5857" s="20">
        <v>19.251000000000001</v>
      </c>
      <c r="J5857" s="44" t="s">
        <v>8</v>
      </c>
      <c r="K5857" s="23" t="s">
        <v>8</v>
      </c>
      <c r="L5857" s="23" t="s">
        <v>8</v>
      </c>
      <c r="M5857" s="23" t="s">
        <v>8</v>
      </c>
    </row>
    <row r="5858" spans="1:13" s="21" customFormat="1" x14ac:dyDescent="0.25">
      <c r="A5858" s="22" t="s">
        <v>8</v>
      </c>
      <c r="B5858" s="18" t="str">
        <f>"225147"</f>
        <v>225147</v>
      </c>
      <c r="C5858" s="19" t="s">
        <v>5778</v>
      </c>
      <c r="D5858" s="19" t="s">
        <v>21283</v>
      </c>
      <c r="E5858" s="19" t="s">
        <v>33015</v>
      </c>
      <c r="F5858" s="19" t="s">
        <v>35995</v>
      </c>
      <c r="G5858" s="18" t="str">
        <f>"01906"</f>
        <v>01906</v>
      </c>
      <c r="H5858" s="19" t="s">
        <v>31458</v>
      </c>
      <c r="I5858" s="20">
        <v>20.568999999999999</v>
      </c>
      <c r="J5858" s="44" t="s">
        <v>8</v>
      </c>
      <c r="K5858" s="23" t="s">
        <v>8</v>
      </c>
      <c r="L5858" s="23" t="s">
        <v>8</v>
      </c>
      <c r="M5858" s="23" t="s">
        <v>8</v>
      </c>
    </row>
    <row r="5859" spans="1:13" s="21" customFormat="1" x14ac:dyDescent="0.25">
      <c r="A5859" s="22" t="s">
        <v>8</v>
      </c>
      <c r="B5859" s="18" t="str">
        <f>"225148"</f>
        <v>225148</v>
      </c>
      <c r="C5859" s="19" t="s">
        <v>5779</v>
      </c>
      <c r="D5859" s="19" t="s">
        <v>21284</v>
      </c>
      <c r="E5859" s="19" t="s">
        <v>33016</v>
      </c>
      <c r="F5859" s="19" t="s">
        <v>35995</v>
      </c>
      <c r="G5859" s="18" t="str">
        <f>"02025"</f>
        <v>02025</v>
      </c>
      <c r="H5859" s="19" t="s">
        <v>33776</v>
      </c>
      <c r="I5859" s="20">
        <v>16.28</v>
      </c>
      <c r="J5859" s="44" t="s">
        <v>8</v>
      </c>
      <c r="K5859" s="23" t="s">
        <v>8</v>
      </c>
      <c r="L5859" s="23" t="s">
        <v>8</v>
      </c>
      <c r="M5859" s="23" t="s">
        <v>8</v>
      </c>
    </row>
    <row r="5860" spans="1:13" s="21" customFormat="1" x14ac:dyDescent="0.25">
      <c r="A5860" s="22" t="s">
        <v>8</v>
      </c>
      <c r="B5860" s="18" t="str">
        <f>"225154"</f>
        <v>225154</v>
      </c>
      <c r="C5860" s="19" t="s">
        <v>5780</v>
      </c>
      <c r="D5860" s="19" t="s">
        <v>21285</v>
      </c>
      <c r="E5860" s="19" t="s">
        <v>32568</v>
      </c>
      <c r="F5860" s="19" t="s">
        <v>35995</v>
      </c>
      <c r="G5860" s="18" t="str">
        <f>"01841"</f>
        <v>01841</v>
      </c>
      <c r="H5860" s="19" t="s">
        <v>31458</v>
      </c>
      <c r="I5860" s="20">
        <v>19.445</v>
      </c>
      <c r="J5860" s="44" t="s">
        <v>8</v>
      </c>
      <c r="K5860" s="23" t="s">
        <v>8</v>
      </c>
      <c r="L5860" s="23" t="s">
        <v>8</v>
      </c>
      <c r="M5860" s="23" t="s">
        <v>8</v>
      </c>
    </row>
    <row r="5861" spans="1:13" s="21" customFormat="1" x14ac:dyDescent="0.25">
      <c r="A5861" s="22" t="s">
        <v>8</v>
      </c>
      <c r="B5861" s="18" t="str">
        <f>"225161"</f>
        <v>225161</v>
      </c>
      <c r="C5861" s="19" t="s">
        <v>5781</v>
      </c>
      <c r="D5861" s="19" t="s">
        <v>21286</v>
      </c>
      <c r="E5861" s="19" t="s">
        <v>33017</v>
      </c>
      <c r="F5861" s="19" t="s">
        <v>35995</v>
      </c>
      <c r="G5861" s="18" t="str">
        <f>"02136"</f>
        <v>02136</v>
      </c>
      <c r="H5861" s="19" t="s">
        <v>35389</v>
      </c>
      <c r="I5861" s="20">
        <v>17.728999999999999</v>
      </c>
      <c r="J5861" s="44" t="s">
        <v>8</v>
      </c>
      <c r="K5861" s="23" t="s">
        <v>8</v>
      </c>
      <c r="L5861" s="23" t="s">
        <v>8</v>
      </c>
      <c r="M5861" s="23" t="s">
        <v>8</v>
      </c>
    </row>
    <row r="5862" spans="1:13" s="21" customFormat="1" x14ac:dyDescent="0.25">
      <c r="A5862" s="22" t="s">
        <v>8</v>
      </c>
      <c r="B5862" s="18" t="str">
        <f>"225170"</f>
        <v>225170</v>
      </c>
      <c r="C5862" s="19" t="s">
        <v>5782</v>
      </c>
      <c r="D5862" s="19" t="s">
        <v>21287</v>
      </c>
      <c r="E5862" s="19" t="s">
        <v>33018</v>
      </c>
      <c r="F5862" s="19" t="s">
        <v>35995</v>
      </c>
      <c r="G5862" s="18" t="str">
        <f>"01742"</f>
        <v>01742</v>
      </c>
      <c r="H5862" s="19" t="s">
        <v>36120</v>
      </c>
      <c r="I5862" s="20">
        <v>20.099</v>
      </c>
      <c r="J5862" s="44" t="s">
        <v>8</v>
      </c>
      <c r="K5862" s="23" t="s">
        <v>8</v>
      </c>
      <c r="L5862" s="23" t="s">
        <v>8</v>
      </c>
      <c r="M5862" s="23" t="s">
        <v>8</v>
      </c>
    </row>
    <row r="5863" spans="1:13" s="21" customFormat="1" x14ac:dyDescent="0.25">
      <c r="A5863" s="22" t="s">
        <v>8</v>
      </c>
      <c r="B5863" s="18" t="str">
        <f>"225173"</f>
        <v>225173</v>
      </c>
      <c r="C5863" s="19" t="s">
        <v>5783</v>
      </c>
      <c r="D5863" s="19" t="s">
        <v>21288</v>
      </c>
      <c r="E5863" s="19" t="s">
        <v>33002</v>
      </c>
      <c r="F5863" s="19" t="s">
        <v>35995</v>
      </c>
      <c r="G5863" s="18" t="str">
        <f>"01609"</f>
        <v>01609</v>
      </c>
      <c r="H5863" s="19" t="s">
        <v>33002</v>
      </c>
      <c r="I5863" s="20">
        <v>20.027000000000001</v>
      </c>
      <c r="J5863" s="44" t="s">
        <v>8</v>
      </c>
      <c r="K5863" s="23" t="s">
        <v>8</v>
      </c>
      <c r="L5863" s="23" t="s">
        <v>8</v>
      </c>
      <c r="M5863" s="23" t="s">
        <v>8</v>
      </c>
    </row>
    <row r="5864" spans="1:13" s="21" customFormat="1" x14ac:dyDescent="0.25">
      <c r="A5864" s="22" t="s">
        <v>8</v>
      </c>
      <c r="B5864" s="18" t="str">
        <f>"225176"</f>
        <v>225176</v>
      </c>
      <c r="C5864" s="19" t="s">
        <v>5784</v>
      </c>
      <c r="D5864" s="19" t="s">
        <v>21289</v>
      </c>
      <c r="E5864" s="19" t="s">
        <v>33019</v>
      </c>
      <c r="F5864" s="19" t="s">
        <v>35995</v>
      </c>
      <c r="G5864" s="18" t="str">
        <f>"01001"</f>
        <v>01001</v>
      </c>
      <c r="H5864" s="19" t="s">
        <v>33041</v>
      </c>
      <c r="I5864" s="20">
        <v>19.260000000000002</v>
      </c>
      <c r="J5864" s="44" t="s">
        <v>8</v>
      </c>
      <c r="K5864" s="23" t="s">
        <v>8</v>
      </c>
      <c r="L5864" s="23" t="s">
        <v>8</v>
      </c>
      <c r="M5864" s="23" t="s">
        <v>8</v>
      </c>
    </row>
    <row r="5865" spans="1:13" s="21" customFormat="1" x14ac:dyDescent="0.25">
      <c r="A5865" s="22" t="s">
        <v>8</v>
      </c>
      <c r="B5865" s="18" t="str">
        <f>"225179"</f>
        <v>225179</v>
      </c>
      <c r="C5865" s="19" t="s">
        <v>5785</v>
      </c>
      <c r="D5865" s="19" t="s">
        <v>21290</v>
      </c>
      <c r="E5865" s="19" t="s">
        <v>33020</v>
      </c>
      <c r="F5865" s="19" t="s">
        <v>35995</v>
      </c>
      <c r="G5865" s="18" t="str">
        <f>"01702"</f>
        <v>01702</v>
      </c>
      <c r="H5865" s="19" t="s">
        <v>36120</v>
      </c>
      <c r="I5865" s="20">
        <v>18.356999999999999</v>
      </c>
      <c r="J5865" s="44" t="s">
        <v>8</v>
      </c>
      <c r="K5865" s="23" t="s">
        <v>8</v>
      </c>
      <c r="L5865" s="23" t="s">
        <v>8</v>
      </c>
      <c r="M5865" s="23" t="s">
        <v>8</v>
      </c>
    </row>
    <row r="5866" spans="1:13" s="21" customFormat="1" x14ac:dyDescent="0.25">
      <c r="A5866" s="22" t="s">
        <v>8</v>
      </c>
      <c r="B5866" s="18" t="str">
        <f>"225184"</f>
        <v>225184</v>
      </c>
      <c r="C5866" s="19" t="s">
        <v>5786</v>
      </c>
      <c r="D5866" s="19" t="s">
        <v>21291</v>
      </c>
      <c r="E5866" s="19" t="s">
        <v>32912</v>
      </c>
      <c r="F5866" s="19" t="s">
        <v>35995</v>
      </c>
      <c r="G5866" s="18" t="str">
        <f>"02370"</f>
        <v>02370</v>
      </c>
      <c r="H5866" s="19" t="s">
        <v>31465</v>
      </c>
      <c r="I5866" s="20">
        <v>21.013000000000002</v>
      </c>
      <c r="J5866" s="44" t="s">
        <v>8</v>
      </c>
      <c r="K5866" s="23" t="s">
        <v>8</v>
      </c>
      <c r="L5866" s="23" t="s">
        <v>8</v>
      </c>
      <c r="M5866" s="23" t="s">
        <v>8</v>
      </c>
    </row>
    <row r="5867" spans="1:13" s="21" customFormat="1" x14ac:dyDescent="0.25">
      <c r="A5867" s="22" t="s">
        <v>8</v>
      </c>
      <c r="B5867" s="18" t="str">
        <f>"225185"</f>
        <v>225185</v>
      </c>
      <c r="C5867" s="19" t="s">
        <v>5787</v>
      </c>
      <c r="D5867" s="19" t="s">
        <v>21292</v>
      </c>
      <c r="E5867" s="19" t="s">
        <v>32049</v>
      </c>
      <c r="F5867" s="19" t="s">
        <v>35995</v>
      </c>
      <c r="G5867" s="18" t="str">
        <f>"02777"</f>
        <v>02777</v>
      </c>
      <c r="H5867" s="19" t="s">
        <v>31434</v>
      </c>
      <c r="I5867" s="20">
        <v>21.795000000000002</v>
      </c>
      <c r="J5867" s="44" t="s">
        <v>8</v>
      </c>
      <c r="K5867" s="23" t="s">
        <v>8</v>
      </c>
      <c r="L5867" s="23" t="s">
        <v>8</v>
      </c>
      <c r="M5867" s="23" t="s">
        <v>8</v>
      </c>
    </row>
    <row r="5868" spans="1:13" s="21" customFormat="1" x14ac:dyDescent="0.25">
      <c r="A5868" s="22" t="s">
        <v>8</v>
      </c>
      <c r="B5868" s="18" t="str">
        <f>"225189"</f>
        <v>225189</v>
      </c>
      <c r="C5868" s="19" t="s">
        <v>5788</v>
      </c>
      <c r="D5868" s="19" t="s">
        <v>21293</v>
      </c>
      <c r="E5868" s="19" t="s">
        <v>32734</v>
      </c>
      <c r="F5868" s="19" t="s">
        <v>35995</v>
      </c>
      <c r="G5868" s="18" t="str">
        <f>"01267"</f>
        <v>01267</v>
      </c>
      <c r="H5868" s="19" t="s">
        <v>36411</v>
      </c>
      <c r="I5868" s="20">
        <v>19.486000000000001</v>
      </c>
      <c r="J5868" s="44" t="s">
        <v>8</v>
      </c>
      <c r="K5868" s="23" t="s">
        <v>8</v>
      </c>
      <c r="L5868" s="23" t="s">
        <v>8</v>
      </c>
      <c r="M5868" s="23" t="s">
        <v>8</v>
      </c>
    </row>
    <row r="5869" spans="1:13" s="21" customFormat="1" x14ac:dyDescent="0.25">
      <c r="A5869" s="22" t="s">
        <v>8</v>
      </c>
      <c r="B5869" s="18" t="str">
        <f>"225191"</f>
        <v>225191</v>
      </c>
      <c r="C5869" s="19" t="s">
        <v>5789</v>
      </c>
      <c r="D5869" s="19" t="s">
        <v>21294</v>
      </c>
      <c r="E5869" s="19" t="s">
        <v>33021</v>
      </c>
      <c r="F5869" s="19" t="s">
        <v>35995</v>
      </c>
      <c r="G5869" s="18" t="str">
        <f>"01720"</f>
        <v>01720</v>
      </c>
      <c r="H5869" s="19" t="s">
        <v>36120</v>
      </c>
      <c r="I5869" s="20">
        <v>16.503</v>
      </c>
      <c r="J5869" s="44" t="s">
        <v>8</v>
      </c>
      <c r="K5869" s="23" t="s">
        <v>8</v>
      </c>
      <c r="L5869" s="23" t="s">
        <v>8</v>
      </c>
      <c r="M5869" s="23" t="s">
        <v>8</v>
      </c>
    </row>
    <row r="5870" spans="1:13" s="21" customFormat="1" x14ac:dyDescent="0.25">
      <c r="A5870" s="22" t="s">
        <v>8</v>
      </c>
      <c r="B5870" s="18" t="str">
        <f>"225194"</f>
        <v>225194</v>
      </c>
      <c r="C5870" s="19" t="s">
        <v>5790</v>
      </c>
      <c r="D5870" s="19" t="s">
        <v>21295</v>
      </c>
      <c r="E5870" s="19" t="s">
        <v>33022</v>
      </c>
      <c r="F5870" s="19" t="s">
        <v>35995</v>
      </c>
      <c r="G5870" s="18" t="str">
        <f>"02720"</f>
        <v>02720</v>
      </c>
      <c r="H5870" s="19" t="s">
        <v>31434</v>
      </c>
      <c r="I5870" s="20">
        <v>20.04</v>
      </c>
      <c r="J5870" s="44" t="s">
        <v>8</v>
      </c>
      <c r="K5870" s="23" t="s">
        <v>8</v>
      </c>
      <c r="L5870" s="23" t="s">
        <v>8</v>
      </c>
      <c r="M5870" s="23" t="s">
        <v>8</v>
      </c>
    </row>
    <row r="5871" spans="1:13" s="21" customFormat="1" x14ac:dyDescent="0.25">
      <c r="A5871" s="22" t="s">
        <v>8</v>
      </c>
      <c r="B5871" s="18" t="str">
        <f>"225196"</f>
        <v>225196</v>
      </c>
      <c r="C5871" s="19" t="s">
        <v>5791</v>
      </c>
      <c r="D5871" s="19" t="s">
        <v>21296</v>
      </c>
      <c r="E5871" s="19" t="s">
        <v>32563</v>
      </c>
      <c r="F5871" s="19" t="s">
        <v>35995</v>
      </c>
      <c r="G5871" s="18" t="str">
        <f>"01440"</f>
        <v>01440</v>
      </c>
      <c r="H5871" s="19" t="s">
        <v>33002</v>
      </c>
      <c r="I5871" s="20">
        <v>19.654</v>
      </c>
      <c r="J5871" s="44" t="s">
        <v>8</v>
      </c>
      <c r="K5871" s="23" t="s">
        <v>8</v>
      </c>
      <c r="L5871" s="23" t="s">
        <v>8</v>
      </c>
      <c r="M5871" s="23" t="s">
        <v>8</v>
      </c>
    </row>
    <row r="5872" spans="1:13" s="21" customFormat="1" x14ac:dyDescent="0.25">
      <c r="A5872" s="22" t="s">
        <v>8</v>
      </c>
      <c r="B5872" s="18" t="str">
        <f>"225198"</f>
        <v>225198</v>
      </c>
      <c r="C5872" s="19" t="s">
        <v>5792</v>
      </c>
      <c r="D5872" s="19" t="s">
        <v>21297</v>
      </c>
      <c r="E5872" s="19" t="s">
        <v>33023</v>
      </c>
      <c r="F5872" s="19" t="s">
        <v>35995</v>
      </c>
      <c r="G5872" s="18" t="str">
        <f>"01923"</f>
        <v>01923</v>
      </c>
      <c r="H5872" s="19" t="s">
        <v>31458</v>
      </c>
      <c r="I5872" s="20">
        <v>18.768000000000001</v>
      </c>
      <c r="J5872" s="44" t="s">
        <v>8</v>
      </c>
      <c r="K5872" s="23" t="s">
        <v>8</v>
      </c>
      <c r="L5872" s="23" t="s">
        <v>8</v>
      </c>
      <c r="M5872" s="23" t="s">
        <v>8</v>
      </c>
    </row>
    <row r="5873" spans="1:13" s="21" customFormat="1" x14ac:dyDescent="0.25">
      <c r="A5873" s="22" t="s">
        <v>8</v>
      </c>
      <c r="B5873" s="18" t="str">
        <f>"225199"</f>
        <v>225199</v>
      </c>
      <c r="C5873" s="19" t="s">
        <v>5793</v>
      </c>
      <c r="D5873" s="19" t="s">
        <v>21298</v>
      </c>
      <c r="E5873" s="19" t="s">
        <v>33002</v>
      </c>
      <c r="F5873" s="19" t="s">
        <v>35995</v>
      </c>
      <c r="G5873" s="18" t="str">
        <f>"01604"</f>
        <v>01604</v>
      </c>
      <c r="H5873" s="19" t="s">
        <v>33002</v>
      </c>
      <c r="I5873" s="20">
        <v>19.945</v>
      </c>
      <c r="J5873" s="44" t="s">
        <v>8</v>
      </c>
      <c r="K5873" s="23" t="s">
        <v>8</v>
      </c>
      <c r="L5873" s="23" t="s">
        <v>8</v>
      </c>
      <c r="M5873" s="23" t="s">
        <v>8</v>
      </c>
    </row>
    <row r="5874" spans="1:13" s="21" customFormat="1" x14ac:dyDescent="0.25">
      <c r="A5874" s="22" t="s">
        <v>8</v>
      </c>
      <c r="B5874" s="18" t="str">
        <f>"225201"</f>
        <v>225201</v>
      </c>
      <c r="C5874" s="19" t="s">
        <v>5794</v>
      </c>
      <c r="D5874" s="19" t="s">
        <v>21299</v>
      </c>
      <c r="E5874" s="19" t="s">
        <v>33024</v>
      </c>
      <c r="F5874" s="19" t="s">
        <v>35995</v>
      </c>
      <c r="G5874" s="18" t="str">
        <f>"02130"</f>
        <v>02130</v>
      </c>
      <c r="H5874" s="19" t="s">
        <v>35389</v>
      </c>
      <c r="I5874" s="20">
        <v>17.510000000000002</v>
      </c>
      <c r="J5874" s="44" t="s">
        <v>8</v>
      </c>
      <c r="K5874" s="23" t="s">
        <v>8</v>
      </c>
      <c r="L5874" s="23" t="s">
        <v>8</v>
      </c>
      <c r="M5874" s="23" t="s">
        <v>8</v>
      </c>
    </row>
    <row r="5875" spans="1:13" s="21" customFormat="1" x14ac:dyDescent="0.25">
      <c r="A5875" s="22" t="s">
        <v>8</v>
      </c>
      <c r="B5875" s="18" t="str">
        <f>"225207"</f>
        <v>225207</v>
      </c>
      <c r="C5875" s="19" t="s">
        <v>5795</v>
      </c>
      <c r="D5875" s="19" t="s">
        <v>21300</v>
      </c>
      <c r="E5875" s="19" t="s">
        <v>31465</v>
      </c>
      <c r="F5875" s="19" t="s">
        <v>35995</v>
      </c>
      <c r="G5875" s="18" t="str">
        <f>"02360"</f>
        <v>02360</v>
      </c>
      <c r="H5875" s="19" t="s">
        <v>31465</v>
      </c>
      <c r="I5875" s="20">
        <v>20.651</v>
      </c>
      <c r="J5875" s="44" t="s">
        <v>8</v>
      </c>
      <c r="K5875" s="23" t="s">
        <v>8</v>
      </c>
      <c r="L5875" s="23" t="s">
        <v>8</v>
      </c>
      <c r="M5875" s="23" t="s">
        <v>8</v>
      </c>
    </row>
    <row r="5876" spans="1:13" s="21" customFormat="1" x14ac:dyDescent="0.25">
      <c r="A5876" s="22" t="s">
        <v>8</v>
      </c>
      <c r="B5876" s="18" t="str">
        <f>"225208"</f>
        <v>225208</v>
      </c>
      <c r="C5876" s="19" t="s">
        <v>5796</v>
      </c>
      <c r="D5876" s="19" t="s">
        <v>21301</v>
      </c>
      <c r="E5876" s="19" t="s">
        <v>33025</v>
      </c>
      <c r="F5876" s="19" t="s">
        <v>35995</v>
      </c>
      <c r="G5876" s="18" t="str">
        <f>"02062"</f>
        <v>02062</v>
      </c>
      <c r="H5876" s="19" t="s">
        <v>33776</v>
      </c>
      <c r="I5876" s="20">
        <v>19.114000000000001</v>
      </c>
      <c r="J5876" s="44" t="s">
        <v>8</v>
      </c>
      <c r="K5876" s="23" t="s">
        <v>8</v>
      </c>
      <c r="L5876" s="23" t="s">
        <v>8</v>
      </c>
      <c r="M5876" s="23" t="s">
        <v>8</v>
      </c>
    </row>
    <row r="5877" spans="1:13" s="21" customFormat="1" x14ac:dyDescent="0.25">
      <c r="A5877" s="22" t="s">
        <v>8</v>
      </c>
      <c r="B5877" s="18" t="str">
        <f>"225210"</f>
        <v>225210</v>
      </c>
      <c r="C5877" s="19" t="s">
        <v>5797</v>
      </c>
      <c r="D5877" s="19" t="s">
        <v>21302</v>
      </c>
      <c r="E5877" s="19" t="s">
        <v>31184</v>
      </c>
      <c r="F5877" s="19" t="s">
        <v>35995</v>
      </c>
      <c r="G5877" s="18" t="str">
        <f>"01523"</f>
        <v>01523</v>
      </c>
      <c r="H5877" s="19" t="s">
        <v>33002</v>
      </c>
      <c r="I5877" s="20">
        <v>16.939</v>
      </c>
      <c r="J5877" s="44" t="s">
        <v>8</v>
      </c>
      <c r="K5877" s="23" t="s">
        <v>8</v>
      </c>
      <c r="L5877" s="23" t="s">
        <v>8</v>
      </c>
      <c r="M5877" s="23" t="s">
        <v>8</v>
      </c>
    </row>
    <row r="5878" spans="1:13" s="21" customFormat="1" x14ac:dyDescent="0.25">
      <c r="A5878" s="22" t="s">
        <v>8</v>
      </c>
      <c r="B5878" s="18" t="str">
        <f>"225211"</f>
        <v>225211</v>
      </c>
      <c r="C5878" s="19" t="s">
        <v>5798</v>
      </c>
      <c r="D5878" s="19" t="s">
        <v>21303</v>
      </c>
      <c r="E5878" s="19" t="s">
        <v>33025</v>
      </c>
      <c r="F5878" s="19" t="s">
        <v>35995</v>
      </c>
      <c r="G5878" s="18" t="str">
        <f>"02062"</f>
        <v>02062</v>
      </c>
      <c r="H5878" s="19" t="s">
        <v>33776</v>
      </c>
      <c r="I5878" s="20">
        <v>18.055</v>
      </c>
      <c r="J5878" s="44" t="s">
        <v>8</v>
      </c>
      <c r="K5878" s="23" t="s">
        <v>8</v>
      </c>
      <c r="L5878" s="23" t="s">
        <v>8</v>
      </c>
      <c r="M5878" s="23" t="s">
        <v>8</v>
      </c>
    </row>
    <row r="5879" spans="1:13" s="21" customFormat="1" x14ac:dyDescent="0.25">
      <c r="A5879" s="22" t="s">
        <v>8</v>
      </c>
      <c r="B5879" s="18" t="str">
        <f>"225213"</f>
        <v>225213</v>
      </c>
      <c r="C5879" s="19" t="s">
        <v>5799</v>
      </c>
      <c r="D5879" s="19" t="s">
        <v>21304</v>
      </c>
      <c r="E5879" s="19" t="s">
        <v>32692</v>
      </c>
      <c r="F5879" s="19" t="s">
        <v>35995</v>
      </c>
      <c r="G5879" s="18" t="str">
        <f>"02420"</f>
        <v>02420</v>
      </c>
      <c r="H5879" s="19" t="s">
        <v>36120</v>
      </c>
      <c r="I5879" s="20">
        <v>21.98</v>
      </c>
      <c r="J5879" s="44" t="s">
        <v>8</v>
      </c>
      <c r="K5879" s="23" t="s">
        <v>8</v>
      </c>
      <c r="L5879" s="23" t="s">
        <v>8</v>
      </c>
      <c r="M5879" s="23" t="s">
        <v>8</v>
      </c>
    </row>
    <row r="5880" spans="1:13" s="21" customFormat="1" x14ac:dyDescent="0.25">
      <c r="A5880" s="22" t="s">
        <v>8</v>
      </c>
      <c r="B5880" s="18" t="str">
        <f>"225215"</f>
        <v>225215</v>
      </c>
      <c r="C5880" s="19" t="s">
        <v>5800</v>
      </c>
      <c r="D5880" s="19" t="s">
        <v>21305</v>
      </c>
      <c r="E5880" s="19" t="s">
        <v>32912</v>
      </c>
      <c r="F5880" s="19" t="s">
        <v>35995</v>
      </c>
      <c r="G5880" s="18" t="str">
        <f>"02370"</f>
        <v>02370</v>
      </c>
      <c r="H5880" s="19" t="s">
        <v>31465</v>
      </c>
      <c r="I5880" s="20">
        <v>17.896000000000001</v>
      </c>
      <c r="J5880" s="44" t="s">
        <v>8</v>
      </c>
      <c r="K5880" s="23" t="s">
        <v>8</v>
      </c>
      <c r="L5880" s="23" t="s">
        <v>8</v>
      </c>
      <c r="M5880" s="23" t="s">
        <v>8</v>
      </c>
    </row>
    <row r="5881" spans="1:13" s="21" customFormat="1" x14ac:dyDescent="0.25">
      <c r="A5881" s="22" t="s">
        <v>8</v>
      </c>
      <c r="B5881" s="18" t="str">
        <f>"225216"</f>
        <v>225216</v>
      </c>
      <c r="C5881" s="19" t="s">
        <v>5801</v>
      </c>
      <c r="D5881" s="19" t="s">
        <v>21306</v>
      </c>
      <c r="E5881" s="19" t="s">
        <v>33026</v>
      </c>
      <c r="F5881" s="19" t="s">
        <v>35995</v>
      </c>
      <c r="G5881" s="18" t="str">
        <f>"01420"</f>
        <v>01420</v>
      </c>
      <c r="H5881" s="19" t="s">
        <v>33002</v>
      </c>
      <c r="I5881" s="20">
        <v>19.042999999999999</v>
      </c>
      <c r="J5881" s="44" t="s">
        <v>8</v>
      </c>
      <c r="K5881" s="23" t="s">
        <v>8</v>
      </c>
      <c r="L5881" s="23" t="s">
        <v>8</v>
      </c>
      <c r="M5881" s="23" t="s">
        <v>8</v>
      </c>
    </row>
    <row r="5882" spans="1:13" s="21" customFormat="1" x14ac:dyDescent="0.25">
      <c r="A5882" s="22" t="s">
        <v>8</v>
      </c>
      <c r="B5882" s="18" t="str">
        <f>"225218"</f>
        <v>225218</v>
      </c>
      <c r="C5882" s="19" t="s">
        <v>5802</v>
      </c>
      <c r="D5882" s="19" t="s">
        <v>21307</v>
      </c>
      <c r="E5882" s="19" t="s">
        <v>33027</v>
      </c>
      <c r="F5882" s="19" t="s">
        <v>35995</v>
      </c>
      <c r="G5882" s="18" t="str">
        <f>"01830"</f>
        <v>01830</v>
      </c>
      <c r="H5882" s="19" t="s">
        <v>31458</v>
      </c>
      <c r="I5882" s="20">
        <v>21.437000000000001</v>
      </c>
      <c r="J5882" s="44" t="s">
        <v>8</v>
      </c>
      <c r="K5882" s="23" t="s">
        <v>8</v>
      </c>
      <c r="L5882" s="23" t="s">
        <v>8</v>
      </c>
      <c r="M5882" s="23" t="s">
        <v>8</v>
      </c>
    </row>
    <row r="5883" spans="1:13" s="21" customFormat="1" x14ac:dyDescent="0.25">
      <c r="A5883" s="22" t="s">
        <v>8</v>
      </c>
      <c r="B5883" s="18" t="str">
        <f>"225219"</f>
        <v>225219</v>
      </c>
      <c r="C5883" s="19" t="s">
        <v>5803</v>
      </c>
      <c r="D5883" s="19" t="s">
        <v>21308</v>
      </c>
      <c r="E5883" s="19" t="s">
        <v>33002</v>
      </c>
      <c r="F5883" s="19" t="s">
        <v>35995</v>
      </c>
      <c r="G5883" s="18" t="str">
        <f>"01604"</f>
        <v>01604</v>
      </c>
      <c r="H5883" s="19" t="s">
        <v>33002</v>
      </c>
      <c r="I5883" s="20">
        <v>19.356999999999999</v>
      </c>
      <c r="J5883" s="44" t="s">
        <v>8</v>
      </c>
      <c r="K5883" s="23" t="s">
        <v>8</v>
      </c>
      <c r="L5883" s="23" t="s">
        <v>8</v>
      </c>
      <c r="M5883" s="23" t="s">
        <v>8</v>
      </c>
    </row>
    <row r="5884" spans="1:13" s="21" customFormat="1" x14ac:dyDescent="0.25">
      <c r="A5884" s="22" t="s">
        <v>8</v>
      </c>
      <c r="B5884" s="18" t="str">
        <f>"225221"</f>
        <v>225221</v>
      </c>
      <c r="C5884" s="19" t="s">
        <v>5804</v>
      </c>
      <c r="D5884" s="19" t="s">
        <v>21309</v>
      </c>
      <c r="E5884" s="19" t="s">
        <v>33004</v>
      </c>
      <c r="F5884" s="19" t="s">
        <v>35995</v>
      </c>
      <c r="G5884" s="18" t="str">
        <f>"02302"</f>
        <v>02302</v>
      </c>
      <c r="H5884" s="19" t="s">
        <v>31465</v>
      </c>
      <c r="I5884" s="20">
        <v>18.649000000000001</v>
      </c>
      <c r="J5884" s="44" t="s">
        <v>8</v>
      </c>
      <c r="K5884" s="23" t="s">
        <v>8</v>
      </c>
      <c r="L5884" s="23" t="s">
        <v>8</v>
      </c>
      <c r="M5884" s="23" t="s">
        <v>8</v>
      </c>
    </row>
    <row r="5885" spans="1:13" s="21" customFormat="1" x14ac:dyDescent="0.25">
      <c r="A5885" s="22" t="s">
        <v>8</v>
      </c>
      <c r="B5885" s="18" t="str">
        <f>"225222"</f>
        <v>225222</v>
      </c>
      <c r="C5885" s="19" t="s">
        <v>5805</v>
      </c>
      <c r="D5885" s="19" t="s">
        <v>21310</v>
      </c>
      <c r="E5885" s="19" t="s">
        <v>33028</v>
      </c>
      <c r="F5885" s="19" t="s">
        <v>35995</v>
      </c>
      <c r="G5885" s="18" t="str">
        <f>"02181"</f>
        <v>02181</v>
      </c>
      <c r="H5885" s="19" t="s">
        <v>33776</v>
      </c>
      <c r="I5885" s="20">
        <v>19.699000000000002</v>
      </c>
      <c r="J5885" s="44" t="s">
        <v>8</v>
      </c>
      <c r="K5885" s="23" t="s">
        <v>8</v>
      </c>
      <c r="L5885" s="23" t="s">
        <v>8</v>
      </c>
      <c r="M5885" s="23" t="s">
        <v>8</v>
      </c>
    </row>
    <row r="5886" spans="1:13" s="21" customFormat="1" x14ac:dyDescent="0.25">
      <c r="A5886" s="22" t="s">
        <v>8</v>
      </c>
      <c r="B5886" s="18" t="str">
        <f>"225223"</f>
        <v>225223</v>
      </c>
      <c r="C5886" s="19" t="s">
        <v>5806</v>
      </c>
      <c r="D5886" s="19" t="s">
        <v>21311</v>
      </c>
      <c r="E5886" s="19" t="s">
        <v>33023</v>
      </c>
      <c r="F5886" s="19" t="s">
        <v>35995</v>
      </c>
      <c r="G5886" s="18" t="str">
        <f>"01923"</f>
        <v>01923</v>
      </c>
      <c r="H5886" s="19" t="s">
        <v>31458</v>
      </c>
      <c r="I5886" s="20">
        <v>18.975000000000001</v>
      </c>
      <c r="J5886" s="44" t="s">
        <v>8</v>
      </c>
      <c r="K5886" s="23" t="s">
        <v>8</v>
      </c>
      <c r="L5886" s="23" t="s">
        <v>8</v>
      </c>
      <c r="M5886" s="23" t="s">
        <v>8</v>
      </c>
    </row>
    <row r="5887" spans="1:13" s="21" customFormat="1" x14ac:dyDescent="0.25">
      <c r="A5887" s="22" t="s">
        <v>8</v>
      </c>
      <c r="B5887" s="18" t="str">
        <f>"225224"</f>
        <v>225224</v>
      </c>
      <c r="C5887" s="19" t="s">
        <v>5807</v>
      </c>
      <c r="D5887" s="19" t="s">
        <v>21312</v>
      </c>
      <c r="E5887" s="19" t="s">
        <v>32273</v>
      </c>
      <c r="F5887" s="19" t="s">
        <v>35995</v>
      </c>
      <c r="G5887" s="18" t="str">
        <f>"01850"</f>
        <v>01850</v>
      </c>
      <c r="H5887" s="19" t="s">
        <v>36120</v>
      </c>
      <c r="I5887" s="20">
        <v>18.399999999999999</v>
      </c>
      <c r="J5887" s="44" t="s">
        <v>8</v>
      </c>
      <c r="K5887" s="23" t="s">
        <v>8</v>
      </c>
      <c r="L5887" s="23" t="s">
        <v>8</v>
      </c>
      <c r="M5887" s="23" t="s">
        <v>8</v>
      </c>
    </row>
    <row r="5888" spans="1:13" s="21" customFormat="1" x14ac:dyDescent="0.25">
      <c r="A5888" s="22" t="s">
        <v>8</v>
      </c>
      <c r="B5888" s="18" t="str">
        <f>"225225"</f>
        <v>225225</v>
      </c>
      <c r="C5888" s="19" t="s">
        <v>5808</v>
      </c>
      <c r="D5888" s="19" t="s">
        <v>21313</v>
      </c>
      <c r="E5888" s="19" t="s">
        <v>33029</v>
      </c>
      <c r="F5888" s="19" t="s">
        <v>35995</v>
      </c>
      <c r="G5888" s="18" t="str">
        <f>"02356"</f>
        <v>02356</v>
      </c>
      <c r="H5888" s="19" t="s">
        <v>31434</v>
      </c>
      <c r="I5888" s="20">
        <v>21.106999999999999</v>
      </c>
      <c r="J5888" s="44" t="s">
        <v>8</v>
      </c>
      <c r="K5888" s="23" t="s">
        <v>8</v>
      </c>
      <c r="L5888" s="23" t="s">
        <v>8</v>
      </c>
      <c r="M5888" s="23" t="s">
        <v>8</v>
      </c>
    </row>
    <row r="5889" spans="1:13" s="21" customFormat="1" x14ac:dyDescent="0.25">
      <c r="A5889" s="22" t="s">
        <v>8</v>
      </c>
      <c r="B5889" s="18" t="str">
        <f>"225227"</f>
        <v>225227</v>
      </c>
      <c r="C5889" s="19" t="s">
        <v>5809</v>
      </c>
      <c r="D5889" s="19" t="s">
        <v>21314</v>
      </c>
      <c r="E5889" s="19" t="s">
        <v>33026</v>
      </c>
      <c r="F5889" s="19" t="s">
        <v>35995</v>
      </c>
      <c r="G5889" s="18" t="str">
        <f>"01420"</f>
        <v>01420</v>
      </c>
      <c r="H5889" s="19" t="s">
        <v>33002</v>
      </c>
      <c r="I5889" s="20">
        <v>20.094000000000001</v>
      </c>
      <c r="J5889" s="44" t="s">
        <v>8</v>
      </c>
      <c r="K5889" s="23" t="s">
        <v>8</v>
      </c>
      <c r="L5889" s="23" t="s">
        <v>8</v>
      </c>
      <c r="M5889" s="23" t="s">
        <v>8</v>
      </c>
    </row>
    <row r="5890" spans="1:13" s="21" customFormat="1" x14ac:dyDescent="0.25">
      <c r="A5890" s="22" t="s">
        <v>8</v>
      </c>
      <c r="B5890" s="18" t="str">
        <f>"225229"</f>
        <v>225229</v>
      </c>
      <c r="C5890" s="19" t="s">
        <v>5810</v>
      </c>
      <c r="D5890" s="19" t="s">
        <v>21315</v>
      </c>
      <c r="E5890" s="19" t="s">
        <v>33030</v>
      </c>
      <c r="F5890" s="19" t="s">
        <v>35995</v>
      </c>
      <c r="G5890" s="18" t="str">
        <f>"01913"</f>
        <v>01913</v>
      </c>
      <c r="H5890" s="19" t="s">
        <v>31458</v>
      </c>
      <c r="I5890" s="20">
        <v>21.786999999999999</v>
      </c>
      <c r="J5890" s="44" t="s">
        <v>8</v>
      </c>
      <c r="K5890" s="23" t="s">
        <v>8</v>
      </c>
      <c r="L5890" s="23" t="s">
        <v>8</v>
      </c>
      <c r="M5890" s="23" t="s">
        <v>8</v>
      </c>
    </row>
    <row r="5891" spans="1:13" s="21" customFormat="1" x14ac:dyDescent="0.25">
      <c r="A5891" s="22" t="s">
        <v>8</v>
      </c>
      <c r="B5891" s="18" t="str">
        <f>"225230"</f>
        <v>225230</v>
      </c>
      <c r="C5891" s="19" t="s">
        <v>5811</v>
      </c>
      <c r="D5891" s="19" t="s">
        <v>21316</v>
      </c>
      <c r="E5891" s="19" t="s">
        <v>33031</v>
      </c>
      <c r="F5891" s="19" t="s">
        <v>35995</v>
      </c>
      <c r="G5891" s="18" t="str">
        <f>"01230"</f>
        <v>01230</v>
      </c>
      <c r="H5891" s="19" t="s">
        <v>36411</v>
      </c>
      <c r="I5891" s="20">
        <v>18.289000000000001</v>
      </c>
      <c r="J5891" s="44" t="s">
        <v>8</v>
      </c>
      <c r="K5891" s="23" t="s">
        <v>8</v>
      </c>
      <c r="L5891" s="23" t="s">
        <v>8</v>
      </c>
      <c r="M5891" s="23" t="s">
        <v>8</v>
      </c>
    </row>
    <row r="5892" spans="1:13" s="21" customFormat="1" x14ac:dyDescent="0.25">
      <c r="A5892" s="22" t="s">
        <v>8</v>
      </c>
      <c r="B5892" s="18" t="str">
        <f>"225232"</f>
        <v>225232</v>
      </c>
      <c r="C5892" s="19" t="s">
        <v>5812</v>
      </c>
      <c r="D5892" s="19" t="s">
        <v>21317</v>
      </c>
      <c r="E5892" s="19" t="s">
        <v>31373</v>
      </c>
      <c r="F5892" s="19" t="s">
        <v>35995</v>
      </c>
      <c r="G5892" s="18" t="str">
        <f>"01040"</f>
        <v>01040</v>
      </c>
      <c r="H5892" s="19" t="s">
        <v>33041</v>
      </c>
      <c r="I5892" s="20">
        <v>20.274999999999999</v>
      </c>
      <c r="J5892" s="44" t="s">
        <v>8</v>
      </c>
      <c r="K5892" s="23" t="s">
        <v>8</v>
      </c>
      <c r="L5892" s="23" t="s">
        <v>8</v>
      </c>
      <c r="M5892" s="23" t="s">
        <v>8</v>
      </c>
    </row>
    <row r="5893" spans="1:13" s="21" customFormat="1" x14ac:dyDescent="0.25">
      <c r="A5893" s="22" t="s">
        <v>8</v>
      </c>
      <c r="B5893" s="18" t="str">
        <f>"225233"</f>
        <v>225233</v>
      </c>
      <c r="C5893" s="19" t="s">
        <v>5813</v>
      </c>
      <c r="D5893" s="19" t="s">
        <v>21318</v>
      </c>
      <c r="E5893" s="19" t="s">
        <v>33032</v>
      </c>
      <c r="F5893" s="19" t="s">
        <v>35995</v>
      </c>
      <c r="G5893" s="18" t="str">
        <f>"02748"</f>
        <v>02748</v>
      </c>
      <c r="H5893" s="19" t="s">
        <v>31434</v>
      </c>
      <c r="I5893" s="20">
        <v>18.581</v>
      </c>
      <c r="J5893" s="44" t="s">
        <v>8</v>
      </c>
      <c r="K5893" s="23" t="s">
        <v>8</v>
      </c>
      <c r="L5893" s="23" t="s">
        <v>8</v>
      </c>
      <c r="M5893" s="23" t="s">
        <v>8</v>
      </c>
    </row>
    <row r="5894" spans="1:13" s="21" customFormat="1" x14ac:dyDescent="0.25">
      <c r="A5894" s="22" t="s">
        <v>8</v>
      </c>
      <c r="B5894" s="18" t="str">
        <f>"225236"</f>
        <v>225236</v>
      </c>
      <c r="C5894" s="19" t="s">
        <v>5814</v>
      </c>
      <c r="D5894" s="19" t="s">
        <v>21319</v>
      </c>
      <c r="E5894" s="19" t="s">
        <v>31373</v>
      </c>
      <c r="F5894" s="19" t="s">
        <v>35995</v>
      </c>
      <c r="G5894" s="18" t="str">
        <f>"01040"</f>
        <v>01040</v>
      </c>
      <c r="H5894" s="19" t="s">
        <v>33041</v>
      </c>
      <c r="I5894" s="20">
        <v>18.234000000000002</v>
      </c>
      <c r="J5894" s="44" t="s">
        <v>8</v>
      </c>
      <c r="K5894" s="23" t="s">
        <v>8</v>
      </c>
      <c r="L5894" s="23" t="s">
        <v>8</v>
      </c>
      <c r="M5894" s="23" t="s">
        <v>8</v>
      </c>
    </row>
    <row r="5895" spans="1:13" s="21" customFormat="1" x14ac:dyDescent="0.25">
      <c r="A5895" s="22" t="s">
        <v>8</v>
      </c>
      <c r="B5895" s="18" t="str">
        <f>"225239"</f>
        <v>225239</v>
      </c>
      <c r="C5895" s="19" t="s">
        <v>5815</v>
      </c>
      <c r="D5895" s="19" t="s">
        <v>21320</v>
      </c>
      <c r="E5895" s="19" t="s">
        <v>33033</v>
      </c>
      <c r="F5895" s="19" t="s">
        <v>35995</v>
      </c>
      <c r="G5895" s="18" t="str">
        <f>"02703"</f>
        <v>02703</v>
      </c>
      <c r="H5895" s="19" t="s">
        <v>31434</v>
      </c>
      <c r="I5895" s="20">
        <v>17.149999999999999</v>
      </c>
      <c r="J5895" s="44" t="s">
        <v>8</v>
      </c>
      <c r="K5895" s="23" t="s">
        <v>8</v>
      </c>
      <c r="L5895" s="23" t="s">
        <v>8</v>
      </c>
      <c r="M5895" s="23" t="s">
        <v>8</v>
      </c>
    </row>
    <row r="5896" spans="1:13" s="21" customFormat="1" x14ac:dyDescent="0.25">
      <c r="A5896" s="22" t="s">
        <v>8</v>
      </c>
      <c r="B5896" s="18" t="str">
        <f>"225242"</f>
        <v>225242</v>
      </c>
      <c r="C5896" s="19" t="s">
        <v>5816</v>
      </c>
      <c r="D5896" s="19" t="s">
        <v>21321</v>
      </c>
      <c r="E5896" s="19" t="s">
        <v>33034</v>
      </c>
      <c r="F5896" s="19" t="s">
        <v>35995</v>
      </c>
      <c r="G5896" s="18" t="str">
        <f>"01581"</f>
        <v>01581</v>
      </c>
      <c r="H5896" s="19" t="s">
        <v>33002</v>
      </c>
      <c r="I5896" s="20">
        <v>18.163</v>
      </c>
      <c r="J5896" s="44" t="s">
        <v>8</v>
      </c>
      <c r="K5896" s="23" t="s">
        <v>8</v>
      </c>
      <c r="L5896" s="23" t="s">
        <v>8</v>
      </c>
      <c r="M5896" s="23" t="s">
        <v>8</v>
      </c>
    </row>
    <row r="5897" spans="1:13" s="21" customFormat="1" x14ac:dyDescent="0.25">
      <c r="A5897" s="22" t="s">
        <v>8</v>
      </c>
      <c r="B5897" s="18" t="str">
        <f>"225244"</f>
        <v>225244</v>
      </c>
      <c r="C5897" s="19" t="s">
        <v>5817</v>
      </c>
      <c r="D5897" s="19" t="s">
        <v>21322</v>
      </c>
      <c r="E5897" s="19" t="s">
        <v>31038</v>
      </c>
      <c r="F5897" s="19" t="s">
        <v>35995</v>
      </c>
      <c r="G5897" s="18" t="str">
        <f>"01970"</f>
        <v>01970</v>
      </c>
      <c r="H5897" s="19" t="s">
        <v>31458</v>
      </c>
      <c r="I5897" s="20">
        <v>15.037000000000001</v>
      </c>
      <c r="J5897" s="44" t="s">
        <v>8</v>
      </c>
      <c r="K5897" s="23" t="s">
        <v>8</v>
      </c>
      <c r="L5897" s="23" t="s">
        <v>8</v>
      </c>
      <c r="M5897" s="23" t="s">
        <v>8</v>
      </c>
    </row>
    <row r="5898" spans="1:13" s="21" customFormat="1" x14ac:dyDescent="0.25">
      <c r="A5898" s="22" t="s">
        <v>8</v>
      </c>
      <c r="B5898" s="18" t="str">
        <f>"225248"</f>
        <v>225248</v>
      </c>
      <c r="C5898" s="19" t="s">
        <v>5818</v>
      </c>
      <c r="D5898" s="19" t="s">
        <v>21323</v>
      </c>
      <c r="E5898" s="19" t="s">
        <v>33035</v>
      </c>
      <c r="F5898" s="19" t="s">
        <v>35995</v>
      </c>
      <c r="G5898" s="18" t="str">
        <f>"01534"</f>
        <v>01534</v>
      </c>
      <c r="H5898" s="19" t="s">
        <v>33002</v>
      </c>
      <c r="I5898" s="20">
        <v>18.504000000000001</v>
      </c>
      <c r="J5898" s="44" t="s">
        <v>8</v>
      </c>
      <c r="K5898" s="23" t="s">
        <v>8</v>
      </c>
      <c r="L5898" s="23" t="s">
        <v>8</v>
      </c>
      <c r="M5898" s="23" t="s">
        <v>8</v>
      </c>
    </row>
    <row r="5899" spans="1:13" s="21" customFormat="1" x14ac:dyDescent="0.25">
      <c r="A5899" s="22" t="s">
        <v>8</v>
      </c>
      <c r="B5899" s="18" t="str">
        <f>"225249"</f>
        <v>225249</v>
      </c>
      <c r="C5899" s="19" t="s">
        <v>5819</v>
      </c>
      <c r="D5899" s="19" t="s">
        <v>21324</v>
      </c>
      <c r="E5899" s="19" t="s">
        <v>33036</v>
      </c>
      <c r="F5899" s="19" t="s">
        <v>35995</v>
      </c>
      <c r="G5899" s="18" t="str">
        <f>"01013"</f>
        <v>01013</v>
      </c>
      <c r="H5899" s="19" t="s">
        <v>33041</v>
      </c>
      <c r="I5899" s="20">
        <v>17.62</v>
      </c>
      <c r="J5899" s="44" t="s">
        <v>8</v>
      </c>
      <c r="K5899" s="23" t="s">
        <v>8</v>
      </c>
      <c r="L5899" s="23" t="s">
        <v>8</v>
      </c>
      <c r="M5899" s="23" t="s">
        <v>8</v>
      </c>
    </row>
    <row r="5900" spans="1:13" s="21" customFormat="1" x14ac:dyDescent="0.25">
      <c r="A5900" s="22" t="s">
        <v>8</v>
      </c>
      <c r="B5900" s="18" t="str">
        <f>"225250"</f>
        <v>225250</v>
      </c>
      <c r="C5900" s="19" t="s">
        <v>5820</v>
      </c>
      <c r="D5900" s="19" t="s">
        <v>21325</v>
      </c>
      <c r="E5900" s="19" t="s">
        <v>33031</v>
      </c>
      <c r="F5900" s="19" t="s">
        <v>35995</v>
      </c>
      <c r="G5900" s="18" t="str">
        <f>"01230"</f>
        <v>01230</v>
      </c>
      <c r="H5900" s="19" t="s">
        <v>36411</v>
      </c>
      <c r="I5900" s="20">
        <v>16.088000000000001</v>
      </c>
      <c r="J5900" s="44" t="s">
        <v>8</v>
      </c>
      <c r="K5900" s="23" t="s">
        <v>8</v>
      </c>
      <c r="L5900" s="23" t="s">
        <v>8</v>
      </c>
      <c r="M5900" s="23" t="s">
        <v>8</v>
      </c>
    </row>
    <row r="5901" spans="1:13" s="21" customFormat="1" x14ac:dyDescent="0.25">
      <c r="A5901" s="22" t="s">
        <v>8</v>
      </c>
      <c r="B5901" s="18" t="str">
        <f>"225253"</f>
        <v>225253</v>
      </c>
      <c r="C5901" s="19" t="s">
        <v>5821</v>
      </c>
      <c r="D5901" s="19" t="s">
        <v>21326</v>
      </c>
      <c r="E5901" s="19" t="s">
        <v>33019</v>
      </c>
      <c r="F5901" s="19" t="s">
        <v>35995</v>
      </c>
      <c r="G5901" s="18" t="str">
        <f>"01001"</f>
        <v>01001</v>
      </c>
      <c r="H5901" s="19" t="s">
        <v>33041</v>
      </c>
      <c r="I5901" s="20">
        <v>22.379000000000001</v>
      </c>
      <c r="J5901" s="44" t="s">
        <v>8</v>
      </c>
      <c r="K5901" s="23" t="s">
        <v>8</v>
      </c>
      <c r="L5901" s="23" t="s">
        <v>8</v>
      </c>
      <c r="M5901" s="23" t="s">
        <v>8</v>
      </c>
    </row>
    <row r="5902" spans="1:13" s="21" customFormat="1" x14ac:dyDescent="0.25">
      <c r="A5902" s="22" t="s">
        <v>8</v>
      </c>
      <c r="B5902" s="18" t="str">
        <f>"225254"</f>
        <v>225254</v>
      </c>
      <c r="C5902" s="19" t="s">
        <v>5822</v>
      </c>
      <c r="D5902" s="19" t="s">
        <v>21327</v>
      </c>
      <c r="E5902" s="19" t="s">
        <v>33037</v>
      </c>
      <c r="F5902" s="19" t="s">
        <v>35995</v>
      </c>
      <c r="G5902" s="18" t="str">
        <f>"02043"</f>
        <v>02043</v>
      </c>
      <c r="H5902" s="19" t="s">
        <v>31465</v>
      </c>
      <c r="I5902" s="20">
        <v>18.82</v>
      </c>
      <c r="J5902" s="44" t="s">
        <v>8</v>
      </c>
      <c r="K5902" s="23" t="s">
        <v>8</v>
      </c>
      <c r="L5902" s="23" t="s">
        <v>8</v>
      </c>
      <c r="M5902" s="23" t="s">
        <v>8</v>
      </c>
    </row>
    <row r="5903" spans="1:13" s="21" customFormat="1" x14ac:dyDescent="0.25">
      <c r="A5903" s="22" t="s">
        <v>8</v>
      </c>
      <c r="B5903" s="18" t="str">
        <f>"225256"</f>
        <v>225256</v>
      </c>
      <c r="C5903" s="19" t="s">
        <v>5823</v>
      </c>
      <c r="D5903" s="19" t="s">
        <v>21328</v>
      </c>
      <c r="E5903" s="19" t="s">
        <v>33036</v>
      </c>
      <c r="F5903" s="19" t="s">
        <v>35995</v>
      </c>
      <c r="G5903" s="18" t="str">
        <f>"01013"</f>
        <v>01013</v>
      </c>
      <c r="H5903" s="19" t="s">
        <v>33041</v>
      </c>
      <c r="I5903" s="20">
        <v>21.463999999999999</v>
      </c>
      <c r="J5903" s="44" t="s">
        <v>8</v>
      </c>
      <c r="K5903" s="23" t="s">
        <v>8</v>
      </c>
      <c r="L5903" s="23" t="s">
        <v>8</v>
      </c>
      <c r="M5903" s="23" t="s">
        <v>8</v>
      </c>
    </row>
    <row r="5904" spans="1:13" s="21" customFormat="1" x14ac:dyDescent="0.25">
      <c r="A5904" s="22" t="s">
        <v>8</v>
      </c>
      <c r="B5904" s="18" t="str">
        <f>"225257"</f>
        <v>225257</v>
      </c>
      <c r="C5904" s="19" t="s">
        <v>5824</v>
      </c>
      <c r="D5904" s="19" t="s">
        <v>21329</v>
      </c>
      <c r="E5904" s="19" t="s">
        <v>33038</v>
      </c>
      <c r="F5904" s="19" t="s">
        <v>35995</v>
      </c>
      <c r="G5904" s="18" t="str">
        <f>"01060"</f>
        <v>01060</v>
      </c>
      <c r="H5904" s="19" t="s">
        <v>36412</v>
      </c>
      <c r="I5904" s="20">
        <v>20.538</v>
      </c>
      <c r="J5904" s="44" t="s">
        <v>8</v>
      </c>
      <c r="K5904" s="23" t="s">
        <v>8</v>
      </c>
      <c r="L5904" s="23" t="s">
        <v>8</v>
      </c>
      <c r="M5904" s="23" t="s">
        <v>8</v>
      </c>
    </row>
    <row r="5905" spans="1:13" s="21" customFormat="1" x14ac:dyDescent="0.25">
      <c r="A5905" s="22" t="s">
        <v>8</v>
      </c>
      <c r="B5905" s="18" t="str">
        <f>"225259"</f>
        <v>225259</v>
      </c>
      <c r="C5905" s="19" t="s">
        <v>5825</v>
      </c>
      <c r="D5905" s="19" t="s">
        <v>21330</v>
      </c>
      <c r="E5905" s="19" t="s">
        <v>33004</v>
      </c>
      <c r="F5905" s="19" t="s">
        <v>35995</v>
      </c>
      <c r="G5905" s="18" t="str">
        <f>"02301"</f>
        <v>02301</v>
      </c>
      <c r="H5905" s="19" t="s">
        <v>31465</v>
      </c>
      <c r="I5905" s="20">
        <v>23.007000000000001</v>
      </c>
      <c r="J5905" s="44" t="s">
        <v>8</v>
      </c>
      <c r="K5905" s="23" t="s">
        <v>8</v>
      </c>
      <c r="L5905" s="23" t="s">
        <v>8</v>
      </c>
      <c r="M5905" s="23" t="s">
        <v>8</v>
      </c>
    </row>
    <row r="5906" spans="1:13" s="21" customFormat="1" x14ac:dyDescent="0.25">
      <c r="A5906" s="22" t="s">
        <v>8</v>
      </c>
      <c r="B5906" s="18" t="str">
        <f>"225260"</f>
        <v>225260</v>
      </c>
      <c r="C5906" s="19" t="s">
        <v>5826</v>
      </c>
      <c r="D5906" s="19" t="s">
        <v>21331</v>
      </c>
      <c r="E5906" s="19" t="s">
        <v>31405</v>
      </c>
      <c r="F5906" s="19" t="s">
        <v>35995</v>
      </c>
      <c r="G5906" s="18" t="str">
        <f>"01757"</f>
        <v>01757</v>
      </c>
      <c r="H5906" s="19" t="s">
        <v>33002</v>
      </c>
      <c r="I5906" s="20">
        <v>19.791</v>
      </c>
      <c r="J5906" s="44" t="s">
        <v>8</v>
      </c>
      <c r="K5906" s="23" t="s">
        <v>8</v>
      </c>
      <c r="L5906" s="23" t="s">
        <v>8</v>
      </c>
      <c r="M5906" s="23" t="s">
        <v>8</v>
      </c>
    </row>
    <row r="5907" spans="1:13" s="21" customFormat="1" x14ac:dyDescent="0.25">
      <c r="A5907" s="22" t="s">
        <v>8</v>
      </c>
      <c r="B5907" s="18" t="str">
        <f>"225262"</f>
        <v>225262</v>
      </c>
      <c r="C5907" s="19" t="s">
        <v>5827</v>
      </c>
      <c r="D5907" s="19" t="s">
        <v>21332</v>
      </c>
      <c r="E5907" s="19" t="s">
        <v>33039</v>
      </c>
      <c r="F5907" s="19" t="s">
        <v>35995</v>
      </c>
      <c r="G5907" s="18" t="str">
        <f>"01089"</f>
        <v>01089</v>
      </c>
      <c r="H5907" s="19" t="s">
        <v>33041</v>
      </c>
      <c r="I5907" s="20">
        <v>20.65</v>
      </c>
      <c r="J5907" s="44" t="s">
        <v>8</v>
      </c>
      <c r="K5907" s="23" t="s">
        <v>8</v>
      </c>
      <c r="L5907" s="23" t="s">
        <v>8</v>
      </c>
      <c r="M5907" s="23" t="s">
        <v>8</v>
      </c>
    </row>
    <row r="5908" spans="1:13" s="21" customFormat="1" x14ac:dyDescent="0.25">
      <c r="A5908" s="22" t="s">
        <v>8</v>
      </c>
      <c r="B5908" s="18" t="str">
        <f>"225263"</f>
        <v>225263</v>
      </c>
      <c r="C5908" s="19" t="s">
        <v>5828</v>
      </c>
      <c r="D5908" s="19" t="s">
        <v>21333</v>
      </c>
      <c r="E5908" s="19" t="s">
        <v>31311</v>
      </c>
      <c r="F5908" s="19" t="s">
        <v>35995</v>
      </c>
      <c r="G5908" s="18" t="str">
        <f>"02169"</f>
        <v>02169</v>
      </c>
      <c r="H5908" s="19" t="s">
        <v>33776</v>
      </c>
      <c r="I5908" s="20">
        <v>21.361999999999998</v>
      </c>
      <c r="J5908" s="44" t="s">
        <v>8</v>
      </c>
      <c r="K5908" s="23" t="s">
        <v>8</v>
      </c>
      <c r="L5908" s="23" t="s">
        <v>8</v>
      </c>
      <c r="M5908" s="23" t="s">
        <v>8</v>
      </c>
    </row>
    <row r="5909" spans="1:13" s="21" customFormat="1" x14ac:dyDescent="0.25">
      <c r="A5909" s="22" t="s">
        <v>8</v>
      </c>
      <c r="B5909" s="18" t="str">
        <f>"225264"</f>
        <v>225264</v>
      </c>
      <c r="C5909" s="19" t="s">
        <v>5829</v>
      </c>
      <c r="D5909" s="19" t="s">
        <v>21334</v>
      </c>
      <c r="E5909" s="19" t="s">
        <v>33040</v>
      </c>
      <c r="F5909" s="19" t="s">
        <v>35995</v>
      </c>
      <c r="G5909" s="18" t="str">
        <f>"02740"</f>
        <v>02740</v>
      </c>
      <c r="H5909" s="19" t="s">
        <v>31434</v>
      </c>
      <c r="I5909" s="20">
        <v>18.433</v>
      </c>
      <c r="J5909" s="44" t="s">
        <v>8</v>
      </c>
      <c r="K5909" s="23" t="s">
        <v>8</v>
      </c>
      <c r="L5909" s="23" t="s">
        <v>8</v>
      </c>
      <c r="M5909" s="23" t="s">
        <v>8</v>
      </c>
    </row>
    <row r="5910" spans="1:13" s="21" customFormat="1" x14ac:dyDescent="0.25">
      <c r="A5910" s="22" t="s">
        <v>8</v>
      </c>
      <c r="B5910" s="18" t="str">
        <f>"225265"</f>
        <v>225265</v>
      </c>
      <c r="C5910" s="19" t="s">
        <v>5830</v>
      </c>
      <c r="D5910" s="19" t="s">
        <v>21335</v>
      </c>
      <c r="E5910" s="19" t="s">
        <v>33041</v>
      </c>
      <c r="F5910" s="19" t="s">
        <v>35995</v>
      </c>
      <c r="G5910" s="18" t="str">
        <f>"01036"</f>
        <v>01036</v>
      </c>
      <c r="H5910" s="19" t="s">
        <v>33041</v>
      </c>
      <c r="I5910" s="20">
        <v>17.21</v>
      </c>
      <c r="J5910" s="44" t="s">
        <v>8</v>
      </c>
      <c r="K5910" s="23" t="s">
        <v>8</v>
      </c>
      <c r="L5910" s="23" t="s">
        <v>8</v>
      </c>
      <c r="M5910" s="23" t="s">
        <v>8</v>
      </c>
    </row>
    <row r="5911" spans="1:13" s="21" customFormat="1" x14ac:dyDescent="0.25">
      <c r="A5911" s="22" t="s">
        <v>8</v>
      </c>
      <c r="B5911" s="18" t="str">
        <f>"225266"</f>
        <v>225266</v>
      </c>
      <c r="C5911" s="19" t="s">
        <v>5831</v>
      </c>
      <c r="D5911" s="19" t="s">
        <v>21336</v>
      </c>
      <c r="E5911" s="19" t="s">
        <v>33042</v>
      </c>
      <c r="F5911" s="19" t="s">
        <v>35995</v>
      </c>
      <c r="G5911" s="18" t="str">
        <f>"02481"</f>
        <v>02481</v>
      </c>
      <c r="H5911" s="19" t="s">
        <v>33776</v>
      </c>
      <c r="I5911" s="20">
        <v>18.48</v>
      </c>
      <c r="J5911" s="44" t="s">
        <v>8</v>
      </c>
      <c r="K5911" s="23" t="s">
        <v>8</v>
      </c>
      <c r="L5911" s="23" t="s">
        <v>8</v>
      </c>
      <c r="M5911" s="23" t="s">
        <v>8</v>
      </c>
    </row>
    <row r="5912" spans="1:13" s="21" customFormat="1" x14ac:dyDescent="0.25">
      <c r="A5912" s="22" t="s">
        <v>8</v>
      </c>
      <c r="B5912" s="18" t="str">
        <f>"225267"</f>
        <v>225267</v>
      </c>
      <c r="C5912" s="19" t="s">
        <v>5832</v>
      </c>
      <c r="D5912" s="19" t="s">
        <v>21337</v>
      </c>
      <c r="E5912" s="19" t="s">
        <v>33033</v>
      </c>
      <c r="F5912" s="19" t="s">
        <v>35995</v>
      </c>
      <c r="G5912" s="18" t="str">
        <f>"02703"</f>
        <v>02703</v>
      </c>
      <c r="H5912" s="19" t="s">
        <v>31434</v>
      </c>
      <c r="I5912" s="20">
        <v>22.451000000000001</v>
      </c>
      <c r="J5912" s="44" t="s">
        <v>8</v>
      </c>
      <c r="K5912" s="23" t="s">
        <v>8</v>
      </c>
      <c r="L5912" s="23" t="s">
        <v>8</v>
      </c>
      <c r="M5912" s="23" t="s">
        <v>8</v>
      </c>
    </row>
    <row r="5913" spans="1:13" s="21" customFormat="1" x14ac:dyDescent="0.25">
      <c r="A5913" s="22" t="s">
        <v>8</v>
      </c>
      <c r="B5913" s="18" t="str">
        <f>"225268"</f>
        <v>225268</v>
      </c>
      <c r="C5913" s="19" t="s">
        <v>5833</v>
      </c>
      <c r="D5913" s="19" t="s">
        <v>21338</v>
      </c>
      <c r="E5913" s="19" t="s">
        <v>32101</v>
      </c>
      <c r="F5913" s="19" t="s">
        <v>35995</v>
      </c>
      <c r="G5913" s="18" t="str">
        <f>"02462"</f>
        <v>02462</v>
      </c>
      <c r="H5913" s="19" t="s">
        <v>36120</v>
      </c>
      <c r="I5913" s="20">
        <v>20.574000000000002</v>
      </c>
      <c r="J5913" s="44" t="s">
        <v>8</v>
      </c>
      <c r="K5913" s="23" t="s">
        <v>8</v>
      </c>
      <c r="L5913" s="23" t="s">
        <v>8</v>
      </c>
      <c r="M5913" s="23" t="s">
        <v>8</v>
      </c>
    </row>
    <row r="5914" spans="1:13" s="21" customFormat="1" x14ac:dyDescent="0.25">
      <c r="A5914" s="22" t="s">
        <v>8</v>
      </c>
      <c r="B5914" s="18" t="str">
        <f>"225269"</f>
        <v>225269</v>
      </c>
      <c r="C5914" s="19" t="s">
        <v>5834</v>
      </c>
      <c r="D5914" s="19" t="s">
        <v>21339</v>
      </c>
      <c r="E5914" s="19" t="s">
        <v>31373</v>
      </c>
      <c r="F5914" s="19" t="s">
        <v>35995</v>
      </c>
      <c r="G5914" s="18" t="str">
        <f>"01040"</f>
        <v>01040</v>
      </c>
      <c r="H5914" s="19" t="s">
        <v>33041</v>
      </c>
      <c r="I5914" s="20">
        <v>18.84</v>
      </c>
      <c r="J5914" s="44" t="s">
        <v>8</v>
      </c>
      <c r="K5914" s="23" t="s">
        <v>8</v>
      </c>
      <c r="L5914" s="23" t="s">
        <v>8</v>
      </c>
      <c r="M5914" s="23" t="s">
        <v>8</v>
      </c>
    </row>
    <row r="5915" spans="1:13" s="21" customFormat="1" x14ac:dyDescent="0.25">
      <c r="A5915" s="22" t="s">
        <v>8</v>
      </c>
      <c r="B5915" s="18" t="str">
        <f>"225270"</f>
        <v>225270</v>
      </c>
      <c r="C5915" s="19" t="s">
        <v>5835</v>
      </c>
      <c r="D5915" s="19" t="s">
        <v>21340</v>
      </c>
      <c r="E5915" s="19" t="s">
        <v>33012</v>
      </c>
      <c r="F5915" s="19" t="s">
        <v>35995</v>
      </c>
      <c r="G5915" s="18" t="str">
        <f>"01915"</f>
        <v>01915</v>
      </c>
      <c r="H5915" s="19" t="s">
        <v>31458</v>
      </c>
      <c r="I5915" s="20">
        <v>18.535</v>
      </c>
      <c r="J5915" s="44" t="s">
        <v>8</v>
      </c>
      <c r="K5915" s="23" t="s">
        <v>8</v>
      </c>
      <c r="L5915" s="23" t="s">
        <v>8</v>
      </c>
      <c r="M5915" s="23" t="s">
        <v>8</v>
      </c>
    </row>
    <row r="5916" spans="1:13" s="21" customFormat="1" x14ac:dyDescent="0.25">
      <c r="A5916" s="22" t="s">
        <v>8</v>
      </c>
      <c r="B5916" s="18" t="str">
        <f>"225271"</f>
        <v>225271</v>
      </c>
      <c r="C5916" s="19" t="s">
        <v>5836</v>
      </c>
      <c r="D5916" s="19" t="s">
        <v>21341</v>
      </c>
      <c r="E5916" s="19" t="s">
        <v>33043</v>
      </c>
      <c r="F5916" s="19" t="s">
        <v>35995</v>
      </c>
      <c r="G5916" s="18" t="str">
        <f>"01950"</f>
        <v>01950</v>
      </c>
      <c r="H5916" s="19" t="s">
        <v>31458</v>
      </c>
      <c r="I5916" s="20">
        <v>17.521999999999998</v>
      </c>
      <c r="J5916" s="44" t="s">
        <v>8</v>
      </c>
      <c r="K5916" s="23" t="s">
        <v>8</v>
      </c>
      <c r="L5916" s="23" t="s">
        <v>8</v>
      </c>
      <c r="M5916" s="23" t="s">
        <v>8</v>
      </c>
    </row>
    <row r="5917" spans="1:13" s="21" customFormat="1" x14ac:dyDescent="0.25">
      <c r="A5917" s="22" t="s">
        <v>8</v>
      </c>
      <c r="B5917" s="18" t="str">
        <f>"225272"</f>
        <v>225272</v>
      </c>
      <c r="C5917" s="19" t="s">
        <v>5837</v>
      </c>
      <c r="D5917" s="19" t="s">
        <v>21342</v>
      </c>
      <c r="E5917" s="19" t="s">
        <v>33044</v>
      </c>
      <c r="F5917" s="19" t="s">
        <v>35995</v>
      </c>
      <c r="G5917" s="18" t="str">
        <f>"02180"</f>
        <v>02180</v>
      </c>
      <c r="H5917" s="19" t="s">
        <v>36120</v>
      </c>
      <c r="I5917" s="20">
        <v>16.960999999999999</v>
      </c>
      <c r="J5917" s="44" t="s">
        <v>8</v>
      </c>
      <c r="K5917" s="23" t="s">
        <v>8</v>
      </c>
      <c r="L5917" s="23" t="s">
        <v>8</v>
      </c>
      <c r="M5917" s="23" t="s">
        <v>8</v>
      </c>
    </row>
    <row r="5918" spans="1:13" s="21" customFormat="1" x14ac:dyDescent="0.25">
      <c r="A5918" s="22" t="s">
        <v>8</v>
      </c>
      <c r="B5918" s="18" t="str">
        <f>"225273"</f>
        <v>225273</v>
      </c>
      <c r="C5918" s="19" t="s">
        <v>5838</v>
      </c>
      <c r="D5918" s="19" t="s">
        <v>21343</v>
      </c>
      <c r="E5918" s="19" t="s">
        <v>32215</v>
      </c>
      <c r="F5918" s="19" t="s">
        <v>35995</v>
      </c>
      <c r="G5918" s="18" t="str">
        <f>"01730"</f>
        <v>01730</v>
      </c>
      <c r="H5918" s="19" t="s">
        <v>36120</v>
      </c>
      <c r="I5918" s="20">
        <v>17.734000000000002</v>
      </c>
      <c r="J5918" s="44" t="s">
        <v>8</v>
      </c>
      <c r="K5918" s="23" t="s">
        <v>8</v>
      </c>
      <c r="L5918" s="23" t="s">
        <v>8</v>
      </c>
      <c r="M5918" s="23" t="s">
        <v>8</v>
      </c>
    </row>
    <row r="5919" spans="1:13" s="21" customFormat="1" x14ac:dyDescent="0.25">
      <c r="A5919" s="22" t="s">
        <v>8</v>
      </c>
      <c r="B5919" s="18" t="str">
        <f>"225274"</f>
        <v>225274</v>
      </c>
      <c r="C5919" s="19" t="s">
        <v>5839</v>
      </c>
      <c r="D5919" s="19" t="s">
        <v>21344</v>
      </c>
      <c r="E5919" s="19" t="s">
        <v>31571</v>
      </c>
      <c r="F5919" s="19" t="s">
        <v>35995</v>
      </c>
      <c r="G5919" s="18" t="str">
        <f>"02186"</f>
        <v>02186</v>
      </c>
      <c r="H5919" s="19" t="s">
        <v>33776</v>
      </c>
      <c r="I5919" s="20">
        <v>17</v>
      </c>
      <c r="J5919" s="44" t="s">
        <v>8</v>
      </c>
      <c r="K5919" s="23" t="s">
        <v>8</v>
      </c>
      <c r="L5919" s="23" t="s">
        <v>8</v>
      </c>
      <c r="M5919" s="23" t="s">
        <v>8</v>
      </c>
    </row>
    <row r="5920" spans="1:13" s="21" customFormat="1" x14ac:dyDescent="0.25">
      <c r="A5920" s="22" t="s">
        <v>8</v>
      </c>
      <c r="B5920" s="18" t="str">
        <f>"225275"</f>
        <v>225275</v>
      </c>
      <c r="C5920" s="19" t="s">
        <v>5840</v>
      </c>
      <c r="D5920" s="19" t="s">
        <v>21345</v>
      </c>
      <c r="E5920" s="19" t="s">
        <v>33034</v>
      </c>
      <c r="F5920" s="19" t="s">
        <v>35995</v>
      </c>
      <c r="G5920" s="18" t="str">
        <f>"01581"</f>
        <v>01581</v>
      </c>
      <c r="H5920" s="19" t="s">
        <v>33002</v>
      </c>
      <c r="I5920" s="20">
        <v>19.812000000000001</v>
      </c>
      <c r="J5920" s="44" t="s">
        <v>8</v>
      </c>
      <c r="K5920" s="23" t="s">
        <v>8</v>
      </c>
      <c r="L5920" s="23" t="s">
        <v>8</v>
      </c>
      <c r="M5920" s="23" t="s">
        <v>8</v>
      </c>
    </row>
    <row r="5921" spans="1:13" s="21" customFormat="1" x14ac:dyDescent="0.25">
      <c r="A5921" s="22" t="s">
        <v>8</v>
      </c>
      <c r="B5921" s="18" t="str">
        <f>"225279"</f>
        <v>225279</v>
      </c>
      <c r="C5921" s="19" t="s">
        <v>5841</v>
      </c>
      <c r="D5921" s="19" t="s">
        <v>21346</v>
      </c>
      <c r="E5921" s="19" t="s">
        <v>33045</v>
      </c>
      <c r="F5921" s="19" t="s">
        <v>35995</v>
      </c>
      <c r="G5921" s="18" t="str">
        <f>"02332"</f>
        <v>02332</v>
      </c>
      <c r="H5921" s="19" t="s">
        <v>31465</v>
      </c>
      <c r="I5921" s="20">
        <v>25.504999999999999</v>
      </c>
      <c r="J5921" s="44" t="s">
        <v>8</v>
      </c>
      <c r="K5921" s="23" t="s">
        <v>8</v>
      </c>
      <c r="L5921" s="23" t="s">
        <v>8</v>
      </c>
      <c r="M5921" s="23" t="s">
        <v>8</v>
      </c>
    </row>
    <row r="5922" spans="1:13" s="21" customFormat="1" x14ac:dyDescent="0.25">
      <c r="A5922" s="22" t="s">
        <v>8</v>
      </c>
      <c r="B5922" s="18" t="str">
        <f>"225281"</f>
        <v>225281</v>
      </c>
      <c r="C5922" s="19" t="s">
        <v>5842</v>
      </c>
      <c r="D5922" s="19" t="s">
        <v>21347</v>
      </c>
      <c r="E5922" s="19" t="s">
        <v>33046</v>
      </c>
      <c r="F5922" s="19" t="s">
        <v>35995</v>
      </c>
      <c r="G5922" s="18" t="str">
        <f>"02492"</f>
        <v>02492</v>
      </c>
      <c r="H5922" s="19" t="s">
        <v>33776</v>
      </c>
      <c r="I5922" s="20">
        <v>20.405999999999999</v>
      </c>
      <c r="J5922" s="44" t="s">
        <v>8</v>
      </c>
      <c r="K5922" s="23" t="s">
        <v>8</v>
      </c>
      <c r="L5922" s="23" t="s">
        <v>8</v>
      </c>
      <c r="M5922" s="23" t="s">
        <v>8</v>
      </c>
    </row>
    <row r="5923" spans="1:13" s="21" customFormat="1" x14ac:dyDescent="0.25">
      <c r="A5923" s="22" t="s">
        <v>8</v>
      </c>
      <c r="B5923" s="18" t="str">
        <f>"225282"</f>
        <v>225282</v>
      </c>
      <c r="C5923" s="19" t="s">
        <v>5843</v>
      </c>
      <c r="D5923" s="19" t="s">
        <v>21348</v>
      </c>
      <c r="E5923" s="19" t="s">
        <v>33047</v>
      </c>
      <c r="F5923" s="19" t="s">
        <v>35995</v>
      </c>
      <c r="G5923" s="18" t="str">
        <f>"02066"</f>
        <v>02066</v>
      </c>
      <c r="H5923" s="19" t="s">
        <v>31465</v>
      </c>
      <c r="I5923" s="20">
        <v>22.82</v>
      </c>
      <c r="J5923" s="44" t="s">
        <v>8</v>
      </c>
      <c r="K5923" s="23" t="s">
        <v>8</v>
      </c>
      <c r="L5923" s="23" t="s">
        <v>8</v>
      </c>
      <c r="M5923" s="23" t="s">
        <v>8</v>
      </c>
    </row>
    <row r="5924" spans="1:13" s="21" customFormat="1" x14ac:dyDescent="0.25">
      <c r="A5924" s="22" t="s">
        <v>8</v>
      </c>
      <c r="B5924" s="18" t="str">
        <f>"225283"</f>
        <v>225283</v>
      </c>
      <c r="C5924" s="19" t="s">
        <v>5844</v>
      </c>
      <c r="D5924" s="19" t="s">
        <v>21349</v>
      </c>
      <c r="E5924" s="19" t="s">
        <v>33048</v>
      </c>
      <c r="F5924" s="19" t="s">
        <v>35995</v>
      </c>
      <c r="G5924" s="18" t="str">
        <f>"01570"</f>
        <v>01570</v>
      </c>
      <c r="H5924" s="19" t="s">
        <v>33002</v>
      </c>
      <c r="I5924" s="20">
        <v>20.353999999999999</v>
      </c>
      <c r="J5924" s="44" t="s">
        <v>8</v>
      </c>
      <c r="K5924" s="23" t="s">
        <v>8</v>
      </c>
      <c r="L5924" s="23" t="s">
        <v>8</v>
      </c>
      <c r="M5924" s="23" t="s">
        <v>8</v>
      </c>
    </row>
    <row r="5925" spans="1:13" s="21" customFormat="1" x14ac:dyDescent="0.25">
      <c r="A5925" s="22" t="s">
        <v>8</v>
      </c>
      <c r="B5925" s="18" t="str">
        <f>"225284"</f>
        <v>225284</v>
      </c>
      <c r="C5925" s="19" t="s">
        <v>5845</v>
      </c>
      <c r="D5925" s="19" t="s">
        <v>21350</v>
      </c>
      <c r="E5925" s="19" t="s">
        <v>31465</v>
      </c>
      <c r="F5925" s="19" t="s">
        <v>35995</v>
      </c>
      <c r="G5925" s="18" t="str">
        <f>"02360"</f>
        <v>02360</v>
      </c>
      <c r="H5925" s="19" t="s">
        <v>31465</v>
      </c>
      <c r="I5925" s="20">
        <v>19.495000000000001</v>
      </c>
      <c r="J5925" s="44" t="s">
        <v>8</v>
      </c>
      <c r="K5925" s="23" t="s">
        <v>8</v>
      </c>
      <c r="L5925" s="23" t="s">
        <v>8</v>
      </c>
      <c r="M5925" s="23" t="s">
        <v>8</v>
      </c>
    </row>
    <row r="5926" spans="1:13" s="21" customFormat="1" x14ac:dyDescent="0.25">
      <c r="A5926" s="22" t="s">
        <v>8</v>
      </c>
      <c r="B5926" s="18" t="str">
        <f>"225286"</f>
        <v>225286</v>
      </c>
      <c r="C5926" s="19" t="s">
        <v>5846</v>
      </c>
      <c r="D5926" s="19" t="s">
        <v>21351</v>
      </c>
      <c r="E5926" s="19" t="s">
        <v>33019</v>
      </c>
      <c r="F5926" s="19" t="s">
        <v>35995</v>
      </c>
      <c r="G5926" s="18" t="str">
        <f>"01001"</f>
        <v>01001</v>
      </c>
      <c r="H5926" s="19" t="s">
        <v>33041</v>
      </c>
      <c r="I5926" s="20">
        <v>17.364999999999998</v>
      </c>
      <c r="J5926" s="44" t="s">
        <v>8</v>
      </c>
      <c r="K5926" s="23" t="s">
        <v>8</v>
      </c>
      <c r="L5926" s="23" t="s">
        <v>8</v>
      </c>
      <c r="M5926" s="23" t="s">
        <v>8</v>
      </c>
    </row>
    <row r="5927" spans="1:13" s="21" customFormat="1" x14ac:dyDescent="0.25">
      <c r="A5927" s="22" t="s">
        <v>8</v>
      </c>
      <c r="B5927" s="18" t="str">
        <f>"225287"</f>
        <v>225287</v>
      </c>
      <c r="C5927" s="19" t="s">
        <v>5847</v>
      </c>
      <c r="D5927" s="19" t="s">
        <v>21352</v>
      </c>
      <c r="E5927" s="19" t="s">
        <v>32273</v>
      </c>
      <c r="F5927" s="19" t="s">
        <v>35995</v>
      </c>
      <c r="G5927" s="18" t="str">
        <f>"01854"</f>
        <v>01854</v>
      </c>
      <c r="H5927" s="19" t="s">
        <v>36120</v>
      </c>
      <c r="I5927" s="20">
        <v>21.347999999999999</v>
      </c>
      <c r="J5927" s="44" t="s">
        <v>8</v>
      </c>
      <c r="K5927" s="23" t="s">
        <v>8</v>
      </c>
      <c r="L5927" s="23" t="s">
        <v>8</v>
      </c>
      <c r="M5927" s="23" t="s">
        <v>8</v>
      </c>
    </row>
    <row r="5928" spans="1:13" s="21" customFormat="1" x14ac:dyDescent="0.25">
      <c r="A5928" s="22" t="s">
        <v>8</v>
      </c>
      <c r="B5928" s="18" t="str">
        <f>"225288"</f>
        <v>225288</v>
      </c>
      <c r="C5928" s="19" t="s">
        <v>5848</v>
      </c>
      <c r="D5928" s="19" t="s">
        <v>21353</v>
      </c>
      <c r="E5928" s="19" t="s">
        <v>32692</v>
      </c>
      <c r="F5928" s="19" t="s">
        <v>35995</v>
      </c>
      <c r="G5928" s="18" t="str">
        <f>"02420"</f>
        <v>02420</v>
      </c>
      <c r="H5928" s="19" t="s">
        <v>36120</v>
      </c>
      <c r="I5928" s="20">
        <v>17.690999999999999</v>
      </c>
      <c r="J5928" s="44" t="s">
        <v>8</v>
      </c>
      <c r="K5928" s="23" t="s">
        <v>8</v>
      </c>
      <c r="L5928" s="23" t="s">
        <v>8</v>
      </c>
      <c r="M5928" s="23" t="s">
        <v>8</v>
      </c>
    </row>
    <row r="5929" spans="1:13" s="21" customFormat="1" x14ac:dyDescent="0.25">
      <c r="A5929" s="22" t="s">
        <v>8</v>
      </c>
      <c r="B5929" s="18" t="str">
        <f>"225290"</f>
        <v>225290</v>
      </c>
      <c r="C5929" s="19" t="s">
        <v>5849</v>
      </c>
      <c r="D5929" s="19" t="s">
        <v>21354</v>
      </c>
      <c r="E5929" s="19" t="s">
        <v>33027</v>
      </c>
      <c r="F5929" s="19" t="s">
        <v>35995</v>
      </c>
      <c r="G5929" s="18" t="str">
        <f>"01832"</f>
        <v>01832</v>
      </c>
      <c r="H5929" s="19" t="s">
        <v>31458</v>
      </c>
      <c r="I5929" s="20">
        <v>18.734000000000002</v>
      </c>
      <c r="J5929" s="44" t="s">
        <v>8</v>
      </c>
      <c r="K5929" s="23" t="s">
        <v>8</v>
      </c>
      <c r="L5929" s="23" t="s">
        <v>8</v>
      </c>
      <c r="M5929" s="23" t="s">
        <v>8</v>
      </c>
    </row>
    <row r="5930" spans="1:13" s="21" customFormat="1" x14ac:dyDescent="0.25">
      <c r="A5930" s="22" t="s">
        <v>8</v>
      </c>
      <c r="B5930" s="18" t="str">
        <f>"225291"</f>
        <v>225291</v>
      </c>
      <c r="C5930" s="19" t="s">
        <v>5850</v>
      </c>
      <c r="D5930" s="19" t="s">
        <v>21355</v>
      </c>
      <c r="E5930" s="19" t="s">
        <v>31717</v>
      </c>
      <c r="F5930" s="19" t="s">
        <v>35995</v>
      </c>
      <c r="G5930" s="18" t="str">
        <f>"01104"</f>
        <v>01104</v>
      </c>
      <c r="H5930" s="19" t="s">
        <v>33041</v>
      </c>
      <c r="I5930" s="20">
        <v>18.998999999999999</v>
      </c>
      <c r="J5930" s="44" t="s">
        <v>8</v>
      </c>
      <c r="K5930" s="23" t="s">
        <v>8</v>
      </c>
      <c r="L5930" s="23" t="s">
        <v>8</v>
      </c>
      <c r="M5930" s="23" t="s">
        <v>8</v>
      </c>
    </row>
    <row r="5931" spans="1:13" s="21" customFormat="1" x14ac:dyDescent="0.25">
      <c r="A5931" s="22" t="s">
        <v>8</v>
      </c>
      <c r="B5931" s="18" t="str">
        <f>"225293"</f>
        <v>225293</v>
      </c>
      <c r="C5931" s="19" t="s">
        <v>5851</v>
      </c>
      <c r="D5931" s="19" t="s">
        <v>21356</v>
      </c>
      <c r="E5931" s="19" t="s">
        <v>33049</v>
      </c>
      <c r="F5931" s="19" t="s">
        <v>35995</v>
      </c>
      <c r="G5931" s="18" t="str">
        <f>"01550"</f>
        <v>01550</v>
      </c>
      <c r="H5931" s="19" t="s">
        <v>33002</v>
      </c>
      <c r="I5931" s="20">
        <v>19.532</v>
      </c>
      <c r="J5931" s="44" t="s">
        <v>8</v>
      </c>
      <c r="K5931" s="23" t="s">
        <v>8</v>
      </c>
      <c r="L5931" s="23" t="s">
        <v>8</v>
      </c>
      <c r="M5931" s="23" t="s">
        <v>8</v>
      </c>
    </row>
    <row r="5932" spans="1:13" s="21" customFormat="1" x14ac:dyDescent="0.25">
      <c r="A5932" s="22" t="s">
        <v>8</v>
      </c>
      <c r="B5932" s="18" t="str">
        <f>"225294"</f>
        <v>225294</v>
      </c>
      <c r="C5932" s="19" t="s">
        <v>5852</v>
      </c>
      <c r="D5932" s="19" t="s">
        <v>21357</v>
      </c>
      <c r="E5932" s="19" t="s">
        <v>32569</v>
      </c>
      <c r="F5932" s="19" t="s">
        <v>35995</v>
      </c>
      <c r="G5932" s="18" t="str">
        <f>"01810"</f>
        <v>01810</v>
      </c>
      <c r="H5932" s="19" t="s">
        <v>31458</v>
      </c>
      <c r="I5932" s="20">
        <v>20.12</v>
      </c>
      <c r="J5932" s="44" t="s">
        <v>8</v>
      </c>
      <c r="K5932" s="23" t="s">
        <v>8</v>
      </c>
      <c r="L5932" s="23" t="s">
        <v>8</v>
      </c>
      <c r="M5932" s="23" t="s">
        <v>8</v>
      </c>
    </row>
    <row r="5933" spans="1:13" s="21" customFormat="1" x14ac:dyDescent="0.25">
      <c r="A5933" s="22" t="s">
        <v>8</v>
      </c>
      <c r="B5933" s="18" t="str">
        <f>"225295"</f>
        <v>225295</v>
      </c>
      <c r="C5933" s="19" t="s">
        <v>5853</v>
      </c>
      <c r="D5933" s="19" t="s">
        <v>21358</v>
      </c>
      <c r="E5933" s="19" t="s">
        <v>33050</v>
      </c>
      <c r="F5933" s="19" t="s">
        <v>35995</v>
      </c>
      <c r="G5933" s="18" t="str">
        <f>"01095"</f>
        <v>01095</v>
      </c>
      <c r="H5933" s="19" t="s">
        <v>33041</v>
      </c>
      <c r="I5933" s="20">
        <v>19.678999999999998</v>
      </c>
      <c r="J5933" s="44" t="s">
        <v>8</v>
      </c>
      <c r="K5933" s="23" t="s">
        <v>8</v>
      </c>
      <c r="L5933" s="23" t="s">
        <v>8</v>
      </c>
      <c r="M5933" s="23" t="s">
        <v>8</v>
      </c>
    </row>
    <row r="5934" spans="1:13" s="21" customFormat="1" x14ac:dyDescent="0.25">
      <c r="A5934" s="22" t="s">
        <v>8</v>
      </c>
      <c r="B5934" s="18" t="str">
        <f>"225296"</f>
        <v>225296</v>
      </c>
      <c r="C5934" s="19" t="s">
        <v>5854</v>
      </c>
      <c r="D5934" s="19" t="s">
        <v>21359</v>
      </c>
      <c r="E5934" s="19" t="s">
        <v>33051</v>
      </c>
      <c r="F5934" s="19" t="s">
        <v>35995</v>
      </c>
      <c r="G5934" s="18" t="str">
        <f>"01331"</f>
        <v>01331</v>
      </c>
      <c r="H5934" s="19" t="s">
        <v>33002</v>
      </c>
      <c r="I5934" s="20">
        <v>21.559000000000001</v>
      </c>
      <c r="J5934" s="44" t="s">
        <v>8</v>
      </c>
      <c r="K5934" s="23" t="s">
        <v>8</v>
      </c>
      <c r="L5934" s="23" t="s">
        <v>8</v>
      </c>
      <c r="M5934" s="23" t="s">
        <v>8</v>
      </c>
    </row>
    <row r="5935" spans="1:13" s="21" customFormat="1" x14ac:dyDescent="0.25">
      <c r="A5935" s="22" t="s">
        <v>8</v>
      </c>
      <c r="B5935" s="18" t="str">
        <f>"225297"</f>
        <v>225297</v>
      </c>
      <c r="C5935" s="19" t="s">
        <v>5855</v>
      </c>
      <c r="D5935" s="19" t="s">
        <v>21360</v>
      </c>
      <c r="E5935" s="19" t="s">
        <v>33052</v>
      </c>
      <c r="F5935" s="19" t="s">
        <v>35995</v>
      </c>
      <c r="G5935" s="18" t="str">
        <f>"02151"</f>
        <v>02151</v>
      </c>
      <c r="H5935" s="19" t="s">
        <v>35389</v>
      </c>
      <c r="I5935" s="20">
        <v>22.768000000000001</v>
      </c>
      <c r="J5935" s="44" t="s">
        <v>8</v>
      </c>
      <c r="K5935" s="23" t="s">
        <v>8</v>
      </c>
      <c r="L5935" s="23" t="s">
        <v>8</v>
      </c>
      <c r="M5935" s="23" t="s">
        <v>8</v>
      </c>
    </row>
    <row r="5936" spans="1:13" s="21" customFormat="1" x14ac:dyDescent="0.25">
      <c r="A5936" s="22" t="s">
        <v>8</v>
      </c>
      <c r="B5936" s="18" t="str">
        <f>"225298"</f>
        <v>225298</v>
      </c>
      <c r="C5936" s="19" t="s">
        <v>5856</v>
      </c>
      <c r="D5936" s="19" t="s">
        <v>21361</v>
      </c>
      <c r="E5936" s="19" t="s">
        <v>32273</v>
      </c>
      <c r="F5936" s="19" t="s">
        <v>35995</v>
      </c>
      <c r="G5936" s="18" t="str">
        <f>"01854"</f>
        <v>01854</v>
      </c>
      <c r="H5936" s="19" t="s">
        <v>36120</v>
      </c>
      <c r="I5936" s="20">
        <v>16.914000000000001</v>
      </c>
      <c r="J5936" s="44" t="s">
        <v>8</v>
      </c>
      <c r="K5936" s="23" t="s">
        <v>8</v>
      </c>
      <c r="L5936" s="23" t="s">
        <v>8</v>
      </c>
      <c r="M5936" s="23" t="s">
        <v>8</v>
      </c>
    </row>
    <row r="5937" spans="1:13" s="21" customFormat="1" x14ac:dyDescent="0.25">
      <c r="A5937" s="22" t="s">
        <v>8</v>
      </c>
      <c r="B5937" s="18" t="str">
        <f>"225299"</f>
        <v>225299</v>
      </c>
      <c r="C5937" s="19" t="s">
        <v>5857</v>
      </c>
      <c r="D5937" s="19" t="s">
        <v>21362</v>
      </c>
      <c r="E5937" s="19" t="s">
        <v>33053</v>
      </c>
      <c r="F5937" s="19" t="s">
        <v>35995</v>
      </c>
      <c r="G5937" s="18" t="str">
        <f>"01028"</f>
        <v>01028</v>
      </c>
      <c r="H5937" s="19" t="s">
        <v>33041</v>
      </c>
      <c r="I5937" s="20">
        <v>18.076000000000001</v>
      </c>
      <c r="J5937" s="44" t="s">
        <v>8</v>
      </c>
      <c r="K5937" s="23" t="s">
        <v>8</v>
      </c>
      <c r="L5937" s="23" t="s">
        <v>8</v>
      </c>
      <c r="M5937" s="23" t="s">
        <v>8</v>
      </c>
    </row>
    <row r="5938" spans="1:13" s="21" customFormat="1" x14ac:dyDescent="0.25">
      <c r="A5938" s="22" t="s">
        <v>8</v>
      </c>
      <c r="B5938" s="18" t="str">
        <f>"225300"</f>
        <v>225300</v>
      </c>
      <c r="C5938" s="19" t="s">
        <v>5858</v>
      </c>
      <c r="D5938" s="19" t="s">
        <v>21363</v>
      </c>
      <c r="E5938" s="19" t="s">
        <v>33054</v>
      </c>
      <c r="F5938" s="19" t="s">
        <v>35995</v>
      </c>
      <c r="G5938" s="18" t="str">
        <f>"02149"</f>
        <v>02149</v>
      </c>
      <c r="H5938" s="19" t="s">
        <v>36120</v>
      </c>
      <c r="I5938" s="20">
        <v>20.696000000000002</v>
      </c>
      <c r="J5938" s="44" t="s">
        <v>8</v>
      </c>
      <c r="K5938" s="23" t="s">
        <v>8</v>
      </c>
      <c r="L5938" s="23" t="s">
        <v>8</v>
      </c>
      <c r="M5938" s="23" t="s">
        <v>8</v>
      </c>
    </row>
    <row r="5939" spans="1:13" s="21" customFormat="1" x14ac:dyDescent="0.25">
      <c r="A5939" s="22" t="s">
        <v>8</v>
      </c>
      <c r="B5939" s="18" t="str">
        <f>"225303"</f>
        <v>225303</v>
      </c>
      <c r="C5939" s="19" t="s">
        <v>5859</v>
      </c>
      <c r="D5939" s="19" t="s">
        <v>21364</v>
      </c>
      <c r="E5939" s="19" t="s">
        <v>33053</v>
      </c>
      <c r="F5939" s="19" t="s">
        <v>35995</v>
      </c>
      <c r="G5939" s="18" t="str">
        <f>"01028"</f>
        <v>01028</v>
      </c>
      <c r="H5939" s="19" t="s">
        <v>33041</v>
      </c>
      <c r="I5939" s="20">
        <v>18.09</v>
      </c>
      <c r="J5939" s="44" t="s">
        <v>8</v>
      </c>
      <c r="K5939" s="23" t="s">
        <v>8</v>
      </c>
      <c r="L5939" s="23" t="s">
        <v>8</v>
      </c>
      <c r="M5939" s="23" t="s">
        <v>8</v>
      </c>
    </row>
    <row r="5940" spans="1:13" s="21" customFormat="1" x14ac:dyDescent="0.25">
      <c r="A5940" s="22" t="s">
        <v>8</v>
      </c>
      <c r="B5940" s="18" t="str">
        <f>"225304"</f>
        <v>225304</v>
      </c>
      <c r="C5940" s="19" t="s">
        <v>5860</v>
      </c>
      <c r="D5940" s="19" t="s">
        <v>21365</v>
      </c>
      <c r="E5940" s="19" t="s">
        <v>32220</v>
      </c>
      <c r="F5940" s="19" t="s">
        <v>35995</v>
      </c>
      <c r="G5940" s="18" t="str">
        <f>"01301"</f>
        <v>01301</v>
      </c>
      <c r="H5940" s="19" t="s">
        <v>5</v>
      </c>
      <c r="I5940" s="20">
        <v>18.866</v>
      </c>
      <c r="J5940" s="44" t="s">
        <v>8</v>
      </c>
      <c r="K5940" s="23" t="s">
        <v>8</v>
      </c>
      <c r="L5940" s="23" t="s">
        <v>8</v>
      </c>
      <c r="M5940" s="23" t="s">
        <v>8</v>
      </c>
    </row>
    <row r="5941" spans="1:13" s="21" customFormat="1" x14ac:dyDescent="0.25">
      <c r="A5941" s="22" t="s">
        <v>8</v>
      </c>
      <c r="B5941" s="18" t="str">
        <f>"225305"</f>
        <v>225305</v>
      </c>
      <c r="C5941" s="19" t="s">
        <v>5861</v>
      </c>
      <c r="D5941" s="19" t="s">
        <v>21366</v>
      </c>
      <c r="E5941" s="19" t="s">
        <v>33002</v>
      </c>
      <c r="F5941" s="19" t="s">
        <v>35995</v>
      </c>
      <c r="G5941" s="18" t="str">
        <f>"01610"</f>
        <v>01610</v>
      </c>
      <c r="H5941" s="19" t="s">
        <v>33002</v>
      </c>
      <c r="I5941" s="20">
        <v>18.489999999999998</v>
      </c>
      <c r="J5941" s="44" t="s">
        <v>8</v>
      </c>
      <c r="K5941" s="23" t="s">
        <v>8</v>
      </c>
      <c r="L5941" s="23" t="s">
        <v>8</v>
      </c>
      <c r="M5941" s="23" t="s">
        <v>8</v>
      </c>
    </row>
    <row r="5942" spans="1:13" s="21" customFormat="1" x14ac:dyDescent="0.25">
      <c r="A5942" s="22" t="s">
        <v>8</v>
      </c>
      <c r="B5942" s="18" t="str">
        <f>"225306"</f>
        <v>225306</v>
      </c>
      <c r="C5942" s="19" t="s">
        <v>5862</v>
      </c>
      <c r="D5942" s="19" t="s">
        <v>21367</v>
      </c>
      <c r="E5942" s="19" t="s">
        <v>32107</v>
      </c>
      <c r="F5942" s="19" t="s">
        <v>35995</v>
      </c>
      <c r="G5942" s="18" t="str">
        <f>"01201"</f>
        <v>01201</v>
      </c>
      <c r="H5942" s="19" t="s">
        <v>36411</v>
      </c>
      <c r="I5942" s="20">
        <v>18.701000000000001</v>
      </c>
      <c r="J5942" s="44" t="s">
        <v>8</v>
      </c>
      <c r="K5942" s="23" t="s">
        <v>8</v>
      </c>
      <c r="L5942" s="23" t="s">
        <v>8</v>
      </c>
      <c r="M5942" s="23" t="s">
        <v>8</v>
      </c>
    </row>
    <row r="5943" spans="1:13" s="21" customFormat="1" x14ac:dyDescent="0.25">
      <c r="A5943" s="22" t="s">
        <v>8</v>
      </c>
      <c r="B5943" s="18" t="str">
        <f>"225309"</f>
        <v>225309</v>
      </c>
      <c r="C5943" s="19" t="s">
        <v>5863</v>
      </c>
      <c r="D5943" s="19" t="s">
        <v>21368</v>
      </c>
      <c r="E5943" s="19" t="s">
        <v>33012</v>
      </c>
      <c r="F5943" s="19" t="s">
        <v>35995</v>
      </c>
      <c r="G5943" s="18" t="str">
        <f>"01915"</f>
        <v>01915</v>
      </c>
      <c r="H5943" s="19" t="s">
        <v>31458</v>
      </c>
      <c r="I5943" s="20">
        <v>20.77</v>
      </c>
      <c r="J5943" s="44" t="s">
        <v>8</v>
      </c>
      <c r="K5943" s="23" t="s">
        <v>8</v>
      </c>
      <c r="L5943" s="23" t="s">
        <v>8</v>
      </c>
      <c r="M5943" s="23" t="s">
        <v>8</v>
      </c>
    </row>
    <row r="5944" spans="1:13" s="21" customFormat="1" x14ac:dyDescent="0.25">
      <c r="A5944" s="22" t="s">
        <v>8</v>
      </c>
      <c r="B5944" s="18" t="str">
        <f>"225312"</f>
        <v>225312</v>
      </c>
      <c r="C5944" s="19" t="s">
        <v>5864</v>
      </c>
      <c r="D5944" s="19" t="s">
        <v>21369</v>
      </c>
      <c r="E5944" s="19" t="s">
        <v>33055</v>
      </c>
      <c r="F5944" s="19" t="s">
        <v>35995</v>
      </c>
      <c r="G5944" s="18" t="str">
        <f>"01588"</f>
        <v>01588</v>
      </c>
      <c r="H5944" s="19" t="s">
        <v>33002</v>
      </c>
      <c r="I5944" s="20">
        <v>19.626999999999999</v>
      </c>
      <c r="J5944" s="44" t="s">
        <v>8</v>
      </c>
      <c r="K5944" s="23" t="s">
        <v>8</v>
      </c>
      <c r="L5944" s="23" t="s">
        <v>8</v>
      </c>
      <c r="M5944" s="23" t="s">
        <v>8</v>
      </c>
    </row>
    <row r="5945" spans="1:13" s="21" customFormat="1" x14ac:dyDescent="0.25">
      <c r="A5945" s="22" t="s">
        <v>8</v>
      </c>
      <c r="B5945" s="18" t="str">
        <f>"225313"</f>
        <v>225313</v>
      </c>
      <c r="C5945" s="19" t="s">
        <v>5865</v>
      </c>
      <c r="D5945" s="19" t="s">
        <v>21370</v>
      </c>
      <c r="E5945" s="19" t="s">
        <v>32231</v>
      </c>
      <c r="F5945" s="19" t="s">
        <v>35995</v>
      </c>
      <c r="G5945" s="18" t="str">
        <f>"01085"</f>
        <v>01085</v>
      </c>
      <c r="H5945" s="19" t="s">
        <v>33041</v>
      </c>
      <c r="I5945" s="20">
        <v>15.805</v>
      </c>
      <c r="J5945" s="44" t="s">
        <v>8</v>
      </c>
      <c r="K5945" s="23" t="s">
        <v>8</v>
      </c>
      <c r="L5945" s="23" t="s">
        <v>8</v>
      </c>
      <c r="M5945" s="23" t="s">
        <v>8</v>
      </c>
    </row>
    <row r="5946" spans="1:13" s="21" customFormat="1" x14ac:dyDescent="0.25">
      <c r="A5946" s="22" t="s">
        <v>8</v>
      </c>
      <c r="B5946" s="18" t="str">
        <f>"225314"</f>
        <v>225314</v>
      </c>
      <c r="C5946" s="19" t="s">
        <v>5866</v>
      </c>
      <c r="D5946" s="19" t="s">
        <v>21371</v>
      </c>
      <c r="E5946" s="19" t="s">
        <v>33040</v>
      </c>
      <c r="F5946" s="19" t="s">
        <v>35995</v>
      </c>
      <c r="G5946" s="18" t="str">
        <f>"02745"</f>
        <v>02745</v>
      </c>
      <c r="H5946" s="19" t="s">
        <v>31434</v>
      </c>
      <c r="I5946" s="20">
        <v>18.074999999999999</v>
      </c>
      <c r="J5946" s="44" t="s">
        <v>8</v>
      </c>
      <c r="K5946" s="23" t="s">
        <v>8</v>
      </c>
      <c r="L5946" s="23" t="s">
        <v>8</v>
      </c>
      <c r="M5946" s="23" t="s">
        <v>8</v>
      </c>
    </row>
    <row r="5947" spans="1:13" s="21" customFormat="1" x14ac:dyDescent="0.25">
      <c r="A5947" s="22" t="s">
        <v>8</v>
      </c>
      <c r="B5947" s="18" t="str">
        <f>"225315"</f>
        <v>225315</v>
      </c>
      <c r="C5947" s="19" t="s">
        <v>5867</v>
      </c>
      <c r="D5947" s="19" t="s">
        <v>21372</v>
      </c>
      <c r="E5947" s="19" t="s">
        <v>33026</v>
      </c>
      <c r="F5947" s="19" t="s">
        <v>35995</v>
      </c>
      <c r="G5947" s="18" t="str">
        <f>"01420"</f>
        <v>01420</v>
      </c>
      <c r="H5947" s="19" t="s">
        <v>33002</v>
      </c>
      <c r="I5947" s="20">
        <v>18.468</v>
      </c>
      <c r="J5947" s="44" t="s">
        <v>8</v>
      </c>
      <c r="K5947" s="23" t="s">
        <v>8</v>
      </c>
      <c r="L5947" s="23" t="s">
        <v>8</v>
      </c>
      <c r="M5947" s="23" t="s">
        <v>8</v>
      </c>
    </row>
    <row r="5948" spans="1:13" s="21" customFormat="1" x14ac:dyDescent="0.25">
      <c r="A5948" s="22" t="s">
        <v>8</v>
      </c>
      <c r="B5948" s="18" t="str">
        <f>"225317"</f>
        <v>225317</v>
      </c>
      <c r="C5948" s="19" t="s">
        <v>5868</v>
      </c>
      <c r="D5948" s="19" t="s">
        <v>21373</v>
      </c>
      <c r="E5948" s="19" t="s">
        <v>33022</v>
      </c>
      <c r="F5948" s="19" t="s">
        <v>35995</v>
      </c>
      <c r="G5948" s="18" t="str">
        <f>"02720"</f>
        <v>02720</v>
      </c>
      <c r="H5948" s="19" t="s">
        <v>31434</v>
      </c>
      <c r="I5948" s="20">
        <v>18.337</v>
      </c>
      <c r="J5948" s="44" t="s">
        <v>8</v>
      </c>
      <c r="K5948" s="23" t="s">
        <v>8</v>
      </c>
      <c r="L5948" s="23" t="s">
        <v>8</v>
      </c>
      <c r="M5948" s="23" t="s">
        <v>8</v>
      </c>
    </row>
    <row r="5949" spans="1:13" s="21" customFormat="1" x14ac:dyDescent="0.25">
      <c r="A5949" s="22" t="s">
        <v>8</v>
      </c>
      <c r="B5949" s="18" t="str">
        <f>"225318"</f>
        <v>225318</v>
      </c>
      <c r="C5949" s="19" t="s">
        <v>5869</v>
      </c>
      <c r="D5949" s="19" t="s">
        <v>21374</v>
      </c>
      <c r="E5949" s="19" t="s">
        <v>33030</v>
      </c>
      <c r="F5949" s="19" t="s">
        <v>35995</v>
      </c>
      <c r="G5949" s="18" t="str">
        <f>"01913"</f>
        <v>01913</v>
      </c>
      <c r="H5949" s="19" t="s">
        <v>31458</v>
      </c>
      <c r="I5949" s="20">
        <v>21.427</v>
      </c>
      <c r="J5949" s="44" t="s">
        <v>8</v>
      </c>
      <c r="K5949" s="23" t="s">
        <v>8</v>
      </c>
      <c r="L5949" s="23" t="s">
        <v>8</v>
      </c>
      <c r="M5949" s="23" t="s">
        <v>8</v>
      </c>
    </row>
    <row r="5950" spans="1:13" s="21" customFormat="1" x14ac:dyDescent="0.25">
      <c r="A5950" s="22" t="s">
        <v>8</v>
      </c>
      <c r="B5950" s="18" t="str">
        <f>"225319"</f>
        <v>225319</v>
      </c>
      <c r="C5950" s="19" t="s">
        <v>5870</v>
      </c>
      <c r="D5950" s="19" t="s">
        <v>21375</v>
      </c>
      <c r="E5950" s="19" t="s">
        <v>33056</v>
      </c>
      <c r="F5950" s="19" t="s">
        <v>35995</v>
      </c>
      <c r="G5950" s="18" t="str">
        <f>"02465"</f>
        <v>02465</v>
      </c>
      <c r="H5950" s="19" t="s">
        <v>36120</v>
      </c>
      <c r="I5950" s="20">
        <v>19.745999999999999</v>
      </c>
      <c r="J5950" s="44" t="s">
        <v>8</v>
      </c>
      <c r="K5950" s="23" t="s">
        <v>8</v>
      </c>
      <c r="L5950" s="23" t="s">
        <v>8</v>
      </c>
      <c r="M5950" s="23" t="s">
        <v>8</v>
      </c>
    </row>
    <row r="5951" spans="1:13" s="21" customFormat="1" x14ac:dyDescent="0.25">
      <c r="A5951" s="22" t="s">
        <v>8</v>
      </c>
      <c r="B5951" s="18" t="str">
        <f>"225320"</f>
        <v>225320</v>
      </c>
      <c r="C5951" s="19" t="s">
        <v>5871</v>
      </c>
      <c r="D5951" s="19" t="s">
        <v>21376</v>
      </c>
      <c r="E5951" s="19" t="s">
        <v>33057</v>
      </c>
      <c r="F5951" s="19" t="s">
        <v>35995</v>
      </c>
      <c r="G5951" s="18" t="str">
        <f>"02660"</f>
        <v>02660</v>
      </c>
      <c r="H5951" s="19" t="s">
        <v>36413</v>
      </c>
      <c r="I5951" s="20">
        <v>17.006</v>
      </c>
      <c r="J5951" s="44" t="s">
        <v>8</v>
      </c>
      <c r="K5951" s="23" t="s">
        <v>8</v>
      </c>
      <c r="L5951" s="23" t="s">
        <v>8</v>
      </c>
      <c r="M5951" s="23" t="s">
        <v>8</v>
      </c>
    </row>
    <row r="5952" spans="1:13" s="21" customFormat="1" x14ac:dyDescent="0.25">
      <c r="A5952" s="22" t="s">
        <v>8</v>
      </c>
      <c r="B5952" s="18" t="str">
        <f>"225321"</f>
        <v>225321</v>
      </c>
      <c r="C5952" s="19" t="s">
        <v>5872</v>
      </c>
      <c r="D5952" s="19" t="s">
        <v>21377</v>
      </c>
      <c r="E5952" s="19" t="s">
        <v>33058</v>
      </c>
      <c r="F5952" s="19" t="s">
        <v>35995</v>
      </c>
      <c r="G5952" s="18" t="str">
        <f>"02026"</f>
        <v>02026</v>
      </c>
      <c r="H5952" s="19" t="s">
        <v>33776</v>
      </c>
      <c r="I5952" s="20">
        <v>15.75</v>
      </c>
      <c r="J5952" s="44" t="s">
        <v>8</v>
      </c>
      <c r="K5952" s="23" t="s">
        <v>8</v>
      </c>
      <c r="L5952" s="23" t="s">
        <v>8</v>
      </c>
      <c r="M5952" s="23" t="s">
        <v>8</v>
      </c>
    </row>
    <row r="5953" spans="1:13" s="21" customFormat="1" x14ac:dyDescent="0.25">
      <c r="A5953" s="22" t="s">
        <v>8</v>
      </c>
      <c r="B5953" s="18" t="str">
        <f>"225322"</f>
        <v>225322</v>
      </c>
      <c r="C5953" s="19" t="s">
        <v>5873</v>
      </c>
      <c r="D5953" s="19" t="s">
        <v>21378</v>
      </c>
      <c r="E5953" s="19" t="s">
        <v>33059</v>
      </c>
      <c r="F5953" s="19" t="s">
        <v>35995</v>
      </c>
      <c r="G5953" s="18" t="str">
        <f>"02333"</f>
        <v>02333</v>
      </c>
      <c r="H5953" s="19" t="s">
        <v>31465</v>
      </c>
      <c r="I5953" s="20">
        <v>22.164000000000001</v>
      </c>
      <c r="J5953" s="44" t="s">
        <v>8</v>
      </c>
      <c r="K5953" s="23" t="s">
        <v>8</v>
      </c>
      <c r="L5953" s="23" t="s">
        <v>8</v>
      </c>
      <c r="M5953" s="23" t="s">
        <v>8</v>
      </c>
    </row>
    <row r="5954" spans="1:13" s="21" customFormat="1" x14ac:dyDescent="0.25">
      <c r="A5954" s="22" t="s">
        <v>8</v>
      </c>
      <c r="B5954" s="18" t="str">
        <f>"225323"</f>
        <v>225323</v>
      </c>
      <c r="C5954" s="19" t="s">
        <v>5874</v>
      </c>
      <c r="D5954" s="19" t="s">
        <v>21379</v>
      </c>
      <c r="E5954" s="19" t="s">
        <v>32649</v>
      </c>
      <c r="F5954" s="19" t="s">
        <v>35995</v>
      </c>
      <c r="G5954" s="18" t="str">
        <f>"01960"</f>
        <v>01960</v>
      </c>
      <c r="H5954" s="19" t="s">
        <v>31458</v>
      </c>
      <c r="I5954" s="20">
        <v>22.867999999999999</v>
      </c>
      <c r="J5954" s="44" t="s">
        <v>8</v>
      </c>
      <c r="K5954" s="23" t="s">
        <v>8</v>
      </c>
      <c r="L5954" s="23" t="s">
        <v>8</v>
      </c>
      <c r="M5954" s="23" t="s">
        <v>8</v>
      </c>
    </row>
    <row r="5955" spans="1:13" s="21" customFormat="1" x14ac:dyDescent="0.25">
      <c r="A5955" s="22" t="s">
        <v>8</v>
      </c>
      <c r="B5955" s="18" t="str">
        <f>"225324"</f>
        <v>225324</v>
      </c>
      <c r="C5955" s="19" t="s">
        <v>5875</v>
      </c>
      <c r="D5955" s="19" t="s">
        <v>21380</v>
      </c>
      <c r="E5955" s="19" t="s">
        <v>33056</v>
      </c>
      <c r="F5955" s="19" t="s">
        <v>35995</v>
      </c>
      <c r="G5955" s="18" t="str">
        <f>"02465"</f>
        <v>02465</v>
      </c>
      <c r="H5955" s="19" t="s">
        <v>36120</v>
      </c>
      <c r="I5955" s="20">
        <v>22.010999999999999</v>
      </c>
      <c r="J5955" s="44" t="s">
        <v>8</v>
      </c>
      <c r="K5955" s="23" t="s">
        <v>8</v>
      </c>
      <c r="L5955" s="23" t="s">
        <v>8</v>
      </c>
      <c r="M5955" s="23" t="s">
        <v>8</v>
      </c>
    </row>
    <row r="5956" spans="1:13" s="21" customFormat="1" x14ac:dyDescent="0.25">
      <c r="A5956" s="22" t="s">
        <v>8</v>
      </c>
      <c r="B5956" s="18" t="str">
        <f>"225326"</f>
        <v>225326</v>
      </c>
      <c r="C5956" s="19" t="s">
        <v>5876</v>
      </c>
      <c r="D5956" s="19" t="s">
        <v>21381</v>
      </c>
      <c r="E5956" s="19" t="s">
        <v>31476</v>
      </c>
      <c r="F5956" s="19" t="s">
        <v>35995</v>
      </c>
      <c r="G5956" s="18" t="str">
        <f>"01752"</f>
        <v>01752</v>
      </c>
      <c r="H5956" s="19" t="s">
        <v>36120</v>
      </c>
      <c r="I5956" s="20">
        <v>19.603000000000002</v>
      </c>
      <c r="J5956" s="44" t="s">
        <v>8</v>
      </c>
      <c r="K5956" s="23" t="s">
        <v>8</v>
      </c>
      <c r="L5956" s="23" t="s">
        <v>8</v>
      </c>
      <c r="M5956" s="23" t="s">
        <v>8</v>
      </c>
    </row>
    <row r="5957" spans="1:13" s="21" customFormat="1" x14ac:dyDescent="0.25">
      <c r="A5957" s="22" t="s">
        <v>8</v>
      </c>
      <c r="B5957" s="18" t="str">
        <f>"225328"</f>
        <v>225328</v>
      </c>
      <c r="C5957" s="19" t="s">
        <v>5877</v>
      </c>
      <c r="D5957" s="19" t="s">
        <v>21382</v>
      </c>
      <c r="E5957" s="19" t="s">
        <v>33040</v>
      </c>
      <c r="F5957" s="19" t="s">
        <v>35995</v>
      </c>
      <c r="G5957" s="18" t="str">
        <f>"02745"</f>
        <v>02745</v>
      </c>
      <c r="H5957" s="19" t="s">
        <v>31434</v>
      </c>
      <c r="I5957" s="20">
        <v>18.908999999999999</v>
      </c>
      <c r="J5957" s="44" t="s">
        <v>8</v>
      </c>
      <c r="K5957" s="23" t="s">
        <v>8</v>
      </c>
      <c r="L5957" s="23" t="s">
        <v>8</v>
      </c>
      <c r="M5957" s="23" t="s">
        <v>8</v>
      </c>
    </row>
    <row r="5958" spans="1:13" s="21" customFormat="1" x14ac:dyDescent="0.25">
      <c r="A5958" s="22" t="s">
        <v>8</v>
      </c>
      <c r="B5958" s="18" t="str">
        <f>"225329"</f>
        <v>225329</v>
      </c>
      <c r="C5958" s="19" t="s">
        <v>5878</v>
      </c>
      <c r="D5958" s="19" t="s">
        <v>21383</v>
      </c>
      <c r="E5958" s="19" t="s">
        <v>33001</v>
      </c>
      <c r="F5958" s="19" t="s">
        <v>35995</v>
      </c>
      <c r="G5958" s="18" t="str">
        <f>"02176"</f>
        <v>02176</v>
      </c>
      <c r="H5958" s="19" t="s">
        <v>36120</v>
      </c>
      <c r="I5958" s="20">
        <v>19.472000000000001</v>
      </c>
      <c r="J5958" s="44" t="s">
        <v>8</v>
      </c>
      <c r="K5958" s="23" t="s">
        <v>8</v>
      </c>
      <c r="L5958" s="23" t="s">
        <v>8</v>
      </c>
      <c r="M5958" s="23" t="s">
        <v>8</v>
      </c>
    </row>
    <row r="5959" spans="1:13" s="21" customFormat="1" x14ac:dyDescent="0.25">
      <c r="A5959" s="22" t="s">
        <v>8</v>
      </c>
      <c r="B5959" s="18" t="str">
        <f>"225330"</f>
        <v>225330</v>
      </c>
      <c r="C5959" s="19" t="s">
        <v>5879</v>
      </c>
      <c r="D5959" s="19" t="s">
        <v>21384</v>
      </c>
      <c r="E5959" s="19" t="s">
        <v>33060</v>
      </c>
      <c r="F5959" s="19" t="s">
        <v>35995</v>
      </c>
      <c r="G5959" s="18" t="str">
        <f>"02650"</f>
        <v>02650</v>
      </c>
      <c r="H5959" s="19" t="s">
        <v>36413</v>
      </c>
      <c r="I5959" s="20">
        <v>19.213000000000001</v>
      </c>
      <c r="J5959" s="44" t="s">
        <v>8</v>
      </c>
      <c r="K5959" s="23" t="s">
        <v>8</v>
      </c>
      <c r="L5959" s="23" t="s">
        <v>8</v>
      </c>
      <c r="M5959" s="23" t="s">
        <v>8</v>
      </c>
    </row>
    <row r="5960" spans="1:13" s="21" customFormat="1" x14ac:dyDescent="0.25">
      <c r="A5960" s="22" t="s">
        <v>8</v>
      </c>
      <c r="B5960" s="18" t="str">
        <f>"225331"</f>
        <v>225331</v>
      </c>
      <c r="C5960" s="19" t="s">
        <v>5880</v>
      </c>
      <c r="D5960" s="19" t="s">
        <v>21385</v>
      </c>
      <c r="E5960" s="19" t="s">
        <v>33053</v>
      </c>
      <c r="F5960" s="19" t="s">
        <v>35995</v>
      </c>
      <c r="G5960" s="18" t="str">
        <f>"01028"</f>
        <v>01028</v>
      </c>
      <c r="H5960" s="19" t="s">
        <v>33041</v>
      </c>
      <c r="I5960" s="20">
        <v>16.707000000000001</v>
      </c>
      <c r="J5960" s="44" t="s">
        <v>8</v>
      </c>
      <c r="K5960" s="23" t="s">
        <v>8</v>
      </c>
      <c r="L5960" s="23" t="s">
        <v>8</v>
      </c>
      <c r="M5960" s="23" t="s">
        <v>8</v>
      </c>
    </row>
    <row r="5961" spans="1:13" s="21" customFormat="1" x14ac:dyDescent="0.25">
      <c r="A5961" s="22" t="s">
        <v>8</v>
      </c>
      <c r="B5961" s="18" t="str">
        <f>"225332"</f>
        <v>225332</v>
      </c>
      <c r="C5961" s="19" t="s">
        <v>5881</v>
      </c>
      <c r="D5961" s="19" t="s">
        <v>21386</v>
      </c>
      <c r="E5961" s="19" t="s">
        <v>33043</v>
      </c>
      <c r="F5961" s="19" t="s">
        <v>35995</v>
      </c>
      <c r="G5961" s="18" t="str">
        <f>"01950"</f>
        <v>01950</v>
      </c>
      <c r="H5961" s="19" t="s">
        <v>31458</v>
      </c>
      <c r="I5961" s="20">
        <v>22.472000000000001</v>
      </c>
      <c r="J5961" s="44" t="s">
        <v>8</v>
      </c>
      <c r="K5961" s="23" t="s">
        <v>8</v>
      </c>
      <c r="L5961" s="23" t="s">
        <v>8</v>
      </c>
      <c r="M5961" s="23" t="s">
        <v>8</v>
      </c>
    </row>
    <row r="5962" spans="1:13" s="21" customFormat="1" x14ac:dyDescent="0.25">
      <c r="A5962" s="22" t="s">
        <v>8</v>
      </c>
      <c r="B5962" s="18" t="str">
        <f>"225333"</f>
        <v>225333</v>
      </c>
      <c r="C5962" s="19" t="s">
        <v>5882</v>
      </c>
      <c r="D5962" s="19" t="s">
        <v>21387</v>
      </c>
      <c r="E5962" s="19" t="s">
        <v>33061</v>
      </c>
      <c r="F5962" s="19" t="s">
        <v>35995</v>
      </c>
      <c r="G5962" s="18" t="str">
        <f>"01844"</f>
        <v>01844</v>
      </c>
      <c r="H5962" s="19" t="s">
        <v>31458</v>
      </c>
      <c r="I5962" s="20">
        <v>17.864999999999998</v>
      </c>
      <c r="J5962" s="44" t="s">
        <v>8</v>
      </c>
      <c r="K5962" s="23" t="s">
        <v>8</v>
      </c>
      <c r="L5962" s="23" t="s">
        <v>8</v>
      </c>
      <c r="M5962" s="23" t="s">
        <v>8</v>
      </c>
    </row>
    <row r="5963" spans="1:13" s="21" customFormat="1" x14ac:dyDescent="0.25">
      <c r="A5963" s="22" t="s">
        <v>8</v>
      </c>
      <c r="B5963" s="18" t="str">
        <f>"225334"</f>
        <v>225334</v>
      </c>
      <c r="C5963" s="19" t="s">
        <v>5883</v>
      </c>
      <c r="D5963" s="19" t="s">
        <v>21388</v>
      </c>
      <c r="E5963" s="19" t="s">
        <v>33062</v>
      </c>
      <c r="F5963" s="19" t="s">
        <v>35995</v>
      </c>
      <c r="G5963" s="18" t="str">
        <f>"01583"</f>
        <v>01583</v>
      </c>
      <c r="H5963" s="19" t="s">
        <v>33002</v>
      </c>
      <c r="I5963" s="20">
        <v>18.75</v>
      </c>
      <c r="J5963" s="44" t="s">
        <v>8</v>
      </c>
      <c r="K5963" s="23" t="s">
        <v>8</v>
      </c>
      <c r="L5963" s="23" t="s">
        <v>8</v>
      </c>
      <c r="M5963" s="23" t="s">
        <v>8</v>
      </c>
    </row>
    <row r="5964" spans="1:13" s="21" customFormat="1" x14ac:dyDescent="0.25">
      <c r="A5964" s="22" t="s">
        <v>8</v>
      </c>
      <c r="B5964" s="18" t="str">
        <f>"225335"</f>
        <v>225335</v>
      </c>
      <c r="C5964" s="19" t="s">
        <v>5884</v>
      </c>
      <c r="D5964" s="19" t="s">
        <v>21389</v>
      </c>
      <c r="E5964" s="19" t="s">
        <v>32220</v>
      </c>
      <c r="F5964" s="19" t="s">
        <v>35995</v>
      </c>
      <c r="G5964" s="18" t="str">
        <f>"01301"</f>
        <v>01301</v>
      </c>
      <c r="H5964" s="19" t="s">
        <v>5</v>
      </c>
      <c r="I5964" s="20">
        <v>18.72</v>
      </c>
      <c r="J5964" s="44" t="s">
        <v>8</v>
      </c>
      <c r="K5964" s="23" t="s">
        <v>8</v>
      </c>
      <c r="L5964" s="23" t="s">
        <v>8</v>
      </c>
      <c r="M5964" s="23" t="s">
        <v>8</v>
      </c>
    </row>
    <row r="5965" spans="1:13" s="21" customFormat="1" x14ac:dyDescent="0.25">
      <c r="A5965" s="22" t="s">
        <v>8</v>
      </c>
      <c r="B5965" s="18" t="str">
        <f>"225337"</f>
        <v>225337</v>
      </c>
      <c r="C5965" s="19" t="s">
        <v>5885</v>
      </c>
      <c r="D5965" s="19" t="s">
        <v>21390</v>
      </c>
      <c r="E5965" s="19" t="s">
        <v>32074</v>
      </c>
      <c r="F5965" s="19" t="s">
        <v>35995</v>
      </c>
      <c r="G5965" s="18" t="str">
        <f>"02563"</f>
        <v>02563</v>
      </c>
      <c r="H5965" s="19" t="s">
        <v>36413</v>
      </c>
      <c r="I5965" s="20">
        <v>19.623999999999999</v>
      </c>
      <c r="J5965" s="44" t="s">
        <v>8</v>
      </c>
      <c r="K5965" s="23" t="s">
        <v>8</v>
      </c>
      <c r="L5965" s="23" t="s">
        <v>8</v>
      </c>
      <c r="M5965" s="23" t="s">
        <v>8</v>
      </c>
    </row>
    <row r="5966" spans="1:13" s="21" customFormat="1" x14ac:dyDescent="0.25">
      <c r="A5966" s="22" t="s">
        <v>8</v>
      </c>
      <c r="B5966" s="18" t="str">
        <f>"225338"</f>
        <v>225338</v>
      </c>
      <c r="C5966" s="19" t="s">
        <v>5886</v>
      </c>
      <c r="D5966" s="19" t="s">
        <v>21391</v>
      </c>
      <c r="E5966" s="19" t="s">
        <v>32280</v>
      </c>
      <c r="F5966" s="19" t="s">
        <v>35995</v>
      </c>
      <c r="G5966" s="18" t="str">
        <f>"02632"</f>
        <v>02632</v>
      </c>
      <c r="H5966" s="19" t="s">
        <v>36413</v>
      </c>
      <c r="I5966" s="20">
        <v>16.693999999999999</v>
      </c>
      <c r="J5966" s="44" t="s">
        <v>8</v>
      </c>
      <c r="K5966" s="23" t="s">
        <v>8</v>
      </c>
      <c r="L5966" s="23" t="s">
        <v>8</v>
      </c>
      <c r="M5966" s="23" t="s">
        <v>8</v>
      </c>
    </row>
    <row r="5967" spans="1:13" s="21" customFormat="1" x14ac:dyDescent="0.25">
      <c r="A5967" s="22" t="s">
        <v>8</v>
      </c>
      <c r="B5967" s="18" t="str">
        <f>"225339"</f>
        <v>225339</v>
      </c>
      <c r="C5967" s="19" t="s">
        <v>5887</v>
      </c>
      <c r="D5967" s="19" t="s">
        <v>21392</v>
      </c>
      <c r="E5967" s="19" t="s">
        <v>33063</v>
      </c>
      <c r="F5967" s="19" t="s">
        <v>35995</v>
      </c>
      <c r="G5967" s="18" t="str">
        <f>"02155"</f>
        <v>02155</v>
      </c>
      <c r="H5967" s="19" t="s">
        <v>36120</v>
      </c>
      <c r="I5967" s="20">
        <v>18.949000000000002</v>
      </c>
      <c r="J5967" s="44" t="s">
        <v>8</v>
      </c>
      <c r="K5967" s="23" t="s">
        <v>8</v>
      </c>
      <c r="L5967" s="23" t="s">
        <v>8</v>
      </c>
      <c r="M5967" s="23" t="s">
        <v>8</v>
      </c>
    </row>
    <row r="5968" spans="1:13" s="21" customFormat="1" x14ac:dyDescent="0.25">
      <c r="A5968" s="22" t="s">
        <v>8</v>
      </c>
      <c r="B5968" s="18" t="str">
        <f>"225341"</f>
        <v>225341</v>
      </c>
      <c r="C5968" s="19" t="s">
        <v>5888</v>
      </c>
      <c r="D5968" s="19" t="s">
        <v>21393</v>
      </c>
      <c r="E5968" s="19" t="s">
        <v>32734</v>
      </c>
      <c r="F5968" s="19" t="s">
        <v>35995</v>
      </c>
      <c r="G5968" s="18" t="str">
        <f>"01267"</f>
        <v>01267</v>
      </c>
      <c r="H5968" s="19" t="s">
        <v>36411</v>
      </c>
      <c r="I5968" s="20">
        <v>19.207999999999998</v>
      </c>
      <c r="J5968" s="44" t="s">
        <v>8</v>
      </c>
      <c r="K5968" s="23" t="s">
        <v>8</v>
      </c>
      <c r="L5968" s="23" t="s">
        <v>8</v>
      </c>
      <c r="M5968" s="23" t="s">
        <v>8</v>
      </c>
    </row>
    <row r="5969" spans="1:13" s="21" customFormat="1" x14ac:dyDescent="0.25">
      <c r="A5969" s="22" t="s">
        <v>8</v>
      </c>
      <c r="B5969" s="18" t="str">
        <f>"225342"</f>
        <v>225342</v>
      </c>
      <c r="C5969" s="19" t="s">
        <v>5889</v>
      </c>
      <c r="D5969" s="19" t="s">
        <v>21394</v>
      </c>
      <c r="E5969" s="19" t="s">
        <v>33064</v>
      </c>
      <c r="F5969" s="19" t="s">
        <v>35995</v>
      </c>
      <c r="G5969" s="18" t="str">
        <f>"01247"</f>
        <v>01247</v>
      </c>
      <c r="H5969" s="19" t="s">
        <v>36411</v>
      </c>
      <c r="I5969" s="20">
        <v>19.812999999999999</v>
      </c>
      <c r="J5969" s="44" t="s">
        <v>8</v>
      </c>
      <c r="K5969" s="23" t="s">
        <v>8</v>
      </c>
      <c r="L5969" s="23" t="s">
        <v>8</v>
      </c>
      <c r="M5969" s="23" t="s">
        <v>8</v>
      </c>
    </row>
    <row r="5970" spans="1:13" s="21" customFormat="1" x14ac:dyDescent="0.25">
      <c r="A5970" s="22" t="s">
        <v>8</v>
      </c>
      <c r="B5970" s="18" t="str">
        <f>"225343"</f>
        <v>225343</v>
      </c>
      <c r="C5970" s="19" t="s">
        <v>5890</v>
      </c>
      <c r="D5970" s="19" t="s">
        <v>21395</v>
      </c>
      <c r="E5970" s="19" t="s">
        <v>33025</v>
      </c>
      <c r="F5970" s="19" t="s">
        <v>35995</v>
      </c>
      <c r="G5970" s="18" t="str">
        <f>"02062"</f>
        <v>02062</v>
      </c>
      <c r="H5970" s="19" t="s">
        <v>33776</v>
      </c>
      <c r="I5970" s="20">
        <v>20.658999999999999</v>
      </c>
      <c r="J5970" s="44" t="s">
        <v>8</v>
      </c>
      <c r="K5970" s="23" t="s">
        <v>8</v>
      </c>
      <c r="L5970" s="23" t="s">
        <v>8</v>
      </c>
      <c r="M5970" s="23" t="s">
        <v>8</v>
      </c>
    </row>
    <row r="5971" spans="1:13" s="21" customFormat="1" x14ac:dyDescent="0.25">
      <c r="A5971" s="22" t="s">
        <v>8</v>
      </c>
      <c r="B5971" s="18" t="str">
        <f>"225344"</f>
        <v>225344</v>
      </c>
      <c r="C5971" s="19" t="s">
        <v>5891</v>
      </c>
      <c r="D5971" s="19" t="s">
        <v>21396</v>
      </c>
      <c r="E5971" s="19" t="s">
        <v>33065</v>
      </c>
      <c r="F5971" s="19" t="s">
        <v>35995</v>
      </c>
      <c r="G5971" s="18" t="str">
        <f>"01902"</f>
        <v>01902</v>
      </c>
      <c r="H5971" s="19" t="s">
        <v>31458</v>
      </c>
      <c r="I5971" s="20">
        <v>20.213000000000001</v>
      </c>
      <c r="J5971" s="44" t="s">
        <v>8</v>
      </c>
      <c r="K5971" s="23" t="s">
        <v>8</v>
      </c>
      <c r="L5971" s="23" t="s">
        <v>8</v>
      </c>
      <c r="M5971" s="23" t="s">
        <v>8</v>
      </c>
    </row>
    <row r="5972" spans="1:13" s="21" customFormat="1" x14ac:dyDescent="0.25">
      <c r="A5972" s="22" t="s">
        <v>8</v>
      </c>
      <c r="B5972" s="18" t="str">
        <f>"225348"</f>
        <v>225348</v>
      </c>
      <c r="C5972" s="19" t="s">
        <v>5892</v>
      </c>
      <c r="D5972" s="19" t="s">
        <v>21397</v>
      </c>
      <c r="E5972" s="19" t="s">
        <v>33066</v>
      </c>
      <c r="F5972" s="19" t="s">
        <v>35995</v>
      </c>
      <c r="G5972" s="18" t="str">
        <f>"02532"</f>
        <v>02532</v>
      </c>
      <c r="H5972" s="19" t="s">
        <v>36413</v>
      </c>
      <c r="I5972" s="20">
        <v>20.079999999999998</v>
      </c>
      <c r="J5972" s="44" t="s">
        <v>8</v>
      </c>
      <c r="K5972" s="23" t="s">
        <v>8</v>
      </c>
      <c r="L5972" s="23" t="s">
        <v>8</v>
      </c>
      <c r="M5972" s="23" t="s">
        <v>8</v>
      </c>
    </row>
    <row r="5973" spans="1:13" s="21" customFormat="1" x14ac:dyDescent="0.25">
      <c r="A5973" s="22" t="s">
        <v>8</v>
      </c>
      <c r="B5973" s="18" t="str">
        <f>"225349"</f>
        <v>225349</v>
      </c>
      <c r="C5973" s="19" t="s">
        <v>5893</v>
      </c>
      <c r="D5973" s="19" t="s">
        <v>21398</v>
      </c>
      <c r="E5973" s="19" t="s">
        <v>33067</v>
      </c>
      <c r="F5973" s="19" t="s">
        <v>35995</v>
      </c>
      <c r="G5973" s="18" t="str">
        <f>"02664"</f>
        <v>02664</v>
      </c>
      <c r="H5973" s="19" t="s">
        <v>36413</v>
      </c>
      <c r="I5973" s="20">
        <v>17.076000000000001</v>
      </c>
      <c r="J5973" s="44" t="s">
        <v>8</v>
      </c>
      <c r="K5973" s="23" t="s">
        <v>8</v>
      </c>
      <c r="L5973" s="23" t="s">
        <v>8</v>
      </c>
      <c r="M5973" s="23" t="s">
        <v>8</v>
      </c>
    </row>
    <row r="5974" spans="1:13" s="21" customFormat="1" x14ac:dyDescent="0.25">
      <c r="A5974" s="22" t="s">
        <v>8</v>
      </c>
      <c r="B5974" s="18" t="str">
        <f>"225352"</f>
        <v>225352</v>
      </c>
      <c r="C5974" s="19" t="s">
        <v>5894</v>
      </c>
      <c r="D5974" s="19" t="s">
        <v>21399</v>
      </c>
      <c r="E5974" s="19" t="s">
        <v>31373</v>
      </c>
      <c r="F5974" s="19" t="s">
        <v>35995</v>
      </c>
      <c r="G5974" s="18" t="str">
        <f>"01040"</f>
        <v>01040</v>
      </c>
      <c r="H5974" s="19" t="s">
        <v>33041</v>
      </c>
      <c r="I5974" s="20">
        <v>21.119</v>
      </c>
      <c r="J5974" s="44" t="s">
        <v>8</v>
      </c>
      <c r="K5974" s="23" t="s">
        <v>8</v>
      </c>
      <c r="L5974" s="23" t="s">
        <v>8</v>
      </c>
      <c r="M5974" s="23" t="s">
        <v>8</v>
      </c>
    </row>
    <row r="5975" spans="1:13" s="21" customFormat="1" x14ac:dyDescent="0.25">
      <c r="A5975" s="22" t="s">
        <v>8</v>
      </c>
      <c r="B5975" s="18" t="str">
        <f>"225355"</f>
        <v>225355</v>
      </c>
      <c r="C5975" s="19" t="s">
        <v>5895</v>
      </c>
      <c r="D5975" s="19" t="s">
        <v>21400</v>
      </c>
      <c r="E5975" s="19" t="s">
        <v>33005</v>
      </c>
      <c r="F5975" s="19" t="s">
        <v>35995</v>
      </c>
      <c r="G5975" s="18" t="str">
        <f>"01453"</f>
        <v>01453</v>
      </c>
      <c r="H5975" s="19" t="s">
        <v>33002</v>
      </c>
      <c r="I5975" s="20">
        <v>20.276</v>
      </c>
      <c r="J5975" s="44" t="s">
        <v>8</v>
      </c>
      <c r="K5975" s="23" t="s">
        <v>8</v>
      </c>
      <c r="L5975" s="23" t="s">
        <v>8</v>
      </c>
      <c r="M5975" s="23" t="s">
        <v>8</v>
      </c>
    </row>
    <row r="5976" spans="1:13" s="21" customFormat="1" x14ac:dyDescent="0.25">
      <c r="A5976" s="22" t="s">
        <v>8</v>
      </c>
      <c r="B5976" s="18" t="str">
        <f>"225356"</f>
        <v>225356</v>
      </c>
      <c r="C5976" s="19" t="s">
        <v>5896</v>
      </c>
      <c r="D5976" s="19" t="s">
        <v>21401</v>
      </c>
      <c r="E5976" s="19" t="s">
        <v>33068</v>
      </c>
      <c r="F5976" s="19" t="s">
        <v>35995</v>
      </c>
      <c r="G5976" s="18" t="str">
        <f>"02368"</f>
        <v>02368</v>
      </c>
      <c r="H5976" s="19" t="s">
        <v>33776</v>
      </c>
      <c r="I5976" s="20">
        <v>20.652000000000001</v>
      </c>
      <c r="J5976" s="44" t="s">
        <v>8</v>
      </c>
      <c r="K5976" s="23" t="s">
        <v>8</v>
      </c>
      <c r="L5976" s="23" t="s">
        <v>8</v>
      </c>
      <c r="M5976" s="23" t="s">
        <v>8</v>
      </c>
    </row>
    <row r="5977" spans="1:13" s="21" customFormat="1" x14ac:dyDescent="0.25">
      <c r="A5977" s="22" t="s">
        <v>8</v>
      </c>
      <c r="B5977" s="18" t="str">
        <f>"225357"</f>
        <v>225357</v>
      </c>
      <c r="C5977" s="19" t="s">
        <v>5897</v>
      </c>
      <c r="D5977" s="19" t="s">
        <v>21402</v>
      </c>
      <c r="E5977" s="19" t="s">
        <v>32175</v>
      </c>
      <c r="F5977" s="19" t="s">
        <v>35995</v>
      </c>
      <c r="G5977" s="18" t="str">
        <f>"01890"</f>
        <v>01890</v>
      </c>
      <c r="H5977" s="19" t="s">
        <v>36120</v>
      </c>
      <c r="I5977" s="20">
        <v>19.306000000000001</v>
      </c>
      <c r="J5977" s="44" t="s">
        <v>8</v>
      </c>
      <c r="K5977" s="23" t="s">
        <v>8</v>
      </c>
      <c r="L5977" s="23" t="s">
        <v>8</v>
      </c>
      <c r="M5977" s="23" t="s">
        <v>8</v>
      </c>
    </row>
    <row r="5978" spans="1:13" s="21" customFormat="1" x14ac:dyDescent="0.25">
      <c r="A5978" s="22" t="s">
        <v>8</v>
      </c>
      <c r="B5978" s="18" t="str">
        <f>"225360"</f>
        <v>225360</v>
      </c>
      <c r="C5978" s="19" t="s">
        <v>5898</v>
      </c>
      <c r="D5978" s="19" t="s">
        <v>21403</v>
      </c>
      <c r="E5978" s="19" t="s">
        <v>32220</v>
      </c>
      <c r="F5978" s="19" t="s">
        <v>35995</v>
      </c>
      <c r="G5978" s="18" t="str">
        <f>"01301"</f>
        <v>01301</v>
      </c>
      <c r="H5978" s="19" t="s">
        <v>5</v>
      </c>
      <c r="I5978" s="20">
        <v>18.853999999999999</v>
      </c>
      <c r="J5978" s="44" t="s">
        <v>8</v>
      </c>
      <c r="K5978" s="23" t="s">
        <v>8</v>
      </c>
      <c r="L5978" s="23" t="s">
        <v>8</v>
      </c>
      <c r="M5978" s="23" t="s">
        <v>8</v>
      </c>
    </row>
    <row r="5979" spans="1:13" s="21" customFormat="1" x14ac:dyDescent="0.25">
      <c r="A5979" s="22" t="s">
        <v>8</v>
      </c>
      <c r="B5979" s="18" t="str">
        <f>"225361"</f>
        <v>225361</v>
      </c>
      <c r="C5979" s="19" t="s">
        <v>5899</v>
      </c>
      <c r="D5979" s="19" t="s">
        <v>21404</v>
      </c>
      <c r="E5979" s="19" t="s">
        <v>33069</v>
      </c>
      <c r="F5979" s="19" t="s">
        <v>35995</v>
      </c>
      <c r="G5979" s="18" t="str">
        <f>"01585"</f>
        <v>01585</v>
      </c>
      <c r="H5979" s="19" t="s">
        <v>33002</v>
      </c>
      <c r="I5979" s="20">
        <v>18.344999999999999</v>
      </c>
      <c r="J5979" s="44" t="s">
        <v>8</v>
      </c>
      <c r="K5979" s="23" t="s">
        <v>8</v>
      </c>
      <c r="L5979" s="23" t="s">
        <v>8</v>
      </c>
      <c r="M5979" s="23" t="s">
        <v>8</v>
      </c>
    </row>
    <row r="5980" spans="1:13" s="21" customFormat="1" x14ac:dyDescent="0.25">
      <c r="A5980" s="22" t="s">
        <v>8</v>
      </c>
      <c r="B5980" s="18" t="str">
        <f>"225363"</f>
        <v>225363</v>
      </c>
      <c r="C5980" s="19" t="s">
        <v>5900</v>
      </c>
      <c r="D5980" s="19" t="s">
        <v>21405</v>
      </c>
      <c r="E5980" s="19" t="s">
        <v>33070</v>
      </c>
      <c r="F5980" s="19" t="s">
        <v>35995</v>
      </c>
      <c r="G5980" s="18" t="str">
        <f>"01053"</f>
        <v>01053</v>
      </c>
      <c r="H5980" s="19" t="s">
        <v>36412</v>
      </c>
      <c r="I5980" s="20">
        <v>19.971</v>
      </c>
      <c r="J5980" s="44" t="s">
        <v>8</v>
      </c>
      <c r="K5980" s="23" t="s">
        <v>8</v>
      </c>
      <c r="L5980" s="23" t="s">
        <v>8</v>
      </c>
      <c r="M5980" s="23" t="s">
        <v>8</v>
      </c>
    </row>
    <row r="5981" spans="1:13" s="21" customFormat="1" x14ac:dyDescent="0.25">
      <c r="A5981" s="22" t="s">
        <v>8</v>
      </c>
      <c r="B5981" s="18" t="str">
        <f>"225366"</f>
        <v>225366</v>
      </c>
      <c r="C5981" s="19" t="s">
        <v>5901</v>
      </c>
      <c r="D5981" s="19" t="s">
        <v>21406</v>
      </c>
      <c r="E5981" s="19" t="s">
        <v>33040</v>
      </c>
      <c r="F5981" s="19" t="s">
        <v>35995</v>
      </c>
      <c r="G5981" s="18" t="str">
        <f>"02740"</f>
        <v>02740</v>
      </c>
      <c r="H5981" s="19" t="s">
        <v>31434</v>
      </c>
      <c r="I5981" s="20">
        <v>18.823</v>
      </c>
      <c r="J5981" s="44" t="s">
        <v>8</v>
      </c>
      <c r="K5981" s="23" t="s">
        <v>8</v>
      </c>
      <c r="L5981" s="23" t="s">
        <v>8</v>
      </c>
      <c r="M5981" s="23" t="s">
        <v>8</v>
      </c>
    </row>
    <row r="5982" spans="1:13" s="21" customFormat="1" x14ac:dyDescent="0.25">
      <c r="A5982" s="22" t="s">
        <v>8</v>
      </c>
      <c r="B5982" s="18" t="str">
        <f>"225367"</f>
        <v>225367</v>
      </c>
      <c r="C5982" s="19" t="s">
        <v>5902</v>
      </c>
      <c r="D5982" s="19" t="s">
        <v>21407</v>
      </c>
      <c r="E5982" s="19" t="s">
        <v>32692</v>
      </c>
      <c r="F5982" s="19" t="s">
        <v>35995</v>
      </c>
      <c r="G5982" s="18" t="str">
        <f>"02421"</f>
        <v>02421</v>
      </c>
      <c r="H5982" s="19" t="s">
        <v>36120</v>
      </c>
      <c r="I5982" s="20">
        <v>17.577000000000002</v>
      </c>
      <c r="J5982" s="44" t="s">
        <v>8</v>
      </c>
      <c r="K5982" s="23" t="s">
        <v>8</v>
      </c>
      <c r="L5982" s="23" t="s">
        <v>8</v>
      </c>
      <c r="M5982" s="23" t="s">
        <v>8</v>
      </c>
    </row>
    <row r="5983" spans="1:13" s="21" customFormat="1" x14ac:dyDescent="0.25">
      <c r="A5983" s="22" t="s">
        <v>8</v>
      </c>
      <c r="B5983" s="18" t="str">
        <f>"225369"</f>
        <v>225369</v>
      </c>
      <c r="C5983" s="19" t="s">
        <v>5903</v>
      </c>
      <c r="D5983" s="19" t="s">
        <v>21408</v>
      </c>
      <c r="E5983" s="19" t="s">
        <v>32905</v>
      </c>
      <c r="F5983" s="19" t="s">
        <v>35995</v>
      </c>
      <c r="G5983" s="18" t="str">
        <f>"02540"</f>
        <v>02540</v>
      </c>
      <c r="H5983" s="19" t="s">
        <v>36413</v>
      </c>
      <c r="I5983" s="20">
        <v>20.11</v>
      </c>
      <c r="J5983" s="44" t="s">
        <v>8</v>
      </c>
      <c r="K5983" s="23" t="s">
        <v>8</v>
      </c>
      <c r="L5983" s="23" t="s">
        <v>8</v>
      </c>
      <c r="M5983" s="23" t="s">
        <v>8</v>
      </c>
    </row>
    <row r="5984" spans="1:13" s="21" customFormat="1" x14ac:dyDescent="0.25">
      <c r="A5984" s="22" t="s">
        <v>8</v>
      </c>
      <c r="B5984" s="18" t="str">
        <f>"225370"</f>
        <v>225370</v>
      </c>
      <c r="C5984" s="19" t="s">
        <v>5904</v>
      </c>
      <c r="D5984" s="19" t="s">
        <v>21409</v>
      </c>
      <c r="E5984" s="19" t="s">
        <v>33015</v>
      </c>
      <c r="F5984" s="19" t="s">
        <v>35995</v>
      </c>
      <c r="G5984" s="18" t="str">
        <f>"01906"</f>
        <v>01906</v>
      </c>
      <c r="H5984" s="19" t="s">
        <v>31458</v>
      </c>
      <c r="I5984" s="20">
        <v>19.483000000000001</v>
      </c>
      <c r="J5984" s="44" t="s">
        <v>8</v>
      </c>
      <c r="K5984" s="23" t="s">
        <v>8</v>
      </c>
      <c r="L5984" s="23" t="s">
        <v>8</v>
      </c>
      <c r="M5984" s="23" t="s">
        <v>8</v>
      </c>
    </row>
    <row r="5985" spans="1:13" s="21" customFormat="1" x14ac:dyDescent="0.25">
      <c r="A5985" s="22" t="s">
        <v>8</v>
      </c>
      <c r="B5985" s="18" t="str">
        <f>"225374"</f>
        <v>225374</v>
      </c>
      <c r="C5985" s="19" t="s">
        <v>5905</v>
      </c>
      <c r="D5985" s="19" t="s">
        <v>21410</v>
      </c>
      <c r="E5985" s="19" t="s">
        <v>33071</v>
      </c>
      <c r="F5985" s="19" t="s">
        <v>35995</v>
      </c>
      <c r="G5985" s="18" t="str">
        <f>"02673"</f>
        <v>02673</v>
      </c>
      <c r="H5985" s="19" t="s">
        <v>36413</v>
      </c>
      <c r="I5985" s="20">
        <v>19.962</v>
      </c>
      <c r="J5985" s="44" t="s">
        <v>8</v>
      </c>
      <c r="K5985" s="23" t="s">
        <v>8</v>
      </c>
      <c r="L5985" s="23" t="s">
        <v>8</v>
      </c>
      <c r="M5985" s="23" t="s">
        <v>8</v>
      </c>
    </row>
    <row r="5986" spans="1:13" s="21" customFormat="1" x14ac:dyDescent="0.25">
      <c r="A5986" s="22" t="s">
        <v>8</v>
      </c>
      <c r="B5986" s="18" t="str">
        <f>"225375"</f>
        <v>225375</v>
      </c>
      <c r="C5986" s="19" t="s">
        <v>5906</v>
      </c>
      <c r="D5986" s="19" t="s">
        <v>21411</v>
      </c>
      <c r="E5986" s="19" t="s">
        <v>33017</v>
      </c>
      <c r="F5986" s="19" t="s">
        <v>35995</v>
      </c>
      <c r="G5986" s="18" t="str">
        <f>"02136"</f>
        <v>02136</v>
      </c>
      <c r="H5986" s="19" t="s">
        <v>35389</v>
      </c>
      <c r="I5986" s="20">
        <v>18.521999999999998</v>
      </c>
      <c r="J5986" s="44" t="s">
        <v>8</v>
      </c>
      <c r="K5986" s="23" t="s">
        <v>8</v>
      </c>
      <c r="L5986" s="23" t="s">
        <v>8</v>
      </c>
      <c r="M5986" s="23" t="s">
        <v>8</v>
      </c>
    </row>
    <row r="5987" spans="1:13" s="21" customFormat="1" x14ac:dyDescent="0.25">
      <c r="A5987" s="22" t="s">
        <v>8</v>
      </c>
      <c r="B5987" s="18" t="str">
        <f>"225376"</f>
        <v>225376</v>
      </c>
      <c r="C5987" s="19" t="s">
        <v>5907</v>
      </c>
      <c r="D5987" s="19" t="s">
        <v>21412</v>
      </c>
      <c r="E5987" s="19" t="s">
        <v>33027</v>
      </c>
      <c r="F5987" s="19" t="s">
        <v>35995</v>
      </c>
      <c r="G5987" s="18" t="str">
        <f>"01830"</f>
        <v>01830</v>
      </c>
      <c r="H5987" s="19" t="s">
        <v>31458</v>
      </c>
      <c r="I5987" s="20">
        <v>19.515999999999998</v>
      </c>
      <c r="J5987" s="44" t="s">
        <v>8</v>
      </c>
      <c r="K5987" s="23" t="s">
        <v>8</v>
      </c>
      <c r="L5987" s="23" t="s">
        <v>8</v>
      </c>
      <c r="M5987" s="23" t="s">
        <v>8</v>
      </c>
    </row>
    <row r="5988" spans="1:13" s="21" customFormat="1" x14ac:dyDescent="0.25">
      <c r="A5988" s="22" t="s">
        <v>8</v>
      </c>
      <c r="B5988" s="18" t="str">
        <f>"225378"</f>
        <v>225378</v>
      </c>
      <c r="C5988" s="19" t="s">
        <v>5908</v>
      </c>
      <c r="D5988" s="19" t="s">
        <v>21413</v>
      </c>
      <c r="E5988" s="19" t="s">
        <v>32969</v>
      </c>
      <c r="F5988" s="19" t="s">
        <v>35995</v>
      </c>
      <c r="G5988" s="18" t="str">
        <f>"02138"</f>
        <v>02138</v>
      </c>
      <c r="H5988" s="19" t="s">
        <v>36120</v>
      </c>
      <c r="I5988" s="20">
        <v>20.6</v>
      </c>
      <c r="J5988" s="44" t="s">
        <v>8</v>
      </c>
      <c r="K5988" s="23" t="s">
        <v>8</v>
      </c>
      <c r="L5988" s="23" t="s">
        <v>8</v>
      </c>
      <c r="M5988" s="23" t="s">
        <v>8</v>
      </c>
    </row>
    <row r="5989" spans="1:13" s="21" customFormat="1" x14ac:dyDescent="0.25">
      <c r="A5989" s="22" t="s">
        <v>8</v>
      </c>
      <c r="B5989" s="18" t="str">
        <f>"225379"</f>
        <v>225379</v>
      </c>
      <c r="C5989" s="19" t="s">
        <v>5909</v>
      </c>
      <c r="D5989" s="19" t="s">
        <v>21414</v>
      </c>
      <c r="E5989" s="19" t="s">
        <v>33002</v>
      </c>
      <c r="F5989" s="19" t="s">
        <v>35995</v>
      </c>
      <c r="G5989" s="18" t="str">
        <f>"01609"</f>
        <v>01609</v>
      </c>
      <c r="H5989" s="19" t="s">
        <v>33002</v>
      </c>
      <c r="I5989" s="20">
        <v>20.052</v>
      </c>
      <c r="J5989" s="44" t="s">
        <v>8</v>
      </c>
      <c r="K5989" s="23" t="s">
        <v>8</v>
      </c>
      <c r="L5989" s="23" t="s">
        <v>8</v>
      </c>
      <c r="M5989" s="23" t="s">
        <v>8</v>
      </c>
    </row>
    <row r="5990" spans="1:13" s="21" customFormat="1" x14ac:dyDescent="0.25">
      <c r="A5990" s="22" t="s">
        <v>8</v>
      </c>
      <c r="B5990" s="18" t="str">
        <f>"225380"</f>
        <v>225380</v>
      </c>
      <c r="C5990" s="19" t="s">
        <v>5910</v>
      </c>
      <c r="D5990" s="19" t="s">
        <v>21415</v>
      </c>
      <c r="E5990" s="19" t="s">
        <v>32231</v>
      </c>
      <c r="F5990" s="19" t="s">
        <v>35995</v>
      </c>
      <c r="G5990" s="18" t="str">
        <f>"01085"</f>
        <v>01085</v>
      </c>
      <c r="H5990" s="19" t="s">
        <v>33041</v>
      </c>
      <c r="I5990" s="20">
        <v>17.952000000000002</v>
      </c>
      <c r="J5990" s="44" t="s">
        <v>8</v>
      </c>
      <c r="K5990" s="23" t="s">
        <v>8</v>
      </c>
      <c r="L5990" s="23" t="s">
        <v>8</v>
      </c>
      <c r="M5990" s="23" t="s">
        <v>8</v>
      </c>
    </row>
    <row r="5991" spans="1:13" s="21" customFormat="1" x14ac:dyDescent="0.25">
      <c r="A5991" s="22" t="s">
        <v>8</v>
      </c>
      <c r="B5991" s="18" t="str">
        <f>"225382"</f>
        <v>225382</v>
      </c>
      <c r="C5991" s="19" t="s">
        <v>5911</v>
      </c>
      <c r="D5991" s="19" t="s">
        <v>21416</v>
      </c>
      <c r="E5991" s="19" t="s">
        <v>33004</v>
      </c>
      <c r="F5991" s="19" t="s">
        <v>35995</v>
      </c>
      <c r="G5991" s="18" t="str">
        <f>"02301"</f>
        <v>02301</v>
      </c>
      <c r="H5991" s="19" t="s">
        <v>31465</v>
      </c>
      <c r="I5991" s="20">
        <v>19.635999999999999</v>
      </c>
      <c r="J5991" s="44" t="s">
        <v>8</v>
      </c>
      <c r="K5991" s="23" t="s">
        <v>8</v>
      </c>
      <c r="L5991" s="23" t="s">
        <v>8</v>
      </c>
      <c r="M5991" s="23" t="s">
        <v>8</v>
      </c>
    </row>
    <row r="5992" spans="1:13" s="21" customFormat="1" x14ac:dyDescent="0.25">
      <c r="A5992" s="22" t="s">
        <v>8</v>
      </c>
      <c r="B5992" s="18" t="str">
        <f>"225383"</f>
        <v>225383</v>
      </c>
      <c r="C5992" s="19" t="s">
        <v>5912</v>
      </c>
      <c r="D5992" s="19" t="s">
        <v>21417</v>
      </c>
      <c r="E5992" s="19" t="s">
        <v>32231</v>
      </c>
      <c r="F5992" s="19" t="s">
        <v>35995</v>
      </c>
      <c r="G5992" s="18" t="str">
        <f>"01085"</f>
        <v>01085</v>
      </c>
      <c r="H5992" s="19" t="s">
        <v>33041</v>
      </c>
      <c r="I5992" s="20">
        <v>18.439</v>
      </c>
      <c r="J5992" s="44" t="s">
        <v>8</v>
      </c>
      <c r="K5992" s="23" t="s">
        <v>8</v>
      </c>
      <c r="L5992" s="23" t="s">
        <v>8</v>
      </c>
      <c r="M5992" s="23" t="s">
        <v>8</v>
      </c>
    </row>
    <row r="5993" spans="1:13" s="21" customFormat="1" x14ac:dyDescent="0.25">
      <c r="A5993" s="22" t="s">
        <v>8</v>
      </c>
      <c r="B5993" s="18" t="str">
        <f>"225385"</f>
        <v>225385</v>
      </c>
      <c r="C5993" s="19" t="s">
        <v>5913</v>
      </c>
      <c r="D5993" s="19" t="s">
        <v>21418</v>
      </c>
      <c r="E5993" s="19" t="s">
        <v>33002</v>
      </c>
      <c r="F5993" s="19" t="s">
        <v>35995</v>
      </c>
      <c r="G5993" s="18" t="str">
        <f>"01605"</f>
        <v>01605</v>
      </c>
      <c r="H5993" s="19" t="s">
        <v>33002</v>
      </c>
      <c r="I5993" s="20">
        <v>18.068999999999999</v>
      </c>
      <c r="J5993" s="44" t="s">
        <v>8</v>
      </c>
      <c r="K5993" s="23" t="s">
        <v>8</v>
      </c>
      <c r="L5993" s="23" t="s">
        <v>8</v>
      </c>
      <c r="M5993" s="23" t="s">
        <v>8</v>
      </c>
    </row>
    <row r="5994" spans="1:13" s="21" customFormat="1" x14ac:dyDescent="0.25">
      <c r="A5994" s="22" t="s">
        <v>8</v>
      </c>
      <c r="B5994" s="18" t="str">
        <f>"225386"</f>
        <v>225386</v>
      </c>
      <c r="C5994" s="19" t="s">
        <v>5914</v>
      </c>
      <c r="D5994" s="19" t="s">
        <v>21419</v>
      </c>
      <c r="E5994" s="19" t="s">
        <v>32107</v>
      </c>
      <c r="F5994" s="19" t="s">
        <v>35995</v>
      </c>
      <c r="G5994" s="18" t="str">
        <f>"01201"</f>
        <v>01201</v>
      </c>
      <c r="H5994" s="19" t="s">
        <v>36411</v>
      </c>
      <c r="I5994" s="20">
        <v>20.239999999999998</v>
      </c>
      <c r="J5994" s="44" t="s">
        <v>8</v>
      </c>
      <c r="K5994" s="23" t="s">
        <v>8</v>
      </c>
      <c r="L5994" s="23" t="s">
        <v>8</v>
      </c>
      <c r="M5994" s="23" t="s">
        <v>8</v>
      </c>
    </row>
    <row r="5995" spans="1:13" s="21" customFormat="1" x14ac:dyDescent="0.25">
      <c r="A5995" s="22" t="s">
        <v>8</v>
      </c>
      <c r="B5995" s="18" t="str">
        <f>"225387"</f>
        <v>225387</v>
      </c>
      <c r="C5995" s="19" t="s">
        <v>5915</v>
      </c>
      <c r="D5995" s="19" t="s">
        <v>21420</v>
      </c>
      <c r="E5995" s="19" t="s">
        <v>33011</v>
      </c>
      <c r="F5995" s="19" t="s">
        <v>35995</v>
      </c>
      <c r="G5995" s="18" t="str">
        <f>"02719"</f>
        <v>02719</v>
      </c>
      <c r="H5995" s="19" t="s">
        <v>31434</v>
      </c>
      <c r="I5995" s="20">
        <v>24.113</v>
      </c>
      <c r="J5995" s="44" t="s">
        <v>8</v>
      </c>
      <c r="K5995" s="23" t="s">
        <v>8</v>
      </c>
      <c r="L5995" s="23" t="s">
        <v>8</v>
      </c>
      <c r="M5995" s="23" t="s">
        <v>8</v>
      </c>
    </row>
    <row r="5996" spans="1:13" s="21" customFormat="1" x14ac:dyDescent="0.25">
      <c r="A5996" s="22" t="s">
        <v>8</v>
      </c>
      <c r="B5996" s="18" t="str">
        <f>"225388"</f>
        <v>225388</v>
      </c>
      <c r="C5996" s="19" t="s">
        <v>5916</v>
      </c>
      <c r="D5996" s="19" t="s">
        <v>21421</v>
      </c>
      <c r="E5996" s="19" t="s">
        <v>33072</v>
      </c>
      <c r="F5996" s="19" t="s">
        <v>35995</v>
      </c>
      <c r="G5996" s="18" t="str">
        <f>"01436"</f>
        <v>01436</v>
      </c>
      <c r="H5996" s="19" t="s">
        <v>33002</v>
      </c>
      <c r="I5996" s="20">
        <v>18.454000000000001</v>
      </c>
      <c r="J5996" s="44" t="s">
        <v>8</v>
      </c>
      <c r="K5996" s="23" t="s">
        <v>8</v>
      </c>
      <c r="L5996" s="23" t="s">
        <v>8</v>
      </c>
      <c r="M5996" s="23" t="s">
        <v>8</v>
      </c>
    </row>
    <row r="5997" spans="1:13" s="21" customFormat="1" x14ac:dyDescent="0.25">
      <c r="A5997" s="22" t="s">
        <v>8</v>
      </c>
      <c r="B5997" s="18" t="str">
        <f>"225389"</f>
        <v>225389</v>
      </c>
      <c r="C5997" s="19" t="s">
        <v>5917</v>
      </c>
      <c r="D5997" s="19" t="s">
        <v>21422</v>
      </c>
      <c r="E5997" s="19" t="s">
        <v>33040</v>
      </c>
      <c r="F5997" s="19" t="s">
        <v>35995</v>
      </c>
      <c r="G5997" s="18" t="str">
        <f>"02740"</f>
        <v>02740</v>
      </c>
      <c r="H5997" s="19" t="s">
        <v>31434</v>
      </c>
      <c r="I5997" s="20">
        <v>17.577000000000002</v>
      </c>
      <c r="J5997" s="44" t="s">
        <v>8</v>
      </c>
      <c r="K5997" s="23" t="s">
        <v>8</v>
      </c>
      <c r="L5997" s="23" t="s">
        <v>8</v>
      </c>
      <c r="M5997" s="23" t="s">
        <v>8</v>
      </c>
    </row>
    <row r="5998" spans="1:13" s="21" customFormat="1" x14ac:dyDescent="0.25">
      <c r="A5998" s="22" t="s">
        <v>8</v>
      </c>
      <c r="B5998" s="18" t="str">
        <f>"225390"</f>
        <v>225390</v>
      </c>
      <c r="C5998" s="19" t="s">
        <v>5918</v>
      </c>
      <c r="D5998" s="19" t="s">
        <v>21423</v>
      </c>
      <c r="E5998" s="19" t="s">
        <v>33002</v>
      </c>
      <c r="F5998" s="19" t="s">
        <v>35995</v>
      </c>
      <c r="G5998" s="18" t="str">
        <f>"01603"</f>
        <v>01603</v>
      </c>
      <c r="H5998" s="19" t="s">
        <v>33002</v>
      </c>
      <c r="I5998" s="20">
        <v>18.853999999999999</v>
      </c>
      <c r="J5998" s="44" t="s">
        <v>8</v>
      </c>
      <c r="K5998" s="23" t="s">
        <v>8</v>
      </c>
      <c r="L5998" s="23" t="s">
        <v>8</v>
      </c>
      <c r="M5998" s="23" t="s">
        <v>8</v>
      </c>
    </row>
    <row r="5999" spans="1:13" s="21" customFormat="1" x14ac:dyDescent="0.25">
      <c r="A5999" s="22" t="s">
        <v>8</v>
      </c>
      <c r="B5999" s="18" t="str">
        <f>"225392"</f>
        <v>225392</v>
      </c>
      <c r="C5999" s="19" t="s">
        <v>5919</v>
      </c>
      <c r="D5999" s="19" t="s">
        <v>21424</v>
      </c>
      <c r="E5999" s="19" t="s">
        <v>31717</v>
      </c>
      <c r="F5999" s="19" t="s">
        <v>35995</v>
      </c>
      <c r="G5999" s="18" t="str">
        <f>"01118"</f>
        <v>01118</v>
      </c>
      <c r="H5999" s="19" t="s">
        <v>33041</v>
      </c>
      <c r="I5999" s="20">
        <v>18.747</v>
      </c>
      <c r="J5999" s="44" t="s">
        <v>8</v>
      </c>
      <c r="K5999" s="23" t="s">
        <v>8</v>
      </c>
      <c r="L5999" s="23" t="s">
        <v>8</v>
      </c>
      <c r="M5999" s="23" t="s">
        <v>8</v>
      </c>
    </row>
    <row r="6000" spans="1:13" s="21" customFormat="1" x14ac:dyDescent="0.25">
      <c r="A6000" s="22" t="s">
        <v>8</v>
      </c>
      <c r="B6000" s="18" t="str">
        <f>"225394"</f>
        <v>225394</v>
      </c>
      <c r="C6000" s="19" t="s">
        <v>5920</v>
      </c>
      <c r="D6000" s="19" t="s">
        <v>21425</v>
      </c>
      <c r="E6000" s="19" t="s">
        <v>33073</v>
      </c>
      <c r="F6000" s="19" t="s">
        <v>35995</v>
      </c>
      <c r="G6000" s="18" t="str">
        <f>"01801"</f>
        <v>01801</v>
      </c>
      <c r="H6000" s="19" t="s">
        <v>36120</v>
      </c>
      <c r="I6000" s="20">
        <v>18.225999999999999</v>
      </c>
      <c r="J6000" s="44" t="s">
        <v>8</v>
      </c>
      <c r="K6000" s="23" t="s">
        <v>8</v>
      </c>
      <c r="L6000" s="23" t="s">
        <v>8</v>
      </c>
      <c r="M6000" s="23" t="s">
        <v>8</v>
      </c>
    </row>
    <row r="6001" spans="1:13" s="21" customFormat="1" x14ac:dyDescent="0.25">
      <c r="A6001" s="22" t="s">
        <v>8</v>
      </c>
      <c r="B6001" s="18" t="str">
        <f>"225395"</f>
        <v>225395</v>
      </c>
      <c r="C6001" s="19" t="s">
        <v>5921</v>
      </c>
      <c r="D6001" s="19" t="s">
        <v>21426</v>
      </c>
      <c r="E6001" s="19" t="s">
        <v>33048</v>
      </c>
      <c r="F6001" s="19" t="s">
        <v>35995</v>
      </c>
      <c r="G6001" s="18" t="str">
        <f>"01570"</f>
        <v>01570</v>
      </c>
      <c r="H6001" s="19" t="s">
        <v>33002</v>
      </c>
      <c r="I6001" s="20">
        <v>18.63</v>
      </c>
      <c r="J6001" s="44" t="s">
        <v>8</v>
      </c>
      <c r="K6001" s="23" t="s">
        <v>8</v>
      </c>
      <c r="L6001" s="23" t="s">
        <v>8</v>
      </c>
      <c r="M6001" s="23" t="s">
        <v>8</v>
      </c>
    </row>
    <row r="6002" spans="1:13" s="21" customFormat="1" x14ac:dyDescent="0.25">
      <c r="A6002" s="22" t="s">
        <v>8</v>
      </c>
      <c r="B6002" s="18" t="str">
        <f>"225398"</f>
        <v>225398</v>
      </c>
      <c r="C6002" s="19" t="s">
        <v>5922</v>
      </c>
      <c r="D6002" s="19" t="s">
        <v>21427</v>
      </c>
      <c r="E6002" s="19" t="s">
        <v>33074</v>
      </c>
      <c r="F6002" s="19" t="s">
        <v>35995</v>
      </c>
      <c r="G6002" s="18" t="str">
        <f>"01945"</f>
        <v>01945</v>
      </c>
      <c r="H6002" s="19" t="s">
        <v>31458</v>
      </c>
      <c r="I6002" s="20">
        <v>18.013000000000002</v>
      </c>
      <c r="J6002" s="44" t="s">
        <v>8</v>
      </c>
      <c r="K6002" s="23" t="s">
        <v>8</v>
      </c>
      <c r="L6002" s="23" t="s">
        <v>8</v>
      </c>
      <c r="M6002" s="23" t="s">
        <v>8</v>
      </c>
    </row>
    <row r="6003" spans="1:13" s="21" customFormat="1" x14ac:dyDescent="0.25">
      <c r="A6003" s="22" t="s">
        <v>8</v>
      </c>
      <c r="B6003" s="18" t="str">
        <f>"225400"</f>
        <v>225400</v>
      </c>
      <c r="C6003" s="19" t="s">
        <v>5923</v>
      </c>
      <c r="D6003" s="19" t="s">
        <v>21428</v>
      </c>
      <c r="E6003" s="19" t="s">
        <v>32598</v>
      </c>
      <c r="F6003" s="19" t="s">
        <v>35995</v>
      </c>
      <c r="G6003" s="18" t="str">
        <f>"01880"</f>
        <v>01880</v>
      </c>
      <c r="H6003" s="19" t="s">
        <v>36120</v>
      </c>
      <c r="I6003" s="20">
        <v>22.422000000000001</v>
      </c>
      <c r="J6003" s="44" t="s">
        <v>8</v>
      </c>
      <c r="K6003" s="23" t="s">
        <v>8</v>
      </c>
      <c r="L6003" s="23" t="s">
        <v>8</v>
      </c>
      <c r="M6003" s="23" t="s">
        <v>8</v>
      </c>
    </row>
    <row r="6004" spans="1:13" s="21" customFormat="1" x14ac:dyDescent="0.25">
      <c r="A6004" s="22" t="s">
        <v>8</v>
      </c>
      <c r="B6004" s="18" t="str">
        <f>"225401"</f>
        <v>225401</v>
      </c>
      <c r="C6004" s="19" t="s">
        <v>5924</v>
      </c>
      <c r="D6004" s="19" t="s">
        <v>21429</v>
      </c>
      <c r="E6004" s="19" t="s">
        <v>33027</v>
      </c>
      <c r="F6004" s="19" t="s">
        <v>35995</v>
      </c>
      <c r="G6004" s="18" t="str">
        <f>"01830"</f>
        <v>01830</v>
      </c>
      <c r="H6004" s="19" t="s">
        <v>31458</v>
      </c>
      <c r="I6004" s="20">
        <v>18.844999999999999</v>
      </c>
      <c r="J6004" s="44" t="s">
        <v>8</v>
      </c>
      <c r="K6004" s="23" t="s">
        <v>8</v>
      </c>
      <c r="L6004" s="23" t="s">
        <v>8</v>
      </c>
      <c r="M6004" s="23" t="s">
        <v>8</v>
      </c>
    </row>
    <row r="6005" spans="1:13" s="21" customFormat="1" x14ac:dyDescent="0.25">
      <c r="A6005" s="22" t="s">
        <v>8</v>
      </c>
      <c r="B6005" s="18" t="str">
        <f>"225402"</f>
        <v>225402</v>
      </c>
      <c r="C6005" s="19" t="s">
        <v>5925</v>
      </c>
      <c r="D6005" s="19" t="s">
        <v>21430</v>
      </c>
      <c r="E6005" s="19" t="s">
        <v>32705</v>
      </c>
      <c r="F6005" s="19" t="s">
        <v>35995</v>
      </c>
      <c r="G6005" s="18" t="str">
        <f>"02725"</f>
        <v>02725</v>
      </c>
      <c r="H6005" s="19" t="s">
        <v>31434</v>
      </c>
      <c r="I6005" s="20">
        <v>17.401</v>
      </c>
      <c r="J6005" s="44" t="s">
        <v>8</v>
      </c>
      <c r="K6005" s="23" t="s">
        <v>8</v>
      </c>
      <c r="L6005" s="23" t="s">
        <v>8</v>
      </c>
      <c r="M6005" s="23" t="s">
        <v>8</v>
      </c>
    </row>
    <row r="6006" spans="1:13" s="21" customFormat="1" x14ac:dyDescent="0.25">
      <c r="A6006" s="22" t="s">
        <v>8</v>
      </c>
      <c r="B6006" s="18" t="str">
        <f>"225403"</f>
        <v>225403</v>
      </c>
      <c r="C6006" s="19" t="s">
        <v>5926</v>
      </c>
      <c r="D6006" s="19" t="s">
        <v>21431</v>
      </c>
      <c r="E6006" s="19" t="s">
        <v>33075</v>
      </c>
      <c r="F6006" s="19" t="s">
        <v>35995</v>
      </c>
      <c r="G6006" s="18" t="str">
        <f>"01532"</f>
        <v>01532</v>
      </c>
      <c r="H6006" s="19" t="s">
        <v>33002</v>
      </c>
      <c r="I6006" s="20">
        <v>18.588000000000001</v>
      </c>
      <c r="J6006" s="44" t="s">
        <v>8</v>
      </c>
      <c r="K6006" s="23" t="s">
        <v>8</v>
      </c>
      <c r="L6006" s="23" t="s">
        <v>8</v>
      </c>
      <c r="M6006" s="23" t="s">
        <v>8</v>
      </c>
    </row>
    <row r="6007" spans="1:13" s="21" customFormat="1" x14ac:dyDescent="0.25">
      <c r="A6007" s="22" t="s">
        <v>8</v>
      </c>
      <c r="B6007" s="18" t="str">
        <f>"225404"</f>
        <v>225404</v>
      </c>
      <c r="C6007" s="19" t="s">
        <v>5927</v>
      </c>
      <c r="D6007" s="19" t="s">
        <v>21432</v>
      </c>
      <c r="E6007" s="19" t="s">
        <v>33027</v>
      </c>
      <c r="F6007" s="19" t="s">
        <v>35995</v>
      </c>
      <c r="G6007" s="18" t="str">
        <f>"01830"</f>
        <v>01830</v>
      </c>
      <c r="H6007" s="19" t="s">
        <v>31458</v>
      </c>
      <c r="I6007" s="20">
        <v>19.640999999999998</v>
      </c>
      <c r="J6007" s="44" t="s">
        <v>8</v>
      </c>
      <c r="K6007" s="23" t="s">
        <v>8</v>
      </c>
      <c r="L6007" s="23" t="s">
        <v>8</v>
      </c>
      <c r="M6007" s="23" t="s">
        <v>8</v>
      </c>
    </row>
    <row r="6008" spans="1:13" s="21" customFormat="1" x14ac:dyDescent="0.25">
      <c r="A6008" s="22" t="s">
        <v>8</v>
      </c>
      <c r="B6008" s="18" t="str">
        <f>"225405"</f>
        <v>225405</v>
      </c>
      <c r="C6008" s="19" t="s">
        <v>5928</v>
      </c>
      <c r="D6008" s="19" t="s">
        <v>21433</v>
      </c>
      <c r="E6008" s="19" t="s">
        <v>33076</v>
      </c>
      <c r="F6008" s="19" t="s">
        <v>35995</v>
      </c>
      <c r="G6008" s="18" t="str">
        <f>"02347"</f>
        <v>02347</v>
      </c>
      <c r="H6008" s="19" t="s">
        <v>31465</v>
      </c>
      <c r="I6008" s="20">
        <v>18.202000000000002</v>
      </c>
      <c r="J6008" s="44" t="s">
        <v>8</v>
      </c>
      <c r="K6008" s="23" t="s">
        <v>8</v>
      </c>
      <c r="L6008" s="23" t="s">
        <v>8</v>
      </c>
      <c r="M6008" s="23" t="s">
        <v>8</v>
      </c>
    </row>
    <row r="6009" spans="1:13" s="21" customFormat="1" x14ac:dyDescent="0.25">
      <c r="A6009" s="22" t="s">
        <v>8</v>
      </c>
      <c r="B6009" s="18" t="str">
        <f>"225408"</f>
        <v>225408</v>
      </c>
      <c r="C6009" s="19" t="s">
        <v>5929</v>
      </c>
      <c r="D6009" s="19" t="s">
        <v>21434</v>
      </c>
      <c r="E6009" s="19" t="s">
        <v>33077</v>
      </c>
      <c r="F6009" s="19" t="s">
        <v>35995</v>
      </c>
      <c r="G6009" s="18" t="str">
        <f>"02453"</f>
        <v>02453</v>
      </c>
      <c r="H6009" s="19" t="s">
        <v>36120</v>
      </c>
      <c r="I6009" s="20">
        <v>18.616</v>
      </c>
      <c r="J6009" s="44" t="s">
        <v>8</v>
      </c>
      <c r="K6009" s="23" t="s">
        <v>8</v>
      </c>
      <c r="L6009" s="23" t="s">
        <v>8</v>
      </c>
      <c r="M6009" s="23" t="s">
        <v>8</v>
      </c>
    </row>
    <row r="6010" spans="1:13" s="21" customFormat="1" x14ac:dyDescent="0.25">
      <c r="A6010" s="22" t="s">
        <v>8</v>
      </c>
      <c r="B6010" s="18" t="str">
        <f>"225409"</f>
        <v>225409</v>
      </c>
      <c r="C6010" s="19" t="s">
        <v>5930</v>
      </c>
      <c r="D6010" s="19" t="s">
        <v>21435</v>
      </c>
      <c r="E6010" s="19" t="s">
        <v>33061</v>
      </c>
      <c r="F6010" s="19" t="s">
        <v>35995</v>
      </c>
      <c r="G6010" s="18" t="str">
        <f>"01844"</f>
        <v>01844</v>
      </c>
      <c r="H6010" s="19" t="s">
        <v>31458</v>
      </c>
      <c r="I6010" s="20">
        <v>15.375</v>
      </c>
      <c r="J6010" s="44" t="s">
        <v>8</v>
      </c>
      <c r="K6010" s="23" t="s">
        <v>8</v>
      </c>
      <c r="L6010" s="23" t="s">
        <v>8</v>
      </c>
      <c r="M6010" s="23" t="s">
        <v>8</v>
      </c>
    </row>
    <row r="6011" spans="1:13" s="21" customFormat="1" x14ac:dyDescent="0.25">
      <c r="A6011" s="22" t="s">
        <v>8</v>
      </c>
      <c r="B6011" s="18" t="str">
        <f>"225411"</f>
        <v>225411</v>
      </c>
      <c r="C6011" s="19" t="s">
        <v>5931</v>
      </c>
      <c r="D6011" s="19" t="s">
        <v>21436</v>
      </c>
      <c r="E6011" s="19" t="s">
        <v>33074</v>
      </c>
      <c r="F6011" s="19" t="s">
        <v>35995</v>
      </c>
      <c r="G6011" s="18" t="str">
        <f>"01945"</f>
        <v>01945</v>
      </c>
      <c r="H6011" s="19" t="s">
        <v>31458</v>
      </c>
      <c r="I6011" s="20">
        <v>19.257999999999999</v>
      </c>
      <c r="J6011" s="44" t="s">
        <v>8</v>
      </c>
      <c r="K6011" s="23" t="s">
        <v>8</v>
      </c>
      <c r="L6011" s="23" t="s">
        <v>8</v>
      </c>
      <c r="M6011" s="23" t="s">
        <v>8</v>
      </c>
    </row>
    <row r="6012" spans="1:13" s="21" customFormat="1" x14ac:dyDescent="0.25">
      <c r="A6012" s="22" t="s">
        <v>8</v>
      </c>
      <c r="B6012" s="18" t="str">
        <f>"225412"</f>
        <v>225412</v>
      </c>
      <c r="C6012" s="19" t="s">
        <v>5932</v>
      </c>
      <c r="D6012" s="19" t="s">
        <v>21437</v>
      </c>
      <c r="E6012" s="19" t="s">
        <v>33078</v>
      </c>
      <c r="F6012" s="19" t="s">
        <v>35995</v>
      </c>
      <c r="G6012" s="18" t="str">
        <f>"02053"</f>
        <v>02053</v>
      </c>
      <c r="H6012" s="19" t="s">
        <v>33776</v>
      </c>
      <c r="I6012" s="20">
        <v>19.257999999999999</v>
      </c>
      <c r="J6012" s="44" t="s">
        <v>8</v>
      </c>
      <c r="K6012" s="23" t="s">
        <v>8</v>
      </c>
      <c r="L6012" s="23" t="s">
        <v>8</v>
      </c>
      <c r="M6012" s="23" t="s">
        <v>8</v>
      </c>
    </row>
    <row r="6013" spans="1:13" s="21" customFormat="1" x14ac:dyDescent="0.25">
      <c r="A6013" s="22" t="s">
        <v>8</v>
      </c>
      <c r="B6013" s="18" t="str">
        <f>"225413"</f>
        <v>225413</v>
      </c>
      <c r="C6013" s="19" t="s">
        <v>5933</v>
      </c>
      <c r="D6013" s="19" t="s">
        <v>21438</v>
      </c>
      <c r="E6013" s="19" t="s">
        <v>33024</v>
      </c>
      <c r="F6013" s="19" t="s">
        <v>35995</v>
      </c>
      <c r="G6013" s="18" t="str">
        <f>"02128"</f>
        <v>02128</v>
      </c>
      <c r="H6013" s="19" t="s">
        <v>35389</v>
      </c>
      <c r="I6013" s="20">
        <v>16.177</v>
      </c>
      <c r="J6013" s="44" t="s">
        <v>8</v>
      </c>
      <c r="K6013" s="23" t="s">
        <v>8</v>
      </c>
      <c r="L6013" s="23" t="s">
        <v>8</v>
      </c>
      <c r="M6013" s="23" t="s">
        <v>8</v>
      </c>
    </row>
    <row r="6014" spans="1:13" s="21" customFormat="1" x14ac:dyDescent="0.25">
      <c r="A6014" s="22" t="s">
        <v>8</v>
      </c>
      <c r="B6014" s="18" t="str">
        <f>"225414"</f>
        <v>225414</v>
      </c>
      <c r="C6014" s="19" t="s">
        <v>5934</v>
      </c>
      <c r="D6014" s="19" t="s">
        <v>21439</v>
      </c>
      <c r="E6014" s="19" t="s">
        <v>33004</v>
      </c>
      <c r="F6014" s="19" t="s">
        <v>35995</v>
      </c>
      <c r="G6014" s="18" t="str">
        <f>"02302"</f>
        <v>02302</v>
      </c>
      <c r="H6014" s="19" t="s">
        <v>31465</v>
      </c>
      <c r="I6014" s="20">
        <v>20.780999999999999</v>
      </c>
      <c r="J6014" s="44" t="s">
        <v>8</v>
      </c>
      <c r="K6014" s="23" t="s">
        <v>8</v>
      </c>
      <c r="L6014" s="23" t="s">
        <v>8</v>
      </c>
      <c r="M6014" s="23" t="s">
        <v>8</v>
      </c>
    </row>
    <row r="6015" spans="1:13" s="21" customFormat="1" x14ac:dyDescent="0.25">
      <c r="A6015" s="22" t="s">
        <v>8</v>
      </c>
      <c r="B6015" s="18" t="str">
        <f>"225415"</f>
        <v>225415</v>
      </c>
      <c r="C6015" s="19" t="s">
        <v>5935</v>
      </c>
      <c r="D6015" s="19" t="s">
        <v>21440</v>
      </c>
      <c r="E6015" s="19" t="s">
        <v>33024</v>
      </c>
      <c r="F6015" s="19" t="s">
        <v>35995</v>
      </c>
      <c r="G6015" s="18" t="str">
        <f>"02127"</f>
        <v>02127</v>
      </c>
      <c r="H6015" s="19" t="s">
        <v>35389</v>
      </c>
      <c r="I6015" s="20">
        <v>21.68</v>
      </c>
      <c r="J6015" s="44" t="s">
        <v>8</v>
      </c>
      <c r="K6015" s="23" t="s">
        <v>8</v>
      </c>
      <c r="L6015" s="23" t="s">
        <v>8</v>
      </c>
      <c r="M6015" s="23" t="s">
        <v>8</v>
      </c>
    </row>
    <row r="6016" spans="1:13" s="21" customFormat="1" x14ac:dyDescent="0.25">
      <c r="A6016" s="22" t="s">
        <v>8</v>
      </c>
      <c r="B6016" s="18" t="str">
        <f>"225417"</f>
        <v>225417</v>
      </c>
      <c r="C6016" s="19" t="s">
        <v>5936</v>
      </c>
      <c r="D6016" s="19" t="s">
        <v>21441</v>
      </c>
      <c r="E6016" s="19" t="s">
        <v>33024</v>
      </c>
      <c r="F6016" s="19" t="s">
        <v>35995</v>
      </c>
      <c r="G6016" s="18" t="str">
        <f>"02130"</f>
        <v>02130</v>
      </c>
      <c r="H6016" s="19" t="s">
        <v>35389</v>
      </c>
      <c r="I6016" s="20">
        <v>20.712</v>
      </c>
      <c r="J6016" s="44" t="s">
        <v>8</v>
      </c>
      <c r="K6016" s="23" t="s">
        <v>8</v>
      </c>
      <c r="L6016" s="23" t="s">
        <v>8</v>
      </c>
      <c r="M6016" s="23" t="s">
        <v>8</v>
      </c>
    </row>
    <row r="6017" spans="1:13" s="21" customFormat="1" x14ac:dyDescent="0.25">
      <c r="A6017" s="22" t="s">
        <v>8</v>
      </c>
      <c r="B6017" s="18" t="str">
        <f>"225418"</f>
        <v>225418</v>
      </c>
      <c r="C6017" s="19" t="s">
        <v>5937</v>
      </c>
      <c r="D6017" s="19" t="s">
        <v>21442</v>
      </c>
      <c r="E6017" s="19" t="s">
        <v>31791</v>
      </c>
      <c r="F6017" s="19" t="s">
        <v>35995</v>
      </c>
      <c r="G6017" s="18" t="str">
        <f>"02021"</f>
        <v>02021</v>
      </c>
      <c r="H6017" s="19" t="s">
        <v>33776</v>
      </c>
      <c r="I6017" s="20">
        <v>20.814</v>
      </c>
      <c r="J6017" s="44" t="s">
        <v>8</v>
      </c>
      <c r="K6017" s="23" t="s">
        <v>8</v>
      </c>
      <c r="L6017" s="23" t="s">
        <v>8</v>
      </c>
      <c r="M6017" s="23" t="s">
        <v>8</v>
      </c>
    </row>
    <row r="6018" spans="1:13" s="21" customFormat="1" x14ac:dyDescent="0.25">
      <c r="A6018" s="22" t="s">
        <v>8</v>
      </c>
      <c r="B6018" s="18" t="str">
        <f>"225419"</f>
        <v>225419</v>
      </c>
      <c r="C6018" s="19" t="s">
        <v>5938</v>
      </c>
      <c r="D6018" s="19" t="s">
        <v>21443</v>
      </c>
      <c r="E6018" s="19" t="s">
        <v>33079</v>
      </c>
      <c r="F6018" s="19" t="s">
        <v>35995</v>
      </c>
      <c r="G6018" s="18" t="str">
        <f>"02478"</f>
        <v>02478</v>
      </c>
      <c r="H6018" s="19" t="s">
        <v>36120</v>
      </c>
      <c r="I6018" s="20">
        <v>18.756</v>
      </c>
      <c r="J6018" s="44" t="s">
        <v>8</v>
      </c>
      <c r="K6018" s="23" t="s">
        <v>8</v>
      </c>
      <c r="L6018" s="23" t="s">
        <v>8</v>
      </c>
      <c r="M6018" s="23" t="s">
        <v>8</v>
      </c>
    </row>
    <row r="6019" spans="1:13" s="21" customFormat="1" x14ac:dyDescent="0.25">
      <c r="A6019" s="22" t="s">
        <v>8</v>
      </c>
      <c r="B6019" s="18" t="str">
        <f>"225420"</f>
        <v>225420</v>
      </c>
      <c r="C6019" s="19" t="s">
        <v>5939</v>
      </c>
      <c r="D6019" s="19" t="s">
        <v>21444</v>
      </c>
      <c r="E6019" s="19" t="s">
        <v>33080</v>
      </c>
      <c r="F6019" s="19" t="s">
        <v>35995</v>
      </c>
      <c r="G6019" s="18" t="str">
        <f>"01002"</f>
        <v>01002</v>
      </c>
      <c r="H6019" s="19" t="s">
        <v>36412</v>
      </c>
      <c r="I6019" s="20">
        <v>15.773</v>
      </c>
      <c r="J6019" s="44" t="s">
        <v>8</v>
      </c>
      <c r="K6019" s="23" t="s">
        <v>8</v>
      </c>
      <c r="L6019" s="23" t="s">
        <v>8</v>
      </c>
      <c r="M6019" s="23" t="s">
        <v>8</v>
      </c>
    </row>
    <row r="6020" spans="1:13" s="21" customFormat="1" x14ac:dyDescent="0.25">
      <c r="A6020" s="22" t="s">
        <v>8</v>
      </c>
      <c r="B6020" s="18" t="str">
        <f>"225421"</f>
        <v>225421</v>
      </c>
      <c r="C6020" s="19" t="s">
        <v>5940</v>
      </c>
      <c r="D6020" s="19" t="s">
        <v>21445</v>
      </c>
      <c r="E6020" s="19" t="s">
        <v>33081</v>
      </c>
      <c r="F6020" s="19" t="s">
        <v>35995</v>
      </c>
      <c r="G6020" s="18" t="str">
        <f>"01432"</f>
        <v>01432</v>
      </c>
      <c r="H6020" s="19" t="s">
        <v>36120</v>
      </c>
      <c r="I6020" s="20">
        <v>16.809000000000001</v>
      </c>
      <c r="J6020" s="44" t="s">
        <v>8</v>
      </c>
      <c r="K6020" s="23" t="s">
        <v>8</v>
      </c>
      <c r="L6020" s="23" t="s">
        <v>8</v>
      </c>
      <c r="M6020" s="23" t="s">
        <v>8</v>
      </c>
    </row>
    <row r="6021" spans="1:13" s="21" customFormat="1" x14ac:dyDescent="0.25">
      <c r="A6021" s="22" t="s">
        <v>8</v>
      </c>
      <c r="B6021" s="18" t="str">
        <f>"225423"</f>
        <v>225423</v>
      </c>
      <c r="C6021" s="19" t="s">
        <v>5941</v>
      </c>
      <c r="D6021" s="19" t="s">
        <v>21446</v>
      </c>
      <c r="E6021" s="19" t="s">
        <v>33040</v>
      </c>
      <c r="F6021" s="19" t="s">
        <v>35995</v>
      </c>
      <c r="G6021" s="18" t="str">
        <f>"02740"</f>
        <v>02740</v>
      </c>
      <c r="H6021" s="19" t="s">
        <v>31434</v>
      </c>
      <c r="I6021" s="20">
        <v>20.091000000000001</v>
      </c>
      <c r="J6021" s="44" t="s">
        <v>8</v>
      </c>
      <c r="K6021" s="23" t="s">
        <v>8</v>
      </c>
      <c r="L6021" s="23" t="s">
        <v>8</v>
      </c>
      <c r="M6021" s="23" t="s">
        <v>8</v>
      </c>
    </row>
    <row r="6022" spans="1:13" s="21" customFormat="1" x14ac:dyDescent="0.25">
      <c r="A6022" s="22" t="s">
        <v>8</v>
      </c>
      <c r="B6022" s="18" t="str">
        <f>"225425"</f>
        <v>225425</v>
      </c>
      <c r="C6022" s="19" t="s">
        <v>5942</v>
      </c>
      <c r="D6022" s="19" t="s">
        <v>21447</v>
      </c>
      <c r="E6022" s="19" t="s">
        <v>31419</v>
      </c>
      <c r="F6022" s="19" t="s">
        <v>35995</v>
      </c>
      <c r="G6022" s="18" t="str">
        <f>"02472"</f>
        <v>02472</v>
      </c>
      <c r="H6022" s="19" t="s">
        <v>36120</v>
      </c>
      <c r="I6022" s="20">
        <v>20.251999999999999</v>
      </c>
      <c r="J6022" s="44" t="s">
        <v>8</v>
      </c>
      <c r="K6022" s="23" t="s">
        <v>8</v>
      </c>
      <c r="L6022" s="23" t="s">
        <v>8</v>
      </c>
      <c r="M6022" s="23" t="s">
        <v>8</v>
      </c>
    </row>
    <row r="6023" spans="1:13" s="21" customFormat="1" x14ac:dyDescent="0.25">
      <c r="A6023" s="22" t="s">
        <v>8</v>
      </c>
      <c r="B6023" s="18" t="str">
        <f>"225426"</f>
        <v>225426</v>
      </c>
      <c r="C6023" s="19" t="s">
        <v>5943</v>
      </c>
      <c r="D6023" s="19" t="s">
        <v>21448</v>
      </c>
      <c r="E6023" s="19" t="s">
        <v>33082</v>
      </c>
      <c r="F6023" s="19" t="s">
        <v>35995</v>
      </c>
      <c r="G6023" s="18" t="str">
        <f>"02631"</f>
        <v>02631</v>
      </c>
      <c r="H6023" s="19" t="s">
        <v>36413</v>
      </c>
      <c r="I6023" s="20">
        <v>15.843</v>
      </c>
      <c r="J6023" s="44" t="s">
        <v>8</v>
      </c>
      <c r="K6023" s="23" t="s">
        <v>8</v>
      </c>
      <c r="L6023" s="23" t="s">
        <v>8</v>
      </c>
      <c r="M6023" s="23" t="s">
        <v>8</v>
      </c>
    </row>
    <row r="6024" spans="1:13" s="21" customFormat="1" x14ac:dyDescent="0.25">
      <c r="A6024" s="22" t="s">
        <v>8</v>
      </c>
      <c r="B6024" s="18" t="str">
        <f>"225429"</f>
        <v>225429</v>
      </c>
      <c r="C6024" s="19" t="s">
        <v>5944</v>
      </c>
      <c r="D6024" s="19" t="s">
        <v>21449</v>
      </c>
      <c r="E6024" s="19" t="s">
        <v>33083</v>
      </c>
      <c r="F6024" s="19" t="s">
        <v>35995</v>
      </c>
      <c r="G6024" s="18" t="str">
        <f>"02132"</f>
        <v>02132</v>
      </c>
      <c r="H6024" s="19" t="s">
        <v>35389</v>
      </c>
      <c r="I6024" s="20">
        <v>22.048999999999999</v>
      </c>
      <c r="J6024" s="44" t="s">
        <v>8</v>
      </c>
      <c r="K6024" s="23" t="s">
        <v>8</v>
      </c>
      <c r="L6024" s="23" t="s">
        <v>8</v>
      </c>
      <c r="M6024" s="23" t="s">
        <v>8</v>
      </c>
    </row>
    <row r="6025" spans="1:13" s="21" customFormat="1" x14ac:dyDescent="0.25">
      <c r="A6025" s="22" t="s">
        <v>8</v>
      </c>
      <c r="B6025" s="18" t="str">
        <f>"225430"</f>
        <v>225430</v>
      </c>
      <c r="C6025" s="19" t="s">
        <v>5945</v>
      </c>
      <c r="D6025" s="19" t="s">
        <v>21450</v>
      </c>
      <c r="E6025" s="19" t="s">
        <v>33020</v>
      </c>
      <c r="F6025" s="19" t="s">
        <v>35995</v>
      </c>
      <c r="G6025" s="18" t="str">
        <f>"01701"</f>
        <v>01701</v>
      </c>
      <c r="H6025" s="19" t="s">
        <v>36120</v>
      </c>
      <c r="I6025" s="20">
        <v>16.254999999999999</v>
      </c>
      <c r="J6025" s="44" t="s">
        <v>8</v>
      </c>
      <c r="K6025" s="23" t="s">
        <v>8</v>
      </c>
      <c r="L6025" s="23" t="s">
        <v>8</v>
      </c>
      <c r="M6025" s="23" t="s">
        <v>8</v>
      </c>
    </row>
    <row r="6026" spans="1:13" s="21" customFormat="1" x14ac:dyDescent="0.25">
      <c r="A6026" s="22" t="s">
        <v>8</v>
      </c>
      <c r="B6026" s="18" t="str">
        <f>"225431"</f>
        <v>225431</v>
      </c>
      <c r="C6026" s="19" t="s">
        <v>5946</v>
      </c>
      <c r="D6026" s="19" t="s">
        <v>21451</v>
      </c>
      <c r="E6026" s="19" t="s">
        <v>33084</v>
      </c>
      <c r="F6026" s="19" t="s">
        <v>35995</v>
      </c>
      <c r="G6026" s="18" t="str">
        <f>"01867"</f>
        <v>01867</v>
      </c>
      <c r="H6026" s="19" t="s">
        <v>36120</v>
      </c>
      <c r="I6026" s="20">
        <v>20.565999999999999</v>
      </c>
      <c r="J6026" s="44" t="s">
        <v>8</v>
      </c>
      <c r="K6026" s="23" t="s">
        <v>8</v>
      </c>
      <c r="L6026" s="23" t="s">
        <v>8</v>
      </c>
      <c r="M6026" s="23" t="s">
        <v>8</v>
      </c>
    </row>
    <row r="6027" spans="1:13" s="21" customFormat="1" x14ac:dyDescent="0.25">
      <c r="A6027" s="22" t="s">
        <v>8</v>
      </c>
      <c r="B6027" s="18" t="str">
        <f>"225432"</f>
        <v>225432</v>
      </c>
      <c r="C6027" s="19" t="s">
        <v>5947</v>
      </c>
      <c r="D6027" s="19" t="s">
        <v>21452</v>
      </c>
      <c r="E6027" s="19" t="s">
        <v>33052</v>
      </c>
      <c r="F6027" s="19" t="s">
        <v>35995</v>
      </c>
      <c r="G6027" s="18" t="str">
        <f>"02151"</f>
        <v>02151</v>
      </c>
      <c r="H6027" s="19" t="s">
        <v>35389</v>
      </c>
      <c r="I6027" s="20">
        <v>19.363</v>
      </c>
      <c r="J6027" s="44" t="s">
        <v>8</v>
      </c>
      <c r="K6027" s="23" t="s">
        <v>8</v>
      </c>
      <c r="L6027" s="23" t="s">
        <v>8</v>
      </c>
      <c r="M6027" s="23" t="s">
        <v>8</v>
      </c>
    </row>
    <row r="6028" spans="1:13" s="21" customFormat="1" x14ac:dyDescent="0.25">
      <c r="A6028" s="22" t="s">
        <v>8</v>
      </c>
      <c r="B6028" s="18" t="str">
        <f>"225433"</f>
        <v>225433</v>
      </c>
      <c r="C6028" s="19" t="s">
        <v>5948</v>
      </c>
      <c r="D6028" s="19" t="s">
        <v>21453</v>
      </c>
      <c r="E6028" s="19" t="s">
        <v>32175</v>
      </c>
      <c r="F6028" s="19" t="s">
        <v>35995</v>
      </c>
      <c r="G6028" s="18" t="str">
        <f>"01890"</f>
        <v>01890</v>
      </c>
      <c r="H6028" s="19" t="s">
        <v>36120</v>
      </c>
      <c r="I6028" s="20">
        <v>22.167999999999999</v>
      </c>
      <c r="J6028" s="44" t="s">
        <v>8</v>
      </c>
      <c r="K6028" s="23" t="s">
        <v>8</v>
      </c>
      <c r="L6028" s="23" t="s">
        <v>8</v>
      </c>
      <c r="M6028" s="23" t="s">
        <v>8</v>
      </c>
    </row>
    <row r="6029" spans="1:13" s="21" customFormat="1" x14ac:dyDescent="0.25">
      <c r="A6029" s="22" t="s">
        <v>8</v>
      </c>
      <c r="B6029" s="18" t="str">
        <f>"225434"</f>
        <v>225434</v>
      </c>
      <c r="C6029" s="19" t="s">
        <v>5949</v>
      </c>
      <c r="D6029" s="19" t="s">
        <v>21454</v>
      </c>
      <c r="E6029" s="19" t="s">
        <v>33024</v>
      </c>
      <c r="F6029" s="19" t="s">
        <v>35995</v>
      </c>
      <c r="G6029" s="18" t="str">
        <f>"02124"</f>
        <v>02124</v>
      </c>
      <c r="H6029" s="19" t="s">
        <v>35389</v>
      </c>
      <c r="I6029" s="20">
        <v>19.245000000000001</v>
      </c>
      <c r="J6029" s="44" t="s">
        <v>8</v>
      </c>
      <c r="K6029" s="23" t="s">
        <v>8</v>
      </c>
      <c r="L6029" s="23" t="s">
        <v>8</v>
      </c>
      <c r="M6029" s="23" t="s">
        <v>8</v>
      </c>
    </row>
    <row r="6030" spans="1:13" s="21" customFormat="1" x14ac:dyDescent="0.25">
      <c r="A6030" s="22" t="s">
        <v>8</v>
      </c>
      <c r="B6030" s="18" t="str">
        <f>"225435"</f>
        <v>225435</v>
      </c>
      <c r="C6030" s="19" t="s">
        <v>5950</v>
      </c>
      <c r="D6030" s="19" t="s">
        <v>21455</v>
      </c>
      <c r="E6030" s="19" t="s">
        <v>33085</v>
      </c>
      <c r="F6030" s="19" t="s">
        <v>35995</v>
      </c>
      <c r="G6030" s="18" t="str">
        <f>"02351"</f>
        <v>02351</v>
      </c>
      <c r="H6030" s="19" t="s">
        <v>31465</v>
      </c>
      <c r="I6030" s="20">
        <v>25.318000000000001</v>
      </c>
      <c r="J6030" s="44" t="s">
        <v>8</v>
      </c>
      <c r="K6030" s="23" t="s">
        <v>8</v>
      </c>
      <c r="L6030" s="23" t="s">
        <v>8</v>
      </c>
      <c r="M6030" s="23" t="s">
        <v>8</v>
      </c>
    </row>
    <row r="6031" spans="1:13" s="21" customFormat="1" x14ac:dyDescent="0.25">
      <c r="A6031" s="22" t="s">
        <v>8</v>
      </c>
      <c r="B6031" s="18" t="str">
        <f>"225436"</f>
        <v>225436</v>
      </c>
      <c r="C6031" s="19" t="s">
        <v>5951</v>
      </c>
      <c r="D6031" s="19" t="s">
        <v>21456</v>
      </c>
      <c r="E6031" s="19" t="s">
        <v>33086</v>
      </c>
      <c r="F6031" s="19" t="s">
        <v>35995</v>
      </c>
      <c r="G6031" s="18" t="str">
        <f>"02122"</f>
        <v>02122</v>
      </c>
      <c r="H6031" s="19" t="s">
        <v>35389</v>
      </c>
      <c r="I6031" s="20">
        <v>17.925000000000001</v>
      </c>
      <c r="J6031" s="44" t="s">
        <v>8</v>
      </c>
      <c r="K6031" s="23" t="s">
        <v>8</v>
      </c>
      <c r="L6031" s="23" t="s">
        <v>8</v>
      </c>
      <c r="M6031" s="23" t="s">
        <v>8</v>
      </c>
    </row>
    <row r="6032" spans="1:13" s="21" customFormat="1" x14ac:dyDescent="0.25">
      <c r="A6032" s="22" t="s">
        <v>8</v>
      </c>
      <c r="B6032" s="18" t="str">
        <f>"225437"</f>
        <v>225437</v>
      </c>
      <c r="C6032" s="19" t="s">
        <v>5952</v>
      </c>
      <c r="D6032" s="19" t="s">
        <v>21457</v>
      </c>
      <c r="E6032" s="19" t="s">
        <v>33046</v>
      </c>
      <c r="F6032" s="19" t="s">
        <v>35995</v>
      </c>
      <c r="G6032" s="18" t="str">
        <f>"02492"</f>
        <v>02492</v>
      </c>
      <c r="H6032" s="19" t="s">
        <v>33776</v>
      </c>
      <c r="I6032" s="20">
        <v>20.167999999999999</v>
      </c>
      <c r="J6032" s="44" t="s">
        <v>8</v>
      </c>
      <c r="K6032" s="23" t="s">
        <v>8</v>
      </c>
      <c r="L6032" s="23" t="s">
        <v>8</v>
      </c>
      <c r="M6032" s="23" t="s">
        <v>8</v>
      </c>
    </row>
    <row r="6033" spans="1:13" s="21" customFormat="1" x14ac:dyDescent="0.25">
      <c r="A6033" s="22" t="s">
        <v>8</v>
      </c>
      <c r="B6033" s="18" t="str">
        <f>"225438"</f>
        <v>225438</v>
      </c>
      <c r="C6033" s="19" t="s">
        <v>5953</v>
      </c>
      <c r="D6033" s="19" t="s">
        <v>21458</v>
      </c>
      <c r="E6033" s="19" t="s">
        <v>33002</v>
      </c>
      <c r="F6033" s="19" t="s">
        <v>35995</v>
      </c>
      <c r="G6033" s="18" t="str">
        <f>"01604"</f>
        <v>01604</v>
      </c>
      <c r="H6033" s="19" t="s">
        <v>33002</v>
      </c>
      <c r="I6033" s="20">
        <v>21.693999999999999</v>
      </c>
      <c r="J6033" s="44" t="s">
        <v>8</v>
      </c>
      <c r="K6033" s="23" t="s">
        <v>8</v>
      </c>
      <c r="L6033" s="23" t="s">
        <v>8</v>
      </c>
      <c r="M6033" s="23" t="s">
        <v>8</v>
      </c>
    </row>
    <row r="6034" spans="1:13" s="21" customFormat="1" x14ac:dyDescent="0.25">
      <c r="A6034" s="22" t="s">
        <v>8</v>
      </c>
      <c r="B6034" s="18" t="str">
        <f>"225439"</f>
        <v>225439</v>
      </c>
      <c r="C6034" s="19" t="s">
        <v>5954</v>
      </c>
      <c r="D6034" s="19" t="s">
        <v>21459</v>
      </c>
      <c r="E6034" s="19" t="s">
        <v>33002</v>
      </c>
      <c r="F6034" s="19" t="s">
        <v>35995</v>
      </c>
      <c r="G6034" s="18" t="str">
        <f>"01606"</f>
        <v>01606</v>
      </c>
      <c r="H6034" s="19" t="s">
        <v>33002</v>
      </c>
      <c r="I6034" s="20">
        <v>18.562000000000001</v>
      </c>
      <c r="J6034" s="44" t="s">
        <v>8</v>
      </c>
      <c r="K6034" s="23" t="s">
        <v>8</v>
      </c>
      <c r="L6034" s="23" t="s">
        <v>8</v>
      </c>
      <c r="M6034" s="23" t="s">
        <v>8</v>
      </c>
    </row>
    <row r="6035" spans="1:13" s="21" customFormat="1" x14ac:dyDescent="0.25">
      <c r="A6035" s="22" t="s">
        <v>8</v>
      </c>
      <c r="B6035" s="18" t="str">
        <f>"225440"</f>
        <v>225440</v>
      </c>
      <c r="C6035" s="19" t="s">
        <v>5955</v>
      </c>
      <c r="D6035" s="19" t="s">
        <v>21460</v>
      </c>
      <c r="E6035" s="19" t="s">
        <v>33077</v>
      </c>
      <c r="F6035" s="19" t="s">
        <v>35995</v>
      </c>
      <c r="G6035" s="18" t="str">
        <f>"02453"</f>
        <v>02453</v>
      </c>
      <c r="H6035" s="19" t="s">
        <v>36120</v>
      </c>
      <c r="I6035" s="20">
        <v>17.654</v>
      </c>
      <c r="J6035" s="44" t="s">
        <v>8</v>
      </c>
      <c r="K6035" s="23" t="s">
        <v>8</v>
      </c>
      <c r="L6035" s="23" t="s">
        <v>8</v>
      </c>
      <c r="M6035" s="23" t="s">
        <v>8</v>
      </c>
    </row>
    <row r="6036" spans="1:13" s="21" customFormat="1" x14ac:dyDescent="0.25">
      <c r="A6036" s="22" t="s">
        <v>8</v>
      </c>
      <c r="B6036" s="18" t="str">
        <f>"225441"</f>
        <v>225441</v>
      </c>
      <c r="C6036" s="19" t="s">
        <v>5956</v>
      </c>
      <c r="D6036" s="19" t="s">
        <v>21461</v>
      </c>
      <c r="E6036" s="19" t="s">
        <v>32568</v>
      </c>
      <c r="F6036" s="19" t="s">
        <v>35995</v>
      </c>
      <c r="G6036" s="18" t="str">
        <f>"01843"</f>
        <v>01843</v>
      </c>
      <c r="H6036" s="19" t="s">
        <v>31458</v>
      </c>
      <c r="I6036" s="20">
        <v>20.260000000000002</v>
      </c>
      <c r="J6036" s="44" t="s">
        <v>8</v>
      </c>
      <c r="K6036" s="23" t="s">
        <v>8</v>
      </c>
      <c r="L6036" s="23" t="s">
        <v>8</v>
      </c>
      <c r="M6036" s="23" t="s">
        <v>8</v>
      </c>
    </row>
    <row r="6037" spans="1:13" s="21" customFormat="1" x14ac:dyDescent="0.25">
      <c r="A6037" s="22" t="s">
        <v>8</v>
      </c>
      <c r="B6037" s="18" t="str">
        <f>"225443"</f>
        <v>225443</v>
      </c>
      <c r="C6037" s="19" t="s">
        <v>5957</v>
      </c>
      <c r="D6037" s="19" t="s">
        <v>21462</v>
      </c>
      <c r="E6037" s="19" t="s">
        <v>33002</v>
      </c>
      <c r="F6037" s="19" t="s">
        <v>35995</v>
      </c>
      <c r="G6037" s="18" t="str">
        <f>"01604"</f>
        <v>01604</v>
      </c>
      <c r="H6037" s="19" t="s">
        <v>33002</v>
      </c>
      <c r="I6037" s="20">
        <v>17.812000000000001</v>
      </c>
      <c r="J6037" s="44" t="s">
        <v>8</v>
      </c>
      <c r="K6037" s="23" t="s">
        <v>8</v>
      </c>
      <c r="L6037" s="23" t="s">
        <v>8</v>
      </c>
      <c r="M6037" s="23" t="s">
        <v>8</v>
      </c>
    </row>
    <row r="6038" spans="1:13" s="21" customFormat="1" x14ac:dyDescent="0.25">
      <c r="A6038" s="22" t="s">
        <v>8</v>
      </c>
      <c r="B6038" s="18" t="str">
        <f>"225444"</f>
        <v>225444</v>
      </c>
      <c r="C6038" s="19" t="s">
        <v>5958</v>
      </c>
      <c r="D6038" s="19" t="s">
        <v>21463</v>
      </c>
      <c r="E6038" s="19" t="s">
        <v>33087</v>
      </c>
      <c r="F6038" s="19" t="s">
        <v>35995</v>
      </c>
      <c r="G6038" s="18" t="str">
        <f>"02072"</f>
        <v>02072</v>
      </c>
      <c r="H6038" s="19" t="s">
        <v>33776</v>
      </c>
      <c r="I6038" s="20">
        <v>20.945</v>
      </c>
      <c r="J6038" s="44" t="s">
        <v>8</v>
      </c>
      <c r="K6038" s="23" t="s">
        <v>8</v>
      </c>
      <c r="L6038" s="23" t="s">
        <v>8</v>
      </c>
      <c r="M6038" s="23" t="s">
        <v>8</v>
      </c>
    </row>
    <row r="6039" spans="1:13" s="21" customFormat="1" x14ac:dyDescent="0.25">
      <c r="A6039" s="22" t="s">
        <v>8</v>
      </c>
      <c r="B6039" s="18" t="str">
        <f>"225445"</f>
        <v>225445</v>
      </c>
      <c r="C6039" s="19" t="s">
        <v>5959</v>
      </c>
      <c r="D6039" s="19" t="s">
        <v>21464</v>
      </c>
      <c r="E6039" s="19" t="s">
        <v>33007</v>
      </c>
      <c r="F6039" s="19" t="s">
        <v>35995</v>
      </c>
      <c r="G6039" s="18" t="str">
        <f>"02184"</f>
        <v>02184</v>
      </c>
      <c r="H6039" s="19" t="s">
        <v>33776</v>
      </c>
      <c r="I6039" s="20">
        <v>19.817</v>
      </c>
      <c r="J6039" s="44" t="s">
        <v>8</v>
      </c>
      <c r="K6039" s="23" t="s">
        <v>8</v>
      </c>
      <c r="L6039" s="23" t="s">
        <v>8</v>
      </c>
      <c r="M6039" s="23" t="s">
        <v>8</v>
      </c>
    </row>
    <row r="6040" spans="1:13" s="21" customFormat="1" x14ac:dyDescent="0.25">
      <c r="A6040" s="22" t="s">
        <v>8</v>
      </c>
      <c r="B6040" s="18" t="str">
        <f>"225448"</f>
        <v>225448</v>
      </c>
      <c r="C6040" s="19" t="s">
        <v>5960</v>
      </c>
      <c r="D6040" s="19" t="s">
        <v>21465</v>
      </c>
      <c r="E6040" s="19" t="s">
        <v>33022</v>
      </c>
      <c r="F6040" s="19" t="s">
        <v>35995</v>
      </c>
      <c r="G6040" s="18" t="str">
        <f>"02720"</f>
        <v>02720</v>
      </c>
      <c r="H6040" s="19" t="s">
        <v>31434</v>
      </c>
      <c r="I6040" s="20">
        <v>17.010999999999999</v>
      </c>
      <c r="J6040" s="44" t="s">
        <v>8</v>
      </c>
      <c r="K6040" s="23" t="s">
        <v>8</v>
      </c>
      <c r="L6040" s="23" t="s">
        <v>8</v>
      </c>
      <c r="M6040" s="23" t="s">
        <v>8</v>
      </c>
    </row>
    <row r="6041" spans="1:13" s="21" customFormat="1" x14ac:dyDescent="0.25">
      <c r="A6041" s="22" t="s">
        <v>8</v>
      </c>
      <c r="B6041" s="18" t="str">
        <f>"225449"</f>
        <v>225449</v>
      </c>
      <c r="C6041" s="19" t="s">
        <v>5961</v>
      </c>
      <c r="D6041" s="19" t="s">
        <v>21466</v>
      </c>
      <c r="E6041" s="19" t="s">
        <v>33023</v>
      </c>
      <c r="F6041" s="19" t="s">
        <v>35995</v>
      </c>
      <c r="G6041" s="18" t="str">
        <f>"01923"</f>
        <v>01923</v>
      </c>
      <c r="H6041" s="19" t="s">
        <v>31458</v>
      </c>
      <c r="I6041" s="20">
        <v>19.876000000000001</v>
      </c>
      <c r="J6041" s="44" t="s">
        <v>8</v>
      </c>
      <c r="K6041" s="23" t="s">
        <v>8</v>
      </c>
      <c r="L6041" s="23" t="s">
        <v>8</v>
      </c>
      <c r="M6041" s="23" t="s">
        <v>8</v>
      </c>
    </row>
    <row r="6042" spans="1:13" s="21" customFormat="1" x14ac:dyDescent="0.25">
      <c r="A6042" s="22" t="s">
        <v>8</v>
      </c>
      <c r="B6042" s="18" t="str">
        <f>"225451"</f>
        <v>225451</v>
      </c>
      <c r="C6042" s="19" t="s">
        <v>5962</v>
      </c>
      <c r="D6042" s="19" t="s">
        <v>21467</v>
      </c>
      <c r="E6042" s="19" t="s">
        <v>33088</v>
      </c>
      <c r="F6042" s="19" t="s">
        <v>35995</v>
      </c>
      <c r="G6042" s="18" t="str">
        <f>"02150"</f>
        <v>02150</v>
      </c>
      <c r="H6042" s="19" t="s">
        <v>35389</v>
      </c>
      <c r="I6042" s="20">
        <v>21.454999999999998</v>
      </c>
      <c r="J6042" s="44" t="s">
        <v>8</v>
      </c>
      <c r="K6042" s="23" t="s">
        <v>8</v>
      </c>
      <c r="L6042" s="23" t="s">
        <v>8</v>
      </c>
      <c r="M6042" s="23" t="s">
        <v>8</v>
      </c>
    </row>
    <row r="6043" spans="1:13" s="21" customFormat="1" x14ac:dyDescent="0.25">
      <c r="A6043" s="22" t="s">
        <v>8</v>
      </c>
      <c r="B6043" s="18" t="str">
        <f>"225452"</f>
        <v>225452</v>
      </c>
      <c r="C6043" s="19" t="s">
        <v>5963</v>
      </c>
      <c r="D6043" s="19" t="s">
        <v>21468</v>
      </c>
      <c r="E6043" s="19" t="s">
        <v>31347</v>
      </c>
      <c r="F6043" s="19" t="s">
        <v>35995</v>
      </c>
      <c r="G6043" s="18" t="str">
        <f>"01564"</f>
        <v>01564</v>
      </c>
      <c r="H6043" s="19" t="s">
        <v>33002</v>
      </c>
      <c r="I6043" s="20">
        <v>19.89</v>
      </c>
      <c r="J6043" s="44" t="s">
        <v>8</v>
      </c>
      <c r="K6043" s="23" t="s">
        <v>8</v>
      </c>
      <c r="L6043" s="23" t="s">
        <v>8</v>
      </c>
      <c r="M6043" s="23" t="s">
        <v>8</v>
      </c>
    </row>
    <row r="6044" spans="1:13" s="21" customFormat="1" x14ac:dyDescent="0.25">
      <c r="A6044" s="22" t="s">
        <v>8</v>
      </c>
      <c r="B6044" s="18" t="str">
        <f>"225453"</f>
        <v>225453</v>
      </c>
      <c r="C6044" s="19" t="s">
        <v>5964</v>
      </c>
      <c r="D6044" s="19" t="s">
        <v>21469</v>
      </c>
      <c r="E6044" s="19" t="s">
        <v>33022</v>
      </c>
      <c r="F6044" s="19" t="s">
        <v>35995</v>
      </c>
      <c r="G6044" s="18" t="str">
        <f>"02723"</f>
        <v>02723</v>
      </c>
      <c r="H6044" s="19" t="s">
        <v>31434</v>
      </c>
      <c r="I6044" s="20">
        <v>20.992999999999999</v>
      </c>
      <c r="J6044" s="44" t="s">
        <v>8</v>
      </c>
      <c r="K6044" s="23" t="s">
        <v>8</v>
      </c>
      <c r="L6044" s="23" t="s">
        <v>8</v>
      </c>
      <c r="M6044" s="23" t="s">
        <v>8</v>
      </c>
    </row>
    <row r="6045" spans="1:13" s="21" customFormat="1" x14ac:dyDescent="0.25">
      <c r="A6045" s="22" t="s">
        <v>8</v>
      </c>
      <c r="B6045" s="18" t="str">
        <f>"225455"</f>
        <v>225455</v>
      </c>
      <c r="C6045" s="19" t="s">
        <v>5965</v>
      </c>
      <c r="D6045" s="19" t="s">
        <v>21470</v>
      </c>
      <c r="E6045" s="19" t="s">
        <v>31744</v>
      </c>
      <c r="F6045" s="19" t="s">
        <v>35995</v>
      </c>
      <c r="G6045" s="18" t="str">
        <f>"01226"</f>
        <v>01226</v>
      </c>
      <c r="H6045" s="19" t="s">
        <v>36411</v>
      </c>
      <c r="I6045" s="20">
        <v>21.023</v>
      </c>
      <c r="J6045" s="44" t="s">
        <v>8</v>
      </c>
      <c r="K6045" s="23" t="s">
        <v>8</v>
      </c>
      <c r="L6045" s="23" t="s">
        <v>8</v>
      </c>
      <c r="M6045" s="23" t="s">
        <v>8</v>
      </c>
    </row>
    <row r="6046" spans="1:13" s="21" customFormat="1" x14ac:dyDescent="0.25">
      <c r="A6046" s="22" t="s">
        <v>8</v>
      </c>
      <c r="B6046" s="18" t="str">
        <f>"225456"</f>
        <v>225456</v>
      </c>
      <c r="C6046" s="19" t="s">
        <v>5966</v>
      </c>
      <c r="D6046" s="19" t="s">
        <v>21471</v>
      </c>
      <c r="E6046" s="19" t="s">
        <v>32250</v>
      </c>
      <c r="F6046" s="19" t="s">
        <v>35995</v>
      </c>
      <c r="G6046" s="18" t="str">
        <f>"01966"</f>
        <v>01966</v>
      </c>
      <c r="H6046" s="19" t="s">
        <v>31458</v>
      </c>
      <c r="I6046" s="20">
        <v>19.324999999999999</v>
      </c>
      <c r="J6046" s="44" t="s">
        <v>8</v>
      </c>
      <c r="K6046" s="23" t="s">
        <v>8</v>
      </c>
      <c r="L6046" s="23" t="s">
        <v>8</v>
      </c>
      <c r="M6046" s="23" t="s">
        <v>8</v>
      </c>
    </row>
    <row r="6047" spans="1:13" s="21" customFormat="1" x14ac:dyDescent="0.25">
      <c r="A6047" s="22" t="s">
        <v>8</v>
      </c>
      <c r="B6047" s="18" t="str">
        <f>"225458"</f>
        <v>225458</v>
      </c>
      <c r="C6047" s="19" t="s">
        <v>5967</v>
      </c>
      <c r="D6047" s="19" t="s">
        <v>21472</v>
      </c>
      <c r="E6047" s="19" t="s">
        <v>32273</v>
      </c>
      <c r="F6047" s="19" t="s">
        <v>35995</v>
      </c>
      <c r="G6047" s="18" t="str">
        <f>"01854"</f>
        <v>01854</v>
      </c>
      <c r="H6047" s="19" t="s">
        <v>36120</v>
      </c>
      <c r="I6047" s="20">
        <v>19.803999999999998</v>
      </c>
      <c r="J6047" s="44" t="s">
        <v>8</v>
      </c>
      <c r="K6047" s="23" t="s">
        <v>8</v>
      </c>
      <c r="L6047" s="23" t="s">
        <v>8</v>
      </c>
      <c r="M6047" s="23" t="s">
        <v>8</v>
      </c>
    </row>
    <row r="6048" spans="1:13" s="21" customFormat="1" x14ac:dyDescent="0.25">
      <c r="A6048" s="22" t="s">
        <v>8</v>
      </c>
      <c r="B6048" s="18" t="str">
        <f>"225459"</f>
        <v>225459</v>
      </c>
      <c r="C6048" s="19" t="s">
        <v>5968</v>
      </c>
      <c r="D6048" s="19" t="s">
        <v>21473</v>
      </c>
      <c r="E6048" s="19" t="s">
        <v>32905</v>
      </c>
      <c r="F6048" s="19" t="s">
        <v>35995</v>
      </c>
      <c r="G6048" s="18" t="str">
        <f>"02540"</f>
        <v>02540</v>
      </c>
      <c r="H6048" s="19" t="s">
        <v>36413</v>
      </c>
      <c r="I6048" s="20">
        <v>19.370999999999999</v>
      </c>
      <c r="J6048" s="44" t="s">
        <v>8</v>
      </c>
      <c r="K6048" s="23" t="s">
        <v>8</v>
      </c>
      <c r="L6048" s="23" t="s">
        <v>8</v>
      </c>
      <c r="M6048" s="23" t="s">
        <v>8</v>
      </c>
    </row>
    <row r="6049" spans="1:13" s="21" customFormat="1" x14ac:dyDescent="0.25">
      <c r="A6049" s="22" t="s">
        <v>8</v>
      </c>
      <c r="B6049" s="18" t="str">
        <f>"225461"</f>
        <v>225461</v>
      </c>
      <c r="C6049" s="19" t="s">
        <v>5969</v>
      </c>
      <c r="D6049" s="19" t="s">
        <v>21474</v>
      </c>
      <c r="E6049" s="19" t="s">
        <v>5</v>
      </c>
      <c r="F6049" s="19" t="s">
        <v>35995</v>
      </c>
      <c r="G6049" s="18" t="str">
        <f>"02038"</f>
        <v>02038</v>
      </c>
      <c r="H6049" s="19" t="s">
        <v>33776</v>
      </c>
      <c r="I6049" s="20">
        <v>19.492000000000001</v>
      </c>
      <c r="J6049" s="44" t="s">
        <v>8</v>
      </c>
      <c r="K6049" s="23" t="s">
        <v>8</v>
      </c>
      <c r="L6049" s="23" t="s">
        <v>8</v>
      </c>
      <c r="M6049" s="23" t="s">
        <v>8</v>
      </c>
    </row>
    <row r="6050" spans="1:13" s="21" customFormat="1" x14ac:dyDescent="0.25">
      <c r="A6050" s="22" t="s">
        <v>8</v>
      </c>
      <c r="B6050" s="18" t="str">
        <f>"225463"</f>
        <v>225463</v>
      </c>
      <c r="C6050" s="19" t="s">
        <v>5970</v>
      </c>
      <c r="D6050" s="19" t="s">
        <v>21475</v>
      </c>
      <c r="E6050" s="19" t="s">
        <v>31405</v>
      </c>
      <c r="F6050" s="19" t="s">
        <v>35995</v>
      </c>
      <c r="G6050" s="18" t="str">
        <f>"01757"</f>
        <v>01757</v>
      </c>
      <c r="H6050" s="19" t="s">
        <v>33002</v>
      </c>
      <c r="I6050" s="20">
        <v>22.573</v>
      </c>
      <c r="J6050" s="44" t="s">
        <v>8</v>
      </c>
      <c r="K6050" s="23" t="s">
        <v>8</v>
      </c>
      <c r="L6050" s="23" t="s">
        <v>8</v>
      </c>
      <c r="M6050" s="23" t="s">
        <v>8</v>
      </c>
    </row>
    <row r="6051" spans="1:13" s="21" customFormat="1" x14ac:dyDescent="0.25">
      <c r="A6051" s="22" t="s">
        <v>8</v>
      </c>
      <c r="B6051" s="18" t="str">
        <f>"225464"</f>
        <v>225464</v>
      </c>
      <c r="C6051" s="19" t="s">
        <v>5971</v>
      </c>
      <c r="D6051" s="19" t="s">
        <v>21476</v>
      </c>
      <c r="E6051" s="19" t="s">
        <v>33089</v>
      </c>
      <c r="F6051" s="19" t="s">
        <v>35995</v>
      </c>
      <c r="G6051" s="18" t="str">
        <f>"01930"</f>
        <v>01930</v>
      </c>
      <c r="H6051" s="19" t="s">
        <v>31458</v>
      </c>
      <c r="I6051" s="20">
        <v>20.263000000000002</v>
      </c>
      <c r="J6051" s="44" t="s">
        <v>8</v>
      </c>
      <c r="K6051" s="23" t="s">
        <v>8</v>
      </c>
      <c r="L6051" s="23" t="s">
        <v>8</v>
      </c>
      <c r="M6051" s="23" t="s">
        <v>8</v>
      </c>
    </row>
    <row r="6052" spans="1:13" s="21" customFormat="1" x14ac:dyDescent="0.25">
      <c r="A6052" s="22" t="s">
        <v>8</v>
      </c>
      <c r="B6052" s="18" t="str">
        <f>"225465"</f>
        <v>225465</v>
      </c>
      <c r="C6052" s="19" t="s">
        <v>5972</v>
      </c>
      <c r="D6052" s="19" t="s">
        <v>21477</v>
      </c>
      <c r="E6052" s="19" t="s">
        <v>33040</v>
      </c>
      <c r="F6052" s="19" t="s">
        <v>35995</v>
      </c>
      <c r="G6052" s="18" t="str">
        <f>"02740"</f>
        <v>02740</v>
      </c>
      <c r="H6052" s="19" t="s">
        <v>31434</v>
      </c>
      <c r="I6052" s="20">
        <v>20.681999999999999</v>
      </c>
      <c r="J6052" s="44" t="s">
        <v>8</v>
      </c>
      <c r="K6052" s="23" t="s">
        <v>8</v>
      </c>
      <c r="L6052" s="23" t="s">
        <v>8</v>
      </c>
      <c r="M6052" s="23" t="s">
        <v>8</v>
      </c>
    </row>
    <row r="6053" spans="1:13" s="21" customFormat="1" x14ac:dyDescent="0.25">
      <c r="A6053" s="22" t="s">
        <v>8</v>
      </c>
      <c r="B6053" s="18" t="str">
        <f>"225466"</f>
        <v>225466</v>
      </c>
      <c r="C6053" s="19" t="s">
        <v>5973</v>
      </c>
      <c r="D6053" s="19" t="s">
        <v>21478</v>
      </c>
      <c r="E6053" s="19" t="s">
        <v>33070</v>
      </c>
      <c r="F6053" s="19" t="s">
        <v>35995</v>
      </c>
      <c r="G6053" s="18" t="str">
        <f>"01053"</f>
        <v>01053</v>
      </c>
      <c r="H6053" s="19" t="s">
        <v>36412</v>
      </c>
      <c r="I6053" s="20">
        <v>18.513999999999999</v>
      </c>
      <c r="J6053" s="44" t="s">
        <v>8</v>
      </c>
      <c r="K6053" s="23" t="s">
        <v>8</v>
      </c>
      <c r="L6053" s="23" t="s">
        <v>8</v>
      </c>
      <c r="M6053" s="23" t="s">
        <v>8</v>
      </c>
    </row>
    <row r="6054" spans="1:13" s="21" customFormat="1" x14ac:dyDescent="0.25">
      <c r="A6054" s="22" t="s">
        <v>8</v>
      </c>
      <c r="B6054" s="18" t="str">
        <f>"225467"</f>
        <v>225467</v>
      </c>
      <c r="C6054" s="19" t="s">
        <v>5974</v>
      </c>
      <c r="D6054" s="19" t="s">
        <v>21479</v>
      </c>
      <c r="E6054" s="19" t="s">
        <v>33002</v>
      </c>
      <c r="F6054" s="19" t="s">
        <v>35995</v>
      </c>
      <c r="G6054" s="18" t="str">
        <f>"01605"</f>
        <v>01605</v>
      </c>
      <c r="H6054" s="19" t="s">
        <v>33002</v>
      </c>
      <c r="I6054" s="20">
        <v>18.748000000000001</v>
      </c>
      <c r="J6054" s="44" t="s">
        <v>8</v>
      </c>
      <c r="K6054" s="23" t="s">
        <v>8</v>
      </c>
      <c r="L6054" s="23" t="s">
        <v>8</v>
      </c>
      <c r="M6054" s="23" t="s">
        <v>8</v>
      </c>
    </row>
    <row r="6055" spans="1:13" s="21" customFormat="1" x14ac:dyDescent="0.25">
      <c r="A6055" s="22" t="s">
        <v>8</v>
      </c>
      <c r="B6055" s="18" t="str">
        <f>"225469"</f>
        <v>225469</v>
      </c>
      <c r="C6055" s="19" t="s">
        <v>5975</v>
      </c>
      <c r="D6055" s="19" t="s">
        <v>21480</v>
      </c>
      <c r="E6055" s="19" t="s">
        <v>33024</v>
      </c>
      <c r="F6055" s="19" t="s">
        <v>35995</v>
      </c>
      <c r="G6055" s="18" t="str">
        <f>"02130"</f>
        <v>02130</v>
      </c>
      <c r="H6055" s="19" t="s">
        <v>35389</v>
      </c>
      <c r="I6055" s="20">
        <v>18.228000000000002</v>
      </c>
      <c r="J6055" s="44" t="s">
        <v>8</v>
      </c>
      <c r="K6055" s="23" t="s">
        <v>8</v>
      </c>
      <c r="L6055" s="23" t="s">
        <v>8</v>
      </c>
      <c r="M6055" s="23" t="s">
        <v>8</v>
      </c>
    </row>
    <row r="6056" spans="1:13" s="21" customFormat="1" x14ac:dyDescent="0.25">
      <c r="A6056" s="22" t="s">
        <v>8</v>
      </c>
      <c r="B6056" s="18" t="str">
        <f>"225470"</f>
        <v>225470</v>
      </c>
      <c r="C6056" s="19" t="s">
        <v>5976</v>
      </c>
      <c r="D6056" s="19" t="s">
        <v>21481</v>
      </c>
      <c r="E6056" s="19" t="s">
        <v>33090</v>
      </c>
      <c r="F6056" s="19" t="s">
        <v>35995</v>
      </c>
      <c r="G6056" s="18" t="str">
        <f>"02143"</f>
        <v>02143</v>
      </c>
      <c r="H6056" s="19" t="s">
        <v>36120</v>
      </c>
      <c r="I6056" s="20">
        <v>18.219000000000001</v>
      </c>
      <c r="J6056" s="44" t="s">
        <v>8</v>
      </c>
      <c r="K6056" s="23" t="s">
        <v>8</v>
      </c>
      <c r="L6056" s="23" t="s">
        <v>8</v>
      </c>
      <c r="M6056" s="23" t="s">
        <v>8</v>
      </c>
    </row>
    <row r="6057" spans="1:13" s="21" customFormat="1" x14ac:dyDescent="0.25">
      <c r="A6057" s="22" t="s">
        <v>8</v>
      </c>
      <c r="B6057" s="18" t="str">
        <f>"225471"</f>
        <v>225471</v>
      </c>
      <c r="C6057" s="19" t="s">
        <v>5977</v>
      </c>
      <c r="D6057" s="19" t="s">
        <v>21482</v>
      </c>
      <c r="E6057" s="19" t="s">
        <v>33091</v>
      </c>
      <c r="F6057" s="19" t="s">
        <v>35995</v>
      </c>
      <c r="G6057" s="18" t="str">
        <f>"01908"</f>
        <v>01908</v>
      </c>
      <c r="H6057" s="19" t="s">
        <v>31458</v>
      </c>
      <c r="I6057" s="20">
        <v>18.611000000000001</v>
      </c>
      <c r="J6057" s="44" t="s">
        <v>8</v>
      </c>
      <c r="K6057" s="23" t="s">
        <v>8</v>
      </c>
      <c r="L6057" s="23" t="s">
        <v>8</v>
      </c>
      <c r="M6057" s="23" t="s">
        <v>8</v>
      </c>
    </row>
    <row r="6058" spans="1:13" s="21" customFormat="1" x14ac:dyDescent="0.25">
      <c r="A6058" s="22" t="s">
        <v>8</v>
      </c>
      <c r="B6058" s="18" t="str">
        <f>"225472"</f>
        <v>225472</v>
      </c>
      <c r="C6058" s="19" t="s">
        <v>5978</v>
      </c>
      <c r="D6058" s="19" t="s">
        <v>21483</v>
      </c>
      <c r="E6058" s="19" t="s">
        <v>32649</v>
      </c>
      <c r="F6058" s="19" t="s">
        <v>35995</v>
      </c>
      <c r="G6058" s="18" t="str">
        <f>"01960"</f>
        <v>01960</v>
      </c>
      <c r="H6058" s="19" t="s">
        <v>31458</v>
      </c>
      <c r="I6058" s="20">
        <v>20.731999999999999</v>
      </c>
      <c r="J6058" s="44" t="s">
        <v>8</v>
      </c>
      <c r="K6058" s="23" t="s">
        <v>8</v>
      </c>
      <c r="L6058" s="23" t="s">
        <v>8</v>
      </c>
      <c r="M6058" s="23" t="s">
        <v>8</v>
      </c>
    </row>
    <row r="6059" spans="1:13" s="21" customFormat="1" x14ac:dyDescent="0.25">
      <c r="A6059" s="22" t="s">
        <v>8</v>
      </c>
      <c r="B6059" s="18" t="str">
        <f>"225474"</f>
        <v>225474</v>
      </c>
      <c r="C6059" s="19" t="s">
        <v>5979</v>
      </c>
      <c r="D6059" s="19" t="s">
        <v>21484</v>
      </c>
      <c r="E6059" s="19" t="s">
        <v>33009</v>
      </c>
      <c r="F6059" s="19" t="s">
        <v>35995</v>
      </c>
      <c r="G6059" s="18" t="str">
        <f>"02780"</f>
        <v>02780</v>
      </c>
      <c r="H6059" s="19" t="s">
        <v>31434</v>
      </c>
      <c r="I6059" s="20">
        <v>19.596</v>
      </c>
      <c r="J6059" s="44" t="s">
        <v>8</v>
      </c>
      <c r="K6059" s="23" t="s">
        <v>8</v>
      </c>
      <c r="L6059" s="23" t="s">
        <v>8</v>
      </c>
      <c r="M6059" s="23" t="s">
        <v>8</v>
      </c>
    </row>
    <row r="6060" spans="1:13" s="21" customFormat="1" x14ac:dyDescent="0.25">
      <c r="A6060" s="22" t="s">
        <v>8</v>
      </c>
      <c r="B6060" s="18" t="str">
        <f>"225475"</f>
        <v>225475</v>
      </c>
      <c r="C6060" s="19" t="s">
        <v>5980</v>
      </c>
      <c r="D6060" s="19" t="s">
        <v>21485</v>
      </c>
      <c r="E6060" s="19" t="s">
        <v>33092</v>
      </c>
      <c r="F6060" s="19" t="s">
        <v>35995</v>
      </c>
      <c r="G6060" s="18" t="str">
        <f>"02760"</f>
        <v>02760</v>
      </c>
      <c r="H6060" s="19" t="s">
        <v>31434</v>
      </c>
      <c r="I6060" s="20">
        <v>20.021999999999998</v>
      </c>
      <c r="J6060" s="44" t="s">
        <v>8</v>
      </c>
      <c r="K6060" s="23" t="s">
        <v>8</v>
      </c>
      <c r="L6060" s="23" t="s">
        <v>8</v>
      </c>
      <c r="M6060" s="23" t="s">
        <v>8</v>
      </c>
    </row>
    <row r="6061" spans="1:13" s="21" customFormat="1" x14ac:dyDescent="0.25">
      <c r="A6061" s="22" t="s">
        <v>8</v>
      </c>
      <c r="B6061" s="18" t="str">
        <f>"225476"</f>
        <v>225476</v>
      </c>
      <c r="C6061" s="19" t="s">
        <v>5981</v>
      </c>
      <c r="D6061" s="19" t="s">
        <v>21486</v>
      </c>
      <c r="E6061" s="19" t="s">
        <v>33093</v>
      </c>
      <c r="F6061" s="19" t="s">
        <v>35995</v>
      </c>
      <c r="G6061" s="18" t="str">
        <f>"02093"</f>
        <v>02093</v>
      </c>
      <c r="H6061" s="19" t="s">
        <v>33776</v>
      </c>
      <c r="I6061" s="20">
        <v>17.887</v>
      </c>
      <c r="J6061" s="44" t="s">
        <v>8</v>
      </c>
      <c r="K6061" s="23" t="s">
        <v>8</v>
      </c>
      <c r="L6061" s="23" t="s">
        <v>8</v>
      </c>
      <c r="M6061" s="23" t="s">
        <v>8</v>
      </c>
    </row>
    <row r="6062" spans="1:13" s="21" customFormat="1" x14ac:dyDescent="0.25">
      <c r="A6062" s="22" t="s">
        <v>8</v>
      </c>
      <c r="B6062" s="18" t="str">
        <f>"225477"</f>
        <v>225477</v>
      </c>
      <c r="C6062" s="19" t="s">
        <v>5982</v>
      </c>
      <c r="D6062" s="19" t="s">
        <v>21487</v>
      </c>
      <c r="E6062" s="19" t="s">
        <v>33009</v>
      </c>
      <c r="F6062" s="19" t="s">
        <v>35995</v>
      </c>
      <c r="G6062" s="18" t="str">
        <f>"02780"</f>
        <v>02780</v>
      </c>
      <c r="H6062" s="19" t="s">
        <v>31434</v>
      </c>
      <c r="I6062" s="20">
        <v>19.251999999999999</v>
      </c>
      <c r="J6062" s="44" t="s">
        <v>8</v>
      </c>
      <c r="K6062" s="23" t="s">
        <v>8</v>
      </c>
      <c r="L6062" s="23" t="s">
        <v>8</v>
      </c>
      <c r="M6062" s="23" t="s">
        <v>8</v>
      </c>
    </row>
    <row r="6063" spans="1:13" s="21" customFormat="1" x14ac:dyDescent="0.25">
      <c r="A6063" s="22" t="s">
        <v>8</v>
      </c>
      <c r="B6063" s="18" t="str">
        <f>"225478"</f>
        <v>225478</v>
      </c>
      <c r="C6063" s="19" t="s">
        <v>5983</v>
      </c>
      <c r="D6063" s="19" t="s">
        <v>21488</v>
      </c>
      <c r="E6063" s="19" t="s">
        <v>33094</v>
      </c>
      <c r="F6063" s="19" t="s">
        <v>35995</v>
      </c>
      <c r="G6063" s="18" t="str">
        <f>"01864"</f>
        <v>01864</v>
      </c>
      <c r="H6063" s="19" t="s">
        <v>36120</v>
      </c>
      <c r="I6063" s="20">
        <v>20.452000000000002</v>
      </c>
      <c r="J6063" s="44" t="s">
        <v>8</v>
      </c>
      <c r="K6063" s="23" t="s">
        <v>8</v>
      </c>
      <c r="L6063" s="23" t="s">
        <v>8</v>
      </c>
      <c r="M6063" s="23" t="s">
        <v>8</v>
      </c>
    </row>
    <row r="6064" spans="1:13" s="21" customFormat="1" x14ac:dyDescent="0.25">
      <c r="A6064" s="22" t="s">
        <v>8</v>
      </c>
      <c r="B6064" s="18" t="str">
        <f>"225480"</f>
        <v>225480</v>
      </c>
      <c r="C6064" s="19" t="s">
        <v>5984</v>
      </c>
      <c r="D6064" s="19" t="s">
        <v>21489</v>
      </c>
      <c r="E6064" s="19" t="s">
        <v>31373</v>
      </c>
      <c r="F6064" s="19" t="s">
        <v>35995</v>
      </c>
      <c r="G6064" s="18" t="str">
        <f>"01040"</f>
        <v>01040</v>
      </c>
      <c r="H6064" s="19" t="s">
        <v>33041</v>
      </c>
      <c r="I6064" s="20">
        <v>20.933</v>
      </c>
      <c r="J6064" s="44" t="s">
        <v>8</v>
      </c>
      <c r="K6064" s="23" t="s">
        <v>8</v>
      </c>
      <c r="L6064" s="23" t="s">
        <v>8</v>
      </c>
      <c r="M6064" s="23" t="s">
        <v>8</v>
      </c>
    </row>
    <row r="6065" spans="1:13" s="21" customFormat="1" x14ac:dyDescent="0.25">
      <c r="A6065" s="22" t="s">
        <v>8</v>
      </c>
      <c r="B6065" s="18" t="str">
        <f>"225481"</f>
        <v>225481</v>
      </c>
      <c r="C6065" s="19" t="s">
        <v>5985</v>
      </c>
      <c r="D6065" s="19" t="s">
        <v>21490</v>
      </c>
      <c r="E6065" s="19" t="s">
        <v>33040</v>
      </c>
      <c r="F6065" s="19" t="s">
        <v>35995</v>
      </c>
      <c r="G6065" s="18" t="str">
        <f>"02740"</f>
        <v>02740</v>
      </c>
      <c r="H6065" s="19" t="s">
        <v>31434</v>
      </c>
      <c r="I6065" s="20">
        <v>16.178000000000001</v>
      </c>
      <c r="J6065" s="44" t="s">
        <v>8</v>
      </c>
      <c r="K6065" s="23" t="s">
        <v>8</v>
      </c>
      <c r="L6065" s="23" t="s">
        <v>8</v>
      </c>
      <c r="M6065" s="23" t="s">
        <v>8</v>
      </c>
    </row>
    <row r="6066" spans="1:13" s="21" customFormat="1" x14ac:dyDescent="0.25">
      <c r="A6066" s="22" t="s">
        <v>8</v>
      </c>
      <c r="B6066" s="18" t="str">
        <f>"225482"</f>
        <v>225482</v>
      </c>
      <c r="C6066" s="19" t="s">
        <v>5986</v>
      </c>
      <c r="D6066" s="19" t="s">
        <v>21491</v>
      </c>
      <c r="E6066" s="19" t="s">
        <v>33095</v>
      </c>
      <c r="F6066" s="19" t="s">
        <v>35995</v>
      </c>
      <c r="G6066" s="18" t="str">
        <f>"02061"</f>
        <v>02061</v>
      </c>
      <c r="H6066" s="19" t="s">
        <v>31465</v>
      </c>
      <c r="I6066" s="20">
        <v>20.2</v>
      </c>
      <c r="J6066" s="44" t="s">
        <v>8</v>
      </c>
      <c r="K6066" s="23" t="s">
        <v>8</v>
      </c>
      <c r="L6066" s="23" t="s">
        <v>8</v>
      </c>
      <c r="M6066" s="23" t="s">
        <v>8</v>
      </c>
    </row>
    <row r="6067" spans="1:13" s="21" customFormat="1" x14ac:dyDescent="0.25">
      <c r="A6067" s="22" t="s">
        <v>8</v>
      </c>
      <c r="B6067" s="18" t="str">
        <f>"225483"</f>
        <v>225483</v>
      </c>
      <c r="C6067" s="19" t="s">
        <v>5987</v>
      </c>
      <c r="D6067" s="19" t="s">
        <v>21492</v>
      </c>
      <c r="E6067" s="19" t="s">
        <v>33048</v>
      </c>
      <c r="F6067" s="19" t="s">
        <v>35995</v>
      </c>
      <c r="G6067" s="18" t="str">
        <f>"01570"</f>
        <v>01570</v>
      </c>
      <c r="H6067" s="19" t="s">
        <v>33002</v>
      </c>
      <c r="I6067" s="20">
        <v>17.414999999999999</v>
      </c>
      <c r="J6067" s="44" t="s">
        <v>8</v>
      </c>
      <c r="K6067" s="23" t="s">
        <v>8</v>
      </c>
      <c r="L6067" s="23" t="s">
        <v>8</v>
      </c>
      <c r="M6067" s="23" t="s">
        <v>8</v>
      </c>
    </row>
    <row r="6068" spans="1:13" s="21" customFormat="1" x14ac:dyDescent="0.25">
      <c r="A6068" s="22" t="s">
        <v>8</v>
      </c>
      <c r="B6068" s="18" t="str">
        <f>"225485"</f>
        <v>225485</v>
      </c>
      <c r="C6068" s="19" t="s">
        <v>5988</v>
      </c>
      <c r="D6068" s="19" t="s">
        <v>21493</v>
      </c>
      <c r="E6068" s="19" t="s">
        <v>33011</v>
      </c>
      <c r="F6068" s="19" t="s">
        <v>35995</v>
      </c>
      <c r="G6068" s="18" t="str">
        <f>"02719"</f>
        <v>02719</v>
      </c>
      <c r="H6068" s="19" t="s">
        <v>31434</v>
      </c>
      <c r="I6068" s="20">
        <v>17.827999999999999</v>
      </c>
      <c r="J6068" s="44" t="s">
        <v>8</v>
      </c>
      <c r="K6068" s="23" t="s">
        <v>8</v>
      </c>
      <c r="L6068" s="23" t="s">
        <v>8</v>
      </c>
      <c r="M6068" s="23" t="s">
        <v>8</v>
      </c>
    </row>
    <row r="6069" spans="1:13" s="21" customFormat="1" x14ac:dyDescent="0.25">
      <c r="A6069" s="22" t="s">
        <v>8</v>
      </c>
      <c r="B6069" s="18" t="str">
        <f>"225486"</f>
        <v>225486</v>
      </c>
      <c r="C6069" s="19" t="s">
        <v>5989</v>
      </c>
      <c r="D6069" s="19" t="s">
        <v>21494</v>
      </c>
      <c r="E6069" s="19" t="s">
        <v>33024</v>
      </c>
      <c r="F6069" s="19" t="s">
        <v>35995</v>
      </c>
      <c r="G6069" s="18" t="str">
        <f>"02135"</f>
        <v>02135</v>
      </c>
      <c r="H6069" s="19" t="s">
        <v>35389</v>
      </c>
      <c r="I6069" s="20">
        <v>18.427</v>
      </c>
      <c r="J6069" s="44" t="s">
        <v>8</v>
      </c>
      <c r="K6069" s="23" t="s">
        <v>8</v>
      </c>
      <c r="L6069" s="23" t="s">
        <v>8</v>
      </c>
      <c r="M6069" s="23" t="s">
        <v>8</v>
      </c>
    </row>
    <row r="6070" spans="1:13" s="21" customFormat="1" x14ac:dyDescent="0.25">
      <c r="A6070" s="22" t="s">
        <v>8</v>
      </c>
      <c r="B6070" s="18" t="str">
        <f>"225488"</f>
        <v>225488</v>
      </c>
      <c r="C6070" s="19" t="s">
        <v>5990</v>
      </c>
      <c r="D6070" s="19" t="s">
        <v>21495</v>
      </c>
      <c r="E6070" s="19" t="s">
        <v>33096</v>
      </c>
      <c r="F6070" s="19" t="s">
        <v>35995</v>
      </c>
      <c r="G6070" s="18" t="str">
        <f>"02571"</f>
        <v>02571</v>
      </c>
      <c r="H6070" s="19" t="s">
        <v>31465</v>
      </c>
      <c r="I6070" s="20">
        <v>22.904</v>
      </c>
      <c r="J6070" s="44" t="s">
        <v>8</v>
      </c>
      <c r="K6070" s="23" t="s">
        <v>8</v>
      </c>
      <c r="L6070" s="23" t="s">
        <v>8</v>
      </c>
      <c r="M6070" s="23" t="s">
        <v>8</v>
      </c>
    </row>
    <row r="6071" spans="1:13" s="21" customFormat="1" x14ac:dyDescent="0.25">
      <c r="A6071" s="22" t="s">
        <v>8</v>
      </c>
      <c r="B6071" s="18" t="str">
        <f>"225489"</f>
        <v>225489</v>
      </c>
      <c r="C6071" s="19" t="s">
        <v>5991</v>
      </c>
      <c r="D6071" s="19" t="s">
        <v>21496</v>
      </c>
      <c r="E6071" s="19" t="s">
        <v>32273</v>
      </c>
      <c r="F6071" s="19" t="s">
        <v>35995</v>
      </c>
      <c r="G6071" s="18" t="str">
        <f>"01852"</f>
        <v>01852</v>
      </c>
      <c r="H6071" s="19" t="s">
        <v>36120</v>
      </c>
      <c r="I6071" s="20">
        <v>21.954999999999998</v>
      </c>
      <c r="J6071" s="44" t="s">
        <v>8</v>
      </c>
      <c r="K6071" s="23" t="s">
        <v>8</v>
      </c>
      <c r="L6071" s="23" t="s">
        <v>8</v>
      </c>
      <c r="M6071" s="23" t="s">
        <v>8</v>
      </c>
    </row>
    <row r="6072" spans="1:13" s="21" customFormat="1" x14ac:dyDescent="0.25">
      <c r="A6072" s="22" t="s">
        <v>8</v>
      </c>
      <c r="B6072" s="18" t="str">
        <f>"225490"</f>
        <v>225490</v>
      </c>
      <c r="C6072" s="19" t="s">
        <v>5992</v>
      </c>
      <c r="D6072" s="19" t="s">
        <v>21497</v>
      </c>
      <c r="E6072" s="19" t="s">
        <v>30861</v>
      </c>
      <c r="F6072" s="19" t="s">
        <v>35995</v>
      </c>
      <c r="G6072" s="18" t="str">
        <f>"01540"</f>
        <v>01540</v>
      </c>
      <c r="H6072" s="19" t="s">
        <v>33002</v>
      </c>
      <c r="I6072" s="20">
        <v>18.213999999999999</v>
      </c>
      <c r="J6072" s="44" t="s">
        <v>8</v>
      </c>
      <c r="K6072" s="23" t="s">
        <v>8</v>
      </c>
      <c r="L6072" s="23" t="s">
        <v>8</v>
      </c>
      <c r="M6072" s="23" t="s">
        <v>8</v>
      </c>
    </row>
    <row r="6073" spans="1:13" s="21" customFormat="1" x14ac:dyDescent="0.25">
      <c r="A6073" s="22" t="s">
        <v>8</v>
      </c>
      <c r="B6073" s="18" t="str">
        <f>"225491"</f>
        <v>225491</v>
      </c>
      <c r="C6073" s="19" t="s">
        <v>5993</v>
      </c>
      <c r="D6073" s="19" t="s">
        <v>21498</v>
      </c>
      <c r="E6073" s="19" t="s">
        <v>33097</v>
      </c>
      <c r="F6073" s="19" t="s">
        <v>35995</v>
      </c>
      <c r="G6073" s="18" t="str">
        <f>"01545"</f>
        <v>01545</v>
      </c>
      <c r="H6073" s="19" t="s">
        <v>33002</v>
      </c>
      <c r="I6073" s="20">
        <v>20.13</v>
      </c>
      <c r="J6073" s="44" t="s">
        <v>8</v>
      </c>
      <c r="K6073" s="23" t="s">
        <v>8</v>
      </c>
      <c r="L6073" s="23" t="s">
        <v>8</v>
      </c>
      <c r="M6073" s="23" t="s">
        <v>8</v>
      </c>
    </row>
    <row r="6074" spans="1:13" s="21" customFormat="1" x14ac:dyDescent="0.25">
      <c r="A6074" s="22" t="s">
        <v>8</v>
      </c>
      <c r="B6074" s="18" t="str">
        <f>"225492"</f>
        <v>225492</v>
      </c>
      <c r="C6074" s="19" t="s">
        <v>5994</v>
      </c>
      <c r="D6074" s="19" t="s">
        <v>21499</v>
      </c>
      <c r="E6074" s="19" t="s">
        <v>33002</v>
      </c>
      <c r="F6074" s="19" t="s">
        <v>35995</v>
      </c>
      <c r="G6074" s="18" t="str">
        <f>"01609"</f>
        <v>01609</v>
      </c>
      <c r="H6074" s="19" t="s">
        <v>33002</v>
      </c>
      <c r="I6074" s="20">
        <v>18.992999999999999</v>
      </c>
      <c r="J6074" s="44" t="s">
        <v>8</v>
      </c>
      <c r="K6074" s="23" t="s">
        <v>8</v>
      </c>
      <c r="L6074" s="23" t="s">
        <v>8</v>
      </c>
      <c r="M6074" s="23" t="s">
        <v>8</v>
      </c>
    </row>
    <row r="6075" spans="1:13" s="21" customFormat="1" x14ac:dyDescent="0.25">
      <c r="A6075" s="22" t="s">
        <v>8</v>
      </c>
      <c r="B6075" s="18" t="str">
        <f>"225493"</f>
        <v>225493</v>
      </c>
      <c r="C6075" s="19" t="s">
        <v>5995</v>
      </c>
      <c r="D6075" s="19" t="s">
        <v>21500</v>
      </c>
      <c r="E6075" s="19" t="s">
        <v>33086</v>
      </c>
      <c r="F6075" s="19" t="s">
        <v>35995</v>
      </c>
      <c r="G6075" s="18" t="str">
        <f>"02122"</f>
        <v>02122</v>
      </c>
      <c r="H6075" s="19" t="s">
        <v>35389</v>
      </c>
      <c r="I6075" s="20">
        <v>19.945</v>
      </c>
      <c r="J6075" s="44" t="s">
        <v>8</v>
      </c>
      <c r="K6075" s="23" t="s">
        <v>8</v>
      </c>
      <c r="L6075" s="23" t="s">
        <v>8</v>
      </c>
      <c r="M6075" s="23" t="s">
        <v>8</v>
      </c>
    </row>
    <row r="6076" spans="1:13" s="21" customFormat="1" x14ac:dyDescent="0.25">
      <c r="A6076" s="22" t="s">
        <v>8</v>
      </c>
      <c r="B6076" s="18" t="str">
        <f>"225494"</f>
        <v>225494</v>
      </c>
      <c r="C6076" s="19" t="s">
        <v>3533</v>
      </c>
      <c r="D6076" s="19" t="s">
        <v>21501</v>
      </c>
      <c r="E6076" s="19" t="s">
        <v>33098</v>
      </c>
      <c r="F6076" s="19" t="s">
        <v>35995</v>
      </c>
      <c r="G6076" s="18" t="str">
        <f>"01824"</f>
        <v>01824</v>
      </c>
      <c r="H6076" s="19" t="s">
        <v>36120</v>
      </c>
      <c r="I6076" s="20">
        <v>17.559999999999999</v>
      </c>
      <c r="J6076" s="44" t="s">
        <v>8</v>
      </c>
      <c r="K6076" s="23" t="s">
        <v>8</v>
      </c>
      <c r="L6076" s="23" t="s">
        <v>8</v>
      </c>
      <c r="M6076" s="23" t="s">
        <v>8</v>
      </c>
    </row>
    <row r="6077" spans="1:13" s="21" customFormat="1" x14ac:dyDescent="0.25">
      <c r="A6077" s="22" t="s">
        <v>8</v>
      </c>
      <c r="B6077" s="18" t="str">
        <f>"225495"</f>
        <v>225495</v>
      </c>
      <c r="C6077" s="19" t="s">
        <v>5996</v>
      </c>
      <c r="D6077" s="19" t="s">
        <v>21502</v>
      </c>
      <c r="E6077" s="19" t="s">
        <v>33031</v>
      </c>
      <c r="F6077" s="19" t="s">
        <v>35995</v>
      </c>
      <c r="G6077" s="18" t="str">
        <f>"01230"</f>
        <v>01230</v>
      </c>
      <c r="H6077" s="19" t="s">
        <v>36411</v>
      </c>
      <c r="I6077" s="20">
        <v>19.065999999999999</v>
      </c>
      <c r="J6077" s="44" t="s">
        <v>8</v>
      </c>
      <c r="K6077" s="23" t="s">
        <v>8</v>
      </c>
      <c r="L6077" s="23" t="s">
        <v>8</v>
      </c>
      <c r="M6077" s="23" t="s">
        <v>8</v>
      </c>
    </row>
    <row r="6078" spans="1:13" s="21" customFormat="1" x14ac:dyDescent="0.25">
      <c r="A6078" s="22" t="s">
        <v>8</v>
      </c>
      <c r="B6078" s="18" t="str">
        <f>"225497"</f>
        <v>225497</v>
      </c>
      <c r="C6078" s="19" t="s">
        <v>5997</v>
      </c>
      <c r="D6078" s="19" t="s">
        <v>21503</v>
      </c>
      <c r="E6078" s="19" t="s">
        <v>33024</v>
      </c>
      <c r="F6078" s="19" t="s">
        <v>35995</v>
      </c>
      <c r="G6078" s="18" t="str">
        <f>"02132"</f>
        <v>02132</v>
      </c>
      <c r="H6078" s="19" t="s">
        <v>35389</v>
      </c>
      <c r="I6078" s="20">
        <v>17.818999999999999</v>
      </c>
      <c r="J6078" s="44" t="s">
        <v>8</v>
      </c>
      <c r="K6078" s="23" t="s">
        <v>8</v>
      </c>
      <c r="L6078" s="23" t="s">
        <v>8</v>
      </c>
      <c r="M6078" s="23" t="s">
        <v>8</v>
      </c>
    </row>
    <row r="6079" spans="1:13" s="21" customFormat="1" x14ac:dyDescent="0.25">
      <c r="A6079" s="22" t="s">
        <v>8</v>
      </c>
      <c r="B6079" s="18" t="str">
        <f>"225499"</f>
        <v>225499</v>
      </c>
      <c r="C6079" s="19" t="s">
        <v>5998</v>
      </c>
      <c r="D6079" s="19" t="s">
        <v>21504</v>
      </c>
      <c r="E6079" s="19" t="s">
        <v>33024</v>
      </c>
      <c r="F6079" s="19" t="s">
        <v>35995</v>
      </c>
      <c r="G6079" s="18" t="str">
        <f>"02132"</f>
        <v>02132</v>
      </c>
      <c r="H6079" s="19" t="s">
        <v>35389</v>
      </c>
      <c r="I6079" s="20">
        <v>17.059000000000001</v>
      </c>
      <c r="J6079" s="44" t="s">
        <v>8</v>
      </c>
      <c r="K6079" s="23" t="s">
        <v>8</v>
      </c>
      <c r="L6079" s="23" t="s">
        <v>8</v>
      </c>
      <c r="M6079" s="23" t="s">
        <v>8</v>
      </c>
    </row>
    <row r="6080" spans="1:13" s="21" customFormat="1" x14ac:dyDescent="0.25">
      <c r="A6080" s="22" t="s">
        <v>8</v>
      </c>
      <c r="B6080" s="18" t="str">
        <f>"225500"</f>
        <v>225500</v>
      </c>
      <c r="C6080" s="19" t="s">
        <v>5999</v>
      </c>
      <c r="D6080" s="19" t="s">
        <v>21505</v>
      </c>
      <c r="E6080" s="19" t="s">
        <v>33002</v>
      </c>
      <c r="F6080" s="19" t="s">
        <v>35995</v>
      </c>
      <c r="G6080" s="18" t="str">
        <f>"01609"</f>
        <v>01609</v>
      </c>
      <c r="H6080" s="19" t="s">
        <v>33002</v>
      </c>
      <c r="I6080" s="20">
        <v>19.308</v>
      </c>
      <c r="J6080" s="44" t="s">
        <v>8</v>
      </c>
      <c r="K6080" s="23" t="s">
        <v>8</v>
      </c>
      <c r="L6080" s="23" t="s">
        <v>8</v>
      </c>
      <c r="M6080" s="23" t="s">
        <v>8</v>
      </c>
    </row>
    <row r="6081" spans="1:13" s="21" customFormat="1" x14ac:dyDescent="0.25">
      <c r="A6081" s="22" t="s">
        <v>8</v>
      </c>
      <c r="B6081" s="18" t="str">
        <f>"225501"</f>
        <v>225501</v>
      </c>
      <c r="C6081" s="19" t="s">
        <v>6000</v>
      </c>
      <c r="D6081" s="19" t="s">
        <v>21506</v>
      </c>
      <c r="E6081" s="19" t="s">
        <v>33099</v>
      </c>
      <c r="F6081" s="19" t="s">
        <v>35995</v>
      </c>
      <c r="G6081" s="18" t="str">
        <f>"02493"</f>
        <v>02493</v>
      </c>
      <c r="H6081" s="19" t="s">
        <v>36120</v>
      </c>
      <c r="I6081" s="20">
        <v>18.844000000000001</v>
      </c>
      <c r="J6081" s="44" t="s">
        <v>8</v>
      </c>
      <c r="K6081" s="23" t="s">
        <v>8</v>
      </c>
      <c r="L6081" s="23" t="s">
        <v>8</v>
      </c>
      <c r="M6081" s="23" t="s">
        <v>8</v>
      </c>
    </row>
    <row r="6082" spans="1:13" s="21" customFormat="1" x14ac:dyDescent="0.25">
      <c r="A6082" s="22" t="s">
        <v>8</v>
      </c>
      <c r="B6082" s="18" t="str">
        <f>"225503"</f>
        <v>225503</v>
      </c>
      <c r="C6082" s="19" t="s">
        <v>6001</v>
      </c>
      <c r="D6082" s="19" t="s">
        <v>21507</v>
      </c>
      <c r="E6082" s="19" t="s">
        <v>33100</v>
      </c>
      <c r="F6082" s="19" t="s">
        <v>35995</v>
      </c>
      <c r="G6082" s="18" t="str">
        <f>"02601"</f>
        <v>02601</v>
      </c>
      <c r="H6082" s="19" t="s">
        <v>36413</v>
      </c>
      <c r="I6082" s="20">
        <v>20.37</v>
      </c>
      <c r="J6082" s="44" t="s">
        <v>8</v>
      </c>
      <c r="K6082" s="23" t="s">
        <v>8</v>
      </c>
      <c r="L6082" s="23" t="s">
        <v>8</v>
      </c>
      <c r="M6082" s="23" t="s">
        <v>8</v>
      </c>
    </row>
    <row r="6083" spans="1:13" s="21" customFormat="1" x14ac:dyDescent="0.25">
      <c r="A6083" s="22" t="s">
        <v>8</v>
      </c>
      <c r="B6083" s="18" t="str">
        <f>"225504"</f>
        <v>225504</v>
      </c>
      <c r="C6083" s="19" t="s">
        <v>6002</v>
      </c>
      <c r="D6083" s="19" t="s">
        <v>21508</v>
      </c>
      <c r="E6083" s="19" t="s">
        <v>31489</v>
      </c>
      <c r="F6083" s="19" t="s">
        <v>35995</v>
      </c>
      <c r="G6083" s="18" t="str">
        <f>"01887"</f>
        <v>01887</v>
      </c>
      <c r="H6083" s="19" t="s">
        <v>36120</v>
      </c>
      <c r="I6083" s="20">
        <v>16.154</v>
      </c>
      <c r="J6083" s="44" t="s">
        <v>8</v>
      </c>
      <c r="K6083" s="23" t="s">
        <v>8</v>
      </c>
      <c r="L6083" s="23" t="s">
        <v>8</v>
      </c>
      <c r="M6083" s="23" t="s">
        <v>8</v>
      </c>
    </row>
    <row r="6084" spans="1:13" s="21" customFormat="1" x14ac:dyDescent="0.25">
      <c r="A6084" s="22" t="s">
        <v>8</v>
      </c>
      <c r="B6084" s="18" t="str">
        <f>"225505"</f>
        <v>225505</v>
      </c>
      <c r="C6084" s="19" t="s">
        <v>6003</v>
      </c>
      <c r="D6084" s="19" t="s">
        <v>21509</v>
      </c>
      <c r="E6084" s="19" t="s">
        <v>32568</v>
      </c>
      <c r="F6084" s="19" t="s">
        <v>35995</v>
      </c>
      <c r="G6084" s="18" t="str">
        <f>"01841"</f>
        <v>01841</v>
      </c>
      <c r="H6084" s="19" t="s">
        <v>31458</v>
      </c>
      <c r="I6084" s="20">
        <v>21.047000000000001</v>
      </c>
      <c r="J6084" s="44" t="s">
        <v>8</v>
      </c>
      <c r="K6084" s="23" t="s">
        <v>8</v>
      </c>
      <c r="L6084" s="23" t="s">
        <v>8</v>
      </c>
      <c r="M6084" s="23" t="s">
        <v>8</v>
      </c>
    </row>
    <row r="6085" spans="1:13" s="21" customFormat="1" x14ac:dyDescent="0.25">
      <c r="A6085" s="22" t="s">
        <v>8</v>
      </c>
      <c r="B6085" s="18" t="str">
        <f>"225506"</f>
        <v>225506</v>
      </c>
      <c r="C6085" s="19" t="s">
        <v>6004</v>
      </c>
      <c r="D6085" s="19" t="s">
        <v>21510</v>
      </c>
      <c r="E6085" s="19" t="s">
        <v>33024</v>
      </c>
      <c r="F6085" s="19" t="s">
        <v>35995</v>
      </c>
      <c r="G6085" s="18" t="str">
        <f>"02109"</f>
        <v>02109</v>
      </c>
      <c r="H6085" s="19" t="s">
        <v>35389</v>
      </c>
      <c r="I6085" s="20">
        <v>17.969000000000001</v>
      </c>
      <c r="J6085" s="44" t="s">
        <v>8</v>
      </c>
      <c r="K6085" s="23" t="s">
        <v>8</v>
      </c>
      <c r="L6085" s="23" t="s">
        <v>8</v>
      </c>
      <c r="M6085" s="23" t="s">
        <v>8</v>
      </c>
    </row>
    <row r="6086" spans="1:13" s="21" customFormat="1" x14ac:dyDescent="0.25">
      <c r="A6086" s="22" t="s">
        <v>8</v>
      </c>
      <c r="B6086" s="18" t="str">
        <f>"225508"</f>
        <v>225508</v>
      </c>
      <c r="C6086" s="19" t="s">
        <v>6005</v>
      </c>
      <c r="D6086" s="19" t="s">
        <v>21511</v>
      </c>
      <c r="E6086" s="19" t="s">
        <v>33098</v>
      </c>
      <c r="F6086" s="19" t="s">
        <v>35995</v>
      </c>
      <c r="G6086" s="18" t="str">
        <f>"01824"</f>
        <v>01824</v>
      </c>
      <c r="H6086" s="19" t="s">
        <v>36120</v>
      </c>
      <c r="I6086" s="20">
        <v>20.698</v>
      </c>
      <c r="J6086" s="44" t="s">
        <v>8</v>
      </c>
      <c r="K6086" s="23" t="s">
        <v>8</v>
      </c>
      <c r="L6086" s="23" t="s">
        <v>8</v>
      </c>
      <c r="M6086" s="23" t="s">
        <v>8</v>
      </c>
    </row>
    <row r="6087" spans="1:13" s="21" customFormat="1" x14ac:dyDescent="0.25">
      <c r="A6087" s="22" t="s">
        <v>8</v>
      </c>
      <c r="B6087" s="18" t="str">
        <f>"225509"</f>
        <v>225509</v>
      </c>
      <c r="C6087" s="19" t="s">
        <v>6006</v>
      </c>
      <c r="D6087" s="19" t="s">
        <v>21512</v>
      </c>
      <c r="E6087" s="19" t="s">
        <v>33101</v>
      </c>
      <c r="F6087" s="19" t="s">
        <v>35995</v>
      </c>
      <c r="G6087" s="18" t="str">
        <f>"02146"</f>
        <v>02146</v>
      </c>
      <c r="H6087" s="19" t="s">
        <v>33776</v>
      </c>
      <c r="I6087" s="20">
        <v>19.564</v>
      </c>
      <c r="J6087" s="44" t="s">
        <v>8</v>
      </c>
      <c r="K6087" s="23" t="s">
        <v>8</v>
      </c>
      <c r="L6087" s="23" t="s">
        <v>8</v>
      </c>
      <c r="M6087" s="23" t="s">
        <v>8</v>
      </c>
    </row>
    <row r="6088" spans="1:13" s="21" customFormat="1" x14ac:dyDescent="0.25">
      <c r="A6088" s="22" t="s">
        <v>8</v>
      </c>
      <c r="B6088" s="18" t="str">
        <f>"225510"</f>
        <v>225510</v>
      </c>
      <c r="C6088" s="19" t="s">
        <v>6007</v>
      </c>
      <c r="D6088" s="19" t="s">
        <v>21513</v>
      </c>
      <c r="E6088" s="19" t="s">
        <v>33102</v>
      </c>
      <c r="F6088" s="19" t="s">
        <v>35995</v>
      </c>
      <c r="G6088" s="18" t="str">
        <f>"01845"</f>
        <v>01845</v>
      </c>
      <c r="H6088" s="19" t="s">
        <v>31458</v>
      </c>
      <c r="I6088" s="20">
        <v>18.401</v>
      </c>
      <c r="J6088" s="44" t="s">
        <v>8</v>
      </c>
      <c r="K6088" s="23" t="s">
        <v>8</v>
      </c>
      <c r="L6088" s="23" t="s">
        <v>8</v>
      </c>
      <c r="M6088" s="23" t="s">
        <v>8</v>
      </c>
    </row>
    <row r="6089" spans="1:13" s="21" customFormat="1" x14ac:dyDescent="0.25">
      <c r="A6089" s="22" t="s">
        <v>8</v>
      </c>
      <c r="B6089" s="18" t="str">
        <f>"225511"</f>
        <v>225511</v>
      </c>
      <c r="C6089" s="19" t="s">
        <v>3650</v>
      </c>
      <c r="D6089" s="19" t="s">
        <v>21514</v>
      </c>
      <c r="E6089" s="19" t="s">
        <v>32273</v>
      </c>
      <c r="F6089" s="19" t="s">
        <v>35995</v>
      </c>
      <c r="G6089" s="18" t="str">
        <f>"01851"</f>
        <v>01851</v>
      </c>
      <c r="H6089" s="19" t="s">
        <v>36120</v>
      </c>
      <c r="I6089" s="20">
        <v>21.123000000000001</v>
      </c>
      <c r="J6089" s="44" t="s">
        <v>8</v>
      </c>
      <c r="K6089" s="23" t="s">
        <v>8</v>
      </c>
      <c r="L6089" s="23" t="s">
        <v>8</v>
      </c>
      <c r="M6089" s="23" t="s">
        <v>8</v>
      </c>
    </row>
    <row r="6090" spans="1:13" s="21" customFormat="1" x14ac:dyDescent="0.25">
      <c r="A6090" s="22" t="s">
        <v>8</v>
      </c>
      <c r="B6090" s="18" t="str">
        <f>"225512"</f>
        <v>225512</v>
      </c>
      <c r="C6090" s="19" t="s">
        <v>6008</v>
      </c>
      <c r="D6090" s="19" t="s">
        <v>21515</v>
      </c>
      <c r="E6090" s="19" t="s">
        <v>33096</v>
      </c>
      <c r="F6090" s="19" t="s">
        <v>35995</v>
      </c>
      <c r="G6090" s="18" t="str">
        <f>"02571"</f>
        <v>02571</v>
      </c>
      <c r="H6090" s="19" t="s">
        <v>31465</v>
      </c>
      <c r="I6090" s="20">
        <v>18.695</v>
      </c>
      <c r="J6090" s="44" t="s">
        <v>8</v>
      </c>
      <c r="K6090" s="23" t="s">
        <v>8</v>
      </c>
      <c r="L6090" s="23" t="s">
        <v>8</v>
      </c>
      <c r="M6090" s="23" t="s">
        <v>8</v>
      </c>
    </row>
    <row r="6091" spans="1:13" s="21" customFormat="1" x14ac:dyDescent="0.25">
      <c r="A6091" s="22" t="s">
        <v>8</v>
      </c>
      <c r="B6091" s="18" t="str">
        <f>"225513"</f>
        <v>225513</v>
      </c>
      <c r="C6091" s="19" t="s">
        <v>6009</v>
      </c>
      <c r="D6091" s="19" t="s">
        <v>21516</v>
      </c>
      <c r="E6091" s="19" t="s">
        <v>33075</v>
      </c>
      <c r="F6091" s="19" t="s">
        <v>35995</v>
      </c>
      <c r="G6091" s="18" t="str">
        <f>"01532"</f>
        <v>01532</v>
      </c>
      <c r="H6091" s="19" t="s">
        <v>33002</v>
      </c>
      <c r="I6091" s="20">
        <v>20.972000000000001</v>
      </c>
      <c r="J6091" s="44" t="s">
        <v>8</v>
      </c>
      <c r="K6091" s="23" t="s">
        <v>8</v>
      </c>
      <c r="L6091" s="23" t="s">
        <v>8</v>
      </c>
      <c r="M6091" s="23" t="s">
        <v>8</v>
      </c>
    </row>
    <row r="6092" spans="1:13" s="21" customFormat="1" x14ac:dyDescent="0.25">
      <c r="A6092" s="22" t="s">
        <v>8</v>
      </c>
      <c r="B6092" s="18" t="str">
        <f>"225514"</f>
        <v>225514</v>
      </c>
      <c r="C6092" s="19" t="s">
        <v>6010</v>
      </c>
      <c r="D6092" s="19" t="s">
        <v>21517</v>
      </c>
      <c r="E6092" s="19" t="s">
        <v>31311</v>
      </c>
      <c r="F6092" s="19" t="s">
        <v>35995</v>
      </c>
      <c r="G6092" s="18" t="str">
        <f>"02169"</f>
        <v>02169</v>
      </c>
      <c r="H6092" s="19" t="s">
        <v>33776</v>
      </c>
      <c r="I6092" s="20">
        <v>20.36</v>
      </c>
      <c r="J6092" s="44" t="s">
        <v>8</v>
      </c>
      <c r="K6092" s="23" t="s">
        <v>8</v>
      </c>
      <c r="L6092" s="23" t="s">
        <v>8</v>
      </c>
      <c r="M6092" s="23" t="s">
        <v>8</v>
      </c>
    </row>
    <row r="6093" spans="1:13" s="21" customFormat="1" x14ac:dyDescent="0.25">
      <c r="A6093" s="22" t="s">
        <v>8</v>
      </c>
      <c r="B6093" s="18" t="str">
        <f>"225515"</f>
        <v>225515</v>
      </c>
      <c r="C6093" s="19" t="s">
        <v>6011</v>
      </c>
      <c r="D6093" s="19" t="s">
        <v>21518</v>
      </c>
      <c r="E6093" s="19" t="s">
        <v>32273</v>
      </c>
      <c r="F6093" s="19" t="s">
        <v>35995</v>
      </c>
      <c r="G6093" s="18" t="str">
        <f>"01854"</f>
        <v>01854</v>
      </c>
      <c r="H6093" s="19" t="s">
        <v>36120</v>
      </c>
      <c r="I6093" s="20">
        <v>20.18</v>
      </c>
      <c r="J6093" s="44" t="s">
        <v>8</v>
      </c>
      <c r="K6093" s="23" t="s">
        <v>8</v>
      </c>
      <c r="L6093" s="23" t="s">
        <v>8</v>
      </c>
      <c r="M6093" s="23" t="s">
        <v>8</v>
      </c>
    </row>
    <row r="6094" spans="1:13" s="21" customFormat="1" x14ac:dyDescent="0.25">
      <c r="A6094" s="22" t="s">
        <v>8</v>
      </c>
      <c r="B6094" s="18" t="str">
        <f>"225516"</f>
        <v>225516</v>
      </c>
      <c r="C6094" s="19" t="s">
        <v>6012</v>
      </c>
      <c r="D6094" s="19" t="s">
        <v>21519</v>
      </c>
      <c r="E6094" s="19" t="s">
        <v>33103</v>
      </c>
      <c r="F6094" s="19" t="s">
        <v>35995</v>
      </c>
      <c r="G6094" s="18" t="str">
        <f>"01760"</f>
        <v>01760</v>
      </c>
      <c r="H6094" s="19" t="s">
        <v>36120</v>
      </c>
      <c r="I6094" s="20">
        <v>17.692</v>
      </c>
      <c r="J6094" s="44" t="s">
        <v>8</v>
      </c>
      <c r="K6094" s="23" t="s">
        <v>8</v>
      </c>
      <c r="L6094" s="23" t="s">
        <v>8</v>
      </c>
      <c r="M6094" s="23" t="s">
        <v>8</v>
      </c>
    </row>
    <row r="6095" spans="1:13" s="21" customFormat="1" x14ac:dyDescent="0.25">
      <c r="A6095" s="22" t="s">
        <v>8</v>
      </c>
      <c r="B6095" s="18" t="str">
        <f>"225518"</f>
        <v>225518</v>
      </c>
      <c r="C6095" s="19" t="s">
        <v>6013</v>
      </c>
      <c r="D6095" s="19" t="s">
        <v>21520</v>
      </c>
      <c r="E6095" s="19" t="s">
        <v>30850</v>
      </c>
      <c r="F6095" s="19" t="s">
        <v>35995</v>
      </c>
      <c r="G6095" s="18" t="str">
        <f>"02738"</f>
        <v>02738</v>
      </c>
      <c r="H6095" s="19" t="s">
        <v>31465</v>
      </c>
      <c r="I6095" s="20">
        <v>20.759</v>
      </c>
      <c r="J6095" s="44" t="s">
        <v>8</v>
      </c>
      <c r="K6095" s="23" t="s">
        <v>8</v>
      </c>
      <c r="L6095" s="23" t="s">
        <v>8</v>
      </c>
      <c r="M6095" s="23" t="s">
        <v>8</v>
      </c>
    </row>
    <row r="6096" spans="1:13" s="21" customFormat="1" x14ac:dyDescent="0.25">
      <c r="A6096" s="22" t="s">
        <v>8</v>
      </c>
      <c r="B6096" s="18" t="str">
        <f>"225520"</f>
        <v>225520</v>
      </c>
      <c r="C6096" s="19" t="s">
        <v>6014</v>
      </c>
      <c r="D6096" s="19" t="s">
        <v>21521</v>
      </c>
      <c r="E6096" s="19" t="s">
        <v>32969</v>
      </c>
      <c r="F6096" s="19" t="s">
        <v>35995</v>
      </c>
      <c r="G6096" s="18" t="str">
        <f>"02138"</f>
        <v>02138</v>
      </c>
      <c r="H6096" s="19" t="s">
        <v>36120</v>
      </c>
      <c r="I6096" s="20">
        <v>19.006</v>
      </c>
      <c r="J6096" s="44" t="s">
        <v>8</v>
      </c>
      <c r="K6096" s="23" t="s">
        <v>8</v>
      </c>
      <c r="L6096" s="23" t="s">
        <v>8</v>
      </c>
      <c r="M6096" s="23" t="s">
        <v>8</v>
      </c>
    </row>
    <row r="6097" spans="1:13" s="21" customFormat="1" x14ac:dyDescent="0.25">
      <c r="A6097" s="22" t="s">
        <v>8</v>
      </c>
      <c r="B6097" s="18" t="str">
        <f>"225522"</f>
        <v>225522</v>
      </c>
      <c r="C6097" s="19" t="s">
        <v>6015</v>
      </c>
      <c r="D6097" s="19" t="s">
        <v>21522</v>
      </c>
      <c r="E6097" s="19" t="s">
        <v>31311</v>
      </c>
      <c r="F6097" s="19" t="s">
        <v>35995</v>
      </c>
      <c r="G6097" s="18" t="str">
        <f>"02169"</f>
        <v>02169</v>
      </c>
      <c r="H6097" s="19" t="s">
        <v>33776</v>
      </c>
      <c r="I6097" s="20">
        <v>19.033999999999999</v>
      </c>
      <c r="J6097" s="44" t="s">
        <v>8</v>
      </c>
      <c r="K6097" s="23" t="s">
        <v>8</v>
      </c>
      <c r="L6097" s="23" t="s">
        <v>8</v>
      </c>
      <c r="M6097" s="23" t="s">
        <v>8</v>
      </c>
    </row>
    <row r="6098" spans="1:13" s="21" customFormat="1" x14ac:dyDescent="0.25">
      <c r="A6098" s="22" t="s">
        <v>8</v>
      </c>
      <c r="B6098" s="18" t="str">
        <f>"225523"</f>
        <v>225523</v>
      </c>
      <c r="C6098" s="19" t="s">
        <v>6016</v>
      </c>
      <c r="D6098" s="19" t="s">
        <v>21523</v>
      </c>
      <c r="E6098" s="19" t="s">
        <v>33063</v>
      </c>
      <c r="F6098" s="19" t="s">
        <v>35995</v>
      </c>
      <c r="G6098" s="18" t="str">
        <f>"02155"</f>
        <v>02155</v>
      </c>
      <c r="H6098" s="19" t="s">
        <v>36120</v>
      </c>
      <c r="I6098" s="20">
        <v>19.553999999999998</v>
      </c>
      <c r="J6098" s="44" t="s">
        <v>8</v>
      </c>
      <c r="K6098" s="23" t="s">
        <v>8</v>
      </c>
      <c r="L6098" s="23" t="s">
        <v>8</v>
      </c>
      <c r="M6098" s="23" t="s">
        <v>8</v>
      </c>
    </row>
    <row r="6099" spans="1:13" s="21" customFormat="1" x14ac:dyDescent="0.25">
      <c r="A6099" s="22" t="s">
        <v>8</v>
      </c>
      <c r="B6099" s="18" t="str">
        <f>"225525"</f>
        <v>225525</v>
      </c>
      <c r="C6099" s="19" t="s">
        <v>6017</v>
      </c>
      <c r="D6099" s="19" t="s">
        <v>21524</v>
      </c>
      <c r="E6099" s="19" t="s">
        <v>33104</v>
      </c>
      <c r="F6099" s="19" t="s">
        <v>35995</v>
      </c>
      <c r="G6099" s="18" t="str">
        <f>"02645"</f>
        <v>02645</v>
      </c>
      <c r="H6099" s="19" t="s">
        <v>36413</v>
      </c>
      <c r="I6099" s="20">
        <v>18.713999999999999</v>
      </c>
      <c r="J6099" s="44" t="s">
        <v>8</v>
      </c>
      <c r="K6099" s="23" t="s">
        <v>8</v>
      </c>
      <c r="L6099" s="23" t="s">
        <v>8</v>
      </c>
      <c r="M6099" s="23" t="s">
        <v>8</v>
      </c>
    </row>
    <row r="6100" spans="1:13" s="21" customFormat="1" x14ac:dyDescent="0.25">
      <c r="A6100" s="22" t="s">
        <v>8</v>
      </c>
      <c r="B6100" s="18" t="str">
        <f>"225527"</f>
        <v>225527</v>
      </c>
      <c r="C6100" s="19" t="s">
        <v>6018</v>
      </c>
      <c r="D6100" s="19" t="s">
        <v>21525</v>
      </c>
      <c r="E6100" s="19" t="s">
        <v>33105</v>
      </c>
      <c r="F6100" s="19" t="s">
        <v>35995</v>
      </c>
      <c r="G6100" s="18" t="str">
        <f>"01376"</f>
        <v>01376</v>
      </c>
      <c r="H6100" s="19" t="s">
        <v>5</v>
      </c>
      <c r="I6100" s="20">
        <v>20.628</v>
      </c>
      <c r="J6100" s="44" t="s">
        <v>8</v>
      </c>
      <c r="K6100" s="23" t="s">
        <v>8</v>
      </c>
      <c r="L6100" s="23" t="s">
        <v>8</v>
      </c>
      <c r="M6100" s="23" t="s">
        <v>8</v>
      </c>
    </row>
    <row r="6101" spans="1:13" s="21" customFormat="1" x14ac:dyDescent="0.25">
      <c r="A6101" s="22" t="s">
        <v>8</v>
      </c>
      <c r="B6101" s="18" t="str">
        <f>"225528"</f>
        <v>225528</v>
      </c>
      <c r="C6101" s="19" t="s">
        <v>6019</v>
      </c>
      <c r="D6101" s="19" t="s">
        <v>21526</v>
      </c>
      <c r="E6101" s="19" t="s">
        <v>33106</v>
      </c>
      <c r="F6101" s="19" t="s">
        <v>35995</v>
      </c>
      <c r="G6101" s="18" t="str">
        <f>"02090"</f>
        <v>02090</v>
      </c>
      <c r="H6101" s="19" t="s">
        <v>33776</v>
      </c>
      <c r="I6101" s="20">
        <v>24.195</v>
      </c>
      <c r="J6101" s="44" t="s">
        <v>8</v>
      </c>
      <c r="K6101" s="23" t="s">
        <v>8</v>
      </c>
      <c r="L6101" s="23" t="s">
        <v>8</v>
      </c>
      <c r="M6101" s="23" t="s">
        <v>8</v>
      </c>
    </row>
    <row r="6102" spans="1:13" s="21" customFormat="1" x14ac:dyDescent="0.25">
      <c r="A6102" s="22" t="s">
        <v>8</v>
      </c>
      <c r="B6102" s="18" t="str">
        <f>"225529"</f>
        <v>225529</v>
      </c>
      <c r="C6102" s="19" t="s">
        <v>6020</v>
      </c>
      <c r="D6102" s="19" t="s">
        <v>21527</v>
      </c>
      <c r="E6102" s="19" t="s">
        <v>33065</v>
      </c>
      <c r="F6102" s="19" t="s">
        <v>35995</v>
      </c>
      <c r="G6102" s="18" t="str">
        <f>"01902"</f>
        <v>01902</v>
      </c>
      <c r="H6102" s="19" t="s">
        <v>31458</v>
      </c>
      <c r="I6102" s="20">
        <v>19.327999999999999</v>
      </c>
      <c r="J6102" s="44" t="s">
        <v>8</v>
      </c>
      <c r="K6102" s="23" t="s">
        <v>8</v>
      </c>
      <c r="L6102" s="23" t="s">
        <v>8</v>
      </c>
      <c r="M6102" s="23" t="s">
        <v>8</v>
      </c>
    </row>
    <row r="6103" spans="1:13" s="21" customFormat="1" x14ac:dyDescent="0.25">
      <c r="A6103" s="22" t="s">
        <v>8</v>
      </c>
      <c r="B6103" s="18" t="str">
        <f>"225530"</f>
        <v>225530</v>
      </c>
      <c r="C6103" s="19" t="s">
        <v>6021</v>
      </c>
      <c r="D6103" s="19" t="s">
        <v>21528</v>
      </c>
      <c r="E6103" s="19" t="s">
        <v>33102</v>
      </c>
      <c r="F6103" s="19" t="s">
        <v>35995</v>
      </c>
      <c r="G6103" s="18" t="str">
        <f>"01845"</f>
        <v>01845</v>
      </c>
      <c r="H6103" s="19" t="s">
        <v>31458</v>
      </c>
      <c r="I6103" s="20">
        <v>21.388999999999999</v>
      </c>
      <c r="J6103" s="44" t="s">
        <v>8</v>
      </c>
      <c r="K6103" s="23" t="s">
        <v>8</v>
      </c>
      <c r="L6103" s="23" t="s">
        <v>8</v>
      </c>
      <c r="M6103" s="23" t="s">
        <v>8</v>
      </c>
    </row>
    <row r="6104" spans="1:13" s="21" customFormat="1" x14ac:dyDescent="0.25">
      <c r="A6104" s="22" t="s">
        <v>8</v>
      </c>
      <c r="B6104" s="18" t="str">
        <f>"225531"</f>
        <v>225531</v>
      </c>
      <c r="C6104" s="19" t="s">
        <v>6022</v>
      </c>
      <c r="D6104" s="19" t="s">
        <v>21529</v>
      </c>
      <c r="E6104" s="19" t="s">
        <v>33107</v>
      </c>
      <c r="F6104" s="19" t="s">
        <v>35995</v>
      </c>
      <c r="G6104" s="18" t="str">
        <f>"01776"</f>
        <v>01776</v>
      </c>
      <c r="H6104" s="19" t="s">
        <v>36120</v>
      </c>
      <c r="I6104" s="20">
        <v>18.513000000000002</v>
      </c>
      <c r="J6104" s="44" t="s">
        <v>8</v>
      </c>
      <c r="K6104" s="23" t="s">
        <v>8</v>
      </c>
      <c r="L6104" s="23" t="s">
        <v>8</v>
      </c>
      <c r="M6104" s="23" t="s">
        <v>8</v>
      </c>
    </row>
    <row r="6105" spans="1:13" s="21" customFormat="1" x14ac:dyDescent="0.25">
      <c r="A6105" s="22" t="s">
        <v>8</v>
      </c>
      <c r="B6105" s="18" t="str">
        <f>"225532"</f>
        <v>225532</v>
      </c>
      <c r="C6105" s="19" t="s">
        <v>6023</v>
      </c>
      <c r="D6105" s="19" t="s">
        <v>21530</v>
      </c>
      <c r="E6105" s="19" t="s">
        <v>33108</v>
      </c>
      <c r="F6105" s="19" t="s">
        <v>35995</v>
      </c>
      <c r="G6105" s="18" t="str">
        <f>"02126"</f>
        <v>02126</v>
      </c>
      <c r="H6105" s="19" t="s">
        <v>35389</v>
      </c>
      <c r="I6105" s="20">
        <v>18.948</v>
      </c>
      <c r="J6105" s="44" t="s">
        <v>8</v>
      </c>
      <c r="K6105" s="23" t="s">
        <v>8</v>
      </c>
      <c r="L6105" s="23" t="s">
        <v>8</v>
      </c>
      <c r="M6105" s="23" t="s">
        <v>8</v>
      </c>
    </row>
    <row r="6106" spans="1:13" s="21" customFormat="1" x14ac:dyDescent="0.25">
      <c r="A6106" s="22" t="s">
        <v>8</v>
      </c>
      <c r="B6106" s="18" t="str">
        <f>"225533"</f>
        <v>225533</v>
      </c>
      <c r="C6106" s="19" t="s">
        <v>6024</v>
      </c>
      <c r="D6106" s="19" t="s">
        <v>21531</v>
      </c>
      <c r="E6106" s="19" t="s">
        <v>32563</v>
      </c>
      <c r="F6106" s="19" t="s">
        <v>35995</v>
      </c>
      <c r="G6106" s="18" t="str">
        <f>"01440"</f>
        <v>01440</v>
      </c>
      <c r="H6106" s="19" t="s">
        <v>33002</v>
      </c>
      <c r="I6106" s="20">
        <v>16.428999999999998</v>
      </c>
      <c r="J6106" s="44" t="s">
        <v>8</v>
      </c>
      <c r="K6106" s="23" t="s">
        <v>8</v>
      </c>
      <c r="L6106" s="23" t="s">
        <v>8</v>
      </c>
      <c r="M6106" s="23" t="s">
        <v>8</v>
      </c>
    </row>
    <row r="6107" spans="1:13" s="21" customFormat="1" x14ac:dyDescent="0.25">
      <c r="A6107" s="22" t="s">
        <v>8</v>
      </c>
      <c r="B6107" s="18" t="str">
        <f>"225535"</f>
        <v>225535</v>
      </c>
      <c r="C6107" s="19" t="s">
        <v>6025</v>
      </c>
      <c r="D6107" s="19" t="s">
        <v>21532</v>
      </c>
      <c r="E6107" s="19" t="s">
        <v>33020</v>
      </c>
      <c r="F6107" s="19" t="s">
        <v>35995</v>
      </c>
      <c r="G6107" s="18" t="str">
        <f>"01701"</f>
        <v>01701</v>
      </c>
      <c r="H6107" s="19" t="s">
        <v>36120</v>
      </c>
      <c r="I6107" s="20">
        <v>17.635999999999999</v>
      </c>
      <c r="J6107" s="44" t="s">
        <v>8</v>
      </c>
      <c r="K6107" s="23" t="s">
        <v>8</v>
      </c>
      <c r="L6107" s="23" t="s">
        <v>8</v>
      </c>
      <c r="M6107" s="23" t="s">
        <v>8</v>
      </c>
    </row>
    <row r="6108" spans="1:13" s="21" customFormat="1" x14ac:dyDescent="0.25">
      <c r="A6108" s="22" t="s">
        <v>8</v>
      </c>
      <c r="B6108" s="18" t="str">
        <f>"225536"</f>
        <v>225536</v>
      </c>
      <c r="C6108" s="19" t="s">
        <v>6026</v>
      </c>
      <c r="D6108" s="19" t="s">
        <v>21533</v>
      </c>
      <c r="E6108" s="19" t="s">
        <v>33109</v>
      </c>
      <c r="F6108" s="19" t="s">
        <v>35995</v>
      </c>
      <c r="G6108" s="18" t="str">
        <f>"02081"</f>
        <v>02081</v>
      </c>
      <c r="H6108" s="19" t="s">
        <v>33776</v>
      </c>
      <c r="I6108" s="20">
        <v>18.661999999999999</v>
      </c>
      <c r="J6108" s="44" t="s">
        <v>8</v>
      </c>
      <c r="K6108" s="23" t="s">
        <v>8</v>
      </c>
      <c r="L6108" s="23" t="s">
        <v>8</v>
      </c>
      <c r="M6108" s="23" t="s">
        <v>8</v>
      </c>
    </row>
    <row r="6109" spans="1:13" s="21" customFormat="1" x14ac:dyDescent="0.25">
      <c r="A6109" s="22" t="s">
        <v>8</v>
      </c>
      <c r="B6109" s="18" t="str">
        <f>"225537"</f>
        <v>225537</v>
      </c>
      <c r="C6109" s="19" t="s">
        <v>6027</v>
      </c>
      <c r="D6109" s="19" t="s">
        <v>21534</v>
      </c>
      <c r="E6109" s="19" t="s">
        <v>32273</v>
      </c>
      <c r="F6109" s="19" t="s">
        <v>35995</v>
      </c>
      <c r="G6109" s="18" t="str">
        <f>"01851"</f>
        <v>01851</v>
      </c>
      <c r="H6109" s="19" t="s">
        <v>36120</v>
      </c>
      <c r="I6109" s="20">
        <v>19.858000000000001</v>
      </c>
      <c r="J6109" s="44" t="s">
        <v>8</v>
      </c>
      <c r="K6109" s="23" t="s">
        <v>8</v>
      </c>
      <c r="L6109" s="23" t="s">
        <v>8</v>
      </c>
      <c r="M6109" s="23" t="s">
        <v>8</v>
      </c>
    </row>
    <row r="6110" spans="1:13" s="21" customFormat="1" x14ac:dyDescent="0.25">
      <c r="A6110" s="22" t="s">
        <v>8</v>
      </c>
      <c r="B6110" s="18" t="str">
        <f>"225538"</f>
        <v>225538</v>
      </c>
      <c r="C6110" s="19" t="s">
        <v>6028</v>
      </c>
      <c r="D6110" s="19" t="s">
        <v>21535</v>
      </c>
      <c r="E6110" s="19" t="s">
        <v>33110</v>
      </c>
      <c r="F6110" s="19" t="s">
        <v>35995</v>
      </c>
      <c r="G6110" s="18" t="str">
        <f>"02532"</f>
        <v>02532</v>
      </c>
      <c r="H6110" s="19" t="s">
        <v>36413</v>
      </c>
      <c r="I6110" s="20">
        <v>19.896000000000001</v>
      </c>
      <c r="J6110" s="44" t="s">
        <v>8</v>
      </c>
      <c r="K6110" s="23" t="s">
        <v>8</v>
      </c>
      <c r="L6110" s="23" t="s">
        <v>8</v>
      </c>
      <c r="M6110" s="23" t="s">
        <v>8</v>
      </c>
    </row>
    <row r="6111" spans="1:13" s="21" customFormat="1" x14ac:dyDescent="0.25">
      <c r="A6111" s="22" t="s">
        <v>8</v>
      </c>
      <c r="B6111" s="18" t="str">
        <f>"225539"</f>
        <v>225539</v>
      </c>
      <c r="C6111" s="19" t="s">
        <v>6029</v>
      </c>
      <c r="D6111" s="19" t="s">
        <v>21536</v>
      </c>
      <c r="E6111" s="19" t="s">
        <v>33036</v>
      </c>
      <c r="F6111" s="19" t="s">
        <v>35995</v>
      </c>
      <c r="G6111" s="18" t="str">
        <f>"01020"</f>
        <v>01020</v>
      </c>
      <c r="H6111" s="19" t="s">
        <v>33041</v>
      </c>
      <c r="I6111" s="20">
        <v>17.510000000000002</v>
      </c>
      <c r="J6111" s="44" t="s">
        <v>8</v>
      </c>
      <c r="K6111" s="23" t="s">
        <v>8</v>
      </c>
      <c r="L6111" s="23" t="s">
        <v>8</v>
      </c>
      <c r="M6111" s="23" t="s">
        <v>8</v>
      </c>
    </row>
    <row r="6112" spans="1:13" s="21" customFormat="1" x14ac:dyDescent="0.25">
      <c r="A6112" s="22" t="s">
        <v>8</v>
      </c>
      <c r="B6112" s="18" t="str">
        <f>"225540"</f>
        <v>225540</v>
      </c>
      <c r="C6112" s="19" t="s">
        <v>6030</v>
      </c>
      <c r="D6112" s="19" t="s">
        <v>21537</v>
      </c>
      <c r="E6112" s="19" t="s">
        <v>33024</v>
      </c>
      <c r="F6112" s="19" t="s">
        <v>35995</v>
      </c>
      <c r="G6112" s="18" t="str">
        <f>"02132"</f>
        <v>02132</v>
      </c>
      <c r="H6112" s="19" t="s">
        <v>35389</v>
      </c>
      <c r="I6112" s="20">
        <v>20.198</v>
      </c>
      <c r="J6112" s="44" t="s">
        <v>8</v>
      </c>
      <c r="K6112" s="23" t="s">
        <v>8</v>
      </c>
      <c r="L6112" s="23" t="s">
        <v>8</v>
      </c>
      <c r="M6112" s="23" t="s">
        <v>8</v>
      </c>
    </row>
    <row r="6113" spans="1:13" s="21" customFormat="1" x14ac:dyDescent="0.25">
      <c r="A6113" s="22" t="s">
        <v>8</v>
      </c>
      <c r="B6113" s="18" t="str">
        <f>"225541"</f>
        <v>225541</v>
      </c>
      <c r="C6113" s="19" t="s">
        <v>6031</v>
      </c>
      <c r="D6113" s="19" t="s">
        <v>21538</v>
      </c>
      <c r="E6113" s="19" t="s">
        <v>33020</v>
      </c>
      <c r="F6113" s="19" t="s">
        <v>35995</v>
      </c>
      <c r="G6113" s="18" t="str">
        <f>"01701"</f>
        <v>01701</v>
      </c>
      <c r="H6113" s="19" t="s">
        <v>36120</v>
      </c>
      <c r="I6113" s="20">
        <v>19.489000000000001</v>
      </c>
      <c r="J6113" s="44" t="s">
        <v>8</v>
      </c>
      <c r="K6113" s="23" t="s">
        <v>8</v>
      </c>
      <c r="L6113" s="23" t="s">
        <v>8</v>
      </c>
      <c r="M6113" s="23" t="s">
        <v>8</v>
      </c>
    </row>
    <row r="6114" spans="1:13" s="21" customFormat="1" x14ac:dyDescent="0.25">
      <c r="A6114" s="22" t="s">
        <v>8</v>
      </c>
      <c r="B6114" s="18" t="str">
        <f>"225543"</f>
        <v>225543</v>
      </c>
      <c r="C6114" s="19" t="s">
        <v>6032</v>
      </c>
      <c r="D6114" s="19" t="s">
        <v>21539</v>
      </c>
      <c r="E6114" s="19" t="s">
        <v>33050</v>
      </c>
      <c r="F6114" s="19" t="s">
        <v>35995</v>
      </c>
      <c r="G6114" s="18" t="str">
        <f>"01095"</f>
        <v>01095</v>
      </c>
      <c r="H6114" s="19" t="s">
        <v>33041</v>
      </c>
      <c r="I6114" s="20">
        <v>17.533000000000001</v>
      </c>
      <c r="J6114" s="44" t="s">
        <v>8</v>
      </c>
      <c r="K6114" s="23" t="s">
        <v>8</v>
      </c>
      <c r="L6114" s="23" t="s">
        <v>8</v>
      </c>
      <c r="M6114" s="23" t="s">
        <v>8</v>
      </c>
    </row>
    <row r="6115" spans="1:13" s="21" customFormat="1" x14ac:dyDescent="0.25">
      <c r="A6115" s="22" t="s">
        <v>8</v>
      </c>
      <c r="B6115" s="18" t="str">
        <f>"225544"</f>
        <v>225544</v>
      </c>
      <c r="C6115" s="19" t="s">
        <v>6033</v>
      </c>
      <c r="D6115" s="19" t="s">
        <v>21540</v>
      </c>
      <c r="E6115" s="19" t="s">
        <v>33111</v>
      </c>
      <c r="F6115" s="19" t="s">
        <v>35995</v>
      </c>
      <c r="G6115" s="18" t="str">
        <f>"02364"</f>
        <v>02364</v>
      </c>
      <c r="H6115" s="19" t="s">
        <v>31465</v>
      </c>
      <c r="I6115" s="20">
        <v>19.518000000000001</v>
      </c>
      <c r="J6115" s="44" t="s">
        <v>8</v>
      </c>
      <c r="K6115" s="23" t="s">
        <v>8</v>
      </c>
      <c r="L6115" s="23" t="s">
        <v>8</v>
      </c>
      <c r="M6115" s="23" t="s">
        <v>8</v>
      </c>
    </row>
    <row r="6116" spans="1:13" s="21" customFormat="1" x14ac:dyDescent="0.25">
      <c r="A6116" s="22" t="s">
        <v>8</v>
      </c>
      <c r="B6116" s="18" t="str">
        <f>"225545"</f>
        <v>225545</v>
      </c>
      <c r="C6116" s="19" t="s">
        <v>6034</v>
      </c>
      <c r="D6116" s="19" t="s">
        <v>21541</v>
      </c>
      <c r="E6116" s="19" t="s">
        <v>33063</v>
      </c>
      <c r="F6116" s="19" t="s">
        <v>35995</v>
      </c>
      <c r="G6116" s="18" t="str">
        <f>"02155"</f>
        <v>02155</v>
      </c>
      <c r="H6116" s="19" t="s">
        <v>36120</v>
      </c>
      <c r="I6116" s="20">
        <v>20.253</v>
      </c>
      <c r="J6116" s="44" t="s">
        <v>8</v>
      </c>
      <c r="K6116" s="23" t="s">
        <v>8</v>
      </c>
      <c r="L6116" s="23" t="s">
        <v>8</v>
      </c>
      <c r="M6116" s="23" t="s">
        <v>8</v>
      </c>
    </row>
    <row r="6117" spans="1:13" s="21" customFormat="1" x14ac:dyDescent="0.25">
      <c r="A6117" s="22" t="s">
        <v>8</v>
      </c>
      <c r="B6117" s="18" t="str">
        <f>"225546"</f>
        <v>225546</v>
      </c>
      <c r="C6117" s="19" t="s">
        <v>6035</v>
      </c>
      <c r="D6117" s="19" t="s">
        <v>21542</v>
      </c>
      <c r="E6117" s="19" t="s">
        <v>33112</v>
      </c>
      <c r="F6117" s="19" t="s">
        <v>35995</v>
      </c>
      <c r="G6117" s="18" t="str">
        <f>"01862"</f>
        <v>01862</v>
      </c>
      <c r="H6117" s="19" t="s">
        <v>36120</v>
      </c>
      <c r="I6117" s="20">
        <v>18.305</v>
      </c>
      <c r="J6117" s="44" t="s">
        <v>8</v>
      </c>
      <c r="K6117" s="23" t="s">
        <v>8</v>
      </c>
      <c r="L6117" s="23" t="s">
        <v>8</v>
      </c>
      <c r="M6117" s="23" t="s">
        <v>8</v>
      </c>
    </row>
    <row r="6118" spans="1:13" s="21" customFormat="1" x14ac:dyDescent="0.25">
      <c r="A6118" s="22" t="s">
        <v>8</v>
      </c>
      <c r="B6118" s="18" t="str">
        <f>"225547"</f>
        <v>225547</v>
      </c>
      <c r="C6118" s="19" t="s">
        <v>6036</v>
      </c>
      <c r="D6118" s="19" t="s">
        <v>21543</v>
      </c>
      <c r="E6118" s="19" t="s">
        <v>33014</v>
      </c>
      <c r="F6118" s="19" t="s">
        <v>35995</v>
      </c>
      <c r="G6118" s="18" t="str">
        <f>"02346"</f>
        <v>02346</v>
      </c>
      <c r="H6118" s="19" t="s">
        <v>31465</v>
      </c>
      <c r="I6118" s="20">
        <v>16.260999999999999</v>
      </c>
      <c r="J6118" s="44" t="s">
        <v>8</v>
      </c>
      <c r="K6118" s="23" t="s">
        <v>8</v>
      </c>
      <c r="L6118" s="23" t="s">
        <v>8</v>
      </c>
      <c r="M6118" s="23" t="s">
        <v>8</v>
      </c>
    </row>
    <row r="6119" spans="1:13" s="21" customFormat="1" x14ac:dyDescent="0.25">
      <c r="A6119" s="22" t="s">
        <v>8</v>
      </c>
      <c r="B6119" s="18" t="str">
        <f>"225548"</f>
        <v>225548</v>
      </c>
      <c r="C6119" s="19" t="s">
        <v>6037</v>
      </c>
      <c r="D6119" s="19" t="s">
        <v>21544</v>
      </c>
      <c r="E6119" s="19" t="s">
        <v>33113</v>
      </c>
      <c r="F6119" s="19" t="s">
        <v>35995</v>
      </c>
      <c r="G6119" s="18" t="str">
        <f>"01876"</f>
        <v>01876</v>
      </c>
      <c r="H6119" s="19" t="s">
        <v>36120</v>
      </c>
      <c r="I6119" s="20">
        <v>20.149000000000001</v>
      </c>
      <c r="J6119" s="44" t="s">
        <v>8</v>
      </c>
      <c r="K6119" s="23" t="s">
        <v>8</v>
      </c>
      <c r="L6119" s="23" t="s">
        <v>8</v>
      </c>
      <c r="M6119" s="23" t="s">
        <v>8</v>
      </c>
    </row>
    <row r="6120" spans="1:13" s="21" customFormat="1" x14ac:dyDescent="0.25">
      <c r="A6120" s="22" t="s">
        <v>8</v>
      </c>
      <c r="B6120" s="18" t="str">
        <f>"225549"</f>
        <v>225549</v>
      </c>
      <c r="C6120" s="19" t="s">
        <v>6038</v>
      </c>
      <c r="D6120" s="19" t="s">
        <v>21545</v>
      </c>
      <c r="E6120" s="19" t="s">
        <v>33043</v>
      </c>
      <c r="F6120" s="19" t="s">
        <v>35995</v>
      </c>
      <c r="G6120" s="18" t="str">
        <f>"01950"</f>
        <v>01950</v>
      </c>
      <c r="H6120" s="19" t="s">
        <v>31458</v>
      </c>
      <c r="I6120" s="20">
        <v>21.474</v>
      </c>
      <c r="J6120" s="44" t="s">
        <v>8</v>
      </c>
      <c r="K6120" s="23" t="s">
        <v>8</v>
      </c>
      <c r="L6120" s="23" t="s">
        <v>8</v>
      </c>
      <c r="M6120" s="23" t="s">
        <v>8</v>
      </c>
    </row>
    <row r="6121" spans="1:13" s="21" customFormat="1" x14ac:dyDescent="0.25">
      <c r="A6121" s="22" t="s">
        <v>8</v>
      </c>
      <c r="B6121" s="18" t="str">
        <f>"225553"</f>
        <v>225553</v>
      </c>
      <c r="C6121" s="19" t="s">
        <v>6039</v>
      </c>
      <c r="D6121" s="19" t="s">
        <v>21546</v>
      </c>
      <c r="E6121" s="19" t="s">
        <v>33114</v>
      </c>
      <c r="F6121" s="19" t="s">
        <v>35995</v>
      </c>
      <c r="G6121" s="18" t="str">
        <f>"02468"</f>
        <v>02468</v>
      </c>
      <c r="H6121" s="19" t="s">
        <v>36120</v>
      </c>
      <c r="I6121" s="20">
        <v>19.239999999999998</v>
      </c>
      <c r="J6121" s="44" t="s">
        <v>8</v>
      </c>
      <c r="K6121" s="23" t="s">
        <v>8</v>
      </c>
      <c r="L6121" s="23" t="s">
        <v>8</v>
      </c>
      <c r="M6121" s="23" t="s">
        <v>8</v>
      </c>
    </row>
    <row r="6122" spans="1:13" s="21" customFormat="1" x14ac:dyDescent="0.25">
      <c r="A6122" s="22" t="s">
        <v>8</v>
      </c>
      <c r="B6122" s="18" t="str">
        <f>"225555"</f>
        <v>225555</v>
      </c>
      <c r="C6122" s="19" t="s">
        <v>6040</v>
      </c>
      <c r="D6122" s="19" t="s">
        <v>21547</v>
      </c>
      <c r="E6122" s="19" t="s">
        <v>33103</v>
      </c>
      <c r="F6122" s="19" t="s">
        <v>35995</v>
      </c>
      <c r="G6122" s="18" t="str">
        <f>"01760"</f>
        <v>01760</v>
      </c>
      <c r="H6122" s="19" t="s">
        <v>36120</v>
      </c>
      <c r="I6122" s="20">
        <v>14.663</v>
      </c>
      <c r="J6122" s="44" t="s">
        <v>8</v>
      </c>
      <c r="K6122" s="23" t="s">
        <v>8</v>
      </c>
      <c r="L6122" s="23" t="s">
        <v>8</v>
      </c>
      <c r="M6122" s="23" t="s">
        <v>8</v>
      </c>
    </row>
    <row r="6123" spans="1:13" s="21" customFormat="1" x14ac:dyDescent="0.25">
      <c r="A6123" s="22" t="s">
        <v>8</v>
      </c>
      <c r="B6123" s="18" t="str">
        <f>"225556"</f>
        <v>225556</v>
      </c>
      <c r="C6123" s="19" t="s">
        <v>6041</v>
      </c>
      <c r="D6123" s="19" t="s">
        <v>21548</v>
      </c>
      <c r="E6123" s="19" t="s">
        <v>31373</v>
      </c>
      <c r="F6123" s="19" t="s">
        <v>35995</v>
      </c>
      <c r="G6123" s="18" t="str">
        <f>"01040"</f>
        <v>01040</v>
      </c>
      <c r="H6123" s="19" t="s">
        <v>33041</v>
      </c>
      <c r="I6123" s="20">
        <v>19.469000000000001</v>
      </c>
      <c r="J6123" s="44" t="s">
        <v>8</v>
      </c>
      <c r="K6123" s="23" t="s">
        <v>8</v>
      </c>
      <c r="L6123" s="23" t="s">
        <v>8</v>
      </c>
      <c r="M6123" s="23" t="s">
        <v>8</v>
      </c>
    </row>
    <row r="6124" spans="1:13" s="21" customFormat="1" x14ac:dyDescent="0.25">
      <c r="A6124" s="22" t="s">
        <v>8</v>
      </c>
      <c r="B6124" s="18" t="str">
        <f>"225557"</f>
        <v>225557</v>
      </c>
      <c r="C6124" s="19" t="s">
        <v>6042</v>
      </c>
      <c r="D6124" s="19" t="s">
        <v>21549</v>
      </c>
      <c r="E6124" s="19" t="s">
        <v>33088</v>
      </c>
      <c r="F6124" s="19" t="s">
        <v>35995</v>
      </c>
      <c r="G6124" s="18" t="str">
        <f>"02150"</f>
        <v>02150</v>
      </c>
      <c r="H6124" s="19" t="s">
        <v>35389</v>
      </c>
      <c r="I6124" s="20">
        <v>16.111999999999998</v>
      </c>
      <c r="J6124" s="44" t="s">
        <v>8</v>
      </c>
      <c r="K6124" s="23" t="s">
        <v>8</v>
      </c>
      <c r="L6124" s="23" t="s">
        <v>8</v>
      </c>
      <c r="M6124" s="23" t="s">
        <v>8</v>
      </c>
    </row>
    <row r="6125" spans="1:13" s="21" customFormat="1" x14ac:dyDescent="0.25">
      <c r="A6125" s="22" t="s">
        <v>8</v>
      </c>
      <c r="B6125" s="18" t="str">
        <f>"225558"</f>
        <v>225558</v>
      </c>
      <c r="C6125" s="19" t="s">
        <v>6043</v>
      </c>
      <c r="D6125" s="19" t="s">
        <v>21550</v>
      </c>
      <c r="E6125" s="19" t="s">
        <v>32569</v>
      </c>
      <c r="F6125" s="19" t="s">
        <v>35995</v>
      </c>
      <c r="G6125" s="18" t="str">
        <f>"01810"</f>
        <v>01810</v>
      </c>
      <c r="H6125" s="19" t="s">
        <v>31458</v>
      </c>
      <c r="I6125" s="20">
        <v>20.922999999999998</v>
      </c>
      <c r="J6125" s="44" t="s">
        <v>8</v>
      </c>
      <c r="K6125" s="23" t="s">
        <v>8</v>
      </c>
      <c r="L6125" s="23" t="s">
        <v>8</v>
      </c>
      <c r="M6125" s="23" t="s">
        <v>8</v>
      </c>
    </row>
    <row r="6126" spans="1:13" s="21" customFormat="1" x14ac:dyDescent="0.25">
      <c r="A6126" s="22" t="s">
        <v>8</v>
      </c>
      <c r="B6126" s="18" t="str">
        <f>"225562"</f>
        <v>225562</v>
      </c>
      <c r="C6126" s="19" t="s">
        <v>1701</v>
      </c>
      <c r="D6126" s="19" t="s">
        <v>21551</v>
      </c>
      <c r="E6126" s="19" t="s">
        <v>31405</v>
      </c>
      <c r="F6126" s="19" t="s">
        <v>35995</v>
      </c>
      <c r="G6126" s="18" t="str">
        <f>"01757"</f>
        <v>01757</v>
      </c>
      <c r="H6126" s="19" t="s">
        <v>33002</v>
      </c>
      <c r="I6126" s="20">
        <v>21.414000000000001</v>
      </c>
      <c r="J6126" s="44" t="s">
        <v>8</v>
      </c>
      <c r="K6126" s="23" t="s">
        <v>8</v>
      </c>
      <c r="L6126" s="23" t="s">
        <v>8</v>
      </c>
      <c r="M6126" s="23" t="s">
        <v>8</v>
      </c>
    </row>
    <row r="6127" spans="1:13" s="21" customFormat="1" x14ac:dyDescent="0.25">
      <c r="A6127" s="22" t="s">
        <v>8</v>
      </c>
      <c r="B6127" s="18" t="str">
        <f>"225564"</f>
        <v>225564</v>
      </c>
      <c r="C6127" s="19" t="s">
        <v>6044</v>
      </c>
      <c r="D6127" s="19" t="s">
        <v>21552</v>
      </c>
      <c r="E6127" s="19" t="s">
        <v>33033</v>
      </c>
      <c r="F6127" s="19" t="s">
        <v>35995</v>
      </c>
      <c r="G6127" s="18" t="str">
        <f>"02703"</f>
        <v>02703</v>
      </c>
      <c r="H6127" s="19" t="s">
        <v>31434</v>
      </c>
      <c r="I6127" s="20">
        <v>17.841000000000001</v>
      </c>
      <c r="J6127" s="44" t="s">
        <v>8</v>
      </c>
      <c r="K6127" s="23" t="s">
        <v>8</v>
      </c>
      <c r="L6127" s="23" t="s">
        <v>8</v>
      </c>
      <c r="M6127" s="23" t="s">
        <v>8</v>
      </c>
    </row>
    <row r="6128" spans="1:13" s="21" customFormat="1" x14ac:dyDescent="0.25">
      <c r="A6128" s="22" t="s">
        <v>8</v>
      </c>
      <c r="B6128" s="18" t="str">
        <f>"225567"</f>
        <v>225567</v>
      </c>
      <c r="C6128" s="19" t="s">
        <v>6045</v>
      </c>
      <c r="D6128" s="19" t="s">
        <v>21553</v>
      </c>
      <c r="E6128" s="19" t="s">
        <v>33089</v>
      </c>
      <c r="F6128" s="19" t="s">
        <v>35995</v>
      </c>
      <c r="G6128" s="18" t="str">
        <f>"01930"</f>
        <v>01930</v>
      </c>
      <c r="H6128" s="19" t="s">
        <v>31458</v>
      </c>
      <c r="I6128" s="20">
        <v>19.175999999999998</v>
      </c>
      <c r="J6128" s="44" t="s">
        <v>8</v>
      </c>
      <c r="K6128" s="23" t="s">
        <v>8</v>
      </c>
      <c r="L6128" s="23" t="s">
        <v>8</v>
      </c>
      <c r="M6128" s="23" t="s">
        <v>8</v>
      </c>
    </row>
    <row r="6129" spans="1:13" s="21" customFormat="1" x14ac:dyDescent="0.25">
      <c r="A6129" s="22" t="s">
        <v>8</v>
      </c>
      <c r="B6129" s="18" t="str">
        <f>"225568"</f>
        <v>225568</v>
      </c>
      <c r="C6129" s="19" t="s">
        <v>6046</v>
      </c>
      <c r="D6129" s="19" t="s">
        <v>21554</v>
      </c>
      <c r="E6129" s="19" t="s">
        <v>31489</v>
      </c>
      <c r="F6129" s="19" t="s">
        <v>35995</v>
      </c>
      <c r="G6129" s="18" t="str">
        <f>"01887"</f>
        <v>01887</v>
      </c>
      <c r="H6129" s="19" t="s">
        <v>36120</v>
      </c>
      <c r="I6129" s="20">
        <v>19.87</v>
      </c>
      <c r="J6129" s="44" t="s">
        <v>8</v>
      </c>
      <c r="K6129" s="23" t="s">
        <v>8</v>
      </c>
      <c r="L6129" s="23" t="s">
        <v>8</v>
      </c>
      <c r="M6129" s="23" t="s">
        <v>8</v>
      </c>
    </row>
    <row r="6130" spans="1:13" s="21" customFormat="1" x14ac:dyDescent="0.25">
      <c r="A6130" s="22" t="s">
        <v>8</v>
      </c>
      <c r="B6130" s="18" t="str">
        <f>"225569"</f>
        <v>225569</v>
      </c>
      <c r="C6130" s="19" t="s">
        <v>6047</v>
      </c>
      <c r="D6130" s="19" t="s">
        <v>21555</v>
      </c>
      <c r="E6130" s="19" t="s">
        <v>31354</v>
      </c>
      <c r="F6130" s="19" t="s">
        <v>35995</v>
      </c>
      <c r="G6130" s="18" t="str">
        <f>"01460"</f>
        <v>01460</v>
      </c>
      <c r="H6130" s="19" t="s">
        <v>36120</v>
      </c>
      <c r="I6130" s="20">
        <v>18.991</v>
      </c>
      <c r="J6130" s="44" t="s">
        <v>8</v>
      </c>
      <c r="K6130" s="23" t="s">
        <v>8</v>
      </c>
      <c r="L6130" s="23" t="s">
        <v>8</v>
      </c>
      <c r="M6130" s="23" t="s">
        <v>8</v>
      </c>
    </row>
    <row r="6131" spans="1:13" s="21" customFormat="1" x14ac:dyDescent="0.25">
      <c r="A6131" s="22" t="s">
        <v>8</v>
      </c>
      <c r="B6131" s="18" t="str">
        <f>"225571"</f>
        <v>225571</v>
      </c>
      <c r="C6131" s="19" t="s">
        <v>6048</v>
      </c>
      <c r="D6131" s="19" t="s">
        <v>21556</v>
      </c>
      <c r="E6131" s="19" t="s">
        <v>33088</v>
      </c>
      <c r="F6131" s="19" t="s">
        <v>35995</v>
      </c>
      <c r="G6131" s="18" t="str">
        <f>"02150"</f>
        <v>02150</v>
      </c>
      <c r="H6131" s="19" t="s">
        <v>35389</v>
      </c>
      <c r="I6131" s="20">
        <v>22.463999999999999</v>
      </c>
      <c r="J6131" s="44" t="s">
        <v>8</v>
      </c>
      <c r="K6131" s="23" t="s">
        <v>8</v>
      </c>
      <c r="L6131" s="23" t="s">
        <v>8</v>
      </c>
      <c r="M6131" s="23" t="s">
        <v>8</v>
      </c>
    </row>
    <row r="6132" spans="1:13" s="21" customFormat="1" x14ac:dyDescent="0.25">
      <c r="A6132" s="22" t="s">
        <v>8</v>
      </c>
      <c r="B6132" s="18" t="str">
        <f>"225573"</f>
        <v>225573</v>
      </c>
      <c r="C6132" s="19" t="s">
        <v>6049</v>
      </c>
      <c r="D6132" s="19" t="s">
        <v>21557</v>
      </c>
      <c r="E6132" s="19" t="s">
        <v>32969</v>
      </c>
      <c r="F6132" s="19" t="s">
        <v>35995</v>
      </c>
      <c r="G6132" s="18" t="str">
        <f>"02138"</f>
        <v>02138</v>
      </c>
      <c r="H6132" s="19" t="s">
        <v>36120</v>
      </c>
      <c r="I6132" s="20">
        <v>19.276</v>
      </c>
      <c r="J6132" s="44" t="s">
        <v>8</v>
      </c>
      <c r="K6132" s="23" t="s">
        <v>8</v>
      </c>
      <c r="L6132" s="23" t="s">
        <v>8</v>
      </c>
      <c r="M6132" s="23" t="s">
        <v>8</v>
      </c>
    </row>
    <row r="6133" spans="1:13" s="21" customFormat="1" x14ac:dyDescent="0.25">
      <c r="A6133" s="22" t="s">
        <v>8</v>
      </c>
      <c r="B6133" s="18" t="str">
        <f>"225576"</f>
        <v>225576</v>
      </c>
      <c r="C6133" s="19" t="s">
        <v>6050</v>
      </c>
      <c r="D6133" s="19" t="s">
        <v>21558</v>
      </c>
      <c r="E6133" s="19" t="s">
        <v>33115</v>
      </c>
      <c r="F6133" s="19" t="s">
        <v>35995</v>
      </c>
      <c r="G6133" s="18" t="str">
        <f>"02467"</f>
        <v>02467</v>
      </c>
      <c r="H6133" s="19" t="s">
        <v>36120</v>
      </c>
      <c r="I6133" s="20">
        <v>21.021000000000001</v>
      </c>
      <c r="J6133" s="44" t="s">
        <v>8</v>
      </c>
      <c r="K6133" s="23" t="s">
        <v>8</v>
      </c>
      <c r="L6133" s="23" t="s">
        <v>8</v>
      </c>
      <c r="M6133" s="23" t="s">
        <v>8</v>
      </c>
    </row>
    <row r="6134" spans="1:13" s="21" customFormat="1" x14ac:dyDescent="0.25">
      <c r="A6134" s="22" t="s">
        <v>8</v>
      </c>
      <c r="B6134" s="18" t="str">
        <f>"225577"</f>
        <v>225577</v>
      </c>
      <c r="C6134" s="19" t="s">
        <v>6051</v>
      </c>
      <c r="D6134" s="19" t="s">
        <v>21559</v>
      </c>
      <c r="E6134" s="19" t="s">
        <v>33002</v>
      </c>
      <c r="F6134" s="19" t="s">
        <v>35995</v>
      </c>
      <c r="G6134" s="18" t="str">
        <f>"01605"</f>
        <v>01605</v>
      </c>
      <c r="H6134" s="19" t="s">
        <v>33002</v>
      </c>
      <c r="I6134" s="20">
        <v>18.219000000000001</v>
      </c>
      <c r="J6134" s="44" t="s">
        <v>8</v>
      </c>
      <c r="K6134" s="23" t="s">
        <v>8</v>
      </c>
      <c r="L6134" s="23" t="s">
        <v>8</v>
      </c>
      <c r="M6134" s="23" t="s">
        <v>8</v>
      </c>
    </row>
    <row r="6135" spans="1:13" s="21" customFormat="1" x14ac:dyDescent="0.25">
      <c r="A6135" s="22" t="s">
        <v>8</v>
      </c>
      <c r="B6135" s="18" t="str">
        <f>"225581"</f>
        <v>225581</v>
      </c>
      <c r="C6135" s="19" t="s">
        <v>6052</v>
      </c>
      <c r="D6135" s="19" t="s">
        <v>21560</v>
      </c>
      <c r="E6135" s="19" t="s">
        <v>32393</v>
      </c>
      <c r="F6135" s="19" t="s">
        <v>35995</v>
      </c>
      <c r="G6135" s="18" t="str">
        <f>"01240"</f>
        <v>01240</v>
      </c>
      <c r="H6135" s="19" t="s">
        <v>36411</v>
      </c>
      <c r="I6135" s="20">
        <v>18.593</v>
      </c>
      <c r="J6135" s="44" t="s">
        <v>8</v>
      </c>
      <c r="K6135" s="23" t="s">
        <v>8</v>
      </c>
      <c r="L6135" s="23" t="s">
        <v>8</v>
      </c>
      <c r="M6135" s="23" t="s">
        <v>8</v>
      </c>
    </row>
    <row r="6136" spans="1:13" s="21" customFormat="1" x14ac:dyDescent="0.25">
      <c r="A6136" s="22" t="s">
        <v>8</v>
      </c>
      <c r="B6136" s="18" t="str">
        <f>"225584"</f>
        <v>225584</v>
      </c>
      <c r="C6136" s="19" t="s">
        <v>6053</v>
      </c>
      <c r="D6136" s="19" t="s">
        <v>21561</v>
      </c>
      <c r="E6136" s="19" t="s">
        <v>33116</v>
      </c>
      <c r="F6136" s="19" t="s">
        <v>35995</v>
      </c>
      <c r="G6136" s="18" t="str">
        <f>"02174"</f>
        <v>02174</v>
      </c>
      <c r="H6136" s="19" t="s">
        <v>36120</v>
      </c>
      <c r="I6136" s="20">
        <v>19.861000000000001</v>
      </c>
      <c r="J6136" s="44" t="s">
        <v>8</v>
      </c>
      <c r="K6136" s="23" t="s">
        <v>8</v>
      </c>
      <c r="L6136" s="23" t="s">
        <v>8</v>
      </c>
      <c r="M6136" s="23" t="s">
        <v>8</v>
      </c>
    </row>
    <row r="6137" spans="1:13" s="21" customFormat="1" x14ac:dyDescent="0.25">
      <c r="A6137" s="22" t="s">
        <v>8</v>
      </c>
      <c r="B6137" s="18" t="str">
        <f>"225586"</f>
        <v>225586</v>
      </c>
      <c r="C6137" s="19" t="s">
        <v>6054</v>
      </c>
      <c r="D6137" s="19" t="s">
        <v>21562</v>
      </c>
      <c r="E6137" s="19" t="s">
        <v>33117</v>
      </c>
      <c r="F6137" s="19" t="s">
        <v>35995</v>
      </c>
      <c r="G6137" s="18" t="str">
        <f>"01886"</f>
        <v>01886</v>
      </c>
      <c r="H6137" s="19" t="s">
        <v>36120</v>
      </c>
      <c r="I6137" s="20">
        <v>20.841000000000001</v>
      </c>
      <c r="J6137" s="44" t="s">
        <v>8</v>
      </c>
      <c r="K6137" s="23" t="s">
        <v>8</v>
      </c>
      <c r="L6137" s="23" t="s">
        <v>8</v>
      </c>
      <c r="M6137" s="23" t="s">
        <v>8</v>
      </c>
    </row>
    <row r="6138" spans="1:13" s="21" customFormat="1" x14ac:dyDescent="0.25">
      <c r="A6138" s="22" t="s">
        <v>8</v>
      </c>
      <c r="B6138" s="18" t="str">
        <f>"225587"</f>
        <v>225587</v>
      </c>
      <c r="C6138" s="19" t="s">
        <v>6055</v>
      </c>
      <c r="D6138" s="19" t="s">
        <v>21563</v>
      </c>
      <c r="E6138" s="19" t="s">
        <v>31791</v>
      </c>
      <c r="F6138" s="19" t="s">
        <v>35995</v>
      </c>
      <c r="G6138" s="18" t="str">
        <f>"02021"</f>
        <v>02021</v>
      </c>
      <c r="H6138" s="19" t="s">
        <v>33776</v>
      </c>
      <c r="I6138" s="20">
        <v>16.777999999999999</v>
      </c>
      <c r="J6138" s="44" t="s">
        <v>8</v>
      </c>
      <c r="K6138" s="23" t="s">
        <v>8</v>
      </c>
      <c r="L6138" s="23" t="s">
        <v>8</v>
      </c>
      <c r="M6138" s="23" t="s">
        <v>8</v>
      </c>
    </row>
    <row r="6139" spans="1:13" s="21" customFormat="1" x14ac:dyDescent="0.25">
      <c r="A6139" s="22" t="s">
        <v>8</v>
      </c>
      <c r="B6139" s="18" t="str">
        <f>"225589"</f>
        <v>225589</v>
      </c>
      <c r="C6139" s="19" t="s">
        <v>6056</v>
      </c>
      <c r="D6139" s="19" t="s">
        <v>21564</v>
      </c>
      <c r="E6139" s="19" t="s">
        <v>33022</v>
      </c>
      <c r="F6139" s="19" t="s">
        <v>35995</v>
      </c>
      <c r="G6139" s="18" t="str">
        <f>"02720"</f>
        <v>02720</v>
      </c>
      <c r="H6139" s="19" t="s">
        <v>31434</v>
      </c>
      <c r="I6139" s="20">
        <v>18.367000000000001</v>
      </c>
      <c r="J6139" s="44" t="s">
        <v>8</v>
      </c>
      <c r="K6139" s="23" t="s">
        <v>8</v>
      </c>
      <c r="L6139" s="23" t="s">
        <v>8</v>
      </c>
      <c r="M6139" s="23" t="s">
        <v>8</v>
      </c>
    </row>
    <row r="6140" spans="1:13" s="21" customFormat="1" x14ac:dyDescent="0.25">
      <c r="A6140" s="22" t="s">
        <v>8</v>
      </c>
      <c r="B6140" s="18" t="str">
        <f>"225591"</f>
        <v>225591</v>
      </c>
      <c r="C6140" s="19" t="s">
        <v>6057</v>
      </c>
      <c r="D6140" s="19" t="s">
        <v>21565</v>
      </c>
      <c r="E6140" s="19" t="s">
        <v>32535</v>
      </c>
      <c r="F6140" s="19" t="s">
        <v>35995</v>
      </c>
      <c r="G6140" s="18" t="str">
        <f>"01778"</f>
        <v>01778</v>
      </c>
      <c r="H6140" s="19" t="s">
        <v>36120</v>
      </c>
      <c r="I6140" s="20">
        <v>18.806000000000001</v>
      </c>
      <c r="J6140" s="44" t="s">
        <v>8</v>
      </c>
      <c r="K6140" s="23" t="s">
        <v>8</v>
      </c>
      <c r="L6140" s="23" t="s">
        <v>8</v>
      </c>
      <c r="M6140" s="23" t="s">
        <v>8</v>
      </c>
    </row>
    <row r="6141" spans="1:13" s="21" customFormat="1" x14ac:dyDescent="0.25">
      <c r="A6141" s="22" t="s">
        <v>8</v>
      </c>
      <c r="B6141" s="18" t="str">
        <f>"225594"</f>
        <v>225594</v>
      </c>
      <c r="C6141" s="19" t="s">
        <v>6058</v>
      </c>
      <c r="D6141" s="19" t="s">
        <v>21566</v>
      </c>
      <c r="E6141" s="19" t="s">
        <v>33002</v>
      </c>
      <c r="F6141" s="19" t="s">
        <v>35995</v>
      </c>
      <c r="G6141" s="18" t="str">
        <f>"01605"</f>
        <v>01605</v>
      </c>
      <c r="H6141" s="19" t="s">
        <v>33002</v>
      </c>
      <c r="I6141" s="20">
        <v>18.748999999999999</v>
      </c>
      <c r="J6141" s="44" t="s">
        <v>8</v>
      </c>
      <c r="K6141" s="23" t="s">
        <v>8</v>
      </c>
      <c r="L6141" s="23" t="s">
        <v>8</v>
      </c>
      <c r="M6141" s="23" t="s">
        <v>8</v>
      </c>
    </row>
    <row r="6142" spans="1:13" s="21" customFormat="1" x14ac:dyDescent="0.25">
      <c r="A6142" s="22" t="s">
        <v>8</v>
      </c>
      <c r="B6142" s="18" t="str">
        <f>"225597"</f>
        <v>225597</v>
      </c>
      <c r="C6142" s="19" t="s">
        <v>6059</v>
      </c>
      <c r="D6142" s="19" t="s">
        <v>21567</v>
      </c>
      <c r="E6142" s="19" t="s">
        <v>33095</v>
      </c>
      <c r="F6142" s="19" t="s">
        <v>35995</v>
      </c>
      <c r="G6142" s="18" t="str">
        <f>"02061"</f>
        <v>02061</v>
      </c>
      <c r="H6142" s="19" t="s">
        <v>31465</v>
      </c>
      <c r="I6142" s="20">
        <v>19.701000000000001</v>
      </c>
      <c r="J6142" s="44" t="s">
        <v>8</v>
      </c>
      <c r="K6142" s="23" t="s">
        <v>8</v>
      </c>
      <c r="L6142" s="23" t="s">
        <v>8</v>
      </c>
      <c r="M6142" s="23" t="s">
        <v>8</v>
      </c>
    </row>
    <row r="6143" spans="1:13" s="21" customFormat="1" x14ac:dyDescent="0.25">
      <c r="A6143" s="22" t="s">
        <v>8</v>
      </c>
      <c r="B6143" s="18" t="str">
        <f>"225598"</f>
        <v>225598</v>
      </c>
      <c r="C6143" s="19" t="s">
        <v>6060</v>
      </c>
      <c r="D6143" s="19" t="s">
        <v>21568</v>
      </c>
      <c r="E6143" s="19" t="s">
        <v>30809</v>
      </c>
      <c r="F6143" s="19" t="s">
        <v>35995</v>
      </c>
      <c r="G6143" s="18" t="str">
        <f>"01721"</f>
        <v>01721</v>
      </c>
      <c r="H6143" s="19" t="s">
        <v>36120</v>
      </c>
      <c r="I6143" s="20">
        <v>17.422000000000001</v>
      </c>
      <c r="J6143" s="44" t="s">
        <v>8</v>
      </c>
      <c r="K6143" s="23" t="s">
        <v>8</v>
      </c>
      <c r="L6143" s="23" t="s">
        <v>8</v>
      </c>
      <c r="M6143" s="23" t="s">
        <v>8</v>
      </c>
    </row>
    <row r="6144" spans="1:13" s="21" customFormat="1" x14ac:dyDescent="0.25">
      <c r="A6144" s="22" t="s">
        <v>8</v>
      </c>
      <c r="B6144" s="18" t="str">
        <f>"225599"</f>
        <v>225599</v>
      </c>
      <c r="C6144" s="19" t="s">
        <v>6061</v>
      </c>
      <c r="D6144" s="19" t="s">
        <v>21569</v>
      </c>
      <c r="E6144" s="19" t="s">
        <v>33040</v>
      </c>
      <c r="F6144" s="19" t="s">
        <v>35995</v>
      </c>
      <c r="G6144" s="18" t="str">
        <f>"02740"</f>
        <v>02740</v>
      </c>
      <c r="H6144" s="19" t="s">
        <v>31434</v>
      </c>
      <c r="I6144" s="20">
        <v>20.042999999999999</v>
      </c>
      <c r="J6144" s="44" t="s">
        <v>8</v>
      </c>
      <c r="K6144" s="23" t="s">
        <v>8</v>
      </c>
      <c r="L6144" s="23" t="s">
        <v>8</v>
      </c>
      <c r="M6144" s="23" t="s">
        <v>8</v>
      </c>
    </row>
    <row r="6145" spans="1:13" s="21" customFormat="1" x14ac:dyDescent="0.25">
      <c r="A6145" s="22" t="s">
        <v>8</v>
      </c>
      <c r="B6145" s="18" t="str">
        <f>"225603"</f>
        <v>225603</v>
      </c>
      <c r="C6145" s="19" t="s">
        <v>6062</v>
      </c>
      <c r="D6145" s="19" t="s">
        <v>21570</v>
      </c>
      <c r="E6145" s="19" t="s">
        <v>33022</v>
      </c>
      <c r="F6145" s="19" t="s">
        <v>35995</v>
      </c>
      <c r="G6145" s="18" t="str">
        <f>"02721"</f>
        <v>02721</v>
      </c>
      <c r="H6145" s="19" t="s">
        <v>31434</v>
      </c>
      <c r="I6145" s="20">
        <v>20.067</v>
      </c>
      <c r="J6145" s="44" t="s">
        <v>8</v>
      </c>
      <c r="K6145" s="23" t="s">
        <v>8</v>
      </c>
      <c r="L6145" s="23" t="s">
        <v>8</v>
      </c>
      <c r="M6145" s="23" t="s">
        <v>8</v>
      </c>
    </row>
    <row r="6146" spans="1:13" s="21" customFormat="1" x14ac:dyDescent="0.25">
      <c r="A6146" s="22" t="s">
        <v>8</v>
      </c>
      <c r="B6146" s="18" t="str">
        <f>"225608"</f>
        <v>225608</v>
      </c>
      <c r="C6146" s="19" t="s">
        <v>6063</v>
      </c>
      <c r="D6146" s="19" t="s">
        <v>21571</v>
      </c>
      <c r="E6146" s="19" t="s">
        <v>33025</v>
      </c>
      <c r="F6146" s="19" t="s">
        <v>35995</v>
      </c>
      <c r="G6146" s="18" t="str">
        <f>"02062"</f>
        <v>02062</v>
      </c>
      <c r="H6146" s="19" t="s">
        <v>33776</v>
      </c>
      <c r="I6146" s="20">
        <v>17.513000000000002</v>
      </c>
      <c r="J6146" s="44" t="s">
        <v>8</v>
      </c>
      <c r="K6146" s="23" t="s">
        <v>8</v>
      </c>
      <c r="L6146" s="23" t="s">
        <v>8</v>
      </c>
      <c r="M6146" s="23" t="s">
        <v>8</v>
      </c>
    </row>
    <row r="6147" spans="1:13" s="21" customFormat="1" x14ac:dyDescent="0.25">
      <c r="A6147" s="22" t="s">
        <v>8</v>
      </c>
      <c r="B6147" s="18" t="str">
        <f>"225609"</f>
        <v>225609</v>
      </c>
      <c r="C6147" s="19" t="s">
        <v>6064</v>
      </c>
      <c r="D6147" s="19" t="s">
        <v>21572</v>
      </c>
      <c r="E6147" s="19" t="s">
        <v>31360</v>
      </c>
      <c r="F6147" s="19" t="s">
        <v>35995</v>
      </c>
      <c r="G6147" s="18" t="str">
        <f>"02135"</f>
        <v>02135</v>
      </c>
      <c r="H6147" s="19" t="s">
        <v>35389</v>
      </c>
      <c r="I6147" s="20">
        <v>17.742999999999999</v>
      </c>
      <c r="J6147" s="44" t="s">
        <v>8</v>
      </c>
      <c r="K6147" s="23" t="s">
        <v>8</v>
      </c>
      <c r="L6147" s="23" t="s">
        <v>8</v>
      </c>
      <c r="M6147" s="23" t="s">
        <v>8</v>
      </c>
    </row>
    <row r="6148" spans="1:13" s="21" customFormat="1" x14ac:dyDescent="0.25">
      <c r="A6148" s="22" t="s">
        <v>8</v>
      </c>
      <c r="B6148" s="18" t="str">
        <f>"225612"</f>
        <v>225612</v>
      </c>
      <c r="C6148" s="19" t="s">
        <v>6065</v>
      </c>
      <c r="D6148" s="19" t="s">
        <v>21573</v>
      </c>
      <c r="E6148" s="19" t="s">
        <v>33118</v>
      </c>
      <c r="F6148" s="19" t="s">
        <v>35995</v>
      </c>
      <c r="G6148" s="18" t="str">
        <f>"02764"</f>
        <v>02764</v>
      </c>
      <c r="H6148" s="19" t="s">
        <v>31434</v>
      </c>
      <c r="I6148" s="20">
        <v>18.742999999999999</v>
      </c>
      <c r="J6148" s="44" t="s">
        <v>8</v>
      </c>
      <c r="K6148" s="23" t="s">
        <v>8</v>
      </c>
      <c r="L6148" s="23" t="s">
        <v>8</v>
      </c>
      <c r="M6148" s="23" t="s">
        <v>8</v>
      </c>
    </row>
    <row r="6149" spans="1:13" s="21" customFormat="1" x14ac:dyDescent="0.25">
      <c r="A6149" s="22" t="s">
        <v>8</v>
      </c>
      <c r="B6149" s="18" t="str">
        <f>"225613"</f>
        <v>225613</v>
      </c>
      <c r="C6149" s="19" t="s">
        <v>6066</v>
      </c>
      <c r="D6149" s="19" t="s">
        <v>21574</v>
      </c>
      <c r="E6149" s="19" t="s">
        <v>33008</v>
      </c>
      <c r="F6149" s="19" t="s">
        <v>35995</v>
      </c>
      <c r="G6149" s="18" t="str">
        <f>"02188"</f>
        <v>02188</v>
      </c>
      <c r="H6149" s="19" t="s">
        <v>33776</v>
      </c>
      <c r="I6149" s="20">
        <v>17.959</v>
      </c>
      <c r="J6149" s="44" t="s">
        <v>8</v>
      </c>
      <c r="K6149" s="23" t="s">
        <v>8</v>
      </c>
      <c r="L6149" s="23" t="s">
        <v>8</v>
      </c>
      <c r="M6149" s="23" t="s">
        <v>8</v>
      </c>
    </row>
    <row r="6150" spans="1:13" s="21" customFormat="1" x14ac:dyDescent="0.25">
      <c r="A6150" s="22" t="s">
        <v>8</v>
      </c>
      <c r="B6150" s="18" t="str">
        <f>"225615"</f>
        <v>225615</v>
      </c>
      <c r="C6150" s="19" t="s">
        <v>6067</v>
      </c>
      <c r="D6150" s="19" t="s">
        <v>21575</v>
      </c>
      <c r="E6150" s="19" t="s">
        <v>33119</v>
      </c>
      <c r="F6150" s="19" t="s">
        <v>35995</v>
      </c>
      <c r="G6150" s="18" t="str">
        <f>"01760"</f>
        <v>01760</v>
      </c>
      <c r="H6150" s="19" t="s">
        <v>36120</v>
      </c>
      <c r="I6150" s="20">
        <v>20.969000000000001</v>
      </c>
      <c r="J6150" s="44" t="s">
        <v>8</v>
      </c>
      <c r="K6150" s="23" t="s">
        <v>8</v>
      </c>
      <c r="L6150" s="23" t="s">
        <v>8</v>
      </c>
      <c r="M6150" s="23" t="s">
        <v>8</v>
      </c>
    </row>
    <row r="6151" spans="1:13" s="21" customFormat="1" x14ac:dyDescent="0.25">
      <c r="A6151" s="22" t="s">
        <v>8</v>
      </c>
      <c r="B6151" s="18" t="str">
        <f>"225616"</f>
        <v>225616</v>
      </c>
      <c r="C6151" s="19" t="s">
        <v>6068</v>
      </c>
      <c r="D6151" s="19" t="s">
        <v>21576</v>
      </c>
      <c r="E6151" s="19" t="s">
        <v>33120</v>
      </c>
      <c r="F6151" s="19" t="s">
        <v>35995</v>
      </c>
      <c r="G6151" s="18" t="str">
        <f>"02324"</f>
        <v>02324</v>
      </c>
      <c r="H6151" s="19" t="s">
        <v>31465</v>
      </c>
      <c r="I6151" s="20">
        <v>21.071999999999999</v>
      </c>
      <c r="J6151" s="44" t="s">
        <v>8</v>
      </c>
      <c r="K6151" s="23" t="s">
        <v>8</v>
      </c>
      <c r="L6151" s="23" t="s">
        <v>8</v>
      </c>
      <c r="M6151" s="23" t="s">
        <v>8</v>
      </c>
    </row>
    <row r="6152" spans="1:13" s="21" customFormat="1" x14ac:dyDescent="0.25">
      <c r="A6152" s="22" t="s">
        <v>8</v>
      </c>
      <c r="B6152" s="18" t="str">
        <f>"225622"</f>
        <v>225622</v>
      </c>
      <c r="C6152" s="19" t="s">
        <v>6069</v>
      </c>
      <c r="D6152" s="19" t="s">
        <v>21577</v>
      </c>
      <c r="E6152" s="19" t="s">
        <v>33121</v>
      </c>
      <c r="F6152" s="19" t="s">
        <v>35995</v>
      </c>
      <c r="G6152" s="18" t="str">
        <f>"02346"</f>
        <v>02346</v>
      </c>
      <c r="H6152" s="19" t="s">
        <v>31465</v>
      </c>
      <c r="I6152" s="20">
        <v>22.213000000000001</v>
      </c>
      <c r="J6152" s="44" t="s">
        <v>8</v>
      </c>
      <c r="K6152" s="23" t="s">
        <v>8</v>
      </c>
      <c r="L6152" s="23" t="s">
        <v>8</v>
      </c>
      <c r="M6152" s="23" t="s">
        <v>8</v>
      </c>
    </row>
    <row r="6153" spans="1:13" s="21" customFormat="1" x14ac:dyDescent="0.25">
      <c r="A6153" s="22" t="s">
        <v>8</v>
      </c>
      <c r="B6153" s="18" t="str">
        <f>"225626"</f>
        <v>225626</v>
      </c>
      <c r="C6153" s="19" t="s">
        <v>6070</v>
      </c>
      <c r="D6153" s="19" t="s">
        <v>21578</v>
      </c>
      <c r="E6153" s="19" t="s">
        <v>33009</v>
      </c>
      <c r="F6153" s="19" t="s">
        <v>35995</v>
      </c>
      <c r="G6153" s="18" t="str">
        <f>"02780"</f>
        <v>02780</v>
      </c>
      <c r="H6153" s="19" t="s">
        <v>31434</v>
      </c>
      <c r="I6153" s="20">
        <v>16.619</v>
      </c>
      <c r="J6153" s="44" t="s">
        <v>8</v>
      </c>
      <c r="K6153" s="23" t="s">
        <v>8</v>
      </c>
      <c r="L6153" s="23" t="s">
        <v>8</v>
      </c>
      <c r="M6153" s="23" t="s">
        <v>8</v>
      </c>
    </row>
    <row r="6154" spans="1:13" s="21" customFormat="1" x14ac:dyDescent="0.25">
      <c r="A6154" s="22" t="s">
        <v>8</v>
      </c>
      <c r="B6154" s="18" t="str">
        <f>"225630"</f>
        <v>225630</v>
      </c>
      <c r="C6154" s="19" t="s">
        <v>6071</v>
      </c>
      <c r="D6154" s="19" t="s">
        <v>21579</v>
      </c>
      <c r="E6154" s="19" t="s">
        <v>33122</v>
      </c>
      <c r="F6154" s="19" t="s">
        <v>35995</v>
      </c>
      <c r="G6154" s="18" t="str">
        <f>"02557"</f>
        <v>02557</v>
      </c>
      <c r="H6154" s="19" t="s">
        <v>36414</v>
      </c>
      <c r="I6154" s="20">
        <v>19.561</v>
      </c>
      <c r="J6154" s="44" t="s">
        <v>8</v>
      </c>
      <c r="K6154" s="23" t="s">
        <v>8</v>
      </c>
      <c r="L6154" s="23" t="s">
        <v>8</v>
      </c>
      <c r="M6154" s="23" t="s">
        <v>8</v>
      </c>
    </row>
    <row r="6155" spans="1:13" s="21" customFormat="1" x14ac:dyDescent="0.25">
      <c r="A6155" s="22" t="s">
        <v>8</v>
      </c>
      <c r="B6155" s="18" t="str">
        <f>"225634"</f>
        <v>225634</v>
      </c>
      <c r="C6155" s="19" t="s">
        <v>6072</v>
      </c>
      <c r="D6155" s="19" t="s">
        <v>21580</v>
      </c>
      <c r="E6155" s="19" t="s">
        <v>33008</v>
      </c>
      <c r="F6155" s="19" t="s">
        <v>35995</v>
      </c>
      <c r="G6155" s="18" t="str">
        <f>"02189"</f>
        <v>02189</v>
      </c>
      <c r="H6155" s="19" t="s">
        <v>33776</v>
      </c>
      <c r="I6155" s="20">
        <v>25.033000000000001</v>
      </c>
      <c r="J6155" s="44" t="s">
        <v>8</v>
      </c>
      <c r="K6155" s="23" t="s">
        <v>8</v>
      </c>
      <c r="L6155" s="23" t="s">
        <v>8</v>
      </c>
      <c r="M6155" s="23" t="s">
        <v>8</v>
      </c>
    </row>
    <row r="6156" spans="1:13" s="21" customFormat="1" x14ac:dyDescent="0.25">
      <c r="A6156" s="22" t="s">
        <v>8</v>
      </c>
      <c r="B6156" s="18" t="str">
        <f>"225637"</f>
        <v>225637</v>
      </c>
      <c r="C6156" s="19" t="s">
        <v>6073</v>
      </c>
      <c r="D6156" s="19" t="s">
        <v>21581</v>
      </c>
      <c r="E6156" s="19" t="s">
        <v>33123</v>
      </c>
      <c r="F6156" s="19" t="s">
        <v>35995</v>
      </c>
      <c r="G6156" s="18" t="str">
        <f>"02657"</f>
        <v>02657</v>
      </c>
      <c r="H6156" s="19" t="s">
        <v>36413</v>
      </c>
      <c r="I6156" s="20">
        <v>19.431000000000001</v>
      </c>
      <c r="J6156" s="44" t="s">
        <v>8</v>
      </c>
      <c r="K6156" s="23" t="s">
        <v>8</v>
      </c>
      <c r="L6156" s="23" t="s">
        <v>8</v>
      </c>
      <c r="M6156" s="23" t="s">
        <v>8</v>
      </c>
    </row>
    <row r="6157" spans="1:13" s="21" customFormat="1" x14ac:dyDescent="0.25">
      <c r="A6157" s="22" t="s">
        <v>8</v>
      </c>
      <c r="B6157" s="18" t="str">
        <f>"225640"</f>
        <v>225640</v>
      </c>
      <c r="C6157" s="19" t="s">
        <v>6074</v>
      </c>
      <c r="D6157" s="19" t="s">
        <v>21582</v>
      </c>
      <c r="E6157" s="19" t="s">
        <v>32568</v>
      </c>
      <c r="F6157" s="19" t="s">
        <v>35995</v>
      </c>
      <c r="G6157" s="18" t="str">
        <f>"01841"</f>
        <v>01841</v>
      </c>
      <c r="H6157" s="19" t="s">
        <v>31458</v>
      </c>
      <c r="I6157" s="20">
        <v>18.341000000000001</v>
      </c>
      <c r="J6157" s="44" t="s">
        <v>8</v>
      </c>
      <c r="K6157" s="23" t="s">
        <v>8</v>
      </c>
      <c r="L6157" s="23" t="s">
        <v>8</v>
      </c>
      <c r="M6157" s="23" t="s">
        <v>8</v>
      </c>
    </row>
    <row r="6158" spans="1:13" s="21" customFormat="1" x14ac:dyDescent="0.25">
      <c r="A6158" s="22" t="s">
        <v>8</v>
      </c>
      <c r="B6158" s="18" t="str">
        <f>"225642"</f>
        <v>225642</v>
      </c>
      <c r="C6158" s="19" t="s">
        <v>6075</v>
      </c>
      <c r="D6158" s="19" t="s">
        <v>21583</v>
      </c>
      <c r="E6158" s="19" t="s">
        <v>33019</v>
      </c>
      <c r="F6158" s="19" t="s">
        <v>35995</v>
      </c>
      <c r="G6158" s="18" t="str">
        <f>"01001"</f>
        <v>01001</v>
      </c>
      <c r="H6158" s="19" t="s">
        <v>33041</v>
      </c>
      <c r="I6158" s="20">
        <v>17.277000000000001</v>
      </c>
      <c r="J6158" s="44" t="s">
        <v>8</v>
      </c>
      <c r="K6158" s="23" t="s">
        <v>8</v>
      </c>
      <c r="L6158" s="23" t="s">
        <v>8</v>
      </c>
      <c r="M6158" s="23" t="s">
        <v>8</v>
      </c>
    </row>
    <row r="6159" spans="1:13" s="21" customFormat="1" x14ac:dyDescent="0.25">
      <c r="A6159" s="22" t="s">
        <v>8</v>
      </c>
      <c r="B6159" s="18" t="str">
        <f>"225643"</f>
        <v>225643</v>
      </c>
      <c r="C6159" s="19" t="s">
        <v>6076</v>
      </c>
      <c r="D6159" s="19" t="s">
        <v>21584</v>
      </c>
      <c r="E6159" s="19" t="s">
        <v>33124</v>
      </c>
      <c r="F6159" s="19" t="s">
        <v>35995</v>
      </c>
      <c r="G6159" s="18" t="str">
        <f>"01507"</f>
        <v>01507</v>
      </c>
      <c r="H6159" s="19" t="s">
        <v>33002</v>
      </c>
      <c r="I6159" s="20">
        <v>19.798999999999999</v>
      </c>
      <c r="J6159" s="44" t="s">
        <v>8</v>
      </c>
      <c r="K6159" s="23" t="s">
        <v>8</v>
      </c>
      <c r="L6159" s="23" t="s">
        <v>8</v>
      </c>
      <c r="M6159" s="23" t="s">
        <v>8</v>
      </c>
    </row>
    <row r="6160" spans="1:13" s="21" customFormat="1" x14ac:dyDescent="0.25">
      <c r="A6160" s="22" t="s">
        <v>8</v>
      </c>
      <c r="B6160" s="18" t="str">
        <f>"225644"</f>
        <v>225644</v>
      </c>
      <c r="C6160" s="19" t="s">
        <v>6077</v>
      </c>
      <c r="D6160" s="19" t="s">
        <v>21585</v>
      </c>
      <c r="E6160" s="19" t="s">
        <v>31038</v>
      </c>
      <c r="F6160" s="19" t="s">
        <v>35995</v>
      </c>
      <c r="G6160" s="18" t="str">
        <f>"01970"</f>
        <v>01970</v>
      </c>
      <c r="H6160" s="19" t="s">
        <v>31458</v>
      </c>
      <c r="I6160" s="20">
        <v>18.954000000000001</v>
      </c>
      <c r="J6160" s="44" t="s">
        <v>8</v>
      </c>
      <c r="K6160" s="23" t="s">
        <v>8</v>
      </c>
      <c r="L6160" s="23" t="s">
        <v>8</v>
      </c>
      <c r="M6160" s="23" t="s">
        <v>8</v>
      </c>
    </row>
    <row r="6161" spans="1:13" s="21" customFormat="1" x14ac:dyDescent="0.25">
      <c r="A6161" s="22" t="s">
        <v>8</v>
      </c>
      <c r="B6161" s="18" t="str">
        <f>"225645"</f>
        <v>225645</v>
      </c>
      <c r="C6161" s="19" t="s">
        <v>6078</v>
      </c>
      <c r="D6161" s="19" t="s">
        <v>21586</v>
      </c>
      <c r="E6161" s="19" t="s">
        <v>33125</v>
      </c>
      <c r="F6161" s="19" t="s">
        <v>35995</v>
      </c>
      <c r="G6161" s="18" t="str">
        <f>"02052"</f>
        <v>02052</v>
      </c>
      <c r="H6161" s="19" t="s">
        <v>33776</v>
      </c>
      <c r="I6161" s="20">
        <v>18.754999999999999</v>
      </c>
      <c r="J6161" s="44" t="s">
        <v>8</v>
      </c>
      <c r="K6161" s="23" t="s">
        <v>8</v>
      </c>
      <c r="L6161" s="23" t="s">
        <v>8</v>
      </c>
      <c r="M6161" s="23" t="s">
        <v>8</v>
      </c>
    </row>
    <row r="6162" spans="1:13" s="21" customFormat="1" x14ac:dyDescent="0.25">
      <c r="A6162" s="22" t="s">
        <v>8</v>
      </c>
      <c r="B6162" s="18" t="str">
        <f>"225648"</f>
        <v>225648</v>
      </c>
      <c r="C6162" s="19" t="s">
        <v>6079</v>
      </c>
      <c r="D6162" s="19" t="s">
        <v>21587</v>
      </c>
      <c r="E6162" s="19" t="s">
        <v>33002</v>
      </c>
      <c r="F6162" s="19" t="s">
        <v>35995</v>
      </c>
      <c r="G6162" s="18" t="str">
        <f>"01606"</f>
        <v>01606</v>
      </c>
      <c r="H6162" s="19" t="s">
        <v>33002</v>
      </c>
      <c r="I6162" s="20">
        <v>22.774000000000001</v>
      </c>
      <c r="J6162" s="44" t="s">
        <v>8</v>
      </c>
      <c r="K6162" s="23" t="s">
        <v>8</v>
      </c>
      <c r="L6162" s="23" t="s">
        <v>8</v>
      </c>
      <c r="M6162" s="23" t="s">
        <v>8</v>
      </c>
    </row>
    <row r="6163" spans="1:13" s="21" customFormat="1" x14ac:dyDescent="0.25">
      <c r="A6163" s="22" t="s">
        <v>8</v>
      </c>
      <c r="B6163" s="18" t="str">
        <f>"225649"</f>
        <v>225649</v>
      </c>
      <c r="C6163" s="19" t="s">
        <v>6080</v>
      </c>
      <c r="D6163" s="19" t="s">
        <v>21588</v>
      </c>
      <c r="E6163" s="19" t="s">
        <v>33024</v>
      </c>
      <c r="F6163" s="19" t="s">
        <v>35995</v>
      </c>
      <c r="G6163" s="18" t="str">
        <f>"02134"</f>
        <v>02134</v>
      </c>
      <c r="H6163" s="19" t="s">
        <v>35389</v>
      </c>
      <c r="I6163" s="20">
        <v>19.364000000000001</v>
      </c>
      <c r="J6163" s="44" t="s">
        <v>8</v>
      </c>
      <c r="K6163" s="23" t="s">
        <v>8</v>
      </c>
      <c r="L6163" s="23" t="s">
        <v>8</v>
      </c>
      <c r="M6163" s="23" t="s">
        <v>8</v>
      </c>
    </row>
    <row r="6164" spans="1:13" s="21" customFormat="1" x14ac:dyDescent="0.25">
      <c r="A6164" s="22" t="s">
        <v>8</v>
      </c>
      <c r="B6164" s="18" t="str">
        <f>"225650"</f>
        <v>225650</v>
      </c>
      <c r="C6164" s="19" t="s">
        <v>6081</v>
      </c>
      <c r="D6164" s="19" t="s">
        <v>21589</v>
      </c>
      <c r="E6164" s="19" t="s">
        <v>33040</v>
      </c>
      <c r="F6164" s="19" t="s">
        <v>35995</v>
      </c>
      <c r="G6164" s="18" t="str">
        <f>"02745"</f>
        <v>02745</v>
      </c>
      <c r="H6164" s="19" t="s">
        <v>31434</v>
      </c>
      <c r="I6164" s="20">
        <v>19.593</v>
      </c>
      <c r="J6164" s="44" t="s">
        <v>8</v>
      </c>
      <c r="K6164" s="23" t="s">
        <v>8</v>
      </c>
      <c r="L6164" s="23" t="s">
        <v>8</v>
      </c>
      <c r="M6164" s="23" t="s">
        <v>8</v>
      </c>
    </row>
    <row r="6165" spans="1:13" s="21" customFormat="1" x14ac:dyDescent="0.25">
      <c r="A6165" s="22" t="s">
        <v>8</v>
      </c>
      <c r="B6165" s="18" t="str">
        <f>"225651"</f>
        <v>225651</v>
      </c>
      <c r="C6165" s="19" t="s">
        <v>6082</v>
      </c>
      <c r="D6165" s="19" t="s">
        <v>21590</v>
      </c>
      <c r="E6165" s="19" t="s">
        <v>32649</v>
      </c>
      <c r="F6165" s="19" t="s">
        <v>35995</v>
      </c>
      <c r="G6165" s="18" t="str">
        <f>"01961"</f>
        <v>01961</v>
      </c>
      <c r="H6165" s="19" t="s">
        <v>31458</v>
      </c>
      <c r="I6165" s="20">
        <v>21.834</v>
      </c>
      <c r="J6165" s="44" t="s">
        <v>8</v>
      </c>
      <c r="K6165" s="23" t="s">
        <v>8</v>
      </c>
      <c r="L6165" s="23" t="s">
        <v>8</v>
      </c>
      <c r="M6165" s="23" t="s">
        <v>8</v>
      </c>
    </row>
    <row r="6166" spans="1:13" s="21" customFormat="1" x14ac:dyDescent="0.25">
      <c r="A6166" s="22" t="s">
        <v>8</v>
      </c>
      <c r="B6166" s="18" t="str">
        <f>"225653"</f>
        <v>225653</v>
      </c>
      <c r="C6166" s="19" t="s">
        <v>6083</v>
      </c>
      <c r="D6166" s="19" t="s">
        <v>21591</v>
      </c>
      <c r="E6166" s="19" t="s">
        <v>33087</v>
      </c>
      <c r="F6166" s="19" t="s">
        <v>35995</v>
      </c>
      <c r="G6166" s="18" t="str">
        <f>"02072"</f>
        <v>02072</v>
      </c>
      <c r="H6166" s="19" t="s">
        <v>33776</v>
      </c>
      <c r="I6166" s="20">
        <v>22.311</v>
      </c>
      <c r="J6166" s="44" t="s">
        <v>8</v>
      </c>
      <c r="K6166" s="23" t="s">
        <v>8</v>
      </c>
      <c r="L6166" s="23" t="s">
        <v>8</v>
      </c>
      <c r="M6166" s="23" t="s">
        <v>8</v>
      </c>
    </row>
    <row r="6167" spans="1:13" s="21" customFormat="1" x14ac:dyDescent="0.25">
      <c r="A6167" s="22" t="s">
        <v>8</v>
      </c>
      <c r="B6167" s="18" t="str">
        <f>"225654"</f>
        <v>225654</v>
      </c>
      <c r="C6167" s="19" t="s">
        <v>6084</v>
      </c>
      <c r="D6167" s="19" t="s">
        <v>21592</v>
      </c>
      <c r="E6167" s="19" t="s">
        <v>33024</v>
      </c>
      <c r="F6167" s="19" t="s">
        <v>35995</v>
      </c>
      <c r="G6167" s="18" t="str">
        <f>"02120"</f>
        <v>02120</v>
      </c>
      <c r="H6167" s="19" t="s">
        <v>35389</v>
      </c>
      <c r="I6167" s="20">
        <v>18.422999999999998</v>
      </c>
      <c r="J6167" s="44" t="s">
        <v>8</v>
      </c>
      <c r="K6167" s="23" t="s">
        <v>8</v>
      </c>
      <c r="L6167" s="23" t="s">
        <v>8</v>
      </c>
      <c r="M6167" s="23" t="s">
        <v>8</v>
      </c>
    </row>
    <row r="6168" spans="1:13" s="21" customFormat="1" x14ac:dyDescent="0.25">
      <c r="A6168" s="22" t="s">
        <v>8</v>
      </c>
      <c r="B6168" s="18" t="str">
        <f>"225655"</f>
        <v>225655</v>
      </c>
      <c r="C6168" s="19" t="s">
        <v>6085</v>
      </c>
      <c r="D6168" s="19" t="s">
        <v>21593</v>
      </c>
      <c r="E6168" s="19" t="s">
        <v>33126</v>
      </c>
      <c r="F6168" s="19" t="s">
        <v>35995</v>
      </c>
      <c r="G6168" s="18" t="str">
        <f>"02767"</f>
        <v>02767</v>
      </c>
      <c r="H6168" s="19" t="s">
        <v>31434</v>
      </c>
      <c r="I6168" s="20">
        <v>20.262</v>
      </c>
      <c r="J6168" s="44" t="s">
        <v>8</v>
      </c>
      <c r="K6168" s="23" t="s">
        <v>8</v>
      </c>
      <c r="L6168" s="23" t="s">
        <v>8</v>
      </c>
      <c r="M6168" s="23" t="s">
        <v>8</v>
      </c>
    </row>
    <row r="6169" spans="1:13" s="21" customFormat="1" x14ac:dyDescent="0.25">
      <c r="A6169" s="22" t="s">
        <v>8</v>
      </c>
      <c r="B6169" s="18" t="str">
        <f>"225656"</f>
        <v>225656</v>
      </c>
      <c r="C6169" s="19" t="s">
        <v>6086</v>
      </c>
      <c r="D6169" s="19" t="s">
        <v>21594</v>
      </c>
      <c r="E6169" s="19" t="s">
        <v>33099</v>
      </c>
      <c r="F6169" s="19" t="s">
        <v>35995</v>
      </c>
      <c r="G6169" s="18" t="str">
        <f>"02493"</f>
        <v>02493</v>
      </c>
      <c r="H6169" s="19" t="s">
        <v>36120</v>
      </c>
      <c r="I6169" s="20">
        <v>18.533999999999999</v>
      </c>
      <c r="J6169" s="44" t="s">
        <v>8</v>
      </c>
      <c r="K6169" s="23" t="s">
        <v>8</v>
      </c>
      <c r="L6169" s="23" t="s">
        <v>8</v>
      </c>
      <c r="M6169" s="23" t="s">
        <v>8</v>
      </c>
    </row>
    <row r="6170" spans="1:13" s="21" customFormat="1" x14ac:dyDescent="0.25">
      <c r="A6170" s="22" t="s">
        <v>8</v>
      </c>
      <c r="B6170" s="18" t="str">
        <f>"225659"</f>
        <v>225659</v>
      </c>
      <c r="C6170" s="19" t="s">
        <v>6087</v>
      </c>
      <c r="D6170" s="19" t="s">
        <v>21595</v>
      </c>
      <c r="E6170" s="19" t="s">
        <v>33001</v>
      </c>
      <c r="F6170" s="19" t="s">
        <v>35995</v>
      </c>
      <c r="G6170" s="18" t="str">
        <f>"02176"</f>
        <v>02176</v>
      </c>
      <c r="H6170" s="19" t="s">
        <v>36120</v>
      </c>
      <c r="I6170" s="20">
        <v>21.396999999999998</v>
      </c>
      <c r="J6170" s="44" t="s">
        <v>8</v>
      </c>
      <c r="K6170" s="23" t="s">
        <v>8</v>
      </c>
      <c r="L6170" s="23" t="s">
        <v>8</v>
      </c>
      <c r="M6170" s="23" t="s">
        <v>8</v>
      </c>
    </row>
    <row r="6171" spans="1:13" s="21" customFormat="1" x14ac:dyDescent="0.25">
      <c r="A6171" s="22" t="s">
        <v>8</v>
      </c>
      <c r="B6171" s="18" t="str">
        <f>"225661"</f>
        <v>225661</v>
      </c>
      <c r="C6171" s="19" t="s">
        <v>6088</v>
      </c>
      <c r="D6171" s="19" t="s">
        <v>21596</v>
      </c>
      <c r="E6171" s="19" t="s">
        <v>30926</v>
      </c>
      <c r="F6171" s="19" t="s">
        <v>35995</v>
      </c>
      <c r="G6171" s="18" t="str">
        <f>"01501"</f>
        <v>01501</v>
      </c>
      <c r="H6171" s="19" t="s">
        <v>33002</v>
      </c>
      <c r="I6171" s="20">
        <v>20.53</v>
      </c>
      <c r="J6171" s="44" t="s">
        <v>8</v>
      </c>
      <c r="K6171" s="23" t="s">
        <v>8</v>
      </c>
      <c r="L6171" s="23" t="s">
        <v>8</v>
      </c>
      <c r="M6171" s="23" t="s">
        <v>8</v>
      </c>
    </row>
    <row r="6172" spans="1:13" s="21" customFormat="1" x14ac:dyDescent="0.25">
      <c r="A6172" s="22" t="s">
        <v>8</v>
      </c>
      <c r="B6172" s="18" t="str">
        <f>"225662"</f>
        <v>225662</v>
      </c>
      <c r="C6172" s="19" t="s">
        <v>6089</v>
      </c>
      <c r="D6172" s="19" t="s">
        <v>21597</v>
      </c>
      <c r="E6172" s="19" t="s">
        <v>33037</v>
      </c>
      <c r="F6172" s="19" t="s">
        <v>35995</v>
      </c>
      <c r="G6172" s="18" t="str">
        <f>"02043"</f>
        <v>02043</v>
      </c>
      <c r="H6172" s="19" t="s">
        <v>31465</v>
      </c>
      <c r="I6172" s="20">
        <v>16.78</v>
      </c>
      <c r="J6172" s="44" t="s">
        <v>8</v>
      </c>
      <c r="K6172" s="23" t="s">
        <v>8</v>
      </c>
      <c r="L6172" s="23" t="s">
        <v>8</v>
      </c>
      <c r="M6172" s="23" t="s">
        <v>8</v>
      </c>
    </row>
    <row r="6173" spans="1:13" s="21" customFormat="1" x14ac:dyDescent="0.25">
      <c r="A6173" s="22" t="s">
        <v>8</v>
      </c>
      <c r="B6173" s="18" t="str">
        <f>"225663"</f>
        <v>225663</v>
      </c>
      <c r="C6173" s="19" t="s">
        <v>6090</v>
      </c>
      <c r="D6173" s="19" t="s">
        <v>21598</v>
      </c>
      <c r="E6173" s="19" t="s">
        <v>33010</v>
      </c>
      <c r="F6173" s="19" t="s">
        <v>35995</v>
      </c>
      <c r="G6173" s="18" t="str">
        <f>"01742"</f>
        <v>01742</v>
      </c>
      <c r="H6173" s="19" t="s">
        <v>36120</v>
      </c>
      <c r="I6173" s="20">
        <v>15.371</v>
      </c>
      <c r="J6173" s="44" t="s">
        <v>8</v>
      </c>
      <c r="K6173" s="23" t="s">
        <v>8</v>
      </c>
      <c r="L6173" s="23" t="s">
        <v>8</v>
      </c>
      <c r="M6173" s="23" t="s">
        <v>8</v>
      </c>
    </row>
    <row r="6174" spans="1:13" s="21" customFormat="1" x14ac:dyDescent="0.25">
      <c r="A6174" s="22" t="s">
        <v>8</v>
      </c>
      <c r="B6174" s="18" t="str">
        <f>"225666"</f>
        <v>225666</v>
      </c>
      <c r="C6174" s="19" t="s">
        <v>6091</v>
      </c>
      <c r="D6174" s="19" t="s">
        <v>21599</v>
      </c>
      <c r="E6174" s="19" t="s">
        <v>31465</v>
      </c>
      <c r="F6174" s="19" t="s">
        <v>35995</v>
      </c>
      <c r="G6174" s="18" t="str">
        <f>"02360"</f>
        <v>02360</v>
      </c>
      <c r="H6174" s="19" t="s">
        <v>31465</v>
      </c>
      <c r="I6174" s="20">
        <v>21.404</v>
      </c>
      <c r="J6174" s="44" t="s">
        <v>8</v>
      </c>
      <c r="K6174" s="23" t="s">
        <v>8</v>
      </c>
      <c r="L6174" s="23" t="s">
        <v>8</v>
      </c>
      <c r="M6174" s="23" t="s">
        <v>8</v>
      </c>
    </row>
    <row r="6175" spans="1:13" s="21" customFormat="1" x14ac:dyDescent="0.25">
      <c r="A6175" s="22" t="s">
        <v>8</v>
      </c>
      <c r="B6175" s="18" t="str">
        <f>"225667"</f>
        <v>225667</v>
      </c>
      <c r="C6175" s="19" t="s">
        <v>6092</v>
      </c>
      <c r="D6175" s="19" t="s">
        <v>21600</v>
      </c>
      <c r="E6175" s="19" t="s">
        <v>33082</v>
      </c>
      <c r="F6175" s="19" t="s">
        <v>35995</v>
      </c>
      <c r="G6175" s="18" t="str">
        <f>"02631"</f>
        <v>02631</v>
      </c>
      <c r="H6175" s="19" t="s">
        <v>36413</v>
      </c>
      <c r="I6175" s="20">
        <v>19.914999999999999</v>
      </c>
      <c r="J6175" s="44" t="s">
        <v>8</v>
      </c>
      <c r="K6175" s="23" t="s">
        <v>8</v>
      </c>
      <c r="L6175" s="23" t="s">
        <v>8</v>
      </c>
      <c r="M6175" s="23" t="s">
        <v>8</v>
      </c>
    </row>
    <row r="6176" spans="1:13" s="21" customFormat="1" x14ac:dyDescent="0.25">
      <c r="A6176" s="22" t="s">
        <v>8</v>
      </c>
      <c r="B6176" s="18" t="str">
        <f>"225668"</f>
        <v>225668</v>
      </c>
      <c r="C6176" s="19" t="s">
        <v>6093</v>
      </c>
      <c r="D6176" s="19" t="s">
        <v>21601</v>
      </c>
      <c r="E6176" s="19" t="s">
        <v>33127</v>
      </c>
      <c r="F6176" s="19" t="s">
        <v>35995</v>
      </c>
      <c r="G6176" s="18" t="str">
        <f>"01542"</f>
        <v>01542</v>
      </c>
      <c r="H6176" s="19" t="s">
        <v>33002</v>
      </c>
      <c r="I6176" s="20">
        <v>19.971</v>
      </c>
      <c r="J6176" s="44" t="s">
        <v>8</v>
      </c>
      <c r="K6176" s="23" t="s">
        <v>8</v>
      </c>
      <c r="L6176" s="23" t="s">
        <v>8</v>
      </c>
      <c r="M6176" s="23" t="s">
        <v>8</v>
      </c>
    </row>
    <row r="6177" spans="1:13" s="21" customFormat="1" x14ac:dyDescent="0.25">
      <c r="A6177" s="22" t="s">
        <v>8</v>
      </c>
      <c r="B6177" s="18" t="str">
        <f>"225672"</f>
        <v>225672</v>
      </c>
      <c r="C6177" s="19" t="s">
        <v>6094</v>
      </c>
      <c r="D6177" s="19" t="s">
        <v>21602</v>
      </c>
      <c r="E6177" s="19" t="s">
        <v>31791</v>
      </c>
      <c r="F6177" s="19" t="s">
        <v>35995</v>
      </c>
      <c r="G6177" s="18" t="str">
        <f>"02021"</f>
        <v>02021</v>
      </c>
      <c r="H6177" s="19" t="s">
        <v>33776</v>
      </c>
      <c r="I6177" s="20">
        <v>20.195</v>
      </c>
      <c r="J6177" s="44" t="s">
        <v>8</v>
      </c>
      <c r="K6177" s="23" t="s">
        <v>8</v>
      </c>
      <c r="L6177" s="23" t="s">
        <v>8</v>
      </c>
      <c r="M6177" s="23" t="s">
        <v>8</v>
      </c>
    </row>
    <row r="6178" spans="1:13" s="21" customFormat="1" x14ac:dyDescent="0.25">
      <c r="A6178" s="22" t="s">
        <v>8</v>
      </c>
      <c r="B6178" s="18" t="str">
        <f>"225674"</f>
        <v>225674</v>
      </c>
      <c r="C6178" s="19" t="s">
        <v>6095</v>
      </c>
      <c r="D6178" s="19" t="s">
        <v>21603</v>
      </c>
      <c r="E6178" s="19" t="s">
        <v>33046</v>
      </c>
      <c r="F6178" s="19" t="s">
        <v>35995</v>
      </c>
      <c r="G6178" s="18" t="str">
        <f>"02194"</f>
        <v>02194</v>
      </c>
      <c r="H6178" s="19" t="s">
        <v>33776</v>
      </c>
      <c r="I6178" s="20">
        <v>21.113</v>
      </c>
      <c r="J6178" s="44" t="s">
        <v>8</v>
      </c>
      <c r="K6178" s="23" t="s">
        <v>8</v>
      </c>
      <c r="L6178" s="23" t="s">
        <v>8</v>
      </c>
      <c r="M6178" s="23" t="s">
        <v>8</v>
      </c>
    </row>
    <row r="6179" spans="1:13" s="21" customFormat="1" x14ac:dyDescent="0.25">
      <c r="A6179" s="22" t="s">
        <v>8</v>
      </c>
      <c r="B6179" s="18" t="str">
        <f>"225679"</f>
        <v>225679</v>
      </c>
      <c r="C6179" s="19" t="s">
        <v>6096</v>
      </c>
      <c r="D6179" s="19" t="s">
        <v>21604</v>
      </c>
      <c r="E6179" s="19" t="s">
        <v>33128</v>
      </c>
      <c r="F6179" s="19" t="s">
        <v>35995</v>
      </c>
      <c r="G6179" s="18" t="str">
        <f>"02556"</f>
        <v>02556</v>
      </c>
      <c r="H6179" s="19" t="s">
        <v>36413</v>
      </c>
      <c r="I6179" s="20">
        <v>17.347999999999999</v>
      </c>
      <c r="J6179" s="44" t="s">
        <v>8</v>
      </c>
      <c r="K6179" s="23" t="s">
        <v>8</v>
      </c>
      <c r="L6179" s="23" t="s">
        <v>8</v>
      </c>
      <c r="M6179" s="23" t="s">
        <v>8</v>
      </c>
    </row>
    <row r="6180" spans="1:13" s="21" customFormat="1" x14ac:dyDescent="0.25">
      <c r="A6180" s="22" t="s">
        <v>8</v>
      </c>
      <c r="B6180" s="18" t="str">
        <f>"225680"</f>
        <v>225680</v>
      </c>
      <c r="C6180" s="19" t="s">
        <v>6097</v>
      </c>
      <c r="D6180" s="19" t="s">
        <v>21605</v>
      </c>
      <c r="E6180" s="19" t="s">
        <v>31311</v>
      </c>
      <c r="F6180" s="19" t="s">
        <v>35995</v>
      </c>
      <c r="G6180" s="18" t="str">
        <f>"02171"</f>
        <v>02171</v>
      </c>
      <c r="H6180" s="19" t="s">
        <v>33776</v>
      </c>
      <c r="I6180" s="20">
        <v>21.753</v>
      </c>
      <c r="J6180" s="44" t="s">
        <v>8</v>
      </c>
      <c r="K6180" s="23" t="s">
        <v>8</v>
      </c>
      <c r="L6180" s="23" t="s">
        <v>8</v>
      </c>
      <c r="M6180" s="23" t="s">
        <v>8</v>
      </c>
    </row>
    <row r="6181" spans="1:13" s="21" customFormat="1" x14ac:dyDescent="0.25">
      <c r="A6181" s="22" t="s">
        <v>8</v>
      </c>
      <c r="B6181" s="18" t="str">
        <f>"225682"</f>
        <v>225682</v>
      </c>
      <c r="C6181" s="19" t="s">
        <v>6098</v>
      </c>
      <c r="D6181" s="19" t="s">
        <v>21606</v>
      </c>
      <c r="E6181" s="19" t="s">
        <v>33020</v>
      </c>
      <c r="F6181" s="19" t="s">
        <v>35995</v>
      </c>
      <c r="G6181" s="18" t="str">
        <f>"01701"</f>
        <v>01701</v>
      </c>
      <c r="H6181" s="19" t="s">
        <v>36120</v>
      </c>
      <c r="I6181" s="20">
        <v>20.516999999999999</v>
      </c>
      <c r="J6181" s="44" t="s">
        <v>8</v>
      </c>
      <c r="K6181" s="23" t="s">
        <v>8</v>
      </c>
      <c r="L6181" s="23" t="s">
        <v>8</v>
      </c>
      <c r="M6181" s="23" t="s">
        <v>8</v>
      </c>
    </row>
    <row r="6182" spans="1:13" s="21" customFormat="1" x14ac:dyDescent="0.25">
      <c r="A6182" s="22" t="s">
        <v>8</v>
      </c>
      <c r="B6182" s="18" t="str">
        <f>"225683"</f>
        <v>225683</v>
      </c>
      <c r="C6182" s="19" t="s">
        <v>6099</v>
      </c>
      <c r="D6182" s="19" t="s">
        <v>21607</v>
      </c>
      <c r="E6182" s="19" t="s">
        <v>33129</v>
      </c>
      <c r="F6182" s="19" t="s">
        <v>35995</v>
      </c>
      <c r="G6182" s="18" t="str">
        <f>"02164"</f>
        <v>02164</v>
      </c>
      <c r="H6182" s="19" t="s">
        <v>36120</v>
      </c>
      <c r="I6182" s="20">
        <v>19.131</v>
      </c>
      <c r="J6182" s="44" t="s">
        <v>8</v>
      </c>
      <c r="K6182" s="23" t="s">
        <v>8</v>
      </c>
      <c r="L6182" s="23" t="s">
        <v>8</v>
      </c>
      <c r="M6182" s="23" t="s">
        <v>8</v>
      </c>
    </row>
    <row r="6183" spans="1:13" s="21" customFormat="1" x14ac:dyDescent="0.25">
      <c r="A6183" s="22" t="s">
        <v>8</v>
      </c>
      <c r="B6183" s="18" t="str">
        <f>"225687"</f>
        <v>225687</v>
      </c>
      <c r="C6183" s="19" t="s">
        <v>6100</v>
      </c>
      <c r="D6183" s="19" t="s">
        <v>21608</v>
      </c>
      <c r="E6183" s="19" t="s">
        <v>32107</v>
      </c>
      <c r="F6183" s="19" t="s">
        <v>35995</v>
      </c>
      <c r="G6183" s="18" t="str">
        <f>"01201"</f>
        <v>01201</v>
      </c>
      <c r="H6183" s="19" t="s">
        <v>36411</v>
      </c>
      <c r="I6183" s="20">
        <v>21.667000000000002</v>
      </c>
      <c r="J6183" s="44" t="s">
        <v>8</v>
      </c>
      <c r="K6183" s="23" t="s">
        <v>8</v>
      </c>
      <c r="L6183" s="23" t="s">
        <v>8</v>
      </c>
      <c r="M6183" s="23" t="s">
        <v>8</v>
      </c>
    </row>
    <row r="6184" spans="1:13" s="21" customFormat="1" x14ac:dyDescent="0.25">
      <c r="A6184" s="22" t="s">
        <v>8</v>
      </c>
      <c r="B6184" s="18" t="str">
        <f>"225688"</f>
        <v>225688</v>
      </c>
      <c r="C6184" s="19" t="s">
        <v>6101</v>
      </c>
      <c r="D6184" s="19" t="s">
        <v>21609</v>
      </c>
      <c r="E6184" s="19" t="s">
        <v>33130</v>
      </c>
      <c r="F6184" s="19" t="s">
        <v>35995</v>
      </c>
      <c r="G6184" s="18" t="str">
        <f>"01969"</f>
        <v>01969</v>
      </c>
      <c r="H6184" s="19" t="s">
        <v>31458</v>
      </c>
      <c r="I6184" s="20">
        <v>18.571000000000002</v>
      </c>
      <c r="J6184" s="44" t="s">
        <v>8</v>
      </c>
      <c r="K6184" s="23" t="s">
        <v>8</v>
      </c>
      <c r="L6184" s="23" t="s">
        <v>8</v>
      </c>
      <c r="M6184" s="23" t="s">
        <v>8</v>
      </c>
    </row>
    <row r="6185" spans="1:13" s="21" customFormat="1" x14ac:dyDescent="0.25">
      <c r="A6185" s="22" t="s">
        <v>8</v>
      </c>
      <c r="B6185" s="18" t="str">
        <f>"225689"</f>
        <v>225689</v>
      </c>
      <c r="C6185" s="19" t="s">
        <v>6102</v>
      </c>
      <c r="D6185" s="19" t="s">
        <v>21610</v>
      </c>
      <c r="E6185" s="19" t="s">
        <v>33131</v>
      </c>
      <c r="F6185" s="19" t="s">
        <v>35995</v>
      </c>
      <c r="G6185" s="18" t="str">
        <f>"02649"</f>
        <v>02649</v>
      </c>
      <c r="H6185" s="19" t="s">
        <v>36413</v>
      </c>
      <c r="I6185" s="20">
        <v>18.731000000000002</v>
      </c>
      <c r="J6185" s="44" t="s">
        <v>8</v>
      </c>
      <c r="K6185" s="23" t="s">
        <v>8</v>
      </c>
      <c r="L6185" s="23" t="s">
        <v>8</v>
      </c>
      <c r="M6185" s="23" t="s">
        <v>8</v>
      </c>
    </row>
    <row r="6186" spans="1:13" s="21" customFormat="1" x14ac:dyDescent="0.25">
      <c r="A6186" s="22" t="s">
        <v>8</v>
      </c>
      <c r="B6186" s="18" t="str">
        <f>"225690"</f>
        <v>225690</v>
      </c>
      <c r="C6186" s="19" t="s">
        <v>6103</v>
      </c>
      <c r="D6186" s="19" t="s">
        <v>21611</v>
      </c>
      <c r="E6186" s="19" t="s">
        <v>33004</v>
      </c>
      <c r="F6186" s="19" t="s">
        <v>35995</v>
      </c>
      <c r="G6186" s="18" t="str">
        <f>"02301"</f>
        <v>02301</v>
      </c>
      <c r="H6186" s="19" t="s">
        <v>31465</v>
      </c>
      <c r="I6186" s="20">
        <v>16.375</v>
      </c>
      <c r="J6186" s="44" t="s">
        <v>8</v>
      </c>
      <c r="K6186" s="23" t="s">
        <v>8</v>
      </c>
      <c r="L6186" s="23" t="s">
        <v>8</v>
      </c>
      <c r="M6186" s="23" t="s">
        <v>8</v>
      </c>
    </row>
    <row r="6187" spans="1:13" s="21" customFormat="1" x14ac:dyDescent="0.25">
      <c r="A6187" s="22" t="s">
        <v>8</v>
      </c>
      <c r="B6187" s="18" t="str">
        <f>"225691"</f>
        <v>225691</v>
      </c>
      <c r="C6187" s="19" t="s">
        <v>6104</v>
      </c>
      <c r="D6187" s="19" t="s">
        <v>21612</v>
      </c>
      <c r="E6187" s="19" t="s">
        <v>31717</v>
      </c>
      <c r="F6187" s="19" t="s">
        <v>35995</v>
      </c>
      <c r="G6187" s="18" t="str">
        <f>"01109"</f>
        <v>01109</v>
      </c>
      <c r="H6187" s="19" t="s">
        <v>33041</v>
      </c>
      <c r="I6187" s="20">
        <v>18.577000000000002</v>
      </c>
      <c r="J6187" s="44" t="s">
        <v>8</v>
      </c>
      <c r="K6187" s="23" t="s">
        <v>8</v>
      </c>
      <c r="L6187" s="23" t="s">
        <v>8</v>
      </c>
      <c r="M6187" s="23" t="s">
        <v>8</v>
      </c>
    </row>
    <row r="6188" spans="1:13" s="21" customFormat="1" x14ac:dyDescent="0.25">
      <c r="A6188" s="22" t="s">
        <v>8</v>
      </c>
      <c r="B6188" s="18" t="str">
        <f>"225692"</f>
        <v>225692</v>
      </c>
      <c r="C6188" s="19" t="s">
        <v>6105</v>
      </c>
      <c r="D6188" s="19" t="s">
        <v>21613</v>
      </c>
      <c r="E6188" s="19" t="s">
        <v>33018</v>
      </c>
      <c r="F6188" s="19" t="s">
        <v>35995</v>
      </c>
      <c r="G6188" s="18" t="str">
        <f>"01742"</f>
        <v>01742</v>
      </c>
      <c r="H6188" s="19" t="s">
        <v>36120</v>
      </c>
      <c r="I6188" s="20">
        <v>16.981999999999999</v>
      </c>
      <c r="J6188" s="44" t="s">
        <v>8</v>
      </c>
      <c r="K6188" s="23" t="s">
        <v>8</v>
      </c>
      <c r="L6188" s="23" t="s">
        <v>8</v>
      </c>
      <c r="M6188" s="23" t="s">
        <v>8</v>
      </c>
    </row>
    <row r="6189" spans="1:13" s="21" customFormat="1" x14ac:dyDescent="0.25">
      <c r="A6189" s="22" t="s">
        <v>8</v>
      </c>
      <c r="B6189" s="18" t="str">
        <f>"225694"</f>
        <v>225694</v>
      </c>
      <c r="C6189" s="19" t="s">
        <v>6106</v>
      </c>
      <c r="D6189" s="19" t="s">
        <v>21614</v>
      </c>
      <c r="E6189" s="19" t="s">
        <v>33040</v>
      </c>
      <c r="F6189" s="19" t="s">
        <v>35995</v>
      </c>
      <c r="G6189" s="18" t="str">
        <f>"02740"</f>
        <v>02740</v>
      </c>
      <c r="H6189" s="19" t="s">
        <v>31434</v>
      </c>
      <c r="I6189" s="20">
        <v>22.024999999999999</v>
      </c>
      <c r="J6189" s="44" t="s">
        <v>8</v>
      </c>
      <c r="K6189" s="23" t="s">
        <v>8</v>
      </c>
      <c r="L6189" s="23" t="s">
        <v>8</v>
      </c>
      <c r="M6189" s="23" t="s">
        <v>8</v>
      </c>
    </row>
    <row r="6190" spans="1:13" s="21" customFormat="1" x14ac:dyDescent="0.25">
      <c r="A6190" s="22" t="s">
        <v>8</v>
      </c>
      <c r="B6190" s="18" t="str">
        <f>"225695"</f>
        <v>225695</v>
      </c>
      <c r="C6190" s="19" t="s">
        <v>6107</v>
      </c>
      <c r="D6190" s="19" t="s">
        <v>21615</v>
      </c>
      <c r="E6190" s="19" t="s">
        <v>33046</v>
      </c>
      <c r="F6190" s="19" t="s">
        <v>35995</v>
      </c>
      <c r="G6190" s="18" t="str">
        <f>"02194"</f>
        <v>02194</v>
      </c>
      <c r="H6190" s="19" t="s">
        <v>33776</v>
      </c>
      <c r="I6190" s="20">
        <v>19.701000000000001</v>
      </c>
      <c r="J6190" s="44" t="s">
        <v>8</v>
      </c>
      <c r="K6190" s="23" t="s">
        <v>8</v>
      </c>
      <c r="L6190" s="23" t="s">
        <v>8</v>
      </c>
      <c r="M6190" s="23" t="s">
        <v>8</v>
      </c>
    </row>
    <row r="6191" spans="1:13" s="21" customFormat="1" x14ac:dyDescent="0.25">
      <c r="A6191" s="22" t="s">
        <v>8</v>
      </c>
      <c r="B6191" s="18" t="str">
        <f>"225697"</f>
        <v>225697</v>
      </c>
      <c r="C6191" s="19" t="s">
        <v>6108</v>
      </c>
      <c r="D6191" s="19" t="s">
        <v>21616</v>
      </c>
      <c r="E6191" s="19" t="s">
        <v>33132</v>
      </c>
      <c r="F6191" s="19" t="s">
        <v>35995</v>
      </c>
      <c r="G6191" s="18" t="str">
        <f>"01035"</f>
        <v>01035</v>
      </c>
      <c r="H6191" s="19" t="s">
        <v>36412</v>
      </c>
      <c r="I6191" s="20">
        <v>17.529</v>
      </c>
      <c r="J6191" s="44" t="s">
        <v>8</v>
      </c>
      <c r="K6191" s="23" t="s">
        <v>8</v>
      </c>
      <c r="L6191" s="23" t="s">
        <v>8</v>
      </c>
      <c r="M6191" s="23" t="s">
        <v>8</v>
      </c>
    </row>
    <row r="6192" spans="1:13" s="21" customFormat="1" x14ac:dyDescent="0.25">
      <c r="A6192" s="22" t="s">
        <v>8</v>
      </c>
      <c r="B6192" s="18" t="str">
        <f>"225704"</f>
        <v>225704</v>
      </c>
      <c r="C6192" s="19" t="s">
        <v>6109</v>
      </c>
      <c r="D6192" s="19" t="s">
        <v>21617</v>
      </c>
      <c r="E6192" s="19" t="s">
        <v>33133</v>
      </c>
      <c r="F6192" s="19" t="s">
        <v>35995</v>
      </c>
      <c r="G6192" s="18" t="str">
        <f>"02379"</f>
        <v>02379</v>
      </c>
      <c r="H6192" s="19" t="s">
        <v>31465</v>
      </c>
      <c r="I6192" s="20">
        <v>21.463999999999999</v>
      </c>
      <c r="J6192" s="44" t="s">
        <v>8</v>
      </c>
      <c r="K6192" s="23" t="s">
        <v>8</v>
      </c>
      <c r="L6192" s="23" t="s">
        <v>8</v>
      </c>
      <c r="M6192" s="23" t="s">
        <v>8</v>
      </c>
    </row>
    <row r="6193" spans="1:13" s="21" customFormat="1" x14ac:dyDescent="0.25">
      <c r="A6193" s="22" t="s">
        <v>8</v>
      </c>
      <c r="B6193" s="18" t="str">
        <f>"225709"</f>
        <v>225709</v>
      </c>
      <c r="C6193" s="19" t="s">
        <v>6110</v>
      </c>
      <c r="D6193" s="19" t="s">
        <v>21618</v>
      </c>
      <c r="E6193" s="19" t="s">
        <v>33134</v>
      </c>
      <c r="F6193" s="19" t="s">
        <v>35995</v>
      </c>
      <c r="G6193" s="18" t="str">
        <f>"01746"</f>
        <v>01746</v>
      </c>
      <c r="H6193" s="19" t="s">
        <v>36120</v>
      </c>
      <c r="I6193" s="20">
        <v>19.187000000000001</v>
      </c>
      <c r="J6193" s="44" t="s">
        <v>8</v>
      </c>
      <c r="K6193" s="23" t="s">
        <v>8</v>
      </c>
      <c r="L6193" s="23" t="s">
        <v>8</v>
      </c>
      <c r="M6193" s="23" t="s">
        <v>8</v>
      </c>
    </row>
    <row r="6194" spans="1:13" s="21" customFormat="1" x14ac:dyDescent="0.25">
      <c r="A6194" s="22" t="s">
        <v>8</v>
      </c>
      <c r="B6194" s="18" t="str">
        <f>"225710"</f>
        <v>225710</v>
      </c>
      <c r="C6194" s="19" t="s">
        <v>6111</v>
      </c>
      <c r="D6194" s="19" t="s">
        <v>21619</v>
      </c>
      <c r="E6194" s="19" t="s">
        <v>33107</v>
      </c>
      <c r="F6194" s="19" t="s">
        <v>35995</v>
      </c>
      <c r="G6194" s="18" t="str">
        <f>"01776"</f>
        <v>01776</v>
      </c>
      <c r="H6194" s="19" t="s">
        <v>36120</v>
      </c>
      <c r="I6194" s="20">
        <v>20.466000000000001</v>
      </c>
      <c r="J6194" s="44" t="s">
        <v>8</v>
      </c>
      <c r="K6194" s="23" t="s">
        <v>8</v>
      </c>
      <c r="L6194" s="23" t="s">
        <v>8</v>
      </c>
      <c r="M6194" s="23" t="s">
        <v>8</v>
      </c>
    </row>
    <row r="6195" spans="1:13" s="21" customFormat="1" x14ac:dyDescent="0.25">
      <c r="A6195" s="22" t="s">
        <v>8</v>
      </c>
      <c r="B6195" s="18" t="str">
        <f>"225714"</f>
        <v>225714</v>
      </c>
      <c r="C6195" s="19" t="s">
        <v>6112</v>
      </c>
      <c r="D6195" s="19" t="s">
        <v>21620</v>
      </c>
      <c r="E6195" s="19" t="s">
        <v>33135</v>
      </c>
      <c r="F6195" s="19" t="s">
        <v>35995</v>
      </c>
      <c r="G6195" s="18" t="str">
        <f>"01375"</f>
        <v>01375</v>
      </c>
      <c r="H6195" s="19" t="s">
        <v>5</v>
      </c>
      <c r="I6195" s="20">
        <v>18.321999999999999</v>
      </c>
      <c r="J6195" s="44" t="s">
        <v>8</v>
      </c>
      <c r="K6195" s="23" t="s">
        <v>8</v>
      </c>
      <c r="L6195" s="23" t="s">
        <v>8</v>
      </c>
      <c r="M6195" s="23" t="s">
        <v>8</v>
      </c>
    </row>
    <row r="6196" spans="1:13" s="21" customFormat="1" x14ac:dyDescent="0.25">
      <c r="A6196" s="22" t="s">
        <v>8</v>
      </c>
      <c r="B6196" s="18" t="str">
        <f>"225718"</f>
        <v>225718</v>
      </c>
      <c r="C6196" s="19" t="s">
        <v>6113</v>
      </c>
      <c r="D6196" s="19" t="s">
        <v>21621</v>
      </c>
      <c r="E6196" s="19" t="s">
        <v>31311</v>
      </c>
      <c r="F6196" s="19" t="s">
        <v>35995</v>
      </c>
      <c r="G6196" s="18" t="str">
        <f>"02169"</f>
        <v>02169</v>
      </c>
      <c r="H6196" s="19" t="s">
        <v>33776</v>
      </c>
      <c r="I6196" s="20">
        <v>19.754000000000001</v>
      </c>
      <c r="J6196" s="44" t="s">
        <v>8</v>
      </c>
      <c r="K6196" s="23" t="s">
        <v>8</v>
      </c>
      <c r="L6196" s="23" t="s">
        <v>8</v>
      </c>
      <c r="M6196" s="23" t="s">
        <v>8</v>
      </c>
    </row>
    <row r="6197" spans="1:13" s="21" customFormat="1" x14ac:dyDescent="0.25">
      <c r="A6197" s="22" t="s">
        <v>8</v>
      </c>
      <c r="B6197" s="18" t="str">
        <f>"225719"</f>
        <v>225719</v>
      </c>
      <c r="C6197" s="19" t="s">
        <v>6114</v>
      </c>
      <c r="D6197" s="19" t="s">
        <v>21622</v>
      </c>
      <c r="E6197" s="19" t="s">
        <v>33058</v>
      </c>
      <c r="F6197" s="19" t="s">
        <v>35995</v>
      </c>
      <c r="G6197" s="18" t="str">
        <f>"02026"</f>
        <v>02026</v>
      </c>
      <c r="H6197" s="19" t="s">
        <v>33776</v>
      </c>
      <c r="I6197" s="20">
        <v>21.001999999999999</v>
      </c>
      <c r="J6197" s="44" t="s">
        <v>8</v>
      </c>
      <c r="K6197" s="23" t="s">
        <v>8</v>
      </c>
      <c r="L6197" s="23" t="s">
        <v>8</v>
      </c>
      <c r="M6197" s="23" t="s">
        <v>8</v>
      </c>
    </row>
    <row r="6198" spans="1:13" s="21" customFormat="1" x14ac:dyDescent="0.25">
      <c r="A6198" s="22" t="s">
        <v>8</v>
      </c>
      <c r="B6198" s="18" t="str">
        <f>"225720"</f>
        <v>225720</v>
      </c>
      <c r="C6198" s="19" t="s">
        <v>6115</v>
      </c>
      <c r="D6198" s="19" t="s">
        <v>21623</v>
      </c>
      <c r="E6198" s="19" t="s">
        <v>33136</v>
      </c>
      <c r="F6198" s="19" t="s">
        <v>35995</v>
      </c>
      <c r="G6198" s="18" t="str">
        <f>"01527"</f>
        <v>01527</v>
      </c>
      <c r="H6198" s="19" t="s">
        <v>33002</v>
      </c>
      <c r="I6198" s="20">
        <v>20.591000000000001</v>
      </c>
      <c r="J6198" s="44" t="s">
        <v>8</v>
      </c>
      <c r="K6198" s="23" t="s">
        <v>8</v>
      </c>
      <c r="L6198" s="23" t="s">
        <v>8</v>
      </c>
      <c r="M6198" s="23" t="s">
        <v>8</v>
      </c>
    </row>
    <row r="6199" spans="1:13" s="21" customFormat="1" x14ac:dyDescent="0.25">
      <c r="A6199" s="22" t="s">
        <v>8</v>
      </c>
      <c r="B6199" s="18" t="str">
        <f>"225721"</f>
        <v>225721</v>
      </c>
      <c r="C6199" s="19" t="s">
        <v>6116</v>
      </c>
      <c r="D6199" s="19" t="s">
        <v>21624</v>
      </c>
      <c r="E6199" s="19" t="s">
        <v>33004</v>
      </c>
      <c r="F6199" s="19" t="s">
        <v>35995</v>
      </c>
      <c r="G6199" s="18" t="str">
        <f>"02302"</f>
        <v>02302</v>
      </c>
      <c r="H6199" s="19" t="s">
        <v>31465</v>
      </c>
      <c r="I6199" s="20">
        <v>19.175000000000001</v>
      </c>
      <c r="J6199" s="44" t="s">
        <v>8</v>
      </c>
      <c r="K6199" s="23" t="s">
        <v>8</v>
      </c>
      <c r="L6199" s="23" t="s">
        <v>8</v>
      </c>
      <c r="M6199" s="23" t="s">
        <v>8</v>
      </c>
    </row>
    <row r="6200" spans="1:13" s="21" customFormat="1" x14ac:dyDescent="0.25">
      <c r="A6200" s="22" t="s">
        <v>8</v>
      </c>
      <c r="B6200" s="18" t="str">
        <f>"225722"</f>
        <v>225722</v>
      </c>
      <c r="C6200" s="19" t="s">
        <v>6117</v>
      </c>
      <c r="D6200" s="19" t="s">
        <v>21625</v>
      </c>
      <c r="E6200" s="19" t="s">
        <v>33047</v>
      </c>
      <c r="F6200" s="19" t="s">
        <v>35995</v>
      </c>
      <c r="G6200" s="18" t="str">
        <f>"02066"</f>
        <v>02066</v>
      </c>
      <c r="H6200" s="19" t="s">
        <v>31465</v>
      </c>
      <c r="I6200" s="20">
        <v>18.38</v>
      </c>
      <c r="J6200" s="44" t="s">
        <v>8</v>
      </c>
      <c r="K6200" s="23" t="s">
        <v>8</v>
      </c>
      <c r="L6200" s="23" t="s">
        <v>8</v>
      </c>
      <c r="M6200" s="23" t="s">
        <v>8</v>
      </c>
    </row>
    <row r="6201" spans="1:13" s="21" customFormat="1" x14ac:dyDescent="0.25">
      <c r="A6201" s="22" t="s">
        <v>8</v>
      </c>
      <c r="B6201" s="18" t="str">
        <f>"225723"</f>
        <v>225723</v>
      </c>
      <c r="C6201" s="19" t="s">
        <v>6118</v>
      </c>
      <c r="D6201" s="19" t="s">
        <v>21626</v>
      </c>
      <c r="E6201" s="19" t="s">
        <v>33022</v>
      </c>
      <c r="F6201" s="19" t="s">
        <v>35995</v>
      </c>
      <c r="G6201" s="18" t="str">
        <f>"02720"</f>
        <v>02720</v>
      </c>
      <c r="H6201" s="19" t="s">
        <v>31434</v>
      </c>
      <c r="I6201" s="20">
        <v>18.055</v>
      </c>
      <c r="J6201" s="44" t="s">
        <v>8</v>
      </c>
      <c r="K6201" s="23" t="s">
        <v>8</v>
      </c>
      <c r="L6201" s="23" t="s">
        <v>8</v>
      </c>
      <c r="M6201" s="23" t="s">
        <v>8</v>
      </c>
    </row>
    <row r="6202" spans="1:13" s="21" customFormat="1" x14ac:dyDescent="0.25">
      <c r="A6202" s="22" t="s">
        <v>8</v>
      </c>
      <c r="B6202" s="18" t="str">
        <f>"225724"</f>
        <v>225724</v>
      </c>
      <c r="C6202" s="19" t="s">
        <v>6119</v>
      </c>
      <c r="D6202" s="19" t="s">
        <v>21627</v>
      </c>
      <c r="E6202" s="19" t="s">
        <v>33102</v>
      </c>
      <c r="F6202" s="19" t="s">
        <v>35995</v>
      </c>
      <c r="G6202" s="18" t="str">
        <f>"01845"</f>
        <v>01845</v>
      </c>
      <c r="H6202" s="19" t="s">
        <v>31458</v>
      </c>
      <c r="I6202" s="20">
        <v>18.251999999999999</v>
      </c>
      <c r="J6202" s="44" t="s">
        <v>8</v>
      </c>
      <c r="K6202" s="23" t="s">
        <v>8</v>
      </c>
      <c r="L6202" s="23" t="s">
        <v>8</v>
      </c>
      <c r="M6202" s="23" t="s">
        <v>8</v>
      </c>
    </row>
    <row r="6203" spans="1:13" s="21" customFormat="1" x14ac:dyDescent="0.25">
      <c r="A6203" s="22" t="s">
        <v>8</v>
      </c>
      <c r="B6203" s="18" t="str">
        <f>"225725"</f>
        <v>225725</v>
      </c>
      <c r="C6203" s="19" t="s">
        <v>6120</v>
      </c>
      <c r="D6203" s="19" t="s">
        <v>21628</v>
      </c>
      <c r="E6203" s="19" t="s">
        <v>33137</v>
      </c>
      <c r="F6203" s="19" t="s">
        <v>35995</v>
      </c>
      <c r="G6203" s="18" t="str">
        <f>"01504"</f>
        <v>01504</v>
      </c>
      <c r="H6203" s="19" t="s">
        <v>33002</v>
      </c>
      <c r="I6203" s="20">
        <v>18.38</v>
      </c>
      <c r="J6203" s="44" t="s">
        <v>8</v>
      </c>
      <c r="K6203" s="23" t="s">
        <v>8</v>
      </c>
      <c r="L6203" s="23" t="s">
        <v>8</v>
      </c>
      <c r="M6203" s="23" t="s">
        <v>8</v>
      </c>
    </row>
    <row r="6204" spans="1:13" s="21" customFormat="1" x14ac:dyDescent="0.25">
      <c r="A6204" s="22" t="s">
        <v>8</v>
      </c>
      <c r="B6204" s="18" t="str">
        <f>"225727"</f>
        <v>225727</v>
      </c>
      <c r="C6204" s="19" t="s">
        <v>6121</v>
      </c>
      <c r="D6204" s="19" t="s">
        <v>21629</v>
      </c>
      <c r="E6204" s="19" t="s">
        <v>33103</v>
      </c>
      <c r="F6204" s="19" t="s">
        <v>35995</v>
      </c>
      <c r="G6204" s="18" t="str">
        <f>"01760"</f>
        <v>01760</v>
      </c>
      <c r="H6204" s="19" t="s">
        <v>36120</v>
      </c>
      <c r="I6204" s="20">
        <v>18.286999999999999</v>
      </c>
      <c r="J6204" s="44" t="s">
        <v>8</v>
      </c>
      <c r="K6204" s="23" t="s">
        <v>8</v>
      </c>
      <c r="L6204" s="23" t="s">
        <v>8</v>
      </c>
      <c r="M6204" s="23" t="s">
        <v>8</v>
      </c>
    </row>
    <row r="6205" spans="1:13" s="21" customFormat="1" x14ac:dyDescent="0.25">
      <c r="A6205" s="22" t="s">
        <v>8</v>
      </c>
      <c r="B6205" s="18" t="str">
        <f>"225732"</f>
        <v>225732</v>
      </c>
      <c r="C6205" s="19" t="s">
        <v>6122</v>
      </c>
      <c r="D6205" s="19" t="s">
        <v>21630</v>
      </c>
      <c r="E6205" s="19" t="s">
        <v>33044</v>
      </c>
      <c r="F6205" s="19" t="s">
        <v>35995</v>
      </c>
      <c r="G6205" s="18" t="str">
        <f>"02180"</f>
        <v>02180</v>
      </c>
      <c r="H6205" s="19" t="s">
        <v>36120</v>
      </c>
      <c r="I6205" s="20">
        <v>21.670999999999999</v>
      </c>
      <c r="J6205" s="44" t="s">
        <v>8</v>
      </c>
      <c r="K6205" s="23" t="s">
        <v>8</v>
      </c>
      <c r="L6205" s="23" t="s">
        <v>8</v>
      </c>
      <c r="M6205" s="23" t="s">
        <v>8</v>
      </c>
    </row>
    <row r="6206" spans="1:13" s="21" customFormat="1" x14ac:dyDescent="0.25">
      <c r="A6206" s="22" t="s">
        <v>8</v>
      </c>
      <c r="B6206" s="18" t="str">
        <f>"225735"</f>
        <v>225735</v>
      </c>
      <c r="C6206" s="19" t="s">
        <v>6123</v>
      </c>
      <c r="D6206" s="19" t="s">
        <v>21631</v>
      </c>
      <c r="E6206" s="19" t="s">
        <v>33048</v>
      </c>
      <c r="F6206" s="19" t="s">
        <v>35995</v>
      </c>
      <c r="G6206" s="18" t="str">
        <f>"01570"</f>
        <v>01570</v>
      </c>
      <c r="H6206" s="19" t="s">
        <v>33002</v>
      </c>
      <c r="I6206" s="20">
        <v>20.2</v>
      </c>
      <c r="J6206" s="44" t="s">
        <v>8</v>
      </c>
      <c r="K6206" s="23" t="s">
        <v>8</v>
      </c>
      <c r="L6206" s="23" t="s">
        <v>8</v>
      </c>
      <c r="M6206" s="23" t="s">
        <v>8</v>
      </c>
    </row>
    <row r="6207" spans="1:13" s="21" customFormat="1" x14ac:dyDescent="0.25">
      <c r="A6207" s="22" t="s">
        <v>8</v>
      </c>
      <c r="B6207" s="18" t="str">
        <f>"225736"</f>
        <v>225736</v>
      </c>
      <c r="C6207" s="19" t="s">
        <v>4942</v>
      </c>
      <c r="D6207" s="19" t="s">
        <v>21632</v>
      </c>
      <c r="E6207" s="19" t="s">
        <v>32598</v>
      </c>
      <c r="F6207" s="19" t="s">
        <v>35995</v>
      </c>
      <c r="G6207" s="18" t="str">
        <f>"01880"</f>
        <v>01880</v>
      </c>
      <c r="H6207" s="19" t="s">
        <v>36120</v>
      </c>
      <c r="I6207" s="20">
        <v>20.631</v>
      </c>
      <c r="J6207" s="44" t="s">
        <v>8</v>
      </c>
      <c r="K6207" s="23" t="s">
        <v>8</v>
      </c>
      <c r="L6207" s="23" t="s">
        <v>8</v>
      </c>
      <c r="M6207" s="23" t="s">
        <v>8</v>
      </c>
    </row>
    <row r="6208" spans="1:13" s="21" customFormat="1" x14ac:dyDescent="0.25">
      <c r="A6208" s="22" t="s">
        <v>8</v>
      </c>
      <c r="B6208" s="18" t="str">
        <f>"225737"</f>
        <v>225737</v>
      </c>
      <c r="C6208" s="19" t="s">
        <v>6124</v>
      </c>
      <c r="D6208" s="19" t="s">
        <v>21633</v>
      </c>
      <c r="E6208" s="19" t="s">
        <v>33024</v>
      </c>
      <c r="F6208" s="19" t="s">
        <v>35995</v>
      </c>
      <c r="G6208" s="18" t="str">
        <f>"02127"</f>
        <v>02127</v>
      </c>
      <c r="H6208" s="19" t="s">
        <v>35389</v>
      </c>
      <c r="I6208" s="20">
        <v>21.006</v>
      </c>
      <c r="J6208" s="44" t="s">
        <v>8</v>
      </c>
      <c r="K6208" s="23" t="s">
        <v>8</v>
      </c>
      <c r="L6208" s="23" t="s">
        <v>8</v>
      </c>
      <c r="M6208" s="23" t="s">
        <v>8</v>
      </c>
    </row>
    <row r="6209" spans="1:13" s="21" customFormat="1" x14ac:dyDescent="0.25">
      <c r="A6209" s="22" t="s">
        <v>8</v>
      </c>
      <c r="B6209" s="18" t="str">
        <f>"225738"</f>
        <v>225738</v>
      </c>
      <c r="C6209" s="19" t="s">
        <v>6125</v>
      </c>
      <c r="D6209" s="19" t="s">
        <v>21634</v>
      </c>
      <c r="E6209" s="19" t="s">
        <v>31373</v>
      </c>
      <c r="F6209" s="19" t="s">
        <v>35995</v>
      </c>
      <c r="G6209" s="18" t="str">
        <f>"01040"</f>
        <v>01040</v>
      </c>
      <c r="H6209" s="19" t="s">
        <v>33041</v>
      </c>
      <c r="I6209" s="20">
        <v>16.52</v>
      </c>
      <c r="J6209" s="44" t="s">
        <v>8</v>
      </c>
      <c r="K6209" s="23" t="s">
        <v>8</v>
      </c>
      <c r="L6209" s="23" t="s">
        <v>8</v>
      </c>
      <c r="M6209" s="23" t="s">
        <v>8</v>
      </c>
    </row>
    <row r="6210" spans="1:13" s="21" customFormat="1" x14ac:dyDescent="0.25">
      <c r="A6210" s="22" t="s">
        <v>8</v>
      </c>
      <c r="B6210" s="18" t="str">
        <f>"225739"</f>
        <v>225739</v>
      </c>
      <c r="C6210" s="19" t="s">
        <v>6126</v>
      </c>
      <c r="D6210" s="19" t="s">
        <v>21635</v>
      </c>
      <c r="E6210" s="19" t="s">
        <v>31311</v>
      </c>
      <c r="F6210" s="19" t="s">
        <v>35995</v>
      </c>
      <c r="G6210" s="18" t="str">
        <f>"02169"</f>
        <v>02169</v>
      </c>
      <c r="H6210" s="19" t="s">
        <v>33776</v>
      </c>
      <c r="I6210" s="20">
        <v>18.800999999999998</v>
      </c>
      <c r="J6210" s="44" t="s">
        <v>8</v>
      </c>
      <c r="K6210" s="23" t="s">
        <v>8</v>
      </c>
      <c r="L6210" s="23" t="s">
        <v>8</v>
      </c>
      <c r="M6210" s="23" t="s">
        <v>8</v>
      </c>
    </row>
    <row r="6211" spans="1:13" s="21" customFormat="1" x14ac:dyDescent="0.25">
      <c r="A6211" s="22" t="s">
        <v>8</v>
      </c>
      <c r="B6211" s="18" t="str">
        <f>"225740"</f>
        <v>225740</v>
      </c>
      <c r="C6211" s="19" t="s">
        <v>6127</v>
      </c>
      <c r="D6211" s="19" t="s">
        <v>21636</v>
      </c>
      <c r="E6211" s="19" t="s">
        <v>33023</v>
      </c>
      <c r="F6211" s="19" t="s">
        <v>35995</v>
      </c>
      <c r="G6211" s="18" t="str">
        <f>"01923"</f>
        <v>01923</v>
      </c>
      <c r="H6211" s="19" t="s">
        <v>31458</v>
      </c>
      <c r="I6211" s="20">
        <v>22.904</v>
      </c>
      <c r="J6211" s="44" t="s">
        <v>8</v>
      </c>
      <c r="K6211" s="23" t="s">
        <v>8</v>
      </c>
      <c r="L6211" s="23" t="s">
        <v>8</v>
      </c>
      <c r="M6211" s="23" t="s">
        <v>8</v>
      </c>
    </row>
    <row r="6212" spans="1:13" s="21" customFormat="1" x14ac:dyDescent="0.25">
      <c r="A6212" s="22" t="s">
        <v>8</v>
      </c>
      <c r="B6212" s="18" t="str">
        <f>"225743"</f>
        <v>225743</v>
      </c>
      <c r="C6212" s="19" t="s">
        <v>6128</v>
      </c>
      <c r="D6212" s="19" t="s">
        <v>21637</v>
      </c>
      <c r="E6212" s="19" t="s">
        <v>33027</v>
      </c>
      <c r="F6212" s="19" t="s">
        <v>35995</v>
      </c>
      <c r="G6212" s="18" t="str">
        <f>"01830"</f>
        <v>01830</v>
      </c>
      <c r="H6212" s="19" t="s">
        <v>31458</v>
      </c>
      <c r="I6212" s="20">
        <v>18.082000000000001</v>
      </c>
      <c r="J6212" s="44" t="s">
        <v>8</v>
      </c>
      <c r="K6212" s="23" t="s">
        <v>8</v>
      </c>
      <c r="L6212" s="23" t="s">
        <v>8</v>
      </c>
      <c r="M6212" s="23" t="s">
        <v>8</v>
      </c>
    </row>
    <row r="6213" spans="1:13" s="21" customFormat="1" x14ac:dyDescent="0.25">
      <c r="A6213" s="22" t="s">
        <v>8</v>
      </c>
      <c r="B6213" s="18" t="str">
        <f>"225747"</f>
        <v>225747</v>
      </c>
      <c r="C6213" s="19" t="s">
        <v>6129</v>
      </c>
      <c r="D6213" s="19" t="s">
        <v>21638</v>
      </c>
      <c r="E6213" s="19" t="s">
        <v>32705</v>
      </c>
      <c r="F6213" s="19" t="s">
        <v>35995</v>
      </c>
      <c r="G6213" s="18" t="str">
        <f>"02726"</f>
        <v>02726</v>
      </c>
      <c r="H6213" s="19" t="s">
        <v>31434</v>
      </c>
      <c r="I6213" s="20">
        <v>22.498000000000001</v>
      </c>
      <c r="J6213" s="44" t="s">
        <v>8</v>
      </c>
      <c r="K6213" s="23" t="s">
        <v>8</v>
      </c>
      <c r="L6213" s="23" t="s">
        <v>8</v>
      </c>
      <c r="M6213" s="23" t="s">
        <v>8</v>
      </c>
    </row>
    <row r="6214" spans="1:13" s="21" customFormat="1" x14ac:dyDescent="0.25">
      <c r="A6214" s="22" t="s">
        <v>8</v>
      </c>
      <c r="B6214" s="18" t="str">
        <f>"225748"</f>
        <v>225748</v>
      </c>
      <c r="C6214" s="19" t="s">
        <v>6130</v>
      </c>
      <c r="D6214" s="19" t="s">
        <v>21639</v>
      </c>
      <c r="E6214" s="19" t="s">
        <v>33065</v>
      </c>
      <c r="F6214" s="19" t="s">
        <v>35995</v>
      </c>
      <c r="G6214" s="18" t="str">
        <f>"01905"</f>
        <v>01905</v>
      </c>
      <c r="H6214" s="19" t="s">
        <v>31458</v>
      </c>
      <c r="I6214" s="20">
        <v>18.684000000000001</v>
      </c>
      <c r="J6214" s="44" t="s">
        <v>8</v>
      </c>
      <c r="K6214" s="23" t="s">
        <v>8</v>
      </c>
      <c r="L6214" s="23" t="s">
        <v>8</v>
      </c>
      <c r="M6214" s="23" t="s">
        <v>8</v>
      </c>
    </row>
    <row r="6215" spans="1:13" s="21" customFormat="1" x14ac:dyDescent="0.25">
      <c r="A6215" s="22" t="s">
        <v>8</v>
      </c>
      <c r="B6215" s="18" t="str">
        <f>"225749"</f>
        <v>225749</v>
      </c>
      <c r="C6215" s="19" t="s">
        <v>6131</v>
      </c>
      <c r="D6215" s="19" t="s">
        <v>21640</v>
      </c>
      <c r="E6215" s="19" t="s">
        <v>33138</v>
      </c>
      <c r="F6215" s="19" t="s">
        <v>35995</v>
      </c>
      <c r="G6215" s="18" t="str">
        <f>"01238"</f>
        <v>01238</v>
      </c>
      <c r="H6215" s="19" t="s">
        <v>36411</v>
      </c>
      <c r="I6215" s="20">
        <v>17.378</v>
      </c>
      <c r="J6215" s="44" t="s">
        <v>8</v>
      </c>
      <c r="K6215" s="23" t="s">
        <v>8</v>
      </c>
      <c r="L6215" s="23" t="s">
        <v>8</v>
      </c>
      <c r="M6215" s="23" t="s">
        <v>8</v>
      </c>
    </row>
    <row r="6216" spans="1:13" s="21" customFormat="1" x14ac:dyDescent="0.25">
      <c r="A6216" s="22" t="s">
        <v>8</v>
      </c>
      <c r="B6216" s="18" t="str">
        <f>"225750"</f>
        <v>225750</v>
      </c>
      <c r="C6216" s="19" t="s">
        <v>6132</v>
      </c>
      <c r="D6216" s="19" t="s">
        <v>21641</v>
      </c>
      <c r="E6216" s="19" t="s">
        <v>33139</v>
      </c>
      <c r="F6216" s="19" t="s">
        <v>35995</v>
      </c>
      <c r="G6216" s="18" t="str">
        <f>"01983"</f>
        <v>01983</v>
      </c>
      <c r="H6216" s="19" t="s">
        <v>31458</v>
      </c>
      <c r="I6216" s="20">
        <v>16.925999999999998</v>
      </c>
      <c r="J6216" s="44" t="s">
        <v>8</v>
      </c>
      <c r="K6216" s="23" t="s">
        <v>8</v>
      </c>
      <c r="L6216" s="23" t="s">
        <v>8</v>
      </c>
      <c r="M6216" s="23" t="s">
        <v>8</v>
      </c>
    </row>
    <row r="6217" spans="1:13" s="21" customFormat="1" x14ac:dyDescent="0.25">
      <c r="A6217" s="22" t="s">
        <v>8</v>
      </c>
      <c r="B6217" s="18" t="str">
        <f>"225752"</f>
        <v>225752</v>
      </c>
      <c r="C6217" s="19" t="s">
        <v>6133</v>
      </c>
      <c r="D6217" s="19" t="s">
        <v>21642</v>
      </c>
      <c r="E6217" s="19" t="s">
        <v>33093</v>
      </c>
      <c r="F6217" s="19" t="s">
        <v>35995</v>
      </c>
      <c r="G6217" s="18" t="str">
        <f>"02093"</f>
        <v>02093</v>
      </c>
      <c r="H6217" s="19" t="s">
        <v>33776</v>
      </c>
      <c r="I6217" s="20">
        <v>17.888999999999999</v>
      </c>
      <c r="J6217" s="44" t="s">
        <v>8</v>
      </c>
      <c r="K6217" s="23" t="s">
        <v>8</v>
      </c>
      <c r="L6217" s="23" t="s">
        <v>8</v>
      </c>
      <c r="M6217" s="23" t="s">
        <v>8</v>
      </c>
    </row>
    <row r="6218" spans="1:13" s="21" customFormat="1" x14ac:dyDescent="0.25">
      <c r="A6218" s="22" t="s">
        <v>8</v>
      </c>
      <c r="B6218" s="18" t="str">
        <f>"225755"</f>
        <v>225755</v>
      </c>
      <c r="C6218" s="19" t="s">
        <v>6134</v>
      </c>
      <c r="D6218" s="19" t="s">
        <v>21643</v>
      </c>
      <c r="E6218" s="19" t="s">
        <v>32101</v>
      </c>
      <c r="F6218" s="19" t="s">
        <v>35995</v>
      </c>
      <c r="G6218" s="18" t="str">
        <f>"02466"</f>
        <v>02466</v>
      </c>
      <c r="H6218" s="19" t="s">
        <v>36120</v>
      </c>
      <c r="I6218" s="20">
        <v>19.465</v>
      </c>
      <c r="J6218" s="44" t="s">
        <v>8</v>
      </c>
      <c r="K6218" s="23" t="s">
        <v>8</v>
      </c>
      <c r="L6218" s="23" t="s">
        <v>8</v>
      </c>
      <c r="M6218" s="23" t="s">
        <v>8</v>
      </c>
    </row>
    <row r="6219" spans="1:13" s="21" customFormat="1" x14ac:dyDescent="0.25">
      <c r="A6219" s="22" t="s">
        <v>8</v>
      </c>
      <c r="B6219" s="18" t="str">
        <f>"225756"</f>
        <v>225756</v>
      </c>
      <c r="C6219" s="19" t="s">
        <v>6135</v>
      </c>
      <c r="D6219" s="19" t="s">
        <v>21644</v>
      </c>
      <c r="E6219" s="19" t="s">
        <v>33115</v>
      </c>
      <c r="F6219" s="19" t="s">
        <v>35995</v>
      </c>
      <c r="G6219" s="18" t="str">
        <f>"02467"</f>
        <v>02467</v>
      </c>
      <c r="H6219" s="19" t="s">
        <v>36120</v>
      </c>
      <c r="I6219" s="20">
        <v>21.48</v>
      </c>
      <c r="J6219" s="44" t="s">
        <v>8</v>
      </c>
      <c r="K6219" s="23" t="s">
        <v>8</v>
      </c>
      <c r="L6219" s="23" t="s">
        <v>8</v>
      </c>
      <c r="M6219" s="23" t="s">
        <v>8</v>
      </c>
    </row>
    <row r="6220" spans="1:13" s="21" customFormat="1" x14ac:dyDescent="0.25">
      <c r="A6220" s="22" t="s">
        <v>8</v>
      </c>
      <c r="B6220" s="18" t="str">
        <f>"225757"</f>
        <v>225757</v>
      </c>
      <c r="C6220" s="19" t="s">
        <v>6136</v>
      </c>
      <c r="D6220" s="19" t="s">
        <v>21645</v>
      </c>
      <c r="E6220" s="19" t="s">
        <v>33140</v>
      </c>
      <c r="F6220" s="19" t="s">
        <v>35995</v>
      </c>
      <c r="G6220" s="18" t="str">
        <f>"01075"</f>
        <v>01075</v>
      </c>
      <c r="H6220" s="19" t="s">
        <v>36412</v>
      </c>
      <c r="I6220" s="20">
        <v>18.093</v>
      </c>
      <c r="J6220" s="44" t="s">
        <v>8</v>
      </c>
      <c r="K6220" s="23" t="s">
        <v>8</v>
      </c>
      <c r="L6220" s="23" t="s">
        <v>8</v>
      </c>
      <c r="M6220" s="23" t="s">
        <v>8</v>
      </c>
    </row>
    <row r="6221" spans="1:13" s="21" customFormat="1" x14ac:dyDescent="0.25">
      <c r="A6221" s="22" t="s">
        <v>8</v>
      </c>
      <c r="B6221" s="18" t="str">
        <f>"225759"</f>
        <v>225759</v>
      </c>
      <c r="C6221" s="19" t="s">
        <v>6137</v>
      </c>
      <c r="D6221" s="19" t="s">
        <v>21646</v>
      </c>
      <c r="E6221" s="19" t="s">
        <v>33024</v>
      </c>
      <c r="F6221" s="19" t="s">
        <v>35995</v>
      </c>
      <c r="G6221" s="18" t="str">
        <f>"02131"</f>
        <v>02131</v>
      </c>
      <c r="H6221" s="19" t="s">
        <v>35389</v>
      </c>
      <c r="I6221" s="20">
        <v>20.158999999999999</v>
      </c>
      <c r="J6221" s="44" t="s">
        <v>8</v>
      </c>
      <c r="K6221" s="23" t="s">
        <v>8</v>
      </c>
      <c r="L6221" s="23" t="s">
        <v>8</v>
      </c>
      <c r="M6221" s="23" t="s">
        <v>8</v>
      </c>
    </row>
    <row r="6222" spans="1:13" s="21" customFormat="1" x14ac:dyDescent="0.25">
      <c r="A6222" s="22" t="s">
        <v>8</v>
      </c>
      <c r="B6222" s="18" t="str">
        <f>"225760"</f>
        <v>225760</v>
      </c>
      <c r="C6222" s="19" t="s">
        <v>6138</v>
      </c>
      <c r="D6222" s="19" t="s">
        <v>21647</v>
      </c>
      <c r="E6222" s="19" t="s">
        <v>33141</v>
      </c>
      <c r="F6222" s="19" t="s">
        <v>35995</v>
      </c>
      <c r="G6222" s="18" t="str">
        <f>"01569"</f>
        <v>01569</v>
      </c>
      <c r="H6222" s="19" t="s">
        <v>33002</v>
      </c>
      <c r="I6222" s="20">
        <v>22.143000000000001</v>
      </c>
      <c r="J6222" s="44" t="s">
        <v>8</v>
      </c>
      <c r="K6222" s="23" t="s">
        <v>8</v>
      </c>
      <c r="L6222" s="23" t="s">
        <v>8</v>
      </c>
      <c r="M6222" s="23" t="s">
        <v>8</v>
      </c>
    </row>
    <row r="6223" spans="1:13" s="21" customFormat="1" x14ac:dyDescent="0.25">
      <c r="A6223" s="22" t="s">
        <v>8</v>
      </c>
      <c r="B6223" s="18" t="str">
        <f>"225762"</f>
        <v>225762</v>
      </c>
      <c r="C6223" s="19" t="s">
        <v>6139</v>
      </c>
      <c r="D6223" s="19" t="s">
        <v>21648</v>
      </c>
      <c r="E6223" s="19" t="s">
        <v>32107</v>
      </c>
      <c r="F6223" s="19" t="s">
        <v>35995</v>
      </c>
      <c r="G6223" s="18" t="str">
        <f>"01201"</f>
        <v>01201</v>
      </c>
      <c r="H6223" s="19" t="s">
        <v>36411</v>
      </c>
      <c r="I6223" s="20">
        <v>16.509</v>
      </c>
      <c r="J6223" s="44" t="s">
        <v>8</v>
      </c>
      <c r="K6223" s="23" t="s">
        <v>8</v>
      </c>
      <c r="L6223" s="23" t="s">
        <v>8</v>
      </c>
      <c r="M6223" s="23" t="s">
        <v>8</v>
      </c>
    </row>
    <row r="6224" spans="1:13" s="21" customFormat="1" x14ac:dyDescent="0.25">
      <c r="A6224" s="22" t="s">
        <v>8</v>
      </c>
      <c r="B6224" s="18" t="str">
        <f>"225763"</f>
        <v>225763</v>
      </c>
      <c r="C6224" s="19" t="s">
        <v>6140</v>
      </c>
      <c r="D6224" s="19" t="s">
        <v>21649</v>
      </c>
      <c r="E6224" s="19" t="s">
        <v>30930</v>
      </c>
      <c r="F6224" s="19" t="s">
        <v>35995</v>
      </c>
      <c r="G6224" s="18" t="str">
        <f>"01069"</f>
        <v>01069</v>
      </c>
      <c r="H6224" s="19" t="s">
        <v>33041</v>
      </c>
      <c r="I6224" s="20">
        <v>22.329000000000001</v>
      </c>
      <c r="J6224" s="44" t="s">
        <v>8</v>
      </c>
      <c r="K6224" s="23" t="s">
        <v>8</v>
      </c>
      <c r="L6224" s="23" t="s">
        <v>8</v>
      </c>
      <c r="M6224" s="23" t="s">
        <v>8</v>
      </c>
    </row>
    <row r="6225" spans="1:13" s="21" customFormat="1" x14ac:dyDescent="0.25">
      <c r="A6225" s="22" t="s">
        <v>8</v>
      </c>
      <c r="B6225" s="18" t="str">
        <f>"225764"</f>
        <v>225764</v>
      </c>
      <c r="C6225" s="19" t="s">
        <v>6141</v>
      </c>
      <c r="D6225" s="19" t="s">
        <v>21650</v>
      </c>
      <c r="E6225" s="19" t="s">
        <v>32393</v>
      </c>
      <c r="F6225" s="19" t="s">
        <v>35995</v>
      </c>
      <c r="G6225" s="18" t="str">
        <f>"01240"</f>
        <v>01240</v>
      </c>
      <c r="H6225" s="19" t="s">
        <v>36411</v>
      </c>
      <c r="I6225" s="20">
        <v>18.312999999999999</v>
      </c>
      <c r="J6225" s="44" t="s">
        <v>8</v>
      </c>
      <c r="K6225" s="23" t="s">
        <v>8</v>
      </c>
      <c r="L6225" s="23" t="s">
        <v>8</v>
      </c>
      <c r="M6225" s="23" t="s">
        <v>8</v>
      </c>
    </row>
    <row r="6226" spans="1:13" s="21" customFormat="1" x14ac:dyDescent="0.25">
      <c r="A6226" s="22" t="s">
        <v>8</v>
      </c>
      <c r="B6226" s="18" t="str">
        <f>"225766"</f>
        <v>225766</v>
      </c>
      <c r="C6226" s="19" t="s">
        <v>6142</v>
      </c>
      <c r="D6226" s="19" t="s">
        <v>21651</v>
      </c>
      <c r="E6226" s="19" t="s">
        <v>33019</v>
      </c>
      <c r="F6226" s="19" t="s">
        <v>35995</v>
      </c>
      <c r="G6226" s="18" t="str">
        <f>"01001"</f>
        <v>01001</v>
      </c>
      <c r="H6226" s="19" t="s">
        <v>33041</v>
      </c>
      <c r="I6226" s="20">
        <v>20.837</v>
      </c>
      <c r="J6226" s="44" t="s">
        <v>8</v>
      </c>
      <c r="K6226" s="23" t="s">
        <v>8</v>
      </c>
      <c r="L6226" s="23" t="s">
        <v>8</v>
      </c>
      <c r="M6226" s="23" t="s">
        <v>8</v>
      </c>
    </row>
    <row r="6227" spans="1:13" s="21" customFormat="1" x14ac:dyDescent="0.25">
      <c r="A6227" s="22" t="s">
        <v>8</v>
      </c>
      <c r="B6227" s="18" t="str">
        <f>"225767"</f>
        <v>225767</v>
      </c>
      <c r="C6227" s="19" t="s">
        <v>6143</v>
      </c>
      <c r="D6227" s="19" t="s">
        <v>21652</v>
      </c>
      <c r="E6227" s="19" t="s">
        <v>32649</v>
      </c>
      <c r="F6227" s="19" t="s">
        <v>35995</v>
      </c>
      <c r="G6227" s="18" t="str">
        <f>"01960"</f>
        <v>01960</v>
      </c>
      <c r="H6227" s="19" t="s">
        <v>31458</v>
      </c>
      <c r="I6227" s="20">
        <v>18.488</v>
      </c>
      <c r="J6227" s="44" t="s">
        <v>8</v>
      </c>
      <c r="K6227" s="23" t="s">
        <v>8</v>
      </c>
      <c r="L6227" s="23" t="s">
        <v>8</v>
      </c>
      <c r="M6227" s="23" t="s">
        <v>8</v>
      </c>
    </row>
    <row r="6228" spans="1:13" s="21" customFormat="1" x14ac:dyDescent="0.25">
      <c r="A6228" s="22" t="s">
        <v>8</v>
      </c>
      <c r="B6228" s="18" t="str">
        <f>"225768"</f>
        <v>225768</v>
      </c>
      <c r="C6228" s="19" t="s">
        <v>6144</v>
      </c>
      <c r="D6228" s="19" t="s">
        <v>21653</v>
      </c>
      <c r="E6228" s="19" t="s">
        <v>33023</v>
      </c>
      <c r="F6228" s="19" t="s">
        <v>35995</v>
      </c>
      <c r="G6228" s="18" t="str">
        <f>"01923"</f>
        <v>01923</v>
      </c>
      <c r="H6228" s="19" t="s">
        <v>31458</v>
      </c>
      <c r="I6228" s="20">
        <v>18.039000000000001</v>
      </c>
      <c r="J6228" s="44" t="s">
        <v>8</v>
      </c>
      <c r="K6228" s="23" t="s">
        <v>8</v>
      </c>
      <c r="L6228" s="23" t="s">
        <v>8</v>
      </c>
      <c r="M6228" s="23" t="s">
        <v>8</v>
      </c>
    </row>
    <row r="6229" spans="1:13" s="21" customFormat="1" x14ac:dyDescent="0.25">
      <c r="A6229" s="22" t="s">
        <v>8</v>
      </c>
      <c r="B6229" s="18" t="str">
        <f>"225769"</f>
        <v>225769</v>
      </c>
      <c r="C6229" s="19" t="s">
        <v>6145</v>
      </c>
      <c r="D6229" s="19" t="s">
        <v>21654</v>
      </c>
      <c r="E6229" s="19" t="s">
        <v>33007</v>
      </c>
      <c r="F6229" s="19" t="s">
        <v>35995</v>
      </c>
      <c r="G6229" s="18" t="str">
        <f>"02184"</f>
        <v>02184</v>
      </c>
      <c r="H6229" s="19" t="s">
        <v>33776</v>
      </c>
      <c r="I6229" s="20">
        <v>18.629000000000001</v>
      </c>
      <c r="J6229" s="44" t="s">
        <v>8</v>
      </c>
      <c r="K6229" s="23" t="s">
        <v>8</v>
      </c>
      <c r="L6229" s="23" t="s">
        <v>8</v>
      </c>
      <c r="M6229" s="23" t="s">
        <v>8</v>
      </c>
    </row>
    <row r="6230" spans="1:13" s="21" customFormat="1" x14ac:dyDescent="0.25">
      <c r="A6230" s="22" t="s">
        <v>8</v>
      </c>
      <c r="B6230" s="18" t="str">
        <f>"225770"</f>
        <v>225770</v>
      </c>
      <c r="C6230" s="19" t="s">
        <v>6146</v>
      </c>
      <c r="D6230" s="19" t="s">
        <v>21655</v>
      </c>
      <c r="E6230" s="19" t="s">
        <v>31360</v>
      </c>
      <c r="F6230" s="19" t="s">
        <v>35995</v>
      </c>
      <c r="G6230" s="18" t="str">
        <f>"02135"</f>
        <v>02135</v>
      </c>
      <c r="H6230" s="19" t="s">
        <v>35389</v>
      </c>
      <c r="I6230" s="20">
        <v>20.613</v>
      </c>
      <c r="J6230" s="44" t="s">
        <v>8</v>
      </c>
      <c r="K6230" s="23" t="s">
        <v>8</v>
      </c>
      <c r="L6230" s="23" t="s">
        <v>8</v>
      </c>
      <c r="M6230" s="23" t="s">
        <v>8</v>
      </c>
    </row>
    <row r="6231" spans="1:13" s="21" customFormat="1" x14ac:dyDescent="0.25">
      <c r="A6231" s="22" t="s">
        <v>8</v>
      </c>
      <c r="B6231" s="18" t="str">
        <f>"225771"</f>
        <v>225771</v>
      </c>
      <c r="C6231" s="19" t="s">
        <v>6147</v>
      </c>
      <c r="D6231" s="19" t="s">
        <v>21656</v>
      </c>
      <c r="E6231" s="19" t="s">
        <v>33142</v>
      </c>
      <c r="F6231" s="19" t="s">
        <v>35995</v>
      </c>
      <c r="G6231" s="18" t="str">
        <f>"01255"</f>
        <v>01255</v>
      </c>
      <c r="H6231" s="19" t="s">
        <v>36411</v>
      </c>
      <c r="I6231" s="20">
        <v>18.507999999999999</v>
      </c>
      <c r="J6231" s="44" t="s">
        <v>8</v>
      </c>
      <c r="K6231" s="23" t="s">
        <v>8</v>
      </c>
      <c r="L6231" s="23" t="s">
        <v>8</v>
      </c>
      <c r="M6231" s="23" t="s">
        <v>8</v>
      </c>
    </row>
    <row r="6232" spans="1:13" s="21" customFormat="1" x14ac:dyDescent="0.25">
      <c r="A6232" s="22" t="s">
        <v>8</v>
      </c>
      <c r="B6232" s="18" t="str">
        <f>"225772"</f>
        <v>225772</v>
      </c>
      <c r="C6232" s="19" t="s">
        <v>6148</v>
      </c>
      <c r="D6232" s="19" t="s">
        <v>21657</v>
      </c>
      <c r="E6232" s="19" t="s">
        <v>32999</v>
      </c>
      <c r="F6232" s="19" t="s">
        <v>35995</v>
      </c>
      <c r="G6232" s="18" t="str">
        <f>"02554"</f>
        <v>02554</v>
      </c>
      <c r="H6232" s="19" t="s">
        <v>32999</v>
      </c>
      <c r="I6232" s="20">
        <v>18.283000000000001</v>
      </c>
      <c r="J6232" s="44" t="s">
        <v>8</v>
      </c>
      <c r="K6232" s="23" t="s">
        <v>8</v>
      </c>
      <c r="L6232" s="23" t="s">
        <v>8</v>
      </c>
      <c r="M6232" s="23" t="s">
        <v>8</v>
      </c>
    </row>
    <row r="6233" spans="1:13" s="21" customFormat="1" x14ac:dyDescent="0.25">
      <c r="A6233" s="22" t="s">
        <v>8</v>
      </c>
      <c r="B6233" s="18" t="str">
        <f>"225773"</f>
        <v>225773</v>
      </c>
      <c r="C6233" s="19" t="s">
        <v>6149</v>
      </c>
      <c r="D6233" s="19" t="s">
        <v>21658</v>
      </c>
      <c r="E6233" s="19" t="s">
        <v>33037</v>
      </c>
      <c r="F6233" s="19" t="s">
        <v>35995</v>
      </c>
      <c r="G6233" s="18" t="str">
        <f>"02043"</f>
        <v>02043</v>
      </c>
      <c r="H6233" s="19" t="s">
        <v>31465</v>
      </c>
      <c r="I6233" s="20">
        <v>16.584</v>
      </c>
      <c r="J6233" s="44" t="s">
        <v>8</v>
      </c>
      <c r="K6233" s="23" t="s">
        <v>8</v>
      </c>
      <c r="L6233" s="23" t="s">
        <v>8</v>
      </c>
      <c r="M6233" s="23" t="s">
        <v>8</v>
      </c>
    </row>
    <row r="6234" spans="1:13" s="21" customFormat="1" x14ac:dyDescent="0.25">
      <c r="A6234" s="22" t="s">
        <v>8</v>
      </c>
      <c r="B6234" s="18" t="str">
        <f>"225774"</f>
        <v>225774</v>
      </c>
      <c r="C6234" s="19" t="s">
        <v>6150</v>
      </c>
      <c r="D6234" s="19" t="s">
        <v>21659</v>
      </c>
      <c r="E6234" s="19" t="s">
        <v>33058</v>
      </c>
      <c r="F6234" s="19" t="s">
        <v>35995</v>
      </c>
      <c r="G6234" s="18" t="str">
        <f>"02026"</f>
        <v>02026</v>
      </c>
      <c r="H6234" s="19" t="s">
        <v>33776</v>
      </c>
      <c r="I6234" s="20">
        <v>18.609000000000002</v>
      </c>
      <c r="J6234" s="44" t="s">
        <v>8</v>
      </c>
      <c r="K6234" s="23" t="s">
        <v>8</v>
      </c>
      <c r="L6234" s="23" t="s">
        <v>8</v>
      </c>
      <c r="M6234" s="23" t="s">
        <v>8</v>
      </c>
    </row>
    <row r="6235" spans="1:13" s="21" customFormat="1" x14ac:dyDescent="0.25">
      <c r="A6235" s="22" t="s">
        <v>8</v>
      </c>
      <c r="B6235" s="18" t="str">
        <f>"225775"</f>
        <v>225775</v>
      </c>
      <c r="C6235" s="19" t="s">
        <v>6151</v>
      </c>
      <c r="D6235" s="19" t="s">
        <v>21660</v>
      </c>
      <c r="E6235" s="19" t="s">
        <v>33088</v>
      </c>
      <c r="F6235" s="19" t="s">
        <v>35995</v>
      </c>
      <c r="G6235" s="18" t="str">
        <f>"02150"</f>
        <v>02150</v>
      </c>
      <c r="H6235" s="19" t="s">
        <v>35389</v>
      </c>
      <c r="I6235" s="20">
        <v>18.614999999999998</v>
      </c>
      <c r="J6235" s="44" t="s">
        <v>8</v>
      </c>
      <c r="K6235" s="23" t="s">
        <v>8</v>
      </c>
      <c r="L6235" s="23" t="s">
        <v>8</v>
      </c>
      <c r="M6235" s="23" t="s">
        <v>8</v>
      </c>
    </row>
    <row r="6236" spans="1:13" s="21" customFormat="1" x14ac:dyDescent="0.25">
      <c r="A6236" s="22" t="s">
        <v>8</v>
      </c>
      <c r="B6236" s="18" t="str">
        <f>"225776"</f>
        <v>225776</v>
      </c>
      <c r="C6236" s="19" t="s">
        <v>6152</v>
      </c>
      <c r="D6236" s="19" t="s">
        <v>21661</v>
      </c>
      <c r="E6236" s="19" t="s">
        <v>33084</v>
      </c>
      <c r="F6236" s="19" t="s">
        <v>35995</v>
      </c>
      <c r="G6236" s="18" t="str">
        <f>"01867"</f>
        <v>01867</v>
      </c>
      <c r="H6236" s="19" t="s">
        <v>36120</v>
      </c>
      <c r="I6236" s="20">
        <v>19.387</v>
      </c>
      <c r="J6236" s="44" t="s">
        <v>8</v>
      </c>
      <c r="K6236" s="23" t="s">
        <v>8</v>
      </c>
      <c r="L6236" s="23" t="s">
        <v>8</v>
      </c>
      <c r="M6236" s="23" t="s">
        <v>8</v>
      </c>
    </row>
    <row r="6237" spans="1:13" s="21" customFormat="1" x14ac:dyDescent="0.25">
      <c r="A6237" s="22" t="s">
        <v>8</v>
      </c>
      <c r="B6237" s="18" t="str">
        <f>"225777"</f>
        <v>225777</v>
      </c>
      <c r="C6237" s="19" t="s">
        <v>6153</v>
      </c>
      <c r="D6237" s="19" t="s">
        <v>21662</v>
      </c>
      <c r="E6237" s="19" t="s">
        <v>32273</v>
      </c>
      <c r="F6237" s="19" t="s">
        <v>35995</v>
      </c>
      <c r="G6237" s="18" t="str">
        <f>"01854"</f>
        <v>01854</v>
      </c>
      <c r="H6237" s="19" t="s">
        <v>36120</v>
      </c>
      <c r="I6237" s="20">
        <v>24.77</v>
      </c>
      <c r="J6237" s="44" t="s">
        <v>8</v>
      </c>
      <c r="K6237" s="23" t="s">
        <v>8</v>
      </c>
      <c r="L6237" s="23" t="s">
        <v>8</v>
      </c>
      <c r="M6237" s="23" t="s">
        <v>8</v>
      </c>
    </row>
    <row r="6238" spans="1:13" s="21" customFormat="1" x14ac:dyDescent="0.25">
      <c r="A6238" s="22" t="s">
        <v>8</v>
      </c>
      <c r="B6238" s="18" t="str">
        <f>"225778"</f>
        <v>225778</v>
      </c>
      <c r="C6238" s="19" t="s">
        <v>6154</v>
      </c>
      <c r="D6238" s="19" t="s">
        <v>21663</v>
      </c>
      <c r="E6238" s="19" t="s">
        <v>33034</v>
      </c>
      <c r="F6238" s="19" t="s">
        <v>35995</v>
      </c>
      <c r="G6238" s="18" t="str">
        <f>"01581"</f>
        <v>01581</v>
      </c>
      <c r="H6238" s="19" t="s">
        <v>33002</v>
      </c>
      <c r="I6238" s="20">
        <v>17.164000000000001</v>
      </c>
      <c r="J6238" s="44" t="s">
        <v>8</v>
      </c>
      <c r="K6238" s="23" t="s">
        <v>8</v>
      </c>
      <c r="L6238" s="23" t="s">
        <v>8</v>
      </c>
      <c r="M6238" s="23" t="s">
        <v>8</v>
      </c>
    </row>
    <row r="6239" spans="1:13" s="21" customFormat="1" x14ac:dyDescent="0.25">
      <c r="A6239" s="22" t="s">
        <v>8</v>
      </c>
      <c r="B6239" s="18" t="str">
        <f>"225779"</f>
        <v>225779</v>
      </c>
      <c r="C6239" s="19" t="s">
        <v>6155</v>
      </c>
      <c r="D6239" s="19" t="s">
        <v>21664</v>
      </c>
      <c r="E6239" s="19" t="s">
        <v>33022</v>
      </c>
      <c r="F6239" s="19" t="s">
        <v>35995</v>
      </c>
      <c r="G6239" s="18" t="str">
        <f>"02720"</f>
        <v>02720</v>
      </c>
      <c r="H6239" s="19" t="s">
        <v>31434</v>
      </c>
      <c r="I6239" s="20">
        <v>24.103999999999999</v>
      </c>
      <c r="J6239" s="44" t="s">
        <v>8</v>
      </c>
      <c r="K6239" s="23" t="s">
        <v>8</v>
      </c>
      <c r="L6239" s="23" t="s">
        <v>8</v>
      </c>
      <c r="M6239" s="23" t="s">
        <v>8</v>
      </c>
    </row>
    <row r="6240" spans="1:13" s="21" customFormat="1" x14ac:dyDescent="0.25">
      <c r="A6240" s="22" t="s">
        <v>8</v>
      </c>
      <c r="B6240" s="18" t="str">
        <f>"225780"</f>
        <v>225780</v>
      </c>
      <c r="C6240" s="19" t="s">
        <v>6156</v>
      </c>
      <c r="D6240" s="19" t="s">
        <v>21665</v>
      </c>
      <c r="E6240" s="19" t="s">
        <v>33022</v>
      </c>
      <c r="F6240" s="19" t="s">
        <v>35995</v>
      </c>
      <c r="G6240" s="18" t="str">
        <f>"02720"</f>
        <v>02720</v>
      </c>
      <c r="H6240" s="19" t="s">
        <v>31434</v>
      </c>
      <c r="I6240" s="20">
        <v>19.088999999999999</v>
      </c>
      <c r="J6240" s="44" t="s">
        <v>8</v>
      </c>
      <c r="K6240" s="23" t="s">
        <v>8</v>
      </c>
      <c r="L6240" s="23" t="s">
        <v>8</v>
      </c>
      <c r="M6240" s="23" t="s">
        <v>8</v>
      </c>
    </row>
    <row r="6241" spans="1:13" s="21" customFormat="1" x14ac:dyDescent="0.25">
      <c r="A6241" s="22" t="s">
        <v>8</v>
      </c>
      <c r="B6241" s="18" t="s">
        <v>15251</v>
      </c>
      <c r="C6241" s="19" t="s">
        <v>6157</v>
      </c>
      <c r="D6241" s="19" t="s">
        <v>21666</v>
      </c>
      <c r="E6241" s="19" t="s">
        <v>1675</v>
      </c>
      <c r="F6241" s="19" t="s">
        <v>35996</v>
      </c>
      <c r="G6241" s="18" t="str">
        <f>"49093"</f>
        <v>49093</v>
      </c>
      <c r="H6241" s="19" t="s">
        <v>33627</v>
      </c>
      <c r="I6241" s="20">
        <v>18.376999999999999</v>
      </c>
      <c r="J6241" s="44" t="s">
        <v>8</v>
      </c>
      <c r="K6241" s="23" t="s">
        <v>8</v>
      </c>
      <c r="L6241" s="23" t="s">
        <v>8</v>
      </c>
      <c r="M6241" s="23" t="s">
        <v>8</v>
      </c>
    </row>
    <row r="6242" spans="1:13" s="21" customFormat="1" x14ac:dyDescent="0.25">
      <c r="A6242" s="22" t="s">
        <v>8</v>
      </c>
      <c r="B6242" s="18" t="s">
        <v>15252</v>
      </c>
      <c r="C6242" s="19" t="s">
        <v>6158</v>
      </c>
      <c r="D6242" s="19" t="s">
        <v>21667</v>
      </c>
      <c r="E6242" s="19" t="s">
        <v>33143</v>
      </c>
      <c r="F6242" s="19" t="s">
        <v>35996</v>
      </c>
      <c r="G6242" s="18" t="str">
        <f>"49801"</f>
        <v>49801</v>
      </c>
      <c r="H6242" s="19" t="s">
        <v>34382</v>
      </c>
      <c r="I6242" s="20">
        <v>18.893000000000001</v>
      </c>
      <c r="J6242" s="44" t="s">
        <v>8</v>
      </c>
      <c r="K6242" s="23" t="s">
        <v>8</v>
      </c>
      <c r="L6242" s="23" t="s">
        <v>8</v>
      </c>
      <c r="M6242" s="23" t="s">
        <v>8</v>
      </c>
    </row>
    <row r="6243" spans="1:13" s="21" customFormat="1" x14ac:dyDescent="0.25">
      <c r="A6243" s="22" t="s">
        <v>8</v>
      </c>
      <c r="B6243" s="18" t="s">
        <v>15253</v>
      </c>
      <c r="C6243" s="19" t="s">
        <v>6159</v>
      </c>
      <c r="D6243" s="19" t="s">
        <v>21668</v>
      </c>
      <c r="E6243" s="19" t="s">
        <v>33144</v>
      </c>
      <c r="F6243" s="19" t="s">
        <v>35996</v>
      </c>
      <c r="G6243" s="18" t="str">
        <f>"49930"</f>
        <v>49930</v>
      </c>
      <c r="H6243" s="19" t="s">
        <v>34184</v>
      </c>
      <c r="I6243" s="20">
        <v>21.134</v>
      </c>
      <c r="J6243" s="44" t="s">
        <v>8</v>
      </c>
      <c r="K6243" s="23" t="s">
        <v>8</v>
      </c>
      <c r="L6243" s="23" t="s">
        <v>8</v>
      </c>
      <c r="M6243" s="23" t="s">
        <v>8</v>
      </c>
    </row>
    <row r="6244" spans="1:13" s="21" customFormat="1" x14ac:dyDescent="0.25">
      <c r="A6244" s="22" t="s">
        <v>8</v>
      </c>
      <c r="B6244" s="18" t="str">
        <f>"235002"</f>
        <v>235002</v>
      </c>
      <c r="C6244" s="19" t="s">
        <v>6160</v>
      </c>
      <c r="D6244" s="19" t="s">
        <v>21669</v>
      </c>
      <c r="E6244" s="19" t="s">
        <v>33145</v>
      </c>
      <c r="F6244" s="19" t="s">
        <v>35996</v>
      </c>
      <c r="G6244" s="18" t="str">
        <f>"49420"</f>
        <v>49420</v>
      </c>
      <c r="H6244" s="19" t="s">
        <v>36415</v>
      </c>
      <c r="I6244" s="20">
        <v>18.222999999999999</v>
      </c>
      <c r="J6244" s="44" t="s">
        <v>8</v>
      </c>
      <c r="K6244" s="23" t="s">
        <v>8</v>
      </c>
      <c r="L6244" s="23" t="s">
        <v>8</v>
      </c>
      <c r="M6244" s="23" t="s">
        <v>8</v>
      </c>
    </row>
    <row r="6245" spans="1:13" s="21" customFormat="1" x14ac:dyDescent="0.25">
      <c r="A6245" s="22" t="s">
        <v>8</v>
      </c>
      <c r="B6245" s="18" t="str">
        <f>"235003"</f>
        <v>235003</v>
      </c>
      <c r="C6245" s="19" t="s">
        <v>6161</v>
      </c>
      <c r="D6245" s="19" t="s">
        <v>21670</v>
      </c>
      <c r="E6245" s="19" t="s">
        <v>33146</v>
      </c>
      <c r="F6245" s="19" t="s">
        <v>35996</v>
      </c>
      <c r="G6245" s="18" t="str">
        <f>"49660"</f>
        <v>49660</v>
      </c>
      <c r="H6245" s="19" t="s">
        <v>33146</v>
      </c>
      <c r="I6245" s="20">
        <v>19.856999999999999</v>
      </c>
      <c r="J6245" s="44" t="s">
        <v>8</v>
      </c>
      <c r="K6245" s="23" t="s">
        <v>8</v>
      </c>
      <c r="L6245" s="23" t="s">
        <v>8</v>
      </c>
      <c r="M6245" s="23" t="s">
        <v>8</v>
      </c>
    </row>
    <row r="6246" spans="1:13" s="21" customFormat="1" x14ac:dyDescent="0.25">
      <c r="A6246" s="22" t="s">
        <v>8</v>
      </c>
      <c r="B6246" s="18" t="str">
        <f>"235004"</f>
        <v>235004</v>
      </c>
      <c r="C6246" s="19" t="s">
        <v>6162</v>
      </c>
      <c r="D6246" s="19" t="s">
        <v>21671</v>
      </c>
      <c r="E6246" s="19" t="s">
        <v>33147</v>
      </c>
      <c r="F6246" s="19" t="s">
        <v>35996</v>
      </c>
      <c r="G6246" s="18" t="str">
        <f>"49441"</f>
        <v>49441</v>
      </c>
      <c r="H6246" s="19" t="s">
        <v>33147</v>
      </c>
      <c r="I6246" s="20">
        <v>18.538</v>
      </c>
      <c r="J6246" s="44" t="s">
        <v>8</v>
      </c>
      <c r="K6246" s="23" t="s">
        <v>8</v>
      </c>
      <c r="L6246" s="23" t="s">
        <v>8</v>
      </c>
      <c r="M6246" s="23" t="s">
        <v>8</v>
      </c>
    </row>
    <row r="6247" spans="1:13" s="21" customFormat="1" x14ac:dyDescent="0.25">
      <c r="A6247" s="22" t="s">
        <v>8</v>
      </c>
      <c r="B6247" s="18" t="str">
        <f>"235005"</f>
        <v>235005</v>
      </c>
      <c r="C6247" s="19" t="s">
        <v>6163</v>
      </c>
      <c r="D6247" s="19" t="s">
        <v>21672</v>
      </c>
      <c r="E6247" s="19" t="s">
        <v>32256</v>
      </c>
      <c r="F6247" s="19" t="s">
        <v>35996</v>
      </c>
      <c r="G6247" s="18" t="str">
        <f>"49635"</f>
        <v>49635</v>
      </c>
      <c r="H6247" s="19" t="s">
        <v>36416</v>
      </c>
      <c r="I6247" s="20">
        <v>20.013000000000002</v>
      </c>
      <c r="J6247" s="44" t="s">
        <v>8</v>
      </c>
      <c r="K6247" s="23" t="s">
        <v>8</v>
      </c>
      <c r="L6247" s="23" t="s">
        <v>8</v>
      </c>
      <c r="M6247" s="23" t="s">
        <v>8</v>
      </c>
    </row>
    <row r="6248" spans="1:13" s="21" customFormat="1" x14ac:dyDescent="0.25">
      <c r="A6248" s="22" t="s">
        <v>8</v>
      </c>
      <c r="B6248" s="18" t="str">
        <f>"235006"</f>
        <v>235006</v>
      </c>
      <c r="C6248" s="19" t="s">
        <v>6164</v>
      </c>
      <c r="D6248" s="19" t="s">
        <v>21673</v>
      </c>
      <c r="E6248" s="19" t="s">
        <v>33148</v>
      </c>
      <c r="F6248" s="19" t="s">
        <v>35996</v>
      </c>
      <c r="G6248" s="18" t="str">
        <f>"49735"</f>
        <v>49735</v>
      </c>
      <c r="H6248" s="19" t="s">
        <v>36417</v>
      </c>
      <c r="I6248" s="20">
        <v>15.957000000000001</v>
      </c>
      <c r="J6248" s="44" t="s">
        <v>8</v>
      </c>
      <c r="K6248" s="23" t="s">
        <v>8</v>
      </c>
      <c r="L6248" s="23" t="s">
        <v>8</v>
      </c>
      <c r="M6248" s="23" t="s">
        <v>8</v>
      </c>
    </row>
    <row r="6249" spans="1:13" s="21" customFormat="1" x14ac:dyDescent="0.25">
      <c r="A6249" s="22" t="s">
        <v>8</v>
      </c>
      <c r="B6249" s="18" t="str">
        <f>"235008"</f>
        <v>235008</v>
      </c>
      <c r="C6249" s="19" t="s">
        <v>6165</v>
      </c>
      <c r="D6249" s="19" t="s">
        <v>21674</v>
      </c>
      <c r="E6249" s="19" t="s">
        <v>33149</v>
      </c>
      <c r="F6249" s="19" t="s">
        <v>35996</v>
      </c>
      <c r="G6249" s="18" t="str">
        <f>"49036"</f>
        <v>49036</v>
      </c>
      <c r="H6249" s="19" t="s">
        <v>36418</v>
      </c>
      <c r="I6249" s="20">
        <v>18.652000000000001</v>
      </c>
      <c r="J6249" s="44" t="s">
        <v>8</v>
      </c>
      <c r="K6249" s="23" t="s">
        <v>8</v>
      </c>
      <c r="L6249" s="23" t="s">
        <v>8</v>
      </c>
      <c r="M6249" s="23" t="s">
        <v>8</v>
      </c>
    </row>
    <row r="6250" spans="1:13" s="21" customFormat="1" x14ac:dyDescent="0.25">
      <c r="A6250" s="22" t="s">
        <v>8</v>
      </c>
      <c r="B6250" s="18" t="str">
        <f>"235009"</f>
        <v>235009</v>
      </c>
      <c r="C6250" s="19" t="s">
        <v>6166</v>
      </c>
      <c r="D6250" s="19" t="s">
        <v>21675</v>
      </c>
      <c r="E6250" s="19" t="s">
        <v>33150</v>
      </c>
      <c r="F6250" s="19" t="s">
        <v>35996</v>
      </c>
      <c r="G6250" s="18" t="str">
        <f>"49058"</f>
        <v>49058</v>
      </c>
      <c r="H6250" s="19" t="s">
        <v>32158</v>
      </c>
      <c r="I6250" s="20">
        <v>17.484000000000002</v>
      </c>
      <c r="J6250" s="44" t="s">
        <v>8</v>
      </c>
      <c r="K6250" s="23" t="s">
        <v>8</v>
      </c>
      <c r="L6250" s="23" t="s">
        <v>8</v>
      </c>
      <c r="M6250" s="23" t="s">
        <v>8</v>
      </c>
    </row>
    <row r="6251" spans="1:13" s="21" customFormat="1" x14ac:dyDescent="0.25">
      <c r="A6251" s="22" t="s">
        <v>8</v>
      </c>
      <c r="B6251" s="18" t="str">
        <f>"235011"</f>
        <v>235011</v>
      </c>
      <c r="C6251" s="19" t="s">
        <v>6167</v>
      </c>
      <c r="D6251" s="19" t="s">
        <v>21676</v>
      </c>
      <c r="E6251" s="19" t="s">
        <v>33151</v>
      </c>
      <c r="F6251" s="19" t="s">
        <v>35996</v>
      </c>
      <c r="G6251" s="18" t="str">
        <f>"48763"</f>
        <v>48763</v>
      </c>
      <c r="H6251" s="19" t="s">
        <v>36419</v>
      </c>
      <c r="I6251" s="20">
        <v>14.965999999999999</v>
      </c>
      <c r="J6251" s="44" t="s">
        <v>8</v>
      </c>
      <c r="K6251" s="23" t="s">
        <v>8</v>
      </c>
      <c r="L6251" s="23" t="s">
        <v>8</v>
      </c>
      <c r="M6251" s="23" t="s">
        <v>8</v>
      </c>
    </row>
    <row r="6252" spans="1:13" s="21" customFormat="1" x14ac:dyDescent="0.25">
      <c r="A6252" s="22" t="s">
        <v>8</v>
      </c>
      <c r="B6252" s="18" t="str">
        <f>"235013"</f>
        <v>235013</v>
      </c>
      <c r="C6252" s="19" t="s">
        <v>6168</v>
      </c>
      <c r="D6252" s="19" t="s">
        <v>21677</v>
      </c>
      <c r="E6252" s="19" t="s">
        <v>30806</v>
      </c>
      <c r="F6252" s="19" t="s">
        <v>35996</v>
      </c>
      <c r="G6252" s="18" t="str">
        <f>"49032"</f>
        <v>49032</v>
      </c>
      <c r="H6252" s="19" t="s">
        <v>33627</v>
      </c>
      <c r="I6252" s="20">
        <v>20.113</v>
      </c>
      <c r="J6252" s="44" t="s">
        <v>8</v>
      </c>
      <c r="K6252" s="23" t="s">
        <v>8</v>
      </c>
      <c r="L6252" s="23" t="s">
        <v>8</v>
      </c>
      <c r="M6252" s="23" t="s">
        <v>8</v>
      </c>
    </row>
    <row r="6253" spans="1:13" s="21" customFormat="1" x14ac:dyDescent="0.25">
      <c r="A6253" s="22" t="s">
        <v>8</v>
      </c>
      <c r="B6253" s="18" t="str">
        <f>"235014"</f>
        <v>235014</v>
      </c>
      <c r="C6253" s="19" t="s">
        <v>6169</v>
      </c>
      <c r="D6253" s="19" t="s">
        <v>21678</v>
      </c>
      <c r="E6253" s="19" t="s">
        <v>33152</v>
      </c>
      <c r="F6253" s="19" t="s">
        <v>35996</v>
      </c>
      <c r="G6253" s="18" t="str">
        <f>"48240"</f>
        <v>48240</v>
      </c>
      <c r="H6253" s="19" t="s">
        <v>33280</v>
      </c>
      <c r="I6253" s="20">
        <v>21.259</v>
      </c>
      <c r="J6253" s="44" t="s">
        <v>8</v>
      </c>
      <c r="K6253" s="23" t="s">
        <v>8</v>
      </c>
      <c r="L6253" s="23" t="s">
        <v>8</v>
      </c>
      <c r="M6253" s="23" t="s">
        <v>8</v>
      </c>
    </row>
    <row r="6254" spans="1:13" s="21" customFormat="1" x14ac:dyDescent="0.25">
      <c r="A6254" s="22" t="s">
        <v>8</v>
      </c>
      <c r="B6254" s="18" t="str">
        <f>"235015"</f>
        <v>235015</v>
      </c>
      <c r="C6254" s="19" t="s">
        <v>6170</v>
      </c>
      <c r="D6254" s="19" t="s">
        <v>21679</v>
      </c>
      <c r="E6254" s="19" t="s">
        <v>33153</v>
      </c>
      <c r="F6254" s="19" t="s">
        <v>35996</v>
      </c>
      <c r="G6254" s="18" t="str">
        <f>"48864"</f>
        <v>48864</v>
      </c>
      <c r="H6254" s="19" t="s">
        <v>36420</v>
      </c>
      <c r="I6254" s="20">
        <v>21.436</v>
      </c>
      <c r="J6254" s="44" t="s">
        <v>8</v>
      </c>
      <c r="K6254" s="23" t="s">
        <v>8</v>
      </c>
      <c r="L6254" s="23" t="s">
        <v>8</v>
      </c>
      <c r="M6254" s="23" t="s">
        <v>8</v>
      </c>
    </row>
    <row r="6255" spans="1:13" s="21" customFormat="1" x14ac:dyDescent="0.25">
      <c r="A6255" s="22" t="s">
        <v>8</v>
      </c>
      <c r="B6255" s="18" t="str">
        <f>"235016"</f>
        <v>235016</v>
      </c>
      <c r="C6255" s="19" t="s">
        <v>6171</v>
      </c>
      <c r="D6255" s="19" t="s">
        <v>21680</v>
      </c>
      <c r="E6255" s="19" t="s">
        <v>30816</v>
      </c>
      <c r="F6255" s="19" t="s">
        <v>35996</v>
      </c>
      <c r="G6255" s="18" t="str">
        <f>"49202"</f>
        <v>49202</v>
      </c>
      <c r="H6255" s="19" t="s">
        <v>30816</v>
      </c>
      <c r="I6255" s="20">
        <v>19.861000000000001</v>
      </c>
      <c r="J6255" s="44" t="s">
        <v>8</v>
      </c>
      <c r="K6255" s="23" t="s">
        <v>8</v>
      </c>
      <c r="L6255" s="23" t="s">
        <v>8</v>
      </c>
      <c r="M6255" s="23" t="s">
        <v>8</v>
      </c>
    </row>
    <row r="6256" spans="1:13" s="21" customFormat="1" x14ac:dyDescent="0.25">
      <c r="A6256" s="22" t="s">
        <v>8</v>
      </c>
      <c r="B6256" s="18" t="str">
        <f>"235019"</f>
        <v>235019</v>
      </c>
      <c r="C6256" s="19" t="s">
        <v>6172</v>
      </c>
      <c r="D6256" s="19" t="s">
        <v>21681</v>
      </c>
      <c r="E6256" s="19" t="s">
        <v>30816</v>
      </c>
      <c r="F6256" s="19" t="s">
        <v>35996</v>
      </c>
      <c r="G6256" s="18" t="str">
        <f>"49201"</f>
        <v>49201</v>
      </c>
      <c r="H6256" s="19" t="s">
        <v>30816</v>
      </c>
      <c r="I6256" s="20">
        <v>17.084</v>
      </c>
      <c r="J6256" s="44" t="s">
        <v>8</v>
      </c>
      <c r="K6256" s="23" t="s">
        <v>8</v>
      </c>
      <c r="L6256" s="23" t="s">
        <v>8</v>
      </c>
      <c r="M6256" s="23" t="s">
        <v>8</v>
      </c>
    </row>
    <row r="6257" spans="1:13" s="21" customFormat="1" x14ac:dyDescent="0.25">
      <c r="A6257" s="22" t="s">
        <v>8</v>
      </c>
      <c r="B6257" s="18" t="str">
        <f>"235020"</f>
        <v>235020</v>
      </c>
      <c r="C6257" s="19" t="s">
        <v>6173</v>
      </c>
      <c r="D6257" s="19" t="s">
        <v>21682</v>
      </c>
      <c r="E6257" s="19" t="s">
        <v>31067</v>
      </c>
      <c r="F6257" s="19" t="s">
        <v>35996</v>
      </c>
      <c r="G6257" s="18" t="str">
        <f>"48801"</f>
        <v>48801</v>
      </c>
      <c r="H6257" s="19" t="s">
        <v>36421</v>
      </c>
      <c r="I6257" s="20">
        <v>15.957000000000001</v>
      </c>
      <c r="J6257" s="44" t="s">
        <v>8</v>
      </c>
      <c r="K6257" s="23" t="s">
        <v>8</v>
      </c>
      <c r="L6257" s="23" t="s">
        <v>8</v>
      </c>
      <c r="M6257" s="23" t="s">
        <v>8</v>
      </c>
    </row>
    <row r="6258" spans="1:13" s="21" customFormat="1" x14ac:dyDescent="0.25">
      <c r="A6258" s="22" t="s">
        <v>8</v>
      </c>
      <c r="B6258" s="18" t="str">
        <f>"235021"</f>
        <v>235021</v>
      </c>
      <c r="C6258" s="19" t="s">
        <v>6174</v>
      </c>
      <c r="D6258" s="19" t="s">
        <v>21683</v>
      </c>
      <c r="E6258" s="19" t="s">
        <v>33088</v>
      </c>
      <c r="F6258" s="19" t="s">
        <v>35996</v>
      </c>
      <c r="G6258" s="18" t="str">
        <f>"48118"</f>
        <v>48118</v>
      </c>
      <c r="H6258" s="19" t="s">
        <v>36422</v>
      </c>
      <c r="I6258" s="20">
        <v>17.12</v>
      </c>
      <c r="J6258" s="44" t="s">
        <v>8</v>
      </c>
      <c r="K6258" s="23" t="s">
        <v>8</v>
      </c>
      <c r="L6258" s="23" t="s">
        <v>8</v>
      </c>
      <c r="M6258" s="23" t="s">
        <v>8</v>
      </c>
    </row>
    <row r="6259" spans="1:13" s="21" customFormat="1" x14ac:dyDescent="0.25">
      <c r="A6259" s="22" t="s">
        <v>8</v>
      </c>
      <c r="B6259" s="18" t="str">
        <f>"235022"</f>
        <v>235022</v>
      </c>
      <c r="C6259" s="19" t="s">
        <v>6175</v>
      </c>
      <c r="D6259" s="19" t="s">
        <v>21684</v>
      </c>
      <c r="E6259" s="19" t="s">
        <v>33154</v>
      </c>
      <c r="F6259" s="19" t="s">
        <v>35996</v>
      </c>
      <c r="G6259" s="18" t="str">
        <f>"48617"</f>
        <v>48617</v>
      </c>
      <c r="H6259" s="19" t="s">
        <v>33154</v>
      </c>
      <c r="I6259" s="20">
        <v>19.353999999999999</v>
      </c>
      <c r="J6259" s="44" t="s">
        <v>8</v>
      </c>
      <c r="K6259" s="23" t="s">
        <v>8</v>
      </c>
      <c r="L6259" s="23" t="s">
        <v>8</v>
      </c>
      <c r="M6259" s="23" t="s">
        <v>8</v>
      </c>
    </row>
    <row r="6260" spans="1:13" s="21" customFormat="1" x14ac:dyDescent="0.25">
      <c r="A6260" s="22" t="s">
        <v>8</v>
      </c>
      <c r="B6260" s="18" t="str">
        <f>"235023"</f>
        <v>235023</v>
      </c>
      <c r="C6260" s="19" t="s">
        <v>6176</v>
      </c>
      <c r="D6260" s="19" t="s">
        <v>21685</v>
      </c>
      <c r="E6260" s="19" t="s">
        <v>32443</v>
      </c>
      <c r="F6260" s="19" t="s">
        <v>35996</v>
      </c>
      <c r="G6260" s="18" t="str">
        <f>"49017"</f>
        <v>49017</v>
      </c>
      <c r="H6260" s="19" t="s">
        <v>31743</v>
      </c>
      <c r="I6260" s="20">
        <v>19.472000000000001</v>
      </c>
      <c r="J6260" s="44" t="s">
        <v>8</v>
      </c>
      <c r="K6260" s="23" t="s">
        <v>8</v>
      </c>
      <c r="L6260" s="23" t="s">
        <v>8</v>
      </c>
      <c r="M6260" s="23" t="s">
        <v>8</v>
      </c>
    </row>
    <row r="6261" spans="1:13" s="21" customFormat="1" x14ac:dyDescent="0.25">
      <c r="A6261" s="22" t="s">
        <v>8</v>
      </c>
      <c r="B6261" s="18" t="str">
        <f>"235025"</f>
        <v>235025</v>
      </c>
      <c r="C6261" s="19" t="s">
        <v>6177</v>
      </c>
      <c r="D6261" s="19" t="s">
        <v>21686</v>
      </c>
      <c r="E6261" s="19" t="s">
        <v>33155</v>
      </c>
      <c r="F6261" s="19" t="s">
        <v>35996</v>
      </c>
      <c r="G6261" s="18" t="str">
        <f>"49615"</f>
        <v>49615</v>
      </c>
      <c r="H6261" s="19" t="s">
        <v>36423</v>
      </c>
      <c r="I6261" s="20">
        <v>12.788</v>
      </c>
      <c r="J6261" s="44" t="s">
        <v>8</v>
      </c>
      <c r="K6261" s="23" t="s">
        <v>8</v>
      </c>
      <c r="L6261" s="23" t="s">
        <v>8</v>
      </c>
      <c r="M6261" s="23" t="s">
        <v>8</v>
      </c>
    </row>
    <row r="6262" spans="1:13" s="21" customFormat="1" x14ac:dyDescent="0.25">
      <c r="A6262" s="22" t="s">
        <v>8</v>
      </c>
      <c r="B6262" s="18" t="str">
        <f>"235026"</f>
        <v>235026</v>
      </c>
      <c r="C6262" s="19" t="s">
        <v>6178</v>
      </c>
      <c r="D6262" s="19" t="s">
        <v>21687</v>
      </c>
      <c r="E6262" s="19" t="s">
        <v>32598</v>
      </c>
      <c r="F6262" s="19" t="s">
        <v>35996</v>
      </c>
      <c r="G6262" s="18" t="str">
        <f>"49968"</f>
        <v>49968</v>
      </c>
      <c r="H6262" s="19" t="s">
        <v>36424</v>
      </c>
      <c r="I6262" s="20">
        <v>16.672999999999998</v>
      </c>
      <c r="J6262" s="44" t="s">
        <v>8</v>
      </c>
      <c r="K6262" s="23" t="s">
        <v>8</v>
      </c>
      <c r="L6262" s="23" t="s">
        <v>8</v>
      </c>
      <c r="M6262" s="23" t="s">
        <v>8</v>
      </c>
    </row>
    <row r="6263" spans="1:13" s="21" customFormat="1" x14ac:dyDescent="0.25">
      <c r="A6263" s="22" t="s">
        <v>8</v>
      </c>
      <c r="B6263" s="18" t="str">
        <f>"235027"</f>
        <v>235027</v>
      </c>
      <c r="C6263" s="19" t="s">
        <v>6179</v>
      </c>
      <c r="D6263" s="19" t="s">
        <v>21688</v>
      </c>
      <c r="E6263" s="19" t="s">
        <v>33156</v>
      </c>
      <c r="F6263" s="19" t="s">
        <v>35996</v>
      </c>
      <c r="G6263" s="18" t="str">
        <f>"48813"</f>
        <v>48813</v>
      </c>
      <c r="H6263" s="19" t="s">
        <v>34485</v>
      </c>
      <c r="I6263" s="20">
        <v>18.245000000000001</v>
      </c>
      <c r="J6263" s="44" t="s">
        <v>8</v>
      </c>
      <c r="K6263" s="23" t="s">
        <v>8</v>
      </c>
      <c r="L6263" s="23" t="s">
        <v>8</v>
      </c>
      <c r="M6263" s="23" t="s">
        <v>8</v>
      </c>
    </row>
    <row r="6264" spans="1:13" s="21" customFormat="1" x14ac:dyDescent="0.25">
      <c r="A6264" s="22" t="s">
        <v>8</v>
      </c>
      <c r="B6264" s="18" t="str">
        <f>"235028"</f>
        <v>235028</v>
      </c>
      <c r="C6264" s="19" t="s">
        <v>6180</v>
      </c>
      <c r="D6264" s="19" t="s">
        <v>21689</v>
      </c>
      <c r="E6264" s="19" t="s">
        <v>33157</v>
      </c>
      <c r="F6264" s="19" t="s">
        <v>35996</v>
      </c>
      <c r="G6264" s="18" t="str">
        <f>"48413"</f>
        <v>48413</v>
      </c>
      <c r="H6264" s="19" t="s">
        <v>34559</v>
      </c>
      <c r="I6264" s="20">
        <v>18.79</v>
      </c>
      <c r="J6264" s="44" t="s">
        <v>8</v>
      </c>
      <c r="K6264" s="23" t="s">
        <v>8</v>
      </c>
      <c r="L6264" s="23" t="s">
        <v>8</v>
      </c>
      <c r="M6264" s="23" t="s">
        <v>8</v>
      </c>
    </row>
    <row r="6265" spans="1:13" s="21" customFormat="1" x14ac:dyDescent="0.25">
      <c r="A6265" s="22" t="s">
        <v>8</v>
      </c>
      <c r="B6265" s="18" t="str">
        <f>"235031"</f>
        <v>235031</v>
      </c>
      <c r="C6265" s="19" t="s">
        <v>6181</v>
      </c>
      <c r="D6265" s="19" t="s">
        <v>21690</v>
      </c>
      <c r="E6265" s="19" t="s">
        <v>33144</v>
      </c>
      <c r="F6265" s="19" t="s">
        <v>35996</v>
      </c>
      <c r="G6265" s="18" t="str">
        <f>"49930"</f>
        <v>49930</v>
      </c>
      <c r="H6265" s="19" t="s">
        <v>34184</v>
      </c>
      <c r="I6265" s="20">
        <v>18.193000000000001</v>
      </c>
      <c r="J6265" s="44" t="s">
        <v>8</v>
      </c>
      <c r="K6265" s="23" t="s">
        <v>8</v>
      </c>
      <c r="L6265" s="23" t="s">
        <v>8</v>
      </c>
      <c r="M6265" s="23" t="s">
        <v>8</v>
      </c>
    </row>
    <row r="6266" spans="1:13" s="21" customFormat="1" x14ac:dyDescent="0.25">
      <c r="A6266" s="22" t="s">
        <v>8</v>
      </c>
      <c r="B6266" s="18" t="str">
        <f>"235032"</f>
        <v>235032</v>
      </c>
      <c r="C6266" s="19" t="s">
        <v>6182</v>
      </c>
      <c r="D6266" s="19" t="s">
        <v>21691</v>
      </c>
      <c r="E6266" s="19" t="s">
        <v>33158</v>
      </c>
      <c r="F6266" s="19" t="s">
        <v>35996</v>
      </c>
      <c r="G6266" s="18" t="str">
        <f>"48846"</f>
        <v>48846</v>
      </c>
      <c r="H6266" s="19" t="s">
        <v>33158</v>
      </c>
      <c r="I6266" s="20">
        <v>16.792000000000002</v>
      </c>
      <c r="J6266" s="44" t="s">
        <v>8</v>
      </c>
      <c r="K6266" s="23" t="s">
        <v>8</v>
      </c>
      <c r="L6266" s="23" t="s">
        <v>8</v>
      </c>
      <c r="M6266" s="23" t="s">
        <v>8</v>
      </c>
    </row>
    <row r="6267" spans="1:13" s="21" customFormat="1" x14ac:dyDescent="0.25">
      <c r="A6267" s="22" t="s">
        <v>8</v>
      </c>
      <c r="B6267" s="18" t="str">
        <f>"235033"</f>
        <v>235033</v>
      </c>
      <c r="C6267" s="19" t="s">
        <v>6183</v>
      </c>
      <c r="D6267" s="19" t="s">
        <v>21692</v>
      </c>
      <c r="E6267" s="19" t="s">
        <v>33159</v>
      </c>
      <c r="F6267" s="19" t="s">
        <v>35996</v>
      </c>
      <c r="G6267" s="18" t="str">
        <f>"49740"</f>
        <v>49740</v>
      </c>
      <c r="H6267" s="19" t="s">
        <v>36276</v>
      </c>
      <c r="I6267" s="20">
        <v>19.036999999999999</v>
      </c>
      <c r="J6267" s="44" t="s">
        <v>8</v>
      </c>
      <c r="K6267" s="23" t="s">
        <v>8</v>
      </c>
      <c r="L6267" s="23" t="s">
        <v>8</v>
      </c>
      <c r="M6267" s="23" t="s">
        <v>8</v>
      </c>
    </row>
    <row r="6268" spans="1:13" s="21" customFormat="1" x14ac:dyDescent="0.25">
      <c r="A6268" s="22" t="s">
        <v>8</v>
      </c>
      <c r="B6268" s="18" t="str">
        <f>"235035"</f>
        <v>235035</v>
      </c>
      <c r="C6268" s="19" t="s">
        <v>6184</v>
      </c>
      <c r="D6268" s="19" t="s">
        <v>21693</v>
      </c>
      <c r="E6268" s="19" t="s">
        <v>33160</v>
      </c>
      <c r="F6268" s="19" t="s">
        <v>35996</v>
      </c>
      <c r="G6268" s="18" t="str">
        <f>"49508"</f>
        <v>49508</v>
      </c>
      <c r="H6268" s="19" t="s">
        <v>31478</v>
      </c>
      <c r="I6268" s="20">
        <v>18.638999999999999</v>
      </c>
      <c r="J6268" s="44" t="s">
        <v>8</v>
      </c>
      <c r="K6268" s="23" t="s">
        <v>8</v>
      </c>
      <c r="L6268" s="23" t="s">
        <v>8</v>
      </c>
      <c r="M6268" s="23" t="s">
        <v>8</v>
      </c>
    </row>
    <row r="6269" spans="1:13" s="21" customFormat="1" x14ac:dyDescent="0.25">
      <c r="A6269" s="22" t="s">
        <v>8</v>
      </c>
      <c r="B6269" s="18" t="str">
        <f>"235036"</f>
        <v>235036</v>
      </c>
      <c r="C6269" s="19" t="s">
        <v>6185</v>
      </c>
      <c r="D6269" s="19" t="s">
        <v>21694</v>
      </c>
      <c r="E6269" s="19" t="s">
        <v>33161</v>
      </c>
      <c r="F6269" s="19" t="s">
        <v>35996</v>
      </c>
      <c r="G6269" s="18" t="str">
        <f>"48309"</f>
        <v>48309</v>
      </c>
      <c r="H6269" s="19" t="s">
        <v>31143</v>
      </c>
      <c r="I6269" s="20">
        <v>21.032</v>
      </c>
      <c r="J6269" s="44" t="s">
        <v>8</v>
      </c>
      <c r="K6269" s="23" t="s">
        <v>8</v>
      </c>
      <c r="L6269" s="23" t="s">
        <v>8</v>
      </c>
      <c r="M6269" s="23" t="s">
        <v>8</v>
      </c>
    </row>
    <row r="6270" spans="1:13" s="21" customFormat="1" x14ac:dyDescent="0.25">
      <c r="A6270" s="22" t="s">
        <v>8</v>
      </c>
      <c r="B6270" s="18" t="str">
        <f>"235037"</f>
        <v>235037</v>
      </c>
      <c r="C6270" s="19" t="s">
        <v>6186</v>
      </c>
      <c r="D6270" s="19" t="s">
        <v>21695</v>
      </c>
      <c r="E6270" s="19" t="s">
        <v>32348</v>
      </c>
      <c r="F6270" s="19" t="s">
        <v>35996</v>
      </c>
      <c r="G6270" s="18" t="str">
        <f>"48858"</f>
        <v>48858</v>
      </c>
      <c r="H6270" s="19" t="s">
        <v>36425</v>
      </c>
      <c r="I6270" s="20">
        <v>16.567</v>
      </c>
      <c r="J6270" s="44" t="s">
        <v>8</v>
      </c>
      <c r="K6270" s="23" t="s">
        <v>8</v>
      </c>
      <c r="L6270" s="23" t="s">
        <v>8</v>
      </c>
      <c r="M6270" s="23" t="s">
        <v>8</v>
      </c>
    </row>
    <row r="6271" spans="1:13" s="21" customFormat="1" x14ac:dyDescent="0.25">
      <c r="A6271" s="22" t="s">
        <v>8</v>
      </c>
      <c r="B6271" s="18" t="str">
        <f>"235038"</f>
        <v>235038</v>
      </c>
      <c r="C6271" s="19" t="s">
        <v>1581</v>
      </c>
      <c r="D6271" s="19" t="s">
        <v>21696</v>
      </c>
      <c r="E6271" s="19" t="s">
        <v>33160</v>
      </c>
      <c r="F6271" s="19" t="s">
        <v>35996</v>
      </c>
      <c r="G6271" s="18" t="str">
        <f>"49505"</f>
        <v>49505</v>
      </c>
      <c r="H6271" s="19" t="s">
        <v>31478</v>
      </c>
      <c r="I6271" s="20">
        <v>19.837</v>
      </c>
      <c r="J6271" s="44" t="s">
        <v>8</v>
      </c>
      <c r="K6271" s="23" t="s">
        <v>8</v>
      </c>
      <c r="L6271" s="23" t="s">
        <v>8</v>
      </c>
      <c r="M6271" s="23" t="s">
        <v>8</v>
      </c>
    </row>
    <row r="6272" spans="1:13" s="21" customFormat="1" x14ac:dyDescent="0.25">
      <c r="A6272" s="22" t="s">
        <v>8</v>
      </c>
      <c r="B6272" s="18" t="str">
        <f>"235039"</f>
        <v>235039</v>
      </c>
      <c r="C6272" s="19" t="s">
        <v>6187</v>
      </c>
      <c r="D6272" s="19" t="s">
        <v>21697</v>
      </c>
      <c r="E6272" s="19" t="s">
        <v>33162</v>
      </c>
      <c r="F6272" s="19" t="s">
        <v>35996</v>
      </c>
      <c r="G6272" s="18" t="str">
        <f>"49418"</f>
        <v>49418</v>
      </c>
      <c r="H6272" s="19" t="s">
        <v>31478</v>
      </c>
      <c r="I6272" s="20">
        <v>19.163</v>
      </c>
      <c r="J6272" s="44" t="s">
        <v>8</v>
      </c>
      <c r="K6272" s="23" t="s">
        <v>8</v>
      </c>
      <c r="L6272" s="23" t="s">
        <v>8</v>
      </c>
      <c r="M6272" s="23" t="s">
        <v>8</v>
      </c>
    </row>
    <row r="6273" spans="1:13" s="21" customFormat="1" x14ac:dyDescent="0.25">
      <c r="A6273" s="22" t="s">
        <v>8</v>
      </c>
      <c r="B6273" s="18" t="str">
        <f>"235041"</f>
        <v>235041</v>
      </c>
      <c r="C6273" s="19" t="s">
        <v>6188</v>
      </c>
      <c r="D6273" s="19" t="s">
        <v>21698</v>
      </c>
      <c r="E6273" s="19" t="s">
        <v>33163</v>
      </c>
      <c r="F6273" s="19" t="s">
        <v>35996</v>
      </c>
      <c r="G6273" s="18" t="str">
        <f>"49781"</f>
        <v>49781</v>
      </c>
      <c r="H6273" s="19" t="s">
        <v>36426</v>
      </c>
      <c r="I6273" s="20">
        <v>18.838999999999999</v>
      </c>
      <c r="J6273" s="44" t="s">
        <v>8</v>
      </c>
      <c r="K6273" s="23" t="s">
        <v>8</v>
      </c>
      <c r="L6273" s="23" t="s">
        <v>8</v>
      </c>
      <c r="M6273" s="23" t="s">
        <v>8</v>
      </c>
    </row>
    <row r="6274" spans="1:13" s="21" customFormat="1" x14ac:dyDescent="0.25">
      <c r="A6274" s="22" t="s">
        <v>8</v>
      </c>
      <c r="B6274" s="18" t="str">
        <f>"235044"</f>
        <v>235044</v>
      </c>
      <c r="C6274" s="19" t="s">
        <v>6189</v>
      </c>
      <c r="D6274" s="19" t="s">
        <v>21699</v>
      </c>
      <c r="E6274" s="19" t="s">
        <v>33164</v>
      </c>
      <c r="F6274" s="19" t="s">
        <v>35996</v>
      </c>
      <c r="G6274" s="18" t="str">
        <f>"48732"</f>
        <v>48732</v>
      </c>
      <c r="H6274" s="19" t="s">
        <v>36132</v>
      </c>
      <c r="I6274" s="20">
        <v>17.643999999999998</v>
      </c>
      <c r="J6274" s="44" t="s">
        <v>8</v>
      </c>
      <c r="K6274" s="23" t="s">
        <v>8</v>
      </c>
      <c r="L6274" s="23" t="s">
        <v>8</v>
      </c>
      <c r="M6274" s="23" t="s">
        <v>8</v>
      </c>
    </row>
    <row r="6275" spans="1:13" s="21" customFormat="1" x14ac:dyDescent="0.25">
      <c r="A6275" s="22" t="s">
        <v>8</v>
      </c>
      <c r="B6275" s="18" t="str">
        <f>"235050"</f>
        <v>235050</v>
      </c>
      <c r="C6275" s="19" t="s">
        <v>6190</v>
      </c>
      <c r="D6275" s="19" t="s">
        <v>21700</v>
      </c>
      <c r="E6275" s="19" t="s">
        <v>33165</v>
      </c>
      <c r="F6275" s="19" t="s">
        <v>35996</v>
      </c>
      <c r="G6275" s="18" t="str">
        <f>"49001"</f>
        <v>49001</v>
      </c>
      <c r="H6275" s="19" t="s">
        <v>33165</v>
      </c>
      <c r="I6275" s="20">
        <v>17.201000000000001</v>
      </c>
      <c r="J6275" s="44" t="s">
        <v>8</v>
      </c>
      <c r="K6275" s="23" t="s">
        <v>8</v>
      </c>
      <c r="L6275" s="23" t="s">
        <v>8</v>
      </c>
      <c r="M6275" s="23" t="s">
        <v>8</v>
      </c>
    </row>
    <row r="6276" spans="1:13" s="21" customFormat="1" x14ac:dyDescent="0.25">
      <c r="A6276" s="22" t="s">
        <v>8</v>
      </c>
      <c r="B6276" s="18" t="str">
        <f>"235051"</f>
        <v>235051</v>
      </c>
      <c r="C6276" s="19" t="s">
        <v>6191</v>
      </c>
      <c r="D6276" s="19" t="s">
        <v>21701</v>
      </c>
      <c r="E6276" s="19" t="s">
        <v>33166</v>
      </c>
      <c r="F6276" s="19" t="s">
        <v>35996</v>
      </c>
      <c r="G6276" s="18" t="str">
        <f>"48850"</f>
        <v>48850</v>
      </c>
      <c r="H6276" s="19" t="s">
        <v>36427</v>
      </c>
      <c r="I6276" s="20">
        <v>17.446000000000002</v>
      </c>
      <c r="J6276" s="44" t="s">
        <v>8</v>
      </c>
      <c r="K6276" s="23" t="s">
        <v>8</v>
      </c>
      <c r="L6276" s="23" t="s">
        <v>8</v>
      </c>
      <c r="M6276" s="23" t="s">
        <v>8</v>
      </c>
    </row>
    <row r="6277" spans="1:13" s="21" customFormat="1" x14ac:dyDescent="0.25">
      <c r="A6277" s="22" t="s">
        <v>8</v>
      </c>
      <c r="B6277" s="18" t="str">
        <f>"235052"</f>
        <v>235052</v>
      </c>
      <c r="C6277" s="19" t="s">
        <v>6192</v>
      </c>
      <c r="D6277" s="19" t="s">
        <v>21702</v>
      </c>
      <c r="E6277" s="19" t="s">
        <v>31591</v>
      </c>
      <c r="F6277" s="19" t="s">
        <v>35996</v>
      </c>
      <c r="G6277" s="18" t="str">
        <f>"48183"</f>
        <v>48183</v>
      </c>
      <c r="H6277" s="19" t="s">
        <v>33280</v>
      </c>
      <c r="I6277" s="20">
        <v>20.184999999999999</v>
      </c>
      <c r="J6277" s="44" t="s">
        <v>8</v>
      </c>
      <c r="K6277" s="23" t="s">
        <v>8</v>
      </c>
      <c r="L6277" s="23" t="s">
        <v>8</v>
      </c>
      <c r="M6277" s="23" t="s">
        <v>8</v>
      </c>
    </row>
    <row r="6278" spans="1:13" s="21" customFormat="1" x14ac:dyDescent="0.25">
      <c r="A6278" s="22" t="s">
        <v>8</v>
      </c>
      <c r="B6278" s="18" t="str">
        <f>"235054"</f>
        <v>235054</v>
      </c>
      <c r="C6278" s="19" t="s">
        <v>6193</v>
      </c>
      <c r="D6278" s="19" t="s">
        <v>21703</v>
      </c>
      <c r="E6278" s="19" t="s">
        <v>32443</v>
      </c>
      <c r="F6278" s="19" t="s">
        <v>35996</v>
      </c>
      <c r="G6278" s="18" t="str">
        <f>"49015"</f>
        <v>49015</v>
      </c>
      <c r="H6278" s="19" t="s">
        <v>31743</v>
      </c>
      <c r="I6278" s="20">
        <v>21.053999999999998</v>
      </c>
      <c r="J6278" s="44" t="s">
        <v>8</v>
      </c>
      <c r="K6278" s="23" t="s">
        <v>8</v>
      </c>
      <c r="L6278" s="23" t="s">
        <v>8</v>
      </c>
      <c r="M6278" s="23" t="s">
        <v>8</v>
      </c>
    </row>
    <row r="6279" spans="1:13" s="21" customFormat="1" x14ac:dyDescent="0.25">
      <c r="A6279" s="22" t="s">
        <v>8</v>
      </c>
      <c r="B6279" s="18" t="str">
        <f>"235056"</f>
        <v>235056</v>
      </c>
      <c r="C6279" s="19" t="s">
        <v>6194</v>
      </c>
      <c r="D6279" s="19" t="s">
        <v>21704</v>
      </c>
      <c r="E6279" s="19" t="s">
        <v>33167</v>
      </c>
      <c r="F6279" s="19" t="s">
        <v>35996</v>
      </c>
      <c r="G6279" s="18" t="str">
        <f>"48602"</f>
        <v>48602</v>
      </c>
      <c r="H6279" s="19" t="s">
        <v>33167</v>
      </c>
      <c r="I6279" s="20">
        <v>17.422999999999998</v>
      </c>
      <c r="J6279" s="44" t="s">
        <v>8</v>
      </c>
      <c r="K6279" s="23" t="s">
        <v>8</v>
      </c>
      <c r="L6279" s="23" t="s">
        <v>8</v>
      </c>
      <c r="M6279" s="23" t="s">
        <v>8</v>
      </c>
    </row>
    <row r="6280" spans="1:13" s="21" customFormat="1" x14ac:dyDescent="0.25">
      <c r="A6280" s="22" t="s">
        <v>8</v>
      </c>
      <c r="B6280" s="18" t="str">
        <f>"235057"</f>
        <v>235057</v>
      </c>
      <c r="C6280" s="19" t="s">
        <v>6195</v>
      </c>
      <c r="D6280" s="19" t="s">
        <v>21705</v>
      </c>
      <c r="E6280" s="19" t="s">
        <v>33168</v>
      </c>
      <c r="F6280" s="19" t="s">
        <v>35996</v>
      </c>
      <c r="G6280" s="18" t="str">
        <f>"48154"</f>
        <v>48154</v>
      </c>
      <c r="H6280" s="19" t="s">
        <v>33280</v>
      </c>
      <c r="I6280" s="20">
        <v>20.542000000000002</v>
      </c>
      <c r="J6280" s="44" t="s">
        <v>8</v>
      </c>
      <c r="K6280" s="23" t="s">
        <v>8</v>
      </c>
      <c r="L6280" s="23" t="s">
        <v>8</v>
      </c>
      <c r="M6280" s="23" t="s">
        <v>8</v>
      </c>
    </row>
    <row r="6281" spans="1:13" s="21" customFormat="1" x14ac:dyDescent="0.25">
      <c r="A6281" s="22" t="s">
        <v>8</v>
      </c>
      <c r="B6281" s="18" t="str">
        <f>"235058"</f>
        <v>235058</v>
      </c>
      <c r="C6281" s="19" t="s">
        <v>6196</v>
      </c>
      <c r="D6281" s="19" t="s">
        <v>21706</v>
      </c>
      <c r="E6281" s="19" t="s">
        <v>33169</v>
      </c>
      <c r="F6281" s="19" t="s">
        <v>35996</v>
      </c>
      <c r="G6281" s="18" t="str">
        <f>"48446"</f>
        <v>48446</v>
      </c>
      <c r="H6281" s="19" t="s">
        <v>33169</v>
      </c>
      <c r="I6281" s="20">
        <v>18.936</v>
      </c>
      <c r="J6281" s="44" t="s">
        <v>8</v>
      </c>
      <c r="K6281" s="23" t="s">
        <v>8</v>
      </c>
      <c r="L6281" s="23" t="s">
        <v>8</v>
      </c>
      <c r="M6281" s="23" t="s">
        <v>8</v>
      </c>
    </row>
    <row r="6282" spans="1:13" s="21" customFormat="1" x14ac:dyDescent="0.25">
      <c r="A6282" s="22" t="s">
        <v>8</v>
      </c>
      <c r="B6282" s="18" t="str">
        <f>"235062"</f>
        <v>235062</v>
      </c>
      <c r="C6282" s="19" t="s">
        <v>6197</v>
      </c>
      <c r="D6282" s="19" t="s">
        <v>21707</v>
      </c>
      <c r="E6282" s="19" t="s">
        <v>33170</v>
      </c>
      <c r="F6282" s="19" t="s">
        <v>35996</v>
      </c>
      <c r="G6282" s="18" t="str">
        <f>"49727"</f>
        <v>49727</v>
      </c>
      <c r="H6282" s="19" t="s">
        <v>33282</v>
      </c>
      <c r="I6282" s="20">
        <v>17.798999999999999</v>
      </c>
      <c r="J6282" s="44" t="s">
        <v>8</v>
      </c>
      <c r="K6282" s="23" t="s">
        <v>8</v>
      </c>
      <c r="L6282" s="23" t="s">
        <v>8</v>
      </c>
      <c r="M6282" s="23" t="s">
        <v>8</v>
      </c>
    </row>
    <row r="6283" spans="1:13" s="21" customFormat="1" x14ac:dyDescent="0.25">
      <c r="A6283" s="22" t="s">
        <v>8</v>
      </c>
      <c r="B6283" s="18" t="str">
        <f>"235065"</f>
        <v>235065</v>
      </c>
      <c r="C6283" s="19" t="s">
        <v>6198</v>
      </c>
      <c r="D6283" s="19" t="s">
        <v>21708</v>
      </c>
      <c r="E6283" s="19" t="s">
        <v>33171</v>
      </c>
      <c r="F6283" s="19" t="s">
        <v>35996</v>
      </c>
      <c r="G6283" s="18" t="str">
        <f>"48178"</f>
        <v>48178</v>
      </c>
      <c r="H6283" s="19" t="s">
        <v>31143</v>
      </c>
      <c r="I6283" s="20">
        <v>22.071000000000002</v>
      </c>
      <c r="J6283" s="44" t="s">
        <v>8</v>
      </c>
      <c r="K6283" s="23" t="s">
        <v>8</v>
      </c>
      <c r="L6283" s="23" t="s">
        <v>8</v>
      </c>
      <c r="M6283" s="23" t="s">
        <v>8</v>
      </c>
    </row>
    <row r="6284" spans="1:13" s="21" customFormat="1" x14ac:dyDescent="0.25">
      <c r="A6284" s="22" t="s">
        <v>8</v>
      </c>
      <c r="B6284" s="18" t="str">
        <f>"235067"</f>
        <v>235067</v>
      </c>
      <c r="C6284" s="19" t="s">
        <v>6199</v>
      </c>
      <c r="D6284" s="19" t="s">
        <v>21709</v>
      </c>
      <c r="E6284" s="19" t="s">
        <v>33172</v>
      </c>
      <c r="F6284" s="19" t="s">
        <v>35996</v>
      </c>
      <c r="G6284" s="18" t="str">
        <f>"48817"</f>
        <v>48817</v>
      </c>
      <c r="H6284" s="19" t="s">
        <v>36428</v>
      </c>
      <c r="I6284" s="20">
        <v>21.972999999999999</v>
      </c>
      <c r="J6284" s="44" t="s">
        <v>8</v>
      </c>
      <c r="K6284" s="23" t="s">
        <v>8</v>
      </c>
      <c r="L6284" s="23" t="s">
        <v>8</v>
      </c>
      <c r="M6284" s="23" t="s">
        <v>8</v>
      </c>
    </row>
    <row r="6285" spans="1:13" s="21" customFormat="1" x14ac:dyDescent="0.25">
      <c r="A6285" s="22" t="s">
        <v>8</v>
      </c>
      <c r="B6285" s="18" t="str">
        <f>"235069"</f>
        <v>235069</v>
      </c>
      <c r="C6285" s="19" t="s">
        <v>6200</v>
      </c>
      <c r="D6285" s="19" t="s">
        <v>21710</v>
      </c>
      <c r="E6285" s="19" t="s">
        <v>33173</v>
      </c>
      <c r="F6285" s="19" t="s">
        <v>35996</v>
      </c>
      <c r="G6285" s="18" t="str">
        <f>"49874"</f>
        <v>49874</v>
      </c>
      <c r="H6285" s="19" t="s">
        <v>33291</v>
      </c>
      <c r="I6285" s="20">
        <v>16.346</v>
      </c>
      <c r="J6285" s="44" t="s">
        <v>8</v>
      </c>
      <c r="K6285" s="23" t="s">
        <v>8</v>
      </c>
      <c r="L6285" s="23" t="s">
        <v>8</v>
      </c>
      <c r="M6285" s="23" t="s">
        <v>8</v>
      </c>
    </row>
    <row r="6286" spans="1:13" s="21" customFormat="1" x14ac:dyDescent="0.25">
      <c r="A6286" s="22" t="s">
        <v>8</v>
      </c>
      <c r="B6286" s="18" t="str">
        <f>"235072"</f>
        <v>235072</v>
      </c>
      <c r="C6286" s="19" t="s">
        <v>6201</v>
      </c>
      <c r="D6286" s="19" t="s">
        <v>21711</v>
      </c>
      <c r="E6286" s="19" t="s">
        <v>33174</v>
      </c>
      <c r="F6286" s="19" t="s">
        <v>35996</v>
      </c>
      <c r="G6286" s="18" t="str">
        <f>"49431"</f>
        <v>49431</v>
      </c>
      <c r="H6286" s="19" t="s">
        <v>34550</v>
      </c>
      <c r="I6286" s="20">
        <v>15.818</v>
      </c>
      <c r="J6286" s="44" t="s">
        <v>8</v>
      </c>
      <c r="K6286" s="23" t="s">
        <v>8</v>
      </c>
      <c r="L6286" s="23" t="s">
        <v>8</v>
      </c>
      <c r="M6286" s="23" t="s">
        <v>8</v>
      </c>
    </row>
    <row r="6287" spans="1:13" s="21" customFormat="1" x14ac:dyDescent="0.25">
      <c r="A6287" s="22" t="s">
        <v>8</v>
      </c>
      <c r="B6287" s="18" t="str">
        <f>"235074"</f>
        <v>235074</v>
      </c>
      <c r="C6287" s="19" t="s">
        <v>6202</v>
      </c>
      <c r="D6287" s="19" t="s">
        <v>21712</v>
      </c>
      <c r="E6287" s="19" t="s">
        <v>33175</v>
      </c>
      <c r="F6287" s="19" t="s">
        <v>35996</v>
      </c>
      <c r="G6287" s="18" t="str">
        <f>"48453"</f>
        <v>48453</v>
      </c>
      <c r="H6287" s="19" t="s">
        <v>36429</v>
      </c>
      <c r="I6287" s="20">
        <v>18.206</v>
      </c>
      <c r="J6287" s="44" t="s">
        <v>8</v>
      </c>
      <c r="K6287" s="23" t="s">
        <v>8</v>
      </c>
      <c r="L6287" s="23" t="s">
        <v>8</v>
      </c>
      <c r="M6287" s="23" t="s">
        <v>8</v>
      </c>
    </row>
    <row r="6288" spans="1:13" s="21" customFormat="1" x14ac:dyDescent="0.25">
      <c r="A6288" s="22" t="s">
        <v>8</v>
      </c>
      <c r="B6288" s="18" t="str">
        <f>"235075"</f>
        <v>235075</v>
      </c>
      <c r="C6288" s="19" t="s">
        <v>6203</v>
      </c>
      <c r="D6288" s="19" t="s">
        <v>21713</v>
      </c>
      <c r="E6288" s="19" t="s">
        <v>33160</v>
      </c>
      <c r="F6288" s="19" t="s">
        <v>35996</v>
      </c>
      <c r="G6288" s="18" t="str">
        <f>"49503"</f>
        <v>49503</v>
      </c>
      <c r="H6288" s="19" t="s">
        <v>31478</v>
      </c>
      <c r="I6288" s="20">
        <v>21.751999999999999</v>
      </c>
      <c r="J6288" s="44" t="s">
        <v>8</v>
      </c>
      <c r="K6288" s="23" t="s">
        <v>8</v>
      </c>
      <c r="L6288" s="23" t="s">
        <v>8</v>
      </c>
      <c r="M6288" s="23" t="s">
        <v>8</v>
      </c>
    </row>
    <row r="6289" spans="1:13" s="21" customFormat="1" x14ac:dyDescent="0.25">
      <c r="A6289" s="22" t="s">
        <v>8</v>
      </c>
      <c r="B6289" s="18" t="str">
        <f>"235076"</f>
        <v>235076</v>
      </c>
      <c r="C6289" s="19" t="s">
        <v>6204</v>
      </c>
      <c r="D6289" s="19" t="s">
        <v>21714</v>
      </c>
      <c r="E6289" s="19" t="s">
        <v>31175</v>
      </c>
      <c r="F6289" s="19" t="s">
        <v>35996</v>
      </c>
      <c r="G6289" s="18" t="str">
        <f>"49412"</f>
        <v>49412</v>
      </c>
      <c r="H6289" s="19" t="s">
        <v>36430</v>
      </c>
      <c r="I6289" s="20">
        <v>19.544</v>
      </c>
      <c r="J6289" s="44" t="s">
        <v>8</v>
      </c>
      <c r="K6289" s="23" t="s">
        <v>8</v>
      </c>
      <c r="L6289" s="23" t="s">
        <v>8</v>
      </c>
      <c r="M6289" s="23" t="s">
        <v>8</v>
      </c>
    </row>
    <row r="6290" spans="1:13" s="21" customFormat="1" x14ac:dyDescent="0.25">
      <c r="A6290" s="22" t="s">
        <v>8</v>
      </c>
      <c r="B6290" s="18" t="str">
        <f>"235077"</f>
        <v>235077</v>
      </c>
      <c r="C6290" s="19" t="s">
        <v>6205</v>
      </c>
      <c r="D6290" s="19" t="s">
        <v>21715</v>
      </c>
      <c r="E6290" s="19" t="s">
        <v>33176</v>
      </c>
      <c r="F6290" s="19" t="s">
        <v>35996</v>
      </c>
      <c r="G6290" s="18" t="str">
        <f>"49423"</f>
        <v>49423</v>
      </c>
      <c r="H6290" s="19" t="s">
        <v>31994</v>
      </c>
      <c r="I6290" s="20">
        <v>19.045000000000002</v>
      </c>
      <c r="J6290" s="44" t="s">
        <v>8</v>
      </c>
      <c r="K6290" s="23" t="s">
        <v>8</v>
      </c>
      <c r="L6290" s="23" t="s">
        <v>8</v>
      </c>
      <c r="M6290" s="23" t="s">
        <v>8</v>
      </c>
    </row>
    <row r="6291" spans="1:13" s="21" customFormat="1" x14ac:dyDescent="0.25">
      <c r="A6291" s="22" t="s">
        <v>8</v>
      </c>
      <c r="B6291" s="18" t="str">
        <f>"235088"</f>
        <v>235088</v>
      </c>
      <c r="C6291" s="19" t="s">
        <v>6206</v>
      </c>
      <c r="D6291" s="19" t="s">
        <v>21716</v>
      </c>
      <c r="E6291" s="19" t="s">
        <v>33177</v>
      </c>
      <c r="F6291" s="19" t="s">
        <v>35996</v>
      </c>
      <c r="G6291" s="18" t="str">
        <f>"49684"</f>
        <v>49684</v>
      </c>
      <c r="H6291" s="19" t="s">
        <v>36431</v>
      </c>
      <c r="I6291" s="20">
        <v>15.015000000000001</v>
      </c>
      <c r="J6291" s="44" t="s">
        <v>8</v>
      </c>
      <c r="K6291" s="23" t="s">
        <v>8</v>
      </c>
      <c r="L6291" s="23" t="s">
        <v>8</v>
      </c>
      <c r="M6291" s="23" t="s">
        <v>8</v>
      </c>
    </row>
    <row r="6292" spans="1:13" s="21" customFormat="1" x14ac:dyDescent="0.25">
      <c r="A6292" s="22" t="s">
        <v>8</v>
      </c>
      <c r="B6292" s="18" t="str">
        <f>"235089"</f>
        <v>235089</v>
      </c>
      <c r="C6292" s="19" t="s">
        <v>6207</v>
      </c>
      <c r="D6292" s="19" t="s">
        <v>21717</v>
      </c>
      <c r="E6292" s="19" t="s">
        <v>33178</v>
      </c>
      <c r="F6292" s="19" t="s">
        <v>35996</v>
      </c>
      <c r="G6292" s="18" t="str">
        <f>"48723"</f>
        <v>48723</v>
      </c>
      <c r="H6292" s="19" t="s">
        <v>32169</v>
      </c>
      <c r="I6292" s="20">
        <v>18.259</v>
      </c>
      <c r="J6292" s="44" t="s">
        <v>8</v>
      </c>
      <c r="K6292" s="23" t="s">
        <v>8</v>
      </c>
      <c r="L6292" s="23" t="s">
        <v>8</v>
      </c>
      <c r="M6292" s="23" t="s">
        <v>8</v>
      </c>
    </row>
    <row r="6293" spans="1:13" s="21" customFormat="1" x14ac:dyDescent="0.25">
      <c r="A6293" s="22" t="s">
        <v>8</v>
      </c>
      <c r="B6293" s="18" t="str">
        <f>"235094"</f>
        <v>235094</v>
      </c>
      <c r="C6293" s="19" t="s">
        <v>6208</v>
      </c>
      <c r="D6293" s="19" t="s">
        <v>21718</v>
      </c>
      <c r="E6293" s="19" t="s">
        <v>33179</v>
      </c>
      <c r="F6293" s="19" t="s">
        <v>35996</v>
      </c>
      <c r="G6293" s="18" t="str">
        <f>"49601"</f>
        <v>49601</v>
      </c>
      <c r="H6293" s="19" t="s">
        <v>34861</v>
      </c>
      <c r="I6293" s="20">
        <v>15.818</v>
      </c>
      <c r="J6293" s="44" t="s">
        <v>8</v>
      </c>
      <c r="K6293" s="23" t="s">
        <v>8</v>
      </c>
      <c r="L6293" s="23" t="s">
        <v>8</v>
      </c>
      <c r="M6293" s="23" t="s">
        <v>8</v>
      </c>
    </row>
    <row r="6294" spans="1:13" s="21" customFormat="1" x14ac:dyDescent="0.25">
      <c r="A6294" s="22" t="s">
        <v>8</v>
      </c>
      <c r="B6294" s="18" t="str">
        <f>"235102"</f>
        <v>235102</v>
      </c>
      <c r="C6294" s="19" t="s">
        <v>6209</v>
      </c>
      <c r="D6294" s="19" t="s">
        <v>21719</v>
      </c>
      <c r="E6294" s="19" t="s">
        <v>33180</v>
      </c>
      <c r="F6294" s="19" t="s">
        <v>35996</v>
      </c>
      <c r="G6294" s="18" t="str">
        <f>"48214"</f>
        <v>48214</v>
      </c>
      <c r="H6294" s="19" t="s">
        <v>33280</v>
      </c>
      <c r="I6294" s="20">
        <v>19.768000000000001</v>
      </c>
      <c r="J6294" s="44" t="s">
        <v>8</v>
      </c>
      <c r="K6294" s="23" t="s">
        <v>8</v>
      </c>
      <c r="L6294" s="23" t="s">
        <v>8</v>
      </c>
      <c r="M6294" s="23" t="s">
        <v>8</v>
      </c>
    </row>
    <row r="6295" spans="1:13" s="21" customFormat="1" x14ac:dyDescent="0.25">
      <c r="A6295" s="22" t="s">
        <v>8</v>
      </c>
      <c r="B6295" s="18" t="str">
        <f>"235103"</f>
        <v>235103</v>
      </c>
      <c r="C6295" s="19" t="s">
        <v>6210</v>
      </c>
      <c r="D6295" s="19" t="s">
        <v>21720</v>
      </c>
      <c r="E6295" s="19" t="s">
        <v>33160</v>
      </c>
      <c r="F6295" s="19" t="s">
        <v>35996</v>
      </c>
      <c r="G6295" s="18" t="str">
        <f>"49546"</f>
        <v>49546</v>
      </c>
      <c r="H6295" s="19" t="s">
        <v>31478</v>
      </c>
      <c r="I6295" s="20">
        <v>17.863</v>
      </c>
      <c r="J6295" s="44" t="s">
        <v>8</v>
      </c>
      <c r="K6295" s="23" t="s">
        <v>8</v>
      </c>
      <c r="L6295" s="23" t="s">
        <v>8</v>
      </c>
      <c r="M6295" s="23" t="s">
        <v>8</v>
      </c>
    </row>
    <row r="6296" spans="1:13" s="21" customFormat="1" x14ac:dyDescent="0.25">
      <c r="A6296" s="22" t="s">
        <v>8</v>
      </c>
      <c r="B6296" s="18" t="str">
        <f>"235109"</f>
        <v>235109</v>
      </c>
      <c r="C6296" s="19" t="s">
        <v>6211</v>
      </c>
      <c r="D6296" s="19" t="s">
        <v>21721</v>
      </c>
      <c r="E6296" s="19" t="s">
        <v>33181</v>
      </c>
      <c r="F6296" s="19" t="s">
        <v>35996</v>
      </c>
      <c r="G6296" s="18" t="str">
        <f>"48236"</f>
        <v>48236</v>
      </c>
      <c r="H6296" s="19" t="s">
        <v>33280</v>
      </c>
      <c r="I6296" s="20">
        <v>22.754000000000001</v>
      </c>
      <c r="J6296" s="44" t="s">
        <v>8</v>
      </c>
      <c r="K6296" s="23" t="s">
        <v>8</v>
      </c>
      <c r="L6296" s="23" t="s">
        <v>8</v>
      </c>
      <c r="M6296" s="23" t="s">
        <v>8</v>
      </c>
    </row>
    <row r="6297" spans="1:13" s="21" customFormat="1" x14ac:dyDescent="0.25">
      <c r="A6297" s="22" t="s">
        <v>8</v>
      </c>
      <c r="B6297" s="18" t="str">
        <f>"235113"</f>
        <v>235113</v>
      </c>
      <c r="C6297" s="19" t="s">
        <v>6212</v>
      </c>
      <c r="D6297" s="19" t="s">
        <v>21722</v>
      </c>
      <c r="E6297" s="19" t="s">
        <v>33167</v>
      </c>
      <c r="F6297" s="19" t="s">
        <v>35996</v>
      </c>
      <c r="G6297" s="18" t="str">
        <f>"48603"</f>
        <v>48603</v>
      </c>
      <c r="H6297" s="19" t="s">
        <v>33167</v>
      </c>
      <c r="I6297" s="20">
        <v>20.53</v>
      </c>
      <c r="J6297" s="44" t="s">
        <v>8</v>
      </c>
      <c r="K6297" s="23" t="s">
        <v>8</v>
      </c>
      <c r="L6297" s="23" t="s">
        <v>8</v>
      </c>
      <c r="M6297" s="23" t="s">
        <v>8</v>
      </c>
    </row>
    <row r="6298" spans="1:13" s="21" customFormat="1" x14ac:dyDescent="0.25">
      <c r="A6298" s="22" t="s">
        <v>8</v>
      </c>
      <c r="B6298" s="18" t="str">
        <f>"235114"</f>
        <v>235114</v>
      </c>
      <c r="C6298" s="19" t="s">
        <v>6213</v>
      </c>
      <c r="D6298" s="19" t="s">
        <v>21723</v>
      </c>
      <c r="E6298" s="19" t="s">
        <v>33165</v>
      </c>
      <c r="F6298" s="19" t="s">
        <v>35996</v>
      </c>
      <c r="G6298" s="18" t="str">
        <f>"49006"</f>
        <v>49006</v>
      </c>
      <c r="H6298" s="19" t="s">
        <v>33165</v>
      </c>
      <c r="I6298" s="20">
        <v>18.995999999999999</v>
      </c>
      <c r="J6298" s="44" t="s">
        <v>8</v>
      </c>
      <c r="K6298" s="23" t="s">
        <v>8</v>
      </c>
      <c r="L6298" s="23" t="s">
        <v>8</v>
      </c>
      <c r="M6298" s="23" t="s">
        <v>8</v>
      </c>
    </row>
    <row r="6299" spans="1:13" s="21" customFormat="1" x14ac:dyDescent="0.25">
      <c r="A6299" s="22" t="s">
        <v>8</v>
      </c>
      <c r="B6299" s="18" t="str">
        <f>"235116"</f>
        <v>235116</v>
      </c>
      <c r="C6299" s="19" t="s">
        <v>6214</v>
      </c>
      <c r="D6299" s="19" t="s">
        <v>21724</v>
      </c>
      <c r="E6299" s="19" t="s">
        <v>33147</v>
      </c>
      <c r="F6299" s="19" t="s">
        <v>35996</v>
      </c>
      <c r="G6299" s="18" t="str">
        <f>"49442"</f>
        <v>49442</v>
      </c>
      <c r="H6299" s="19" t="s">
        <v>33147</v>
      </c>
      <c r="I6299" s="20">
        <v>16.876000000000001</v>
      </c>
      <c r="J6299" s="44" t="s">
        <v>8</v>
      </c>
      <c r="K6299" s="23" t="s">
        <v>8</v>
      </c>
      <c r="L6299" s="23" t="s">
        <v>8</v>
      </c>
      <c r="M6299" s="23" t="s">
        <v>8</v>
      </c>
    </row>
    <row r="6300" spans="1:13" s="21" customFormat="1" x14ac:dyDescent="0.25">
      <c r="A6300" s="22" t="s">
        <v>8</v>
      </c>
      <c r="B6300" s="18" t="str">
        <f>"235120"</f>
        <v>235120</v>
      </c>
      <c r="C6300" s="19" t="s">
        <v>721</v>
      </c>
      <c r="D6300" s="19" t="s">
        <v>21725</v>
      </c>
      <c r="E6300" s="19" t="s">
        <v>33168</v>
      </c>
      <c r="F6300" s="19" t="s">
        <v>35996</v>
      </c>
      <c r="G6300" s="18" t="str">
        <f>"48154"</f>
        <v>48154</v>
      </c>
      <c r="H6300" s="19" t="s">
        <v>33280</v>
      </c>
      <c r="I6300" s="20">
        <v>18.559000000000001</v>
      </c>
      <c r="J6300" s="44" t="s">
        <v>8</v>
      </c>
      <c r="K6300" s="23" t="s">
        <v>8</v>
      </c>
      <c r="L6300" s="23" t="s">
        <v>8</v>
      </c>
      <c r="M6300" s="23" t="s">
        <v>8</v>
      </c>
    </row>
    <row r="6301" spans="1:13" s="21" customFormat="1" x14ac:dyDescent="0.25">
      <c r="A6301" s="22" t="s">
        <v>8</v>
      </c>
      <c r="B6301" s="18" t="str">
        <f>"235123"</f>
        <v>235123</v>
      </c>
      <c r="C6301" s="19" t="s">
        <v>6215</v>
      </c>
      <c r="D6301" s="19" t="s">
        <v>21726</v>
      </c>
      <c r="E6301" s="19" t="s">
        <v>32019</v>
      </c>
      <c r="F6301" s="19" t="s">
        <v>35996</v>
      </c>
      <c r="G6301" s="18" t="str">
        <f>"48429"</f>
        <v>48429</v>
      </c>
      <c r="H6301" s="19" t="s">
        <v>36428</v>
      </c>
      <c r="I6301" s="20">
        <v>17.538</v>
      </c>
      <c r="J6301" s="44" t="s">
        <v>8</v>
      </c>
      <c r="K6301" s="23" t="s">
        <v>8</v>
      </c>
      <c r="L6301" s="23" t="s">
        <v>8</v>
      </c>
      <c r="M6301" s="23" t="s">
        <v>8</v>
      </c>
    </row>
    <row r="6302" spans="1:13" s="21" customFormat="1" x14ac:dyDescent="0.25">
      <c r="A6302" s="22" t="s">
        <v>8</v>
      </c>
      <c r="B6302" s="18" t="str">
        <f>"235132"</f>
        <v>235132</v>
      </c>
      <c r="C6302" s="19" t="s">
        <v>6216</v>
      </c>
      <c r="D6302" s="19" t="s">
        <v>21727</v>
      </c>
      <c r="E6302" s="19" t="s">
        <v>33182</v>
      </c>
      <c r="F6302" s="19" t="s">
        <v>35996</v>
      </c>
      <c r="G6302" s="18" t="str">
        <f>"48433"</f>
        <v>48433</v>
      </c>
      <c r="H6302" s="19" t="s">
        <v>36432</v>
      </c>
      <c r="I6302" s="20">
        <v>23.082999999999998</v>
      </c>
      <c r="J6302" s="44" t="s">
        <v>8</v>
      </c>
      <c r="K6302" s="23" t="s">
        <v>8</v>
      </c>
      <c r="L6302" s="23" t="s">
        <v>8</v>
      </c>
      <c r="M6302" s="23" t="s">
        <v>8</v>
      </c>
    </row>
    <row r="6303" spans="1:13" s="21" customFormat="1" x14ac:dyDescent="0.25">
      <c r="A6303" s="22" t="s">
        <v>8</v>
      </c>
      <c r="B6303" s="18" t="str">
        <f>"235139"</f>
        <v>235139</v>
      </c>
      <c r="C6303" s="19" t="s">
        <v>6217</v>
      </c>
      <c r="D6303" s="19" t="s">
        <v>21728</v>
      </c>
      <c r="E6303" s="19" t="s">
        <v>33167</v>
      </c>
      <c r="F6303" s="19" t="s">
        <v>35996</v>
      </c>
      <c r="G6303" s="18" t="str">
        <f>"48601"</f>
        <v>48601</v>
      </c>
      <c r="H6303" s="19" t="s">
        <v>33167</v>
      </c>
      <c r="I6303" s="20">
        <v>20.936</v>
      </c>
      <c r="J6303" s="44" t="s">
        <v>8</v>
      </c>
      <c r="K6303" s="23" t="s">
        <v>8</v>
      </c>
      <c r="L6303" s="23" t="s">
        <v>8</v>
      </c>
      <c r="M6303" s="23" t="s">
        <v>8</v>
      </c>
    </row>
    <row r="6304" spans="1:13" s="21" customFormat="1" x14ac:dyDescent="0.25">
      <c r="A6304" s="22" t="s">
        <v>8</v>
      </c>
      <c r="B6304" s="18" t="str">
        <f>"235143"</f>
        <v>235143</v>
      </c>
      <c r="C6304" s="19" t="s">
        <v>6218</v>
      </c>
      <c r="D6304" s="19" t="s">
        <v>21729</v>
      </c>
      <c r="E6304" s="19" t="s">
        <v>30817</v>
      </c>
      <c r="F6304" s="19" t="s">
        <v>35996</v>
      </c>
      <c r="G6304" s="18" t="str">
        <f>"48838"</f>
        <v>48838</v>
      </c>
      <c r="H6304" s="19" t="s">
        <v>36427</v>
      </c>
      <c r="I6304" s="20">
        <v>18.463999999999999</v>
      </c>
      <c r="J6304" s="44" t="s">
        <v>8</v>
      </c>
      <c r="K6304" s="23" t="s">
        <v>8</v>
      </c>
      <c r="L6304" s="23" t="s">
        <v>8</v>
      </c>
      <c r="M6304" s="23" t="s">
        <v>8</v>
      </c>
    </row>
    <row r="6305" spans="1:13" s="21" customFormat="1" x14ac:dyDescent="0.25">
      <c r="A6305" s="22" t="s">
        <v>8</v>
      </c>
      <c r="B6305" s="18" t="str">
        <f>"235144"</f>
        <v>235144</v>
      </c>
      <c r="C6305" s="19" t="s">
        <v>6219</v>
      </c>
      <c r="D6305" s="19" t="s">
        <v>21730</v>
      </c>
      <c r="E6305" s="19" t="s">
        <v>33183</v>
      </c>
      <c r="F6305" s="19" t="s">
        <v>35996</v>
      </c>
      <c r="G6305" s="18" t="str">
        <f>"49946"</f>
        <v>49946</v>
      </c>
      <c r="H6305" s="19" t="s">
        <v>36433</v>
      </c>
      <c r="I6305" s="20">
        <v>19.611000000000001</v>
      </c>
      <c r="J6305" s="44" t="s">
        <v>8</v>
      </c>
      <c r="K6305" s="23" t="s">
        <v>8</v>
      </c>
      <c r="L6305" s="23" t="s">
        <v>8</v>
      </c>
      <c r="M6305" s="23" t="s">
        <v>8</v>
      </c>
    </row>
    <row r="6306" spans="1:13" s="21" customFormat="1" x14ac:dyDescent="0.25">
      <c r="A6306" s="22" t="s">
        <v>8</v>
      </c>
      <c r="B6306" s="18" t="str">
        <f>"235147"</f>
        <v>235147</v>
      </c>
      <c r="C6306" s="19" t="s">
        <v>6220</v>
      </c>
      <c r="D6306" s="19" t="s">
        <v>21731</v>
      </c>
      <c r="E6306" s="19" t="s">
        <v>33184</v>
      </c>
      <c r="F6306" s="19" t="s">
        <v>35996</v>
      </c>
      <c r="G6306" s="18" t="str">
        <f>"49854"</f>
        <v>49854</v>
      </c>
      <c r="H6306" s="19" t="s">
        <v>36434</v>
      </c>
      <c r="I6306" s="20">
        <v>19.260999999999999</v>
      </c>
      <c r="J6306" s="44" t="s">
        <v>8</v>
      </c>
      <c r="K6306" s="23" t="s">
        <v>8</v>
      </c>
      <c r="L6306" s="23" t="s">
        <v>8</v>
      </c>
      <c r="M6306" s="23" t="s">
        <v>8</v>
      </c>
    </row>
    <row r="6307" spans="1:13" s="21" customFormat="1" x14ac:dyDescent="0.25">
      <c r="A6307" s="22" t="s">
        <v>8</v>
      </c>
      <c r="B6307" s="18" t="str">
        <f>"235150"</f>
        <v>235150</v>
      </c>
      <c r="C6307" s="19" t="s">
        <v>6221</v>
      </c>
      <c r="D6307" s="19" t="s">
        <v>21732</v>
      </c>
      <c r="E6307" s="19" t="s">
        <v>33167</v>
      </c>
      <c r="F6307" s="19" t="s">
        <v>35996</v>
      </c>
      <c r="G6307" s="18" t="str">
        <f>"48603"</f>
        <v>48603</v>
      </c>
      <c r="H6307" s="19" t="s">
        <v>33167</v>
      </c>
      <c r="I6307" s="20">
        <v>21.925000000000001</v>
      </c>
      <c r="J6307" s="44" t="s">
        <v>8</v>
      </c>
      <c r="K6307" s="23" t="s">
        <v>8</v>
      </c>
      <c r="L6307" s="23" t="s">
        <v>8</v>
      </c>
      <c r="M6307" s="23" t="s">
        <v>8</v>
      </c>
    </row>
    <row r="6308" spans="1:13" s="21" customFormat="1" x14ac:dyDescent="0.25">
      <c r="A6308" s="22" t="s">
        <v>8</v>
      </c>
      <c r="B6308" s="18" t="str">
        <f>"235155"</f>
        <v>235155</v>
      </c>
      <c r="C6308" s="19" t="s">
        <v>6222</v>
      </c>
      <c r="D6308" s="19" t="s">
        <v>21733</v>
      </c>
      <c r="E6308" s="19" t="s">
        <v>33185</v>
      </c>
      <c r="F6308" s="19" t="s">
        <v>35996</v>
      </c>
      <c r="G6308" s="18" t="str">
        <f>"48043"</f>
        <v>48043</v>
      </c>
      <c r="H6308" s="19" t="s">
        <v>31911</v>
      </c>
      <c r="I6308" s="20">
        <v>21.053000000000001</v>
      </c>
      <c r="J6308" s="44" t="s">
        <v>8</v>
      </c>
      <c r="K6308" s="23" t="s">
        <v>8</v>
      </c>
      <c r="L6308" s="23" t="s">
        <v>8</v>
      </c>
      <c r="M6308" s="23" t="s">
        <v>8</v>
      </c>
    </row>
    <row r="6309" spans="1:13" s="21" customFormat="1" x14ac:dyDescent="0.25">
      <c r="A6309" s="22" t="s">
        <v>8</v>
      </c>
      <c r="B6309" s="18" t="str">
        <f>"235157"</f>
        <v>235157</v>
      </c>
      <c r="C6309" s="19" t="s">
        <v>6223</v>
      </c>
      <c r="D6309" s="19" t="s">
        <v>21734</v>
      </c>
      <c r="E6309" s="19" t="s">
        <v>33186</v>
      </c>
      <c r="F6309" s="19" t="s">
        <v>35996</v>
      </c>
      <c r="G6309" s="18" t="str">
        <f>"48471"</f>
        <v>48471</v>
      </c>
      <c r="H6309" s="19" t="s">
        <v>36429</v>
      </c>
      <c r="I6309" s="20">
        <v>16.864000000000001</v>
      </c>
      <c r="J6309" s="44" t="s">
        <v>8</v>
      </c>
      <c r="K6309" s="23" t="s">
        <v>8</v>
      </c>
      <c r="L6309" s="23" t="s">
        <v>8</v>
      </c>
      <c r="M6309" s="23" t="s">
        <v>8</v>
      </c>
    </row>
    <row r="6310" spans="1:13" s="21" customFormat="1" x14ac:dyDescent="0.25">
      <c r="A6310" s="22" t="s">
        <v>8</v>
      </c>
      <c r="B6310" s="18" t="str">
        <f>"235161"</f>
        <v>235161</v>
      </c>
      <c r="C6310" s="19" t="s">
        <v>6224</v>
      </c>
      <c r="D6310" s="19" t="s">
        <v>21735</v>
      </c>
      <c r="E6310" s="19" t="s">
        <v>33187</v>
      </c>
      <c r="F6310" s="19" t="s">
        <v>35996</v>
      </c>
      <c r="G6310" s="18" t="str">
        <f>"49953"</f>
        <v>49953</v>
      </c>
      <c r="H6310" s="19" t="s">
        <v>33187</v>
      </c>
      <c r="I6310" s="20">
        <v>17.797000000000001</v>
      </c>
      <c r="J6310" s="44" t="s">
        <v>8</v>
      </c>
      <c r="K6310" s="23" t="s">
        <v>8</v>
      </c>
      <c r="L6310" s="23" t="s">
        <v>8</v>
      </c>
      <c r="M6310" s="23" t="s">
        <v>8</v>
      </c>
    </row>
    <row r="6311" spans="1:13" s="21" customFormat="1" x14ac:dyDescent="0.25">
      <c r="A6311" s="22" t="s">
        <v>8</v>
      </c>
      <c r="B6311" s="18" t="str">
        <f>"235164"</f>
        <v>235164</v>
      </c>
      <c r="C6311" s="19" t="s">
        <v>6225</v>
      </c>
      <c r="D6311" s="19" t="s">
        <v>21736</v>
      </c>
      <c r="E6311" s="19" t="s">
        <v>33188</v>
      </c>
      <c r="F6311" s="19" t="s">
        <v>35996</v>
      </c>
      <c r="G6311" s="18" t="str">
        <f>"49127"</f>
        <v>49127</v>
      </c>
      <c r="H6311" s="19" t="s">
        <v>36166</v>
      </c>
      <c r="I6311" s="20">
        <v>15.83</v>
      </c>
      <c r="J6311" s="44" t="s">
        <v>8</v>
      </c>
      <c r="K6311" s="23" t="s">
        <v>8</v>
      </c>
      <c r="L6311" s="23" t="s">
        <v>8</v>
      </c>
      <c r="M6311" s="23" t="s">
        <v>8</v>
      </c>
    </row>
    <row r="6312" spans="1:13" s="21" customFormat="1" x14ac:dyDescent="0.25">
      <c r="A6312" s="22" t="s">
        <v>8</v>
      </c>
      <c r="B6312" s="18" t="str">
        <f>"235171"</f>
        <v>235171</v>
      </c>
      <c r="C6312" s="19" t="s">
        <v>6226</v>
      </c>
      <c r="D6312" s="19" t="s">
        <v>21737</v>
      </c>
      <c r="E6312" s="19" t="s">
        <v>33189</v>
      </c>
      <c r="F6312" s="19" t="s">
        <v>35996</v>
      </c>
      <c r="G6312" s="18" t="str">
        <f>"48439"</f>
        <v>48439</v>
      </c>
      <c r="H6312" s="19" t="s">
        <v>36432</v>
      </c>
      <c r="I6312" s="20">
        <v>17.297999999999998</v>
      </c>
      <c r="J6312" s="44" t="s">
        <v>8</v>
      </c>
      <c r="K6312" s="23" t="s">
        <v>8</v>
      </c>
      <c r="L6312" s="23" t="s">
        <v>8</v>
      </c>
      <c r="M6312" s="23" t="s">
        <v>8</v>
      </c>
    </row>
    <row r="6313" spans="1:13" s="21" customFormat="1" x14ac:dyDescent="0.25">
      <c r="A6313" s="22" t="s">
        <v>8</v>
      </c>
      <c r="B6313" s="18" t="str">
        <f>"235174"</f>
        <v>235174</v>
      </c>
      <c r="C6313" s="19" t="s">
        <v>6227</v>
      </c>
      <c r="D6313" s="19" t="s">
        <v>21738</v>
      </c>
      <c r="E6313" s="19" t="s">
        <v>31063</v>
      </c>
      <c r="F6313" s="19" t="s">
        <v>35996</v>
      </c>
      <c r="G6313" s="18" t="str">
        <f>"49068"</f>
        <v>49068</v>
      </c>
      <c r="H6313" s="19" t="s">
        <v>31743</v>
      </c>
      <c r="I6313" s="20">
        <v>16.731999999999999</v>
      </c>
      <c r="J6313" s="44" t="s">
        <v>8</v>
      </c>
      <c r="K6313" s="23" t="s">
        <v>8</v>
      </c>
      <c r="L6313" s="23" t="s">
        <v>8</v>
      </c>
      <c r="M6313" s="23" t="s">
        <v>8</v>
      </c>
    </row>
    <row r="6314" spans="1:13" s="21" customFormat="1" x14ac:dyDescent="0.25">
      <c r="A6314" s="22" t="s">
        <v>8</v>
      </c>
      <c r="B6314" s="18" t="str">
        <f>"235175"</f>
        <v>235175</v>
      </c>
      <c r="C6314" s="19" t="s">
        <v>6228</v>
      </c>
      <c r="D6314" s="19" t="s">
        <v>21739</v>
      </c>
      <c r="E6314" s="19" t="s">
        <v>33190</v>
      </c>
      <c r="F6314" s="19" t="s">
        <v>35996</v>
      </c>
      <c r="G6314" s="18" t="str">
        <f>"48734"</f>
        <v>48734</v>
      </c>
      <c r="H6314" s="19" t="s">
        <v>33167</v>
      </c>
      <c r="I6314" s="20">
        <v>18.501000000000001</v>
      </c>
      <c r="J6314" s="44" t="s">
        <v>8</v>
      </c>
      <c r="K6314" s="23" t="s">
        <v>8</v>
      </c>
      <c r="L6314" s="23" t="s">
        <v>8</v>
      </c>
      <c r="M6314" s="23" t="s">
        <v>8</v>
      </c>
    </row>
    <row r="6315" spans="1:13" s="21" customFormat="1" x14ac:dyDescent="0.25">
      <c r="A6315" s="22" t="s">
        <v>8</v>
      </c>
      <c r="B6315" s="18" t="str">
        <f>"235176"</f>
        <v>235176</v>
      </c>
      <c r="C6315" s="19" t="s">
        <v>6229</v>
      </c>
      <c r="D6315" s="19" t="s">
        <v>21740</v>
      </c>
      <c r="E6315" s="19" t="s">
        <v>31175</v>
      </c>
      <c r="F6315" s="19" t="s">
        <v>35996</v>
      </c>
      <c r="G6315" s="18" t="str">
        <f>"49412"</f>
        <v>49412</v>
      </c>
      <c r="H6315" s="19" t="s">
        <v>36430</v>
      </c>
      <c r="I6315" s="20">
        <v>18.213000000000001</v>
      </c>
      <c r="J6315" s="44" t="s">
        <v>8</v>
      </c>
      <c r="K6315" s="23" t="s">
        <v>8</v>
      </c>
      <c r="L6315" s="23" t="s">
        <v>8</v>
      </c>
      <c r="M6315" s="23" t="s">
        <v>8</v>
      </c>
    </row>
    <row r="6316" spans="1:13" s="21" customFormat="1" x14ac:dyDescent="0.25">
      <c r="A6316" s="22" t="s">
        <v>8</v>
      </c>
      <c r="B6316" s="18" t="str">
        <f>"235177"</f>
        <v>235177</v>
      </c>
      <c r="C6316" s="19" t="s">
        <v>6230</v>
      </c>
      <c r="D6316" s="19" t="s">
        <v>21741</v>
      </c>
      <c r="E6316" s="19" t="s">
        <v>33180</v>
      </c>
      <c r="F6316" s="19" t="s">
        <v>35996</v>
      </c>
      <c r="G6316" s="18" t="str">
        <f>"48235"</f>
        <v>48235</v>
      </c>
      <c r="H6316" s="19" t="s">
        <v>33280</v>
      </c>
      <c r="I6316" s="20">
        <v>23.82</v>
      </c>
      <c r="J6316" s="44" t="s">
        <v>8</v>
      </c>
      <c r="K6316" s="23" t="s">
        <v>8</v>
      </c>
      <c r="L6316" s="23" t="s">
        <v>8</v>
      </c>
      <c r="M6316" s="23" t="s">
        <v>8</v>
      </c>
    </row>
    <row r="6317" spans="1:13" s="21" customFormat="1" x14ac:dyDescent="0.25">
      <c r="A6317" s="22" t="s">
        <v>8</v>
      </c>
      <c r="B6317" s="18" t="str">
        <f>"235179"</f>
        <v>235179</v>
      </c>
      <c r="C6317" s="19" t="s">
        <v>6231</v>
      </c>
      <c r="D6317" s="19" t="s">
        <v>21742</v>
      </c>
      <c r="E6317" s="19" t="s">
        <v>33191</v>
      </c>
      <c r="F6317" s="19" t="s">
        <v>35996</v>
      </c>
      <c r="G6317" s="18" t="str">
        <f>"49829"</f>
        <v>49829</v>
      </c>
      <c r="H6317" s="19" t="s">
        <v>31363</v>
      </c>
      <c r="I6317" s="20">
        <v>16.163</v>
      </c>
      <c r="J6317" s="44" t="s">
        <v>8</v>
      </c>
      <c r="K6317" s="23" t="s">
        <v>8</v>
      </c>
      <c r="L6317" s="23" t="s">
        <v>8</v>
      </c>
      <c r="M6317" s="23" t="s">
        <v>8</v>
      </c>
    </row>
    <row r="6318" spans="1:13" s="21" customFormat="1" x14ac:dyDescent="0.25">
      <c r="A6318" s="22" t="s">
        <v>8</v>
      </c>
      <c r="B6318" s="18" t="str">
        <f>"235182"</f>
        <v>235182</v>
      </c>
      <c r="C6318" s="19" t="s">
        <v>6232</v>
      </c>
      <c r="D6318" s="19" t="s">
        <v>21743</v>
      </c>
      <c r="E6318" s="19" t="s">
        <v>31844</v>
      </c>
      <c r="F6318" s="19" t="s">
        <v>35996</v>
      </c>
      <c r="G6318" s="18" t="str">
        <f>"49221"</f>
        <v>49221</v>
      </c>
      <c r="H6318" s="19" t="s">
        <v>36435</v>
      </c>
      <c r="I6318" s="20">
        <v>15.101000000000001</v>
      </c>
      <c r="J6318" s="44" t="s">
        <v>8</v>
      </c>
      <c r="K6318" s="23" t="s">
        <v>8</v>
      </c>
      <c r="L6318" s="23" t="s">
        <v>8</v>
      </c>
      <c r="M6318" s="23" t="s">
        <v>8</v>
      </c>
    </row>
    <row r="6319" spans="1:13" s="21" customFormat="1" x14ac:dyDescent="0.25">
      <c r="A6319" s="22" t="s">
        <v>8</v>
      </c>
      <c r="B6319" s="18" t="str">
        <f>"235184"</f>
        <v>235184</v>
      </c>
      <c r="C6319" s="19" t="s">
        <v>6233</v>
      </c>
      <c r="D6319" s="19" t="s">
        <v>21744</v>
      </c>
      <c r="E6319" s="19" t="s">
        <v>33192</v>
      </c>
      <c r="F6319" s="19" t="s">
        <v>35996</v>
      </c>
      <c r="G6319" s="18" t="str">
        <f>"48506"</f>
        <v>48506</v>
      </c>
      <c r="H6319" s="19" t="s">
        <v>36432</v>
      </c>
      <c r="I6319" s="20">
        <v>20.79</v>
      </c>
      <c r="J6319" s="44" t="s">
        <v>8</v>
      </c>
      <c r="K6319" s="23" t="s">
        <v>8</v>
      </c>
      <c r="L6319" s="23" t="s">
        <v>8</v>
      </c>
      <c r="M6319" s="23" t="s">
        <v>8</v>
      </c>
    </row>
    <row r="6320" spans="1:13" s="21" customFormat="1" x14ac:dyDescent="0.25">
      <c r="A6320" s="22" t="s">
        <v>8</v>
      </c>
      <c r="B6320" s="18" t="str">
        <f>"235187"</f>
        <v>235187</v>
      </c>
      <c r="C6320" s="19" t="s">
        <v>6234</v>
      </c>
      <c r="D6320" s="19" t="s">
        <v>21745</v>
      </c>
      <c r="E6320" s="19" t="s">
        <v>33193</v>
      </c>
      <c r="F6320" s="19" t="s">
        <v>35996</v>
      </c>
      <c r="G6320" s="18" t="str">
        <f>"48071"</f>
        <v>48071</v>
      </c>
      <c r="H6320" s="19" t="s">
        <v>31143</v>
      </c>
      <c r="I6320" s="20">
        <v>18.035</v>
      </c>
      <c r="J6320" s="44" t="s">
        <v>8</v>
      </c>
      <c r="K6320" s="23" t="s">
        <v>8</v>
      </c>
      <c r="L6320" s="23" t="s">
        <v>8</v>
      </c>
      <c r="M6320" s="23" t="s">
        <v>8</v>
      </c>
    </row>
    <row r="6321" spans="1:13" s="21" customFormat="1" x14ac:dyDescent="0.25">
      <c r="A6321" s="22" t="s">
        <v>8</v>
      </c>
      <c r="B6321" s="18" t="str">
        <f>"235192"</f>
        <v>235192</v>
      </c>
      <c r="C6321" s="19" t="s">
        <v>6235</v>
      </c>
      <c r="D6321" s="19" t="s">
        <v>21746</v>
      </c>
      <c r="E6321" s="19" t="s">
        <v>33194</v>
      </c>
      <c r="F6321" s="19" t="s">
        <v>35996</v>
      </c>
      <c r="G6321" s="18" t="str">
        <f>"48658"</f>
        <v>48658</v>
      </c>
      <c r="H6321" s="19" t="s">
        <v>36436</v>
      </c>
      <c r="I6321" s="20">
        <v>16.565000000000001</v>
      </c>
      <c r="J6321" s="44" t="s">
        <v>8</v>
      </c>
      <c r="K6321" s="23" t="s">
        <v>8</v>
      </c>
      <c r="L6321" s="23" t="s">
        <v>8</v>
      </c>
      <c r="M6321" s="23" t="s">
        <v>8</v>
      </c>
    </row>
    <row r="6322" spans="1:13" s="21" customFormat="1" x14ac:dyDescent="0.25">
      <c r="A6322" s="22" t="s">
        <v>8</v>
      </c>
      <c r="B6322" s="18" t="str">
        <f>"235197"</f>
        <v>235197</v>
      </c>
      <c r="C6322" s="19" t="s">
        <v>6236</v>
      </c>
      <c r="D6322" s="19" t="s">
        <v>21747</v>
      </c>
      <c r="E6322" s="19" t="s">
        <v>33195</v>
      </c>
      <c r="F6322" s="19" t="s">
        <v>35996</v>
      </c>
      <c r="G6322" s="18" t="str">
        <f>"49242"</f>
        <v>49242</v>
      </c>
      <c r="H6322" s="19" t="s">
        <v>33195</v>
      </c>
      <c r="I6322" s="20">
        <v>17.141999999999999</v>
      </c>
      <c r="J6322" s="44" t="s">
        <v>8</v>
      </c>
      <c r="K6322" s="23" t="s">
        <v>8</v>
      </c>
      <c r="L6322" s="23" t="s">
        <v>8</v>
      </c>
      <c r="M6322" s="23" t="s">
        <v>8</v>
      </c>
    </row>
    <row r="6323" spans="1:13" s="21" customFormat="1" x14ac:dyDescent="0.25">
      <c r="A6323" s="22" t="s">
        <v>8</v>
      </c>
      <c r="B6323" s="18" t="str">
        <f>"235201"</f>
        <v>235201</v>
      </c>
      <c r="C6323" s="19" t="s">
        <v>6237</v>
      </c>
      <c r="D6323" s="19" t="s">
        <v>21748</v>
      </c>
      <c r="E6323" s="19" t="s">
        <v>33196</v>
      </c>
      <c r="F6323" s="19" t="s">
        <v>35996</v>
      </c>
      <c r="G6323" s="18" t="str">
        <f>"49738"</f>
        <v>49738</v>
      </c>
      <c r="H6323" s="19" t="s">
        <v>31759</v>
      </c>
      <c r="I6323" s="20">
        <v>19.913</v>
      </c>
      <c r="J6323" s="44" t="s">
        <v>8</v>
      </c>
      <c r="K6323" s="23" t="s">
        <v>8</v>
      </c>
      <c r="L6323" s="23" t="s">
        <v>8</v>
      </c>
      <c r="M6323" s="23" t="s">
        <v>8</v>
      </c>
    </row>
    <row r="6324" spans="1:13" s="21" customFormat="1" x14ac:dyDescent="0.25">
      <c r="A6324" s="22" t="s">
        <v>8</v>
      </c>
      <c r="B6324" s="18" t="str">
        <f>"235204"</f>
        <v>235204</v>
      </c>
      <c r="C6324" s="19" t="s">
        <v>6238</v>
      </c>
      <c r="D6324" s="19" t="s">
        <v>21749</v>
      </c>
      <c r="E6324" s="19" t="s">
        <v>33147</v>
      </c>
      <c r="F6324" s="19" t="s">
        <v>35996</v>
      </c>
      <c r="G6324" s="18" t="str">
        <f>"49442"</f>
        <v>49442</v>
      </c>
      <c r="H6324" s="19" t="s">
        <v>33147</v>
      </c>
      <c r="I6324" s="20">
        <v>18.175000000000001</v>
      </c>
      <c r="J6324" s="44" t="s">
        <v>8</v>
      </c>
      <c r="K6324" s="23" t="s">
        <v>8</v>
      </c>
      <c r="L6324" s="23" t="s">
        <v>8</v>
      </c>
      <c r="M6324" s="23" t="s">
        <v>8</v>
      </c>
    </row>
    <row r="6325" spans="1:13" s="21" customFormat="1" x14ac:dyDescent="0.25">
      <c r="A6325" s="22" t="s">
        <v>8</v>
      </c>
      <c r="B6325" s="18" t="str">
        <f>"235205"</f>
        <v>235205</v>
      </c>
      <c r="C6325" s="19" t="s">
        <v>6239</v>
      </c>
      <c r="D6325" s="19" t="s">
        <v>21750</v>
      </c>
      <c r="E6325" s="19" t="s">
        <v>33197</v>
      </c>
      <c r="F6325" s="19" t="s">
        <v>35996</v>
      </c>
      <c r="G6325" s="18" t="str">
        <f>"49677"</f>
        <v>49677</v>
      </c>
      <c r="H6325" s="19" t="s">
        <v>31089</v>
      </c>
      <c r="I6325" s="20">
        <v>19.75</v>
      </c>
      <c r="J6325" s="44" t="s">
        <v>8</v>
      </c>
      <c r="K6325" s="23" t="s">
        <v>8</v>
      </c>
      <c r="L6325" s="23" t="s">
        <v>8</v>
      </c>
      <c r="M6325" s="23" t="s">
        <v>8</v>
      </c>
    </row>
    <row r="6326" spans="1:13" s="21" customFormat="1" x14ac:dyDescent="0.25">
      <c r="A6326" s="22" t="s">
        <v>8</v>
      </c>
      <c r="B6326" s="18" t="str">
        <f>"235206"</f>
        <v>235206</v>
      </c>
      <c r="C6326" s="19" t="s">
        <v>6240</v>
      </c>
      <c r="D6326" s="19" t="s">
        <v>21751</v>
      </c>
      <c r="E6326" s="19" t="s">
        <v>33198</v>
      </c>
      <c r="F6326" s="19" t="s">
        <v>35996</v>
      </c>
      <c r="G6326" s="18" t="str">
        <f>"49461"</f>
        <v>49461</v>
      </c>
      <c r="H6326" s="19" t="s">
        <v>33147</v>
      </c>
      <c r="I6326" s="20">
        <v>19.106999999999999</v>
      </c>
      <c r="J6326" s="44" t="s">
        <v>8</v>
      </c>
      <c r="K6326" s="23" t="s">
        <v>8</v>
      </c>
      <c r="L6326" s="23" t="s">
        <v>8</v>
      </c>
      <c r="M6326" s="23" t="s">
        <v>8</v>
      </c>
    </row>
    <row r="6327" spans="1:13" s="21" customFormat="1" x14ac:dyDescent="0.25">
      <c r="A6327" s="22" t="s">
        <v>8</v>
      </c>
      <c r="B6327" s="18" t="str">
        <f>"235207"</f>
        <v>235207</v>
      </c>
      <c r="C6327" s="19" t="s">
        <v>6241</v>
      </c>
      <c r="D6327" s="19" t="s">
        <v>21752</v>
      </c>
      <c r="E6327" s="19" t="s">
        <v>33180</v>
      </c>
      <c r="F6327" s="19" t="s">
        <v>35996</v>
      </c>
      <c r="G6327" s="18" t="str">
        <f>"48235"</f>
        <v>48235</v>
      </c>
      <c r="H6327" s="19" t="s">
        <v>33280</v>
      </c>
      <c r="I6327" s="20">
        <v>20.420000000000002</v>
      </c>
      <c r="J6327" s="44" t="s">
        <v>8</v>
      </c>
      <c r="K6327" s="23" t="s">
        <v>8</v>
      </c>
      <c r="L6327" s="23" t="s">
        <v>8</v>
      </c>
      <c r="M6327" s="23" t="s">
        <v>8</v>
      </c>
    </row>
    <row r="6328" spans="1:13" s="21" customFormat="1" x14ac:dyDescent="0.25">
      <c r="A6328" s="22" t="s">
        <v>8</v>
      </c>
      <c r="B6328" s="18" t="str">
        <f>"235209"</f>
        <v>235209</v>
      </c>
      <c r="C6328" s="19" t="s">
        <v>6242</v>
      </c>
      <c r="D6328" s="19" t="s">
        <v>21753</v>
      </c>
      <c r="E6328" s="19" t="s">
        <v>33199</v>
      </c>
      <c r="F6328" s="19" t="s">
        <v>35996</v>
      </c>
      <c r="G6328" s="18" t="str">
        <f>"49682"</f>
        <v>49682</v>
      </c>
      <c r="H6328" s="19" t="s">
        <v>36437</v>
      </c>
      <c r="I6328" s="20">
        <v>15.461</v>
      </c>
      <c r="J6328" s="44" t="s">
        <v>8</v>
      </c>
      <c r="K6328" s="23" t="s">
        <v>8</v>
      </c>
      <c r="L6328" s="23" t="s">
        <v>8</v>
      </c>
      <c r="M6328" s="23" t="s">
        <v>8</v>
      </c>
    </row>
    <row r="6329" spans="1:13" s="21" customFormat="1" x14ac:dyDescent="0.25">
      <c r="A6329" s="22" t="s">
        <v>8</v>
      </c>
      <c r="B6329" s="18" t="str">
        <f>"235213"</f>
        <v>235213</v>
      </c>
      <c r="C6329" s="19" t="s">
        <v>6243</v>
      </c>
      <c r="D6329" s="19" t="s">
        <v>21754</v>
      </c>
      <c r="E6329" s="19" t="s">
        <v>33200</v>
      </c>
      <c r="F6329" s="19" t="s">
        <v>35996</v>
      </c>
      <c r="G6329" s="18" t="str">
        <f>"49010"</f>
        <v>49010</v>
      </c>
      <c r="H6329" s="19" t="s">
        <v>33200</v>
      </c>
      <c r="I6329" s="20">
        <v>20.081</v>
      </c>
      <c r="J6329" s="44" t="s">
        <v>8</v>
      </c>
      <c r="K6329" s="23" t="s">
        <v>8</v>
      </c>
      <c r="L6329" s="23" t="s">
        <v>8</v>
      </c>
      <c r="M6329" s="23" t="s">
        <v>8</v>
      </c>
    </row>
    <row r="6330" spans="1:13" s="21" customFormat="1" x14ac:dyDescent="0.25">
      <c r="A6330" s="22" t="s">
        <v>8</v>
      </c>
      <c r="B6330" s="18" t="str">
        <f>"235214"</f>
        <v>235214</v>
      </c>
      <c r="C6330" s="19" t="s">
        <v>6244</v>
      </c>
      <c r="D6330" s="19" t="s">
        <v>21755</v>
      </c>
      <c r="E6330" s="19" t="s">
        <v>33201</v>
      </c>
      <c r="F6330" s="19" t="s">
        <v>35996</v>
      </c>
      <c r="G6330" s="18" t="str">
        <f>"48017"</f>
        <v>48017</v>
      </c>
      <c r="H6330" s="19" t="s">
        <v>31143</v>
      </c>
      <c r="I6330" s="20">
        <v>18.812000000000001</v>
      </c>
      <c r="J6330" s="44" t="s">
        <v>8</v>
      </c>
      <c r="K6330" s="23" t="s">
        <v>8</v>
      </c>
      <c r="L6330" s="23" t="s">
        <v>8</v>
      </c>
      <c r="M6330" s="23" t="s">
        <v>8</v>
      </c>
    </row>
    <row r="6331" spans="1:13" s="21" customFormat="1" x14ac:dyDescent="0.25">
      <c r="A6331" s="22" t="s">
        <v>8</v>
      </c>
      <c r="B6331" s="18" t="str">
        <f>"235217"</f>
        <v>235217</v>
      </c>
      <c r="C6331" s="19" t="s">
        <v>6245</v>
      </c>
      <c r="D6331" s="19" t="s">
        <v>21756</v>
      </c>
      <c r="E6331" s="19" t="s">
        <v>33202</v>
      </c>
      <c r="F6331" s="19" t="s">
        <v>35996</v>
      </c>
      <c r="G6331" s="18" t="str">
        <f>"48304"</f>
        <v>48304</v>
      </c>
      <c r="H6331" s="19" t="s">
        <v>31143</v>
      </c>
      <c r="I6331" s="20">
        <v>19.68</v>
      </c>
      <c r="J6331" s="44" t="s">
        <v>8</v>
      </c>
      <c r="K6331" s="23" t="s">
        <v>8</v>
      </c>
      <c r="L6331" s="23" t="s">
        <v>8</v>
      </c>
      <c r="M6331" s="23" t="s">
        <v>8</v>
      </c>
    </row>
    <row r="6332" spans="1:13" s="21" customFormat="1" x14ac:dyDescent="0.25">
      <c r="A6332" s="22" t="s">
        <v>8</v>
      </c>
      <c r="B6332" s="18" t="str">
        <f>"235223"</f>
        <v>235223</v>
      </c>
      <c r="C6332" s="19" t="s">
        <v>6246</v>
      </c>
      <c r="D6332" s="19" t="s">
        <v>21757</v>
      </c>
      <c r="E6332" s="19" t="s">
        <v>33203</v>
      </c>
      <c r="F6332" s="19" t="s">
        <v>35996</v>
      </c>
      <c r="G6332" s="18" t="str">
        <f>"48105"</f>
        <v>48105</v>
      </c>
      <c r="H6332" s="19" t="s">
        <v>36422</v>
      </c>
      <c r="I6332" s="20">
        <v>18.663</v>
      </c>
      <c r="J6332" s="44" t="s">
        <v>8</v>
      </c>
      <c r="K6332" s="23" t="s">
        <v>8</v>
      </c>
      <c r="L6332" s="23" t="s">
        <v>8</v>
      </c>
      <c r="M6332" s="23" t="s">
        <v>8</v>
      </c>
    </row>
    <row r="6333" spans="1:13" s="21" customFormat="1" x14ac:dyDescent="0.25">
      <c r="A6333" s="22" t="s">
        <v>8</v>
      </c>
      <c r="B6333" s="18" t="str">
        <f>"235224"</f>
        <v>235224</v>
      </c>
      <c r="C6333" s="19" t="s">
        <v>6247</v>
      </c>
      <c r="D6333" s="19" t="s">
        <v>21758</v>
      </c>
      <c r="E6333" s="19" t="s">
        <v>31844</v>
      </c>
      <c r="F6333" s="19" t="s">
        <v>35996</v>
      </c>
      <c r="G6333" s="18" t="str">
        <f>"49221"</f>
        <v>49221</v>
      </c>
      <c r="H6333" s="19" t="s">
        <v>36435</v>
      </c>
      <c r="I6333" s="20">
        <v>13.959</v>
      </c>
      <c r="J6333" s="44" t="s">
        <v>8</v>
      </c>
      <c r="K6333" s="23" t="s">
        <v>8</v>
      </c>
      <c r="L6333" s="23" t="s">
        <v>8</v>
      </c>
      <c r="M6333" s="23" t="s">
        <v>8</v>
      </c>
    </row>
    <row r="6334" spans="1:13" s="21" customFormat="1" x14ac:dyDescent="0.25">
      <c r="A6334" s="22" t="s">
        <v>8</v>
      </c>
      <c r="B6334" s="18" t="str">
        <f>"235225"</f>
        <v>235225</v>
      </c>
      <c r="C6334" s="19" t="s">
        <v>6248</v>
      </c>
      <c r="D6334" s="19" t="s">
        <v>21759</v>
      </c>
      <c r="E6334" s="19" t="s">
        <v>31711</v>
      </c>
      <c r="F6334" s="19" t="s">
        <v>35996</v>
      </c>
      <c r="G6334" s="18" t="str">
        <f>"48162"</f>
        <v>48162</v>
      </c>
      <c r="H6334" s="19" t="s">
        <v>31711</v>
      </c>
      <c r="I6334" s="20">
        <v>21.803999999999998</v>
      </c>
      <c r="J6334" s="44" t="s">
        <v>8</v>
      </c>
      <c r="K6334" s="23" t="s">
        <v>8</v>
      </c>
      <c r="L6334" s="23" t="s">
        <v>8</v>
      </c>
      <c r="M6334" s="23" t="s">
        <v>8</v>
      </c>
    </row>
    <row r="6335" spans="1:13" s="21" customFormat="1" x14ac:dyDescent="0.25">
      <c r="A6335" s="22" t="s">
        <v>8</v>
      </c>
      <c r="B6335" s="18" t="str">
        <f>"235226"</f>
        <v>235226</v>
      </c>
      <c r="C6335" s="19" t="s">
        <v>6249</v>
      </c>
      <c r="D6335" s="19" t="s">
        <v>21760</v>
      </c>
      <c r="E6335" s="19" t="s">
        <v>33189</v>
      </c>
      <c r="F6335" s="19" t="s">
        <v>35996</v>
      </c>
      <c r="G6335" s="18" t="str">
        <f>"48439"</f>
        <v>48439</v>
      </c>
      <c r="H6335" s="19" t="s">
        <v>36432</v>
      </c>
      <c r="I6335" s="20">
        <v>23.614999999999998</v>
      </c>
      <c r="J6335" s="44" t="s">
        <v>8</v>
      </c>
      <c r="K6335" s="23" t="s">
        <v>8</v>
      </c>
      <c r="L6335" s="23" t="s">
        <v>8</v>
      </c>
      <c r="M6335" s="23" t="s">
        <v>8</v>
      </c>
    </row>
    <row r="6336" spans="1:13" s="21" customFormat="1" x14ac:dyDescent="0.25">
      <c r="A6336" s="22" t="s">
        <v>8</v>
      </c>
      <c r="B6336" s="18" t="str">
        <f>"235228"</f>
        <v>235228</v>
      </c>
      <c r="C6336" s="19" t="s">
        <v>6250</v>
      </c>
      <c r="D6336" s="19" t="s">
        <v>21761</v>
      </c>
      <c r="E6336" s="19" t="s">
        <v>33204</v>
      </c>
      <c r="F6336" s="19" t="s">
        <v>35996</v>
      </c>
      <c r="G6336" s="18" t="str">
        <f>"48185"</f>
        <v>48185</v>
      </c>
      <c r="H6336" s="19" t="s">
        <v>33280</v>
      </c>
      <c r="I6336" s="20">
        <v>21.143000000000001</v>
      </c>
      <c r="J6336" s="44" t="s">
        <v>8</v>
      </c>
      <c r="K6336" s="23" t="s">
        <v>8</v>
      </c>
      <c r="L6336" s="23" t="s">
        <v>8</v>
      </c>
      <c r="M6336" s="23" t="s">
        <v>8</v>
      </c>
    </row>
    <row r="6337" spans="1:13" s="21" customFormat="1" x14ac:dyDescent="0.25">
      <c r="A6337" s="22" t="s">
        <v>8</v>
      </c>
      <c r="B6337" s="18" t="str">
        <f>"235232"</f>
        <v>235232</v>
      </c>
      <c r="C6337" s="19" t="s">
        <v>6251</v>
      </c>
      <c r="D6337" s="19" t="s">
        <v>21762</v>
      </c>
      <c r="E6337" s="19" t="s">
        <v>31711</v>
      </c>
      <c r="F6337" s="19" t="s">
        <v>35996</v>
      </c>
      <c r="G6337" s="18" t="str">
        <f>"48162"</f>
        <v>48162</v>
      </c>
      <c r="H6337" s="19" t="s">
        <v>31711</v>
      </c>
      <c r="I6337" s="20">
        <v>21.783999999999999</v>
      </c>
      <c r="J6337" s="44" t="s">
        <v>8</v>
      </c>
      <c r="K6337" s="23" t="s">
        <v>8</v>
      </c>
      <c r="L6337" s="23" t="s">
        <v>8</v>
      </c>
      <c r="M6337" s="23" t="s">
        <v>8</v>
      </c>
    </row>
    <row r="6338" spans="1:13" s="21" customFormat="1" x14ac:dyDescent="0.25">
      <c r="A6338" s="22" t="s">
        <v>8</v>
      </c>
      <c r="B6338" s="18" t="str">
        <f>"235234"</f>
        <v>235234</v>
      </c>
      <c r="C6338" s="19" t="s">
        <v>6252</v>
      </c>
      <c r="D6338" s="19" t="s">
        <v>21763</v>
      </c>
      <c r="E6338" s="19" t="s">
        <v>33180</v>
      </c>
      <c r="F6338" s="19" t="s">
        <v>35996</v>
      </c>
      <c r="G6338" s="18" t="str">
        <f>"48204"</f>
        <v>48204</v>
      </c>
      <c r="H6338" s="19" t="s">
        <v>33280</v>
      </c>
      <c r="I6338" s="20">
        <v>19.841999999999999</v>
      </c>
      <c r="J6338" s="44" t="s">
        <v>8</v>
      </c>
      <c r="K6338" s="23" t="s">
        <v>8</v>
      </c>
      <c r="L6338" s="23" t="s">
        <v>8</v>
      </c>
      <c r="M6338" s="23" t="s">
        <v>8</v>
      </c>
    </row>
    <row r="6339" spans="1:13" s="21" customFormat="1" x14ac:dyDescent="0.25">
      <c r="A6339" s="22" t="s">
        <v>8</v>
      </c>
      <c r="B6339" s="18" t="str">
        <f>"235236"</f>
        <v>235236</v>
      </c>
      <c r="C6339" s="19" t="s">
        <v>6253</v>
      </c>
      <c r="D6339" s="19" t="s">
        <v>21764</v>
      </c>
      <c r="E6339" s="19" t="s">
        <v>33205</v>
      </c>
      <c r="F6339" s="19" t="s">
        <v>35996</v>
      </c>
      <c r="G6339" s="18" t="str">
        <f>"48823"</f>
        <v>48823</v>
      </c>
      <c r="H6339" s="19" t="s">
        <v>36420</v>
      </c>
      <c r="I6339" s="20">
        <v>16.539000000000001</v>
      </c>
      <c r="J6339" s="44" t="s">
        <v>8</v>
      </c>
      <c r="K6339" s="23" t="s">
        <v>8</v>
      </c>
      <c r="L6339" s="23" t="s">
        <v>8</v>
      </c>
      <c r="M6339" s="23" t="s">
        <v>8</v>
      </c>
    </row>
    <row r="6340" spans="1:13" s="21" customFormat="1" x14ac:dyDescent="0.25">
      <c r="A6340" s="22" t="s">
        <v>8</v>
      </c>
      <c r="B6340" s="18" t="str">
        <f>"235237"</f>
        <v>235237</v>
      </c>
      <c r="C6340" s="19" t="s">
        <v>6254</v>
      </c>
      <c r="D6340" s="19" t="s">
        <v>21765</v>
      </c>
      <c r="E6340" s="19" t="s">
        <v>32443</v>
      </c>
      <c r="F6340" s="19" t="s">
        <v>35996</v>
      </c>
      <c r="G6340" s="18" t="str">
        <f>"49014"</f>
        <v>49014</v>
      </c>
      <c r="H6340" s="19" t="s">
        <v>31743</v>
      </c>
      <c r="I6340" s="20">
        <v>19.920000000000002</v>
      </c>
      <c r="J6340" s="44" t="s">
        <v>8</v>
      </c>
      <c r="K6340" s="23" t="s">
        <v>8</v>
      </c>
      <c r="L6340" s="23" t="s">
        <v>8</v>
      </c>
      <c r="M6340" s="23" t="s">
        <v>8</v>
      </c>
    </row>
    <row r="6341" spans="1:13" s="21" customFormat="1" x14ac:dyDescent="0.25">
      <c r="A6341" s="22" t="s">
        <v>8</v>
      </c>
      <c r="B6341" s="18" t="str">
        <f>"235238"</f>
        <v>235238</v>
      </c>
      <c r="C6341" s="19" t="s">
        <v>6255</v>
      </c>
      <c r="D6341" s="19" t="s">
        <v>21766</v>
      </c>
      <c r="E6341" s="19" t="s">
        <v>33206</v>
      </c>
      <c r="F6341" s="19" t="s">
        <v>35996</v>
      </c>
      <c r="G6341" s="18" t="str">
        <f>"48176"</f>
        <v>48176</v>
      </c>
      <c r="H6341" s="19" t="s">
        <v>36422</v>
      </c>
      <c r="I6341" s="20">
        <v>18.968</v>
      </c>
      <c r="J6341" s="44" t="s">
        <v>8</v>
      </c>
      <c r="K6341" s="23" t="s">
        <v>8</v>
      </c>
      <c r="L6341" s="23" t="s">
        <v>8</v>
      </c>
      <c r="M6341" s="23" t="s">
        <v>8</v>
      </c>
    </row>
    <row r="6342" spans="1:13" s="21" customFormat="1" x14ac:dyDescent="0.25">
      <c r="A6342" s="22" t="s">
        <v>8</v>
      </c>
      <c r="B6342" s="18" t="str">
        <f>"235242"</f>
        <v>235242</v>
      </c>
      <c r="C6342" s="19" t="s">
        <v>6256</v>
      </c>
      <c r="D6342" s="19" t="s">
        <v>21767</v>
      </c>
      <c r="E6342" s="19" t="s">
        <v>33180</v>
      </c>
      <c r="F6342" s="19" t="s">
        <v>35996</v>
      </c>
      <c r="G6342" s="18" t="str">
        <f>"48207"</f>
        <v>48207</v>
      </c>
      <c r="H6342" s="19" t="s">
        <v>33280</v>
      </c>
      <c r="I6342" s="20">
        <v>18.120999999999999</v>
      </c>
      <c r="J6342" s="44" t="s">
        <v>8</v>
      </c>
      <c r="K6342" s="23" t="s">
        <v>8</v>
      </c>
      <c r="L6342" s="23" t="s">
        <v>8</v>
      </c>
      <c r="M6342" s="23" t="s">
        <v>8</v>
      </c>
    </row>
    <row r="6343" spans="1:13" s="21" customFormat="1" x14ac:dyDescent="0.25">
      <c r="A6343" s="22" t="s">
        <v>8</v>
      </c>
      <c r="B6343" s="18" t="str">
        <f>"235243"</f>
        <v>235243</v>
      </c>
      <c r="C6343" s="19" t="s">
        <v>6257</v>
      </c>
      <c r="D6343" s="19" t="s">
        <v>21768</v>
      </c>
      <c r="E6343" s="19" t="s">
        <v>33177</v>
      </c>
      <c r="F6343" s="19" t="s">
        <v>35996</v>
      </c>
      <c r="G6343" s="18" t="str">
        <f>"49686"</f>
        <v>49686</v>
      </c>
      <c r="H6343" s="19" t="s">
        <v>36431</v>
      </c>
      <c r="I6343" s="20">
        <v>16.402999999999999</v>
      </c>
      <c r="J6343" s="44" t="s">
        <v>8</v>
      </c>
      <c r="K6343" s="23" t="s">
        <v>8</v>
      </c>
      <c r="L6343" s="23" t="s">
        <v>8</v>
      </c>
      <c r="M6343" s="23" t="s">
        <v>8</v>
      </c>
    </row>
    <row r="6344" spans="1:13" s="21" customFormat="1" x14ac:dyDescent="0.25">
      <c r="A6344" s="22" t="s">
        <v>8</v>
      </c>
      <c r="B6344" s="18" t="str">
        <f>"235244"</f>
        <v>235244</v>
      </c>
      <c r="C6344" s="19" t="s">
        <v>6258</v>
      </c>
      <c r="D6344" s="19" t="s">
        <v>21769</v>
      </c>
      <c r="E6344" s="19" t="s">
        <v>33191</v>
      </c>
      <c r="F6344" s="19" t="s">
        <v>35996</v>
      </c>
      <c r="G6344" s="18" t="str">
        <f>"49829"</f>
        <v>49829</v>
      </c>
      <c r="H6344" s="19" t="s">
        <v>31363</v>
      </c>
      <c r="I6344" s="20">
        <v>19.518999999999998</v>
      </c>
      <c r="J6344" s="44" t="s">
        <v>8</v>
      </c>
      <c r="K6344" s="23" t="s">
        <v>8</v>
      </c>
      <c r="L6344" s="23" t="s">
        <v>8</v>
      </c>
      <c r="M6344" s="23" t="s">
        <v>8</v>
      </c>
    </row>
    <row r="6345" spans="1:13" s="21" customFormat="1" x14ac:dyDescent="0.25">
      <c r="A6345" s="22" t="s">
        <v>8</v>
      </c>
      <c r="B6345" s="18" t="str">
        <f>"235245"</f>
        <v>235245</v>
      </c>
      <c r="C6345" s="19" t="s">
        <v>6259</v>
      </c>
      <c r="D6345" s="19" t="s">
        <v>21770</v>
      </c>
      <c r="E6345" s="19" t="s">
        <v>33207</v>
      </c>
      <c r="F6345" s="19" t="s">
        <v>35996</v>
      </c>
      <c r="G6345" s="18" t="str">
        <f>"48642"</f>
        <v>48642</v>
      </c>
      <c r="H6345" s="19" t="s">
        <v>33207</v>
      </c>
      <c r="I6345" s="20">
        <v>17.09</v>
      </c>
      <c r="J6345" s="44" t="s">
        <v>8</v>
      </c>
      <c r="K6345" s="23" t="s">
        <v>8</v>
      </c>
      <c r="L6345" s="23" t="s">
        <v>8</v>
      </c>
      <c r="M6345" s="23" t="s">
        <v>8</v>
      </c>
    </row>
    <row r="6346" spans="1:13" s="21" customFormat="1" x14ac:dyDescent="0.25">
      <c r="A6346" s="22" t="s">
        <v>8</v>
      </c>
      <c r="B6346" s="18" t="str">
        <f>"235248"</f>
        <v>235248</v>
      </c>
      <c r="C6346" s="19" t="s">
        <v>6260</v>
      </c>
      <c r="D6346" s="19" t="s">
        <v>21771</v>
      </c>
      <c r="E6346" s="19" t="s">
        <v>33165</v>
      </c>
      <c r="F6346" s="19" t="s">
        <v>35996</v>
      </c>
      <c r="G6346" s="18" t="str">
        <f>"49006"</f>
        <v>49006</v>
      </c>
      <c r="H6346" s="19" t="s">
        <v>33165</v>
      </c>
      <c r="I6346" s="20">
        <v>18.478999999999999</v>
      </c>
      <c r="J6346" s="44" t="s">
        <v>8</v>
      </c>
      <c r="K6346" s="23" t="s">
        <v>8</v>
      </c>
      <c r="L6346" s="23" t="s">
        <v>8</v>
      </c>
      <c r="M6346" s="23" t="s">
        <v>8</v>
      </c>
    </row>
    <row r="6347" spans="1:13" s="21" customFormat="1" x14ac:dyDescent="0.25">
      <c r="A6347" s="22" t="s">
        <v>8</v>
      </c>
      <c r="B6347" s="18" t="str">
        <f>"235249"</f>
        <v>235249</v>
      </c>
      <c r="C6347" s="19" t="s">
        <v>6261</v>
      </c>
      <c r="D6347" s="19" t="s">
        <v>21772</v>
      </c>
      <c r="E6347" s="19" t="s">
        <v>33167</v>
      </c>
      <c r="F6347" s="19" t="s">
        <v>35996</v>
      </c>
      <c r="G6347" s="18" t="str">
        <f>"48609"</f>
        <v>48609</v>
      </c>
      <c r="H6347" s="19" t="s">
        <v>33167</v>
      </c>
      <c r="I6347" s="20">
        <v>19.710999999999999</v>
      </c>
      <c r="J6347" s="44" t="s">
        <v>8</v>
      </c>
      <c r="K6347" s="23" t="s">
        <v>8</v>
      </c>
      <c r="L6347" s="23" t="s">
        <v>8</v>
      </c>
      <c r="M6347" s="23" t="s">
        <v>8</v>
      </c>
    </row>
    <row r="6348" spans="1:13" s="21" customFormat="1" x14ac:dyDescent="0.25">
      <c r="A6348" s="22" t="s">
        <v>8</v>
      </c>
      <c r="B6348" s="18" t="str">
        <f>"235250"</f>
        <v>235250</v>
      </c>
      <c r="C6348" s="19" t="s">
        <v>6262</v>
      </c>
      <c r="D6348" s="19" t="s">
        <v>21773</v>
      </c>
      <c r="E6348" s="19" t="s">
        <v>33167</v>
      </c>
      <c r="F6348" s="19" t="s">
        <v>35996</v>
      </c>
      <c r="G6348" s="18" t="str">
        <f>"48602"</f>
        <v>48602</v>
      </c>
      <c r="H6348" s="19" t="s">
        <v>33167</v>
      </c>
      <c r="I6348" s="20">
        <v>18.942</v>
      </c>
      <c r="J6348" s="44" t="s">
        <v>8</v>
      </c>
      <c r="K6348" s="23" t="s">
        <v>8</v>
      </c>
      <c r="L6348" s="23" t="s">
        <v>8</v>
      </c>
      <c r="M6348" s="23" t="s">
        <v>8</v>
      </c>
    </row>
    <row r="6349" spans="1:13" s="21" customFormat="1" x14ac:dyDescent="0.25">
      <c r="A6349" s="22" t="s">
        <v>8</v>
      </c>
      <c r="B6349" s="18" t="str">
        <f>"235252"</f>
        <v>235252</v>
      </c>
      <c r="C6349" s="19" t="s">
        <v>6263</v>
      </c>
      <c r="D6349" s="19" t="s">
        <v>21774</v>
      </c>
      <c r="E6349" s="19" t="s">
        <v>31415</v>
      </c>
      <c r="F6349" s="19" t="s">
        <v>35996</v>
      </c>
      <c r="G6349" s="18" t="str">
        <f>"48328"</f>
        <v>48328</v>
      </c>
      <c r="H6349" s="19" t="s">
        <v>31143</v>
      </c>
      <c r="I6349" s="20">
        <v>17.849</v>
      </c>
      <c r="J6349" s="44" t="s">
        <v>8</v>
      </c>
      <c r="K6349" s="23" t="s">
        <v>8</v>
      </c>
      <c r="L6349" s="23" t="s">
        <v>8</v>
      </c>
      <c r="M6349" s="23" t="s">
        <v>8</v>
      </c>
    </row>
    <row r="6350" spans="1:13" s="21" customFormat="1" x14ac:dyDescent="0.25">
      <c r="A6350" s="22" t="s">
        <v>8</v>
      </c>
      <c r="B6350" s="18" t="str">
        <f>"235253"</f>
        <v>235253</v>
      </c>
      <c r="C6350" s="19" t="s">
        <v>6264</v>
      </c>
      <c r="D6350" s="19" t="s">
        <v>21775</v>
      </c>
      <c r="E6350" s="19" t="s">
        <v>32273</v>
      </c>
      <c r="F6350" s="19" t="s">
        <v>35996</v>
      </c>
      <c r="G6350" s="18" t="str">
        <f>"49331"</f>
        <v>49331</v>
      </c>
      <c r="H6350" s="19" t="s">
        <v>31478</v>
      </c>
      <c r="I6350" s="20">
        <v>19.533000000000001</v>
      </c>
      <c r="J6350" s="44" t="s">
        <v>8</v>
      </c>
      <c r="K6350" s="23" t="s">
        <v>8</v>
      </c>
      <c r="L6350" s="23" t="s">
        <v>8</v>
      </c>
      <c r="M6350" s="23" t="s">
        <v>8</v>
      </c>
    </row>
    <row r="6351" spans="1:13" s="21" customFormat="1" x14ac:dyDescent="0.25">
      <c r="A6351" s="22" t="s">
        <v>8</v>
      </c>
      <c r="B6351" s="18" t="str">
        <f>"235254"</f>
        <v>235254</v>
      </c>
      <c r="C6351" s="19" t="s">
        <v>6265</v>
      </c>
      <c r="D6351" s="19" t="s">
        <v>21776</v>
      </c>
      <c r="E6351" s="19" t="s">
        <v>30816</v>
      </c>
      <c r="F6351" s="19" t="s">
        <v>35996</v>
      </c>
      <c r="G6351" s="18" t="str">
        <f>"49202"</f>
        <v>49202</v>
      </c>
      <c r="H6351" s="19" t="s">
        <v>30816</v>
      </c>
      <c r="I6351" s="20">
        <v>22.475999999999999</v>
      </c>
      <c r="J6351" s="44" t="s">
        <v>8</v>
      </c>
      <c r="K6351" s="23" t="s">
        <v>8</v>
      </c>
      <c r="L6351" s="23" t="s">
        <v>8</v>
      </c>
      <c r="M6351" s="23" t="s">
        <v>8</v>
      </c>
    </row>
    <row r="6352" spans="1:13" s="21" customFormat="1" x14ac:dyDescent="0.25">
      <c r="A6352" s="22" t="s">
        <v>8</v>
      </c>
      <c r="B6352" s="18" t="str">
        <f>"235256"</f>
        <v>235256</v>
      </c>
      <c r="C6352" s="19" t="s">
        <v>6266</v>
      </c>
      <c r="D6352" s="19" t="s">
        <v>21777</v>
      </c>
      <c r="E6352" s="19" t="s">
        <v>33208</v>
      </c>
      <c r="F6352" s="19" t="s">
        <v>35996</v>
      </c>
      <c r="G6352" s="18" t="str">
        <f>"48821"</f>
        <v>48821</v>
      </c>
      <c r="H6352" s="19" t="s">
        <v>34485</v>
      </c>
      <c r="I6352" s="20">
        <v>20.175999999999998</v>
      </c>
      <c r="J6352" s="44" t="s">
        <v>8</v>
      </c>
      <c r="K6352" s="23" t="s">
        <v>8</v>
      </c>
      <c r="L6352" s="23" t="s">
        <v>8</v>
      </c>
      <c r="M6352" s="23" t="s">
        <v>8</v>
      </c>
    </row>
    <row r="6353" spans="1:13" s="21" customFormat="1" x14ac:dyDescent="0.25">
      <c r="A6353" s="22" t="s">
        <v>8</v>
      </c>
      <c r="B6353" s="18" t="str">
        <f>"235257"</f>
        <v>235257</v>
      </c>
      <c r="C6353" s="19" t="s">
        <v>6267</v>
      </c>
      <c r="D6353" s="19" t="s">
        <v>21778</v>
      </c>
      <c r="E6353" s="19" t="s">
        <v>33209</v>
      </c>
      <c r="F6353" s="19" t="s">
        <v>35996</v>
      </c>
      <c r="G6353" s="18" t="str">
        <f>"49920"</f>
        <v>49920</v>
      </c>
      <c r="H6353" s="19" t="s">
        <v>36438</v>
      </c>
      <c r="I6353" s="20">
        <v>17.588999999999999</v>
      </c>
      <c r="J6353" s="44" t="s">
        <v>8</v>
      </c>
      <c r="K6353" s="23" t="s">
        <v>8</v>
      </c>
      <c r="L6353" s="23" t="s">
        <v>8</v>
      </c>
      <c r="M6353" s="23" t="s">
        <v>8</v>
      </c>
    </row>
    <row r="6354" spans="1:13" s="21" customFormat="1" x14ac:dyDescent="0.25">
      <c r="A6354" s="22" t="s">
        <v>8</v>
      </c>
      <c r="B6354" s="18" t="str">
        <f>"235259"</f>
        <v>235259</v>
      </c>
      <c r="C6354" s="19" t="s">
        <v>6268</v>
      </c>
      <c r="D6354" s="19" t="s">
        <v>21779</v>
      </c>
      <c r="E6354" s="19" t="s">
        <v>31025</v>
      </c>
      <c r="F6354" s="19" t="s">
        <v>35996</v>
      </c>
      <c r="G6354" s="18" t="str">
        <f>"48089"</f>
        <v>48089</v>
      </c>
      <c r="H6354" s="19" t="s">
        <v>31911</v>
      </c>
      <c r="I6354" s="20">
        <v>21.288</v>
      </c>
      <c r="J6354" s="44" t="s">
        <v>8</v>
      </c>
      <c r="K6354" s="23" t="s">
        <v>8</v>
      </c>
      <c r="L6354" s="23" t="s">
        <v>8</v>
      </c>
      <c r="M6354" s="23" t="s">
        <v>8</v>
      </c>
    </row>
    <row r="6355" spans="1:13" s="21" customFormat="1" x14ac:dyDescent="0.25">
      <c r="A6355" s="22" t="s">
        <v>8</v>
      </c>
      <c r="B6355" s="18" t="str">
        <f>"235260"</f>
        <v>235260</v>
      </c>
      <c r="C6355" s="19" t="s">
        <v>6269</v>
      </c>
      <c r="D6355" s="19" t="s">
        <v>21780</v>
      </c>
      <c r="E6355" s="19" t="s">
        <v>31415</v>
      </c>
      <c r="F6355" s="19" t="s">
        <v>35996</v>
      </c>
      <c r="G6355" s="18" t="str">
        <f>"48328"</f>
        <v>48328</v>
      </c>
      <c r="H6355" s="19" t="s">
        <v>31143</v>
      </c>
      <c r="I6355" s="20">
        <v>19.440000000000001</v>
      </c>
      <c r="J6355" s="44" t="s">
        <v>8</v>
      </c>
      <c r="K6355" s="23" t="s">
        <v>8</v>
      </c>
      <c r="L6355" s="23" t="s">
        <v>8</v>
      </c>
      <c r="M6355" s="23" t="s">
        <v>8</v>
      </c>
    </row>
    <row r="6356" spans="1:13" s="21" customFormat="1" x14ac:dyDescent="0.25">
      <c r="A6356" s="22" t="s">
        <v>8</v>
      </c>
      <c r="B6356" s="18" t="str">
        <f>"235261"</f>
        <v>235261</v>
      </c>
      <c r="C6356" s="19" t="s">
        <v>6270</v>
      </c>
      <c r="D6356" s="19" t="s">
        <v>21781</v>
      </c>
      <c r="E6356" s="19" t="s">
        <v>33160</v>
      </c>
      <c r="F6356" s="19" t="s">
        <v>35996</v>
      </c>
      <c r="G6356" s="18" t="str">
        <f>"49505"</f>
        <v>49505</v>
      </c>
      <c r="H6356" s="19" t="s">
        <v>31478</v>
      </c>
      <c r="I6356" s="20">
        <v>18.469000000000001</v>
      </c>
      <c r="J6356" s="44" t="s">
        <v>8</v>
      </c>
      <c r="K6356" s="23" t="s">
        <v>8</v>
      </c>
      <c r="L6356" s="23" t="s">
        <v>8</v>
      </c>
      <c r="M6356" s="23" t="s">
        <v>8</v>
      </c>
    </row>
    <row r="6357" spans="1:13" s="21" customFormat="1" x14ac:dyDescent="0.25">
      <c r="A6357" s="22" t="s">
        <v>8</v>
      </c>
      <c r="B6357" s="18" t="str">
        <f>"235262"</f>
        <v>235262</v>
      </c>
      <c r="C6357" s="19" t="s">
        <v>6271</v>
      </c>
      <c r="D6357" s="19" t="s">
        <v>21782</v>
      </c>
      <c r="E6357" s="19" t="s">
        <v>31405</v>
      </c>
      <c r="F6357" s="19" t="s">
        <v>35996</v>
      </c>
      <c r="G6357" s="18" t="str">
        <f>"48380"</f>
        <v>48380</v>
      </c>
      <c r="H6357" s="19" t="s">
        <v>31143</v>
      </c>
      <c r="I6357" s="20">
        <v>16.274000000000001</v>
      </c>
      <c r="J6357" s="44" t="s">
        <v>8</v>
      </c>
      <c r="K6357" s="23" t="s">
        <v>8</v>
      </c>
      <c r="L6357" s="23" t="s">
        <v>8</v>
      </c>
      <c r="M6357" s="23" t="s">
        <v>8</v>
      </c>
    </row>
    <row r="6358" spans="1:13" s="21" customFormat="1" x14ac:dyDescent="0.25">
      <c r="A6358" s="22" t="s">
        <v>8</v>
      </c>
      <c r="B6358" s="18" t="str">
        <f>"235263"</f>
        <v>235263</v>
      </c>
      <c r="C6358" s="19" t="s">
        <v>6272</v>
      </c>
      <c r="D6358" s="19" t="s">
        <v>21783</v>
      </c>
      <c r="E6358" s="19" t="s">
        <v>33210</v>
      </c>
      <c r="F6358" s="19" t="s">
        <v>35996</v>
      </c>
      <c r="G6358" s="18" t="str">
        <f>"48312"</f>
        <v>48312</v>
      </c>
      <c r="H6358" s="19" t="s">
        <v>31911</v>
      </c>
      <c r="I6358" s="20">
        <v>20.675999999999998</v>
      </c>
      <c r="J6358" s="44" t="s">
        <v>8</v>
      </c>
      <c r="K6358" s="23" t="s">
        <v>8</v>
      </c>
      <c r="L6358" s="23" t="s">
        <v>8</v>
      </c>
      <c r="M6358" s="23" t="s">
        <v>8</v>
      </c>
    </row>
    <row r="6359" spans="1:13" s="21" customFormat="1" x14ac:dyDescent="0.25">
      <c r="A6359" s="22" t="s">
        <v>8</v>
      </c>
      <c r="B6359" s="18" t="str">
        <f>"235264"</f>
        <v>235264</v>
      </c>
      <c r="C6359" s="19" t="s">
        <v>6273</v>
      </c>
      <c r="D6359" s="19" t="s">
        <v>21784</v>
      </c>
      <c r="E6359" s="19" t="s">
        <v>33200</v>
      </c>
      <c r="F6359" s="19" t="s">
        <v>35996</v>
      </c>
      <c r="G6359" s="18" t="str">
        <f>"49010"</f>
        <v>49010</v>
      </c>
      <c r="H6359" s="19" t="s">
        <v>33200</v>
      </c>
      <c r="I6359" s="20">
        <v>17.475000000000001</v>
      </c>
      <c r="J6359" s="44" t="s">
        <v>8</v>
      </c>
      <c r="K6359" s="23" t="s">
        <v>8</v>
      </c>
      <c r="L6359" s="23" t="s">
        <v>8</v>
      </c>
      <c r="M6359" s="23" t="s">
        <v>8</v>
      </c>
    </row>
    <row r="6360" spans="1:13" s="21" customFormat="1" x14ac:dyDescent="0.25">
      <c r="A6360" s="22" t="s">
        <v>8</v>
      </c>
      <c r="B6360" s="18" t="str">
        <f>"235266"</f>
        <v>235266</v>
      </c>
      <c r="C6360" s="19" t="s">
        <v>6274</v>
      </c>
      <c r="D6360" s="19" t="s">
        <v>21785</v>
      </c>
      <c r="E6360" s="19" t="s">
        <v>33211</v>
      </c>
      <c r="F6360" s="19" t="s">
        <v>35996</v>
      </c>
      <c r="G6360" s="18" t="str">
        <f>"48195"</f>
        <v>48195</v>
      </c>
      <c r="H6360" s="19" t="s">
        <v>33280</v>
      </c>
      <c r="I6360" s="20">
        <v>17.905000000000001</v>
      </c>
      <c r="J6360" s="44" t="s">
        <v>8</v>
      </c>
      <c r="K6360" s="23" t="s">
        <v>8</v>
      </c>
      <c r="L6360" s="23" t="s">
        <v>8</v>
      </c>
      <c r="M6360" s="23" t="s">
        <v>8</v>
      </c>
    </row>
    <row r="6361" spans="1:13" s="21" customFormat="1" x14ac:dyDescent="0.25">
      <c r="A6361" s="22" t="s">
        <v>8</v>
      </c>
      <c r="B6361" s="18" t="str">
        <f>"235267"</f>
        <v>235267</v>
      </c>
      <c r="C6361" s="19" t="s">
        <v>1937</v>
      </c>
      <c r="D6361" s="19" t="s">
        <v>21786</v>
      </c>
      <c r="E6361" s="19" t="s">
        <v>33212</v>
      </c>
      <c r="F6361" s="19" t="s">
        <v>35996</v>
      </c>
      <c r="G6361" s="18" t="str">
        <f>"49801"</f>
        <v>49801</v>
      </c>
      <c r="H6361" s="19" t="s">
        <v>34382</v>
      </c>
      <c r="I6361" s="20">
        <v>15.689</v>
      </c>
      <c r="J6361" s="44" t="s">
        <v>8</v>
      </c>
      <c r="K6361" s="23" t="s">
        <v>8</v>
      </c>
      <c r="L6361" s="23" t="s">
        <v>8</v>
      </c>
      <c r="M6361" s="23" t="s">
        <v>8</v>
      </c>
    </row>
    <row r="6362" spans="1:13" s="21" customFormat="1" x14ac:dyDescent="0.25">
      <c r="A6362" s="22" t="s">
        <v>8</v>
      </c>
      <c r="B6362" s="18" t="str">
        <f>"235269"</f>
        <v>235269</v>
      </c>
      <c r="C6362" s="19" t="s">
        <v>6275</v>
      </c>
      <c r="D6362" s="19" t="s">
        <v>21787</v>
      </c>
      <c r="E6362" s="19" t="s">
        <v>33190</v>
      </c>
      <c r="F6362" s="19" t="s">
        <v>35996</v>
      </c>
      <c r="G6362" s="18" t="str">
        <f>"48734"</f>
        <v>48734</v>
      </c>
      <c r="H6362" s="19" t="s">
        <v>33167</v>
      </c>
      <c r="I6362" s="20">
        <v>19.963000000000001</v>
      </c>
      <c r="J6362" s="44" t="s">
        <v>8</v>
      </c>
      <c r="K6362" s="23" t="s">
        <v>8</v>
      </c>
      <c r="L6362" s="23" t="s">
        <v>8</v>
      </c>
      <c r="M6362" s="23" t="s">
        <v>8</v>
      </c>
    </row>
    <row r="6363" spans="1:13" s="21" customFormat="1" x14ac:dyDescent="0.25">
      <c r="A6363" s="22" t="s">
        <v>8</v>
      </c>
      <c r="B6363" s="18" t="str">
        <f>"235270"</f>
        <v>235270</v>
      </c>
      <c r="C6363" s="19" t="s">
        <v>6276</v>
      </c>
      <c r="D6363" s="19" t="s">
        <v>21788</v>
      </c>
      <c r="E6363" s="19" t="s">
        <v>33213</v>
      </c>
      <c r="F6363" s="19" t="s">
        <v>35996</v>
      </c>
      <c r="G6363" s="18" t="str">
        <f>"49090"</f>
        <v>49090</v>
      </c>
      <c r="H6363" s="19" t="s">
        <v>30993</v>
      </c>
      <c r="I6363" s="20">
        <v>18.218</v>
      </c>
      <c r="J6363" s="44" t="s">
        <v>8</v>
      </c>
      <c r="K6363" s="23" t="s">
        <v>8</v>
      </c>
      <c r="L6363" s="23" t="s">
        <v>8</v>
      </c>
      <c r="M6363" s="23" t="s">
        <v>8</v>
      </c>
    </row>
    <row r="6364" spans="1:13" s="21" customFormat="1" x14ac:dyDescent="0.25">
      <c r="A6364" s="22" t="s">
        <v>8</v>
      </c>
      <c r="B6364" s="18" t="str">
        <f>"235274"</f>
        <v>235274</v>
      </c>
      <c r="C6364" s="19" t="s">
        <v>6277</v>
      </c>
      <c r="D6364" s="19" t="s">
        <v>21789</v>
      </c>
      <c r="E6364" s="19" t="s">
        <v>31711</v>
      </c>
      <c r="F6364" s="19" t="s">
        <v>35996</v>
      </c>
      <c r="G6364" s="18" t="str">
        <f>"48161"</f>
        <v>48161</v>
      </c>
      <c r="H6364" s="19" t="s">
        <v>31711</v>
      </c>
      <c r="I6364" s="20">
        <v>19.646999999999998</v>
      </c>
      <c r="J6364" s="44" t="s">
        <v>8</v>
      </c>
      <c r="K6364" s="23" t="s">
        <v>8</v>
      </c>
      <c r="L6364" s="23" t="s">
        <v>8</v>
      </c>
      <c r="M6364" s="23" t="s">
        <v>8</v>
      </c>
    </row>
    <row r="6365" spans="1:13" s="21" customFormat="1" x14ac:dyDescent="0.25">
      <c r="A6365" s="22" t="s">
        <v>8</v>
      </c>
      <c r="B6365" s="18" t="str">
        <f>"235279"</f>
        <v>235279</v>
      </c>
      <c r="C6365" s="19" t="s">
        <v>6278</v>
      </c>
      <c r="D6365" s="19" t="s">
        <v>21790</v>
      </c>
      <c r="E6365" s="19" t="s">
        <v>33214</v>
      </c>
      <c r="F6365" s="19" t="s">
        <v>35996</v>
      </c>
      <c r="G6365" s="18" t="str">
        <f>"48842"</f>
        <v>48842</v>
      </c>
      <c r="H6365" s="19" t="s">
        <v>36420</v>
      </c>
      <c r="I6365" s="20">
        <v>14.587</v>
      </c>
      <c r="J6365" s="44" t="s">
        <v>8</v>
      </c>
      <c r="K6365" s="23" t="s">
        <v>8</v>
      </c>
      <c r="L6365" s="23" t="s">
        <v>8</v>
      </c>
      <c r="M6365" s="23" t="s">
        <v>8</v>
      </c>
    </row>
    <row r="6366" spans="1:13" s="21" customFormat="1" x14ac:dyDescent="0.25">
      <c r="A6366" s="22" t="s">
        <v>8</v>
      </c>
      <c r="B6366" s="18" t="str">
        <f>"235280"</f>
        <v>235280</v>
      </c>
      <c r="C6366" s="19" t="s">
        <v>6279</v>
      </c>
      <c r="D6366" s="19" t="s">
        <v>21791</v>
      </c>
      <c r="E6366" s="19" t="s">
        <v>33215</v>
      </c>
      <c r="F6366" s="19" t="s">
        <v>35996</v>
      </c>
      <c r="G6366" s="18" t="str">
        <f>"49707"</f>
        <v>49707</v>
      </c>
      <c r="H6366" s="19" t="s">
        <v>33215</v>
      </c>
      <c r="I6366" s="20">
        <v>15.345000000000001</v>
      </c>
      <c r="J6366" s="44" t="s">
        <v>8</v>
      </c>
      <c r="K6366" s="23" t="s">
        <v>8</v>
      </c>
      <c r="L6366" s="23" t="s">
        <v>8</v>
      </c>
      <c r="M6366" s="23" t="s">
        <v>8</v>
      </c>
    </row>
    <row r="6367" spans="1:13" s="21" customFormat="1" x14ac:dyDescent="0.25">
      <c r="A6367" s="22" t="s">
        <v>8</v>
      </c>
      <c r="B6367" s="18" t="str">
        <f>"235281"</f>
        <v>235281</v>
      </c>
      <c r="C6367" s="19" t="s">
        <v>6280</v>
      </c>
      <c r="D6367" s="19" t="s">
        <v>21792</v>
      </c>
      <c r="E6367" s="19" t="s">
        <v>33150</v>
      </c>
      <c r="F6367" s="19" t="s">
        <v>35996</v>
      </c>
      <c r="G6367" s="18" t="str">
        <f>"49058"</f>
        <v>49058</v>
      </c>
      <c r="H6367" s="19" t="s">
        <v>32158</v>
      </c>
      <c r="I6367" s="20">
        <v>22.242999999999999</v>
      </c>
      <c r="J6367" s="44" t="s">
        <v>8</v>
      </c>
      <c r="K6367" s="23" t="s">
        <v>8</v>
      </c>
      <c r="L6367" s="23" t="s">
        <v>8</v>
      </c>
      <c r="M6367" s="23" t="s">
        <v>8</v>
      </c>
    </row>
    <row r="6368" spans="1:13" s="21" customFormat="1" x14ac:dyDescent="0.25">
      <c r="A6368" s="22" t="s">
        <v>8</v>
      </c>
      <c r="B6368" s="18" t="str">
        <f>"235282"</f>
        <v>235282</v>
      </c>
      <c r="C6368" s="19" t="s">
        <v>6281</v>
      </c>
      <c r="D6368" s="19" t="s">
        <v>21793</v>
      </c>
      <c r="E6368" s="19" t="s">
        <v>33165</v>
      </c>
      <c r="F6368" s="19" t="s">
        <v>35996</v>
      </c>
      <c r="G6368" s="18" t="str">
        <f>"49009"</f>
        <v>49009</v>
      </c>
      <c r="H6368" s="19" t="s">
        <v>33165</v>
      </c>
      <c r="I6368" s="20">
        <v>18.954999999999998</v>
      </c>
      <c r="J6368" s="44" t="s">
        <v>8</v>
      </c>
      <c r="K6368" s="23" t="s">
        <v>8</v>
      </c>
      <c r="L6368" s="23" t="s">
        <v>8</v>
      </c>
      <c r="M6368" s="23" t="s">
        <v>8</v>
      </c>
    </row>
    <row r="6369" spans="1:13" s="21" customFormat="1" x14ac:dyDescent="0.25">
      <c r="A6369" s="22" t="s">
        <v>8</v>
      </c>
      <c r="B6369" s="18" t="str">
        <f>"235283"</f>
        <v>235283</v>
      </c>
      <c r="C6369" s="19" t="s">
        <v>6282</v>
      </c>
      <c r="D6369" s="19" t="s">
        <v>21794</v>
      </c>
      <c r="E6369" s="19" t="s">
        <v>33205</v>
      </c>
      <c r="F6369" s="19" t="s">
        <v>35996</v>
      </c>
      <c r="G6369" s="18" t="str">
        <f>"48823"</f>
        <v>48823</v>
      </c>
      <c r="H6369" s="19" t="s">
        <v>36420</v>
      </c>
      <c r="I6369" s="20">
        <v>22.811</v>
      </c>
      <c r="J6369" s="44" t="s">
        <v>8</v>
      </c>
      <c r="K6369" s="23" t="s">
        <v>8</v>
      </c>
      <c r="L6369" s="23" t="s">
        <v>8</v>
      </c>
      <c r="M6369" s="23" t="s">
        <v>8</v>
      </c>
    </row>
    <row r="6370" spans="1:13" s="21" customFormat="1" x14ac:dyDescent="0.25">
      <c r="A6370" s="22" t="s">
        <v>8</v>
      </c>
      <c r="B6370" s="18" t="str">
        <f>"235284"</f>
        <v>235284</v>
      </c>
      <c r="C6370" s="19" t="s">
        <v>6283</v>
      </c>
      <c r="D6370" s="19" t="s">
        <v>21795</v>
      </c>
      <c r="E6370" s="19" t="s">
        <v>33207</v>
      </c>
      <c r="F6370" s="19" t="s">
        <v>35996</v>
      </c>
      <c r="G6370" s="18" t="str">
        <f>"48640"</f>
        <v>48640</v>
      </c>
      <c r="H6370" s="19" t="s">
        <v>33207</v>
      </c>
      <c r="I6370" s="20">
        <v>18.922999999999998</v>
      </c>
      <c r="J6370" s="44" t="s">
        <v>8</v>
      </c>
      <c r="K6370" s="23" t="s">
        <v>8</v>
      </c>
      <c r="L6370" s="23" t="s">
        <v>8</v>
      </c>
      <c r="M6370" s="23" t="s">
        <v>8</v>
      </c>
    </row>
    <row r="6371" spans="1:13" s="21" customFormat="1" x14ac:dyDescent="0.25">
      <c r="A6371" s="22" t="s">
        <v>8</v>
      </c>
      <c r="B6371" s="18" t="str">
        <f>"235285"</f>
        <v>235285</v>
      </c>
      <c r="C6371" s="19" t="s">
        <v>6284</v>
      </c>
      <c r="D6371" s="19" t="s">
        <v>21796</v>
      </c>
      <c r="E6371" s="19" t="s">
        <v>32113</v>
      </c>
      <c r="F6371" s="19" t="s">
        <v>35996</v>
      </c>
      <c r="G6371" s="18" t="str">
        <f>"48917"</f>
        <v>48917</v>
      </c>
      <c r="H6371" s="19" t="s">
        <v>34485</v>
      </c>
      <c r="I6371" s="20">
        <v>20.266999999999999</v>
      </c>
      <c r="J6371" s="44" t="s">
        <v>8</v>
      </c>
      <c r="K6371" s="23" t="s">
        <v>8</v>
      </c>
      <c r="L6371" s="23" t="s">
        <v>8</v>
      </c>
      <c r="M6371" s="23" t="s">
        <v>8</v>
      </c>
    </row>
    <row r="6372" spans="1:13" s="21" customFormat="1" x14ac:dyDescent="0.25">
      <c r="A6372" s="22" t="s">
        <v>8</v>
      </c>
      <c r="B6372" s="18" t="str">
        <f>"235286"</f>
        <v>235286</v>
      </c>
      <c r="C6372" s="19" t="s">
        <v>6285</v>
      </c>
      <c r="D6372" s="19" t="s">
        <v>21797</v>
      </c>
      <c r="E6372" s="19" t="s">
        <v>33216</v>
      </c>
      <c r="F6372" s="19" t="s">
        <v>35996</v>
      </c>
      <c r="G6372" s="18" t="str">
        <f>"48726"</f>
        <v>48726</v>
      </c>
      <c r="H6372" s="19" t="s">
        <v>32169</v>
      </c>
      <c r="I6372" s="20">
        <v>20.867000000000001</v>
      </c>
      <c r="J6372" s="44" t="s">
        <v>8</v>
      </c>
      <c r="K6372" s="23" t="s">
        <v>8</v>
      </c>
      <c r="L6372" s="23" t="s">
        <v>8</v>
      </c>
      <c r="M6372" s="23" t="s">
        <v>8</v>
      </c>
    </row>
    <row r="6373" spans="1:13" s="21" customFormat="1" x14ac:dyDescent="0.25">
      <c r="A6373" s="22" t="s">
        <v>8</v>
      </c>
      <c r="B6373" s="18" t="str">
        <f>"235287"</f>
        <v>235287</v>
      </c>
      <c r="C6373" s="19" t="s">
        <v>6286</v>
      </c>
      <c r="D6373" s="19" t="s">
        <v>21798</v>
      </c>
      <c r="E6373" s="19" t="s">
        <v>31844</v>
      </c>
      <c r="F6373" s="19" t="s">
        <v>35996</v>
      </c>
      <c r="G6373" s="18" t="str">
        <f>"49221"</f>
        <v>49221</v>
      </c>
      <c r="H6373" s="19" t="s">
        <v>36435</v>
      </c>
      <c r="I6373" s="20">
        <v>16.794</v>
      </c>
      <c r="J6373" s="44" t="s">
        <v>8</v>
      </c>
      <c r="K6373" s="23" t="s">
        <v>8</v>
      </c>
      <c r="L6373" s="23" t="s">
        <v>8</v>
      </c>
      <c r="M6373" s="23" t="s">
        <v>8</v>
      </c>
    </row>
    <row r="6374" spans="1:13" s="21" customFormat="1" x14ac:dyDescent="0.25">
      <c r="A6374" s="22" t="s">
        <v>8</v>
      </c>
      <c r="B6374" s="18" t="str">
        <f>"235288"</f>
        <v>235288</v>
      </c>
      <c r="C6374" s="19" t="s">
        <v>6287</v>
      </c>
      <c r="D6374" s="19" t="s">
        <v>21799</v>
      </c>
      <c r="E6374" s="19" t="s">
        <v>33217</v>
      </c>
      <c r="F6374" s="19" t="s">
        <v>35996</v>
      </c>
      <c r="G6374" s="18" t="str">
        <f>"48322"</f>
        <v>48322</v>
      </c>
      <c r="H6374" s="19" t="s">
        <v>31143</v>
      </c>
      <c r="I6374" s="20">
        <v>19.934000000000001</v>
      </c>
      <c r="J6374" s="44" t="s">
        <v>8</v>
      </c>
      <c r="K6374" s="23" t="s">
        <v>8</v>
      </c>
      <c r="L6374" s="23" t="s">
        <v>8</v>
      </c>
      <c r="M6374" s="23" t="s">
        <v>8</v>
      </c>
    </row>
    <row r="6375" spans="1:13" s="21" customFormat="1" x14ac:dyDescent="0.25">
      <c r="A6375" s="22" t="s">
        <v>8</v>
      </c>
      <c r="B6375" s="18" t="str">
        <f>"235289"</f>
        <v>235289</v>
      </c>
      <c r="C6375" s="19" t="s">
        <v>6288</v>
      </c>
      <c r="D6375" s="19" t="s">
        <v>21800</v>
      </c>
      <c r="E6375" s="19" t="s">
        <v>33165</v>
      </c>
      <c r="F6375" s="19" t="s">
        <v>35996</v>
      </c>
      <c r="G6375" s="18" t="str">
        <f>"49048"</f>
        <v>49048</v>
      </c>
      <c r="H6375" s="19" t="s">
        <v>33165</v>
      </c>
      <c r="I6375" s="20">
        <v>20.937999999999999</v>
      </c>
      <c r="J6375" s="44" t="s">
        <v>8</v>
      </c>
      <c r="K6375" s="23" t="s">
        <v>8</v>
      </c>
      <c r="L6375" s="23" t="s">
        <v>8</v>
      </c>
      <c r="M6375" s="23" t="s">
        <v>8</v>
      </c>
    </row>
    <row r="6376" spans="1:13" s="21" customFormat="1" x14ac:dyDescent="0.25">
      <c r="A6376" s="22" t="s">
        <v>8</v>
      </c>
      <c r="B6376" s="18" t="str">
        <f>"235290"</f>
        <v>235290</v>
      </c>
      <c r="C6376" s="19" t="s">
        <v>6289</v>
      </c>
      <c r="D6376" s="19" t="s">
        <v>21801</v>
      </c>
      <c r="E6376" s="19" t="s">
        <v>30817</v>
      </c>
      <c r="F6376" s="19" t="s">
        <v>35996</v>
      </c>
      <c r="G6376" s="18" t="str">
        <f>"48838"</f>
        <v>48838</v>
      </c>
      <c r="H6376" s="19" t="s">
        <v>36427</v>
      </c>
      <c r="I6376" s="20">
        <v>17.588999999999999</v>
      </c>
      <c r="J6376" s="44" t="s">
        <v>8</v>
      </c>
      <c r="K6376" s="23" t="s">
        <v>8</v>
      </c>
      <c r="L6376" s="23" t="s">
        <v>8</v>
      </c>
      <c r="M6376" s="23" t="s">
        <v>8</v>
      </c>
    </row>
    <row r="6377" spans="1:13" s="21" customFormat="1" x14ac:dyDescent="0.25">
      <c r="A6377" s="22" t="s">
        <v>8</v>
      </c>
      <c r="B6377" s="18" t="str">
        <f>"235292"</f>
        <v>235292</v>
      </c>
      <c r="C6377" s="19" t="s">
        <v>6290</v>
      </c>
      <c r="D6377" s="19" t="s">
        <v>21802</v>
      </c>
      <c r="E6377" s="19" t="s">
        <v>33218</v>
      </c>
      <c r="F6377" s="19" t="s">
        <v>35996</v>
      </c>
      <c r="G6377" s="18" t="str">
        <f>"49783"</f>
        <v>49783</v>
      </c>
      <c r="H6377" s="19" t="s">
        <v>36439</v>
      </c>
      <c r="I6377" s="20">
        <v>16.577000000000002</v>
      </c>
      <c r="J6377" s="44" t="s">
        <v>8</v>
      </c>
      <c r="K6377" s="23" t="s">
        <v>8</v>
      </c>
      <c r="L6377" s="23" t="s">
        <v>8</v>
      </c>
      <c r="M6377" s="23" t="s">
        <v>8</v>
      </c>
    </row>
    <row r="6378" spans="1:13" s="21" customFormat="1" x14ac:dyDescent="0.25">
      <c r="A6378" s="22" t="s">
        <v>8</v>
      </c>
      <c r="B6378" s="18" t="str">
        <f>"235293"</f>
        <v>235293</v>
      </c>
      <c r="C6378" s="19" t="s">
        <v>6291</v>
      </c>
      <c r="D6378" s="19" t="s">
        <v>21803</v>
      </c>
      <c r="E6378" s="19" t="s">
        <v>31445</v>
      </c>
      <c r="F6378" s="19" t="s">
        <v>35996</v>
      </c>
      <c r="G6378" s="18" t="str">
        <f>"48335"</f>
        <v>48335</v>
      </c>
      <c r="H6378" s="19" t="s">
        <v>31143</v>
      </c>
      <c r="I6378" s="20">
        <v>21.53</v>
      </c>
      <c r="J6378" s="44" t="s">
        <v>8</v>
      </c>
      <c r="K6378" s="23" t="s">
        <v>8</v>
      </c>
      <c r="L6378" s="23" t="s">
        <v>8</v>
      </c>
      <c r="M6378" s="23" t="s">
        <v>8</v>
      </c>
    </row>
    <row r="6379" spans="1:13" s="21" customFormat="1" x14ac:dyDescent="0.25">
      <c r="A6379" s="22" t="s">
        <v>8</v>
      </c>
      <c r="B6379" s="18" t="str">
        <f>"235294"</f>
        <v>235294</v>
      </c>
      <c r="C6379" s="19" t="s">
        <v>6292</v>
      </c>
      <c r="D6379" s="19" t="s">
        <v>21804</v>
      </c>
      <c r="E6379" s="19" t="s">
        <v>33219</v>
      </c>
      <c r="F6379" s="19" t="s">
        <v>35996</v>
      </c>
      <c r="G6379" s="18" t="str">
        <f>"49319"</f>
        <v>49319</v>
      </c>
      <c r="H6379" s="19" t="s">
        <v>31478</v>
      </c>
      <c r="I6379" s="20">
        <v>17.776</v>
      </c>
      <c r="J6379" s="44" t="s">
        <v>8</v>
      </c>
      <c r="K6379" s="23" t="s">
        <v>8</v>
      </c>
      <c r="L6379" s="23" t="s">
        <v>8</v>
      </c>
      <c r="M6379" s="23" t="s">
        <v>8</v>
      </c>
    </row>
    <row r="6380" spans="1:13" s="21" customFormat="1" x14ac:dyDescent="0.25">
      <c r="A6380" s="22" t="s">
        <v>8</v>
      </c>
      <c r="B6380" s="18" t="str">
        <f>"235295"</f>
        <v>235295</v>
      </c>
      <c r="C6380" s="19" t="s">
        <v>6293</v>
      </c>
      <c r="D6380" s="19" t="s">
        <v>21805</v>
      </c>
      <c r="E6380" s="19" t="s">
        <v>33220</v>
      </c>
      <c r="F6380" s="19" t="s">
        <v>35996</v>
      </c>
      <c r="G6380" s="18" t="str">
        <f>"48441"</f>
        <v>48441</v>
      </c>
      <c r="H6380" s="19" t="s">
        <v>34559</v>
      </c>
      <c r="I6380" s="20">
        <v>18.018999999999998</v>
      </c>
      <c r="J6380" s="44" t="s">
        <v>8</v>
      </c>
      <c r="K6380" s="23" t="s">
        <v>8</v>
      </c>
      <c r="L6380" s="23" t="s">
        <v>8</v>
      </c>
      <c r="M6380" s="23" t="s">
        <v>8</v>
      </c>
    </row>
    <row r="6381" spans="1:13" s="21" customFormat="1" x14ac:dyDescent="0.25">
      <c r="A6381" s="22" t="s">
        <v>8</v>
      </c>
      <c r="B6381" s="18" t="str">
        <f>"235296"</f>
        <v>235296</v>
      </c>
      <c r="C6381" s="19" t="s">
        <v>6294</v>
      </c>
      <c r="D6381" s="19" t="s">
        <v>21806</v>
      </c>
      <c r="E6381" s="19" t="s">
        <v>33221</v>
      </c>
      <c r="F6381" s="19" t="s">
        <v>35996</v>
      </c>
      <c r="G6381" s="18" t="str">
        <f>"48076"</f>
        <v>48076</v>
      </c>
      <c r="H6381" s="19" t="s">
        <v>31143</v>
      </c>
      <c r="I6381" s="20">
        <v>19.838000000000001</v>
      </c>
      <c r="J6381" s="44" t="s">
        <v>8</v>
      </c>
      <c r="K6381" s="23" t="s">
        <v>8</v>
      </c>
      <c r="L6381" s="23" t="s">
        <v>8</v>
      </c>
      <c r="M6381" s="23" t="s">
        <v>8</v>
      </c>
    </row>
    <row r="6382" spans="1:13" s="21" customFormat="1" x14ac:dyDescent="0.25">
      <c r="A6382" s="22" t="s">
        <v>8</v>
      </c>
      <c r="B6382" s="18" t="str">
        <f>"235297"</f>
        <v>235297</v>
      </c>
      <c r="C6382" s="19" t="s">
        <v>6295</v>
      </c>
      <c r="D6382" s="19" t="s">
        <v>21807</v>
      </c>
      <c r="E6382" s="19" t="s">
        <v>33222</v>
      </c>
      <c r="F6382" s="19" t="s">
        <v>35996</v>
      </c>
      <c r="G6382" s="18" t="str">
        <f>"48193"</f>
        <v>48193</v>
      </c>
      <c r="H6382" s="19" t="s">
        <v>33280</v>
      </c>
      <c r="I6382" s="20">
        <v>19.452000000000002</v>
      </c>
      <c r="J6382" s="44" t="s">
        <v>8</v>
      </c>
      <c r="K6382" s="23" t="s">
        <v>8</v>
      </c>
      <c r="L6382" s="23" t="s">
        <v>8</v>
      </c>
      <c r="M6382" s="23" t="s">
        <v>8</v>
      </c>
    </row>
    <row r="6383" spans="1:13" s="21" customFormat="1" x14ac:dyDescent="0.25">
      <c r="A6383" s="22" t="s">
        <v>8</v>
      </c>
      <c r="B6383" s="18" t="str">
        <f>"235298"</f>
        <v>235298</v>
      </c>
      <c r="C6383" s="19" t="s">
        <v>6296</v>
      </c>
      <c r="D6383" s="19" t="s">
        <v>21808</v>
      </c>
      <c r="E6383" s="19" t="s">
        <v>33223</v>
      </c>
      <c r="F6383" s="19" t="s">
        <v>35996</v>
      </c>
      <c r="G6383" s="18" t="str">
        <f>"48015"</f>
        <v>48015</v>
      </c>
      <c r="H6383" s="19" t="s">
        <v>31911</v>
      </c>
      <c r="I6383" s="20">
        <v>16.696999999999999</v>
      </c>
      <c r="J6383" s="44" t="s">
        <v>8</v>
      </c>
      <c r="K6383" s="23" t="s">
        <v>8</v>
      </c>
      <c r="L6383" s="23" t="s">
        <v>8</v>
      </c>
      <c r="M6383" s="23" t="s">
        <v>8</v>
      </c>
    </row>
    <row r="6384" spans="1:13" s="21" customFormat="1" x14ac:dyDescent="0.25">
      <c r="A6384" s="22" t="s">
        <v>8</v>
      </c>
      <c r="B6384" s="18" t="str">
        <f>"235299"</f>
        <v>235299</v>
      </c>
      <c r="C6384" s="19" t="s">
        <v>6297</v>
      </c>
      <c r="D6384" s="19" t="s">
        <v>21809</v>
      </c>
      <c r="E6384" s="19" t="s">
        <v>32443</v>
      </c>
      <c r="F6384" s="19" t="s">
        <v>35996</v>
      </c>
      <c r="G6384" s="18" t="str">
        <f>"49017"</f>
        <v>49017</v>
      </c>
      <c r="H6384" s="19" t="s">
        <v>31743</v>
      </c>
      <c r="I6384" s="20">
        <v>18.055</v>
      </c>
      <c r="J6384" s="44" t="s">
        <v>8</v>
      </c>
      <c r="K6384" s="23" t="s">
        <v>8</v>
      </c>
      <c r="L6384" s="23" t="s">
        <v>8</v>
      </c>
      <c r="M6384" s="23" t="s">
        <v>8</v>
      </c>
    </row>
    <row r="6385" spans="1:13" s="21" customFormat="1" x14ac:dyDescent="0.25">
      <c r="A6385" s="22" t="s">
        <v>8</v>
      </c>
      <c r="B6385" s="18" t="str">
        <f>"235300"</f>
        <v>235300</v>
      </c>
      <c r="C6385" s="19" t="s">
        <v>6298</v>
      </c>
      <c r="D6385" s="19" t="s">
        <v>21810</v>
      </c>
      <c r="E6385" s="19" t="s">
        <v>31080</v>
      </c>
      <c r="F6385" s="19" t="s">
        <v>35996</v>
      </c>
      <c r="G6385" s="18" t="str">
        <f>"48180"</f>
        <v>48180</v>
      </c>
      <c r="H6385" s="19" t="s">
        <v>33280</v>
      </c>
      <c r="I6385" s="20">
        <v>20.559000000000001</v>
      </c>
      <c r="J6385" s="44" t="s">
        <v>8</v>
      </c>
      <c r="K6385" s="23" t="s">
        <v>8</v>
      </c>
      <c r="L6385" s="23" t="s">
        <v>8</v>
      </c>
      <c r="M6385" s="23" t="s">
        <v>8</v>
      </c>
    </row>
    <row r="6386" spans="1:13" s="21" customFormat="1" x14ac:dyDescent="0.25">
      <c r="A6386" s="22" t="s">
        <v>8</v>
      </c>
      <c r="B6386" s="18" t="str">
        <f>"235301"</f>
        <v>235301</v>
      </c>
      <c r="C6386" s="19" t="s">
        <v>6299</v>
      </c>
      <c r="D6386" s="19" t="s">
        <v>21811</v>
      </c>
      <c r="E6386" s="19" t="s">
        <v>33147</v>
      </c>
      <c r="F6386" s="19" t="s">
        <v>35996</v>
      </c>
      <c r="G6386" s="18" t="str">
        <f>"49444"</f>
        <v>49444</v>
      </c>
      <c r="H6386" s="19" t="s">
        <v>33147</v>
      </c>
      <c r="I6386" s="20">
        <v>15.28</v>
      </c>
      <c r="J6386" s="44" t="s">
        <v>8</v>
      </c>
      <c r="K6386" s="23" t="s">
        <v>8</v>
      </c>
      <c r="L6386" s="23" t="s">
        <v>8</v>
      </c>
      <c r="M6386" s="23" t="s">
        <v>8</v>
      </c>
    </row>
    <row r="6387" spans="1:13" s="21" customFormat="1" x14ac:dyDescent="0.25">
      <c r="A6387" s="22" t="s">
        <v>8</v>
      </c>
      <c r="B6387" s="18" t="str">
        <f>"235302"</f>
        <v>235302</v>
      </c>
      <c r="C6387" s="19" t="s">
        <v>6300</v>
      </c>
      <c r="D6387" s="19" t="s">
        <v>21812</v>
      </c>
      <c r="E6387" s="19" t="s">
        <v>33149</v>
      </c>
      <c r="F6387" s="19" t="s">
        <v>35996</v>
      </c>
      <c r="G6387" s="18" t="str">
        <f>"49036"</f>
        <v>49036</v>
      </c>
      <c r="H6387" s="19" t="s">
        <v>36418</v>
      </c>
      <c r="I6387" s="20">
        <v>21.812000000000001</v>
      </c>
      <c r="J6387" s="44" t="s">
        <v>8</v>
      </c>
      <c r="K6387" s="23" t="s">
        <v>8</v>
      </c>
      <c r="L6387" s="23" t="s">
        <v>8</v>
      </c>
      <c r="M6387" s="23" t="s">
        <v>8</v>
      </c>
    </row>
    <row r="6388" spans="1:13" s="21" customFormat="1" x14ac:dyDescent="0.25">
      <c r="A6388" s="22" t="s">
        <v>8</v>
      </c>
      <c r="B6388" s="18" t="str">
        <f>"235310"</f>
        <v>235310</v>
      </c>
      <c r="C6388" s="19" t="s">
        <v>6301</v>
      </c>
      <c r="D6388" s="19" t="s">
        <v>21813</v>
      </c>
      <c r="E6388" s="19" t="s">
        <v>33160</v>
      </c>
      <c r="F6388" s="19" t="s">
        <v>35996</v>
      </c>
      <c r="G6388" s="18" t="str">
        <f>"49546"</f>
        <v>49546</v>
      </c>
      <c r="H6388" s="19" t="s">
        <v>31478</v>
      </c>
      <c r="I6388" s="20">
        <v>17.706</v>
      </c>
      <c r="J6388" s="44" t="s">
        <v>8</v>
      </c>
      <c r="K6388" s="23" t="s">
        <v>8</v>
      </c>
      <c r="L6388" s="23" t="s">
        <v>8</v>
      </c>
      <c r="M6388" s="23" t="s">
        <v>8</v>
      </c>
    </row>
    <row r="6389" spans="1:13" s="21" customFormat="1" x14ac:dyDescent="0.25">
      <c r="A6389" s="22" t="s">
        <v>8</v>
      </c>
      <c r="B6389" s="18" t="str">
        <f>"235311"</f>
        <v>235311</v>
      </c>
      <c r="C6389" s="19" t="s">
        <v>6302</v>
      </c>
      <c r="D6389" s="19" t="s">
        <v>21814</v>
      </c>
      <c r="E6389" s="19" t="s">
        <v>33165</v>
      </c>
      <c r="F6389" s="19" t="s">
        <v>35996</v>
      </c>
      <c r="G6389" s="18" t="str">
        <f>"49009"</f>
        <v>49009</v>
      </c>
      <c r="H6389" s="19" t="s">
        <v>33165</v>
      </c>
      <c r="I6389" s="20">
        <v>17.225999999999999</v>
      </c>
      <c r="J6389" s="44" t="s">
        <v>8</v>
      </c>
      <c r="K6389" s="23" t="s">
        <v>8</v>
      </c>
      <c r="L6389" s="23" t="s">
        <v>8</v>
      </c>
      <c r="M6389" s="23" t="s">
        <v>8</v>
      </c>
    </row>
    <row r="6390" spans="1:13" s="21" customFormat="1" x14ac:dyDescent="0.25">
      <c r="A6390" s="22" t="s">
        <v>8</v>
      </c>
      <c r="B6390" s="18" t="str">
        <f>"235312"</f>
        <v>235312</v>
      </c>
      <c r="C6390" s="19" t="s">
        <v>6303</v>
      </c>
      <c r="D6390" s="19" t="s">
        <v>21815</v>
      </c>
      <c r="E6390" s="19" t="s">
        <v>33224</v>
      </c>
      <c r="F6390" s="19" t="s">
        <v>35996</v>
      </c>
      <c r="G6390" s="18" t="str">
        <f>"49307"</f>
        <v>49307</v>
      </c>
      <c r="H6390" s="19" t="s">
        <v>36440</v>
      </c>
      <c r="I6390" s="20">
        <v>22.513999999999999</v>
      </c>
      <c r="J6390" s="44" t="s">
        <v>8</v>
      </c>
      <c r="K6390" s="23" t="s">
        <v>8</v>
      </c>
      <c r="L6390" s="23" t="s">
        <v>8</v>
      </c>
      <c r="M6390" s="23" t="s">
        <v>8</v>
      </c>
    </row>
    <row r="6391" spans="1:13" s="21" customFormat="1" x14ac:dyDescent="0.25">
      <c r="A6391" s="22" t="s">
        <v>8</v>
      </c>
      <c r="B6391" s="18" t="str">
        <f>"235313"</f>
        <v>235313</v>
      </c>
      <c r="C6391" s="19" t="s">
        <v>6304</v>
      </c>
      <c r="D6391" s="19" t="s">
        <v>21816</v>
      </c>
      <c r="E6391" s="19" t="s">
        <v>32535</v>
      </c>
      <c r="F6391" s="19" t="s">
        <v>35996</v>
      </c>
      <c r="G6391" s="18" t="str">
        <f>"49348"</f>
        <v>49348</v>
      </c>
      <c r="H6391" s="19" t="s">
        <v>33200</v>
      </c>
      <c r="I6391" s="20">
        <v>19.425999999999998</v>
      </c>
      <c r="J6391" s="44" t="s">
        <v>8</v>
      </c>
      <c r="K6391" s="23" t="s">
        <v>8</v>
      </c>
      <c r="L6391" s="23" t="s">
        <v>8</v>
      </c>
      <c r="M6391" s="23" t="s">
        <v>8</v>
      </c>
    </row>
    <row r="6392" spans="1:13" s="21" customFormat="1" x14ac:dyDescent="0.25">
      <c r="A6392" s="22" t="s">
        <v>8</v>
      </c>
      <c r="B6392" s="18" t="str">
        <f>"235319"</f>
        <v>235319</v>
      </c>
      <c r="C6392" s="19" t="s">
        <v>6305</v>
      </c>
      <c r="D6392" s="19" t="s">
        <v>21817</v>
      </c>
      <c r="E6392" s="19" t="s">
        <v>33225</v>
      </c>
      <c r="F6392" s="19" t="s">
        <v>35996</v>
      </c>
      <c r="G6392" s="18" t="str">
        <f>"48080"</f>
        <v>48080</v>
      </c>
      <c r="H6392" s="19" t="s">
        <v>31911</v>
      </c>
      <c r="I6392" s="20">
        <v>18.015000000000001</v>
      </c>
      <c r="J6392" s="44" t="s">
        <v>8</v>
      </c>
      <c r="K6392" s="23" t="s">
        <v>8</v>
      </c>
      <c r="L6392" s="23" t="s">
        <v>8</v>
      </c>
      <c r="M6392" s="23" t="s">
        <v>8</v>
      </c>
    </row>
    <row r="6393" spans="1:13" s="21" customFormat="1" x14ac:dyDescent="0.25">
      <c r="A6393" s="22" t="s">
        <v>8</v>
      </c>
      <c r="B6393" s="18" t="str">
        <f>"235320"</f>
        <v>235320</v>
      </c>
      <c r="C6393" s="19" t="s">
        <v>6306</v>
      </c>
      <c r="D6393" s="19" t="s">
        <v>21818</v>
      </c>
      <c r="E6393" s="19" t="s">
        <v>33221</v>
      </c>
      <c r="F6393" s="19" t="s">
        <v>35996</v>
      </c>
      <c r="G6393" s="18" t="str">
        <f>"48034"</f>
        <v>48034</v>
      </c>
      <c r="H6393" s="19" t="s">
        <v>31143</v>
      </c>
      <c r="I6393" s="20">
        <v>20.573</v>
      </c>
      <c r="J6393" s="44" t="s">
        <v>8</v>
      </c>
      <c r="K6393" s="23" t="s">
        <v>8</v>
      </c>
      <c r="L6393" s="23" t="s">
        <v>8</v>
      </c>
      <c r="M6393" s="23" t="s">
        <v>8</v>
      </c>
    </row>
    <row r="6394" spans="1:13" s="21" customFormat="1" x14ac:dyDescent="0.25">
      <c r="A6394" s="22" t="s">
        <v>8</v>
      </c>
      <c r="B6394" s="18" t="str">
        <f>"235321"</f>
        <v>235321</v>
      </c>
      <c r="C6394" s="19" t="s">
        <v>6307</v>
      </c>
      <c r="D6394" s="19" t="s">
        <v>21819</v>
      </c>
      <c r="E6394" s="19" t="s">
        <v>33226</v>
      </c>
      <c r="F6394" s="19" t="s">
        <v>35996</v>
      </c>
      <c r="G6394" s="18" t="str">
        <f>"49849"</f>
        <v>49849</v>
      </c>
      <c r="H6394" s="19" t="s">
        <v>3713</v>
      </c>
      <c r="I6394" s="20">
        <v>18.777000000000001</v>
      </c>
      <c r="J6394" s="44" t="s">
        <v>8</v>
      </c>
      <c r="K6394" s="23" t="s">
        <v>8</v>
      </c>
      <c r="L6394" s="23" t="s">
        <v>8</v>
      </c>
      <c r="M6394" s="23" t="s">
        <v>8</v>
      </c>
    </row>
    <row r="6395" spans="1:13" s="21" customFormat="1" x14ac:dyDescent="0.25">
      <c r="A6395" s="22" t="s">
        <v>8</v>
      </c>
      <c r="B6395" s="18" t="str">
        <f>"235322"</f>
        <v>235322</v>
      </c>
      <c r="C6395" s="19" t="s">
        <v>6308</v>
      </c>
      <c r="D6395" s="19" t="s">
        <v>21820</v>
      </c>
      <c r="E6395" s="19" t="s">
        <v>33227</v>
      </c>
      <c r="F6395" s="19" t="s">
        <v>35996</v>
      </c>
      <c r="G6395" s="18" t="str">
        <f>"48220"</f>
        <v>48220</v>
      </c>
      <c r="H6395" s="19" t="s">
        <v>31143</v>
      </c>
      <c r="I6395" s="20">
        <v>22.064</v>
      </c>
      <c r="J6395" s="44" t="s">
        <v>8</v>
      </c>
      <c r="K6395" s="23" t="s">
        <v>8</v>
      </c>
      <c r="L6395" s="23" t="s">
        <v>8</v>
      </c>
      <c r="M6395" s="23" t="s">
        <v>8</v>
      </c>
    </row>
    <row r="6396" spans="1:13" s="21" customFormat="1" x14ac:dyDescent="0.25">
      <c r="A6396" s="22" t="s">
        <v>8</v>
      </c>
      <c r="B6396" s="18" t="str">
        <f>"235324"</f>
        <v>235324</v>
      </c>
      <c r="C6396" s="19" t="s">
        <v>6309</v>
      </c>
      <c r="D6396" s="19" t="s">
        <v>21821</v>
      </c>
      <c r="E6396" s="19" t="s">
        <v>33228</v>
      </c>
      <c r="F6396" s="19" t="s">
        <v>35996</v>
      </c>
      <c r="G6396" s="18" t="str">
        <f>"48880"</f>
        <v>48880</v>
      </c>
      <c r="H6396" s="19" t="s">
        <v>36421</v>
      </c>
      <c r="I6396" s="20">
        <v>17.420999999999999</v>
      </c>
      <c r="J6396" s="44" t="s">
        <v>8</v>
      </c>
      <c r="K6396" s="23" t="s">
        <v>8</v>
      </c>
      <c r="L6396" s="23" t="s">
        <v>8</v>
      </c>
      <c r="M6396" s="23" t="s">
        <v>8</v>
      </c>
    </row>
    <row r="6397" spans="1:13" s="21" customFormat="1" x14ac:dyDescent="0.25">
      <c r="A6397" s="22" t="s">
        <v>8</v>
      </c>
      <c r="B6397" s="18" t="str">
        <f>"235325"</f>
        <v>235325</v>
      </c>
      <c r="C6397" s="19" t="s">
        <v>6310</v>
      </c>
      <c r="D6397" s="19" t="s">
        <v>21822</v>
      </c>
      <c r="E6397" s="19" t="s">
        <v>31025</v>
      </c>
      <c r="F6397" s="19" t="s">
        <v>35996</v>
      </c>
      <c r="G6397" s="18" t="str">
        <f>"48089"</f>
        <v>48089</v>
      </c>
      <c r="H6397" s="19" t="s">
        <v>31911</v>
      </c>
      <c r="I6397" s="20">
        <v>22.405999999999999</v>
      </c>
      <c r="J6397" s="44" t="s">
        <v>8</v>
      </c>
      <c r="K6397" s="23" t="s">
        <v>8</v>
      </c>
      <c r="L6397" s="23" t="s">
        <v>8</v>
      </c>
      <c r="M6397" s="23" t="s">
        <v>8</v>
      </c>
    </row>
    <row r="6398" spans="1:13" s="21" customFormat="1" x14ac:dyDescent="0.25">
      <c r="A6398" s="22" t="s">
        <v>8</v>
      </c>
      <c r="B6398" s="18" t="str">
        <f>"235327"</f>
        <v>235327</v>
      </c>
      <c r="C6398" s="19" t="s">
        <v>6311</v>
      </c>
      <c r="D6398" s="19" t="s">
        <v>21823</v>
      </c>
      <c r="E6398" s="19" t="s">
        <v>33229</v>
      </c>
      <c r="F6398" s="19" t="s">
        <v>35996</v>
      </c>
      <c r="G6398" s="18" t="str">
        <f>"49426"</f>
        <v>49426</v>
      </c>
      <c r="H6398" s="19" t="s">
        <v>31994</v>
      </c>
      <c r="I6398" s="20">
        <v>20.390999999999998</v>
      </c>
      <c r="J6398" s="44" t="s">
        <v>8</v>
      </c>
      <c r="K6398" s="23" t="s">
        <v>8</v>
      </c>
      <c r="L6398" s="23" t="s">
        <v>8</v>
      </c>
      <c r="M6398" s="23" t="s">
        <v>8</v>
      </c>
    </row>
    <row r="6399" spans="1:13" s="21" customFormat="1" x14ac:dyDescent="0.25">
      <c r="A6399" s="22" t="s">
        <v>8</v>
      </c>
      <c r="B6399" s="18" t="str">
        <f>"235329"</f>
        <v>235329</v>
      </c>
      <c r="C6399" s="19" t="s">
        <v>6312</v>
      </c>
      <c r="D6399" s="19" t="s">
        <v>21824</v>
      </c>
      <c r="E6399" s="19" t="s">
        <v>33167</v>
      </c>
      <c r="F6399" s="19" t="s">
        <v>35996</v>
      </c>
      <c r="G6399" s="18" t="str">
        <f>"48603"</f>
        <v>48603</v>
      </c>
      <c r="H6399" s="19" t="s">
        <v>33167</v>
      </c>
      <c r="I6399" s="20">
        <v>18.91</v>
      </c>
      <c r="J6399" s="44" t="s">
        <v>8</v>
      </c>
      <c r="K6399" s="23" t="s">
        <v>8</v>
      </c>
      <c r="L6399" s="23" t="s">
        <v>8</v>
      </c>
      <c r="M6399" s="23" t="s">
        <v>8</v>
      </c>
    </row>
    <row r="6400" spans="1:13" s="21" customFormat="1" x14ac:dyDescent="0.25">
      <c r="A6400" s="22" t="s">
        <v>8</v>
      </c>
      <c r="B6400" s="18" t="str">
        <f>"235330"</f>
        <v>235330</v>
      </c>
      <c r="C6400" s="19" t="s">
        <v>6313</v>
      </c>
      <c r="D6400" s="19" t="s">
        <v>21825</v>
      </c>
      <c r="E6400" s="19" t="s">
        <v>33230</v>
      </c>
      <c r="F6400" s="19" t="s">
        <v>35996</v>
      </c>
      <c r="G6400" s="18" t="str">
        <f>"48843"</f>
        <v>48843</v>
      </c>
      <c r="H6400" s="19" t="s">
        <v>33740</v>
      </c>
      <c r="I6400" s="20">
        <v>16.609000000000002</v>
      </c>
      <c r="J6400" s="44" t="s">
        <v>8</v>
      </c>
      <c r="K6400" s="23" t="s">
        <v>8</v>
      </c>
      <c r="L6400" s="23" t="s">
        <v>8</v>
      </c>
      <c r="M6400" s="23" t="s">
        <v>8</v>
      </c>
    </row>
    <row r="6401" spans="1:13" s="21" customFormat="1" x14ac:dyDescent="0.25">
      <c r="A6401" s="22" t="s">
        <v>8</v>
      </c>
      <c r="B6401" s="18" t="str">
        <f>"235331"</f>
        <v>235331</v>
      </c>
      <c r="C6401" s="19" t="s">
        <v>6314</v>
      </c>
      <c r="D6401" s="19" t="s">
        <v>21826</v>
      </c>
      <c r="E6401" s="19" t="s">
        <v>33230</v>
      </c>
      <c r="F6401" s="19" t="s">
        <v>35996</v>
      </c>
      <c r="G6401" s="18" t="str">
        <f>"48843"</f>
        <v>48843</v>
      </c>
      <c r="H6401" s="19" t="s">
        <v>33740</v>
      </c>
      <c r="I6401" s="20">
        <v>18.919</v>
      </c>
      <c r="J6401" s="44" t="s">
        <v>8</v>
      </c>
      <c r="K6401" s="23" t="s">
        <v>8</v>
      </c>
      <c r="L6401" s="23" t="s">
        <v>8</v>
      </c>
      <c r="M6401" s="23" t="s">
        <v>8</v>
      </c>
    </row>
    <row r="6402" spans="1:13" s="21" customFormat="1" x14ac:dyDescent="0.25">
      <c r="A6402" s="22" t="s">
        <v>8</v>
      </c>
      <c r="B6402" s="18" t="str">
        <f>"235332"</f>
        <v>235332</v>
      </c>
      <c r="C6402" s="19" t="s">
        <v>6315</v>
      </c>
      <c r="D6402" s="19" t="s">
        <v>21827</v>
      </c>
      <c r="E6402" s="19" t="s">
        <v>33204</v>
      </c>
      <c r="F6402" s="19" t="s">
        <v>35996</v>
      </c>
      <c r="G6402" s="18" t="str">
        <f>"48185"</f>
        <v>48185</v>
      </c>
      <c r="H6402" s="19" t="s">
        <v>33280</v>
      </c>
      <c r="I6402" s="20">
        <v>20.577999999999999</v>
      </c>
      <c r="J6402" s="44" t="s">
        <v>8</v>
      </c>
      <c r="K6402" s="23" t="s">
        <v>8</v>
      </c>
      <c r="L6402" s="23" t="s">
        <v>8</v>
      </c>
      <c r="M6402" s="23" t="s">
        <v>8</v>
      </c>
    </row>
    <row r="6403" spans="1:13" s="21" customFormat="1" x14ac:dyDescent="0.25">
      <c r="A6403" s="22" t="s">
        <v>8</v>
      </c>
      <c r="B6403" s="18" t="str">
        <f>"235333"</f>
        <v>235333</v>
      </c>
      <c r="C6403" s="19" t="s">
        <v>6316</v>
      </c>
      <c r="D6403" s="19" t="s">
        <v>21828</v>
      </c>
      <c r="E6403" s="19" t="s">
        <v>31080</v>
      </c>
      <c r="F6403" s="19" t="s">
        <v>35996</v>
      </c>
      <c r="G6403" s="18" t="str">
        <f>"48180"</f>
        <v>48180</v>
      </c>
      <c r="H6403" s="19" t="s">
        <v>33280</v>
      </c>
      <c r="I6403" s="20">
        <v>19.513000000000002</v>
      </c>
      <c r="J6403" s="44" t="s">
        <v>8</v>
      </c>
      <c r="K6403" s="23" t="s">
        <v>8</v>
      </c>
      <c r="L6403" s="23" t="s">
        <v>8</v>
      </c>
      <c r="M6403" s="23" t="s">
        <v>8</v>
      </c>
    </row>
    <row r="6404" spans="1:13" s="21" customFormat="1" x14ac:dyDescent="0.25">
      <c r="A6404" s="22" t="s">
        <v>8</v>
      </c>
      <c r="B6404" s="18" t="str">
        <f>"235335"</f>
        <v>235335</v>
      </c>
      <c r="C6404" s="19" t="s">
        <v>6317</v>
      </c>
      <c r="D6404" s="19" t="s">
        <v>21829</v>
      </c>
      <c r="E6404" s="19" t="s">
        <v>33231</v>
      </c>
      <c r="F6404" s="19" t="s">
        <v>35996</v>
      </c>
      <c r="G6404" s="18" t="str">
        <f>"48624"</f>
        <v>48624</v>
      </c>
      <c r="H6404" s="19" t="s">
        <v>33231</v>
      </c>
      <c r="I6404" s="20">
        <v>17.858000000000001</v>
      </c>
      <c r="J6404" s="44" t="s">
        <v>8</v>
      </c>
      <c r="K6404" s="23" t="s">
        <v>8</v>
      </c>
      <c r="L6404" s="23" t="s">
        <v>8</v>
      </c>
      <c r="M6404" s="23" t="s">
        <v>8</v>
      </c>
    </row>
    <row r="6405" spans="1:13" s="21" customFormat="1" x14ac:dyDescent="0.25">
      <c r="A6405" s="22" t="s">
        <v>8</v>
      </c>
      <c r="B6405" s="18" t="str">
        <f>"235336"</f>
        <v>235336</v>
      </c>
      <c r="C6405" s="19" t="s">
        <v>6318</v>
      </c>
      <c r="D6405" s="19" t="s">
        <v>21830</v>
      </c>
      <c r="E6405" s="19" t="s">
        <v>33177</v>
      </c>
      <c r="F6405" s="19" t="s">
        <v>35996</v>
      </c>
      <c r="G6405" s="18" t="str">
        <f>"49686"</f>
        <v>49686</v>
      </c>
      <c r="H6405" s="19" t="s">
        <v>36431</v>
      </c>
      <c r="I6405" s="20">
        <v>18.466999999999999</v>
      </c>
      <c r="J6405" s="44" t="s">
        <v>8</v>
      </c>
      <c r="K6405" s="23" t="s">
        <v>8</v>
      </c>
      <c r="L6405" s="23" t="s">
        <v>8</v>
      </c>
      <c r="M6405" s="23" t="s">
        <v>8</v>
      </c>
    </row>
    <row r="6406" spans="1:13" s="21" customFormat="1" x14ac:dyDescent="0.25">
      <c r="A6406" s="22" t="s">
        <v>8</v>
      </c>
      <c r="B6406" s="18" t="str">
        <f>"235339"</f>
        <v>235339</v>
      </c>
      <c r="C6406" s="19" t="s">
        <v>6319</v>
      </c>
      <c r="D6406" s="19" t="s">
        <v>21831</v>
      </c>
      <c r="E6406" s="19" t="s">
        <v>33160</v>
      </c>
      <c r="F6406" s="19" t="s">
        <v>35996</v>
      </c>
      <c r="G6406" s="18" t="str">
        <f>"49504"</f>
        <v>49504</v>
      </c>
      <c r="H6406" s="19" t="s">
        <v>31478</v>
      </c>
      <c r="I6406" s="20">
        <v>19.094999999999999</v>
      </c>
      <c r="J6406" s="44" t="s">
        <v>8</v>
      </c>
      <c r="K6406" s="23" t="s">
        <v>8</v>
      </c>
      <c r="L6406" s="23" t="s">
        <v>8</v>
      </c>
      <c r="M6406" s="23" t="s">
        <v>8</v>
      </c>
    </row>
    <row r="6407" spans="1:13" s="21" customFormat="1" x14ac:dyDescent="0.25">
      <c r="A6407" s="22" t="s">
        <v>8</v>
      </c>
      <c r="B6407" s="18" t="str">
        <f>"235343"</f>
        <v>235343</v>
      </c>
      <c r="C6407" s="19" t="s">
        <v>6320</v>
      </c>
      <c r="D6407" s="19" t="s">
        <v>21832</v>
      </c>
      <c r="E6407" s="19" t="s">
        <v>33192</v>
      </c>
      <c r="F6407" s="19" t="s">
        <v>35996</v>
      </c>
      <c r="G6407" s="18" t="str">
        <f>"48504"</f>
        <v>48504</v>
      </c>
      <c r="H6407" s="19" t="s">
        <v>36432</v>
      </c>
      <c r="I6407" s="20">
        <v>21.561</v>
      </c>
      <c r="J6407" s="44" t="s">
        <v>8</v>
      </c>
      <c r="K6407" s="23" t="s">
        <v>8</v>
      </c>
      <c r="L6407" s="23" t="s">
        <v>8</v>
      </c>
      <c r="M6407" s="23" t="s">
        <v>8</v>
      </c>
    </row>
    <row r="6408" spans="1:13" s="21" customFormat="1" x14ac:dyDescent="0.25">
      <c r="A6408" s="22" t="s">
        <v>8</v>
      </c>
      <c r="B6408" s="18" t="str">
        <f>"235345"</f>
        <v>235345</v>
      </c>
      <c r="C6408" s="19" t="s">
        <v>6321</v>
      </c>
      <c r="D6408" s="19" t="s">
        <v>21833</v>
      </c>
      <c r="E6408" s="19" t="s">
        <v>33232</v>
      </c>
      <c r="F6408" s="19" t="s">
        <v>35996</v>
      </c>
      <c r="G6408" s="18" t="str">
        <f>"49091"</f>
        <v>49091</v>
      </c>
      <c r="H6408" s="19" t="s">
        <v>33627</v>
      </c>
      <c r="I6408" s="20">
        <v>17.018999999999998</v>
      </c>
      <c r="J6408" s="44" t="s">
        <v>8</v>
      </c>
      <c r="K6408" s="23" t="s">
        <v>8</v>
      </c>
      <c r="L6408" s="23" t="s">
        <v>8</v>
      </c>
      <c r="M6408" s="23" t="s">
        <v>8</v>
      </c>
    </row>
    <row r="6409" spans="1:13" s="21" customFormat="1" x14ac:dyDescent="0.25">
      <c r="A6409" s="22" t="s">
        <v>8</v>
      </c>
      <c r="B6409" s="18" t="str">
        <f>"235347"</f>
        <v>235347</v>
      </c>
      <c r="C6409" s="19" t="s">
        <v>6322</v>
      </c>
      <c r="D6409" s="19" t="s">
        <v>21834</v>
      </c>
      <c r="E6409" s="19" t="s">
        <v>33233</v>
      </c>
      <c r="F6409" s="19" t="s">
        <v>35996</v>
      </c>
      <c r="G6409" s="18" t="str">
        <f>"49464"</f>
        <v>49464</v>
      </c>
      <c r="H6409" s="19" t="s">
        <v>31994</v>
      </c>
      <c r="I6409" s="20">
        <v>15.414</v>
      </c>
      <c r="J6409" s="44" t="s">
        <v>8</v>
      </c>
      <c r="K6409" s="23" t="s">
        <v>8</v>
      </c>
      <c r="L6409" s="23" t="s">
        <v>8</v>
      </c>
      <c r="M6409" s="23" t="s">
        <v>8</v>
      </c>
    </row>
    <row r="6410" spans="1:13" s="21" customFormat="1" x14ac:dyDescent="0.25">
      <c r="A6410" s="22" t="s">
        <v>8</v>
      </c>
      <c r="B6410" s="18" t="str">
        <f>"235348"</f>
        <v>235348</v>
      </c>
      <c r="C6410" s="19" t="s">
        <v>6323</v>
      </c>
      <c r="D6410" s="19" t="s">
        <v>21835</v>
      </c>
      <c r="E6410" s="19" t="s">
        <v>33234</v>
      </c>
      <c r="F6410" s="19" t="s">
        <v>35996</v>
      </c>
      <c r="G6410" s="18" t="str">
        <f>"48430"</f>
        <v>48430</v>
      </c>
      <c r="H6410" s="19" t="s">
        <v>36432</v>
      </c>
      <c r="I6410" s="20">
        <v>16.88</v>
      </c>
      <c r="J6410" s="44" t="s">
        <v>8</v>
      </c>
      <c r="K6410" s="23" t="s">
        <v>8</v>
      </c>
      <c r="L6410" s="23" t="s">
        <v>8</v>
      </c>
      <c r="M6410" s="23" t="s">
        <v>8</v>
      </c>
    </row>
    <row r="6411" spans="1:13" s="21" customFormat="1" x14ac:dyDescent="0.25">
      <c r="A6411" s="22" t="s">
        <v>8</v>
      </c>
      <c r="B6411" s="18" t="str">
        <f>"235349"</f>
        <v>235349</v>
      </c>
      <c r="C6411" s="19" t="s">
        <v>6324</v>
      </c>
      <c r="D6411" s="19" t="s">
        <v>21836</v>
      </c>
      <c r="E6411" s="19" t="s">
        <v>33226</v>
      </c>
      <c r="F6411" s="19" t="s">
        <v>35996</v>
      </c>
      <c r="G6411" s="18" t="str">
        <f>"49849"</f>
        <v>49849</v>
      </c>
      <c r="H6411" s="19" t="s">
        <v>3713</v>
      </c>
      <c r="I6411" s="20">
        <v>19.440000000000001</v>
      </c>
      <c r="J6411" s="44" t="s">
        <v>8</v>
      </c>
      <c r="K6411" s="23" t="s">
        <v>8</v>
      </c>
      <c r="L6411" s="23" t="s">
        <v>8</v>
      </c>
      <c r="M6411" s="23" t="s">
        <v>8</v>
      </c>
    </row>
    <row r="6412" spans="1:13" s="21" customFormat="1" x14ac:dyDescent="0.25">
      <c r="A6412" s="22" t="s">
        <v>8</v>
      </c>
      <c r="B6412" s="18" t="str">
        <f>"235350"</f>
        <v>235350</v>
      </c>
      <c r="C6412" s="19" t="s">
        <v>6325</v>
      </c>
      <c r="D6412" s="19" t="s">
        <v>21837</v>
      </c>
      <c r="E6412" s="19" t="s">
        <v>33148</v>
      </c>
      <c r="F6412" s="19" t="s">
        <v>35996</v>
      </c>
      <c r="G6412" s="18" t="str">
        <f>"49735"</f>
        <v>49735</v>
      </c>
      <c r="H6412" s="19" t="s">
        <v>36417</v>
      </c>
      <c r="I6412" s="20">
        <v>17.344999999999999</v>
      </c>
      <c r="J6412" s="44" t="s">
        <v>8</v>
      </c>
      <c r="K6412" s="23" t="s">
        <v>8</v>
      </c>
      <c r="L6412" s="23" t="s">
        <v>8</v>
      </c>
      <c r="M6412" s="23" t="s">
        <v>8</v>
      </c>
    </row>
    <row r="6413" spans="1:13" s="21" customFormat="1" x14ac:dyDescent="0.25">
      <c r="A6413" s="22" t="s">
        <v>8</v>
      </c>
      <c r="B6413" s="18" t="str">
        <f>"235351"</f>
        <v>235351</v>
      </c>
      <c r="C6413" s="19" t="s">
        <v>6326</v>
      </c>
      <c r="D6413" s="19" t="s">
        <v>21838</v>
      </c>
      <c r="E6413" s="19" t="s">
        <v>31465</v>
      </c>
      <c r="F6413" s="19" t="s">
        <v>35996</v>
      </c>
      <c r="G6413" s="18" t="str">
        <f>"48170"</f>
        <v>48170</v>
      </c>
      <c r="H6413" s="19" t="s">
        <v>33280</v>
      </c>
      <c r="I6413" s="20">
        <v>25.498999999999999</v>
      </c>
      <c r="J6413" s="44" t="s">
        <v>8</v>
      </c>
      <c r="K6413" s="23" t="s">
        <v>8</v>
      </c>
      <c r="L6413" s="23" t="s">
        <v>8</v>
      </c>
      <c r="M6413" s="23" t="s">
        <v>8</v>
      </c>
    </row>
    <row r="6414" spans="1:13" s="21" customFormat="1" x14ac:dyDescent="0.25">
      <c r="A6414" s="22" t="s">
        <v>8</v>
      </c>
      <c r="B6414" s="18" t="str">
        <f>"235352"</f>
        <v>235352</v>
      </c>
      <c r="C6414" s="19" t="s">
        <v>6327</v>
      </c>
      <c r="D6414" s="19" t="s">
        <v>21839</v>
      </c>
      <c r="E6414" s="19" t="s">
        <v>33235</v>
      </c>
      <c r="F6414" s="19" t="s">
        <v>35996</v>
      </c>
      <c r="G6414" s="18" t="str">
        <f>"49031"</f>
        <v>49031</v>
      </c>
      <c r="H6414" s="19" t="s">
        <v>36246</v>
      </c>
      <c r="I6414" s="20">
        <v>20.594000000000001</v>
      </c>
      <c r="J6414" s="44" t="s">
        <v>8</v>
      </c>
      <c r="K6414" s="23" t="s">
        <v>8</v>
      </c>
      <c r="L6414" s="23" t="s">
        <v>8</v>
      </c>
      <c r="M6414" s="23" t="s">
        <v>8</v>
      </c>
    </row>
    <row r="6415" spans="1:13" s="21" customFormat="1" x14ac:dyDescent="0.25">
      <c r="A6415" s="22" t="s">
        <v>8</v>
      </c>
      <c r="B6415" s="18" t="str">
        <f>"235354"</f>
        <v>235354</v>
      </c>
      <c r="C6415" s="19" t="s">
        <v>4346</v>
      </c>
      <c r="D6415" s="19" t="s">
        <v>21840</v>
      </c>
      <c r="E6415" s="19" t="s">
        <v>1675</v>
      </c>
      <c r="F6415" s="19" t="s">
        <v>35996</v>
      </c>
      <c r="G6415" s="18" t="str">
        <f>"49093"</f>
        <v>49093</v>
      </c>
      <c r="H6415" s="19" t="s">
        <v>33627</v>
      </c>
      <c r="I6415" s="20">
        <v>17.181000000000001</v>
      </c>
      <c r="J6415" s="44" t="s">
        <v>8</v>
      </c>
      <c r="K6415" s="23" t="s">
        <v>8</v>
      </c>
      <c r="L6415" s="23" t="s">
        <v>8</v>
      </c>
      <c r="M6415" s="23" t="s">
        <v>8</v>
      </c>
    </row>
    <row r="6416" spans="1:13" s="21" customFormat="1" x14ac:dyDescent="0.25">
      <c r="A6416" s="22" t="s">
        <v>8</v>
      </c>
      <c r="B6416" s="18" t="str">
        <f>"235355"</f>
        <v>235355</v>
      </c>
      <c r="C6416" s="19" t="s">
        <v>6328</v>
      </c>
      <c r="D6416" s="19" t="s">
        <v>21841</v>
      </c>
      <c r="E6416" s="19" t="s">
        <v>33236</v>
      </c>
      <c r="F6416" s="19" t="s">
        <v>35996</v>
      </c>
      <c r="G6416" s="18" t="str">
        <f>"49430"</f>
        <v>49430</v>
      </c>
      <c r="H6416" s="19" t="s">
        <v>31994</v>
      </c>
      <c r="I6416" s="20">
        <v>17.747</v>
      </c>
      <c r="J6416" s="44" t="s">
        <v>8</v>
      </c>
      <c r="K6416" s="23" t="s">
        <v>8</v>
      </c>
      <c r="L6416" s="23" t="s">
        <v>8</v>
      </c>
      <c r="M6416" s="23" t="s">
        <v>8</v>
      </c>
    </row>
    <row r="6417" spans="1:13" s="21" customFormat="1" x14ac:dyDescent="0.25">
      <c r="A6417" s="22" t="s">
        <v>8</v>
      </c>
      <c r="B6417" s="18" t="str">
        <f>"235356"</f>
        <v>235356</v>
      </c>
      <c r="C6417" s="19" t="s">
        <v>6329</v>
      </c>
      <c r="D6417" s="19" t="s">
        <v>21842</v>
      </c>
      <c r="E6417" s="19" t="s">
        <v>33237</v>
      </c>
      <c r="F6417" s="19" t="s">
        <v>35996</v>
      </c>
      <c r="G6417" s="18" t="str">
        <f>"49417"</f>
        <v>49417</v>
      </c>
      <c r="H6417" s="19" t="s">
        <v>31994</v>
      </c>
      <c r="I6417" s="20">
        <v>16.038</v>
      </c>
      <c r="J6417" s="44" t="s">
        <v>8</v>
      </c>
      <c r="K6417" s="23" t="s">
        <v>8</v>
      </c>
      <c r="L6417" s="23" t="s">
        <v>8</v>
      </c>
      <c r="M6417" s="23" t="s">
        <v>8</v>
      </c>
    </row>
    <row r="6418" spans="1:13" s="21" customFormat="1" x14ac:dyDescent="0.25">
      <c r="A6418" s="22" t="s">
        <v>8</v>
      </c>
      <c r="B6418" s="18" t="str">
        <f>"235357"</f>
        <v>235357</v>
      </c>
      <c r="C6418" s="19" t="s">
        <v>6330</v>
      </c>
      <c r="D6418" s="19" t="s">
        <v>21843</v>
      </c>
      <c r="E6418" s="19" t="s">
        <v>33238</v>
      </c>
      <c r="F6418" s="19" t="s">
        <v>35996</v>
      </c>
      <c r="G6418" s="18" t="str">
        <f>"48809"</f>
        <v>48809</v>
      </c>
      <c r="H6418" s="19" t="s">
        <v>33158</v>
      </c>
      <c r="I6418" s="20">
        <v>18.812000000000001</v>
      </c>
      <c r="J6418" s="44" t="s">
        <v>8</v>
      </c>
      <c r="K6418" s="23" t="s">
        <v>8</v>
      </c>
      <c r="L6418" s="23" t="s">
        <v>8</v>
      </c>
      <c r="M6418" s="23" t="s">
        <v>8</v>
      </c>
    </row>
    <row r="6419" spans="1:13" s="21" customFormat="1" x14ac:dyDescent="0.25">
      <c r="A6419" s="22" t="s">
        <v>8</v>
      </c>
      <c r="B6419" s="18" t="str">
        <f>"235358"</f>
        <v>235358</v>
      </c>
      <c r="C6419" s="19" t="s">
        <v>6331</v>
      </c>
      <c r="D6419" s="19" t="s">
        <v>21844</v>
      </c>
      <c r="E6419" s="19" t="s">
        <v>33174</v>
      </c>
      <c r="F6419" s="19" t="s">
        <v>35996</v>
      </c>
      <c r="G6419" s="18" t="str">
        <f>"49431"</f>
        <v>49431</v>
      </c>
      <c r="H6419" s="19" t="s">
        <v>34550</v>
      </c>
      <c r="I6419" s="20">
        <v>14.772</v>
      </c>
      <c r="J6419" s="44" t="s">
        <v>8</v>
      </c>
      <c r="K6419" s="23" t="s">
        <v>8</v>
      </c>
      <c r="L6419" s="23" t="s">
        <v>8</v>
      </c>
      <c r="M6419" s="23" t="s">
        <v>8</v>
      </c>
    </row>
    <row r="6420" spans="1:13" s="21" customFormat="1" x14ac:dyDescent="0.25">
      <c r="A6420" s="22" t="s">
        <v>8</v>
      </c>
      <c r="B6420" s="18" t="str">
        <f>"235359"</f>
        <v>235359</v>
      </c>
      <c r="C6420" s="19" t="s">
        <v>6332</v>
      </c>
      <c r="D6420" s="19" t="s">
        <v>21845</v>
      </c>
      <c r="E6420" s="19" t="s">
        <v>30816</v>
      </c>
      <c r="F6420" s="19" t="s">
        <v>35996</v>
      </c>
      <c r="G6420" s="18" t="str">
        <f>"49201"</f>
        <v>49201</v>
      </c>
      <c r="H6420" s="19" t="s">
        <v>30816</v>
      </c>
      <c r="I6420" s="20">
        <v>17.074000000000002</v>
      </c>
      <c r="J6420" s="44" t="s">
        <v>8</v>
      </c>
      <c r="K6420" s="23" t="s">
        <v>8</v>
      </c>
      <c r="L6420" s="23" t="s">
        <v>8</v>
      </c>
      <c r="M6420" s="23" t="s">
        <v>8</v>
      </c>
    </row>
    <row r="6421" spans="1:13" s="21" customFormat="1" x14ac:dyDescent="0.25">
      <c r="A6421" s="22" t="s">
        <v>8</v>
      </c>
      <c r="B6421" s="18" t="str">
        <f>"235360"</f>
        <v>235360</v>
      </c>
      <c r="C6421" s="19" t="s">
        <v>6333</v>
      </c>
      <c r="D6421" s="19" t="s">
        <v>21846</v>
      </c>
      <c r="E6421" s="19" t="s">
        <v>33239</v>
      </c>
      <c r="F6421" s="19" t="s">
        <v>35996</v>
      </c>
      <c r="G6421" s="18" t="str">
        <f>"49283"</f>
        <v>49283</v>
      </c>
      <c r="H6421" s="19" t="s">
        <v>30816</v>
      </c>
      <c r="I6421" s="20">
        <v>20.273</v>
      </c>
      <c r="J6421" s="44" t="s">
        <v>8</v>
      </c>
      <c r="K6421" s="23" t="s">
        <v>8</v>
      </c>
      <c r="L6421" s="23" t="s">
        <v>8</v>
      </c>
      <c r="M6421" s="23" t="s">
        <v>8</v>
      </c>
    </row>
    <row r="6422" spans="1:13" s="21" customFormat="1" x14ac:dyDescent="0.25">
      <c r="A6422" s="22" t="s">
        <v>8</v>
      </c>
      <c r="B6422" s="18" t="str">
        <f>"235361"</f>
        <v>235361</v>
      </c>
      <c r="C6422" s="19" t="s">
        <v>6334</v>
      </c>
      <c r="D6422" s="19" t="s">
        <v>21847</v>
      </c>
      <c r="E6422" s="19" t="s">
        <v>31948</v>
      </c>
      <c r="F6422" s="19" t="s">
        <v>35996</v>
      </c>
      <c r="G6422" s="18" t="str">
        <f>"49120"</f>
        <v>49120</v>
      </c>
      <c r="H6422" s="19" t="s">
        <v>36166</v>
      </c>
      <c r="I6422" s="20">
        <v>17.696000000000002</v>
      </c>
      <c r="J6422" s="44" t="s">
        <v>8</v>
      </c>
      <c r="K6422" s="23" t="s">
        <v>8</v>
      </c>
      <c r="L6422" s="23" t="s">
        <v>8</v>
      </c>
      <c r="M6422" s="23" t="s">
        <v>8</v>
      </c>
    </row>
    <row r="6423" spans="1:13" s="21" customFormat="1" x14ac:dyDescent="0.25">
      <c r="A6423" s="22" t="s">
        <v>8</v>
      </c>
      <c r="B6423" s="18" t="str">
        <f>"235363"</f>
        <v>235363</v>
      </c>
      <c r="C6423" s="19" t="s">
        <v>6335</v>
      </c>
      <c r="D6423" s="19" t="s">
        <v>21848</v>
      </c>
      <c r="E6423" s="19" t="s">
        <v>33192</v>
      </c>
      <c r="F6423" s="19" t="s">
        <v>35996</v>
      </c>
      <c r="G6423" s="18" t="str">
        <f>"48532"</f>
        <v>48532</v>
      </c>
      <c r="H6423" s="19" t="s">
        <v>36432</v>
      </c>
      <c r="I6423" s="20">
        <v>21.536000000000001</v>
      </c>
      <c r="J6423" s="44" t="s">
        <v>8</v>
      </c>
      <c r="K6423" s="23" t="s">
        <v>8</v>
      </c>
      <c r="L6423" s="23" t="s">
        <v>8</v>
      </c>
      <c r="M6423" s="23" t="s">
        <v>8</v>
      </c>
    </row>
    <row r="6424" spans="1:13" s="21" customFormat="1" x14ac:dyDescent="0.25">
      <c r="A6424" s="22" t="s">
        <v>8</v>
      </c>
      <c r="B6424" s="18" t="str">
        <f>"235365"</f>
        <v>235365</v>
      </c>
      <c r="C6424" s="19" t="s">
        <v>6336</v>
      </c>
      <c r="D6424" s="19" t="s">
        <v>21849</v>
      </c>
      <c r="E6424" s="19" t="s">
        <v>33168</v>
      </c>
      <c r="F6424" s="19" t="s">
        <v>35996</v>
      </c>
      <c r="G6424" s="18" t="str">
        <f>"48152"</f>
        <v>48152</v>
      </c>
      <c r="H6424" s="19" t="s">
        <v>33280</v>
      </c>
      <c r="I6424" s="20">
        <v>18.45</v>
      </c>
      <c r="J6424" s="44" t="s">
        <v>8</v>
      </c>
      <c r="K6424" s="23" t="s">
        <v>8</v>
      </c>
      <c r="L6424" s="23" t="s">
        <v>8</v>
      </c>
      <c r="M6424" s="23" t="s">
        <v>8</v>
      </c>
    </row>
    <row r="6425" spans="1:13" s="21" customFormat="1" x14ac:dyDescent="0.25">
      <c r="A6425" s="22" t="s">
        <v>8</v>
      </c>
      <c r="B6425" s="18" t="str">
        <f>"235366"</f>
        <v>235366</v>
      </c>
      <c r="C6425" s="19" t="s">
        <v>6337</v>
      </c>
      <c r="D6425" s="19" t="s">
        <v>21850</v>
      </c>
      <c r="E6425" s="19" t="s">
        <v>33160</v>
      </c>
      <c r="F6425" s="19" t="s">
        <v>35996</v>
      </c>
      <c r="G6425" s="18" t="str">
        <f>"49506"</f>
        <v>49506</v>
      </c>
      <c r="H6425" s="19" t="s">
        <v>31478</v>
      </c>
      <c r="I6425" s="20">
        <v>18.186</v>
      </c>
      <c r="J6425" s="44" t="s">
        <v>8</v>
      </c>
      <c r="K6425" s="23" t="s">
        <v>8</v>
      </c>
      <c r="L6425" s="23" t="s">
        <v>8</v>
      </c>
      <c r="M6425" s="23" t="s">
        <v>8</v>
      </c>
    </row>
    <row r="6426" spans="1:13" s="21" customFormat="1" x14ac:dyDescent="0.25">
      <c r="A6426" s="22" t="s">
        <v>8</v>
      </c>
      <c r="B6426" s="18" t="str">
        <f>"235367"</f>
        <v>235367</v>
      </c>
      <c r="C6426" s="19" t="s">
        <v>6338</v>
      </c>
      <c r="D6426" s="19" t="s">
        <v>21851</v>
      </c>
      <c r="E6426" s="19" t="s">
        <v>3713</v>
      </c>
      <c r="F6426" s="19" t="s">
        <v>35996</v>
      </c>
      <c r="G6426" s="18" t="str">
        <f>"49855"</f>
        <v>49855</v>
      </c>
      <c r="H6426" s="19" t="s">
        <v>3713</v>
      </c>
      <c r="I6426" s="20">
        <v>18.542000000000002</v>
      </c>
      <c r="J6426" s="44" t="s">
        <v>8</v>
      </c>
      <c r="K6426" s="23" t="s">
        <v>8</v>
      </c>
      <c r="L6426" s="23" t="s">
        <v>8</v>
      </c>
      <c r="M6426" s="23" t="s">
        <v>8</v>
      </c>
    </row>
    <row r="6427" spans="1:13" s="21" customFormat="1" x14ac:dyDescent="0.25">
      <c r="A6427" s="22" t="s">
        <v>8</v>
      </c>
      <c r="B6427" s="18" t="str">
        <f>"235369"</f>
        <v>235369</v>
      </c>
      <c r="C6427" s="19" t="s">
        <v>6339</v>
      </c>
      <c r="D6427" s="19" t="s">
        <v>21852</v>
      </c>
      <c r="E6427" s="19" t="s">
        <v>33240</v>
      </c>
      <c r="F6427" s="19" t="s">
        <v>35996</v>
      </c>
      <c r="G6427" s="18" t="str">
        <f>"48060"</f>
        <v>48060</v>
      </c>
      <c r="H6427" s="19" t="s">
        <v>33662</v>
      </c>
      <c r="I6427" s="20">
        <v>22.382000000000001</v>
      </c>
      <c r="J6427" s="44" t="s">
        <v>8</v>
      </c>
      <c r="K6427" s="23" t="s">
        <v>8</v>
      </c>
      <c r="L6427" s="23" t="s">
        <v>8</v>
      </c>
      <c r="M6427" s="23" t="s">
        <v>8</v>
      </c>
    </row>
    <row r="6428" spans="1:13" s="21" customFormat="1" x14ac:dyDescent="0.25">
      <c r="A6428" s="22" t="s">
        <v>8</v>
      </c>
      <c r="B6428" s="18" t="str">
        <f>"235370"</f>
        <v>235370</v>
      </c>
      <c r="C6428" s="19" t="s">
        <v>6340</v>
      </c>
      <c r="D6428" s="19" t="s">
        <v>21853</v>
      </c>
      <c r="E6428" s="19" t="s">
        <v>33241</v>
      </c>
      <c r="F6428" s="19" t="s">
        <v>35996</v>
      </c>
      <c r="G6428" s="18" t="str">
        <f>"48054"</f>
        <v>48054</v>
      </c>
      <c r="H6428" s="19" t="s">
        <v>33662</v>
      </c>
      <c r="I6428" s="20">
        <v>19.527999999999999</v>
      </c>
      <c r="J6428" s="44" t="s">
        <v>8</v>
      </c>
      <c r="K6428" s="23" t="s">
        <v>8</v>
      </c>
      <c r="L6428" s="23" t="s">
        <v>8</v>
      </c>
      <c r="M6428" s="23" t="s">
        <v>8</v>
      </c>
    </row>
    <row r="6429" spans="1:13" s="21" customFormat="1" x14ac:dyDescent="0.25">
      <c r="A6429" s="22" t="s">
        <v>8</v>
      </c>
      <c r="B6429" s="18" t="str">
        <f>"235371"</f>
        <v>235371</v>
      </c>
      <c r="C6429" s="19" t="s">
        <v>6341</v>
      </c>
      <c r="D6429" s="19" t="s">
        <v>21854</v>
      </c>
      <c r="E6429" s="19" t="s">
        <v>33242</v>
      </c>
      <c r="F6429" s="19" t="s">
        <v>35996</v>
      </c>
      <c r="G6429" s="18" t="str">
        <f>"48097"</f>
        <v>48097</v>
      </c>
      <c r="H6429" s="19" t="s">
        <v>33662</v>
      </c>
      <c r="I6429" s="20">
        <v>21.37</v>
      </c>
      <c r="J6429" s="44" t="s">
        <v>8</v>
      </c>
      <c r="K6429" s="23" t="s">
        <v>8</v>
      </c>
      <c r="L6429" s="23" t="s">
        <v>8</v>
      </c>
      <c r="M6429" s="23" t="s">
        <v>8</v>
      </c>
    </row>
    <row r="6430" spans="1:13" s="21" customFormat="1" x14ac:dyDescent="0.25">
      <c r="A6430" s="22" t="s">
        <v>8</v>
      </c>
      <c r="B6430" s="18" t="str">
        <f>"235372"</f>
        <v>235372</v>
      </c>
      <c r="C6430" s="19" t="s">
        <v>6342</v>
      </c>
      <c r="D6430" s="19" t="s">
        <v>21855</v>
      </c>
      <c r="E6430" s="19" t="s">
        <v>33180</v>
      </c>
      <c r="F6430" s="19" t="s">
        <v>35996</v>
      </c>
      <c r="G6430" s="18" t="str">
        <f>"48234"</f>
        <v>48234</v>
      </c>
      <c r="H6430" s="19" t="s">
        <v>33280</v>
      </c>
      <c r="I6430" s="20">
        <v>18.902000000000001</v>
      </c>
      <c r="J6430" s="44" t="s">
        <v>8</v>
      </c>
      <c r="K6430" s="23" t="s">
        <v>8</v>
      </c>
      <c r="L6430" s="23" t="s">
        <v>8</v>
      </c>
      <c r="M6430" s="23" t="s">
        <v>8</v>
      </c>
    </row>
    <row r="6431" spans="1:13" s="21" customFormat="1" x14ac:dyDescent="0.25">
      <c r="A6431" s="22" t="s">
        <v>8</v>
      </c>
      <c r="B6431" s="18" t="str">
        <f>"235373"</f>
        <v>235373</v>
      </c>
      <c r="C6431" s="19" t="s">
        <v>6343</v>
      </c>
      <c r="D6431" s="19" t="s">
        <v>21856</v>
      </c>
      <c r="E6431" s="19" t="s">
        <v>33243</v>
      </c>
      <c r="F6431" s="19" t="s">
        <v>35996</v>
      </c>
      <c r="G6431" s="18" t="str">
        <f>"49456"</f>
        <v>49456</v>
      </c>
      <c r="H6431" s="19" t="s">
        <v>31994</v>
      </c>
      <c r="I6431" s="20">
        <v>17.664000000000001</v>
      </c>
      <c r="J6431" s="44" t="s">
        <v>8</v>
      </c>
      <c r="K6431" s="23" t="s">
        <v>8</v>
      </c>
      <c r="L6431" s="23" t="s">
        <v>8</v>
      </c>
      <c r="M6431" s="23" t="s">
        <v>8</v>
      </c>
    </row>
    <row r="6432" spans="1:13" s="21" customFormat="1" x14ac:dyDescent="0.25">
      <c r="A6432" s="22" t="s">
        <v>8</v>
      </c>
      <c r="B6432" s="18" t="str">
        <f>"235374"</f>
        <v>235374</v>
      </c>
      <c r="C6432" s="19" t="s">
        <v>6344</v>
      </c>
      <c r="D6432" s="19" t="s">
        <v>21857</v>
      </c>
      <c r="E6432" s="19" t="s">
        <v>33180</v>
      </c>
      <c r="F6432" s="19" t="s">
        <v>35996</v>
      </c>
      <c r="G6432" s="18" t="str">
        <f>"48219"</f>
        <v>48219</v>
      </c>
      <c r="H6432" s="19" t="s">
        <v>33280</v>
      </c>
      <c r="I6432" s="20">
        <v>18.727</v>
      </c>
      <c r="J6432" s="44" t="s">
        <v>8</v>
      </c>
      <c r="K6432" s="23" t="s">
        <v>8</v>
      </c>
      <c r="L6432" s="23" t="s">
        <v>8</v>
      </c>
      <c r="M6432" s="23" t="s">
        <v>8</v>
      </c>
    </row>
    <row r="6433" spans="1:13" s="21" customFormat="1" x14ac:dyDescent="0.25">
      <c r="A6433" s="22" t="s">
        <v>8</v>
      </c>
      <c r="B6433" s="18" t="str">
        <f>"235375"</f>
        <v>235375</v>
      </c>
      <c r="C6433" s="19" t="s">
        <v>6345</v>
      </c>
      <c r="D6433" s="19" t="s">
        <v>21858</v>
      </c>
      <c r="E6433" s="19" t="s">
        <v>33244</v>
      </c>
      <c r="F6433" s="19" t="s">
        <v>35996</v>
      </c>
      <c r="G6433" s="18" t="str">
        <f>"48183"</f>
        <v>48183</v>
      </c>
      <c r="H6433" s="19" t="s">
        <v>33280</v>
      </c>
      <c r="I6433" s="20">
        <v>20.536999999999999</v>
      </c>
      <c r="J6433" s="44" t="s">
        <v>8</v>
      </c>
      <c r="K6433" s="23" t="s">
        <v>8</v>
      </c>
      <c r="L6433" s="23" t="s">
        <v>8</v>
      </c>
      <c r="M6433" s="23" t="s">
        <v>8</v>
      </c>
    </row>
    <row r="6434" spans="1:13" s="21" customFormat="1" x14ac:dyDescent="0.25">
      <c r="A6434" s="22" t="s">
        <v>8</v>
      </c>
      <c r="B6434" s="18" t="str">
        <f>"235376"</f>
        <v>235376</v>
      </c>
      <c r="C6434" s="19" t="s">
        <v>6346</v>
      </c>
      <c r="D6434" s="19" t="s">
        <v>21859</v>
      </c>
      <c r="E6434" s="19" t="s">
        <v>33222</v>
      </c>
      <c r="F6434" s="19" t="s">
        <v>35996</v>
      </c>
      <c r="G6434" s="18" t="str">
        <f>"48192"</f>
        <v>48192</v>
      </c>
      <c r="H6434" s="19" t="s">
        <v>33280</v>
      </c>
      <c r="I6434" s="20">
        <v>20.957000000000001</v>
      </c>
      <c r="J6434" s="44" t="s">
        <v>8</v>
      </c>
      <c r="K6434" s="23" t="s">
        <v>8</v>
      </c>
      <c r="L6434" s="23" t="s">
        <v>8</v>
      </c>
      <c r="M6434" s="23" t="s">
        <v>8</v>
      </c>
    </row>
    <row r="6435" spans="1:13" s="21" customFormat="1" x14ac:dyDescent="0.25">
      <c r="A6435" s="22" t="s">
        <v>8</v>
      </c>
      <c r="B6435" s="18" t="str">
        <f>"235377"</f>
        <v>235377</v>
      </c>
      <c r="C6435" s="19" t="s">
        <v>6347</v>
      </c>
      <c r="D6435" s="19" t="s">
        <v>21860</v>
      </c>
      <c r="E6435" s="19" t="s">
        <v>33160</v>
      </c>
      <c r="F6435" s="19" t="s">
        <v>35996</v>
      </c>
      <c r="G6435" s="18" t="str">
        <f>"49544"</f>
        <v>49544</v>
      </c>
      <c r="H6435" s="19" t="s">
        <v>31478</v>
      </c>
      <c r="I6435" s="20">
        <v>17.207000000000001</v>
      </c>
      <c r="J6435" s="44" t="s">
        <v>8</v>
      </c>
      <c r="K6435" s="23" t="s">
        <v>8</v>
      </c>
      <c r="L6435" s="23" t="s">
        <v>8</v>
      </c>
      <c r="M6435" s="23" t="s">
        <v>8</v>
      </c>
    </row>
    <row r="6436" spans="1:13" s="21" customFormat="1" x14ac:dyDescent="0.25">
      <c r="A6436" s="22" t="s">
        <v>8</v>
      </c>
      <c r="B6436" s="18" t="str">
        <f>"235378"</f>
        <v>235378</v>
      </c>
      <c r="C6436" s="19" t="s">
        <v>6348</v>
      </c>
      <c r="D6436" s="19" t="s">
        <v>21861</v>
      </c>
      <c r="E6436" s="19" t="s">
        <v>33176</v>
      </c>
      <c r="F6436" s="19" t="s">
        <v>35996</v>
      </c>
      <c r="G6436" s="18" t="str">
        <f>"49423"</f>
        <v>49423</v>
      </c>
      <c r="H6436" s="19" t="s">
        <v>31994</v>
      </c>
      <c r="I6436" s="20">
        <v>16.388000000000002</v>
      </c>
      <c r="J6436" s="44" t="s">
        <v>8</v>
      </c>
      <c r="K6436" s="23" t="s">
        <v>8</v>
      </c>
      <c r="L6436" s="23" t="s">
        <v>8</v>
      </c>
      <c r="M6436" s="23" t="s">
        <v>8</v>
      </c>
    </row>
    <row r="6437" spans="1:13" s="21" customFormat="1" x14ac:dyDescent="0.25">
      <c r="A6437" s="22" t="s">
        <v>8</v>
      </c>
      <c r="B6437" s="18" t="str">
        <f>"235379"</f>
        <v>235379</v>
      </c>
      <c r="C6437" s="19" t="s">
        <v>6349</v>
      </c>
      <c r="D6437" s="19" t="s">
        <v>21862</v>
      </c>
      <c r="E6437" s="19" t="s">
        <v>33151</v>
      </c>
      <c r="F6437" s="19" t="s">
        <v>35996</v>
      </c>
      <c r="G6437" s="18" t="str">
        <f>"48763"</f>
        <v>48763</v>
      </c>
      <c r="H6437" s="19" t="s">
        <v>36419</v>
      </c>
      <c r="I6437" s="20">
        <v>15.606999999999999</v>
      </c>
      <c r="J6437" s="44" t="s">
        <v>8</v>
      </c>
      <c r="K6437" s="23" t="s">
        <v>8</v>
      </c>
      <c r="L6437" s="23" t="s">
        <v>8</v>
      </c>
      <c r="M6437" s="23" t="s">
        <v>8</v>
      </c>
    </row>
    <row r="6438" spans="1:13" s="21" customFormat="1" x14ac:dyDescent="0.25">
      <c r="A6438" s="22" t="s">
        <v>8</v>
      </c>
      <c r="B6438" s="18" t="str">
        <f>"235380"</f>
        <v>235380</v>
      </c>
      <c r="C6438" s="19" t="s">
        <v>6350</v>
      </c>
      <c r="D6438" s="19" t="s">
        <v>21863</v>
      </c>
      <c r="E6438" s="19" t="s">
        <v>33245</v>
      </c>
      <c r="F6438" s="19" t="s">
        <v>35996</v>
      </c>
      <c r="G6438" s="18" t="str">
        <f>"48654"</f>
        <v>48654</v>
      </c>
      <c r="H6438" s="19" t="s">
        <v>36441</v>
      </c>
      <c r="I6438" s="20">
        <v>17.998000000000001</v>
      </c>
      <c r="J6438" s="44" t="s">
        <v>8</v>
      </c>
      <c r="K6438" s="23" t="s">
        <v>8</v>
      </c>
      <c r="L6438" s="23" t="s">
        <v>8</v>
      </c>
      <c r="M6438" s="23" t="s">
        <v>8</v>
      </c>
    </row>
    <row r="6439" spans="1:13" s="21" customFormat="1" x14ac:dyDescent="0.25">
      <c r="A6439" s="22" t="s">
        <v>8</v>
      </c>
      <c r="B6439" s="18" t="str">
        <f>"235381"</f>
        <v>235381</v>
      </c>
      <c r="C6439" s="19" t="s">
        <v>6351</v>
      </c>
      <c r="D6439" s="19" t="s">
        <v>21864</v>
      </c>
      <c r="E6439" s="19" t="s">
        <v>33218</v>
      </c>
      <c r="F6439" s="19" t="s">
        <v>35996</v>
      </c>
      <c r="G6439" s="18" t="str">
        <f>"49783"</f>
        <v>49783</v>
      </c>
      <c r="H6439" s="19" t="s">
        <v>36439</v>
      </c>
      <c r="I6439" s="20">
        <v>16.901</v>
      </c>
      <c r="J6439" s="44" t="s">
        <v>8</v>
      </c>
      <c r="K6439" s="23" t="s">
        <v>8</v>
      </c>
      <c r="L6439" s="23" t="s">
        <v>8</v>
      </c>
      <c r="M6439" s="23" t="s">
        <v>8</v>
      </c>
    </row>
    <row r="6440" spans="1:13" s="21" customFormat="1" x14ac:dyDescent="0.25">
      <c r="A6440" s="22" t="s">
        <v>8</v>
      </c>
      <c r="B6440" s="18" t="str">
        <f>"235382"</f>
        <v>235382</v>
      </c>
      <c r="C6440" s="19" t="s">
        <v>6352</v>
      </c>
      <c r="D6440" s="19" t="s">
        <v>21865</v>
      </c>
      <c r="E6440" s="19" t="s">
        <v>33180</v>
      </c>
      <c r="F6440" s="19" t="s">
        <v>35996</v>
      </c>
      <c r="G6440" s="18" t="str">
        <f>"48207"</f>
        <v>48207</v>
      </c>
      <c r="H6440" s="19" t="s">
        <v>33280</v>
      </c>
      <c r="I6440" s="20">
        <v>20.547999999999998</v>
      </c>
      <c r="J6440" s="44" t="s">
        <v>8</v>
      </c>
      <c r="K6440" s="23" t="s">
        <v>8</v>
      </c>
      <c r="L6440" s="23" t="s">
        <v>8</v>
      </c>
      <c r="M6440" s="23" t="s">
        <v>8</v>
      </c>
    </row>
    <row r="6441" spans="1:13" s="21" customFormat="1" x14ac:dyDescent="0.25">
      <c r="A6441" s="22" t="s">
        <v>8</v>
      </c>
      <c r="B6441" s="18" t="str">
        <f>"235383"</f>
        <v>235383</v>
      </c>
      <c r="C6441" s="19" t="s">
        <v>6353</v>
      </c>
      <c r="D6441" s="19" t="s">
        <v>21866</v>
      </c>
      <c r="E6441" s="19" t="s">
        <v>33246</v>
      </c>
      <c r="F6441" s="19" t="s">
        <v>35996</v>
      </c>
      <c r="G6441" s="18" t="str">
        <f>"48212"</f>
        <v>48212</v>
      </c>
      <c r="H6441" s="19" t="s">
        <v>33280</v>
      </c>
      <c r="I6441" s="20">
        <v>19.393999999999998</v>
      </c>
      <c r="J6441" s="44" t="s">
        <v>8</v>
      </c>
      <c r="K6441" s="23" t="s">
        <v>8</v>
      </c>
      <c r="L6441" s="23" t="s">
        <v>8</v>
      </c>
      <c r="M6441" s="23" t="s">
        <v>8</v>
      </c>
    </row>
    <row r="6442" spans="1:13" s="21" customFormat="1" x14ac:dyDescent="0.25">
      <c r="A6442" s="22" t="s">
        <v>8</v>
      </c>
      <c r="B6442" s="18" t="str">
        <f>"235384"</f>
        <v>235384</v>
      </c>
      <c r="C6442" s="19" t="s">
        <v>6354</v>
      </c>
      <c r="D6442" s="19" t="s">
        <v>21867</v>
      </c>
      <c r="E6442" s="19" t="s">
        <v>33228</v>
      </c>
      <c r="F6442" s="19" t="s">
        <v>35996</v>
      </c>
      <c r="G6442" s="18" t="str">
        <f>"48880"</f>
        <v>48880</v>
      </c>
      <c r="H6442" s="19" t="s">
        <v>36421</v>
      </c>
      <c r="I6442" s="20">
        <v>15.907</v>
      </c>
      <c r="J6442" s="44" t="s">
        <v>8</v>
      </c>
      <c r="K6442" s="23" t="s">
        <v>8</v>
      </c>
      <c r="L6442" s="23" t="s">
        <v>8</v>
      </c>
      <c r="M6442" s="23" t="s">
        <v>8</v>
      </c>
    </row>
    <row r="6443" spans="1:13" s="21" customFormat="1" x14ac:dyDescent="0.25">
      <c r="A6443" s="22" t="s">
        <v>8</v>
      </c>
      <c r="B6443" s="18" t="str">
        <f>"235385"</f>
        <v>235385</v>
      </c>
      <c r="C6443" s="19" t="s">
        <v>6355</v>
      </c>
      <c r="D6443" s="19" t="s">
        <v>21868</v>
      </c>
      <c r="E6443" s="19" t="s">
        <v>32348</v>
      </c>
      <c r="F6443" s="19" t="s">
        <v>35996</v>
      </c>
      <c r="G6443" s="18" t="str">
        <f>"48858"</f>
        <v>48858</v>
      </c>
      <c r="H6443" s="19" t="s">
        <v>36425</v>
      </c>
      <c r="I6443" s="20">
        <v>16.751000000000001</v>
      </c>
      <c r="J6443" s="44" t="s">
        <v>8</v>
      </c>
      <c r="K6443" s="23" t="s">
        <v>8</v>
      </c>
      <c r="L6443" s="23" t="s">
        <v>8</v>
      </c>
      <c r="M6443" s="23" t="s">
        <v>8</v>
      </c>
    </row>
    <row r="6444" spans="1:13" s="21" customFormat="1" x14ac:dyDescent="0.25">
      <c r="A6444" s="22" t="s">
        <v>8</v>
      </c>
      <c r="B6444" s="18" t="str">
        <f>"235388"</f>
        <v>235388</v>
      </c>
      <c r="C6444" s="19" t="s">
        <v>6356</v>
      </c>
      <c r="D6444" s="19" t="s">
        <v>21869</v>
      </c>
      <c r="E6444" s="19" t="s">
        <v>33247</v>
      </c>
      <c r="F6444" s="19" t="s">
        <v>35996</v>
      </c>
      <c r="G6444" s="18" t="str">
        <f>"48706"</f>
        <v>48706</v>
      </c>
      <c r="H6444" s="19" t="s">
        <v>36132</v>
      </c>
      <c r="I6444" s="20">
        <v>15.635</v>
      </c>
      <c r="J6444" s="44" t="s">
        <v>8</v>
      </c>
      <c r="K6444" s="23" t="s">
        <v>8</v>
      </c>
      <c r="L6444" s="23" t="s">
        <v>8</v>
      </c>
      <c r="M6444" s="23" t="s">
        <v>8</v>
      </c>
    </row>
    <row r="6445" spans="1:13" s="21" customFormat="1" x14ac:dyDescent="0.25">
      <c r="A6445" s="22" t="s">
        <v>8</v>
      </c>
      <c r="B6445" s="18" t="str">
        <f>"235395"</f>
        <v>235395</v>
      </c>
      <c r="C6445" s="19" t="s">
        <v>6357</v>
      </c>
      <c r="D6445" s="19" t="s">
        <v>21870</v>
      </c>
      <c r="E6445" s="19" t="s">
        <v>1675</v>
      </c>
      <c r="F6445" s="19" t="s">
        <v>35996</v>
      </c>
      <c r="G6445" s="18" t="str">
        <f>"49093"</f>
        <v>49093</v>
      </c>
      <c r="H6445" s="19" t="s">
        <v>33627</v>
      </c>
      <c r="I6445" s="20">
        <v>18.11</v>
      </c>
      <c r="J6445" s="44" t="s">
        <v>8</v>
      </c>
      <c r="K6445" s="23" t="s">
        <v>8</v>
      </c>
      <c r="L6445" s="23" t="s">
        <v>8</v>
      </c>
      <c r="M6445" s="23" t="s">
        <v>8</v>
      </c>
    </row>
    <row r="6446" spans="1:13" s="21" customFormat="1" x14ac:dyDescent="0.25">
      <c r="A6446" s="22" t="s">
        <v>8</v>
      </c>
      <c r="B6446" s="18" t="str">
        <f>"235396"</f>
        <v>235396</v>
      </c>
      <c r="C6446" s="19" t="s">
        <v>6358</v>
      </c>
      <c r="D6446" s="19" t="s">
        <v>21871</v>
      </c>
      <c r="E6446" s="19" t="s">
        <v>33248</v>
      </c>
      <c r="F6446" s="19" t="s">
        <v>35996</v>
      </c>
      <c r="G6446" s="18" t="str">
        <f>"48359"</f>
        <v>48359</v>
      </c>
      <c r="H6446" s="19" t="s">
        <v>31143</v>
      </c>
      <c r="I6446" s="20">
        <v>22.111999999999998</v>
      </c>
      <c r="J6446" s="44" t="s">
        <v>8</v>
      </c>
      <c r="K6446" s="23" t="s">
        <v>8</v>
      </c>
      <c r="L6446" s="23" t="s">
        <v>8</v>
      </c>
      <c r="M6446" s="23" t="s">
        <v>8</v>
      </c>
    </row>
    <row r="6447" spans="1:13" s="21" customFormat="1" x14ac:dyDescent="0.25">
      <c r="A6447" s="22" t="s">
        <v>8</v>
      </c>
      <c r="B6447" s="18" t="str">
        <f>"235399"</f>
        <v>235399</v>
      </c>
      <c r="C6447" s="19" t="s">
        <v>6359</v>
      </c>
      <c r="D6447" s="19" t="s">
        <v>21872</v>
      </c>
      <c r="E6447" s="19" t="s">
        <v>32230</v>
      </c>
      <c r="F6447" s="19" t="s">
        <v>35996</v>
      </c>
      <c r="G6447" s="18" t="str">
        <f>"49002"</f>
        <v>49002</v>
      </c>
      <c r="H6447" s="19" t="s">
        <v>33165</v>
      </c>
      <c r="I6447" s="20">
        <v>17.957999999999998</v>
      </c>
      <c r="J6447" s="44" t="s">
        <v>8</v>
      </c>
      <c r="K6447" s="23" t="s">
        <v>8</v>
      </c>
      <c r="L6447" s="23" t="s">
        <v>8</v>
      </c>
      <c r="M6447" s="23" t="s">
        <v>8</v>
      </c>
    </row>
    <row r="6448" spans="1:13" s="21" customFormat="1" x14ac:dyDescent="0.25">
      <c r="A6448" s="22" t="s">
        <v>8</v>
      </c>
      <c r="B6448" s="18" t="str">
        <f>"235400"</f>
        <v>235400</v>
      </c>
      <c r="C6448" s="19" t="s">
        <v>6275</v>
      </c>
      <c r="D6448" s="19" t="s">
        <v>21873</v>
      </c>
      <c r="E6448" s="19" t="s">
        <v>1570</v>
      </c>
      <c r="F6448" s="19" t="s">
        <v>35996</v>
      </c>
      <c r="G6448" s="18" t="str">
        <f>"48621"</f>
        <v>48621</v>
      </c>
      <c r="H6448" s="19" t="s">
        <v>36442</v>
      </c>
      <c r="I6448" s="20">
        <v>17.931000000000001</v>
      </c>
      <c r="J6448" s="44" t="s">
        <v>8</v>
      </c>
      <c r="K6448" s="23" t="s">
        <v>8</v>
      </c>
      <c r="L6448" s="23" t="s">
        <v>8</v>
      </c>
      <c r="M6448" s="23" t="s">
        <v>8</v>
      </c>
    </row>
    <row r="6449" spans="1:13" s="21" customFormat="1" x14ac:dyDescent="0.25">
      <c r="A6449" s="22" t="s">
        <v>8</v>
      </c>
      <c r="B6449" s="18" t="str">
        <f>"235401"</f>
        <v>235401</v>
      </c>
      <c r="C6449" s="19" t="s">
        <v>6360</v>
      </c>
      <c r="D6449" s="19" t="s">
        <v>21874</v>
      </c>
      <c r="E6449" s="19" t="s">
        <v>33160</v>
      </c>
      <c r="F6449" s="19" t="s">
        <v>35996</v>
      </c>
      <c r="G6449" s="18" t="str">
        <f>"49506"</f>
        <v>49506</v>
      </c>
      <c r="H6449" s="19" t="s">
        <v>31478</v>
      </c>
      <c r="I6449" s="20">
        <v>20.75</v>
      </c>
      <c r="J6449" s="44" t="s">
        <v>8</v>
      </c>
      <c r="K6449" s="23" t="s">
        <v>8</v>
      </c>
      <c r="L6449" s="23" t="s">
        <v>8</v>
      </c>
      <c r="M6449" s="23" t="s">
        <v>8</v>
      </c>
    </row>
    <row r="6450" spans="1:13" s="21" customFormat="1" x14ac:dyDescent="0.25">
      <c r="A6450" s="22" t="s">
        <v>8</v>
      </c>
      <c r="B6450" s="18" t="str">
        <f>"235402"</f>
        <v>235402</v>
      </c>
      <c r="C6450" s="19" t="s">
        <v>6361</v>
      </c>
      <c r="D6450" s="19" t="s">
        <v>21875</v>
      </c>
      <c r="E6450" s="19" t="s">
        <v>33180</v>
      </c>
      <c r="F6450" s="19" t="s">
        <v>35996</v>
      </c>
      <c r="G6450" s="18" t="str">
        <f>"48219"</f>
        <v>48219</v>
      </c>
      <c r="H6450" s="19" t="s">
        <v>33280</v>
      </c>
      <c r="I6450" s="20">
        <v>19.277000000000001</v>
      </c>
      <c r="J6450" s="44" t="s">
        <v>8</v>
      </c>
      <c r="K6450" s="23" t="s">
        <v>8</v>
      </c>
      <c r="L6450" s="23" t="s">
        <v>8</v>
      </c>
      <c r="M6450" s="23" t="s">
        <v>8</v>
      </c>
    </row>
    <row r="6451" spans="1:13" s="21" customFormat="1" x14ac:dyDescent="0.25">
      <c r="A6451" s="22" t="s">
        <v>8</v>
      </c>
      <c r="B6451" s="18" t="str">
        <f>"235405"</f>
        <v>235405</v>
      </c>
      <c r="C6451" s="19" t="s">
        <v>6362</v>
      </c>
      <c r="D6451" s="19" t="s">
        <v>21876</v>
      </c>
      <c r="E6451" s="19" t="s">
        <v>33249</v>
      </c>
      <c r="F6451" s="19" t="s">
        <v>35996</v>
      </c>
      <c r="G6451" s="18" t="str">
        <f>"48038"</f>
        <v>48038</v>
      </c>
      <c r="H6451" s="19" t="s">
        <v>31911</v>
      </c>
      <c r="I6451" s="20">
        <v>19.715</v>
      </c>
      <c r="J6451" s="44" t="s">
        <v>8</v>
      </c>
      <c r="K6451" s="23" t="s">
        <v>8</v>
      </c>
      <c r="L6451" s="23" t="s">
        <v>8</v>
      </c>
      <c r="M6451" s="23" t="s">
        <v>8</v>
      </c>
    </row>
    <row r="6452" spans="1:13" s="21" customFormat="1" x14ac:dyDescent="0.25">
      <c r="A6452" s="22" t="s">
        <v>8</v>
      </c>
      <c r="B6452" s="18" t="str">
        <f>"235407"</f>
        <v>235407</v>
      </c>
      <c r="C6452" s="19" t="s">
        <v>6363</v>
      </c>
      <c r="D6452" s="19" t="s">
        <v>21877</v>
      </c>
      <c r="E6452" s="19" t="s">
        <v>33250</v>
      </c>
      <c r="F6452" s="19" t="s">
        <v>35996</v>
      </c>
      <c r="G6452" s="18" t="str">
        <f>"49646"</f>
        <v>49646</v>
      </c>
      <c r="H6452" s="19" t="s">
        <v>33250</v>
      </c>
      <c r="I6452" s="20">
        <v>15.92</v>
      </c>
      <c r="J6452" s="44" t="s">
        <v>8</v>
      </c>
      <c r="K6452" s="23" t="s">
        <v>8</v>
      </c>
      <c r="L6452" s="23" t="s">
        <v>8</v>
      </c>
      <c r="M6452" s="23" t="s">
        <v>8</v>
      </c>
    </row>
    <row r="6453" spans="1:13" s="21" customFormat="1" x14ac:dyDescent="0.25">
      <c r="A6453" s="22" t="s">
        <v>8</v>
      </c>
      <c r="B6453" s="18" t="str">
        <f>"235408"</f>
        <v>235408</v>
      </c>
      <c r="C6453" s="19" t="s">
        <v>6364</v>
      </c>
      <c r="D6453" s="19" t="s">
        <v>21878</v>
      </c>
      <c r="E6453" s="19" t="s">
        <v>31025</v>
      </c>
      <c r="F6453" s="19" t="s">
        <v>35996</v>
      </c>
      <c r="G6453" s="18" t="str">
        <f>"48092"</f>
        <v>48092</v>
      </c>
      <c r="H6453" s="19" t="s">
        <v>31911</v>
      </c>
      <c r="I6453" s="20">
        <v>21.959</v>
      </c>
      <c r="J6453" s="44" t="s">
        <v>8</v>
      </c>
      <c r="K6453" s="23" t="s">
        <v>8</v>
      </c>
      <c r="L6453" s="23" t="s">
        <v>8</v>
      </c>
      <c r="M6453" s="23" t="s">
        <v>8</v>
      </c>
    </row>
    <row r="6454" spans="1:13" s="21" customFormat="1" x14ac:dyDescent="0.25">
      <c r="A6454" s="22" t="s">
        <v>8</v>
      </c>
      <c r="B6454" s="18" t="str">
        <f>"235410"</f>
        <v>235410</v>
      </c>
      <c r="C6454" s="19" t="s">
        <v>6365</v>
      </c>
      <c r="D6454" s="19" t="s">
        <v>21879</v>
      </c>
      <c r="E6454" s="19" t="s">
        <v>33251</v>
      </c>
      <c r="F6454" s="19" t="s">
        <v>35996</v>
      </c>
      <c r="G6454" s="18" t="str">
        <f>"49862"</f>
        <v>49862</v>
      </c>
      <c r="H6454" s="19" t="s">
        <v>36443</v>
      </c>
      <c r="I6454" s="20">
        <v>15.645</v>
      </c>
      <c r="J6454" s="44" t="s">
        <v>8</v>
      </c>
      <c r="K6454" s="23" t="s">
        <v>8</v>
      </c>
      <c r="L6454" s="23" t="s">
        <v>8</v>
      </c>
      <c r="M6454" s="23" t="s">
        <v>8</v>
      </c>
    </row>
    <row r="6455" spans="1:13" s="21" customFormat="1" x14ac:dyDescent="0.25">
      <c r="A6455" s="22" t="s">
        <v>8</v>
      </c>
      <c r="B6455" s="18" t="str">
        <f>"235411"</f>
        <v>235411</v>
      </c>
      <c r="C6455" s="19" t="s">
        <v>6366</v>
      </c>
      <c r="D6455" s="19" t="s">
        <v>21880</v>
      </c>
      <c r="E6455" s="19" t="s">
        <v>33247</v>
      </c>
      <c r="F6455" s="19" t="s">
        <v>35996</v>
      </c>
      <c r="G6455" s="18" t="str">
        <f>"48708"</f>
        <v>48708</v>
      </c>
      <c r="H6455" s="19" t="s">
        <v>36132</v>
      </c>
      <c r="I6455" s="20">
        <v>19.306000000000001</v>
      </c>
      <c r="J6455" s="44" t="s">
        <v>8</v>
      </c>
      <c r="K6455" s="23" t="s">
        <v>8</v>
      </c>
      <c r="L6455" s="23" t="s">
        <v>8</v>
      </c>
      <c r="M6455" s="23" t="s">
        <v>8</v>
      </c>
    </row>
    <row r="6456" spans="1:13" s="21" customFormat="1" x14ac:dyDescent="0.25">
      <c r="A6456" s="22" t="s">
        <v>8</v>
      </c>
      <c r="B6456" s="18" t="str">
        <f>"235412"</f>
        <v>235412</v>
      </c>
      <c r="C6456" s="19" t="s">
        <v>6367</v>
      </c>
      <c r="D6456" s="19" t="s">
        <v>21881</v>
      </c>
      <c r="E6456" s="19" t="s">
        <v>33177</v>
      </c>
      <c r="F6456" s="19" t="s">
        <v>35996</v>
      </c>
      <c r="G6456" s="18" t="str">
        <f>"49684"</f>
        <v>49684</v>
      </c>
      <c r="H6456" s="19" t="s">
        <v>36431</v>
      </c>
      <c r="I6456" s="20">
        <v>17.792000000000002</v>
      </c>
      <c r="J6456" s="44" t="s">
        <v>8</v>
      </c>
      <c r="K6456" s="23" t="s">
        <v>8</v>
      </c>
      <c r="L6456" s="23" t="s">
        <v>8</v>
      </c>
      <c r="M6456" s="23" t="s">
        <v>8</v>
      </c>
    </row>
    <row r="6457" spans="1:13" s="21" customFormat="1" x14ac:dyDescent="0.25">
      <c r="A6457" s="22" t="s">
        <v>8</v>
      </c>
      <c r="B6457" s="18" t="str">
        <f>"235414"</f>
        <v>235414</v>
      </c>
      <c r="C6457" s="19" t="s">
        <v>6368</v>
      </c>
      <c r="D6457" s="19" t="s">
        <v>21882</v>
      </c>
      <c r="E6457" s="19" t="s">
        <v>32418</v>
      </c>
      <c r="F6457" s="19" t="s">
        <v>35996</v>
      </c>
      <c r="G6457" s="18" t="str">
        <f>"48661"</f>
        <v>48661</v>
      </c>
      <c r="H6457" s="19" t="s">
        <v>36441</v>
      </c>
      <c r="I6457" s="20">
        <v>15.8</v>
      </c>
      <c r="J6457" s="44" t="s">
        <v>8</v>
      </c>
      <c r="K6457" s="23" t="s">
        <v>8</v>
      </c>
      <c r="L6457" s="23" t="s">
        <v>8</v>
      </c>
      <c r="M6457" s="23" t="s">
        <v>8</v>
      </c>
    </row>
    <row r="6458" spans="1:13" s="21" customFormat="1" x14ac:dyDescent="0.25">
      <c r="A6458" s="22" t="s">
        <v>8</v>
      </c>
      <c r="B6458" s="18" t="str">
        <f>"235415"</f>
        <v>235415</v>
      </c>
      <c r="C6458" s="19" t="s">
        <v>6369</v>
      </c>
      <c r="D6458" s="19" t="s">
        <v>21883</v>
      </c>
      <c r="E6458" s="19" t="s">
        <v>33180</v>
      </c>
      <c r="F6458" s="19" t="s">
        <v>35996</v>
      </c>
      <c r="G6458" s="18" t="str">
        <f>"48224"</f>
        <v>48224</v>
      </c>
      <c r="H6458" s="19" t="s">
        <v>33280</v>
      </c>
      <c r="I6458" s="20">
        <v>21.699000000000002</v>
      </c>
      <c r="J6458" s="44" t="s">
        <v>8</v>
      </c>
      <c r="K6458" s="23" t="s">
        <v>8</v>
      </c>
      <c r="L6458" s="23" t="s">
        <v>8</v>
      </c>
      <c r="M6458" s="23" t="s">
        <v>8</v>
      </c>
    </row>
    <row r="6459" spans="1:13" s="21" customFormat="1" x14ac:dyDescent="0.25">
      <c r="A6459" s="22" t="s">
        <v>8</v>
      </c>
      <c r="B6459" s="18" t="str">
        <f>"235416"</f>
        <v>235416</v>
      </c>
      <c r="C6459" s="19" t="s">
        <v>6370</v>
      </c>
      <c r="D6459" s="19" t="s">
        <v>21884</v>
      </c>
      <c r="E6459" s="19" t="s">
        <v>31347</v>
      </c>
      <c r="F6459" s="19" t="s">
        <v>35996</v>
      </c>
      <c r="G6459" s="18" t="str">
        <f>"48659"</f>
        <v>48659</v>
      </c>
      <c r="H6459" s="19" t="s">
        <v>36436</v>
      </c>
      <c r="I6459" s="20">
        <v>16.48</v>
      </c>
      <c r="J6459" s="44" t="s">
        <v>8</v>
      </c>
      <c r="K6459" s="23" t="s">
        <v>8</v>
      </c>
      <c r="L6459" s="23" t="s">
        <v>8</v>
      </c>
      <c r="M6459" s="23" t="s">
        <v>8</v>
      </c>
    </row>
    <row r="6460" spans="1:13" s="21" customFormat="1" x14ac:dyDescent="0.25">
      <c r="A6460" s="22" t="s">
        <v>8</v>
      </c>
      <c r="B6460" s="18" t="str">
        <f>"235421"</f>
        <v>235421</v>
      </c>
      <c r="C6460" s="19" t="s">
        <v>6371</v>
      </c>
      <c r="D6460" s="19" t="s">
        <v>21885</v>
      </c>
      <c r="E6460" s="19" t="s">
        <v>33252</v>
      </c>
      <c r="F6460" s="19" t="s">
        <v>35996</v>
      </c>
      <c r="G6460" s="18" t="str">
        <f>"48059"</f>
        <v>48059</v>
      </c>
      <c r="H6460" s="19" t="s">
        <v>33662</v>
      </c>
      <c r="I6460" s="20">
        <v>22.117000000000001</v>
      </c>
      <c r="J6460" s="44" t="s">
        <v>8</v>
      </c>
      <c r="K6460" s="23" t="s">
        <v>8</v>
      </c>
      <c r="L6460" s="23" t="s">
        <v>8</v>
      </c>
      <c r="M6460" s="23" t="s">
        <v>8</v>
      </c>
    </row>
    <row r="6461" spans="1:13" s="21" customFormat="1" x14ac:dyDescent="0.25">
      <c r="A6461" s="22" t="s">
        <v>8</v>
      </c>
      <c r="B6461" s="18" t="str">
        <f>"235422"</f>
        <v>235422</v>
      </c>
      <c r="C6461" s="19" t="s">
        <v>6372</v>
      </c>
      <c r="D6461" s="19" t="s">
        <v>21886</v>
      </c>
      <c r="E6461" s="19" t="s">
        <v>33180</v>
      </c>
      <c r="F6461" s="19" t="s">
        <v>35996</v>
      </c>
      <c r="G6461" s="18" t="str">
        <f>"48207"</f>
        <v>48207</v>
      </c>
      <c r="H6461" s="19" t="s">
        <v>33280</v>
      </c>
      <c r="I6461" s="20">
        <v>19.52</v>
      </c>
      <c r="J6461" s="44" t="s">
        <v>8</v>
      </c>
      <c r="K6461" s="23" t="s">
        <v>8</v>
      </c>
      <c r="L6461" s="23" t="s">
        <v>8</v>
      </c>
      <c r="M6461" s="23" t="s">
        <v>8</v>
      </c>
    </row>
    <row r="6462" spans="1:13" s="21" customFormat="1" x14ac:dyDescent="0.25">
      <c r="A6462" s="22" t="s">
        <v>8</v>
      </c>
      <c r="B6462" s="18" t="str">
        <f>"235423"</f>
        <v>235423</v>
      </c>
      <c r="C6462" s="19" t="s">
        <v>6373</v>
      </c>
      <c r="D6462" s="19" t="s">
        <v>21887</v>
      </c>
      <c r="E6462" s="19" t="s">
        <v>33253</v>
      </c>
      <c r="F6462" s="19" t="s">
        <v>35996</v>
      </c>
      <c r="G6462" s="18" t="str">
        <f>"49746"</f>
        <v>49746</v>
      </c>
      <c r="H6462" s="19" t="s">
        <v>36444</v>
      </c>
      <c r="I6462" s="20">
        <v>18.681999999999999</v>
      </c>
      <c r="J6462" s="44" t="s">
        <v>8</v>
      </c>
      <c r="K6462" s="23" t="s">
        <v>8</v>
      </c>
      <c r="L6462" s="23" t="s">
        <v>8</v>
      </c>
      <c r="M6462" s="23" t="s">
        <v>8</v>
      </c>
    </row>
    <row r="6463" spans="1:13" s="21" customFormat="1" x14ac:dyDescent="0.25">
      <c r="A6463" s="22" t="s">
        <v>8</v>
      </c>
      <c r="B6463" s="18" t="str">
        <f>"235427"</f>
        <v>235427</v>
      </c>
      <c r="C6463" s="19" t="s">
        <v>6374</v>
      </c>
      <c r="D6463" s="19" t="s">
        <v>21888</v>
      </c>
      <c r="E6463" s="19" t="s">
        <v>31025</v>
      </c>
      <c r="F6463" s="19" t="s">
        <v>35996</v>
      </c>
      <c r="G6463" s="18" t="str">
        <f>"48093"</f>
        <v>48093</v>
      </c>
      <c r="H6463" s="19" t="s">
        <v>31911</v>
      </c>
      <c r="I6463" s="20">
        <v>18.338999999999999</v>
      </c>
      <c r="J6463" s="44" t="s">
        <v>8</v>
      </c>
      <c r="K6463" s="23" t="s">
        <v>8</v>
      </c>
      <c r="L6463" s="23" t="s">
        <v>8</v>
      </c>
      <c r="M6463" s="23" t="s">
        <v>8</v>
      </c>
    </row>
    <row r="6464" spans="1:13" s="21" customFormat="1" x14ac:dyDescent="0.25">
      <c r="A6464" s="22" t="s">
        <v>8</v>
      </c>
      <c r="B6464" s="18" t="str">
        <f>"235428"</f>
        <v>235428</v>
      </c>
      <c r="C6464" s="19" t="s">
        <v>6375</v>
      </c>
      <c r="D6464" s="19" t="s">
        <v>21889</v>
      </c>
      <c r="E6464" s="19" t="s">
        <v>33254</v>
      </c>
      <c r="F6464" s="19" t="s">
        <v>35996</v>
      </c>
      <c r="G6464" s="18" t="str">
        <f>"48127"</f>
        <v>48127</v>
      </c>
      <c r="H6464" s="19" t="s">
        <v>33280</v>
      </c>
      <c r="I6464" s="20">
        <v>24.024999999999999</v>
      </c>
      <c r="J6464" s="44" t="s">
        <v>8</v>
      </c>
      <c r="K6464" s="23" t="s">
        <v>8</v>
      </c>
      <c r="L6464" s="23" t="s">
        <v>8</v>
      </c>
      <c r="M6464" s="23" t="s">
        <v>8</v>
      </c>
    </row>
    <row r="6465" spans="1:13" s="21" customFormat="1" x14ac:dyDescent="0.25">
      <c r="A6465" s="22" t="s">
        <v>8</v>
      </c>
      <c r="B6465" s="18" t="str">
        <f>"235429"</f>
        <v>235429</v>
      </c>
      <c r="C6465" s="19" t="s">
        <v>6376</v>
      </c>
      <c r="D6465" s="19" t="s">
        <v>21890</v>
      </c>
      <c r="E6465" s="19" t="s">
        <v>33255</v>
      </c>
      <c r="F6465" s="19" t="s">
        <v>35996</v>
      </c>
      <c r="G6465" s="18" t="str">
        <f>"49770"</f>
        <v>49770</v>
      </c>
      <c r="H6465" s="19" t="s">
        <v>36276</v>
      </c>
      <c r="I6465" s="20">
        <v>15.249000000000001</v>
      </c>
      <c r="J6465" s="44" t="s">
        <v>8</v>
      </c>
      <c r="K6465" s="23" t="s">
        <v>8</v>
      </c>
      <c r="L6465" s="23" t="s">
        <v>8</v>
      </c>
      <c r="M6465" s="23" t="s">
        <v>8</v>
      </c>
    </row>
    <row r="6466" spans="1:13" s="21" customFormat="1" x14ac:dyDescent="0.25">
      <c r="A6466" s="22" t="s">
        <v>8</v>
      </c>
      <c r="B6466" s="18" t="str">
        <f>"235430"</f>
        <v>235430</v>
      </c>
      <c r="C6466" s="19" t="s">
        <v>6377</v>
      </c>
      <c r="D6466" s="19" t="s">
        <v>21891</v>
      </c>
      <c r="E6466" s="19" t="s">
        <v>33256</v>
      </c>
      <c r="F6466" s="19" t="s">
        <v>35996</v>
      </c>
      <c r="G6466" s="18" t="str">
        <f>"48386"</f>
        <v>48386</v>
      </c>
      <c r="H6466" s="19" t="s">
        <v>31143</v>
      </c>
      <c r="I6466" s="20">
        <v>21.120999999999999</v>
      </c>
      <c r="J6466" s="44" t="s">
        <v>8</v>
      </c>
      <c r="K6466" s="23" t="s">
        <v>8</v>
      </c>
      <c r="L6466" s="23" t="s">
        <v>8</v>
      </c>
      <c r="M6466" s="23" t="s">
        <v>8</v>
      </c>
    </row>
    <row r="6467" spans="1:13" s="21" customFormat="1" x14ac:dyDescent="0.25">
      <c r="A6467" s="22" t="s">
        <v>8</v>
      </c>
      <c r="B6467" s="18" t="str">
        <f>"235431"</f>
        <v>235431</v>
      </c>
      <c r="C6467" s="19" t="s">
        <v>6378</v>
      </c>
      <c r="D6467" s="19" t="s">
        <v>21892</v>
      </c>
      <c r="E6467" s="19" t="s">
        <v>33147</v>
      </c>
      <c r="F6467" s="19" t="s">
        <v>35996</v>
      </c>
      <c r="G6467" s="18" t="str">
        <f>"49442"</f>
        <v>49442</v>
      </c>
      <c r="H6467" s="19" t="s">
        <v>33147</v>
      </c>
      <c r="I6467" s="20">
        <v>17.677</v>
      </c>
      <c r="J6467" s="44" t="s">
        <v>8</v>
      </c>
      <c r="K6467" s="23" t="s">
        <v>8</v>
      </c>
      <c r="L6467" s="23" t="s">
        <v>8</v>
      </c>
      <c r="M6467" s="23" t="s">
        <v>8</v>
      </c>
    </row>
    <row r="6468" spans="1:13" s="21" customFormat="1" x14ac:dyDescent="0.25">
      <c r="A6468" s="22" t="s">
        <v>8</v>
      </c>
      <c r="B6468" s="18" t="str">
        <f>"235432"</f>
        <v>235432</v>
      </c>
      <c r="C6468" s="19" t="s">
        <v>6379</v>
      </c>
      <c r="D6468" s="19" t="s">
        <v>21893</v>
      </c>
      <c r="E6468" s="19" t="s">
        <v>33196</v>
      </c>
      <c r="F6468" s="19" t="s">
        <v>35996</v>
      </c>
      <c r="G6468" s="18" t="str">
        <f>"49738"</f>
        <v>49738</v>
      </c>
      <c r="H6468" s="19" t="s">
        <v>31759</v>
      </c>
      <c r="I6468" s="20">
        <v>19.384</v>
      </c>
      <c r="J6468" s="44" t="s">
        <v>8</v>
      </c>
      <c r="K6468" s="23" t="s">
        <v>8</v>
      </c>
      <c r="L6468" s="23" t="s">
        <v>8</v>
      </c>
      <c r="M6468" s="23" t="s">
        <v>8</v>
      </c>
    </row>
    <row r="6469" spans="1:13" s="21" customFormat="1" x14ac:dyDescent="0.25">
      <c r="A6469" s="22" t="s">
        <v>8</v>
      </c>
      <c r="B6469" s="18" t="str">
        <f>"235433"</f>
        <v>235433</v>
      </c>
      <c r="C6469" s="19" t="s">
        <v>6380</v>
      </c>
      <c r="D6469" s="19" t="s">
        <v>21894</v>
      </c>
      <c r="E6469" s="19" t="s">
        <v>33257</v>
      </c>
      <c r="F6469" s="19" t="s">
        <v>35996</v>
      </c>
      <c r="G6469" s="18" t="str">
        <f>"48073"</f>
        <v>48073</v>
      </c>
      <c r="H6469" s="19" t="s">
        <v>31143</v>
      </c>
      <c r="I6469" s="20">
        <v>22.582999999999998</v>
      </c>
      <c r="J6469" s="44" t="s">
        <v>8</v>
      </c>
      <c r="K6469" s="23" t="s">
        <v>8</v>
      </c>
      <c r="L6469" s="23" t="s">
        <v>8</v>
      </c>
      <c r="M6469" s="23" t="s">
        <v>8</v>
      </c>
    </row>
    <row r="6470" spans="1:13" s="21" customFormat="1" x14ac:dyDescent="0.25">
      <c r="A6470" s="22" t="s">
        <v>8</v>
      </c>
      <c r="B6470" s="18" t="str">
        <f>"235434"</f>
        <v>235434</v>
      </c>
      <c r="C6470" s="19" t="s">
        <v>6381</v>
      </c>
      <c r="D6470" s="19" t="s">
        <v>21895</v>
      </c>
      <c r="E6470" s="19" t="s">
        <v>33258</v>
      </c>
      <c r="F6470" s="19" t="s">
        <v>35996</v>
      </c>
      <c r="G6470" s="18" t="str">
        <f>"49071"</f>
        <v>49071</v>
      </c>
      <c r="H6470" s="19" t="s">
        <v>30993</v>
      </c>
      <c r="I6470" s="20">
        <v>16.728999999999999</v>
      </c>
      <c r="J6470" s="44" t="s">
        <v>8</v>
      </c>
      <c r="K6470" s="23" t="s">
        <v>8</v>
      </c>
      <c r="L6470" s="23" t="s">
        <v>8</v>
      </c>
      <c r="M6470" s="23" t="s">
        <v>8</v>
      </c>
    </row>
    <row r="6471" spans="1:13" s="21" customFormat="1" x14ac:dyDescent="0.25">
      <c r="A6471" s="22" t="s">
        <v>8</v>
      </c>
      <c r="B6471" s="18" t="str">
        <f>"235435"</f>
        <v>235435</v>
      </c>
      <c r="C6471" s="19" t="s">
        <v>6382</v>
      </c>
      <c r="D6471" s="19" t="s">
        <v>21896</v>
      </c>
      <c r="E6471" s="19" t="s">
        <v>33160</v>
      </c>
      <c r="F6471" s="19" t="s">
        <v>35996</v>
      </c>
      <c r="G6471" s="18" t="str">
        <f>"49503"</f>
        <v>49503</v>
      </c>
      <c r="H6471" s="19" t="s">
        <v>31478</v>
      </c>
      <c r="I6471" s="20">
        <v>18.43</v>
      </c>
      <c r="J6471" s="44" t="s">
        <v>8</v>
      </c>
      <c r="K6471" s="23" t="s">
        <v>8</v>
      </c>
      <c r="L6471" s="23" t="s">
        <v>8</v>
      </c>
      <c r="M6471" s="23" t="s">
        <v>8</v>
      </c>
    </row>
    <row r="6472" spans="1:13" s="21" customFormat="1" x14ac:dyDescent="0.25">
      <c r="A6472" s="22" t="s">
        <v>8</v>
      </c>
      <c r="B6472" s="18" t="str">
        <f>"235438"</f>
        <v>235438</v>
      </c>
      <c r="C6472" s="19" t="s">
        <v>6383</v>
      </c>
      <c r="D6472" s="19" t="s">
        <v>21897</v>
      </c>
      <c r="E6472" s="19" t="s">
        <v>33259</v>
      </c>
      <c r="F6472" s="19" t="s">
        <v>35996</v>
      </c>
      <c r="G6472" s="18" t="str">
        <f>"49657"</f>
        <v>49657</v>
      </c>
      <c r="H6472" s="19" t="s">
        <v>36445</v>
      </c>
      <c r="I6472" s="20">
        <v>16.975999999999999</v>
      </c>
      <c r="J6472" s="44" t="s">
        <v>8</v>
      </c>
      <c r="K6472" s="23" t="s">
        <v>8</v>
      </c>
      <c r="L6472" s="23" t="s">
        <v>8</v>
      </c>
      <c r="M6472" s="23" t="s">
        <v>8</v>
      </c>
    </row>
    <row r="6473" spans="1:13" s="21" customFormat="1" x14ac:dyDescent="0.25">
      <c r="A6473" s="22" t="s">
        <v>8</v>
      </c>
      <c r="B6473" s="18" t="str">
        <f>"235439"</f>
        <v>235439</v>
      </c>
      <c r="C6473" s="19" t="s">
        <v>6384</v>
      </c>
      <c r="D6473" s="19" t="s">
        <v>21898</v>
      </c>
      <c r="E6473" s="19" t="s">
        <v>33260</v>
      </c>
      <c r="F6473" s="19" t="s">
        <v>35996</v>
      </c>
      <c r="G6473" s="18" t="str">
        <f>"48101"</f>
        <v>48101</v>
      </c>
      <c r="H6473" s="19" t="s">
        <v>33280</v>
      </c>
      <c r="I6473" s="20">
        <v>24.137</v>
      </c>
      <c r="J6473" s="44" t="s">
        <v>8</v>
      </c>
      <c r="K6473" s="23" t="s">
        <v>8</v>
      </c>
      <c r="L6473" s="23" t="s">
        <v>8</v>
      </c>
      <c r="M6473" s="23" t="s">
        <v>8</v>
      </c>
    </row>
    <row r="6474" spans="1:13" s="21" customFormat="1" x14ac:dyDescent="0.25">
      <c r="A6474" s="22" t="s">
        <v>8</v>
      </c>
      <c r="B6474" s="18" t="str">
        <f>"235440"</f>
        <v>235440</v>
      </c>
      <c r="C6474" s="19" t="s">
        <v>6385</v>
      </c>
      <c r="D6474" s="19" t="s">
        <v>21899</v>
      </c>
      <c r="E6474" s="19" t="s">
        <v>33160</v>
      </c>
      <c r="F6474" s="19" t="s">
        <v>35996</v>
      </c>
      <c r="G6474" s="18" t="str">
        <f>"49546"</f>
        <v>49546</v>
      </c>
      <c r="H6474" s="19" t="s">
        <v>31478</v>
      </c>
      <c r="I6474" s="20">
        <v>17.748999999999999</v>
      </c>
      <c r="J6474" s="44" t="s">
        <v>8</v>
      </c>
      <c r="K6474" s="23" t="s">
        <v>8</v>
      </c>
      <c r="L6474" s="23" t="s">
        <v>8</v>
      </c>
      <c r="M6474" s="23" t="s">
        <v>8</v>
      </c>
    </row>
    <row r="6475" spans="1:13" s="21" customFormat="1" x14ac:dyDescent="0.25">
      <c r="A6475" s="22" t="s">
        <v>8</v>
      </c>
      <c r="B6475" s="18" t="str">
        <f>"235441"</f>
        <v>235441</v>
      </c>
      <c r="C6475" s="19" t="s">
        <v>6386</v>
      </c>
      <c r="D6475" s="19" t="s">
        <v>21900</v>
      </c>
      <c r="E6475" s="19" t="s">
        <v>33261</v>
      </c>
      <c r="F6475" s="19" t="s">
        <v>35996</v>
      </c>
      <c r="G6475" s="18" t="str">
        <f>"49509"</f>
        <v>49509</v>
      </c>
      <c r="H6475" s="19" t="s">
        <v>31478</v>
      </c>
      <c r="I6475" s="20">
        <v>19.593</v>
      </c>
      <c r="J6475" s="44" t="s">
        <v>8</v>
      </c>
      <c r="K6475" s="23" t="s">
        <v>8</v>
      </c>
      <c r="L6475" s="23" t="s">
        <v>8</v>
      </c>
      <c r="M6475" s="23" t="s">
        <v>8</v>
      </c>
    </row>
    <row r="6476" spans="1:13" s="21" customFormat="1" x14ac:dyDescent="0.25">
      <c r="A6476" s="22" t="s">
        <v>8</v>
      </c>
      <c r="B6476" s="18" t="str">
        <f>"235442"</f>
        <v>235442</v>
      </c>
      <c r="C6476" s="19" t="s">
        <v>6387</v>
      </c>
      <c r="D6476" s="19" t="s">
        <v>21901</v>
      </c>
      <c r="E6476" s="19" t="s">
        <v>33167</v>
      </c>
      <c r="F6476" s="19" t="s">
        <v>35996</v>
      </c>
      <c r="G6476" s="18" t="str">
        <f>"48602"</f>
        <v>48602</v>
      </c>
      <c r="H6476" s="19" t="s">
        <v>33167</v>
      </c>
      <c r="I6476" s="20">
        <v>16.853000000000002</v>
      </c>
      <c r="J6476" s="44" t="s">
        <v>8</v>
      </c>
      <c r="K6476" s="23" t="s">
        <v>8</v>
      </c>
      <c r="L6476" s="23" t="s">
        <v>8</v>
      </c>
      <c r="M6476" s="23" t="s">
        <v>8</v>
      </c>
    </row>
    <row r="6477" spans="1:13" s="21" customFormat="1" x14ac:dyDescent="0.25">
      <c r="A6477" s="22" t="s">
        <v>8</v>
      </c>
      <c r="B6477" s="18" t="str">
        <f>"235443"</f>
        <v>235443</v>
      </c>
      <c r="C6477" s="19" t="s">
        <v>6388</v>
      </c>
      <c r="D6477" s="19" t="s">
        <v>21902</v>
      </c>
      <c r="E6477" s="19" t="s">
        <v>33225</v>
      </c>
      <c r="F6477" s="19" t="s">
        <v>35996</v>
      </c>
      <c r="G6477" s="18" t="str">
        <f>"48081"</f>
        <v>48081</v>
      </c>
      <c r="H6477" s="19" t="s">
        <v>31911</v>
      </c>
      <c r="I6477" s="20">
        <v>19.056000000000001</v>
      </c>
      <c r="J6477" s="44" t="s">
        <v>8</v>
      </c>
      <c r="K6477" s="23" t="s">
        <v>8</v>
      </c>
      <c r="L6477" s="23" t="s">
        <v>8</v>
      </c>
      <c r="M6477" s="23" t="s">
        <v>8</v>
      </c>
    </row>
    <row r="6478" spans="1:13" s="21" customFormat="1" x14ac:dyDescent="0.25">
      <c r="A6478" s="22" t="s">
        <v>8</v>
      </c>
      <c r="B6478" s="18" t="str">
        <f>"235444"</f>
        <v>235444</v>
      </c>
      <c r="C6478" s="19" t="s">
        <v>2704</v>
      </c>
      <c r="D6478" s="19" t="s">
        <v>21903</v>
      </c>
      <c r="E6478" s="19" t="s">
        <v>33180</v>
      </c>
      <c r="F6478" s="19" t="s">
        <v>35996</v>
      </c>
      <c r="G6478" s="18" t="str">
        <f>"48235"</f>
        <v>48235</v>
      </c>
      <c r="H6478" s="19" t="s">
        <v>33280</v>
      </c>
      <c r="I6478" s="20">
        <v>23.824999999999999</v>
      </c>
      <c r="J6478" s="44" t="s">
        <v>8</v>
      </c>
      <c r="K6478" s="23" t="s">
        <v>8</v>
      </c>
      <c r="L6478" s="23" t="s">
        <v>8</v>
      </c>
      <c r="M6478" s="23" t="s">
        <v>8</v>
      </c>
    </row>
    <row r="6479" spans="1:13" s="21" customFormat="1" x14ac:dyDescent="0.25">
      <c r="A6479" s="22" t="s">
        <v>8</v>
      </c>
      <c r="B6479" s="18" t="str">
        <f>"235445"</f>
        <v>235445</v>
      </c>
      <c r="C6479" s="19" t="s">
        <v>6389</v>
      </c>
      <c r="D6479" s="19" t="s">
        <v>21904</v>
      </c>
      <c r="E6479" s="19" t="s">
        <v>33180</v>
      </c>
      <c r="F6479" s="19" t="s">
        <v>35996</v>
      </c>
      <c r="G6479" s="18" t="str">
        <f>"48228"</f>
        <v>48228</v>
      </c>
      <c r="H6479" s="19" t="s">
        <v>33280</v>
      </c>
      <c r="I6479" s="20">
        <v>23.120999999999999</v>
      </c>
      <c r="J6479" s="44" t="s">
        <v>8</v>
      </c>
      <c r="K6479" s="23" t="s">
        <v>8</v>
      </c>
      <c r="L6479" s="23" t="s">
        <v>8</v>
      </c>
      <c r="M6479" s="23" t="s">
        <v>8</v>
      </c>
    </row>
    <row r="6480" spans="1:13" s="21" customFormat="1" x14ac:dyDescent="0.25">
      <c r="A6480" s="22" t="s">
        <v>8</v>
      </c>
      <c r="B6480" s="18" t="str">
        <f>"235446"</f>
        <v>235446</v>
      </c>
      <c r="C6480" s="19" t="s">
        <v>6390</v>
      </c>
      <c r="D6480" s="19" t="s">
        <v>21905</v>
      </c>
      <c r="E6480" s="19" t="s">
        <v>33262</v>
      </c>
      <c r="F6480" s="19" t="s">
        <v>35996</v>
      </c>
      <c r="G6480" s="18" t="str">
        <f>"48427"</f>
        <v>48427</v>
      </c>
      <c r="H6480" s="19" t="s">
        <v>36429</v>
      </c>
      <c r="I6480" s="20">
        <v>17.821999999999999</v>
      </c>
      <c r="J6480" s="44" t="s">
        <v>8</v>
      </c>
      <c r="K6480" s="23" t="s">
        <v>8</v>
      </c>
      <c r="L6480" s="23" t="s">
        <v>8</v>
      </c>
      <c r="M6480" s="23" t="s">
        <v>8</v>
      </c>
    </row>
    <row r="6481" spans="1:13" s="21" customFormat="1" x14ac:dyDescent="0.25">
      <c r="A6481" s="22" t="s">
        <v>8</v>
      </c>
      <c r="B6481" s="18" t="str">
        <f>"235447"</f>
        <v>235447</v>
      </c>
      <c r="C6481" s="19" t="s">
        <v>6391</v>
      </c>
      <c r="D6481" s="19" t="s">
        <v>21906</v>
      </c>
      <c r="E6481" s="19" t="s">
        <v>30966</v>
      </c>
      <c r="F6481" s="19" t="s">
        <v>35996</v>
      </c>
      <c r="G6481" s="18" t="str">
        <f>"49406"</f>
        <v>49406</v>
      </c>
      <c r="H6481" s="19" t="s">
        <v>33200</v>
      </c>
      <c r="I6481" s="20">
        <v>17.888999999999999</v>
      </c>
      <c r="J6481" s="44" t="s">
        <v>8</v>
      </c>
      <c r="K6481" s="23" t="s">
        <v>8</v>
      </c>
      <c r="L6481" s="23" t="s">
        <v>8</v>
      </c>
      <c r="M6481" s="23" t="s">
        <v>8</v>
      </c>
    </row>
    <row r="6482" spans="1:13" s="21" customFormat="1" x14ac:dyDescent="0.25">
      <c r="A6482" s="22" t="s">
        <v>8</v>
      </c>
      <c r="B6482" s="18" t="str">
        <f>"235450"</f>
        <v>235450</v>
      </c>
      <c r="C6482" s="19" t="s">
        <v>6392</v>
      </c>
      <c r="D6482" s="19" t="s">
        <v>21907</v>
      </c>
      <c r="E6482" s="19" t="s">
        <v>33263</v>
      </c>
      <c r="F6482" s="19" t="s">
        <v>35996</v>
      </c>
      <c r="G6482" s="18" t="str">
        <f>"49401"</f>
        <v>49401</v>
      </c>
      <c r="H6482" s="19" t="s">
        <v>31994</v>
      </c>
      <c r="I6482" s="20">
        <v>17.965</v>
      </c>
      <c r="J6482" s="44" t="s">
        <v>8</v>
      </c>
      <c r="K6482" s="23" t="s">
        <v>8</v>
      </c>
      <c r="L6482" s="23" t="s">
        <v>8</v>
      </c>
      <c r="M6482" s="23" t="s">
        <v>8</v>
      </c>
    </row>
    <row r="6483" spans="1:13" s="21" customFormat="1" x14ac:dyDescent="0.25">
      <c r="A6483" s="22" t="s">
        <v>8</v>
      </c>
      <c r="B6483" s="18" t="str">
        <f>"235451"</f>
        <v>235451</v>
      </c>
      <c r="C6483" s="19" t="s">
        <v>6393</v>
      </c>
      <c r="D6483" s="19" t="s">
        <v>21908</v>
      </c>
      <c r="E6483" s="19" t="s">
        <v>32443</v>
      </c>
      <c r="F6483" s="19" t="s">
        <v>35996</v>
      </c>
      <c r="G6483" s="18" t="str">
        <f>"49017"</f>
        <v>49017</v>
      </c>
      <c r="H6483" s="19" t="s">
        <v>31743</v>
      </c>
      <c r="I6483" s="20">
        <v>19.053000000000001</v>
      </c>
      <c r="J6483" s="44" t="s">
        <v>8</v>
      </c>
      <c r="K6483" s="23" t="s">
        <v>8</v>
      </c>
      <c r="L6483" s="23" t="s">
        <v>8</v>
      </c>
      <c r="M6483" s="23" t="s">
        <v>8</v>
      </c>
    </row>
    <row r="6484" spans="1:13" s="21" customFormat="1" x14ac:dyDescent="0.25">
      <c r="A6484" s="22" t="s">
        <v>8</v>
      </c>
      <c r="B6484" s="18" t="str">
        <f>"235452"</f>
        <v>235452</v>
      </c>
      <c r="C6484" s="19" t="s">
        <v>6394</v>
      </c>
      <c r="D6484" s="19" t="s">
        <v>21909</v>
      </c>
      <c r="E6484" s="19" t="s">
        <v>33180</v>
      </c>
      <c r="F6484" s="19" t="s">
        <v>35996</v>
      </c>
      <c r="G6484" s="18" t="str">
        <f>"48219"</f>
        <v>48219</v>
      </c>
      <c r="H6484" s="19" t="s">
        <v>33280</v>
      </c>
      <c r="I6484" s="20">
        <v>22.131</v>
      </c>
      <c r="J6484" s="44" t="s">
        <v>8</v>
      </c>
      <c r="K6484" s="23" t="s">
        <v>8</v>
      </c>
      <c r="L6484" s="23" t="s">
        <v>8</v>
      </c>
      <c r="M6484" s="23" t="s">
        <v>8</v>
      </c>
    </row>
    <row r="6485" spans="1:13" s="21" customFormat="1" x14ac:dyDescent="0.25">
      <c r="A6485" s="22" t="s">
        <v>8</v>
      </c>
      <c r="B6485" s="18" t="str">
        <f>"235453"</f>
        <v>235453</v>
      </c>
      <c r="C6485" s="19" t="s">
        <v>6395</v>
      </c>
      <c r="D6485" s="19" t="s">
        <v>21910</v>
      </c>
      <c r="E6485" s="19" t="s">
        <v>33264</v>
      </c>
      <c r="F6485" s="19" t="s">
        <v>35996</v>
      </c>
      <c r="G6485" s="18" t="str">
        <f>"48026"</f>
        <v>48026</v>
      </c>
      <c r="H6485" s="19" t="s">
        <v>31911</v>
      </c>
      <c r="I6485" s="20">
        <v>15.746</v>
      </c>
      <c r="J6485" s="44" t="s">
        <v>8</v>
      </c>
      <c r="K6485" s="23" t="s">
        <v>8</v>
      </c>
      <c r="L6485" s="23" t="s">
        <v>8</v>
      </c>
      <c r="M6485" s="23" t="s">
        <v>8</v>
      </c>
    </row>
    <row r="6486" spans="1:13" s="21" customFormat="1" x14ac:dyDescent="0.25">
      <c r="A6486" s="22" t="s">
        <v>8</v>
      </c>
      <c r="B6486" s="18" t="str">
        <f>"235454"</f>
        <v>235454</v>
      </c>
      <c r="C6486" s="19" t="s">
        <v>6396</v>
      </c>
      <c r="D6486" s="19" t="s">
        <v>21911</v>
      </c>
      <c r="E6486" s="19" t="s">
        <v>33180</v>
      </c>
      <c r="F6486" s="19" t="s">
        <v>35996</v>
      </c>
      <c r="G6486" s="18" t="str">
        <f>"48211"</f>
        <v>48211</v>
      </c>
      <c r="H6486" s="19" t="s">
        <v>33280</v>
      </c>
      <c r="I6486" s="20">
        <v>20.233000000000001</v>
      </c>
      <c r="J6486" s="44" t="s">
        <v>8</v>
      </c>
      <c r="K6486" s="23" t="s">
        <v>8</v>
      </c>
      <c r="L6486" s="23" t="s">
        <v>8</v>
      </c>
      <c r="M6486" s="23" t="s">
        <v>8</v>
      </c>
    </row>
    <row r="6487" spans="1:13" s="21" customFormat="1" x14ac:dyDescent="0.25">
      <c r="A6487" s="22" t="s">
        <v>8</v>
      </c>
      <c r="B6487" s="18" t="str">
        <f>"235456"</f>
        <v>235456</v>
      </c>
      <c r="C6487" s="19" t="s">
        <v>6397</v>
      </c>
      <c r="D6487" s="19" t="s">
        <v>21912</v>
      </c>
      <c r="E6487" s="19" t="s">
        <v>33157</v>
      </c>
      <c r="F6487" s="19" t="s">
        <v>35996</v>
      </c>
      <c r="G6487" s="18" t="str">
        <f>"48413"</f>
        <v>48413</v>
      </c>
      <c r="H6487" s="19" t="s">
        <v>34559</v>
      </c>
      <c r="I6487" s="20">
        <v>19.585999999999999</v>
      </c>
      <c r="J6487" s="44" t="s">
        <v>8</v>
      </c>
      <c r="K6487" s="23" t="s">
        <v>8</v>
      </c>
      <c r="L6487" s="23" t="s">
        <v>8</v>
      </c>
      <c r="M6487" s="23" t="s">
        <v>8</v>
      </c>
    </row>
    <row r="6488" spans="1:13" s="21" customFormat="1" x14ac:dyDescent="0.25">
      <c r="A6488" s="22" t="s">
        <v>8</v>
      </c>
      <c r="B6488" s="18" t="str">
        <f>"235458"</f>
        <v>235458</v>
      </c>
      <c r="C6488" s="19" t="s">
        <v>6398</v>
      </c>
      <c r="D6488" s="19" t="s">
        <v>21913</v>
      </c>
      <c r="E6488" s="19" t="s">
        <v>33160</v>
      </c>
      <c r="F6488" s="19" t="s">
        <v>35996</v>
      </c>
      <c r="G6488" s="18" t="str">
        <f>"49508"</f>
        <v>49508</v>
      </c>
      <c r="H6488" s="19" t="s">
        <v>31478</v>
      </c>
      <c r="I6488" s="20">
        <v>16.07</v>
      </c>
      <c r="J6488" s="44" t="s">
        <v>8</v>
      </c>
      <c r="K6488" s="23" t="s">
        <v>8</v>
      </c>
      <c r="L6488" s="23" t="s">
        <v>8</v>
      </c>
      <c r="M6488" s="23" t="s">
        <v>8</v>
      </c>
    </row>
    <row r="6489" spans="1:13" s="21" customFormat="1" x14ac:dyDescent="0.25">
      <c r="A6489" s="22" t="s">
        <v>8</v>
      </c>
      <c r="B6489" s="18" t="str">
        <f>"235459"</f>
        <v>235459</v>
      </c>
      <c r="C6489" s="19" t="s">
        <v>6399</v>
      </c>
      <c r="D6489" s="19" t="s">
        <v>21914</v>
      </c>
      <c r="E6489" s="19" t="s">
        <v>33224</v>
      </c>
      <c r="F6489" s="19" t="s">
        <v>35996</v>
      </c>
      <c r="G6489" s="18" t="str">
        <f>"49307"</f>
        <v>49307</v>
      </c>
      <c r="H6489" s="19" t="s">
        <v>36440</v>
      </c>
      <c r="I6489" s="20">
        <v>19.242000000000001</v>
      </c>
      <c r="J6489" s="44" t="s">
        <v>8</v>
      </c>
      <c r="K6489" s="23" t="s">
        <v>8</v>
      </c>
      <c r="L6489" s="23" t="s">
        <v>8</v>
      </c>
      <c r="M6489" s="23" t="s">
        <v>8</v>
      </c>
    </row>
    <row r="6490" spans="1:13" s="21" customFormat="1" x14ac:dyDescent="0.25">
      <c r="A6490" s="22" t="s">
        <v>8</v>
      </c>
      <c r="B6490" s="18" t="str">
        <f>"235460"</f>
        <v>235460</v>
      </c>
      <c r="C6490" s="19" t="s">
        <v>6400</v>
      </c>
      <c r="D6490" s="19" t="s">
        <v>21915</v>
      </c>
      <c r="E6490" s="19" t="s">
        <v>32256</v>
      </c>
      <c r="F6490" s="19" t="s">
        <v>35996</v>
      </c>
      <c r="G6490" s="18" t="str">
        <f>"49635"</f>
        <v>49635</v>
      </c>
      <c r="H6490" s="19" t="s">
        <v>36416</v>
      </c>
      <c r="I6490" s="20">
        <v>16.222000000000001</v>
      </c>
      <c r="J6490" s="44" t="s">
        <v>8</v>
      </c>
      <c r="K6490" s="23" t="s">
        <v>8</v>
      </c>
      <c r="L6490" s="23" t="s">
        <v>8</v>
      </c>
      <c r="M6490" s="23" t="s">
        <v>8</v>
      </c>
    </row>
    <row r="6491" spans="1:13" s="21" customFormat="1" x14ac:dyDescent="0.25">
      <c r="A6491" s="22" t="s">
        <v>8</v>
      </c>
      <c r="B6491" s="18" t="str">
        <f>"235461"</f>
        <v>235461</v>
      </c>
      <c r="C6491" s="19" t="s">
        <v>6401</v>
      </c>
      <c r="D6491" s="19" t="s">
        <v>21916</v>
      </c>
      <c r="E6491" s="19" t="s">
        <v>33265</v>
      </c>
      <c r="F6491" s="19" t="s">
        <v>35996</v>
      </c>
      <c r="G6491" s="18" t="str">
        <f>"48346"</f>
        <v>48346</v>
      </c>
      <c r="H6491" s="19" t="s">
        <v>31143</v>
      </c>
      <c r="I6491" s="20">
        <v>20.427</v>
      </c>
      <c r="J6491" s="44" t="s">
        <v>8</v>
      </c>
      <c r="K6491" s="23" t="s">
        <v>8</v>
      </c>
      <c r="L6491" s="23" t="s">
        <v>8</v>
      </c>
      <c r="M6491" s="23" t="s">
        <v>8</v>
      </c>
    </row>
    <row r="6492" spans="1:13" s="21" customFormat="1" x14ac:dyDescent="0.25">
      <c r="A6492" s="22" t="s">
        <v>8</v>
      </c>
      <c r="B6492" s="18" t="str">
        <f>"235462"</f>
        <v>235462</v>
      </c>
      <c r="C6492" s="19" t="s">
        <v>6402</v>
      </c>
      <c r="D6492" s="19" t="s">
        <v>21917</v>
      </c>
      <c r="E6492" s="19" t="s">
        <v>33266</v>
      </c>
      <c r="F6492" s="19" t="s">
        <v>35996</v>
      </c>
      <c r="G6492" s="18" t="str">
        <f>"48336"</f>
        <v>48336</v>
      </c>
      <c r="H6492" s="19" t="s">
        <v>31143</v>
      </c>
      <c r="I6492" s="20">
        <v>23.231000000000002</v>
      </c>
      <c r="J6492" s="44" t="s">
        <v>8</v>
      </c>
      <c r="K6492" s="23" t="s">
        <v>8</v>
      </c>
      <c r="L6492" s="23" t="s">
        <v>8</v>
      </c>
      <c r="M6492" s="23" t="s">
        <v>8</v>
      </c>
    </row>
    <row r="6493" spans="1:13" s="21" customFormat="1" x14ac:dyDescent="0.25">
      <c r="A6493" s="22" t="s">
        <v>8</v>
      </c>
      <c r="B6493" s="18" t="str">
        <f>"235463"</f>
        <v>235463</v>
      </c>
      <c r="C6493" s="19" t="s">
        <v>6403</v>
      </c>
      <c r="D6493" s="19" t="s">
        <v>21918</v>
      </c>
      <c r="E6493" s="19" t="s">
        <v>32127</v>
      </c>
      <c r="F6493" s="19" t="s">
        <v>35996</v>
      </c>
      <c r="G6493" s="18" t="str">
        <f>"48203"</f>
        <v>48203</v>
      </c>
      <c r="H6493" s="19" t="s">
        <v>33280</v>
      </c>
      <c r="I6493" s="20">
        <v>18.779</v>
      </c>
      <c r="J6493" s="44" t="s">
        <v>8</v>
      </c>
      <c r="K6493" s="23" t="s">
        <v>8</v>
      </c>
      <c r="L6493" s="23" t="s">
        <v>8</v>
      </c>
      <c r="M6493" s="23" t="s">
        <v>8</v>
      </c>
    </row>
    <row r="6494" spans="1:13" s="21" customFormat="1" x14ac:dyDescent="0.25">
      <c r="A6494" s="22" t="s">
        <v>8</v>
      </c>
      <c r="B6494" s="18" t="str">
        <f>"235464"</f>
        <v>235464</v>
      </c>
      <c r="C6494" s="19" t="s">
        <v>6404</v>
      </c>
      <c r="D6494" s="19" t="s">
        <v>21919</v>
      </c>
      <c r="E6494" s="19" t="s">
        <v>33267</v>
      </c>
      <c r="F6494" s="19" t="s">
        <v>35996</v>
      </c>
      <c r="G6494" s="18" t="str">
        <f>"48622"</f>
        <v>48622</v>
      </c>
      <c r="H6494" s="19" t="s">
        <v>33154</v>
      </c>
      <c r="I6494" s="20">
        <v>20.48</v>
      </c>
      <c r="J6494" s="44" t="s">
        <v>8</v>
      </c>
      <c r="K6494" s="23" t="s">
        <v>8</v>
      </c>
      <c r="L6494" s="23" t="s">
        <v>8</v>
      </c>
      <c r="M6494" s="23" t="s">
        <v>8</v>
      </c>
    </row>
    <row r="6495" spans="1:13" s="21" customFormat="1" x14ac:dyDescent="0.25">
      <c r="A6495" s="22" t="s">
        <v>8</v>
      </c>
      <c r="B6495" s="18" t="str">
        <f>"235467"</f>
        <v>235467</v>
      </c>
      <c r="C6495" s="19" t="s">
        <v>6405</v>
      </c>
      <c r="D6495" s="19" t="s">
        <v>21920</v>
      </c>
      <c r="E6495" s="19" t="s">
        <v>33204</v>
      </c>
      <c r="F6495" s="19" t="s">
        <v>35996</v>
      </c>
      <c r="G6495" s="18" t="str">
        <f>"48185"</f>
        <v>48185</v>
      </c>
      <c r="H6495" s="19" t="s">
        <v>33280</v>
      </c>
      <c r="I6495" s="20">
        <v>18.908999999999999</v>
      </c>
      <c r="J6495" s="44" t="s">
        <v>8</v>
      </c>
      <c r="K6495" s="23" t="s">
        <v>8</v>
      </c>
      <c r="L6495" s="23" t="s">
        <v>8</v>
      </c>
      <c r="M6495" s="23" t="s">
        <v>8</v>
      </c>
    </row>
    <row r="6496" spans="1:13" s="21" customFormat="1" x14ac:dyDescent="0.25">
      <c r="A6496" s="22" t="s">
        <v>8</v>
      </c>
      <c r="B6496" s="18" t="str">
        <f>"235468"</f>
        <v>235468</v>
      </c>
      <c r="C6496" s="19" t="s">
        <v>6406</v>
      </c>
      <c r="D6496" s="19" t="s">
        <v>21921</v>
      </c>
      <c r="E6496" s="19" t="s">
        <v>33180</v>
      </c>
      <c r="F6496" s="19" t="s">
        <v>35996</v>
      </c>
      <c r="G6496" s="18" t="str">
        <f>"48202"</f>
        <v>48202</v>
      </c>
      <c r="H6496" s="19" t="s">
        <v>33280</v>
      </c>
      <c r="I6496" s="20">
        <v>20.545999999999999</v>
      </c>
      <c r="J6496" s="44" t="s">
        <v>8</v>
      </c>
      <c r="K6496" s="23" t="s">
        <v>8</v>
      </c>
      <c r="L6496" s="23" t="s">
        <v>8</v>
      </c>
      <c r="M6496" s="23" t="s">
        <v>8</v>
      </c>
    </row>
    <row r="6497" spans="1:13" s="21" customFormat="1" x14ac:dyDescent="0.25">
      <c r="A6497" s="22" t="s">
        <v>8</v>
      </c>
      <c r="B6497" s="18" t="str">
        <f>"235470"</f>
        <v>235470</v>
      </c>
      <c r="C6497" s="19" t="s">
        <v>6407</v>
      </c>
      <c r="D6497" s="19" t="s">
        <v>21922</v>
      </c>
      <c r="E6497" s="19" t="s">
        <v>33161</v>
      </c>
      <c r="F6497" s="19" t="s">
        <v>35996</v>
      </c>
      <c r="G6497" s="18" t="str">
        <f>"48307"</f>
        <v>48307</v>
      </c>
      <c r="H6497" s="19" t="s">
        <v>31143</v>
      </c>
      <c r="I6497" s="20">
        <v>14.974</v>
      </c>
      <c r="J6497" s="44" t="s">
        <v>8</v>
      </c>
      <c r="K6497" s="23" t="s">
        <v>8</v>
      </c>
      <c r="L6497" s="23" t="s">
        <v>8</v>
      </c>
      <c r="M6497" s="23" t="s">
        <v>8</v>
      </c>
    </row>
    <row r="6498" spans="1:13" s="21" customFormat="1" x14ac:dyDescent="0.25">
      <c r="A6498" s="22" t="s">
        <v>8</v>
      </c>
      <c r="B6498" s="18" t="str">
        <f>"235471"</f>
        <v>235471</v>
      </c>
      <c r="C6498" s="19" t="s">
        <v>6408</v>
      </c>
      <c r="D6498" s="19" t="s">
        <v>21923</v>
      </c>
      <c r="E6498" s="19" t="s">
        <v>33268</v>
      </c>
      <c r="F6498" s="19" t="s">
        <v>35996</v>
      </c>
      <c r="G6498" s="18" t="str">
        <f>"49080"</f>
        <v>49080</v>
      </c>
      <c r="H6498" s="19" t="s">
        <v>33200</v>
      </c>
      <c r="I6498" s="20">
        <v>18.079999999999998</v>
      </c>
      <c r="J6498" s="44" t="s">
        <v>8</v>
      </c>
      <c r="K6498" s="23" t="s">
        <v>8</v>
      </c>
      <c r="L6498" s="23" t="s">
        <v>8</v>
      </c>
      <c r="M6498" s="23" t="s">
        <v>8</v>
      </c>
    </row>
    <row r="6499" spans="1:13" s="21" customFormat="1" x14ac:dyDescent="0.25">
      <c r="A6499" s="22" t="s">
        <v>8</v>
      </c>
      <c r="B6499" s="18" t="str">
        <f>"235472"</f>
        <v>235472</v>
      </c>
      <c r="C6499" s="19" t="s">
        <v>6409</v>
      </c>
      <c r="D6499" s="19" t="s">
        <v>21924</v>
      </c>
      <c r="E6499" s="19" t="s">
        <v>33269</v>
      </c>
      <c r="F6499" s="19" t="s">
        <v>35996</v>
      </c>
      <c r="G6499" s="18" t="str">
        <f>"48867"</f>
        <v>48867</v>
      </c>
      <c r="H6499" s="19" t="s">
        <v>36428</v>
      </c>
      <c r="I6499" s="20">
        <v>16.984000000000002</v>
      </c>
      <c r="J6499" s="44" t="s">
        <v>8</v>
      </c>
      <c r="K6499" s="23" t="s">
        <v>8</v>
      </c>
      <c r="L6499" s="23" t="s">
        <v>8</v>
      </c>
      <c r="M6499" s="23" t="s">
        <v>8</v>
      </c>
    </row>
    <row r="6500" spans="1:13" s="21" customFormat="1" x14ac:dyDescent="0.25">
      <c r="A6500" s="22" t="s">
        <v>8</v>
      </c>
      <c r="B6500" s="18" t="str">
        <f>"235473"</f>
        <v>235473</v>
      </c>
      <c r="C6500" s="19" t="s">
        <v>6410</v>
      </c>
      <c r="D6500" s="19" t="s">
        <v>21925</v>
      </c>
      <c r="E6500" s="19" t="s">
        <v>33210</v>
      </c>
      <c r="F6500" s="19" t="s">
        <v>35996</v>
      </c>
      <c r="G6500" s="18" t="str">
        <f>"48313"</f>
        <v>48313</v>
      </c>
      <c r="H6500" s="19" t="s">
        <v>31911</v>
      </c>
      <c r="I6500" s="20">
        <v>17.707000000000001</v>
      </c>
      <c r="J6500" s="44" t="s">
        <v>8</v>
      </c>
      <c r="K6500" s="23" t="s">
        <v>8</v>
      </c>
      <c r="L6500" s="23" t="s">
        <v>8</v>
      </c>
      <c r="M6500" s="23" t="s">
        <v>8</v>
      </c>
    </row>
    <row r="6501" spans="1:13" s="21" customFormat="1" x14ac:dyDescent="0.25">
      <c r="A6501" s="22" t="s">
        <v>8</v>
      </c>
      <c r="B6501" s="18" t="str">
        <f>"235475"</f>
        <v>235475</v>
      </c>
      <c r="C6501" s="19" t="s">
        <v>6411</v>
      </c>
      <c r="D6501" s="19" t="s">
        <v>21926</v>
      </c>
      <c r="E6501" s="19" t="s">
        <v>33180</v>
      </c>
      <c r="F6501" s="19" t="s">
        <v>35996</v>
      </c>
      <c r="G6501" s="18" t="str">
        <f>"48219"</f>
        <v>48219</v>
      </c>
      <c r="H6501" s="19" t="s">
        <v>33280</v>
      </c>
      <c r="I6501" s="20">
        <v>20.23</v>
      </c>
      <c r="J6501" s="44" t="s">
        <v>8</v>
      </c>
      <c r="K6501" s="23" t="s">
        <v>8</v>
      </c>
      <c r="L6501" s="23" t="s">
        <v>8</v>
      </c>
      <c r="M6501" s="23" t="s">
        <v>8</v>
      </c>
    </row>
    <row r="6502" spans="1:13" s="21" customFormat="1" x14ac:dyDescent="0.25">
      <c r="A6502" s="22" t="s">
        <v>8</v>
      </c>
      <c r="B6502" s="18" t="str">
        <f>"235476"</f>
        <v>235476</v>
      </c>
      <c r="C6502" s="19" t="s">
        <v>6412</v>
      </c>
      <c r="D6502" s="19" t="s">
        <v>21927</v>
      </c>
      <c r="E6502" s="19" t="s">
        <v>33180</v>
      </c>
      <c r="F6502" s="19" t="s">
        <v>35996</v>
      </c>
      <c r="G6502" s="18" t="str">
        <f>"48224"</f>
        <v>48224</v>
      </c>
      <c r="H6502" s="19" t="s">
        <v>33280</v>
      </c>
      <c r="I6502" s="20">
        <v>22.352</v>
      </c>
      <c r="J6502" s="44" t="s">
        <v>8</v>
      </c>
      <c r="K6502" s="23" t="s">
        <v>8</v>
      </c>
      <c r="L6502" s="23" t="s">
        <v>8</v>
      </c>
      <c r="M6502" s="23" t="s">
        <v>8</v>
      </c>
    </row>
    <row r="6503" spans="1:13" s="21" customFormat="1" x14ac:dyDescent="0.25">
      <c r="A6503" s="22" t="s">
        <v>8</v>
      </c>
      <c r="B6503" s="18" t="str">
        <f>"235477"</f>
        <v>235477</v>
      </c>
      <c r="C6503" s="19" t="s">
        <v>6413</v>
      </c>
      <c r="D6503" s="19" t="s">
        <v>21928</v>
      </c>
      <c r="E6503" s="19" t="s">
        <v>33161</v>
      </c>
      <c r="F6503" s="19" t="s">
        <v>35996</v>
      </c>
      <c r="G6503" s="18" t="str">
        <f>"48309"</f>
        <v>48309</v>
      </c>
      <c r="H6503" s="19" t="s">
        <v>31143</v>
      </c>
      <c r="I6503" s="20">
        <v>19.905999999999999</v>
      </c>
      <c r="J6503" s="44" t="s">
        <v>8</v>
      </c>
      <c r="K6503" s="23" t="s">
        <v>8</v>
      </c>
      <c r="L6503" s="23" t="s">
        <v>8</v>
      </c>
      <c r="M6503" s="23" t="s">
        <v>8</v>
      </c>
    </row>
    <row r="6504" spans="1:13" s="21" customFormat="1" x14ac:dyDescent="0.25">
      <c r="A6504" s="22" t="s">
        <v>8</v>
      </c>
      <c r="B6504" s="18" t="str">
        <f>"235479"</f>
        <v>235479</v>
      </c>
      <c r="C6504" s="19" t="s">
        <v>6414</v>
      </c>
      <c r="D6504" s="19" t="s">
        <v>21929</v>
      </c>
      <c r="E6504" s="19" t="s">
        <v>33168</v>
      </c>
      <c r="F6504" s="19" t="s">
        <v>35996</v>
      </c>
      <c r="G6504" s="18" t="str">
        <f>"48154"</f>
        <v>48154</v>
      </c>
      <c r="H6504" s="19" t="s">
        <v>33280</v>
      </c>
      <c r="I6504" s="20">
        <v>22.690999999999999</v>
      </c>
      <c r="J6504" s="44" t="s">
        <v>8</v>
      </c>
      <c r="K6504" s="23" t="s">
        <v>8</v>
      </c>
      <c r="L6504" s="23" t="s">
        <v>8</v>
      </c>
      <c r="M6504" s="23" t="s">
        <v>8</v>
      </c>
    </row>
    <row r="6505" spans="1:13" s="21" customFormat="1" x14ac:dyDescent="0.25">
      <c r="A6505" s="22" t="s">
        <v>8</v>
      </c>
      <c r="B6505" s="18" t="str">
        <f>"235480"</f>
        <v>235480</v>
      </c>
      <c r="C6505" s="19" t="s">
        <v>6415</v>
      </c>
      <c r="D6505" s="19" t="s">
        <v>21930</v>
      </c>
      <c r="E6505" s="19" t="s">
        <v>33270</v>
      </c>
      <c r="F6505" s="19" t="s">
        <v>35996</v>
      </c>
      <c r="G6505" s="18" t="str">
        <f>"48225"</f>
        <v>48225</v>
      </c>
      <c r="H6505" s="19" t="s">
        <v>33280</v>
      </c>
      <c r="I6505" s="20">
        <v>19.484000000000002</v>
      </c>
      <c r="J6505" s="44" t="s">
        <v>8</v>
      </c>
      <c r="K6505" s="23" t="s">
        <v>8</v>
      </c>
      <c r="L6505" s="23" t="s">
        <v>8</v>
      </c>
      <c r="M6505" s="23" t="s">
        <v>8</v>
      </c>
    </row>
    <row r="6506" spans="1:13" s="21" customFormat="1" x14ac:dyDescent="0.25">
      <c r="A6506" s="22" t="s">
        <v>8</v>
      </c>
      <c r="B6506" s="18" t="str">
        <f>"235481"</f>
        <v>235481</v>
      </c>
      <c r="C6506" s="19" t="s">
        <v>6416</v>
      </c>
      <c r="D6506" s="19" t="s">
        <v>21931</v>
      </c>
      <c r="E6506" s="19" t="s">
        <v>33271</v>
      </c>
      <c r="F6506" s="19" t="s">
        <v>35996</v>
      </c>
      <c r="G6506" s="18" t="str">
        <f>"48362"</f>
        <v>48362</v>
      </c>
      <c r="H6506" s="19" t="s">
        <v>31143</v>
      </c>
      <c r="I6506" s="20">
        <v>20.170000000000002</v>
      </c>
      <c r="J6506" s="44" t="s">
        <v>8</v>
      </c>
      <c r="K6506" s="23" t="s">
        <v>8</v>
      </c>
      <c r="L6506" s="23" t="s">
        <v>8</v>
      </c>
      <c r="M6506" s="23" t="s">
        <v>8</v>
      </c>
    </row>
    <row r="6507" spans="1:13" s="21" customFormat="1" x14ac:dyDescent="0.25">
      <c r="A6507" s="22" t="s">
        <v>8</v>
      </c>
      <c r="B6507" s="18" t="str">
        <f>"235482"</f>
        <v>235482</v>
      </c>
      <c r="C6507" s="19" t="s">
        <v>6417</v>
      </c>
      <c r="D6507" s="19" t="s">
        <v>21932</v>
      </c>
      <c r="E6507" s="19" t="s">
        <v>33234</v>
      </c>
      <c r="F6507" s="19" t="s">
        <v>35996</v>
      </c>
      <c r="G6507" s="18" t="str">
        <f>"48430"</f>
        <v>48430</v>
      </c>
      <c r="H6507" s="19" t="s">
        <v>36432</v>
      </c>
      <c r="I6507" s="20">
        <v>20.645</v>
      </c>
      <c r="J6507" s="44" t="s">
        <v>8</v>
      </c>
      <c r="K6507" s="23" t="s">
        <v>8</v>
      </c>
      <c r="L6507" s="23" t="s">
        <v>8</v>
      </c>
      <c r="M6507" s="23" t="s">
        <v>8</v>
      </c>
    </row>
    <row r="6508" spans="1:13" s="21" customFormat="1" x14ac:dyDescent="0.25">
      <c r="A6508" s="22" t="s">
        <v>8</v>
      </c>
      <c r="B6508" s="18" t="str">
        <f>"235483"</f>
        <v>235483</v>
      </c>
      <c r="C6508" s="19" t="s">
        <v>6418</v>
      </c>
      <c r="D6508" s="19" t="s">
        <v>21933</v>
      </c>
      <c r="E6508" s="19" t="s">
        <v>31918</v>
      </c>
      <c r="F6508" s="19" t="s">
        <v>35996</v>
      </c>
      <c r="G6508" s="18" t="str">
        <f>"49053"</f>
        <v>49053</v>
      </c>
      <c r="H6508" s="19" t="s">
        <v>33165</v>
      </c>
      <c r="I6508" s="20">
        <v>17.100000000000001</v>
      </c>
      <c r="J6508" s="44" t="s">
        <v>8</v>
      </c>
      <c r="K6508" s="23" t="s">
        <v>8</v>
      </c>
      <c r="L6508" s="23" t="s">
        <v>8</v>
      </c>
      <c r="M6508" s="23" t="s">
        <v>8</v>
      </c>
    </row>
    <row r="6509" spans="1:13" s="21" customFormat="1" x14ac:dyDescent="0.25">
      <c r="A6509" s="22" t="s">
        <v>8</v>
      </c>
      <c r="B6509" s="18" t="str">
        <f>"235484"</f>
        <v>235484</v>
      </c>
      <c r="C6509" s="19" t="s">
        <v>6419</v>
      </c>
      <c r="D6509" s="19" t="s">
        <v>21934</v>
      </c>
      <c r="E6509" s="19" t="s">
        <v>33210</v>
      </c>
      <c r="F6509" s="19" t="s">
        <v>35996</v>
      </c>
      <c r="G6509" s="18" t="str">
        <f>"48310"</f>
        <v>48310</v>
      </c>
      <c r="H6509" s="19" t="s">
        <v>31911</v>
      </c>
      <c r="I6509" s="20">
        <v>26.57</v>
      </c>
      <c r="J6509" s="44" t="s">
        <v>8</v>
      </c>
      <c r="K6509" s="23" t="s">
        <v>8</v>
      </c>
      <c r="L6509" s="23" t="s">
        <v>8</v>
      </c>
      <c r="M6509" s="23" t="s">
        <v>8</v>
      </c>
    </row>
    <row r="6510" spans="1:13" s="21" customFormat="1" x14ac:dyDescent="0.25">
      <c r="A6510" s="22" t="s">
        <v>8</v>
      </c>
      <c r="B6510" s="18" t="str">
        <f>"235485"</f>
        <v>235485</v>
      </c>
      <c r="C6510" s="19" t="s">
        <v>6420</v>
      </c>
      <c r="D6510" s="19" t="s">
        <v>21935</v>
      </c>
      <c r="E6510" s="19" t="s">
        <v>33231</v>
      </c>
      <c r="F6510" s="19" t="s">
        <v>35996</v>
      </c>
      <c r="G6510" s="18" t="str">
        <f>"48624"</f>
        <v>48624</v>
      </c>
      <c r="H6510" s="19" t="s">
        <v>33231</v>
      </c>
      <c r="I6510" s="20">
        <v>20.140999999999998</v>
      </c>
      <c r="J6510" s="44" t="s">
        <v>8</v>
      </c>
      <c r="K6510" s="23" t="s">
        <v>8</v>
      </c>
      <c r="L6510" s="23" t="s">
        <v>8</v>
      </c>
      <c r="M6510" s="23" t="s">
        <v>8</v>
      </c>
    </row>
    <row r="6511" spans="1:13" s="21" customFormat="1" x14ac:dyDescent="0.25">
      <c r="A6511" s="22" t="s">
        <v>8</v>
      </c>
      <c r="B6511" s="18" t="str">
        <f>"235486"</f>
        <v>235486</v>
      </c>
      <c r="C6511" s="19" t="s">
        <v>6421</v>
      </c>
      <c r="D6511" s="19" t="s">
        <v>21936</v>
      </c>
      <c r="E6511" s="19" t="s">
        <v>31178</v>
      </c>
      <c r="F6511" s="19" t="s">
        <v>35996</v>
      </c>
      <c r="G6511" s="18" t="str">
        <f>"48062"</f>
        <v>48062</v>
      </c>
      <c r="H6511" s="19" t="s">
        <v>31911</v>
      </c>
      <c r="I6511" s="20">
        <v>22.562000000000001</v>
      </c>
      <c r="J6511" s="44" t="s">
        <v>8</v>
      </c>
      <c r="K6511" s="23" t="s">
        <v>8</v>
      </c>
      <c r="L6511" s="23" t="s">
        <v>8</v>
      </c>
      <c r="M6511" s="23" t="s">
        <v>8</v>
      </c>
    </row>
    <row r="6512" spans="1:13" s="21" customFormat="1" x14ac:dyDescent="0.25">
      <c r="A6512" s="22" t="s">
        <v>8</v>
      </c>
      <c r="B6512" s="18" t="str">
        <f>"235487"</f>
        <v>235487</v>
      </c>
      <c r="C6512" s="19" t="s">
        <v>6422</v>
      </c>
      <c r="D6512" s="19" t="s">
        <v>21937</v>
      </c>
      <c r="E6512" s="19" t="s">
        <v>33217</v>
      </c>
      <c r="F6512" s="19" t="s">
        <v>35996</v>
      </c>
      <c r="G6512" s="18" t="str">
        <f>"48322"</f>
        <v>48322</v>
      </c>
      <c r="H6512" s="19" t="s">
        <v>31143</v>
      </c>
      <c r="I6512" s="20">
        <v>22.373999999999999</v>
      </c>
      <c r="J6512" s="44" t="s">
        <v>8</v>
      </c>
      <c r="K6512" s="23" t="s">
        <v>8</v>
      </c>
      <c r="L6512" s="23" t="s">
        <v>8</v>
      </c>
      <c r="M6512" s="23" t="s">
        <v>8</v>
      </c>
    </row>
    <row r="6513" spans="1:13" s="21" customFormat="1" x14ac:dyDescent="0.25">
      <c r="A6513" s="22" t="s">
        <v>8</v>
      </c>
      <c r="B6513" s="18" t="str">
        <f>"235488"</f>
        <v>235488</v>
      </c>
      <c r="C6513" s="19" t="s">
        <v>6423</v>
      </c>
      <c r="D6513" s="19" t="s">
        <v>21938</v>
      </c>
      <c r="E6513" s="19" t="s">
        <v>33217</v>
      </c>
      <c r="F6513" s="19" t="s">
        <v>35996</v>
      </c>
      <c r="G6513" s="18" t="str">
        <f>"48322"</f>
        <v>48322</v>
      </c>
      <c r="H6513" s="19" t="s">
        <v>31143</v>
      </c>
      <c r="I6513" s="20">
        <v>17.265000000000001</v>
      </c>
      <c r="J6513" s="44" t="s">
        <v>8</v>
      </c>
      <c r="K6513" s="23" t="s">
        <v>8</v>
      </c>
      <c r="L6513" s="23" t="s">
        <v>8</v>
      </c>
      <c r="M6513" s="23" t="s">
        <v>8</v>
      </c>
    </row>
    <row r="6514" spans="1:13" s="21" customFormat="1" x14ac:dyDescent="0.25">
      <c r="A6514" s="22" t="s">
        <v>8</v>
      </c>
      <c r="B6514" s="18" t="str">
        <f>"235489"</f>
        <v>235489</v>
      </c>
      <c r="C6514" s="19" t="s">
        <v>6424</v>
      </c>
      <c r="D6514" s="19" t="s">
        <v>21939</v>
      </c>
      <c r="E6514" s="19" t="s">
        <v>33272</v>
      </c>
      <c r="F6514" s="19" t="s">
        <v>35996</v>
      </c>
      <c r="G6514" s="18" t="str">
        <f>"48324"</f>
        <v>48324</v>
      </c>
      <c r="H6514" s="19" t="s">
        <v>31143</v>
      </c>
      <c r="I6514" s="20">
        <v>19.327000000000002</v>
      </c>
      <c r="J6514" s="44" t="s">
        <v>8</v>
      </c>
      <c r="K6514" s="23" t="s">
        <v>8</v>
      </c>
      <c r="L6514" s="23" t="s">
        <v>8</v>
      </c>
      <c r="M6514" s="23" t="s">
        <v>8</v>
      </c>
    </row>
    <row r="6515" spans="1:13" s="21" customFormat="1" x14ac:dyDescent="0.25">
      <c r="A6515" s="22" t="s">
        <v>8</v>
      </c>
      <c r="B6515" s="18" t="str">
        <f>"235490"</f>
        <v>235490</v>
      </c>
      <c r="C6515" s="19" t="s">
        <v>6425</v>
      </c>
      <c r="D6515" s="19" t="s">
        <v>21940</v>
      </c>
      <c r="E6515" s="19" t="s">
        <v>32348</v>
      </c>
      <c r="F6515" s="19" t="s">
        <v>35996</v>
      </c>
      <c r="G6515" s="18" t="str">
        <f>"48858"</f>
        <v>48858</v>
      </c>
      <c r="H6515" s="19" t="s">
        <v>36425</v>
      </c>
      <c r="I6515" s="20">
        <v>19.134</v>
      </c>
      <c r="J6515" s="44" t="s">
        <v>8</v>
      </c>
      <c r="K6515" s="23" t="s">
        <v>8</v>
      </c>
      <c r="L6515" s="23" t="s">
        <v>8</v>
      </c>
      <c r="M6515" s="23" t="s">
        <v>8</v>
      </c>
    </row>
    <row r="6516" spans="1:13" s="21" customFormat="1" x14ac:dyDescent="0.25">
      <c r="A6516" s="22" t="s">
        <v>8</v>
      </c>
      <c r="B6516" s="18" t="str">
        <f>"235491"</f>
        <v>235491</v>
      </c>
      <c r="C6516" s="19" t="s">
        <v>6426</v>
      </c>
      <c r="D6516" s="19" t="s">
        <v>21941</v>
      </c>
      <c r="E6516" s="19" t="s">
        <v>31213</v>
      </c>
      <c r="F6516" s="19" t="s">
        <v>35996</v>
      </c>
      <c r="G6516" s="18" t="str">
        <f>"48066"</f>
        <v>48066</v>
      </c>
      <c r="H6516" s="19" t="s">
        <v>31911</v>
      </c>
      <c r="I6516" s="20">
        <v>17.751999999999999</v>
      </c>
      <c r="J6516" s="44" t="s">
        <v>8</v>
      </c>
      <c r="K6516" s="23" t="s">
        <v>8</v>
      </c>
      <c r="L6516" s="23" t="s">
        <v>8</v>
      </c>
      <c r="M6516" s="23" t="s">
        <v>8</v>
      </c>
    </row>
    <row r="6517" spans="1:13" s="21" customFormat="1" x14ac:dyDescent="0.25">
      <c r="A6517" s="22" t="s">
        <v>8</v>
      </c>
      <c r="B6517" s="18" t="str">
        <f>"235492"</f>
        <v>235492</v>
      </c>
      <c r="C6517" s="19" t="s">
        <v>6427</v>
      </c>
      <c r="D6517" s="19" t="s">
        <v>21942</v>
      </c>
      <c r="E6517" s="19" t="s">
        <v>33180</v>
      </c>
      <c r="F6517" s="19" t="s">
        <v>35996</v>
      </c>
      <c r="G6517" s="18" t="str">
        <f>"48227"</f>
        <v>48227</v>
      </c>
      <c r="H6517" s="19" t="s">
        <v>33280</v>
      </c>
      <c r="I6517" s="20">
        <v>19.681000000000001</v>
      </c>
      <c r="J6517" s="44" t="s">
        <v>8</v>
      </c>
      <c r="K6517" s="23" t="s">
        <v>8</v>
      </c>
      <c r="L6517" s="23" t="s">
        <v>8</v>
      </c>
      <c r="M6517" s="23" t="s">
        <v>8</v>
      </c>
    </row>
    <row r="6518" spans="1:13" s="21" customFormat="1" x14ac:dyDescent="0.25">
      <c r="A6518" s="22" t="s">
        <v>8</v>
      </c>
      <c r="B6518" s="18" t="str">
        <f>"235495"</f>
        <v>235495</v>
      </c>
      <c r="C6518" s="19" t="s">
        <v>6428</v>
      </c>
      <c r="D6518" s="19" t="s">
        <v>21943</v>
      </c>
      <c r="E6518" s="19" t="s">
        <v>31063</v>
      </c>
      <c r="F6518" s="19" t="s">
        <v>35996</v>
      </c>
      <c r="G6518" s="18" t="str">
        <f>"49068"</f>
        <v>49068</v>
      </c>
      <c r="H6518" s="19" t="s">
        <v>31743</v>
      </c>
      <c r="I6518" s="20">
        <v>17.172000000000001</v>
      </c>
      <c r="J6518" s="44" t="s">
        <v>8</v>
      </c>
      <c r="K6518" s="23" t="s">
        <v>8</v>
      </c>
      <c r="L6518" s="23" t="s">
        <v>8</v>
      </c>
      <c r="M6518" s="23" t="s">
        <v>8</v>
      </c>
    </row>
    <row r="6519" spans="1:13" s="21" customFormat="1" x14ac:dyDescent="0.25">
      <c r="A6519" s="22" t="s">
        <v>8</v>
      </c>
      <c r="B6519" s="18" t="str">
        <f>"235498"</f>
        <v>235498</v>
      </c>
      <c r="C6519" s="19" t="s">
        <v>6429</v>
      </c>
      <c r="D6519" s="19" t="s">
        <v>21944</v>
      </c>
      <c r="E6519" s="19" t="s">
        <v>33180</v>
      </c>
      <c r="F6519" s="19" t="s">
        <v>35996</v>
      </c>
      <c r="G6519" s="18" t="str">
        <f>"48208"</f>
        <v>48208</v>
      </c>
      <c r="H6519" s="19" t="s">
        <v>33280</v>
      </c>
      <c r="I6519" s="20">
        <v>18.981000000000002</v>
      </c>
      <c r="J6519" s="44" t="s">
        <v>8</v>
      </c>
      <c r="K6519" s="23" t="s">
        <v>8</v>
      </c>
      <c r="L6519" s="23" t="s">
        <v>8</v>
      </c>
      <c r="M6519" s="23" t="s">
        <v>8</v>
      </c>
    </row>
    <row r="6520" spans="1:13" s="21" customFormat="1" x14ac:dyDescent="0.25">
      <c r="A6520" s="22" t="s">
        <v>8</v>
      </c>
      <c r="B6520" s="18" t="str">
        <f>"235499"</f>
        <v>235499</v>
      </c>
      <c r="C6520" s="19" t="s">
        <v>6430</v>
      </c>
      <c r="D6520" s="19" t="s">
        <v>21945</v>
      </c>
      <c r="E6520" s="19" t="s">
        <v>31758</v>
      </c>
      <c r="F6520" s="19" t="s">
        <v>35996</v>
      </c>
      <c r="G6520" s="18" t="str">
        <f>"49304"</f>
        <v>49304</v>
      </c>
      <c r="H6520" s="19" t="s">
        <v>36096</v>
      </c>
      <c r="I6520" s="20">
        <v>18.071999999999999</v>
      </c>
      <c r="J6520" s="44" t="s">
        <v>8</v>
      </c>
      <c r="K6520" s="23" t="s">
        <v>8</v>
      </c>
      <c r="L6520" s="23" t="s">
        <v>8</v>
      </c>
      <c r="M6520" s="23" t="s">
        <v>8</v>
      </c>
    </row>
    <row r="6521" spans="1:13" s="21" customFormat="1" x14ac:dyDescent="0.25">
      <c r="A6521" s="22" t="s">
        <v>8</v>
      </c>
      <c r="B6521" s="18" t="str">
        <f>"235500"</f>
        <v>235500</v>
      </c>
      <c r="C6521" s="19" t="s">
        <v>6431</v>
      </c>
      <c r="D6521" s="19" t="s">
        <v>21946</v>
      </c>
      <c r="E6521" s="19" t="s">
        <v>33180</v>
      </c>
      <c r="F6521" s="19" t="s">
        <v>35996</v>
      </c>
      <c r="G6521" s="18" t="str">
        <f>"48213"</f>
        <v>48213</v>
      </c>
      <c r="H6521" s="19" t="s">
        <v>33280</v>
      </c>
      <c r="I6521" s="20">
        <v>18.916</v>
      </c>
      <c r="J6521" s="44" t="s">
        <v>8</v>
      </c>
      <c r="K6521" s="23" t="s">
        <v>8</v>
      </c>
      <c r="L6521" s="23" t="s">
        <v>8</v>
      </c>
      <c r="M6521" s="23" t="s">
        <v>8</v>
      </c>
    </row>
    <row r="6522" spans="1:13" s="21" customFormat="1" x14ac:dyDescent="0.25">
      <c r="A6522" s="22" t="s">
        <v>8</v>
      </c>
      <c r="B6522" s="18" t="str">
        <f>"235502"</f>
        <v>235502</v>
      </c>
      <c r="C6522" s="19" t="s">
        <v>6432</v>
      </c>
      <c r="D6522" s="19" t="s">
        <v>21947</v>
      </c>
      <c r="E6522" s="19" t="s">
        <v>33273</v>
      </c>
      <c r="F6522" s="19" t="s">
        <v>35996</v>
      </c>
      <c r="G6522" s="18" t="str">
        <f>"48120"</f>
        <v>48120</v>
      </c>
      <c r="H6522" s="19" t="s">
        <v>33280</v>
      </c>
      <c r="I6522" s="20">
        <v>23.442</v>
      </c>
      <c r="J6522" s="44" t="s">
        <v>8</v>
      </c>
      <c r="K6522" s="23" t="s">
        <v>8</v>
      </c>
      <c r="L6522" s="23" t="s">
        <v>8</v>
      </c>
      <c r="M6522" s="23" t="s">
        <v>8</v>
      </c>
    </row>
    <row r="6523" spans="1:13" s="21" customFormat="1" x14ac:dyDescent="0.25">
      <c r="A6523" s="22" t="s">
        <v>8</v>
      </c>
      <c r="B6523" s="18" t="str">
        <f>"235503"</f>
        <v>235503</v>
      </c>
      <c r="C6523" s="19" t="s">
        <v>6433</v>
      </c>
      <c r="D6523" s="19" t="s">
        <v>21948</v>
      </c>
      <c r="E6523" s="19" t="s">
        <v>33274</v>
      </c>
      <c r="F6523" s="19" t="s">
        <v>35996</v>
      </c>
      <c r="G6523" s="18" t="str">
        <f>"48198"</f>
        <v>48198</v>
      </c>
      <c r="H6523" s="19" t="s">
        <v>36422</v>
      </c>
      <c r="I6523" s="20">
        <v>23.684999999999999</v>
      </c>
      <c r="J6523" s="44" t="s">
        <v>8</v>
      </c>
      <c r="K6523" s="23" t="s">
        <v>8</v>
      </c>
      <c r="L6523" s="23" t="s">
        <v>8</v>
      </c>
      <c r="M6523" s="23" t="s">
        <v>8</v>
      </c>
    </row>
    <row r="6524" spans="1:13" s="21" customFormat="1" x14ac:dyDescent="0.25">
      <c r="A6524" s="22" t="s">
        <v>8</v>
      </c>
      <c r="B6524" s="18" t="str">
        <f>"235504"</f>
        <v>235504</v>
      </c>
      <c r="C6524" s="19" t="s">
        <v>6434</v>
      </c>
      <c r="D6524" s="19" t="s">
        <v>21949</v>
      </c>
      <c r="E6524" s="19" t="s">
        <v>31844</v>
      </c>
      <c r="F6524" s="19" t="s">
        <v>35996</v>
      </c>
      <c r="G6524" s="18" t="str">
        <f>"49221"</f>
        <v>49221</v>
      </c>
      <c r="H6524" s="19" t="s">
        <v>36435</v>
      </c>
      <c r="I6524" s="20">
        <v>15.765000000000001</v>
      </c>
      <c r="J6524" s="44" t="s">
        <v>8</v>
      </c>
      <c r="K6524" s="23" t="s">
        <v>8</v>
      </c>
      <c r="L6524" s="23" t="s">
        <v>8</v>
      </c>
      <c r="M6524" s="23" t="s">
        <v>8</v>
      </c>
    </row>
    <row r="6525" spans="1:13" s="21" customFormat="1" x14ac:dyDescent="0.25">
      <c r="A6525" s="22" t="s">
        <v>8</v>
      </c>
      <c r="B6525" s="18" t="str">
        <f>"235506"</f>
        <v>235506</v>
      </c>
      <c r="C6525" s="19" t="s">
        <v>6435</v>
      </c>
      <c r="D6525" s="19" t="s">
        <v>21950</v>
      </c>
      <c r="E6525" s="19" t="s">
        <v>33275</v>
      </c>
      <c r="F6525" s="19" t="s">
        <v>35996</v>
      </c>
      <c r="G6525" s="18" t="str">
        <f>"48315"</f>
        <v>48315</v>
      </c>
      <c r="H6525" s="19" t="s">
        <v>31911</v>
      </c>
      <c r="I6525" s="20">
        <v>19.582000000000001</v>
      </c>
      <c r="J6525" s="44" t="s">
        <v>8</v>
      </c>
      <c r="K6525" s="23" t="s">
        <v>8</v>
      </c>
      <c r="L6525" s="23" t="s">
        <v>8</v>
      </c>
      <c r="M6525" s="23" t="s">
        <v>8</v>
      </c>
    </row>
    <row r="6526" spans="1:13" s="21" customFormat="1" x14ac:dyDescent="0.25">
      <c r="A6526" s="22" t="s">
        <v>8</v>
      </c>
      <c r="B6526" s="18" t="str">
        <f>"235507"</f>
        <v>235507</v>
      </c>
      <c r="C6526" s="19" t="s">
        <v>6436</v>
      </c>
      <c r="D6526" s="19" t="s">
        <v>21951</v>
      </c>
      <c r="E6526" s="19" t="s">
        <v>31465</v>
      </c>
      <c r="F6526" s="19" t="s">
        <v>35996</v>
      </c>
      <c r="G6526" s="18" t="str">
        <f>"48170"</f>
        <v>48170</v>
      </c>
      <c r="H6526" s="19" t="s">
        <v>33280</v>
      </c>
      <c r="I6526" s="20">
        <v>18.718</v>
      </c>
      <c r="J6526" s="44" t="s">
        <v>8</v>
      </c>
      <c r="K6526" s="23" t="s">
        <v>8</v>
      </c>
      <c r="L6526" s="23" t="s">
        <v>8</v>
      </c>
      <c r="M6526" s="23" t="s">
        <v>8</v>
      </c>
    </row>
    <row r="6527" spans="1:13" s="21" customFormat="1" x14ac:dyDescent="0.25">
      <c r="A6527" s="22" t="s">
        <v>8</v>
      </c>
      <c r="B6527" s="18" t="str">
        <f>"235508"</f>
        <v>235508</v>
      </c>
      <c r="C6527" s="19" t="s">
        <v>6437</v>
      </c>
      <c r="D6527" s="19" t="s">
        <v>21952</v>
      </c>
      <c r="E6527" s="19" t="s">
        <v>33266</v>
      </c>
      <c r="F6527" s="19" t="s">
        <v>35996</v>
      </c>
      <c r="G6527" s="18" t="str">
        <f>"48336"</f>
        <v>48336</v>
      </c>
      <c r="H6527" s="19" t="s">
        <v>31143</v>
      </c>
      <c r="I6527" s="20">
        <v>20.393000000000001</v>
      </c>
      <c r="J6527" s="44" t="s">
        <v>8</v>
      </c>
      <c r="K6527" s="23" t="s">
        <v>8</v>
      </c>
      <c r="L6527" s="23" t="s">
        <v>8</v>
      </c>
      <c r="M6527" s="23" t="s">
        <v>8</v>
      </c>
    </row>
    <row r="6528" spans="1:13" s="21" customFormat="1" x14ac:dyDescent="0.25">
      <c r="A6528" s="22" t="s">
        <v>8</v>
      </c>
      <c r="B6528" s="18" t="str">
        <f>"235509"</f>
        <v>235509</v>
      </c>
      <c r="C6528" s="19" t="s">
        <v>6438</v>
      </c>
      <c r="D6528" s="19" t="s">
        <v>21953</v>
      </c>
      <c r="E6528" s="19" t="s">
        <v>31025</v>
      </c>
      <c r="F6528" s="19" t="s">
        <v>35996</v>
      </c>
      <c r="G6528" s="18" t="str">
        <f>"48093"</f>
        <v>48093</v>
      </c>
      <c r="H6528" s="19" t="s">
        <v>31911</v>
      </c>
      <c r="I6528" s="20">
        <v>20.736000000000001</v>
      </c>
      <c r="J6528" s="44" t="s">
        <v>8</v>
      </c>
      <c r="K6528" s="23" t="s">
        <v>8</v>
      </c>
      <c r="L6528" s="23" t="s">
        <v>8</v>
      </c>
      <c r="M6528" s="23" t="s">
        <v>8</v>
      </c>
    </row>
    <row r="6529" spans="1:13" s="21" customFormat="1" x14ac:dyDescent="0.25">
      <c r="A6529" s="22" t="s">
        <v>8</v>
      </c>
      <c r="B6529" s="18" t="str">
        <f>"235511"</f>
        <v>235511</v>
      </c>
      <c r="C6529" s="19" t="s">
        <v>6439</v>
      </c>
      <c r="D6529" s="19" t="s">
        <v>21954</v>
      </c>
      <c r="E6529" s="19" t="s">
        <v>33276</v>
      </c>
      <c r="F6529" s="19" t="s">
        <v>35996</v>
      </c>
      <c r="G6529" s="18" t="str">
        <f>"48653"</f>
        <v>48653</v>
      </c>
      <c r="H6529" s="19" t="s">
        <v>33276</v>
      </c>
      <c r="I6529" s="20">
        <v>17.620999999999999</v>
      </c>
      <c r="J6529" s="44" t="s">
        <v>8</v>
      </c>
      <c r="K6529" s="23" t="s">
        <v>8</v>
      </c>
      <c r="L6529" s="23" t="s">
        <v>8</v>
      </c>
      <c r="M6529" s="23" t="s">
        <v>8</v>
      </c>
    </row>
    <row r="6530" spans="1:13" s="21" customFormat="1" x14ac:dyDescent="0.25">
      <c r="A6530" s="22" t="s">
        <v>8</v>
      </c>
      <c r="B6530" s="18" t="str">
        <f>"235513"</f>
        <v>235513</v>
      </c>
      <c r="C6530" s="19" t="s">
        <v>6440</v>
      </c>
      <c r="D6530" s="19" t="s">
        <v>21955</v>
      </c>
      <c r="E6530" s="19" t="s">
        <v>33277</v>
      </c>
      <c r="F6530" s="19" t="s">
        <v>35996</v>
      </c>
      <c r="G6530" s="18" t="str">
        <f>"48871"</f>
        <v>48871</v>
      </c>
      <c r="H6530" s="19" t="s">
        <v>36421</v>
      </c>
      <c r="I6530" s="20">
        <v>20.175999999999998</v>
      </c>
      <c r="J6530" s="44" t="s">
        <v>8</v>
      </c>
      <c r="K6530" s="23" t="s">
        <v>8</v>
      </c>
      <c r="L6530" s="23" t="s">
        <v>8</v>
      </c>
      <c r="M6530" s="23" t="s">
        <v>8</v>
      </c>
    </row>
    <row r="6531" spans="1:13" s="21" customFormat="1" x14ac:dyDescent="0.25">
      <c r="A6531" s="22" t="s">
        <v>8</v>
      </c>
      <c r="B6531" s="18" t="str">
        <f>"235514"</f>
        <v>235514</v>
      </c>
      <c r="C6531" s="19" t="s">
        <v>6441</v>
      </c>
      <c r="D6531" s="19" t="s">
        <v>21956</v>
      </c>
      <c r="E6531" s="19" t="s">
        <v>33254</v>
      </c>
      <c r="F6531" s="19" t="s">
        <v>35996</v>
      </c>
      <c r="G6531" s="18" t="str">
        <f>"48125"</f>
        <v>48125</v>
      </c>
      <c r="H6531" s="19" t="s">
        <v>33280</v>
      </c>
      <c r="I6531" s="20">
        <v>18.917000000000002</v>
      </c>
      <c r="J6531" s="44" t="s">
        <v>8</v>
      </c>
      <c r="K6531" s="23" t="s">
        <v>8</v>
      </c>
      <c r="L6531" s="23" t="s">
        <v>8</v>
      </c>
      <c r="M6531" s="23" t="s">
        <v>8</v>
      </c>
    </row>
    <row r="6532" spans="1:13" s="21" customFormat="1" x14ac:dyDescent="0.25">
      <c r="A6532" s="22" t="s">
        <v>8</v>
      </c>
      <c r="B6532" s="18" t="str">
        <f>"235515"</f>
        <v>235515</v>
      </c>
      <c r="C6532" s="19" t="s">
        <v>6442</v>
      </c>
      <c r="D6532" s="19" t="s">
        <v>21957</v>
      </c>
      <c r="E6532" s="19" t="s">
        <v>33151</v>
      </c>
      <c r="F6532" s="19" t="s">
        <v>35996</v>
      </c>
      <c r="G6532" s="18" t="str">
        <f>"48763"</f>
        <v>48763</v>
      </c>
      <c r="H6532" s="19" t="s">
        <v>36419</v>
      </c>
      <c r="I6532" s="20">
        <v>17.062999999999999</v>
      </c>
      <c r="J6532" s="44" t="s">
        <v>8</v>
      </c>
      <c r="K6532" s="23" t="s">
        <v>8</v>
      </c>
      <c r="L6532" s="23" t="s">
        <v>8</v>
      </c>
      <c r="M6532" s="23" t="s">
        <v>8</v>
      </c>
    </row>
    <row r="6533" spans="1:13" s="21" customFormat="1" x14ac:dyDescent="0.25">
      <c r="A6533" s="22" t="s">
        <v>8</v>
      </c>
      <c r="B6533" s="18" t="str">
        <f>"235516"</f>
        <v>235516</v>
      </c>
      <c r="C6533" s="19" t="s">
        <v>6443</v>
      </c>
      <c r="D6533" s="19" t="s">
        <v>21958</v>
      </c>
      <c r="E6533" s="19" t="s">
        <v>33222</v>
      </c>
      <c r="F6533" s="19" t="s">
        <v>35996</v>
      </c>
      <c r="G6533" s="18" t="str">
        <f>"48193"</f>
        <v>48193</v>
      </c>
      <c r="H6533" s="19" t="s">
        <v>33280</v>
      </c>
      <c r="I6533" s="20">
        <v>18.838000000000001</v>
      </c>
      <c r="J6533" s="44" t="s">
        <v>8</v>
      </c>
      <c r="K6533" s="23" t="s">
        <v>8</v>
      </c>
      <c r="L6533" s="23" t="s">
        <v>8</v>
      </c>
      <c r="M6533" s="23" t="s">
        <v>8</v>
      </c>
    </row>
    <row r="6534" spans="1:13" s="21" customFormat="1" x14ac:dyDescent="0.25">
      <c r="A6534" s="22" t="s">
        <v>8</v>
      </c>
      <c r="B6534" s="18" t="str">
        <f>"235517"</f>
        <v>235517</v>
      </c>
      <c r="C6534" s="19" t="s">
        <v>6444</v>
      </c>
      <c r="D6534" s="19" t="s">
        <v>21959</v>
      </c>
      <c r="E6534" s="19" t="s">
        <v>33205</v>
      </c>
      <c r="F6534" s="19" t="s">
        <v>35996</v>
      </c>
      <c r="G6534" s="18" t="str">
        <f>"48823"</f>
        <v>48823</v>
      </c>
      <c r="H6534" s="19" t="s">
        <v>36420</v>
      </c>
      <c r="I6534" s="20">
        <v>18.652000000000001</v>
      </c>
      <c r="J6534" s="44" t="s">
        <v>8</v>
      </c>
      <c r="K6534" s="23" t="s">
        <v>8</v>
      </c>
      <c r="L6534" s="23" t="s">
        <v>8</v>
      </c>
      <c r="M6534" s="23" t="s">
        <v>8</v>
      </c>
    </row>
    <row r="6535" spans="1:13" s="21" customFormat="1" x14ac:dyDescent="0.25">
      <c r="A6535" s="22" t="s">
        <v>8</v>
      </c>
      <c r="B6535" s="18" t="str">
        <f>"235518"</f>
        <v>235518</v>
      </c>
      <c r="C6535" s="19" t="s">
        <v>6445</v>
      </c>
      <c r="D6535" s="19" t="s">
        <v>21960</v>
      </c>
      <c r="E6535" s="19" t="s">
        <v>33278</v>
      </c>
      <c r="F6535" s="19" t="s">
        <v>35996</v>
      </c>
      <c r="G6535" s="18" t="str">
        <f>"48420"</f>
        <v>48420</v>
      </c>
      <c r="H6535" s="19" t="s">
        <v>36432</v>
      </c>
      <c r="I6535" s="20">
        <v>25.363</v>
      </c>
      <c r="J6535" s="44" t="s">
        <v>8</v>
      </c>
      <c r="K6535" s="23" t="s">
        <v>8</v>
      </c>
      <c r="L6535" s="23" t="s">
        <v>8</v>
      </c>
      <c r="M6535" s="23" t="s">
        <v>8</v>
      </c>
    </row>
    <row r="6536" spans="1:13" s="21" customFormat="1" x14ac:dyDescent="0.25">
      <c r="A6536" s="22" t="s">
        <v>8</v>
      </c>
      <c r="B6536" s="18" t="str">
        <f>"235519"</f>
        <v>235519</v>
      </c>
      <c r="C6536" s="19" t="s">
        <v>6446</v>
      </c>
      <c r="D6536" s="19" t="s">
        <v>21961</v>
      </c>
      <c r="E6536" s="19" t="s">
        <v>33279</v>
      </c>
      <c r="F6536" s="19" t="s">
        <v>35996</v>
      </c>
      <c r="G6536" s="18" t="str">
        <f>"48629"</f>
        <v>48629</v>
      </c>
      <c r="H6536" s="19" t="s">
        <v>33276</v>
      </c>
      <c r="I6536" s="20">
        <v>16.78</v>
      </c>
      <c r="J6536" s="44" t="s">
        <v>8</v>
      </c>
      <c r="K6536" s="23" t="s">
        <v>8</v>
      </c>
      <c r="L6536" s="23" t="s">
        <v>8</v>
      </c>
      <c r="M6536" s="23" t="s">
        <v>8</v>
      </c>
    </row>
    <row r="6537" spans="1:13" s="21" customFormat="1" x14ac:dyDescent="0.25">
      <c r="A6537" s="22" t="s">
        <v>8</v>
      </c>
      <c r="B6537" s="18" t="str">
        <f>"235520"</f>
        <v>235520</v>
      </c>
      <c r="C6537" s="19" t="s">
        <v>6447</v>
      </c>
      <c r="D6537" s="19" t="s">
        <v>21962</v>
      </c>
      <c r="E6537" s="19" t="s">
        <v>31711</v>
      </c>
      <c r="F6537" s="19" t="s">
        <v>35996</v>
      </c>
      <c r="G6537" s="18" t="str">
        <f>"48161"</f>
        <v>48161</v>
      </c>
      <c r="H6537" s="19" t="s">
        <v>31711</v>
      </c>
      <c r="I6537" s="20">
        <v>18.736999999999998</v>
      </c>
      <c r="J6537" s="44" t="s">
        <v>8</v>
      </c>
      <c r="K6537" s="23" t="s">
        <v>8</v>
      </c>
      <c r="L6537" s="23" t="s">
        <v>8</v>
      </c>
      <c r="M6537" s="23" t="s">
        <v>8</v>
      </c>
    </row>
    <row r="6538" spans="1:13" s="21" customFormat="1" x14ac:dyDescent="0.25">
      <c r="A6538" s="22" t="s">
        <v>8</v>
      </c>
      <c r="B6538" s="18" t="str">
        <f>"235521"</f>
        <v>235521</v>
      </c>
      <c r="C6538" s="19" t="s">
        <v>6448</v>
      </c>
      <c r="D6538" s="19" t="s">
        <v>21963</v>
      </c>
      <c r="E6538" s="19" t="s">
        <v>33280</v>
      </c>
      <c r="F6538" s="19" t="s">
        <v>35996</v>
      </c>
      <c r="G6538" s="18" t="str">
        <f>"48184"</f>
        <v>48184</v>
      </c>
      <c r="H6538" s="19" t="s">
        <v>33280</v>
      </c>
      <c r="I6538" s="20">
        <v>17.350999999999999</v>
      </c>
      <c r="J6538" s="44" t="s">
        <v>8</v>
      </c>
      <c r="K6538" s="23" t="s">
        <v>8</v>
      </c>
      <c r="L6538" s="23" t="s">
        <v>8</v>
      </c>
      <c r="M6538" s="23" t="s">
        <v>8</v>
      </c>
    </row>
    <row r="6539" spans="1:13" s="21" customFormat="1" x14ac:dyDescent="0.25">
      <c r="A6539" s="22" t="s">
        <v>8</v>
      </c>
      <c r="B6539" s="18" t="str">
        <f>"235522"</f>
        <v>235522</v>
      </c>
      <c r="C6539" s="19" t="s">
        <v>6449</v>
      </c>
      <c r="D6539" s="19" t="s">
        <v>21964</v>
      </c>
      <c r="E6539" s="19" t="s">
        <v>33281</v>
      </c>
      <c r="F6539" s="19" t="s">
        <v>35996</v>
      </c>
      <c r="G6539" s="18" t="str">
        <f>"49445"</f>
        <v>49445</v>
      </c>
      <c r="H6539" s="19" t="s">
        <v>33147</v>
      </c>
      <c r="I6539" s="20">
        <v>19.745000000000001</v>
      </c>
      <c r="J6539" s="44" t="s">
        <v>8</v>
      </c>
      <c r="K6539" s="23" t="s">
        <v>8</v>
      </c>
      <c r="L6539" s="23" t="s">
        <v>8</v>
      </c>
      <c r="M6539" s="23" t="s">
        <v>8</v>
      </c>
    </row>
    <row r="6540" spans="1:13" s="21" customFormat="1" x14ac:dyDescent="0.25">
      <c r="A6540" s="22" t="s">
        <v>8</v>
      </c>
      <c r="B6540" s="18" t="str">
        <f>"235523"</f>
        <v>235523</v>
      </c>
      <c r="C6540" s="19" t="s">
        <v>6450</v>
      </c>
      <c r="D6540" s="19" t="s">
        <v>21965</v>
      </c>
      <c r="E6540" s="19" t="s">
        <v>33221</v>
      </c>
      <c r="F6540" s="19" t="s">
        <v>35996</v>
      </c>
      <c r="G6540" s="18" t="str">
        <f>"48075"</f>
        <v>48075</v>
      </c>
      <c r="H6540" s="19" t="s">
        <v>31143</v>
      </c>
      <c r="I6540" s="20">
        <v>17.608000000000001</v>
      </c>
      <c r="J6540" s="44" t="s">
        <v>8</v>
      </c>
      <c r="K6540" s="23" t="s">
        <v>8</v>
      </c>
      <c r="L6540" s="23" t="s">
        <v>8</v>
      </c>
      <c r="M6540" s="23" t="s">
        <v>8</v>
      </c>
    </row>
    <row r="6541" spans="1:13" s="21" customFormat="1" x14ac:dyDescent="0.25">
      <c r="A6541" s="22" t="s">
        <v>8</v>
      </c>
      <c r="B6541" s="18" t="str">
        <f>"235524"</f>
        <v>235524</v>
      </c>
      <c r="C6541" s="19" t="s">
        <v>6451</v>
      </c>
      <c r="D6541" s="19" t="s">
        <v>21966</v>
      </c>
      <c r="E6541" s="19" t="s">
        <v>33165</v>
      </c>
      <c r="F6541" s="19" t="s">
        <v>35996</v>
      </c>
      <c r="G6541" s="18" t="str">
        <f>"49009"</f>
        <v>49009</v>
      </c>
      <c r="H6541" s="19" t="s">
        <v>33165</v>
      </c>
      <c r="I6541" s="20">
        <v>17.248000000000001</v>
      </c>
      <c r="J6541" s="44" t="s">
        <v>8</v>
      </c>
      <c r="K6541" s="23" t="s">
        <v>8</v>
      </c>
      <c r="L6541" s="23" t="s">
        <v>8</v>
      </c>
      <c r="M6541" s="23" t="s">
        <v>8</v>
      </c>
    </row>
    <row r="6542" spans="1:13" s="21" customFormat="1" x14ac:dyDescent="0.25">
      <c r="A6542" s="22" t="s">
        <v>8</v>
      </c>
      <c r="B6542" s="18" t="str">
        <f>"235525"</f>
        <v>235525</v>
      </c>
      <c r="C6542" s="19" t="s">
        <v>6452</v>
      </c>
      <c r="D6542" s="19" t="s">
        <v>21967</v>
      </c>
      <c r="E6542" s="19" t="s">
        <v>33233</v>
      </c>
      <c r="F6542" s="19" t="s">
        <v>35996</v>
      </c>
      <c r="G6542" s="18" t="str">
        <f>"49464"</f>
        <v>49464</v>
      </c>
      <c r="H6542" s="19" t="s">
        <v>31994</v>
      </c>
      <c r="I6542" s="20">
        <v>17.347000000000001</v>
      </c>
      <c r="J6542" s="44" t="s">
        <v>8</v>
      </c>
      <c r="K6542" s="23" t="s">
        <v>8</v>
      </c>
      <c r="L6542" s="23" t="s">
        <v>8</v>
      </c>
      <c r="M6542" s="23" t="s">
        <v>8</v>
      </c>
    </row>
    <row r="6543" spans="1:13" s="21" customFormat="1" x14ac:dyDescent="0.25">
      <c r="A6543" s="22" t="s">
        <v>8</v>
      </c>
      <c r="B6543" s="18" t="str">
        <f>"235526"</f>
        <v>235526</v>
      </c>
      <c r="C6543" s="19" t="s">
        <v>6453</v>
      </c>
      <c r="D6543" s="19" t="s">
        <v>21968</v>
      </c>
      <c r="E6543" s="19" t="s">
        <v>33282</v>
      </c>
      <c r="F6543" s="19" t="s">
        <v>35996</v>
      </c>
      <c r="G6543" s="18" t="str">
        <f>"49720"</f>
        <v>49720</v>
      </c>
      <c r="H6543" s="19" t="s">
        <v>33282</v>
      </c>
      <c r="I6543" s="20">
        <v>17.59</v>
      </c>
      <c r="J6543" s="44" t="s">
        <v>8</v>
      </c>
      <c r="K6543" s="23" t="s">
        <v>8</v>
      </c>
      <c r="L6543" s="23" t="s">
        <v>8</v>
      </c>
      <c r="M6543" s="23" t="s">
        <v>8</v>
      </c>
    </row>
    <row r="6544" spans="1:13" s="21" customFormat="1" x14ac:dyDescent="0.25">
      <c r="A6544" s="22" t="s">
        <v>8</v>
      </c>
      <c r="B6544" s="18" t="str">
        <f>"235527"</f>
        <v>235527</v>
      </c>
      <c r="C6544" s="19" t="s">
        <v>6454</v>
      </c>
      <c r="D6544" s="19" t="s">
        <v>21969</v>
      </c>
      <c r="E6544" s="19" t="s">
        <v>33180</v>
      </c>
      <c r="F6544" s="19" t="s">
        <v>35996</v>
      </c>
      <c r="G6544" s="18" t="str">
        <f>"48205"</f>
        <v>48205</v>
      </c>
      <c r="H6544" s="19" t="s">
        <v>33280</v>
      </c>
      <c r="I6544" s="20">
        <v>17.259</v>
      </c>
      <c r="J6544" s="44" t="s">
        <v>8</v>
      </c>
      <c r="K6544" s="23" t="s">
        <v>8</v>
      </c>
      <c r="L6544" s="23" t="s">
        <v>8</v>
      </c>
      <c r="M6544" s="23" t="s">
        <v>8</v>
      </c>
    </row>
    <row r="6545" spans="1:13" s="21" customFormat="1" x14ac:dyDescent="0.25">
      <c r="A6545" s="22" t="s">
        <v>8</v>
      </c>
      <c r="B6545" s="18" t="str">
        <f>"235528"</f>
        <v>235528</v>
      </c>
      <c r="C6545" s="19" t="s">
        <v>6455</v>
      </c>
      <c r="D6545" s="19" t="s">
        <v>21970</v>
      </c>
      <c r="E6545" s="19" t="s">
        <v>33283</v>
      </c>
      <c r="F6545" s="19" t="s">
        <v>35996</v>
      </c>
      <c r="G6545" s="18" t="str">
        <f>"48047"</f>
        <v>48047</v>
      </c>
      <c r="H6545" s="19" t="s">
        <v>31911</v>
      </c>
      <c r="I6545" s="20">
        <v>18.385000000000002</v>
      </c>
      <c r="J6545" s="44" t="s">
        <v>8</v>
      </c>
      <c r="K6545" s="23" t="s">
        <v>8</v>
      </c>
      <c r="L6545" s="23" t="s">
        <v>8</v>
      </c>
      <c r="M6545" s="23" t="s">
        <v>8</v>
      </c>
    </row>
    <row r="6546" spans="1:13" s="21" customFormat="1" x14ac:dyDescent="0.25">
      <c r="A6546" s="22" t="s">
        <v>8</v>
      </c>
      <c r="B6546" s="18" t="str">
        <f>"235529"</f>
        <v>235529</v>
      </c>
      <c r="C6546" s="19" t="s">
        <v>6456</v>
      </c>
      <c r="D6546" s="19" t="s">
        <v>21971</v>
      </c>
      <c r="E6546" s="19" t="s">
        <v>33284</v>
      </c>
      <c r="F6546" s="19" t="s">
        <v>35996</v>
      </c>
      <c r="G6546" s="18" t="str">
        <f>"48375"</f>
        <v>48375</v>
      </c>
      <c r="H6546" s="19" t="s">
        <v>31143</v>
      </c>
      <c r="I6546" s="20">
        <v>20.021000000000001</v>
      </c>
      <c r="J6546" s="44" t="s">
        <v>8</v>
      </c>
      <c r="K6546" s="23" t="s">
        <v>8</v>
      </c>
      <c r="L6546" s="23" t="s">
        <v>8</v>
      </c>
      <c r="M6546" s="23" t="s">
        <v>8</v>
      </c>
    </row>
    <row r="6547" spans="1:13" s="21" customFormat="1" x14ac:dyDescent="0.25">
      <c r="A6547" s="22" t="s">
        <v>8</v>
      </c>
      <c r="B6547" s="18" t="str">
        <f>"235530"</f>
        <v>235530</v>
      </c>
      <c r="C6547" s="19" t="s">
        <v>6457</v>
      </c>
      <c r="D6547" s="19" t="s">
        <v>21972</v>
      </c>
      <c r="E6547" s="19" t="s">
        <v>33168</v>
      </c>
      <c r="F6547" s="19" t="s">
        <v>35996</v>
      </c>
      <c r="G6547" s="18" t="str">
        <f>"48154"</f>
        <v>48154</v>
      </c>
      <c r="H6547" s="19" t="s">
        <v>33280</v>
      </c>
      <c r="I6547" s="20">
        <v>17.111999999999998</v>
      </c>
      <c r="J6547" s="44" t="s">
        <v>8</v>
      </c>
      <c r="K6547" s="23" t="s">
        <v>8</v>
      </c>
      <c r="L6547" s="23" t="s">
        <v>8</v>
      </c>
      <c r="M6547" s="23" t="s">
        <v>8</v>
      </c>
    </row>
    <row r="6548" spans="1:13" s="21" customFormat="1" x14ac:dyDescent="0.25">
      <c r="A6548" s="22" t="s">
        <v>8</v>
      </c>
      <c r="B6548" s="18" t="str">
        <f>"235531"</f>
        <v>235531</v>
      </c>
      <c r="C6548" s="19" t="s">
        <v>6458</v>
      </c>
      <c r="D6548" s="19" t="s">
        <v>21973</v>
      </c>
      <c r="E6548" s="19" t="s">
        <v>33180</v>
      </c>
      <c r="F6548" s="19" t="s">
        <v>35996</v>
      </c>
      <c r="G6548" s="18" t="str">
        <f>"48207"</f>
        <v>48207</v>
      </c>
      <c r="H6548" s="19" t="s">
        <v>33280</v>
      </c>
      <c r="I6548" s="20">
        <v>21.257999999999999</v>
      </c>
      <c r="J6548" s="44" t="s">
        <v>8</v>
      </c>
      <c r="K6548" s="23" t="s">
        <v>8</v>
      </c>
      <c r="L6548" s="23" t="s">
        <v>8</v>
      </c>
      <c r="M6548" s="23" t="s">
        <v>8</v>
      </c>
    </row>
    <row r="6549" spans="1:13" s="21" customFormat="1" x14ac:dyDescent="0.25">
      <c r="A6549" s="22" t="s">
        <v>8</v>
      </c>
      <c r="B6549" s="18" t="str">
        <f>"235532"</f>
        <v>235532</v>
      </c>
      <c r="C6549" s="19" t="s">
        <v>6459</v>
      </c>
      <c r="D6549" s="19" t="s">
        <v>21974</v>
      </c>
      <c r="E6549" s="19" t="s">
        <v>33285</v>
      </c>
      <c r="F6549" s="19" t="s">
        <v>35996</v>
      </c>
      <c r="G6549" s="18" t="str">
        <f>"48806"</f>
        <v>48806</v>
      </c>
      <c r="H6549" s="19" t="s">
        <v>36421</v>
      </c>
      <c r="I6549" s="20">
        <v>17.794</v>
      </c>
      <c r="J6549" s="44" t="s">
        <v>8</v>
      </c>
      <c r="K6549" s="23" t="s">
        <v>8</v>
      </c>
      <c r="L6549" s="23" t="s">
        <v>8</v>
      </c>
      <c r="M6549" s="23" t="s">
        <v>8</v>
      </c>
    </row>
    <row r="6550" spans="1:13" s="21" customFormat="1" x14ac:dyDescent="0.25">
      <c r="A6550" s="22" t="s">
        <v>8</v>
      </c>
      <c r="B6550" s="18" t="str">
        <f>"235535"</f>
        <v>235535</v>
      </c>
      <c r="C6550" s="19" t="s">
        <v>6460</v>
      </c>
      <c r="D6550" s="19" t="s">
        <v>21975</v>
      </c>
      <c r="E6550" s="19" t="s">
        <v>33237</v>
      </c>
      <c r="F6550" s="19" t="s">
        <v>35996</v>
      </c>
      <c r="G6550" s="18" t="str">
        <f>"49417"</f>
        <v>49417</v>
      </c>
      <c r="H6550" s="19" t="s">
        <v>31994</v>
      </c>
      <c r="I6550" s="20">
        <v>18.010000000000002</v>
      </c>
      <c r="J6550" s="44" t="s">
        <v>8</v>
      </c>
      <c r="K6550" s="23" t="s">
        <v>8</v>
      </c>
      <c r="L6550" s="23" t="s">
        <v>8</v>
      </c>
      <c r="M6550" s="23" t="s">
        <v>8</v>
      </c>
    </row>
    <row r="6551" spans="1:13" s="21" customFormat="1" x14ac:dyDescent="0.25">
      <c r="A6551" s="22" t="s">
        <v>8</v>
      </c>
      <c r="B6551" s="18" t="str">
        <f>"235536"</f>
        <v>235536</v>
      </c>
      <c r="C6551" s="19" t="s">
        <v>6461</v>
      </c>
      <c r="D6551" s="19" t="s">
        <v>21976</v>
      </c>
      <c r="E6551" s="19" t="s">
        <v>32443</v>
      </c>
      <c r="F6551" s="19" t="s">
        <v>35996</v>
      </c>
      <c r="G6551" s="18" t="str">
        <f>"49017"</f>
        <v>49017</v>
      </c>
      <c r="H6551" s="19" t="s">
        <v>31743</v>
      </c>
      <c r="I6551" s="20">
        <v>21.199000000000002</v>
      </c>
      <c r="J6551" s="44" t="s">
        <v>8</v>
      </c>
      <c r="K6551" s="23" t="s">
        <v>8</v>
      </c>
      <c r="L6551" s="23" t="s">
        <v>8</v>
      </c>
      <c r="M6551" s="23" t="s">
        <v>8</v>
      </c>
    </row>
    <row r="6552" spans="1:13" s="21" customFormat="1" x14ac:dyDescent="0.25">
      <c r="A6552" s="22" t="s">
        <v>8</v>
      </c>
      <c r="B6552" s="18" t="str">
        <f>"235538"</f>
        <v>235538</v>
      </c>
      <c r="C6552" s="19" t="s">
        <v>6462</v>
      </c>
      <c r="D6552" s="19" t="s">
        <v>21977</v>
      </c>
      <c r="E6552" s="19" t="s">
        <v>30816</v>
      </c>
      <c r="F6552" s="19" t="s">
        <v>35996</v>
      </c>
      <c r="G6552" s="18" t="str">
        <f>"49203"</f>
        <v>49203</v>
      </c>
      <c r="H6552" s="19" t="s">
        <v>30816</v>
      </c>
      <c r="I6552" s="20">
        <v>20.797000000000001</v>
      </c>
      <c r="J6552" s="44" t="s">
        <v>8</v>
      </c>
      <c r="K6552" s="23" t="s">
        <v>8</v>
      </c>
      <c r="L6552" s="23" t="s">
        <v>8</v>
      </c>
      <c r="M6552" s="23" t="s">
        <v>8</v>
      </c>
    </row>
    <row r="6553" spans="1:13" s="21" customFormat="1" x14ac:dyDescent="0.25">
      <c r="A6553" s="22" t="s">
        <v>8</v>
      </c>
      <c r="B6553" s="18" t="str">
        <f>"235539"</f>
        <v>235539</v>
      </c>
      <c r="C6553" s="19" t="s">
        <v>6463</v>
      </c>
      <c r="D6553" s="19" t="s">
        <v>21978</v>
      </c>
      <c r="E6553" s="19" t="s">
        <v>33180</v>
      </c>
      <c r="F6553" s="19" t="s">
        <v>35996</v>
      </c>
      <c r="G6553" s="18" t="str">
        <f>"48235"</f>
        <v>48235</v>
      </c>
      <c r="H6553" s="19" t="s">
        <v>33280</v>
      </c>
      <c r="I6553" s="20">
        <v>19.507000000000001</v>
      </c>
      <c r="J6553" s="44" t="s">
        <v>8</v>
      </c>
      <c r="K6553" s="23" t="s">
        <v>8</v>
      </c>
      <c r="L6553" s="23" t="s">
        <v>8</v>
      </c>
      <c r="M6553" s="23" t="s">
        <v>8</v>
      </c>
    </row>
    <row r="6554" spans="1:13" s="21" customFormat="1" x14ac:dyDescent="0.25">
      <c r="A6554" s="22" t="s">
        <v>8</v>
      </c>
      <c r="B6554" s="18" t="str">
        <f>"235540"</f>
        <v>235540</v>
      </c>
      <c r="C6554" s="19" t="s">
        <v>6464</v>
      </c>
      <c r="D6554" s="19" t="s">
        <v>21979</v>
      </c>
      <c r="E6554" s="19" t="s">
        <v>33160</v>
      </c>
      <c r="F6554" s="19" t="s">
        <v>35996</v>
      </c>
      <c r="G6554" s="18" t="str">
        <f>"49512"</f>
        <v>49512</v>
      </c>
      <c r="H6554" s="19" t="s">
        <v>31478</v>
      </c>
      <c r="I6554" s="20">
        <v>16.047999999999998</v>
      </c>
      <c r="J6554" s="44" t="s">
        <v>8</v>
      </c>
      <c r="K6554" s="23" t="s">
        <v>8</v>
      </c>
      <c r="L6554" s="23" t="s">
        <v>8</v>
      </c>
      <c r="M6554" s="23" t="s">
        <v>8</v>
      </c>
    </row>
    <row r="6555" spans="1:13" s="21" customFormat="1" x14ac:dyDescent="0.25">
      <c r="A6555" s="22" t="s">
        <v>8</v>
      </c>
      <c r="B6555" s="18" t="str">
        <f>"235541"</f>
        <v>235541</v>
      </c>
      <c r="C6555" s="19" t="s">
        <v>6465</v>
      </c>
      <c r="D6555" s="19" t="s">
        <v>21980</v>
      </c>
      <c r="E6555" s="19" t="s">
        <v>31080</v>
      </c>
      <c r="F6555" s="19" t="s">
        <v>35996</v>
      </c>
      <c r="G6555" s="18" t="str">
        <f>"48180"</f>
        <v>48180</v>
      </c>
      <c r="H6555" s="19" t="s">
        <v>33280</v>
      </c>
      <c r="I6555" s="20">
        <v>22.283000000000001</v>
      </c>
      <c r="J6555" s="44" t="s">
        <v>8</v>
      </c>
      <c r="K6555" s="23" t="s">
        <v>8</v>
      </c>
      <c r="L6555" s="23" t="s">
        <v>8</v>
      </c>
      <c r="M6555" s="23" t="s">
        <v>8</v>
      </c>
    </row>
    <row r="6556" spans="1:13" s="21" customFormat="1" x14ac:dyDescent="0.25">
      <c r="A6556" s="22" t="s">
        <v>8</v>
      </c>
      <c r="B6556" s="18" t="str">
        <f>"235542"</f>
        <v>235542</v>
      </c>
      <c r="C6556" s="19" t="s">
        <v>6466</v>
      </c>
      <c r="D6556" s="19" t="s">
        <v>21981</v>
      </c>
      <c r="E6556" s="19" t="s">
        <v>33165</v>
      </c>
      <c r="F6556" s="19" t="s">
        <v>35996</v>
      </c>
      <c r="G6556" s="18" t="str">
        <f>"49007"</f>
        <v>49007</v>
      </c>
      <c r="H6556" s="19" t="s">
        <v>33165</v>
      </c>
      <c r="I6556" s="20">
        <v>19.617999999999999</v>
      </c>
      <c r="J6556" s="44" t="s">
        <v>8</v>
      </c>
      <c r="K6556" s="23" t="s">
        <v>8</v>
      </c>
      <c r="L6556" s="23" t="s">
        <v>8</v>
      </c>
      <c r="M6556" s="23" t="s">
        <v>8</v>
      </c>
    </row>
    <row r="6557" spans="1:13" s="21" customFormat="1" x14ac:dyDescent="0.25">
      <c r="A6557" s="22" t="s">
        <v>8</v>
      </c>
      <c r="B6557" s="18" t="str">
        <f>"235543"</f>
        <v>235543</v>
      </c>
      <c r="C6557" s="19" t="s">
        <v>6467</v>
      </c>
      <c r="D6557" s="19" t="s">
        <v>21982</v>
      </c>
      <c r="E6557" s="19" t="s">
        <v>31995</v>
      </c>
      <c r="F6557" s="19" t="s">
        <v>35996</v>
      </c>
      <c r="G6557" s="18" t="str">
        <f>"48742"</f>
        <v>48742</v>
      </c>
      <c r="H6557" s="19" t="s">
        <v>36446</v>
      </c>
      <c r="I6557" s="20">
        <v>17.928999999999998</v>
      </c>
      <c r="J6557" s="44" t="s">
        <v>8</v>
      </c>
      <c r="K6557" s="23" t="s">
        <v>8</v>
      </c>
      <c r="L6557" s="23" t="s">
        <v>8</v>
      </c>
      <c r="M6557" s="23" t="s">
        <v>8</v>
      </c>
    </row>
    <row r="6558" spans="1:13" s="21" customFormat="1" x14ac:dyDescent="0.25">
      <c r="A6558" s="22" t="s">
        <v>8</v>
      </c>
      <c r="B6558" s="18" t="str">
        <f>"235544"</f>
        <v>235544</v>
      </c>
      <c r="C6558" s="19" t="s">
        <v>6468</v>
      </c>
      <c r="D6558" s="19" t="s">
        <v>21983</v>
      </c>
      <c r="E6558" s="19" t="s">
        <v>33286</v>
      </c>
      <c r="F6558" s="19" t="s">
        <v>35996</v>
      </c>
      <c r="G6558" s="18" t="str">
        <f>"49022"</f>
        <v>49022</v>
      </c>
      <c r="H6558" s="19" t="s">
        <v>36166</v>
      </c>
      <c r="I6558" s="20">
        <v>18.664000000000001</v>
      </c>
      <c r="J6558" s="44" t="s">
        <v>8</v>
      </c>
      <c r="K6558" s="23" t="s">
        <v>8</v>
      </c>
      <c r="L6558" s="23" t="s">
        <v>8</v>
      </c>
      <c r="M6558" s="23" t="s">
        <v>8</v>
      </c>
    </row>
    <row r="6559" spans="1:13" s="21" customFormat="1" x14ac:dyDescent="0.25">
      <c r="A6559" s="22" t="s">
        <v>8</v>
      </c>
      <c r="B6559" s="18" t="str">
        <f>"235545"</f>
        <v>235545</v>
      </c>
      <c r="C6559" s="19" t="s">
        <v>6469</v>
      </c>
      <c r="D6559" s="19" t="s">
        <v>21984</v>
      </c>
      <c r="E6559" s="19" t="s">
        <v>33287</v>
      </c>
      <c r="F6559" s="19" t="s">
        <v>35996</v>
      </c>
      <c r="G6559" s="18" t="str">
        <f>"48189"</f>
        <v>48189</v>
      </c>
      <c r="H6559" s="19" t="s">
        <v>36422</v>
      </c>
      <c r="I6559" s="20">
        <v>20.178000000000001</v>
      </c>
      <c r="J6559" s="44" t="s">
        <v>8</v>
      </c>
      <c r="K6559" s="23" t="s">
        <v>8</v>
      </c>
      <c r="L6559" s="23" t="s">
        <v>8</v>
      </c>
      <c r="M6559" s="23" t="s">
        <v>8</v>
      </c>
    </row>
    <row r="6560" spans="1:13" s="21" customFormat="1" x14ac:dyDescent="0.25">
      <c r="A6560" s="22" t="s">
        <v>8</v>
      </c>
      <c r="B6560" s="18" t="str">
        <f>"235547"</f>
        <v>235547</v>
      </c>
      <c r="C6560" s="19" t="s">
        <v>6470</v>
      </c>
      <c r="D6560" s="19" t="s">
        <v>21985</v>
      </c>
      <c r="E6560" s="19" t="s">
        <v>33249</v>
      </c>
      <c r="F6560" s="19" t="s">
        <v>35996</v>
      </c>
      <c r="G6560" s="18" t="str">
        <f>"48036"</f>
        <v>48036</v>
      </c>
      <c r="H6560" s="19" t="s">
        <v>31911</v>
      </c>
      <c r="I6560" s="20">
        <v>18.411000000000001</v>
      </c>
      <c r="J6560" s="44" t="s">
        <v>8</v>
      </c>
      <c r="K6560" s="23" t="s">
        <v>8</v>
      </c>
      <c r="L6560" s="23" t="s">
        <v>8</v>
      </c>
      <c r="M6560" s="23" t="s">
        <v>8</v>
      </c>
    </row>
    <row r="6561" spans="1:13" s="21" customFormat="1" x14ac:dyDescent="0.25">
      <c r="A6561" s="22" t="s">
        <v>8</v>
      </c>
      <c r="B6561" s="18" t="str">
        <f>"235548"</f>
        <v>235548</v>
      </c>
      <c r="C6561" s="19" t="s">
        <v>6471</v>
      </c>
      <c r="D6561" s="19" t="s">
        <v>21986</v>
      </c>
      <c r="E6561" s="19" t="s">
        <v>33176</v>
      </c>
      <c r="F6561" s="19" t="s">
        <v>35996</v>
      </c>
      <c r="G6561" s="18" t="str">
        <f>"49423"</f>
        <v>49423</v>
      </c>
      <c r="H6561" s="19" t="s">
        <v>31994</v>
      </c>
      <c r="I6561" s="20">
        <v>16.196000000000002</v>
      </c>
      <c r="J6561" s="44" t="s">
        <v>8</v>
      </c>
      <c r="K6561" s="23" t="s">
        <v>8</v>
      </c>
      <c r="L6561" s="23" t="s">
        <v>8</v>
      </c>
      <c r="M6561" s="23" t="s">
        <v>8</v>
      </c>
    </row>
    <row r="6562" spans="1:13" s="21" customFormat="1" x14ac:dyDescent="0.25">
      <c r="A6562" s="22" t="s">
        <v>8</v>
      </c>
      <c r="B6562" s="18" t="str">
        <f>"235549"</f>
        <v>235549</v>
      </c>
      <c r="C6562" s="19" t="s">
        <v>6472</v>
      </c>
      <c r="D6562" s="19" t="s">
        <v>21987</v>
      </c>
      <c r="E6562" s="19" t="s">
        <v>33147</v>
      </c>
      <c r="F6562" s="19" t="s">
        <v>35996</v>
      </c>
      <c r="G6562" s="18" t="str">
        <f>"49441"</f>
        <v>49441</v>
      </c>
      <c r="H6562" s="19" t="s">
        <v>33147</v>
      </c>
      <c r="I6562" s="20">
        <v>17.785</v>
      </c>
      <c r="J6562" s="44" t="s">
        <v>8</v>
      </c>
      <c r="K6562" s="23" t="s">
        <v>8</v>
      </c>
      <c r="L6562" s="23" t="s">
        <v>8</v>
      </c>
      <c r="M6562" s="23" t="s">
        <v>8</v>
      </c>
    </row>
    <row r="6563" spans="1:13" s="21" customFormat="1" x14ac:dyDescent="0.25">
      <c r="A6563" s="22" t="s">
        <v>8</v>
      </c>
      <c r="B6563" s="18" t="str">
        <f>"235550"</f>
        <v>235550</v>
      </c>
      <c r="C6563" s="19" t="s">
        <v>6473</v>
      </c>
      <c r="D6563" s="19" t="s">
        <v>21988</v>
      </c>
      <c r="E6563" s="19" t="s">
        <v>33192</v>
      </c>
      <c r="F6563" s="19" t="s">
        <v>35996</v>
      </c>
      <c r="G6563" s="18" t="str">
        <f>"48532"</f>
        <v>48532</v>
      </c>
      <c r="H6563" s="19" t="s">
        <v>36432</v>
      </c>
      <c r="I6563" s="20">
        <v>20.898</v>
      </c>
      <c r="J6563" s="44" t="s">
        <v>8</v>
      </c>
      <c r="K6563" s="23" t="s">
        <v>8</v>
      </c>
      <c r="L6563" s="23" t="s">
        <v>8</v>
      </c>
      <c r="M6563" s="23" t="s">
        <v>8</v>
      </c>
    </row>
    <row r="6564" spans="1:13" s="21" customFormat="1" x14ac:dyDescent="0.25">
      <c r="A6564" s="22" t="s">
        <v>8</v>
      </c>
      <c r="B6564" s="18" t="str">
        <f>"235551"</f>
        <v>235551</v>
      </c>
      <c r="C6564" s="19" t="s">
        <v>6474</v>
      </c>
      <c r="D6564" s="19" t="s">
        <v>21989</v>
      </c>
      <c r="E6564" s="19" t="s">
        <v>33288</v>
      </c>
      <c r="F6564" s="19" t="s">
        <v>35996</v>
      </c>
      <c r="G6564" s="18" t="str">
        <f>"49934"</f>
        <v>49934</v>
      </c>
      <c r="H6564" s="19" t="s">
        <v>34184</v>
      </c>
      <c r="I6564" s="20">
        <v>18.681000000000001</v>
      </c>
      <c r="J6564" s="44" t="s">
        <v>8</v>
      </c>
      <c r="K6564" s="23" t="s">
        <v>8</v>
      </c>
      <c r="L6564" s="23" t="s">
        <v>8</v>
      </c>
      <c r="M6564" s="23" t="s">
        <v>8</v>
      </c>
    </row>
    <row r="6565" spans="1:13" s="21" customFormat="1" x14ac:dyDescent="0.25">
      <c r="A6565" s="22" t="s">
        <v>8</v>
      </c>
      <c r="B6565" s="18" t="str">
        <f>"235552"</f>
        <v>235552</v>
      </c>
      <c r="C6565" s="19" t="s">
        <v>6475</v>
      </c>
      <c r="D6565" s="19" t="s">
        <v>21990</v>
      </c>
      <c r="E6565" s="19" t="s">
        <v>33144</v>
      </c>
      <c r="F6565" s="19" t="s">
        <v>35996</v>
      </c>
      <c r="G6565" s="18" t="str">
        <f>"49930"</f>
        <v>49930</v>
      </c>
      <c r="H6565" s="19" t="s">
        <v>34184</v>
      </c>
      <c r="I6565" s="20">
        <v>18.388999999999999</v>
      </c>
      <c r="J6565" s="44" t="s">
        <v>8</v>
      </c>
      <c r="K6565" s="23" t="s">
        <v>8</v>
      </c>
      <c r="L6565" s="23" t="s">
        <v>8</v>
      </c>
      <c r="M6565" s="23" t="s">
        <v>8</v>
      </c>
    </row>
    <row r="6566" spans="1:13" s="21" customFormat="1" x14ac:dyDescent="0.25">
      <c r="A6566" s="22" t="s">
        <v>8</v>
      </c>
      <c r="B6566" s="18" t="str">
        <f>"235553"</f>
        <v>235553</v>
      </c>
      <c r="C6566" s="19" t="s">
        <v>6476</v>
      </c>
      <c r="D6566" s="19" t="s">
        <v>21991</v>
      </c>
      <c r="E6566" s="19" t="s">
        <v>33289</v>
      </c>
      <c r="F6566" s="19" t="s">
        <v>35996</v>
      </c>
      <c r="G6566" s="18" t="str">
        <f>"49779"</f>
        <v>49779</v>
      </c>
      <c r="H6566" s="19" t="s">
        <v>32900</v>
      </c>
      <c r="I6566" s="20">
        <v>16.131</v>
      </c>
      <c r="J6566" s="44" t="s">
        <v>8</v>
      </c>
      <c r="K6566" s="23" t="s">
        <v>8</v>
      </c>
      <c r="L6566" s="23" t="s">
        <v>8</v>
      </c>
      <c r="M6566" s="23" t="s">
        <v>8</v>
      </c>
    </row>
    <row r="6567" spans="1:13" s="21" customFormat="1" x14ac:dyDescent="0.25">
      <c r="A6567" s="22" t="s">
        <v>8</v>
      </c>
      <c r="B6567" s="18" t="str">
        <f>"235554"</f>
        <v>235554</v>
      </c>
      <c r="C6567" s="19" t="s">
        <v>6477</v>
      </c>
      <c r="D6567" s="19" t="s">
        <v>21992</v>
      </c>
      <c r="E6567" s="19" t="s">
        <v>33290</v>
      </c>
      <c r="F6567" s="19" t="s">
        <v>35996</v>
      </c>
      <c r="G6567" s="18" t="str">
        <f>"49866"</f>
        <v>49866</v>
      </c>
      <c r="H6567" s="19" t="s">
        <v>3713</v>
      </c>
      <c r="I6567" s="20">
        <v>17.004999999999999</v>
      </c>
      <c r="J6567" s="44" t="s">
        <v>8</v>
      </c>
      <c r="K6567" s="23" t="s">
        <v>8</v>
      </c>
      <c r="L6567" s="23" t="s">
        <v>8</v>
      </c>
      <c r="M6567" s="23" t="s">
        <v>8</v>
      </c>
    </row>
    <row r="6568" spans="1:13" s="21" customFormat="1" x14ac:dyDescent="0.25">
      <c r="A6568" s="22" t="s">
        <v>8</v>
      </c>
      <c r="B6568" s="18" t="str">
        <f>"235555"</f>
        <v>235555</v>
      </c>
      <c r="C6568" s="19" t="s">
        <v>6478</v>
      </c>
      <c r="D6568" s="19" t="s">
        <v>21993</v>
      </c>
      <c r="E6568" s="19" t="s">
        <v>31415</v>
      </c>
      <c r="F6568" s="19" t="s">
        <v>35996</v>
      </c>
      <c r="G6568" s="18" t="str">
        <f>"48329"</f>
        <v>48329</v>
      </c>
      <c r="H6568" s="19" t="s">
        <v>31143</v>
      </c>
      <c r="I6568" s="20">
        <v>23.192</v>
      </c>
      <c r="J6568" s="44" t="s">
        <v>8</v>
      </c>
      <c r="K6568" s="23" t="s">
        <v>8</v>
      </c>
      <c r="L6568" s="23" t="s">
        <v>8</v>
      </c>
      <c r="M6568" s="23" t="s">
        <v>8</v>
      </c>
    </row>
    <row r="6569" spans="1:13" s="21" customFormat="1" x14ac:dyDescent="0.25">
      <c r="A6569" s="22" t="s">
        <v>8</v>
      </c>
      <c r="B6569" s="18" t="str">
        <f>"235556"</f>
        <v>235556</v>
      </c>
      <c r="C6569" s="19" t="s">
        <v>6479</v>
      </c>
      <c r="D6569" s="19" t="s">
        <v>21994</v>
      </c>
      <c r="E6569" s="19" t="s">
        <v>33202</v>
      </c>
      <c r="F6569" s="19" t="s">
        <v>35996</v>
      </c>
      <c r="G6569" s="18" t="str">
        <f>"48304"</f>
        <v>48304</v>
      </c>
      <c r="H6569" s="19" t="s">
        <v>31143</v>
      </c>
      <c r="I6569" s="20">
        <v>20.795999999999999</v>
      </c>
      <c r="J6569" s="44" t="s">
        <v>8</v>
      </c>
      <c r="K6569" s="23" t="s">
        <v>8</v>
      </c>
      <c r="L6569" s="23" t="s">
        <v>8</v>
      </c>
      <c r="M6569" s="23" t="s">
        <v>8</v>
      </c>
    </row>
    <row r="6570" spans="1:13" s="21" customFormat="1" x14ac:dyDescent="0.25">
      <c r="A6570" s="22" t="s">
        <v>8</v>
      </c>
      <c r="B6570" s="18" t="str">
        <f>"235558"</f>
        <v>235558</v>
      </c>
      <c r="C6570" s="19" t="s">
        <v>6480</v>
      </c>
      <c r="D6570" s="19" t="s">
        <v>21995</v>
      </c>
      <c r="E6570" s="19" t="s">
        <v>33291</v>
      </c>
      <c r="F6570" s="19" t="s">
        <v>35996</v>
      </c>
      <c r="G6570" s="18" t="str">
        <f>"49858"</f>
        <v>49858</v>
      </c>
      <c r="H6570" s="19" t="s">
        <v>33291</v>
      </c>
      <c r="I6570" s="20">
        <v>19.940999999999999</v>
      </c>
      <c r="J6570" s="44" t="s">
        <v>8</v>
      </c>
      <c r="K6570" s="23" t="s">
        <v>8</v>
      </c>
      <c r="L6570" s="23" t="s">
        <v>8</v>
      </c>
      <c r="M6570" s="23" t="s">
        <v>8</v>
      </c>
    </row>
    <row r="6571" spans="1:13" s="21" customFormat="1" x14ac:dyDescent="0.25">
      <c r="A6571" s="22" t="s">
        <v>8</v>
      </c>
      <c r="B6571" s="18" t="str">
        <f>"235559"</f>
        <v>235559</v>
      </c>
      <c r="C6571" s="19" t="s">
        <v>6481</v>
      </c>
      <c r="D6571" s="19" t="s">
        <v>21996</v>
      </c>
      <c r="E6571" s="19" t="s">
        <v>33280</v>
      </c>
      <c r="F6571" s="19" t="s">
        <v>35996</v>
      </c>
      <c r="G6571" s="18" t="str">
        <f>"48184"</f>
        <v>48184</v>
      </c>
      <c r="H6571" s="19" t="s">
        <v>33280</v>
      </c>
      <c r="I6571" s="20">
        <v>20.12</v>
      </c>
      <c r="J6571" s="44" t="s">
        <v>8</v>
      </c>
      <c r="K6571" s="23" t="s">
        <v>8</v>
      </c>
      <c r="L6571" s="23" t="s">
        <v>8</v>
      </c>
      <c r="M6571" s="23" t="s">
        <v>8</v>
      </c>
    </row>
    <row r="6572" spans="1:13" s="21" customFormat="1" x14ac:dyDescent="0.25">
      <c r="A6572" s="22" t="s">
        <v>8</v>
      </c>
      <c r="B6572" s="18" t="str">
        <f>"235560"</f>
        <v>235560</v>
      </c>
      <c r="C6572" s="19" t="s">
        <v>6482</v>
      </c>
      <c r="D6572" s="19" t="s">
        <v>21997</v>
      </c>
      <c r="E6572" s="19" t="s">
        <v>33292</v>
      </c>
      <c r="F6572" s="19" t="s">
        <v>35996</v>
      </c>
      <c r="G6572" s="18" t="str">
        <f>"49286"</f>
        <v>49286</v>
      </c>
      <c r="H6572" s="19" t="s">
        <v>36435</v>
      </c>
      <c r="I6572" s="20">
        <v>16.657</v>
      </c>
      <c r="J6572" s="44" t="s">
        <v>8</v>
      </c>
      <c r="K6572" s="23" t="s">
        <v>8</v>
      </c>
      <c r="L6572" s="23" t="s">
        <v>8</v>
      </c>
      <c r="M6572" s="23" t="s">
        <v>8</v>
      </c>
    </row>
    <row r="6573" spans="1:13" s="21" customFormat="1" x14ac:dyDescent="0.25">
      <c r="A6573" s="22" t="s">
        <v>8</v>
      </c>
      <c r="B6573" s="18" t="str">
        <f>"235561"</f>
        <v>235561</v>
      </c>
      <c r="C6573" s="19" t="s">
        <v>6483</v>
      </c>
      <c r="D6573" s="19" t="s">
        <v>21998</v>
      </c>
      <c r="E6573" s="19" t="s">
        <v>32113</v>
      </c>
      <c r="F6573" s="19" t="s">
        <v>35996</v>
      </c>
      <c r="G6573" s="18" t="str">
        <f>"48911"</f>
        <v>48911</v>
      </c>
      <c r="H6573" s="19" t="s">
        <v>36420</v>
      </c>
      <c r="I6573" s="20">
        <v>17.588000000000001</v>
      </c>
      <c r="J6573" s="44" t="s">
        <v>8</v>
      </c>
      <c r="K6573" s="23" t="s">
        <v>8</v>
      </c>
      <c r="L6573" s="23" t="s">
        <v>8</v>
      </c>
      <c r="M6573" s="23" t="s">
        <v>8</v>
      </c>
    </row>
    <row r="6574" spans="1:13" s="21" customFormat="1" x14ac:dyDescent="0.25">
      <c r="A6574" s="22" t="s">
        <v>8</v>
      </c>
      <c r="B6574" s="18" t="str">
        <f>"235562"</f>
        <v>235562</v>
      </c>
      <c r="C6574" s="19" t="s">
        <v>6484</v>
      </c>
      <c r="D6574" s="19" t="s">
        <v>21999</v>
      </c>
      <c r="E6574" s="19" t="s">
        <v>33217</v>
      </c>
      <c r="F6574" s="19" t="s">
        <v>35996</v>
      </c>
      <c r="G6574" s="18" t="str">
        <f>"48323"</f>
        <v>48323</v>
      </c>
      <c r="H6574" s="19" t="s">
        <v>31143</v>
      </c>
      <c r="I6574" s="20">
        <v>18.036999999999999</v>
      </c>
      <c r="J6574" s="44" t="s">
        <v>8</v>
      </c>
      <c r="K6574" s="23" t="s">
        <v>8</v>
      </c>
      <c r="L6574" s="23" t="s">
        <v>8</v>
      </c>
      <c r="M6574" s="23" t="s">
        <v>8</v>
      </c>
    </row>
    <row r="6575" spans="1:13" s="21" customFormat="1" x14ac:dyDescent="0.25">
      <c r="A6575" s="22" t="s">
        <v>8</v>
      </c>
      <c r="B6575" s="18" t="str">
        <f>"235563"</f>
        <v>235563</v>
      </c>
      <c r="C6575" s="19" t="s">
        <v>6485</v>
      </c>
      <c r="D6575" s="19" t="s">
        <v>22000</v>
      </c>
      <c r="E6575" s="19" t="s">
        <v>31711</v>
      </c>
      <c r="F6575" s="19" t="s">
        <v>35996</v>
      </c>
      <c r="G6575" s="18" t="str">
        <f>"48162"</f>
        <v>48162</v>
      </c>
      <c r="H6575" s="19" t="s">
        <v>31711</v>
      </c>
      <c r="I6575" s="20">
        <v>21.202000000000002</v>
      </c>
      <c r="J6575" s="44" t="s">
        <v>8</v>
      </c>
      <c r="K6575" s="23" t="s">
        <v>8</v>
      </c>
      <c r="L6575" s="23" t="s">
        <v>8</v>
      </c>
      <c r="M6575" s="23" t="s">
        <v>8</v>
      </c>
    </row>
    <row r="6576" spans="1:13" s="21" customFormat="1" x14ac:dyDescent="0.25">
      <c r="A6576" s="22" t="s">
        <v>8</v>
      </c>
      <c r="B6576" s="18" t="str">
        <f>"235565"</f>
        <v>235565</v>
      </c>
      <c r="C6576" s="19" t="s">
        <v>6486</v>
      </c>
      <c r="D6576" s="19" t="s">
        <v>22001</v>
      </c>
      <c r="E6576" s="19" t="s">
        <v>33293</v>
      </c>
      <c r="F6576" s="19" t="s">
        <v>35996</v>
      </c>
      <c r="G6576" s="18" t="str">
        <f>"49938"</f>
        <v>49938</v>
      </c>
      <c r="H6576" s="19" t="s">
        <v>36424</v>
      </c>
      <c r="I6576" s="20">
        <v>17.617000000000001</v>
      </c>
      <c r="J6576" s="44" t="s">
        <v>8</v>
      </c>
      <c r="K6576" s="23" t="s">
        <v>8</v>
      </c>
      <c r="L6576" s="23" t="s">
        <v>8</v>
      </c>
      <c r="M6576" s="23" t="s">
        <v>8</v>
      </c>
    </row>
    <row r="6577" spans="1:13" s="21" customFormat="1" x14ac:dyDescent="0.25">
      <c r="A6577" s="22" t="s">
        <v>8</v>
      </c>
      <c r="B6577" s="18" t="str">
        <f>"235566"</f>
        <v>235566</v>
      </c>
      <c r="C6577" s="19" t="s">
        <v>6487</v>
      </c>
      <c r="D6577" s="19" t="s">
        <v>22002</v>
      </c>
      <c r="E6577" s="19" t="s">
        <v>33294</v>
      </c>
      <c r="F6577" s="19" t="s">
        <v>35996</v>
      </c>
      <c r="G6577" s="18" t="str">
        <f>"49721"</f>
        <v>49721</v>
      </c>
      <c r="H6577" s="19" t="s">
        <v>33294</v>
      </c>
      <c r="I6577" s="20">
        <v>18.439</v>
      </c>
      <c r="J6577" s="44" t="s">
        <v>8</v>
      </c>
      <c r="K6577" s="23" t="s">
        <v>8</v>
      </c>
      <c r="L6577" s="23" t="s">
        <v>8</v>
      </c>
      <c r="M6577" s="23" t="s">
        <v>8</v>
      </c>
    </row>
    <row r="6578" spans="1:13" s="21" customFormat="1" x14ac:dyDescent="0.25">
      <c r="A6578" s="22" t="s">
        <v>8</v>
      </c>
      <c r="B6578" s="18" t="str">
        <f>"235567"</f>
        <v>235567</v>
      </c>
      <c r="C6578" s="19" t="s">
        <v>6488</v>
      </c>
      <c r="D6578" s="19" t="s">
        <v>22003</v>
      </c>
      <c r="E6578" s="19" t="s">
        <v>33195</v>
      </c>
      <c r="F6578" s="19" t="s">
        <v>35996</v>
      </c>
      <c r="G6578" s="18" t="str">
        <f>"49242"</f>
        <v>49242</v>
      </c>
      <c r="H6578" s="19" t="s">
        <v>33195</v>
      </c>
      <c r="I6578" s="20">
        <v>15.475</v>
      </c>
      <c r="J6578" s="44" t="s">
        <v>8</v>
      </c>
      <c r="K6578" s="23" t="s">
        <v>8</v>
      </c>
      <c r="L6578" s="23" t="s">
        <v>8</v>
      </c>
      <c r="M6578" s="23" t="s">
        <v>8</v>
      </c>
    </row>
    <row r="6579" spans="1:13" s="21" customFormat="1" x14ac:dyDescent="0.25">
      <c r="A6579" s="22" t="s">
        <v>8</v>
      </c>
      <c r="B6579" s="18" t="str">
        <f>"235569"</f>
        <v>235569</v>
      </c>
      <c r="C6579" s="19" t="s">
        <v>6489</v>
      </c>
      <c r="D6579" s="19" t="s">
        <v>22004</v>
      </c>
      <c r="E6579" s="19" t="s">
        <v>33295</v>
      </c>
      <c r="F6579" s="19" t="s">
        <v>35996</v>
      </c>
      <c r="G6579" s="18" t="str">
        <f>"48866"</f>
        <v>48866</v>
      </c>
      <c r="H6579" s="19" t="s">
        <v>31081</v>
      </c>
      <c r="I6579" s="20">
        <v>18.727</v>
      </c>
      <c r="J6579" s="44" t="s">
        <v>8</v>
      </c>
      <c r="K6579" s="23" t="s">
        <v>8</v>
      </c>
      <c r="L6579" s="23" t="s">
        <v>8</v>
      </c>
      <c r="M6579" s="23" t="s">
        <v>8</v>
      </c>
    </row>
    <row r="6580" spans="1:13" s="21" customFormat="1" x14ac:dyDescent="0.25">
      <c r="A6580" s="22" t="s">
        <v>8</v>
      </c>
      <c r="B6580" s="18" t="str">
        <f>"235570"</f>
        <v>235570</v>
      </c>
      <c r="C6580" s="19" t="s">
        <v>6490</v>
      </c>
      <c r="D6580" s="19" t="s">
        <v>22005</v>
      </c>
      <c r="E6580" s="19" t="s">
        <v>33203</v>
      </c>
      <c r="F6580" s="19" t="s">
        <v>35996</v>
      </c>
      <c r="G6580" s="18" t="str">
        <f>"48108"</f>
        <v>48108</v>
      </c>
      <c r="H6580" s="19" t="s">
        <v>36422</v>
      </c>
      <c r="I6580" s="20">
        <v>17.103999999999999</v>
      </c>
      <c r="J6580" s="44" t="s">
        <v>8</v>
      </c>
      <c r="K6580" s="23" t="s">
        <v>8</v>
      </c>
      <c r="L6580" s="23" t="s">
        <v>8</v>
      </c>
      <c r="M6580" s="23" t="s">
        <v>8</v>
      </c>
    </row>
    <row r="6581" spans="1:13" s="21" customFormat="1" x14ac:dyDescent="0.25">
      <c r="A6581" s="22" t="s">
        <v>8</v>
      </c>
      <c r="B6581" s="18" t="str">
        <f>"235572"</f>
        <v>235572</v>
      </c>
      <c r="C6581" s="19" t="s">
        <v>6491</v>
      </c>
      <c r="D6581" s="19" t="s">
        <v>22006</v>
      </c>
      <c r="E6581" s="19" t="s">
        <v>33284</v>
      </c>
      <c r="F6581" s="19" t="s">
        <v>35996</v>
      </c>
      <c r="G6581" s="18" t="str">
        <f>"48375"</f>
        <v>48375</v>
      </c>
      <c r="H6581" s="19" t="s">
        <v>31143</v>
      </c>
      <c r="I6581" s="20">
        <v>19.460999999999999</v>
      </c>
      <c r="J6581" s="44" t="s">
        <v>8</v>
      </c>
      <c r="K6581" s="23" t="s">
        <v>8</v>
      </c>
      <c r="L6581" s="23" t="s">
        <v>8</v>
      </c>
      <c r="M6581" s="23" t="s">
        <v>8</v>
      </c>
    </row>
    <row r="6582" spans="1:13" s="21" customFormat="1" x14ac:dyDescent="0.25">
      <c r="A6582" s="22" t="s">
        <v>8</v>
      </c>
      <c r="B6582" s="18" t="str">
        <f>"235573"</f>
        <v>235573</v>
      </c>
      <c r="C6582" s="19" t="s">
        <v>6492</v>
      </c>
      <c r="D6582" s="19" t="s">
        <v>22007</v>
      </c>
      <c r="E6582" s="19" t="s">
        <v>33213</v>
      </c>
      <c r="F6582" s="19" t="s">
        <v>35996</v>
      </c>
      <c r="G6582" s="18" t="str">
        <f>"49090"</f>
        <v>49090</v>
      </c>
      <c r="H6582" s="19" t="s">
        <v>30993</v>
      </c>
      <c r="I6582" s="20">
        <v>19.132000000000001</v>
      </c>
      <c r="J6582" s="44" t="s">
        <v>8</v>
      </c>
      <c r="K6582" s="23" t="s">
        <v>8</v>
      </c>
      <c r="L6582" s="23" t="s">
        <v>8</v>
      </c>
      <c r="M6582" s="23" t="s">
        <v>8</v>
      </c>
    </row>
    <row r="6583" spans="1:13" s="21" customFormat="1" x14ac:dyDescent="0.25">
      <c r="A6583" s="22" t="s">
        <v>8</v>
      </c>
      <c r="B6583" s="18" t="str">
        <f>"235574"</f>
        <v>235574</v>
      </c>
      <c r="C6583" s="19" t="s">
        <v>6493</v>
      </c>
      <c r="D6583" s="19" t="s">
        <v>22008</v>
      </c>
      <c r="E6583" s="19" t="s">
        <v>30816</v>
      </c>
      <c r="F6583" s="19" t="s">
        <v>35996</v>
      </c>
      <c r="G6583" s="18" t="str">
        <f>"49203"</f>
        <v>49203</v>
      </c>
      <c r="H6583" s="19" t="s">
        <v>30816</v>
      </c>
      <c r="I6583" s="20">
        <v>17.927</v>
      </c>
      <c r="J6583" s="44" t="s">
        <v>8</v>
      </c>
      <c r="K6583" s="23" t="s">
        <v>8</v>
      </c>
      <c r="L6583" s="23" t="s">
        <v>8</v>
      </c>
      <c r="M6583" s="23" t="s">
        <v>8</v>
      </c>
    </row>
    <row r="6584" spans="1:13" s="21" customFormat="1" x14ac:dyDescent="0.25">
      <c r="A6584" s="22" t="s">
        <v>8</v>
      </c>
      <c r="B6584" s="18" t="str">
        <f>"235577"</f>
        <v>235577</v>
      </c>
      <c r="C6584" s="19" t="s">
        <v>6494</v>
      </c>
      <c r="D6584" s="19" t="s">
        <v>22009</v>
      </c>
      <c r="E6584" s="19" t="s">
        <v>33169</v>
      </c>
      <c r="F6584" s="19" t="s">
        <v>35996</v>
      </c>
      <c r="G6584" s="18" t="str">
        <f>"48446"</f>
        <v>48446</v>
      </c>
      <c r="H6584" s="19" t="s">
        <v>33169</v>
      </c>
      <c r="I6584" s="20">
        <v>21.207999999999998</v>
      </c>
      <c r="J6584" s="44" t="s">
        <v>8</v>
      </c>
      <c r="K6584" s="23" t="s">
        <v>8</v>
      </c>
      <c r="L6584" s="23" t="s">
        <v>8</v>
      </c>
      <c r="M6584" s="23" t="s">
        <v>8</v>
      </c>
    </row>
    <row r="6585" spans="1:13" s="21" customFormat="1" x14ac:dyDescent="0.25">
      <c r="A6585" s="22" t="s">
        <v>8</v>
      </c>
      <c r="B6585" s="18" t="str">
        <f>"235578"</f>
        <v>235578</v>
      </c>
      <c r="C6585" s="19" t="s">
        <v>6495</v>
      </c>
      <c r="D6585" s="19" t="s">
        <v>22010</v>
      </c>
      <c r="E6585" s="19" t="s">
        <v>33204</v>
      </c>
      <c r="F6585" s="19" t="s">
        <v>35996</v>
      </c>
      <c r="G6585" s="18" t="str">
        <f>"48185"</f>
        <v>48185</v>
      </c>
      <c r="H6585" s="19" t="s">
        <v>33280</v>
      </c>
      <c r="I6585" s="20">
        <v>20.745000000000001</v>
      </c>
      <c r="J6585" s="44" t="s">
        <v>8</v>
      </c>
      <c r="K6585" s="23" t="s">
        <v>8</v>
      </c>
      <c r="L6585" s="23" t="s">
        <v>8</v>
      </c>
      <c r="M6585" s="23" t="s">
        <v>8</v>
      </c>
    </row>
    <row r="6586" spans="1:13" s="21" customFormat="1" x14ac:dyDescent="0.25">
      <c r="A6586" s="22" t="s">
        <v>8</v>
      </c>
      <c r="B6586" s="18" t="str">
        <f>"235580"</f>
        <v>235580</v>
      </c>
      <c r="C6586" s="19" t="s">
        <v>6496</v>
      </c>
      <c r="D6586" s="19" t="s">
        <v>22011</v>
      </c>
      <c r="E6586" s="19" t="s">
        <v>33203</v>
      </c>
      <c r="F6586" s="19" t="s">
        <v>35996</v>
      </c>
      <c r="G6586" s="18" t="str">
        <f>"48105"</f>
        <v>48105</v>
      </c>
      <c r="H6586" s="19" t="s">
        <v>36422</v>
      </c>
      <c r="I6586" s="20">
        <v>20.106000000000002</v>
      </c>
      <c r="J6586" s="44" t="s">
        <v>8</v>
      </c>
      <c r="K6586" s="23" t="s">
        <v>8</v>
      </c>
      <c r="L6586" s="23" t="s">
        <v>8</v>
      </c>
      <c r="M6586" s="23" t="s">
        <v>8</v>
      </c>
    </row>
    <row r="6587" spans="1:13" s="21" customFormat="1" x14ac:dyDescent="0.25">
      <c r="A6587" s="22" t="s">
        <v>8</v>
      </c>
      <c r="B6587" s="18" t="str">
        <f>"235582"</f>
        <v>235582</v>
      </c>
      <c r="C6587" s="19" t="s">
        <v>6497</v>
      </c>
      <c r="D6587" s="19" t="s">
        <v>22012</v>
      </c>
      <c r="E6587" s="19" t="s">
        <v>33221</v>
      </c>
      <c r="F6587" s="19" t="s">
        <v>35996</v>
      </c>
      <c r="G6587" s="18" t="str">
        <f>"48076"</f>
        <v>48076</v>
      </c>
      <c r="H6587" s="19" t="s">
        <v>31143</v>
      </c>
      <c r="I6587" s="20">
        <v>22.388999999999999</v>
      </c>
      <c r="J6587" s="44" t="s">
        <v>8</v>
      </c>
      <c r="K6587" s="23" t="s">
        <v>8</v>
      </c>
      <c r="L6587" s="23" t="s">
        <v>8</v>
      </c>
      <c r="M6587" s="23" t="s">
        <v>8</v>
      </c>
    </row>
    <row r="6588" spans="1:13" s="21" customFormat="1" x14ac:dyDescent="0.25">
      <c r="A6588" s="22" t="s">
        <v>8</v>
      </c>
      <c r="B6588" s="18" t="str">
        <f>"235583"</f>
        <v>235583</v>
      </c>
      <c r="C6588" s="19" t="s">
        <v>6498</v>
      </c>
      <c r="D6588" s="19" t="s">
        <v>22013</v>
      </c>
      <c r="E6588" s="19" t="s">
        <v>33215</v>
      </c>
      <c r="F6588" s="19" t="s">
        <v>35996</v>
      </c>
      <c r="G6588" s="18" t="str">
        <f>"49707"</f>
        <v>49707</v>
      </c>
      <c r="H6588" s="19" t="s">
        <v>33215</v>
      </c>
      <c r="I6588" s="20">
        <v>20.283999999999999</v>
      </c>
      <c r="J6588" s="44" t="s">
        <v>8</v>
      </c>
      <c r="K6588" s="23" t="s">
        <v>8</v>
      </c>
      <c r="L6588" s="23" t="s">
        <v>8</v>
      </c>
      <c r="M6588" s="23" t="s">
        <v>8</v>
      </c>
    </row>
    <row r="6589" spans="1:13" s="21" customFormat="1" x14ac:dyDescent="0.25">
      <c r="A6589" s="22" t="s">
        <v>8</v>
      </c>
      <c r="B6589" s="18" t="str">
        <f>"235584"</f>
        <v>235584</v>
      </c>
      <c r="C6589" s="19" t="s">
        <v>6499</v>
      </c>
      <c r="D6589" s="19" t="s">
        <v>22014</v>
      </c>
      <c r="E6589" s="19" t="s">
        <v>30906</v>
      </c>
      <c r="F6589" s="19" t="s">
        <v>35996</v>
      </c>
      <c r="G6589" s="18" t="str">
        <f>"48451"</f>
        <v>48451</v>
      </c>
      <c r="H6589" s="19" t="s">
        <v>36432</v>
      </c>
      <c r="I6589" s="20">
        <v>16.538</v>
      </c>
      <c r="J6589" s="44" t="s">
        <v>8</v>
      </c>
      <c r="K6589" s="23" t="s">
        <v>8</v>
      </c>
      <c r="L6589" s="23" t="s">
        <v>8</v>
      </c>
      <c r="M6589" s="23" t="s">
        <v>8</v>
      </c>
    </row>
    <row r="6590" spans="1:13" s="21" customFormat="1" x14ac:dyDescent="0.25">
      <c r="A6590" s="22" t="s">
        <v>8</v>
      </c>
      <c r="B6590" s="18" t="str">
        <f>"235585"</f>
        <v>235585</v>
      </c>
      <c r="C6590" s="19" t="s">
        <v>6500</v>
      </c>
      <c r="D6590" s="19" t="s">
        <v>22015</v>
      </c>
      <c r="E6590" s="19" t="s">
        <v>33167</v>
      </c>
      <c r="F6590" s="19" t="s">
        <v>35996</v>
      </c>
      <c r="G6590" s="18" t="str">
        <f>"48602"</f>
        <v>48602</v>
      </c>
      <c r="H6590" s="19" t="s">
        <v>33167</v>
      </c>
      <c r="I6590" s="20">
        <v>23.298999999999999</v>
      </c>
      <c r="J6590" s="44" t="s">
        <v>8</v>
      </c>
      <c r="K6590" s="23" t="s">
        <v>8</v>
      </c>
      <c r="L6590" s="23" t="s">
        <v>8</v>
      </c>
      <c r="M6590" s="23" t="s">
        <v>8</v>
      </c>
    </row>
    <row r="6591" spans="1:13" s="21" customFormat="1" x14ac:dyDescent="0.25">
      <c r="A6591" s="22" t="s">
        <v>8</v>
      </c>
      <c r="B6591" s="18" t="str">
        <f>"235587"</f>
        <v>235587</v>
      </c>
      <c r="C6591" s="19" t="s">
        <v>6275</v>
      </c>
      <c r="D6591" s="19" t="s">
        <v>22016</v>
      </c>
      <c r="E6591" s="19" t="s">
        <v>33168</v>
      </c>
      <c r="F6591" s="19" t="s">
        <v>35996</v>
      </c>
      <c r="G6591" s="18" t="str">
        <f>"48150"</f>
        <v>48150</v>
      </c>
      <c r="H6591" s="19" t="s">
        <v>33280</v>
      </c>
      <c r="I6591" s="20">
        <v>18.981999999999999</v>
      </c>
      <c r="J6591" s="44" t="s">
        <v>8</v>
      </c>
      <c r="K6591" s="23" t="s">
        <v>8</v>
      </c>
      <c r="L6591" s="23" t="s">
        <v>8</v>
      </c>
      <c r="M6591" s="23" t="s">
        <v>8</v>
      </c>
    </row>
    <row r="6592" spans="1:13" s="21" customFormat="1" x14ac:dyDescent="0.25">
      <c r="A6592" s="22" t="s">
        <v>8</v>
      </c>
      <c r="B6592" s="18" t="str">
        <f>"235588"</f>
        <v>235588</v>
      </c>
      <c r="C6592" s="19" t="s">
        <v>6501</v>
      </c>
      <c r="D6592" s="19" t="s">
        <v>22017</v>
      </c>
      <c r="E6592" s="19" t="s">
        <v>33296</v>
      </c>
      <c r="F6592" s="19" t="s">
        <v>35996</v>
      </c>
      <c r="G6592" s="18" t="str">
        <f>"49664"</f>
        <v>49664</v>
      </c>
      <c r="H6592" s="19" t="s">
        <v>36437</v>
      </c>
      <c r="I6592" s="20">
        <v>18.949000000000002</v>
      </c>
      <c r="J6592" s="44" t="s">
        <v>8</v>
      </c>
      <c r="K6592" s="23" t="s">
        <v>8</v>
      </c>
      <c r="L6592" s="23" t="s">
        <v>8</v>
      </c>
      <c r="M6592" s="23" t="s">
        <v>8</v>
      </c>
    </row>
    <row r="6593" spans="1:13" s="21" customFormat="1" x14ac:dyDescent="0.25">
      <c r="A6593" s="22" t="s">
        <v>8</v>
      </c>
      <c r="B6593" s="18" t="str">
        <f>"235589"</f>
        <v>235589</v>
      </c>
      <c r="C6593" s="19" t="s">
        <v>6502</v>
      </c>
      <c r="D6593" s="19" t="s">
        <v>22018</v>
      </c>
      <c r="E6593" s="19" t="s">
        <v>33221</v>
      </c>
      <c r="F6593" s="19" t="s">
        <v>35996</v>
      </c>
      <c r="G6593" s="18" t="str">
        <f>"48034"</f>
        <v>48034</v>
      </c>
      <c r="H6593" s="19" t="s">
        <v>31143</v>
      </c>
      <c r="I6593" s="20">
        <v>21.548999999999999</v>
      </c>
      <c r="J6593" s="44" t="s">
        <v>8</v>
      </c>
      <c r="K6593" s="23" t="s">
        <v>8</v>
      </c>
      <c r="L6593" s="23" t="s">
        <v>8</v>
      </c>
      <c r="M6593" s="23" t="s">
        <v>8</v>
      </c>
    </row>
    <row r="6594" spans="1:13" s="21" customFormat="1" x14ac:dyDescent="0.25">
      <c r="A6594" s="22" t="s">
        <v>8</v>
      </c>
      <c r="B6594" s="18" t="str">
        <f>"235590"</f>
        <v>235590</v>
      </c>
      <c r="C6594" s="19" t="s">
        <v>6503</v>
      </c>
      <c r="D6594" s="19" t="s">
        <v>22019</v>
      </c>
      <c r="E6594" s="19" t="s">
        <v>33168</v>
      </c>
      <c r="F6594" s="19" t="s">
        <v>35996</v>
      </c>
      <c r="G6594" s="18" t="str">
        <f>"48154"</f>
        <v>48154</v>
      </c>
      <c r="H6594" s="19" t="s">
        <v>33280</v>
      </c>
      <c r="I6594" s="20">
        <v>17.236000000000001</v>
      </c>
      <c r="J6594" s="44" t="s">
        <v>8</v>
      </c>
      <c r="K6594" s="23" t="s">
        <v>8</v>
      </c>
      <c r="L6594" s="23" t="s">
        <v>8</v>
      </c>
      <c r="M6594" s="23" t="s">
        <v>8</v>
      </c>
    </row>
    <row r="6595" spans="1:13" s="21" customFormat="1" x14ac:dyDescent="0.25">
      <c r="A6595" s="22" t="s">
        <v>8</v>
      </c>
      <c r="B6595" s="18" t="str">
        <f>"235591"</f>
        <v>235591</v>
      </c>
      <c r="C6595" s="19" t="s">
        <v>6504</v>
      </c>
      <c r="D6595" s="19" t="s">
        <v>22020</v>
      </c>
      <c r="E6595" s="19" t="s">
        <v>33297</v>
      </c>
      <c r="F6595" s="19" t="s">
        <v>35996</v>
      </c>
      <c r="G6595" s="18" t="str">
        <f>"49887"</f>
        <v>49887</v>
      </c>
      <c r="H6595" s="19" t="s">
        <v>33291</v>
      </c>
      <c r="I6595" s="20">
        <v>17.350999999999999</v>
      </c>
      <c r="J6595" s="44" t="s">
        <v>8</v>
      </c>
      <c r="K6595" s="23" t="s">
        <v>8</v>
      </c>
      <c r="L6595" s="23" t="s">
        <v>8</v>
      </c>
      <c r="M6595" s="23" t="s">
        <v>8</v>
      </c>
    </row>
    <row r="6596" spans="1:13" s="21" customFormat="1" x14ac:dyDescent="0.25">
      <c r="A6596" s="22" t="s">
        <v>8</v>
      </c>
      <c r="B6596" s="18" t="str">
        <f>"235592"</f>
        <v>235592</v>
      </c>
      <c r="C6596" s="19" t="s">
        <v>6505</v>
      </c>
      <c r="D6596" s="19" t="s">
        <v>22021</v>
      </c>
      <c r="E6596" s="19" t="s">
        <v>33298</v>
      </c>
      <c r="F6596" s="19" t="s">
        <v>35996</v>
      </c>
      <c r="G6596" s="18" t="str">
        <f>"48631"</f>
        <v>48631</v>
      </c>
      <c r="H6596" s="19" t="s">
        <v>36132</v>
      </c>
      <c r="I6596" s="20">
        <v>18.782</v>
      </c>
      <c r="J6596" s="44" t="s">
        <v>8</v>
      </c>
      <c r="K6596" s="23" t="s">
        <v>8</v>
      </c>
      <c r="L6596" s="23" t="s">
        <v>8</v>
      </c>
      <c r="M6596" s="23" t="s">
        <v>8</v>
      </c>
    </row>
    <row r="6597" spans="1:13" s="21" customFormat="1" x14ac:dyDescent="0.25">
      <c r="A6597" s="22" t="s">
        <v>8</v>
      </c>
      <c r="B6597" s="18" t="str">
        <f>"235593"</f>
        <v>235593</v>
      </c>
      <c r="C6597" s="19" t="s">
        <v>6506</v>
      </c>
      <c r="D6597" s="19" t="s">
        <v>22022</v>
      </c>
      <c r="E6597" s="19" t="s">
        <v>33273</v>
      </c>
      <c r="F6597" s="19" t="s">
        <v>35996</v>
      </c>
      <c r="G6597" s="18" t="str">
        <f>"48126"</f>
        <v>48126</v>
      </c>
      <c r="H6597" s="19" t="s">
        <v>33280</v>
      </c>
      <c r="I6597" s="20">
        <v>23.754000000000001</v>
      </c>
      <c r="J6597" s="44" t="s">
        <v>8</v>
      </c>
      <c r="K6597" s="23" t="s">
        <v>8</v>
      </c>
      <c r="L6597" s="23" t="s">
        <v>8</v>
      </c>
      <c r="M6597" s="23" t="s">
        <v>8</v>
      </c>
    </row>
    <row r="6598" spans="1:13" s="21" customFormat="1" x14ac:dyDescent="0.25">
      <c r="A6598" s="22" t="s">
        <v>8</v>
      </c>
      <c r="B6598" s="18" t="str">
        <f>"235594"</f>
        <v>235594</v>
      </c>
      <c r="C6598" s="19" t="s">
        <v>6507</v>
      </c>
      <c r="D6598" s="19" t="s">
        <v>22023</v>
      </c>
      <c r="E6598" s="19" t="s">
        <v>31948</v>
      </c>
      <c r="F6598" s="19" t="s">
        <v>35996</v>
      </c>
      <c r="G6598" s="18" t="str">
        <f>"49120"</f>
        <v>49120</v>
      </c>
      <c r="H6598" s="19" t="s">
        <v>36166</v>
      </c>
      <c r="I6598" s="20">
        <v>17.597000000000001</v>
      </c>
      <c r="J6598" s="44" t="s">
        <v>8</v>
      </c>
      <c r="K6598" s="23" t="s">
        <v>8</v>
      </c>
      <c r="L6598" s="23" t="s">
        <v>8</v>
      </c>
      <c r="M6598" s="23" t="s">
        <v>8</v>
      </c>
    </row>
    <row r="6599" spans="1:13" s="21" customFormat="1" x14ac:dyDescent="0.25">
      <c r="A6599" s="22" t="s">
        <v>8</v>
      </c>
      <c r="B6599" s="18" t="str">
        <f>"235595"</f>
        <v>235595</v>
      </c>
      <c r="C6599" s="19" t="s">
        <v>6508</v>
      </c>
      <c r="D6599" s="19" t="s">
        <v>22024</v>
      </c>
      <c r="E6599" s="19" t="s">
        <v>33180</v>
      </c>
      <c r="F6599" s="19" t="s">
        <v>35996</v>
      </c>
      <c r="G6599" s="18" t="str">
        <f>"48214"</f>
        <v>48214</v>
      </c>
      <c r="H6599" s="19" t="s">
        <v>33280</v>
      </c>
      <c r="I6599" s="20">
        <v>20.518999999999998</v>
      </c>
      <c r="J6599" s="44" t="s">
        <v>8</v>
      </c>
      <c r="K6599" s="23" t="s">
        <v>8</v>
      </c>
      <c r="L6599" s="23" t="s">
        <v>8</v>
      </c>
      <c r="M6599" s="23" t="s">
        <v>8</v>
      </c>
    </row>
    <row r="6600" spans="1:13" s="21" customFormat="1" x14ac:dyDescent="0.25">
      <c r="A6600" s="22" t="s">
        <v>8</v>
      </c>
      <c r="B6600" s="18" t="str">
        <f>"235596"</f>
        <v>235596</v>
      </c>
      <c r="C6600" s="19" t="s">
        <v>6509</v>
      </c>
      <c r="D6600" s="19" t="s">
        <v>22025</v>
      </c>
      <c r="E6600" s="19" t="s">
        <v>33274</v>
      </c>
      <c r="F6600" s="19" t="s">
        <v>35996</v>
      </c>
      <c r="G6600" s="18" t="str">
        <f>"48198"</f>
        <v>48198</v>
      </c>
      <c r="H6600" s="19" t="s">
        <v>36422</v>
      </c>
      <c r="I6600" s="20">
        <v>19.629000000000001</v>
      </c>
      <c r="J6600" s="44" t="s">
        <v>8</v>
      </c>
      <c r="K6600" s="23" t="s">
        <v>8</v>
      </c>
      <c r="L6600" s="23" t="s">
        <v>8</v>
      </c>
      <c r="M6600" s="23" t="s">
        <v>8</v>
      </c>
    </row>
    <row r="6601" spans="1:13" s="21" customFormat="1" x14ac:dyDescent="0.25">
      <c r="A6601" s="22" t="s">
        <v>8</v>
      </c>
      <c r="B6601" s="18" t="str">
        <f>"235598"</f>
        <v>235598</v>
      </c>
      <c r="C6601" s="19" t="s">
        <v>6510</v>
      </c>
      <c r="D6601" s="19" t="s">
        <v>22026</v>
      </c>
      <c r="E6601" s="19" t="s">
        <v>31948</v>
      </c>
      <c r="F6601" s="19" t="s">
        <v>35996</v>
      </c>
      <c r="G6601" s="18" t="str">
        <f>"49120"</f>
        <v>49120</v>
      </c>
      <c r="H6601" s="19" t="s">
        <v>36166</v>
      </c>
      <c r="I6601" s="20">
        <v>18.161000000000001</v>
      </c>
      <c r="J6601" s="44" t="s">
        <v>8</v>
      </c>
      <c r="K6601" s="23" t="s">
        <v>8</v>
      </c>
      <c r="L6601" s="23" t="s">
        <v>8</v>
      </c>
      <c r="M6601" s="23" t="s">
        <v>8</v>
      </c>
    </row>
    <row r="6602" spans="1:13" s="21" customFormat="1" x14ac:dyDescent="0.25">
      <c r="A6602" s="22" t="s">
        <v>8</v>
      </c>
      <c r="B6602" s="18" t="str">
        <f>"235599"</f>
        <v>235599</v>
      </c>
      <c r="C6602" s="19" t="s">
        <v>6511</v>
      </c>
      <c r="D6602" s="19" t="s">
        <v>22027</v>
      </c>
      <c r="E6602" s="19" t="s">
        <v>33247</v>
      </c>
      <c r="F6602" s="19" t="s">
        <v>35996</v>
      </c>
      <c r="G6602" s="18" t="str">
        <f>"48706"</f>
        <v>48706</v>
      </c>
      <c r="H6602" s="19" t="s">
        <v>36132</v>
      </c>
      <c r="I6602" s="20">
        <v>19.753</v>
      </c>
      <c r="J6602" s="44" t="s">
        <v>8</v>
      </c>
      <c r="K6602" s="23" t="s">
        <v>8</v>
      </c>
      <c r="L6602" s="23" t="s">
        <v>8</v>
      </c>
      <c r="M6602" s="23" t="s">
        <v>8</v>
      </c>
    </row>
    <row r="6603" spans="1:13" s="21" customFormat="1" x14ac:dyDescent="0.25">
      <c r="A6603" s="22" t="s">
        <v>8</v>
      </c>
      <c r="B6603" s="18" t="str">
        <f>"235600"</f>
        <v>235600</v>
      </c>
      <c r="C6603" s="19" t="s">
        <v>6512</v>
      </c>
      <c r="D6603" s="19" t="s">
        <v>22028</v>
      </c>
      <c r="E6603" s="19" t="s">
        <v>30923</v>
      </c>
      <c r="F6603" s="19" t="s">
        <v>35996</v>
      </c>
      <c r="G6603" s="18" t="str">
        <f>"48457"</f>
        <v>48457</v>
      </c>
      <c r="H6603" s="19" t="s">
        <v>36432</v>
      </c>
      <c r="I6603" s="20">
        <v>16.114999999999998</v>
      </c>
      <c r="J6603" s="44" t="s">
        <v>8</v>
      </c>
      <c r="K6603" s="23" t="s">
        <v>8</v>
      </c>
      <c r="L6603" s="23" t="s">
        <v>8</v>
      </c>
      <c r="M6603" s="23" t="s">
        <v>8</v>
      </c>
    </row>
    <row r="6604" spans="1:13" s="21" customFormat="1" x14ac:dyDescent="0.25">
      <c r="A6604" s="22" t="s">
        <v>8</v>
      </c>
      <c r="B6604" s="18" t="str">
        <f>"235601"</f>
        <v>235601</v>
      </c>
      <c r="C6604" s="19" t="s">
        <v>6513</v>
      </c>
      <c r="D6604" s="19" t="s">
        <v>22029</v>
      </c>
      <c r="E6604" s="19" t="s">
        <v>33299</v>
      </c>
      <c r="F6604" s="19" t="s">
        <v>35996</v>
      </c>
      <c r="G6604" s="18" t="str">
        <f>"49935"</f>
        <v>49935</v>
      </c>
      <c r="H6604" s="19" t="s">
        <v>36438</v>
      </c>
      <c r="I6604" s="20">
        <v>20.311</v>
      </c>
      <c r="J6604" s="44" t="s">
        <v>8</v>
      </c>
      <c r="K6604" s="23" t="s">
        <v>8</v>
      </c>
      <c r="L6604" s="23" t="s">
        <v>8</v>
      </c>
      <c r="M6604" s="23" t="s">
        <v>8</v>
      </c>
    </row>
    <row r="6605" spans="1:13" s="21" customFormat="1" x14ac:dyDescent="0.25">
      <c r="A6605" s="22" t="s">
        <v>8</v>
      </c>
      <c r="B6605" s="18" t="str">
        <f>"235602"</f>
        <v>235602</v>
      </c>
      <c r="C6605" s="19" t="s">
        <v>6514</v>
      </c>
      <c r="D6605" s="19" t="s">
        <v>22030</v>
      </c>
      <c r="E6605" s="19" t="s">
        <v>33300</v>
      </c>
      <c r="F6605" s="19" t="s">
        <v>35996</v>
      </c>
      <c r="G6605" s="18" t="str">
        <f>"48879"</f>
        <v>48879</v>
      </c>
      <c r="H6605" s="19" t="s">
        <v>31081</v>
      </c>
      <c r="I6605" s="20">
        <v>18.948</v>
      </c>
      <c r="J6605" s="44" t="s">
        <v>8</v>
      </c>
      <c r="K6605" s="23" t="s">
        <v>8</v>
      </c>
      <c r="L6605" s="23" t="s">
        <v>8</v>
      </c>
      <c r="M6605" s="23" t="s">
        <v>8</v>
      </c>
    </row>
    <row r="6606" spans="1:13" s="21" customFormat="1" x14ac:dyDescent="0.25">
      <c r="A6606" s="22" t="s">
        <v>8</v>
      </c>
      <c r="B6606" s="18" t="str">
        <f>"235604"</f>
        <v>235604</v>
      </c>
      <c r="C6606" s="19" t="s">
        <v>6515</v>
      </c>
      <c r="D6606" s="19" t="s">
        <v>22031</v>
      </c>
      <c r="E6606" s="19" t="s">
        <v>33168</v>
      </c>
      <c r="F6606" s="19" t="s">
        <v>35996</v>
      </c>
      <c r="G6606" s="18" t="str">
        <f>"48154"</f>
        <v>48154</v>
      </c>
      <c r="H6606" s="19" t="s">
        <v>33280</v>
      </c>
      <c r="I6606" s="20">
        <v>17.995999999999999</v>
      </c>
      <c r="J6606" s="44" t="s">
        <v>8</v>
      </c>
      <c r="K6606" s="23" t="s">
        <v>8</v>
      </c>
      <c r="L6606" s="23" t="s">
        <v>8</v>
      </c>
      <c r="M6606" s="23" t="s">
        <v>8</v>
      </c>
    </row>
    <row r="6607" spans="1:13" s="21" customFormat="1" x14ac:dyDescent="0.25">
      <c r="A6607" s="22" t="s">
        <v>8</v>
      </c>
      <c r="B6607" s="18" t="str">
        <f>"235605"</f>
        <v>235605</v>
      </c>
      <c r="C6607" s="19" t="s">
        <v>6516</v>
      </c>
      <c r="D6607" s="19" t="s">
        <v>22032</v>
      </c>
      <c r="E6607" s="19" t="s">
        <v>33301</v>
      </c>
      <c r="F6607" s="19" t="s">
        <v>35996</v>
      </c>
      <c r="G6607" s="18" t="str">
        <f>"49085"</f>
        <v>49085</v>
      </c>
      <c r="H6607" s="19" t="s">
        <v>36166</v>
      </c>
      <c r="I6607" s="20">
        <v>19.161000000000001</v>
      </c>
      <c r="J6607" s="44" t="s">
        <v>8</v>
      </c>
      <c r="K6607" s="23" t="s">
        <v>8</v>
      </c>
      <c r="L6607" s="23" t="s">
        <v>8</v>
      </c>
      <c r="M6607" s="23" t="s">
        <v>8</v>
      </c>
    </row>
    <row r="6608" spans="1:13" s="21" customFormat="1" x14ac:dyDescent="0.25">
      <c r="A6608" s="22" t="s">
        <v>8</v>
      </c>
      <c r="B6608" s="18" t="str">
        <f>"235606"</f>
        <v>235606</v>
      </c>
      <c r="C6608" s="19" t="s">
        <v>6517</v>
      </c>
      <c r="D6608" s="19" t="s">
        <v>22033</v>
      </c>
      <c r="E6608" s="19" t="s">
        <v>33302</v>
      </c>
      <c r="F6608" s="19" t="s">
        <v>35996</v>
      </c>
      <c r="G6608" s="18" t="str">
        <f>"48744"</f>
        <v>48744</v>
      </c>
      <c r="H6608" s="19" t="s">
        <v>32169</v>
      </c>
      <c r="I6608" s="20">
        <v>17.727</v>
      </c>
      <c r="J6608" s="44" t="s">
        <v>8</v>
      </c>
      <c r="K6608" s="23" t="s">
        <v>8</v>
      </c>
      <c r="L6608" s="23" t="s">
        <v>8</v>
      </c>
      <c r="M6608" s="23" t="s">
        <v>8</v>
      </c>
    </row>
    <row r="6609" spans="1:13" s="21" customFormat="1" x14ac:dyDescent="0.25">
      <c r="A6609" s="22" t="s">
        <v>8</v>
      </c>
      <c r="B6609" s="18" t="str">
        <f>"235607"</f>
        <v>235607</v>
      </c>
      <c r="C6609" s="19" t="s">
        <v>6518</v>
      </c>
      <c r="D6609" s="19" t="s">
        <v>22034</v>
      </c>
      <c r="E6609" s="19" t="s">
        <v>31067</v>
      </c>
      <c r="F6609" s="19" t="s">
        <v>35996</v>
      </c>
      <c r="G6609" s="18" t="str">
        <f>"48801"</f>
        <v>48801</v>
      </c>
      <c r="H6609" s="19" t="s">
        <v>36421</v>
      </c>
      <c r="I6609" s="20">
        <v>19.623000000000001</v>
      </c>
      <c r="J6609" s="44" t="s">
        <v>8</v>
      </c>
      <c r="K6609" s="23" t="s">
        <v>8</v>
      </c>
      <c r="L6609" s="23" t="s">
        <v>8</v>
      </c>
      <c r="M6609" s="23" t="s">
        <v>8</v>
      </c>
    </row>
    <row r="6610" spans="1:13" s="21" customFormat="1" x14ac:dyDescent="0.25">
      <c r="A6610" s="22" t="s">
        <v>8</v>
      </c>
      <c r="B6610" s="18" t="str">
        <f>"235608"</f>
        <v>235608</v>
      </c>
      <c r="C6610" s="19" t="s">
        <v>6519</v>
      </c>
      <c r="D6610" s="19" t="s">
        <v>22035</v>
      </c>
      <c r="E6610" s="19" t="s">
        <v>33207</v>
      </c>
      <c r="F6610" s="19" t="s">
        <v>35996</v>
      </c>
      <c r="G6610" s="18" t="str">
        <f>"48642"</f>
        <v>48642</v>
      </c>
      <c r="H6610" s="19" t="s">
        <v>33207</v>
      </c>
      <c r="I6610" s="20">
        <v>21.350999999999999</v>
      </c>
      <c r="J6610" s="44" t="s">
        <v>8</v>
      </c>
      <c r="K6610" s="23" t="s">
        <v>8</v>
      </c>
      <c r="L6610" s="23" t="s">
        <v>8</v>
      </c>
      <c r="M6610" s="23" t="s">
        <v>8</v>
      </c>
    </row>
    <row r="6611" spans="1:13" s="21" customFormat="1" x14ac:dyDescent="0.25">
      <c r="A6611" s="22" t="s">
        <v>8</v>
      </c>
      <c r="B6611" s="18" t="str">
        <f>"235609"</f>
        <v>235609</v>
      </c>
      <c r="C6611" s="19" t="s">
        <v>6520</v>
      </c>
      <c r="D6611" s="19" t="s">
        <v>22036</v>
      </c>
      <c r="E6611" s="19" t="s">
        <v>33303</v>
      </c>
      <c r="F6611" s="19" t="s">
        <v>35996</v>
      </c>
      <c r="G6611" s="18" t="str">
        <f>"48005"</f>
        <v>48005</v>
      </c>
      <c r="H6611" s="19" t="s">
        <v>31911</v>
      </c>
      <c r="I6611" s="20">
        <v>18.052</v>
      </c>
      <c r="J6611" s="44" t="s">
        <v>8</v>
      </c>
      <c r="K6611" s="23" t="s">
        <v>8</v>
      </c>
      <c r="L6611" s="23" t="s">
        <v>8</v>
      </c>
      <c r="M6611" s="23" t="s">
        <v>8</v>
      </c>
    </row>
    <row r="6612" spans="1:13" s="21" customFormat="1" x14ac:dyDescent="0.25">
      <c r="A6612" s="22" t="s">
        <v>8</v>
      </c>
      <c r="B6612" s="18" t="str">
        <f>"235611"</f>
        <v>235611</v>
      </c>
      <c r="C6612" s="19" t="s">
        <v>6521</v>
      </c>
      <c r="D6612" s="19" t="s">
        <v>22037</v>
      </c>
      <c r="E6612" s="19" t="s">
        <v>33177</v>
      </c>
      <c r="F6612" s="19" t="s">
        <v>35996</v>
      </c>
      <c r="G6612" s="18" t="str">
        <f>"49684"</f>
        <v>49684</v>
      </c>
      <c r="H6612" s="19" t="s">
        <v>36431</v>
      </c>
      <c r="I6612" s="20">
        <v>19.742000000000001</v>
      </c>
      <c r="J6612" s="44" t="s">
        <v>8</v>
      </c>
      <c r="K6612" s="23" t="s">
        <v>8</v>
      </c>
      <c r="L6612" s="23" t="s">
        <v>8</v>
      </c>
      <c r="M6612" s="23" t="s">
        <v>8</v>
      </c>
    </row>
    <row r="6613" spans="1:13" s="21" customFormat="1" x14ac:dyDescent="0.25">
      <c r="A6613" s="22" t="s">
        <v>8</v>
      </c>
      <c r="B6613" s="18" t="str">
        <f>"235612"</f>
        <v>235612</v>
      </c>
      <c r="C6613" s="19" t="s">
        <v>6522</v>
      </c>
      <c r="D6613" s="19" t="s">
        <v>22038</v>
      </c>
      <c r="E6613" s="19" t="s">
        <v>33212</v>
      </c>
      <c r="F6613" s="19" t="s">
        <v>35996</v>
      </c>
      <c r="G6613" s="18" t="str">
        <f>"49802"</f>
        <v>49802</v>
      </c>
      <c r="H6613" s="19" t="s">
        <v>34382</v>
      </c>
      <c r="I6613" s="20">
        <v>17.401</v>
      </c>
      <c r="J6613" s="44" t="s">
        <v>8</v>
      </c>
      <c r="K6613" s="23" t="s">
        <v>8</v>
      </c>
      <c r="L6613" s="23" t="s">
        <v>8</v>
      </c>
      <c r="M6613" s="23" t="s">
        <v>8</v>
      </c>
    </row>
    <row r="6614" spans="1:13" s="21" customFormat="1" x14ac:dyDescent="0.25">
      <c r="A6614" s="22" t="s">
        <v>8</v>
      </c>
      <c r="B6614" s="18" t="str">
        <f>"235613"</f>
        <v>235613</v>
      </c>
      <c r="C6614" s="19" t="s">
        <v>6523</v>
      </c>
      <c r="D6614" s="19" t="s">
        <v>22039</v>
      </c>
      <c r="E6614" s="19" t="s">
        <v>33280</v>
      </c>
      <c r="F6614" s="19" t="s">
        <v>35996</v>
      </c>
      <c r="G6614" s="18" t="str">
        <f>"48184"</f>
        <v>48184</v>
      </c>
      <c r="H6614" s="19" t="s">
        <v>33280</v>
      </c>
      <c r="I6614" s="20">
        <v>21.738</v>
      </c>
      <c r="J6614" s="44" t="s">
        <v>8</v>
      </c>
      <c r="K6614" s="23" t="s">
        <v>8</v>
      </c>
      <c r="L6614" s="23" t="s">
        <v>8</v>
      </c>
      <c r="M6614" s="23" t="s">
        <v>8</v>
      </c>
    </row>
    <row r="6615" spans="1:13" s="21" customFormat="1" x14ac:dyDescent="0.25">
      <c r="A6615" s="22" t="s">
        <v>8</v>
      </c>
      <c r="B6615" s="18" t="str">
        <f>"235614"</f>
        <v>235614</v>
      </c>
      <c r="C6615" s="19" t="s">
        <v>6524</v>
      </c>
      <c r="D6615" s="19" t="s">
        <v>22040</v>
      </c>
      <c r="E6615" s="19" t="s">
        <v>33160</v>
      </c>
      <c r="F6615" s="19" t="s">
        <v>35996</v>
      </c>
      <c r="G6615" s="18" t="str">
        <f>"49504"</f>
        <v>49504</v>
      </c>
      <c r="H6615" s="19" t="s">
        <v>31478</v>
      </c>
      <c r="I6615" s="20">
        <v>17.041</v>
      </c>
      <c r="J6615" s="44" t="s">
        <v>8</v>
      </c>
      <c r="K6615" s="23" t="s">
        <v>8</v>
      </c>
      <c r="L6615" s="23" t="s">
        <v>8</v>
      </c>
      <c r="M6615" s="23" t="s">
        <v>8</v>
      </c>
    </row>
    <row r="6616" spans="1:13" s="21" customFormat="1" x14ac:dyDescent="0.25">
      <c r="A6616" s="22" t="s">
        <v>8</v>
      </c>
      <c r="B6616" s="18" t="str">
        <f>"235615"</f>
        <v>235615</v>
      </c>
      <c r="C6616" s="19" t="s">
        <v>6525</v>
      </c>
      <c r="D6616" s="19" t="s">
        <v>22041</v>
      </c>
      <c r="E6616" s="19" t="s">
        <v>31360</v>
      </c>
      <c r="F6616" s="19" t="s">
        <v>35996</v>
      </c>
      <c r="G6616" s="18" t="str">
        <f>"48116"</f>
        <v>48116</v>
      </c>
      <c r="H6616" s="19" t="s">
        <v>33740</v>
      </c>
      <c r="I6616" s="20">
        <v>18.466000000000001</v>
      </c>
      <c r="J6616" s="44" t="s">
        <v>8</v>
      </c>
      <c r="K6616" s="23" t="s">
        <v>8</v>
      </c>
      <c r="L6616" s="23" t="s">
        <v>8</v>
      </c>
      <c r="M6616" s="23" t="s">
        <v>8</v>
      </c>
    </row>
    <row r="6617" spans="1:13" s="21" customFormat="1" x14ac:dyDescent="0.25">
      <c r="A6617" s="22" t="s">
        <v>8</v>
      </c>
      <c r="B6617" s="18" t="str">
        <f>"235617"</f>
        <v>235617</v>
      </c>
      <c r="C6617" s="19" t="s">
        <v>6526</v>
      </c>
      <c r="D6617" s="19" t="s">
        <v>22042</v>
      </c>
      <c r="E6617" s="19" t="s">
        <v>33304</v>
      </c>
      <c r="F6617" s="19" t="s">
        <v>35996</v>
      </c>
      <c r="G6617" s="18" t="str">
        <f>"48317"</f>
        <v>48317</v>
      </c>
      <c r="H6617" s="19" t="s">
        <v>31911</v>
      </c>
      <c r="I6617" s="20">
        <v>18.518000000000001</v>
      </c>
      <c r="J6617" s="44" t="s">
        <v>8</v>
      </c>
      <c r="K6617" s="23" t="s">
        <v>8</v>
      </c>
      <c r="L6617" s="23" t="s">
        <v>8</v>
      </c>
      <c r="M6617" s="23" t="s">
        <v>8</v>
      </c>
    </row>
    <row r="6618" spans="1:13" s="21" customFormat="1" x14ac:dyDescent="0.25">
      <c r="A6618" s="22" t="s">
        <v>8</v>
      </c>
      <c r="B6618" s="18" t="str">
        <f>"235618"</f>
        <v>235618</v>
      </c>
      <c r="C6618" s="19" t="s">
        <v>6527</v>
      </c>
      <c r="D6618" s="19" t="s">
        <v>22043</v>
      </c>
      <c r="E6618" s="19" t="s">
        <v>31791</v>
      </c>
      <c r="F6618" s="19" t="s">
        <v>35996</v>
      </c>
      <c r="G6618" s="18" t="str">
        <f>"48187"</f>
        <v>48187</v>
      </c>
      <c r="H6618" s="19" t="s">
        <v>33280</v>
      </c>
      <c r="I6618" s="20">
        <v>25.337</v>
      </c>
      <c r="J6618" s="44" t="s">
        <v>8</v>
      </c>
      <c r="K6618" s="23" t="s">
        <v>8</v>
      </c>
      <c r="L6618" s="23" t="s">
        <v>8</v>
      </c>
      <c r="M6618" s="23" t="s">
        <v>8</v>
      </c>
    </row>
    <row r="6619" spans="1:13" s="21" customFormat="1" x14ac:dyDescent="0.25">
      <c r="A6619" s="22" t="s">
        <v>8</v>
      </c>
      <c r="B6619" s="18" t="str">
        <f>"235619"</f>
        <v>235619</v>
      </c>
      <c r="C6619" s="19" t="s">
        <v>6528</v>
      </c>
      <c r="D6619" s="19" t="s">
        <v>22044</v>
      </c>
      <c r="E6619" s="19" t="s">
        <v>33249</v>
      </c>
      <c r="F6619" s="19" t="s">
        <v>35996</v>
      </c>
      <c r="G6619" s="18" t="str">
        <f>"48035"</f>
        <v>48035</v>
      </c>
      <c r="H6619" s="19" t="s">
        <v>31911</v>
      </c>
      <c r="I6619" s="20">
        <v>17.649999999999999</v>
      </c>
      <c r="J6619" s="44" t="s">
        <v>8</v>
      </c>
      <c r="K6619" s="23" t="s">
        <v>8</v>
      </c>
      <c r="L6619" s="23" t="s">
        <v>8</v>
      </c>
      <c r="M6619" s="23" t="s">
        <v>8</v>
      </c>
    </row>
    <row r="6620" spans="1:13" s="21" customFormat="1" x14ac:dyDescent="0.25">
      <c r="A6620" s="22" t="s">
        <v>8</v>
      </c>
      <c r="B6620" s="18" t="str">
        <f>"235620"</f>
        <v>235620</v>
      </c>
      <c r="C6620" s="19" t="s">
        <v>6529</v>
      </c>
      <c r="D6620" s="19" t="s">
        <v>22045</v>
      </c>
      <c r="E6620" s="19" t="s">
        <v>33168</v>
      </c>
      <c r="F6620" s="19" t="s">
        <v>35996</v>
      </c>
      <c r="G6620" s="18" t="str">
        <f>"48150"</f>
        <v>48150</v>
      </c>
      <c r="H6620" s="19" t="s">
        <v>33280</v>
      </c>
      <c r="I6620" s="20">
        <v>18.213999999999999</v>
      </c>
      <c r="J6620" s="44" t="s">
        <v>8</v>
      </c>
      <c r="K6620" s="23" t="s">
        <v>8</v>
      </c>
      <c r="L6620" s="23" t="s">
        <v>8</v>
      </c>
      <c r="M6620" s="23" t="s">
        <v>8</v>
      </c>
    </row>
    <row r="6621" spans="1:13" s="21" customFormat="1" x14ac:dyDescent="0.25">
      <c r="A6621" s="22" t="s">
        <v>8</v>
      </c>
      <c r="B6621" s="18" t="str">
        <f>"235621"</f>
        <v>235621</v>
      </c>
      <c r="C6621" s="19" t="s">
        <v>6530</v>
      </c>
      <c r="D6621" s="19" t="s">
        <v>22046</v>
      </c>
      <c r="E6621" s="19" t="s">
        <v>33252</v>
      </c>
      <c r="F6621" s="19" t="s">
        <v>35996</v>
      </c>
      <c r="G6621" s="18" t="str">
        <f>"48059"</f>
        <v>48059</v>
      </c>
      <c r="H6621" s="19" t="s">
        <v>33662</v>
      </c>
      <c r="I6621" s="20">
        <v>18.349</v>
      </c>
      <c r="J6621" s="44" t="s">
        <v>8</v>
      </c>
      <c r="K6621" s="23" t="s">
        <v>8</v>
      </c>
      <c r="L6621" s="23" t="s">
        <v>8</v>
      </c>
      <c r="M6621" s="23" t="s">
        <v>8</v>
      </c>
    </row>
    <row r="6622" spans="1:13" s="21" customFormat="1" x14ac:dyDescent="0.25">
      <c r="A6622" s="22" t="s">
        <v>8</v>
      </c>
      <c r="B6622" s="18" t="str">
        <f>"235622"</f>
        <v>235622</v>
      </c>
      <c r="C6622" s="19" t="s">
        <v>6531</v>
      </c>
      <c r="D6622" s="19" t="s">
        <v>22047</v>
      </c>
      <c r="E6622" s="19" t="s">
        <v>33180</v>
      </c>
      <c r="F6622" s="19" t="s">
        <v>35996</v>
      </c>
      <c r="G6622" s="18" t="str">
        <f>"48207"</f>
        <v>48207</v>
      </c>
      <c r="H6622" s="19" t="s">
        <v>33280</v>
      </c>
      <c r="I6622" s="20">
        <v>20.327000000000002</v>
      </c>
      <c r="J6622" s="44" t="s">
        <v>8</v>
      </c>
      <c r="K6622" s="23" t="s">
        <v>8</v>
      </c>
      <c r="L6622" s="23" t="s">
        <v>8</v>
      </c>
      <c r="M6622" s="23" t="s">
        <v>8</v>
      </c>
    </row>
    <row r="6623" spans="1:13" s="21" customFormat="1" x14ac:dyDescent="0.25">
      <c r="A6623" s="22" t="s">
        <v>8</v>
      </c>
      <c r="B6623" s="18" t="str">
        <f>"235623"</f>
        <v>235623</v>
      </c>
      <c r="C6623" s="19" t="s">
        <v>6532</v>
      </c>
      <c r="D6623" s="19" t="s">
        <v>22048</v>
      </c>
      <c r="E6623" s="19" t="s">
        <v>33301</v>
      </c>
      <c r="F6623" s="19" t="s">
        <v>35996</v>
      </c>
      <c r="G6623" s="18" t="str">
        <f>"49085"</f>
        <v>49085</v>
      </c>
      <c r="H6623" s="19" t="s">
        <v>36166</v>
      </c>
      <c r="I6623" s="20">
        <v>15.622</v>
      </c>
      <c r="J6623" s="44" t="s">
        <v>8</v>
      </c>
      <c r="K6623" s="23" t="s">
        <v>8</v>
      </c>
      <c r="L6623" s="23" t="s">
        <v>8</v>
      </c>
      <c r="M6623" s="23" t="s">
        <v>8</v>
      </c>
    </row>
    <row r="6624" spans="1:13" s="21" customFormat="1" x14ac:dyDescent="0.25">
      <c r="A6624" s="22" t="s">
        <v>8</v>
      </c>
      <c r="B6624" s="18" t="str">
        <f>"235624"</f>
        <v>235624</v>
      </c>
      <c r="C6624" s="19" t="s">
        <v>6533</v>
      </c>
      <c r="D6624" s="19" t="s">
        <v>21668</v>
      </c>
      <c r="E6624" s="19" t="s">
        <v>33144</v>
      </c>
      <c r="F6624" s="19" t="s">
        <v>35996</v>
      </c>
      <c r="G6624" s="18" t="str">
        <f>"49930"</f>
        <v>49930</v>
      </c>
      <c r="H6624" s="19" t="s">
        <v>34184</v>
      </c>
      <c r="I6624" s="20">
        <v>20.100000000000001</v>
      </c>
      <c r="J6624" s="44" t="s">
        <v>8</v>
      </c>
      <c r="K6624" s="23" t="s">
        <v>8</v>
      </c>
      <c r="L6624" s="23" t="s">
        <v>8</v>
      </c>
      <c r="M6624" s="23" t="s">
        <v>8</v>
      </c>
    </row>
    <row r="6625" spans="1:13" s="21" customFormat="1" x14ac:dyDescent="0.25">
      <c r="A6625" s="22" t="s">
        <v>8</v>
      </c>
      <c r="B6625" s="18" t="str">
        <f>"235625"</f>
        <v>235625</v>
      </c>
      <c r="C6625" s="19" t="s">
        <v>6534</v>
      </c>
      <c r="D6625" s="19" t="s">
        <v>22049</v>
      </c>
      <c r="E6625" s="19" t="s">
        <v>33305</v>
      </c>
      <c r="F6625" s="19" t="s">
        <v>35996</v>
      </c>
      <c r="G6625" s="18" t="str">
        <f>"49106"</f>
        <v>49106</v>
      </c>
      <c r="H6625" s="19" t="s">
        <v>36166</v>
      </c>
      <c r="I6625" s="20">
        <v>20.844999999999999</v>
      </c>
      <c r="J6625" s="44" t="s">
        <v>8</v>
      </c>
      <c r="K6625" s="23" t="s">
        <v>8</v>
      </c>
      <c r="L6625" s="23" t="s">
        <v>8</v>
      </c>
      <c r="M6625" s="23" t="s">
        <v>8</v>
      </c>
    </row>
    <row r="6626" spans="1:13" s="21" customFormat="1" x14ac:dyDescent="0.25">
      <c r="A6626" s="22" t="s">
        <v>8</v>
      </c>
      <c r="B6626" s="18" t="str">
        <f>"235626"</f>
        <v>235626</v>
      </c>
      <c r="C6626" s="19" t="s">
        <v>6535</v>
      </c>
      <c r="D6626" s="19" t="s">
        <v>22050</v>
      </c>
      <c r="E6626" s="19" t="s">
        <v>30815</v>
      </c>
      <c r="F6626" s="19" t="s">
        <v>35996</v>
      </c>
      <c r="G6626" s="18" t="str">
        <f>"48085"</f>
        <v>48085</v>
      </c>
      <c r="H6626" s="19" t="s">
        <v>31143</v>
      </c>
      <c r="I6626" s="20">
        <v>20.989000000000001</v>
      </c>
      <c r="J6626" s="44" t="s">
        <v>8</v>
      </c>
      <c r="K6626" s="23" t="s">
        <v>8</v>
      </c>
      <c r="L6626" s="23" t="s">
        <v>8</v>
      </c>
      <c r="M6626" s="23" t="s">
        <v>8</v>
      </c>
    </row>
    <row r="6627" spans="1:13" s="21" customFormat="1" x14ac:dyDescent="0.25">
      <c r="A6627" s="22" t="s">
        <v>8</v>
      </c>
      <c r="B6627" s="18" t="str">
        <f>"235628"</f>
        <v>235628</v>
      </c>
      <c r="C6627" s="19" t="s">
        <v>6536</v>
      </c>
      <c r="D6627" s="19" t="s">
        <v>22051</v>
      </c>
      <c r="E6627" s="19" t="s">
        <v>33306</v>
      </c>
      <c r="F6627" s="19" t="s">
        <v>35996</v>
      </c>
      <c r="G6627" s="18" t="str">
        <f>"48740"</f>
        <v>48740</v>
      </c>
      <c r="H6627" s="19" t="s">
        <v>36446</v>
      </c>
      <c r="I6627" s="20">
        <v>18.584</v>
      </c>
      <c r="J6627" s="44" t="s">
        <v>8</v>
      </c>
      <c r="K6627" s="23" t="s">
        <v>8</v>
      </c>
      <c r="L6627" s="23" t="s">
        <v>8</v>
      </c>
      <c r="M6627" s="23" t="s">
        <v>8</v>
      </c>
    </row>
    <row r="6628" spans="1:13" s="21" customFormat="1" x14ac:dyDescent="0.25">
      <c r="A6628" s="22" t="s">
        <v>8</v>
      </c>
      <c r="B6628" s="18" t="str">
        <f>"235630"</f>
        <v>235630</v>
      </c>
      <c r="C6628" s="19" t="s">
        <v>6537</v>
      </c>
      <c r="D6628" s="19" t="s">
        <v>22052</v>
      </c>
      <c r="E6628" s="19" t="s">
        <v>33261</v>
      </c>
      <c r="F6628" s="19" t="s">
        <v>35996</v>
      </c>
      <c r="G6628" s="18" t="str">
        <f>"49418"</f>
        <v>49418</v>
      </c>
      <c r="H6628" s="19" t="s">
        <v>31478</v>
      </c>
      <c r="I6628" s="20">
        <v>16.852</v>
      </c>
      <c r="J6628" s="44" t="s">
        <v>8</v>
      </c>
      <c r="K6628" s="23" t="s">
        <v>8</v>
      </c>
      <c r="L6628" s="23" t="s">
        <v>8</v>
      </c>
      <c r="M6628" s="23" t="s">
        <v>8</v>
      </c>
    </row>
    <row r="6629" spans="1:13" s="21" customFormat="1" x14ac:dyDescent="0.25">
      <c r="A6629" s="22" t="s">
        <v>8</v>
      </c>
      <c r="B6629" s="18" t="str">
        <f>"235632"</f>
        <v>235632</v>
      </c>
      <c r="C6629" s="19" t="s">
        <v>6538</v>
      </c>
      <c r="D6629" s="19" t="s">
        <v>22053</v>
      </c>
      <c r="E6629" s="19" t="s">
        <v>33180</v>
      </c>
      <c r="F6629" s="19" t="s">
        <v>35996</v>
      </c>
      <c r="G6629" s="18" t="str">
        <f>"48213"</f>
        <v>48213</v>
      </c>
      <c r="H6629" s="19" t="s">
        <v>33280</v>
      </c>
      <c r="I6629" s="20">
        <v>17.794</v>
      </c>
      <c r="J6629" s="44" t="s">
        <v>8</v>
      </c>
      <c r="K6629" s="23" t="s">
        <v>8</v>
      </c>
      <c r="L6629" s="23" t="s">
        <v>8</v>
      </c>
      <c r="M6629" s="23" t="s">
        <v>8</v>
      </c>
    </row>
    <row r="6630" spans="1:13" s="21" customFormat="1" x14ac:dyDescent="0.25">
      <c r="A6630" s="22" t="s">
        <v>8</v>
      </c>
      <c r="B6630" s="18" t="str">
        <f>"235633"</f>
        <v>235633</v>
      </c>
      <c r="C6630" s="19" t="s">
        <v>6539</v>
      </c>
      <c r="D6630" s="19" t="s">
        <v>22054</v>
      </c>
      <c r="E6630" s="19" t="s">
        <v>33160</v>
      </c>
      <c r="F6630" s="19" t="s">
        <v>35996</v>
      </c>
      <c r="G6630" s="18" t="str">
        <f>"49506"</f>
        <v>49506</v>
      </c>
      <c r="H6630" s="19" t="s">
        <v>31478</v>
      </c>
      <c r="I6630" s="20">
        <v>17.164000000000001</v>
      </c>
      <c r="J6630" s="44" t="s">
        <v>8</v>
      </c>
      <c r="K6630" s="23" t="s">
        <v>8</v>
      </c>
      <c r="L6630" s="23" t="s">
        <v>8</v>
      </c>
      <c r="M6630" s="23" t="s">
        <v>8</v>
      </c>
    </row>
    <row r="6631" spans="1:13" s="21" customFormat="1" x14ac:dyDescent="0.25">
      <c r="A6631" s="22" t="s">
        <v>8</v>
      </c>
      <c r="B6631" s="18" t="str">
        <f>"235634"</f>
        <v>235634</v>
      </c>
      <c r="C6631" s="19" t="s">
        <v>6540</v>
      </c>
      <c r="D6631" s="19" t="s">
        <v>22055</v>
      </c>
      <c r="E6631" s="19" t="s">
        <v>33284</v>
      </c>
      <c r="F6631" s="19" t="s">
        <v>35996</v>
      </c>
      <c r="G6631" s="18" t="str">
        <f>"48377"</f>
        <v>48377</v>
      </c>
      <c r="H6631" s="19" t="s">
        <v>31143</v>
      </c>
      <c r="I6631" s="20">
        <v>20.78</v>
      </c>
      <c r="J6631" s="44" t="s">
        <v>8</v>
      </c>
      <c r="K6631" s="23" t="s">
        <v>8</v>
      </c>
      <c r="L6631" s="23" t="s">
        <v>8</v>
      </c>
      <c r="M6631" s="23" t="s">
        <v>8</v>
      </c>
    </row>
    <row r="6632" spans="1:13" s="21" customFormat="1" x14ac:dyDescent="0.25">
      <c r="A6632" s="22" t="s">
        <v>8</v>
      </c>
      <c r="B6632" s="18" t="str">
        <f>"235635"</f>
        <v>235635</v>
      </c>
      <c r="C6632" s="19" t="s">
        <v>6541</v>
      </c>
      <c r="D6632" s="19" t="s">
        <v>22056</v>
      </c>
      <c r="E6632" s="19" t="s">
        <v>33247</v>
      </c>
      <c r="F6632" s="19" t="s">
        <v>35996</v>
      </c>
      <c r="G6632" s="18" t="str">
        <f>"48706"</f>
        <v>48706</v>
      </c>
      <c r="H6632" s="19" t="s">
        <v>36132</v>
      </c>
      <c r="I6632" s="20">
        <v>17.428000000000001</v>
      </c>
      <c r="J6632" s="44" t="s">
        <v>8</v>
      </c>
      <c r="K6632" s="23" t="s">
        <v>8</v>
      </c>
      <c r="L6632" s="23" t="s">
        <v>8</v>
      </c>
      <c r="M6632" s="23" t="s">
        <v>8</v>
      </c>
    </row>
    <row r="6633" spans="1:13" s="21" customFormat="1" x14ac:dyDescent="0.25">
      <c r="A6633" s="22" t="s">
        <v>8</v>
      </c>
      <c r="B6633" s="18" t="str">
        <f>"235636"</f>
        <v>235636</v>
      </c>
      <c r="C6633" s="19" t="s">
        <v>6542</v>
      </c>
      <c r="D6633" s="19" t="s">
        <v>22057</v>
      </c>
      <c r="E6633" s="19" t="s">
        <v>33307</v>
      </c>
      <c r="F6633" s="19" t="s">
        <v>35996</v>
      </c>
      <c r="G6633" s="18" t="str">
        <f>"48811"</f>
        <v>48811</v>
      </c>
      <c r="H6633" s="19" t="s">
        <v>36427</v>
      </c>
      <c r="I6633" s="20">
        <v>19.832999999999998</v>
      </c>
      <c r="J6633" s="44" t="s">
        <v>8</v>
      </c>
      <c r="K6633" s="23" t="s">
        <v>8</v>
      </c>
      <c r="L6633" s="23" t="s">
        <v>8</v>
      </c>
      <c r="M6633" s="23" t="s">
        <v>8</v>
      </c>
    </row>
    <row r="6634" spans="1:13" s="21" customFormat="1" x14ac:dyDescent="0.25">
      <c r="A6634" s="22" t="s">
        <v>8</v>
      </c>
      <c r="B6634" s="18" t="str">
        <f>"235637"</f>
        <v>235637</v>
      </c>
      <c r="C6634" s="19" t="s">
        <v>6543</v>
      </c>
      <c r="D6634" s="19" t="s">
        <v>22058</v>
      </c>
      <c r="E6634" s="19" t="s">
        <v>33268</v>
      </c>
      <c r="F6634" s="19" t="s">
        <v>35996</v>
      </c>
      <c r="G6634" s="18" t="str">
        <f>"49080"</f>
        <v>49080</v>
      </c>
      <c r="H6634" s="19" t="s">
        <v>33200</v>
      </c>
      <c r="I6634" s="20">
        <v>17.861000000000001</v>
      </c>
      <c r="J6634" s="44" t="s">
        <v>8</v>
      </c>
      <c r="K6634" s="23" t="s">
        <v>8</v>
      </c>
      <c r="L6634" s="23" t="s">
        <v>8</v>
      </c>
      <c r="M6634" s="23" t="s">
        <v>8</v>
      </c>
    </row>
    <row r="6635" spans="1:13" s="21" customFormat="1" x14ac:dyDescent="0.25">
      <c r="A6635" s="22" t="s">
        <v>8</v>
      </c>
      <c r="B6635" s="18" t="str">
        <f>"235638"</f>
        <v>235638</v>
      </c>
      <c r="C6635" s="19" t="s">
        <v>6544</v>
      </c>
      <c r="D6635" s="19" t="s">
        <v>22059</v>
      </c>
      <c r="E6635" s="19" t="s">
        <v>33176</v>
      </c>
      <c r="F6635" s="19" t="s">
        <v>35996</v>
      </c>
      <c r="G6635" s="18" t="str">
        <f>"49423"</f>
        <v>49423</v>
      </c>
      <c r="H6635" s="19" t="s">
        <v>31994</v>
      </c>
      <c r="I6635" s="20">
        <v>15.766</v>
      </c>
      <c r="J6635" s="44" t="s">
        <v>8</v>
      </c>
      <c r="K6635" s="23" t="s">
        <v>8</v>
      </c>
      <c r="L6635" s="23" t="s">
        <v>8</v>
      </c>
      <c r="M6635" s="23" t="s">
        <v>8</v>
      </c>
    </row>
    <row r="6636" spans="1:13" s="21" customFormat="1" x14ac:dyDescent="0.25">
      <c r="A6636" s="22" t="s">
        <v>8</v>
      </c>
      <c r="B6636" s="18" t="str">
        <f>"235639"</f>
        <v>235639</v>
      </c>
      <c r="C6636" s="19" t="s">
        <v>6545</v>
      </c>
      <c r="D6636" s="19" t="s">
        <v>22060</v>
      </c>
      <c r="E6636" s="19" t="s">
        <v>33160</v>
      </c>
      <c r="F6636" s="19" t="s">
        <v>35996</v>
      </c>
      <c r="G6636" s="18" t="str">
        <f>"49546"</f>
        <v>49546</v>
      </c>
      <c r="H6636" s="19" t="s">
        <v>31478</v>
      </c>
      <c r="I6636" s="20">
        <v>19.134</v>
      </c>
      <c r="J6636" s="44" t="s">
        <v>8</v>
      </c>
      <c r="K6636" s="23" t="s">
        <v>8</v>
      </c>
      <c r="L6636" s="23" t="s">
        <v>8</v>
      </c>
      <c r="M6636" s="23" t="s">
        <v>8</v>
      </c>
    </row>
    <row r="6637" spans="1:13" s="21" customFormat="1" x14ac:dyDescent="0.25">
      <c r="A6637" s="22" t="s">
        <v>8</v>
      </c>
      <c r="B6637" s="18" t="str">
        <f>"235640"</f>
        <v>235640</v>
      </c>
      <c r="C6637" s="19" t="s">
        <v>6546</v>
      </c>
      <c r="D6637" s="19" t="s">
        <v>22061</v>
      </c>
      <c r="E6637" s="19" t="s">
        <v>31969</v>
      </c>
      <c r="F6637" s="19" t="s">
        <v>35996</v>
      </c>
      <c r="G6637" s="18" t="str">
        <f>"49026"</f>
        <v>49026</v>
      </c>
      <c r="H6637" s="19" t="s">
        <v>30993</v>
      </c>
      <c r="I6637" s="20">
        <v>19.076000000000001</v>
      </c>
      <c r="J6637" s="44" t="s">
        <v>8</v>
      </c>
      <c r="K6637" s="23" t="s">
        <v>8</v>
      </c>
      <c r="L6637" s="23" t="s">
        <v>8</v>
      </c>
      <c r="M6637" s="23" t="s">
        <v>8</v>
      </c>
    </row>
    <row r="6638" spans="1:13" s="21" customFormat="1" x14ac:dyDescent="0.25">
      <c r="A6638" s="22" t="s">
        <v>8</v>
      </c>
      <c r="B6638" s="18" t="str">
        <f>"235641"</f>
        <v>235641</v>
      </c>
      <c r="C6638" s="19" t="s">
        <v>6547</v>
      </c>
      <c r="D6638" s="19" t="s">
        <v>22062</v>
      </c>
      <c r="E6638" s="19" t="s">
        <v>33308</v>
      </c>
      <c r="F6638" s="19" t="s">
        <v>35996</v>
      </c>
      <c r="G6638" s="18" t="str">
        <f>"48616"</f>
        <v>48616</v>
      </c>
      <c r="H6638" s="19" t="s">
        <v>33167</v>
      </c>
      <c r="I6638" s="20">
        <v>16.347999999999999</v>
      </c>
      <c r="J6638" s="44" t="s">
        <v>8</v>
      </c>
      <c r="K6638" s="23" t="s">
        <v>8</v>
      </c>
      <c r="L6638" s="23" t="s">
        <v>8</v>
      </c>
      <c r="M6638" s="23" t="s">
        <v>8</v>
      </c>
    </row>
    <row r="6639" spans="1:13" s="21" customFormat="1" x14ac:dyDescent="0.25">
      <c r="A6639" s="22" t="s">
        <v>8</v>
      </c>
      <c r="B6639" s="18" t="str">
        <f>"235642"</f>
        <v>235642</v>
      </c>
      <c r="C6639" s="19" t="s">
        <v>6548</v>
      </c>
      <c r="D6639" s="19" t="s">
        <v>22063</v>
      </c>
      <c r="E6639" s="19" t="s">
        <v>31691</v>
      </c>
      <c r="F6639" s="19" t="s">
        <v>35996</v>
      </c>
      <c r="G6639" s="18" t="str">
        <f>"48382"</f>
        <v>48382</v>
      </c>
      <c r="H6639" s="19" t="s">
        <v>31143</v>
      </c>
      <c r="I6639" s="20">
        <v>21.198</v>
      </c>
      <c r="J6639" s="44" t="s">
        <v>8</v>
      </c>
      <c r="K6639" s="23" t="s">
        <v>8</v>
      </c>
      <c r="L6639" s="23" t="s">
        <v>8</v>
      </c>
      <c r="M6639" s="23" t="s">
        <v>8</v>
      </c>
    </row>
    <row r="6640" spans="1:13" s="21" customFormat="1" x14ac:dyDescent="0.25">
      <c r="A6640" s="22" t="s">
        <v>8</v>
      </c>
      <c r="B6640" s="18" t="str">
        <f>"235643"</f>
        <v>235643</v>
      </c>
      <c r="C6640" s="19" t="s">
        <v>6549</v>
      </c>
      <c r="D6640" s="19" t="s">
        <v>22064</v>
      </c>
      <c r="E6640" s="19" t="s">
        <v>33160</v>
      </c>
      <c r="F6640" s="19" t="s">
        <v>35996</v>
      </c>
      <c r="G6640" s="18" t="str">
        <f>"49504"</f>
        <v>49504</v>
      </c>
      <c r="H6640" s="19" t="s">
        <v>31478</v>
      </c>
      <c r="I6640" s="20">
        <v>20.11</v>
      </c>
      <c r="J6640" s="44" t="s">
        <v>8</v>
      </c>
      <c r="K6640" s="23" t="s">
        <v>8</v>
      </c>
      <c r="L6640" s="23" t="s">
        <v>8</v>
      </c>
      <c r="M6640" s="23" t="s">
        <v>8</v>
      </c>
    </row>
    <row r="6641" spans="1:13" s="21" customFormat="1" x14ac:dyDescent="0.25">
      <c r="A6641" s="22" t="s">
        <v>8</v>
      </c>
      <c r="B6641" s="18" t="str">
        <f>"235644"</f>
        <v>235644</v>
      </c>
      <c r="C6641" s="19" t="s">
        <v>6550</v>
      </c>
      <c r="D6641" s="19" t="s">
        <v>22065</v>
      </c>
      <c r="E6641" s="19" t="s">
        <v>33309</v>
      </c>
      <c r="F6641" s="19" t="s">
        <v>35996</v>
      </c>
      <c r="G6641" s="18" t="str">
        <f>"48182"</f>
        <v>48182</v>
      </c>
      <c r="H6641" s="19" t="s">
        <v>31711</v>
      </c>
      <c r="I6641" s="20">
        <v>22.766999999999999</v>
      </c>
      <c r="J6641" s="44" t="s">
        <v>8</v>
      </c>
      <c r="K6641" s="23" t="s">
        <v>8</v>
      </c>
      <c r="L6641" s="23" t="s">
        <v>8</v>
      </c>
      <c r="M6641" s="23" t="s">
        <v>8</v>
      </c>
    </row>
    <row r="6642" spans="1:13" s="21" customFormat="1" x14ac:dyDescent="0.25">
      <c r="A6642" s="22" t="s">
        <v>8</v>
      </c>
      <c r="B6642" s="18" t="str">
        <f>"235646"</f>
        <v>235646</v>
      </c>
      <c r="C6642" s="19" t="s">
        <v>6551</v>
      </c>
      <c r="D6642" s="19" t="s">
        <v>22066</v>
      </c>
      <c r="E6642" s="19" t="s">
        <v>30906</v>
      </c>
      <c r="F6642" s="19" t="s">
        <v>35996</v>
      </c>
      <c r="G6642" s="18" t="str">
        <f>"48451"</f>
        <v>48451</v>
      </c>
      <c r="H6642" s="19" t="s">
        <v>36432</v>
      </c>
      <c r="I6642" s="20">
        <v>17.736999999999998</v>
      </c>
      <c r="J6642" s="44" t="s">
        <v>8</v>
      </c>
      <c r="K6642" s="23" t="s">
        <v>8</v>
      </c>
      <c r="L6642" s="23" t="s">
        <v>8</v>
      </c>
      <c r="M6642" s="23" t="s">
        <v>8</v>
      </c>
    </row>
    <row r="6643" spans="1:13" s="21" customFormat="1" x14ac:dyDescent="0.25">
      <c r="A6643" s="22" t="s">
        <v>8</v>
      </c>
      <c r="B6643" s="18" t="str">
        <f>"235647"</f>
        <v>235647</v>
      </c>
      <c r="C6643" s="19" t="s">
        <v>6552</v>
      </c>
      <c r="D6643" s="19" t="s">
        <v>22067</v>
      </c>
      <c r="E6643" s="19" t="s">
        <v>33153</v>
      </c>
      <c r="F6643" s="19" t="s">
        <v>35996</v>
      </c>
      <c r="G6643" s="18" t="str">
        <f>"48864"</f>
        <v>48864</v>
      </c>
      <c r="H6643" s="19" t="s">
        <v>36420</v>
      </c>
      <c r="I6643" s="20">
        <v>18.138999999999999</v>
      </c>
      <c r="J6643" s="44" t="s">
        <v>8</v>
      </c>
      <c r="K6643" s="23" t="s">
        <v>8</v>
      </c>
      <c r="L6643" s="23" t="s">
        <v>8</v>
      </c>
      <c r="M6643" s="23" t="s">
        <v>8</v>
      </c>
    </row>
    <row r="6644" spans="1:13" s="21" customFormat="1" x14ac:dyDescent="0.25">
      <c r="A6644" s="22" t="s">
        <v>8</v>
      </c>
      <c r="B6644" s="18" t="str">
        <f>"235648"</f>
        <v>235648</v>
      </c>
      <c r="C6644" s="19" t="s">
        <v>6553</v>
      </c>
      <c r="D6644" s="19" t="s">
        <v>22068</v>
      </c>
      <c r="E6644" s="19" t="s">
        <v>31711</v>
      </c>
      <c r="F6644" s="19" t="s">
        <v>35996</v>
      </c>
      <c r="G6644" s="18" t="str">
        <f>"48162"</f>
        <v>48162</v>
      </c>
      <c r="H6644" s="19" t="s">
        <v>31711</v>
      </c>
      <c r="I6644" s="20">
        <v>18.033000000000001</v>
      </c>
      <c r="J6644" s="44" t="s">
        <v>8</v>
      </c>
      <c r="K6644" s="23" t="s">
        <v>8</v>
      </c>
      <c r="L6644" s="23" t="s">
        <v>8</v>
      </c>
      <c r="M6644" s="23" t="s">
        <v>8</v>
      </c>
    </row>
    <row r="6645" spans="1:13" s="21" customFormat="1" x14ac:dyDescent="0.25">
      <c r="A6645" s="22" t="s">
        <v>8</v>
      </c>
      <c r="B6645" s="18" t="str">
        <f>"235650"</f>
        <v>235650</v>
      </c>
      <c r="C6645" s="19" t="s">
        <v>6554</v>
      </c>
      <c r="D6645" s="19" t="s">
        <v>22069</v>
      </c>
      <c r="E6645" s="19" t="s">
        <v>31405</v>
      </c>
      <c r="F6645" s="19" t="s">
        <v>35996</v>
      </c>
      <c r="G6645" s="18" t="str">
        <f>"48381"</f>
        <v>48381</v>
      </c>
      <c r="H6645" s="19" t="s">
        <v>31143</v>
      </c>
      <c r="I6645" s="20">
        <v>18.542999999999999</v>
      </c>
      <c r="J6645" s="44" t="s">
        <v>8</v>
      </c>
      <c r="K6645" s="23" t="s">
        <v>8</v>
      </c>
      <c r="L6645" s="23" t="s">
        <v>8</v>
      </c>
      <c r="M6645" s="23" t="s">
        <v>8</v>
      </c>
    </row>
    <row r="6646" spans="1:13" s="21" customFormat="1" x14ac:dyDescent="0.25">
      <c r="A6646" s="22" t="s">
        <v>8</v>
      </c>
      <c r="B6646" s="18" t="str">
        <f>"235651"</f>
        <v>235651</v>
      </c>
      <c r="C6646" s="19" t="s">
        <v>6555</v>
      </c>
      <c r="D6646" s="19" t="s">
        <v>22070</v>
      </c>
      <c r="E6646" s="19" t="s">
        <v>33191</v>
      </c>
      <c r="F6646" s="19" t="s">
        <v>35996</v>
      </c>
      <c r="G6646" s="18" t="str">
        <f>"49829"</f>
        <v>49829</v>
      </c>
      <c r="H6646" s="19" t="s">
        <v>31363</v>
      </c>
      <c r="I6646" s="20">
        <v>17.257999999999999</v>
      </c>
      <c r="J6646" s="44" t="s">
        <v>8</v>
      </c>
      <c r="K6646" s="23" t="s">
        <v>8</v>
      </c>
      <c r="L6646" s="23" t="s">
        <v>8</v>
      </c>
      <c r="M6646" s="23" t="s">
        <v>8</v>
      </c>
    </row>
    <row r="6647" spans="1:13" s="21" customFormat="1" x14ac:dyDescent="0.25">
      <c r="A6647" s="22" t="s">
        <v>8</v>
      </c>
      <c r="B6647" s="18" t="str">
        <f>"235652"</f>
        <v>235652</v>
      </c>
      <c r="C6647" s="19" t="s">
        <v>6556</v>
      </c>
      <c r="D6647" s="19" t="s">
        <v>22071</v>
      </c>
      <c r="E6647" s="19" t="s">
        <v>33310</v>
      </c>
      <c r="F6647" s="19" t="s">
        <v>35996</v>
      </c>
      <c r="G6647" s="18" t="str">
        <f>"49047"</f>
        <v>49047</v>
      </c>
      <c r="H6647" s="19" t="s">
        <v>36246</v>
      </c>
      <c r="I6647" s="20">
        <v>16.341000000000001</v>
      </c>
      <c r="J6647" s="44" t="s">
        <v>8</v>
      </c>
      <c r="K6647" s="23" t="s">
        <v>8</v>
      </c>
      <c r="L6647" s="23" t="s">
        <v>8</v>
      </c>
      <c r="M6647" s="23" t="s">
        <v>8</v>
      </c>
    </row>
    <row r="6648" spans="1:13" s="21" customFormat="1" x14ac:dyDescent="0.25">
      <c r="A6648" s="22" t="s">
        <v>8</v>
      </c>
      <c r="B6648" s="18" t="str">
        <f>"235653"</f>
        <v>235653</v>
      </c>
      <c r="C6648" s="19" t="s">
        <v>6557</v>
      </c>
      <c r="D6648" s="19" t="s">
        <v>22072</v>
      </c>
      <c r="E6648" s="19" t="s">
        <v>32113</v>
      </c>
      <c r="F6648" s="19" t="s">
        <v>35996</v>
      </c>
      <c r="G6648" s="18" t="str">
        <f>"48910"</f>
        <v>48910</v>
      </c>
      <c r="H6648" s="19" t="s">
        <v>36420</v>
      </c>
      <c r="I6648" s="20">
        <v>15.298999999999999</v>
      </c>
      <c r="J6648" s="44" t="s">
        <v>8</v>
      </c>
      <c r="K6648" s="23" t="s">
        <v>8</v>
      </c>
      <c r="L6648" s="23" t="s">
        <v>8</v>
      </c>
      <c r="M6648" s="23" t="s">
        <v>8</v>
      </c>
    </row>
    <row r="6649" spans="1:13" s="21" customFormat="1" x14ac:dyDescent="0.25">
      <c r="A6649" s="22" t="s">
        <v>8</v>
      </c>
      <c r="B6649" s="18" t="str">
        <f>"235654"</f>
        <v>235654</v>
      </c>
      <c r="C6649" s="19" t="s">
        <v>6558</v>
      </c>
      <c r="D6649" s="19" t="s">
        <v>22073</v>
      </c>
      <c r="E6649" s="19" t="s">
        <v>33169</v>
      </c>
      <c r="F6649" s="19" t="s">
        <v>35996</v>
      </c>
      <c r="G6649" s="18" t="str">
        <f>"48446"</f>
        <v>48446</v>
      </c>
      <c r="H6649" s="19" t="s">
        <v>33169</v>
      </c>
      <c r="I6649" s="20">
        <v>17.364000000000001</v>
      </c>
      <c r="J6649" s="44" t="s">
        <v>8</v>
      </c>
      <c r="K6649" s="23" t="s">
        <v>8</v>
      </c>
      <c r="L6649" s="23" t="s">
        <v>8</v>
      </c>
      <c r="M6649" s="23" t="s">
        <v>8</v>
      </c>
    </row>
    <row r="6650" spans="1:13" s="21" customFormat="1" x14ac:dyDescent="0.25">
      <c r="A6650" s="22" t="s">
        <v>8</v>
      </c>
      <c r="B6650" s="18" t="str">
        <f>"235655"</f>
        <v>235655</v>
      </c>
      <c r="C6650" s="19" t="s">
        <v>6559</v>
      </c>
      <c r="D6650" s="19" t="s">
        <v>22074</v>
      </c>
      <c r="E6650" s="19" t="s">
        <v>33168</v>
      </c>
      <c r="F6650" s="19" t="s">
        <v>35996</v>
      </c>
      <c r="G6650" s="18" t="str">
        <f>"48150"</f>
        <v>48150</v>
      </c>
      <c r="H6650" s="19" t="s">
        <v>33280</v>
      </c>
      <c r="I6650" s="20">
        <v>23.661000000000001</v>
      </c>
      <c r="J6650" s="44" t="s">
        <v>8</v>
      </c>
      <c r="K6650" s="23" t="s">
        <v>8</v>
      </c>
      <c r="L6650" s="23" t="s">
        <v>8</v>
      </c>
      <c r="M6650" s="23" t="s">
        <v>8</v>
      </c>
    </row>
    <row r="6651" spans="1:13" s="21" customFormat="1" x14ac:dyDescent="0.25">
      <c r="A6651" s="22" t="s">
        <v>8</v>
      </c>
      <c r="B6651" s="18" t="str">
        <f>"235656"</f>
        <v>235656</v>
      </c>
      <c r="C6651" s="19" t="s">
        <v>342</v>
      </c>
      <c r="D6651" s="19" t="s">
        <v>22075</v>
      </c>
      <c r="E6651" s="19" t="s">
        <v>33147</v>
      </c>
      <c r="F6651" s="19" t="s">
        <v>35996</v>
      </c>
      <c r="G6651" s="18" t="str">
        <f>"49442"</f>
        <v>49442</v>
      </c>
      <c r="H6651" s="19" t="s">
        <v>33147</v>
      </c>
      <c r="I6651" s="20">
        <v>17.457999999999998</v>
      </c>
      <c r="J6651" s="44" t="s">
        <v>8</v>
      </c>
      <c r="K6651" s="23" t="s">
        <v>8</v>
      </c>
      <c r="L6651" s="23" t="s">
        <v>8</v>
      </c>
      <c r="M6651" s="23" t="s">
        <v>8</v>
      </c>
    </row>
    <row r="6652" spans="1:13" s="21" customFormat="1" x14ac:dyDescent="0.25">
      <c r="A6652" s="22" t="s">
        <v>8</v>
      </c>
      <c r="B6652" s="18" t="str">
        <f>"235657"</f>
        <v>235657</v>
      </c>
      <c r="C6652" s="19" t="s">
        <v>6560</v>
      </c>
      <c r="D6652" s="19" t="s">
        <v>22076</v>
      </c>
      <c r="E6652" s="19" t="s">
        <v>31791</v>
      </c>
      <c r="F6652" s="19" t="s">
        <v>35996</v>
      </c>
      <c r="G6652" s="18" t="str">
        <f>"48188"</f>
        <v>48188</v>
      </c>
      <c r="H6652" s="19" t="s">
        <v>33280</v>
      </c>
      <c r="I6652" s="20">
        <v>21.623000000000001</v>
      </c>
      <c r="J6652" s="44" t="s">
        <v>8</v>
      </c>
      <c r="K6652" s="23" t="s">
        <v>8</v>
      </c>
      <c r="L6652" s="23" t="s">
        <v>8</v>
      </c>
      <c r="M6652" s="23" t="s">
        <v>8</v>
      </c>
    </row>
    <row r="6653" spans="1:13" s="21" customFormat="1" x14ac:dyDescent="0.25">
      <c r="A6653" s="22" t="s">
        <v>8</v>
      </c>
      <c r="B6653" s="18" t="str">
        <f>"235658"</f>
        <v>235658</v>
      </c>
      <c r="C6653" s="19" t="s">
        <v>6561</v>
      </c>
      <c r="D6653" s="19" t="s">
        <v>22077</v>
      </c>
      <c r="E6653" s="19" t="s">
        <v>33203</v>
      </c>
      <c r="F6653" s="19" t="s">
        <v>35996</v>
      </c>
      <c r="G6653" s="18" t="str">
        <f>"48103"</f>
        <v>48103</v>
      </c>
      <c r="H6653" s="19" t="s">
        <v>36422</v>
      </c>
      <c r="I6653" s="20">
        <v>19.212</v>
      </c>
      <c r="J6653" s="44" t="s">
        <v>8</v>
      </c>
      <c r="K6653" s="23" t="s">
        <v>8</v>
      </c>
      <c r="L6653" s="23" t="s">
        <v>8</v>
      </c>
      <c r="M6653" s="23" t="s">
        <v>8</v>
      </c>
    </row>
    <row r="6654" spans="1:13" s="21" customFormat="1" x14ac:dyDescent="0.25">
      <c r="A6654" s="22" t="s">
        <v>8</v>
      </c>
      <c r="B6654" s="18" t="str">
        <f>"235659"</f>
        <v>235659</v>
      </c>
      <c r="C6654" s="19" t="s">
        <v>6562</v>
      </c>
      <c r="D6654" s="19" t="s">
        <v>22078</v>
      </c>
      <c r="E6654" s="19" t="s">
        <v>33180</v>
      </c>
      <c r="F6654" s="19" t="s">
        <v>35996</v>
      </c>
      <c r="G6654" s="18" t="str">
        <f>"48214"</f>
        <v>48214</v>
      </c>
      <c r="H6654" s="19" t="s">
        <v>33280</v>
      </c>
      <c r="I6654" s="20">
        <v>23.064</v>
      </c>
      <c r="J6654" s="44" t="s">
        <v>8</v>
      </c>
      <c r="K6654" s="23" t="s">
        <v>8</v>
      </c>
      <c r="L6654" s="23" t="s">
        <v>8</v>
      </c>
      <c r="M6654" s="23" t="s">
        <v>8</v>
      </c>
    </row>
    <row r="6655" spans="1:13" s="21" customFormat="1" x14ac:dyDescent="0.25">
      <c r="A6655" s="22" t="s">
        <v>8</v>
      </c>
      <c r="B6655" s="18" t="str">
        <f>"235660"</f>
        <v>235660</v>
      </c>
      <c r="C6655" s="19" t="s">
        <v>6563</v>
      </c>
      <c r="D6655" s="19" t="s">
        <v>22079</v>
      </c>
      <c r="E6655" s="19" t="s">
        <v>33311</v>
      </c>
      <c r="F6655" s="19" t="s">
        <v>35996</v>
      </c>
      <c r="G6655" s="18" t="str">
        <f>"48439"</f>
        <v>48439</v>
      </c>
      <c r="H6655" s="19" t="s">
        <v>36432</v>
      </c>
      <c r="I6655" s="20">
        <v>19.425000000000001</v>
      </c>
      <c r="J6655" s="44" t="s">
        <v>8</v>
      </c>
      <c r="K6655" s="23" t="s">
        <v>8</v>
      </c>
      <c r="L6655" s="23" t="s">
        <v>8</v>
      </c>
      <c r="M6655" s="23" t="s">
        <v>8</v>
      </c>
    </row>
    <row r="6656" spans="1:13" s="21" customFormat="1" x14ac:dyDescent="0.25">
      <c r="A6656" s="22" t="s">
        <v>8</v>
      </c>
      <c r="B6656" s="18" t="str">
        <f>"235661"</f>
        <v>235661</v>
      </c>
      <c r="C6656" s="19" t="s">
        <v>6564</v>
      </c>
      <c r="D6656" s="19" t="s">
        <v>22080</v>
      </c>
      <c r="E6656" s="19" t="s">
        <v>33169</v>
      </c>
      <c r="F6656" s="19" t="s">
        <v>35996</v>
      </c>
      <c r="G6656" s="18" t="str">
        <f>"48446"</f>
        <v>48446</v>
      </c>
      <c r="H6656" s="19" t="s">
        <v>33169</v>
      </c>
      <c r="I6656" s="20">
        <v>22.114999999999998</v>
      </c>
      <c r="J6656" s="44" t="s">
        <v>8</v>
      </c>
      <c r="K6656" s="23" t="s">
        <v>8</v>
      </c>
      <c r="L6656" s="23" t="s">
        <v>8</v>
      </c>
      <c r="M6656" s="23" t="s">
        <v>8</v>
      </c>
    </row>
    <row r="6657" spans="1:13" s="21" customFormat="1" x14ac:dyDescent="0.25">
      <c r="A6657" s="22" t="s">
        <v>8</v>
      </c>
      <c r="B6657" s="18" t="str">
        <f>"235662"</f>
        <v>235662</v>
      </c>
      <c r="C6657" s="19" t="s">
        <v>6565</v>
      </c>
      <c r="D6657" s="19" t="s">
        <v>22081</v>
      </c>
      <c r="E6657" s="19" t="s">
        <v>33275</v>
      </c>
      <c r="F6657" s="19" t="s">
        <v>35996</v>
      </c>
      <c r="G6657" s="18" t="str">
        <f>"48315"</f>
        <v>48315</v>
      </c>
      <c r="H6657" s="19" t="s">
        <v>31911</v>
      </c>
      <c r="I6657" s="20">
        <v>21.986000000000001</v>
      </c>
      <c r="J6657" s="44" t="s">
        <v>8</v>
      </c>
      <c r="K6657" s="23" t="s">
        <v>8</v>
      </c>
      <c r="L6657" s="23" t="s">
        <v>8</v>
      </c>
      <c r="M6657" s="23" t="s">
        <v>8</v>
      </c>
    </row>
    <row r="6658" spans="1:13" s="21" customFormat="1" x14ac:dyDescent="0.25">
      <c r="A6658" s="22" t="s">
        <v>8</v>
      </c>
      <c r="B6658" s="18" t="str">
        <f>"235663"</f>
        <v>235663</v>
      </c>
      <c r="C6658" s="19" t="s">
        <v>6566</v>
      </c>
      <c r="D6658" s="19" t="s">
        <v>22082</v>
      </c>
      <c r="E6658" s="19" t="s">
        <v>33217</v>
      </c>
      <c r="F6658" s="19" t="s">
        <v>35996</v>
      </c>
      <c r="G6658" s="18" t="str">
        <f>"48322"</f>
        <v>48322</v>
      </c>
      <c r="H6658" s="19" t="s">
        <v>31143</v>
      </c>
      <c r="I6658" s="20">
        <v>18.413</v>
      </c>
      <c r="J6658" s="44" t="s">
        <v>8</v>
      </c>
      <c r="K6658" s="23" t="s">
        <v>8</v>
      </c>
      <c r="L6658" s="23" t="s">
        <v>8</v>
      </c>
      <c r="M6658" s="23" t="s">
        <v>8</v>
      </c>
    </row>
    <row r="6659" spans="1:13" s="21" customFormat="1" x14ac:dyDescent="0.25">
      <c r="A6659" s="22" t="s">
        <v>8</v>
      </c>
      <c r="B6659" s="18" t="str">
        <f>"235664"</f>
        <v>235664</v>
      </c>
      <c r="C6659" s="19" t="s">
        <v>6567</v>
      </c>
      <c r="D6659" s="19" t="s">
        <v>22083</v>
      </c>
      <c r="E6659" s="19" t="s">
        <v>33312</v>
      </c>
      <c r="F6659" s="19" t="s">
        <v>35996</v>
      </c>
      <c r="G6659" s="18" t="str">
        <f>"48025"</f>
        <v>48025</v>
      </c>
      <c r="H6659" s="19" t="s">
        <v>31143</v>
      </c>
      <c r="I6659" s="20">
        <v>17.346</v>
      </c>
      <c r="J6659" s="44" t="s">
        <v>8</v>
      </c>
      <c r="K6659" s="23" t="s">
        <v>8</v>
      </c>
      <c r="L6659" s="23" t="s">
        <v>8</v>
      </c>
      <c r="M6659" s="23" t="s">
        <v>8</v>
      </c>
    </row>
    <row r="6660" spans="1:13" s="21" customFormat="1" x14ac:dyDescent="0.25">
      <c r="A6660" s="22" t="s">
        <v>8</v>
      </c>
      <c r="B6660" s="18" t="str">
        <f>"235665"</f>
        <v>235665</v>
      </c>
      <c r="C6660" s="19" t="s">
        <v>6568</v>
      </c>
      <c r="D6660" s="19" t="s">
        <v>22084</v>
      </c>
      <c r="E6660" s="19" t="s">
        <v>33210</v>
      </c>
      <c r="F6660" s="19" t="s">
        <v>35996</v>
      </c>
      <c r="G6660" s="18" t="str">
        <f>"48312"</f>
        <v>48312</v>
      </c>
      <c r="H6660" s="19" t="s">
        <v>31911</v>
      </c>
      <c r="I6660" s="20">
        <v>22.641999999999999</v>
      </c>
      <c r="J6660" s="44" t="s">
        <v>8</v>
      </c>
      <c r="K6660" s="23" t="s">
        <v>8</v>
      </c>
      <c r="L6660" s="23" t="s">
        <v>8</v>
      </c>
      <c r="M6660" s="23" t="s">
        <v>8</v>
      </c>
    </row>
    <row r="6661" spans="1:13" s="21" customFormat="1" x14ac:dyDescent="0.25">
      <c r="A6661" s="22" t="s">
        <v>8</v>
      </c>
      <c r="B6661" s="18" t="str">
        <f>"235666"</f>
        <v>235666</v>
      </c>
      <c r="C6661" s="19" t="s">
        <v>6569</v>
      </c>
      <c r="D6661" s="19" t="s">
        <v>22085</v>
      </c>
      <c r="E6661" s="19" t="s">
        <v>33189</v>
      </c>
      <c r="F6661" s="19" t="s">
        <v>35996</v>
      </c>
      <c r="G6661" s="18" t="str">
        <f>"48439"</f>
        <v>48439</v>
      </c>
      <c r="H6661" s="19" t="s">
        <v>36432</v>
      </c>
      <c r="I6661" s="20">
        <v>14.526999999999999</v>
      </c>
      <c r="J6661" s="44" t="s">
        <v>8</v>
      </c>
      <c r="K6661" s="23" t="s">
        <v>8</v>
      </c>
      <c r="L6661" s="23" t="s">
        <v>8</v>
      </c>
      <c r="M6661" s="23" t="s">
        <v>8</v>
      </c>
    </row>
    <row r="6662" spans="1:13" s="21" customFormat="1" x14ac:dyDescent="0.25">
      <c r="A6662" s="22" t="s">
        <v>8</v>
      </c>
      <c r="B6662" s="18" t="str">
        <f>"235667"</f>
        <v>235667</v>
      </c>
      <c r="C6662" s="19" t="s">
        <v>6570</v>
      </c>
      <c r="D6662" s="19" t="s">
        <v>22086</v>
      </c>
      <c r="E6662" s="19" t="s">
        <v>33160</v>
      </c>
      <c r="F6662" s="19" t="s">
        <v>35996</v>
      </c>
      <c r="G6662" s="18" t="str">
        <f>"49503"</f>
        <v>49503</v>
      </c>
      <c r="H6662" s="19" t="s">
        <v>31478</v>
      </c>
      <c r="I6662" s="20">
        <v>17.983000000000001</v>
      </c>
      <c r="J6662" s="44" t="s">
        <v>8</v>
      </c>
      <c r="K6662" s="23" t="s">
        <v>8</v>
      </c>
      <c r="L6662" s="23" t="s">
        <v>8</v>
      </c>
      <c r="M6662" s="23" t="s">
        <v>8</v>
      </c>
    </row>
    <row r="6663" spans="1:13" s="21" customFormat="1" x14ac:dyDescent="0.25">
      <c r="A6663" s="22" t="s">
        <v>8</v>
      </c>
      <c r="B6663" s="18" t="str">
        <f>"235668"</f>
        <v>235668</v>
      </c>
      <c r="C6663" s="19" t="s">
        <v>6571</v>
      </c>
      <c r="D6663" s="19" t="s">
        <v>22087</v>
      </c>
      <c r="E6663" s="19" t="s">
        <v>33230</v>
      </c>
      <c r="F6663" s="19" t="s">
        <v>35996</v>
      </c>
      <c r="G6663" s="18" t="str">
        <f>"48843"</f>
        <v>48843</v>
      </c>
      <c r="H6663" s="19" t="s">
        <v>33740</v>
      </c>
      <c r="I6663" s="20">
        <v>17.917000000000002</v>
      </c>
      <c r="J6663" s="44" t="s">
        <v>8</v>
      </c>
      <c r="K6663" s="23" t="s">
        <v>8</v>
      </c>
      <c r="L6663" s="23" t="s">
        <v>8</v>
      </c>
      <c r="M6663" s="23" t="s">
        <v>8</v>
      </c>
    </row>
    <row r="6664" spans="1:13" s="21" customFormat="1" x14ac:dyDescent="0.25">
      <c r="A6664" s="22" t="s">
        <v>8</v>
      </c>
      <c r="B6664" s="18" t="str">
        <f>"235669"</f>
        <v>235669</v>
      </c>
      <c r="C6664" s="19" t="s">
        <v>6572</v>
      </c>
      <c r="D6664" s="19" t="s">
        <v>22088</v>
      </c>
      <c r="E6664" s="19" t="s">
        <v>33284</v>
      </c>
      <c r="F6664" s="19" t="s">
        <v>35996</v>
      </c>
      <c r="G6664" s="18" t="str">
        <f>"48377"</f>
        <v>48377</v>
      </c>
      <c r="H6664" s="19" t="s">
        <v>31143</v>
      </c>
      <c r="I6664" s="20">
        <v>19.219000000000001</v>
      </c>
      <c r="J6664" s="44" t="s">
        <v>8</v>
      </c>
      <c r="K6664" s="23" t="s">
        <v>8</v>
      </c>
      <c r="L6664" s="23" t="s">
        <v>8</v>
      </c>
      <c r="M6664" s="23" t="s">
        <v>8</v>
      </c>
    </row>
    <row r="6665" spans="1:13" s="21" customFormat="1" x14ac:dyDescent="0.25">
      <c r="A6665" s="22" t="s">
        <v>8</v>
      </c>
      <c r="B6665" s="18" t="str">
        <f>"235700"</f>
        <v>235700</v>
      </c>
      <c r="C6665" s="19" t="s">
        <v>6573</v>
      </c>
      <c r="D6665" s="19" t="s">
        <v>22089</v>
      </c>
      <c r="E6665" s="19" t="s">
        <v>33205</v>
      </c>
      <c r="F6665" s="19" t="s">
        <v>35996</v>
      </c>
      <c r="G6665" s="18" t="str">
        <f>"48823"</f>
        <v>48823</v>
      </c>
      <c r="H6665" s="19" t="s">
        <v>36420</v>
      </c>
      <c r="I6665" s="20">
        <v>18.353000000000002</v>
      </c>
      <c r="J6665" s="44" t="s">
        <v>8</v>
      </c>
      <c r="K6665" s="23" t="s">
        <v>8</v>
      </c>
      <c r="L6665" s="23" t="s">
        <v>8</v>
      </c>
      <c r="M6665" s="23" t="s">
        <v>8</v>
      </c>
    </row>
    <row r="6666" spans="1:13" s="21" customFormat="1" x14ac:dyDescent="0.25">
      <c r="A6666" s="22" t="s">
        <v>8</v>
      </c>
      <c r="B6666" s="18" t="str">
        <f>"235701"</f>
        <v>235701</v>
      </c>
      <c r="C6666" s="19" t="s">
        <v>6574</v>
      </c>
      <c r="D6666" s="19" t="s">
        <v>22090</v>
      </c>
      <c r="E6666" s="19" t="s">
        <v>33153</v>
      </c>
      <c r="F6666" s="19" t="s">
        <v>35996</v>
      </c>
      <c r="G6666" s="18" t="str">
        <f>"48864"</f>
        <v>48864</v>
      </c>
      <c r="H6666" s="19" t="s">
        <v>36420</v>
      </c>
      <c r="I6666" s="20">
        <v>18.294</v>
      </c>
      <c r="J6666" s="44" t="s">
        <v>8</v>
      </c>
      <c r="K6666" s="23" t="s">
        <v>8</v>
      </c>
      <c r="L6666" s="23" t="s">
        <v>8</v>
      </c>
      <c r="M6666" s="23" t="s">
        <v>8</v>
      </c>
    </row>
    <row r="6667" spans="1:13" s="21" customFormat="1" x14ac:dyDescent="0.25">
      <c r="A6667" s="22" t="s">
        <v>8</v>
      </c>
      <c r="B6667" s="18" t="str">
        <f>"235702"</f>
        <v>235702</v>
      </c>
      <c r="C6667" s="19" t="s">
        <v>6575</v>
      </c>
      <c r="D6667" s="19" t="s">
        <v>22091</v>
      </c>
      <c r="E6667" s="19" t="s">
        <v>33284</v>
      </c>
      <c r="F6667" s="19" t="s">
        <v>35996</v>
      </c>
      <c r="G6667" s="18" t="str">
        <f>"48374"</f>
        <v>48374</v>
      </c>
      <c r="H6667" s="19" t="s">
        <v>31143</v>
      </c>
      <c r="I6667" s="20">
        <v>15.11</v>
      </c>
      <c r="J6667" s="44" t="s">
        <v>8</v>
      </c>
      <c r="K6667" s="23" t="s">
        <v>8</v>
      </c>
      <c r="L6667" s="23" t="s">
        <v>8</v>
      </c>
      <c r="M6667" s="23" t="s">
        <v>8</v>
      </c>
    </row>
    <row r="6668" spans="1:13" s="21" customFormat="1" x14ac:dyDescent="0.25">
      <c r="A6668" s="22" t="s">
        <v>8</v>
      </c>
      <c r="B6668" s="18" t="str">
        <f>"235703"</f>
        <v>235703</v>
      </c>
      <c r="C6668" s="19" t="s">
        <v>6576</v>
      </c>
      <c r="D6668" s="19" t="s">
        <v>22092</v>
      </c>
      <c r="E6668" s="19" t="s">
        <v>31913</v>
      </c>
      <c r="F6668" s="19" t="s">
        <v>35996</v>
      </c>
      <c r="G6668" s="18" t="str">
        <f>"48342"</f>
        <v>48342</v>
      </c>
      <c r="H6668" s="19" t="s">
        <v>31143</v>
      </c>
      <c r="I6668" s="20">
        <v>19.393000000000001</v>
      </c>
      <c r="J6668" s="44" t="s">
        <v>8</v>
      </c>
      <c r="K6668" s="23" t="s">
        <v>8</v>
      </c>
      <c r="L6668" s="23" t="s">
        <v>8</v>
      </c>
      <c r="M6668" s="23" t="s">
        <v>8</v>
      </c>
    </row>
    <row r="6669" spans="1:13" s="21" customFormat="1" x14ac:dyDescent="0.25">
      <c r="A6669" s="22" t="s">
        <v>8</v>
      </c>
      <c r="B6669" s="18" t="str">
        <f>"235704"</f>
        <v>235704</v>
      </c>
      <c r="C6669" s="19" t="s">
        <v>6577</v>
      </c>
      <c r="D6669" s="19" t="s">
        <v>22093</v>
      </c>
      <c r="E6669" s="19" t="s">
        <v>33313</v>
      </c>
      <c r="F6669" s="19" t="s">
        <v>35996</v>
      </c>
      <c r="G6669" s="18" t="str">
        <f>"48065"</f>
        <v>48065</v>
      </c>
      <c r="H6669" s="19" t="s">
        <v>31911</v>
      </c>
      <c r="I6669" s="20">
        <v>16.234999999999999</v>
      </c>
      <c r="J6669" s="44" t="s">
        <v>8</v>
      </c>
      <c r="K6669" s="23" t="s">
        <v>8</v>
      </c>
      <c r="L6669" s="23" t="s">
        <v>8</v>
      </c>
      <c r="M6669" s="23" t="s">
        <v>8</v>
      </c>
    </row>
    <row r="6670" spans="1:13" s="21" customFormat="1" x14ac:dyDescent="0.25">
      <c r="A6670" s="22" t="s">
        <v>8</v>
      </c>
      <c r="B6670" s="18" t="str">
        <f>"235706"</f>
        <v>235706</v>
      </c>
      <c r="C6670" s="19" t="s">
        <v>6578</v>
      </c>
      <c r="D6670" s="19" t="s">
        <v>22094</v>
      </c>
      <c r="E6670" s="19" t="s">
        <v>32113</v>
      </c>
      <c r="F6670" s="19" t="s">
        <v>35996</v>
      </c>
      <c r="G6670" s="18" t="str">
        <f>"48917"</f>
        <v>48917</v>
      </c>
      <c r="H6670" s="19" t="s">
        <v>34485</v>
      </c>
      <c r="I6670" s="20">
        <v>17.417999999999999</v>
      </c>
      <c r="J6670" s="44" t="s">
        <v>8</v>
      </c>
      <c r="K6670" s="23" t="s">
        <v>8</v>
      </c>
      <c r="L6670" s="23" t="s">
        <v>8</v>
      </c>
      <c r="M6670" s="23" t="s">
        <v>8</v>
      </c>
    </row>
    <row r="6671" spans="1:13" s="21" customFormat="1" x14ac:dyDescent="0.25">
      <c r="A6671" s="22" t="s">
        <v>8</v>
      </c>
      <c r="B6671" s="18" t="str">
        <f>"235707"</f>
        <v>235707</v>
      </c>
      <c r="C6671" s="19" t="s">
        <v>6579</v>
      </c>
      <c r="D6671" s="19" t="s">
        <v>22095</v>
      </c>
      <c r="E6671" s="19" t="s">
        <v>33230</v>
      </c>
      <c r="F6671" s="19" t="s">
        <v>35996</v>
      </c>
      <c r="G6671" s="18" t="str">
        <f>"48855"</f>
        <v>48855</v>
      </c>
      <c r="H6671" s="19" t="s">
        <v>33740</v>
      </c>
      <c r="I6671" s="20">
        <v>18.193999999999999</v>
      </c>
      <c r="J6671" s="44" t="s">
        <v>8</v>
      </c>
      <c r="K6671" s="23" t="s">
        <v>8</v>
      </c>
      <c r="L6671" s="23" t="s">
        <v>8</v>
      </c>
      <c r="M6671" s="23" t="s">
        <v>8</v>
      </c>
    </row>
    <row r="6672" spans="1:13" s="21" customFormat="1" x14ac:dyDescent="0.25">
      <c r="A6672" s="22" t="s">
        <v>8</v>
      </c>
      <c r="B6672" s="18" t="str">
        <f>"235709"</f>
        <v>235709</v>
      </c>
      <c r="C6672" s="19" t="s">
        <v>6580</v>
      </c>
      <c r="D6672" s="19" t="s">
        <v>22096</v>
      </c>
      <c r="E6672" s="19" t="s">
        <v>33181</v>
      </c>
      <c r="F6672" s="19" t="s">
        <v>35996</v>
      </c>
      <c r="G6672" s="18" t="str">
        <f>"48236"</f>
        <v>48236</v>
      </c>
      <c r="H6672" s="19" t="s">
        <v>33280</v>
      </c>
      <c r="I6672" s="20">
        <v>19.513000000000002</v>
      </c>
      <c r="J6672" s="44" t="s">
        <v>8</v>
      </c>
      <c r="K6672" s="23" t="s">
        <v>8</v>
      </c>
      <c r="L6672" s="23" t="s">
        <v>8</v>
      </c>
      <c r="M6672" s="23" t="s">
        <v>8</v>
      </c>
    </row>
    <row r="6673" spans="1:13" s="21" customFormat="1" x14ac:dyDescent="0.25">
      <c r="A6673" s="22" t="s">
        <v>8</v>
      </c>
      <c r="B6673" s="18" t="str">
        <f>"235713"</f>
        <v>235713</v>
      </c>
      <c r="C6673" s="19" t="s">
        <v>6581</v>
      </c>
      <c r="D6673" s="19" t="s">
        <v>22097</v>
      </c>
      <c r="E6673" s="19" t="s">
        <v>33189</v>
      </c>
      <c r="F6673" s="19" t="s">
        <v>35996</v>
      </c>
      <c r="G6673" s="18" t="str">
        <f>"48439"</f>
        <v>48439</v>
      </c>
      <c r="H6673" s="19" t="s">
        <v>36432</v>
      </c>
      <c r="I6673" s="20">
        <v>18.864999999999998</v>
      </c>
      <c r="J6673" s="44" t="s">
        <v>8</v>
      </c>
      <c r="K6673" s="23" t="s">
        <v>8</v>
      </c>
      <c r="L6673" s="23" t="s">
        <v>8</v>
      </c>
      <c r="M6673" s="23" t="s">
        <v>8</v>
      </c>
    </row>
    <row r="6674" spans="1:13" s="21" customFormat="1" x14ac:dyDescent="0.25">
      <c r="A6674" s="22" t="s">
        <v>8</v>
      </c>
      <c r="B6674" s="18" t="str">
        <f>"235714"</f>
        <v>235714</v>
      </c>
      <c r="C6674" s="19" t="s">
        <v>6582</v>
      </c>
      <c r="D6674" s="19" t="s">
        <v>22098</v>
      </c>
      <c r="E6674" s="19" t="s">
        <v>31025</v>
      </c>
      <c r="F6674" s="19" t="s">
        <v>35996</v>
      </c>
      <c r="G6674" s="18" t="str">
        <f>"48093"</f>
        <v>48093</v>
      </c>
      <c r="H6674" s="19" t="s">
        <v>31911</v>
      </c>
      <c r="I6674" s="20">
        <v>18.638999999999999</v>
      </c>
      <c r="J6674" s="44" t="s">
        <v>8</v>
      </c>
      <c r="K6674" s="23" t="s">
        <v>8</v>
      </c>
      <c r="L6674" s="23" t="s">
        <v>8</v>
      </c>
      <c r="M6674" s="23" t="s">
        <v>8</v>
      </c>
    </row>
    <row r="6675" spans="1:13" s="21" customFormat="1" x14ac:dyDescent="0.25">
      <c r="A6675" s="22" t="s">
        <v>8</v>
      </c>
      <c r="B6675" s="18" t="s">
        <v>15254</v>
      </c>
      <c r="C6675" s="19" t="s">
        <v>6583</v>
      </c>
      <c r="D6675" s="19" t="s">
        <v>22099</v>
      </c>
      <c r="E6675" s="19" t="s">
        <v>33314</v>
      </c>
      <c r="F6675" s="19" t="s">
        <v>35997</v>
      </c>
      <c r="G6675" s="18" t="str">
        <f>"56187"</f>
        <v>56187</v>
      </c>
      <c r="H6675" s="19" t="s">
        <v>36447</v>
      </c>
      <c r="I6675" s="20">
        <v>18.922000000000001</v>
      </c>
      <c r="J6675" s="44" t="s">
        <v>8</v>
      </c>
      <c r="K6675" s="23" t="s">
        <v>8</v>
      </c>
      <c r="L6675" s="23" t="s">
        <v>8</v>
      </c>
      <c r="M6675" s="23" t="s">
        <v>8</v>
      </c>
    </row>
    <row r="6676" spans="1:13" s="21" customFormat="1" x14ac:dyDescent="0.25">
      <c r="A6676" s="22" t="s">
        <v>8</v>
      </c>
      <c r="B6676" s="18" t="s">
        <v>15255</v>
      </c>
      <c r="C6676" s="19" t="s">
        <v>6584</v>
      </c>
      <c r="D6676" s="19" t="s">
        <v>22100</v>
      </c>
      <c r="E6676" s="19" t="s">
        <v>33315</v>
      </c>
      <c r="F6676" s="19" t="s">
        <v>35997</v>
      </c>
      <c r="G6676" s="18" t="str">
        <f>"56031"</f>
        <v>56031</v>
      </c>
      <c r="H6676" s="19" t="s">
        <v>35168</v>
      </c>
      <c r="I6676" s="20">
        <v>18.702999999999999</v>
      </c>
      <c r="J6676" s="44" t="s">
        <v>8</v>
      </c>
      <c r="K6676" s="23" t="s">
        <v>8</v>
      </c>
      <c r="L6676" s="23" t="s">
        <v>8</v>
      </c>
      <c r="M6676" s="23" t="s">
        <v>8</v>
      </c>
    </row>
    <row r="6677" spans="1:13" s="21" customFormat="1" x14ac:dyDescent="0.25">
      <c r="A6677" s="22" t="s">
        <v>8</v>
      </c>
      <c r="B6677" s="18" t="str">
        <f>"245012"</f>
        <v>245012</v>
      </c>
      <c r="C6677" s="19" t="s">
        <v>6585</v>
      </c>
      <c r="D6677" s="19" t="s">
        <v>22101</v>
      </c>
      <c r="E6677" s="19" t="s">
        <v>33316</v>
      </c>
      <c r="F6677" s="19" t="s">
        <v>35997</v>
      </c>
      <c r="G6677" s="18" t="str">
        <f>"55330"</f>
        <v>55330</v>
      </c>
      <c r="H6677" s="19" t="s">
        <v>36448</v>
      </c>
      <c r="I6677" s="20">
        <v>15.58</v>
      </c>
      <c r="J6677" s="44" t="s">
        <v>8</v>
      </c>
      <c r="K6677" s="23" t="s">
        <v>8</v>
      </c>
      <c r="L6677" s="23" t="s">
        <v>8</v>
      </c>
      <c r="M6677" s="23" t="s">
        <v>8</v>
      </c>
    </row>
    <row r="6678" spans="1:13" s="21" customFormat="1" x14ac:dyDescent="0.25">
      <c r="A6678" s="22" t="s">
        <v>8</v>
      </c>
      <c r="B6678" s="18" t="str">
        <f>"245018"</f>
        <v>245018</v>
      </c>
      <c r="C6678" s="19" t="s">
        <v>6586</v>
      </c>
      <c r="D6678" s="19" t="s">
        <v>22102</v>
      </c>
      <c r="E6678" s="19" t="s">
        <v>33317</v>
      </c>
      <c r="F6678" s="19" t="s">
        <v>35997</v>
      </c>
      <c r="G6678" s="18" t="str">
        <f>"55421"</f>
        <v>55421</v>
      </c>
      <c r="H6678" s="19" t="s">
        <v>33336</v>
      </c>
      <c r="I6678" s="20">
        <v>19.658000000000001</v>
      </c>
      <c r="J6678" s="44" t="s">
        <v>8</v>
      </c>
      <c r="K6678" s="23" t="s">
        <v>8</v>
      </c>
      <c r="L6678" s="23" t="s">
        <v>8</v>
      </c>
      <c r="M6678" s="23" t="s">
        <v>8</v>
      </c>
    </row>
    <row r="6679" spans="1:13" s="21" customFormat="1" x14ac:dyDescent="0.25">
      <c r="A6679" s="22" t="s">
        <v>8</v>
      </c>
      <c r="B6679" s="18" t="str">
        <f>"245024"</f>
        <v>245024</v>
      </c>
      <c r="C6679" s="19" t="s">
        <v>6587</v>
      </c>
      <c r="D6679" s="19" t="s">
        <v>19906</v>
      </c>
      <c r="E6679" s="19" t="s">
        <v>33318</v>
      </c>
      <c r="F6679" s="19" t="s">
        <v>35997</v>
      </c>
      <c r="G6679" s="18" t="str">
        <f>"55718"</f>
        <v>55718</v>
      </c>
      <c r="H6679" s="19" t="s">
        <v>33318</v>
      </c>
      <c r="I6679" s="20">
        <v>19.109000000000002</v>
      </c>
      <c r="J6679" s="44" t="s">
        <v>8</v>
      </c>
      <c r="K6679" s="23" t="s">
        <v>8</v>
      </c>
      <c r="L6679" s="23" t="s">
        <v>8</v>
      </c>
      <c r="M6679" s="23" t="s">
        <v>8</v>
      </c>
    </row>
    <row r="6680" spans="1:13" s="21" customFormat="1" x14ac:dyDescent="0.25">
      <c r="A6680" s="22" t="s">
        <v>8</v>
      </c>
      <c r="B6680" s="18" t="str">
        <f>"245028"</f>
        <v>245028</v>
      </c>
      <c r="C6680" s="19" t="s">
        <v>6588</v>
      </c>
      <c r="D6680" s="19" t="s">
        <v>22103</v>
      </c>
      <c r="E6680" s="19" t="s">
        <v>32650</v>
      </c>
      <c r="F6680" s="19" t="s">
        <v>35997</v>
      </c>
      <c r="G6680" s="18" t="str">
        <f>"55116"</f>
        <v>55116</v>
      </c>
      <c r="H6680" s="19" t="s">
        <v>36449</v>
      </c>
      <c r="I6680" s="20">
        <v>18.532</v>
      </c>
      <c r="J6680" s="44" t="s">
        <v>8</v>
      </c>
      <c r="K6680" s="23" t="s">
        <v>8</v>
      </c>
      <c r="L6680" s="23" t="s">
        <v>8</v>
      </c>
      <c r="M6680" s="23" t="s">
        <v>8</v>
      </c>
    </row>
    <row r="6681" spans="1:13" s="21" customFormat="1" x14ac:dyDescent="0.25">
      <c r="A6681" s="22" t="s">
        <v>8</v>
      </c>
      <c r="B6681" s="18" t="str">
        <f>"245039"</f>
        <v>245039</v>
      </c>
      <c r="C6681" s="19" t="s">
        <v>6589</v>
      </c>
      <c r="D6681" s="19" t="s">
        <v>22104</v>
      </c>
      <c r="E6681" s="19" t="s">
        <v>33319</v>
      </c>
      <c r="F6681" s="19" t="s">
        <v>35997</v>
      </c>
      <c r="G6681" s="18" t="str">
        <f>"56601"</f>
        <v>56601</v>
      </c>
      <c r="H6681" s="19" t="s">
        <v>36450</v>
      </c>
      <c r="I6681" s="20">
        <v>17.27</v>
      </c>
      <c r="J6681" s="44" t="s">
        <v>8</v>
      </c>
      <c r="K6681" s="23" t="s">
        <v>8</v>
      </c>
      <c r="L6681" s="23" t="s">
        <v>8</v>
      </c>
      <c r="M6681" s="23" t="s">
        <v>8</v>
      </c>
    </row>
    <row r="6682" spans="1:13" s="21" customFormat="1" x14ac:dyDescent="0.25">
      <c r="A6682" s="22" t="s">
        <v>8</v>
      </c>
      <c r="B6682" s="18" t="str">
        <f>"245045"</f>
        <v>245045</v>
      </c>
      <c r="C6682" s="19" t="s">
        <v>6590</v>
      </c>
      <c r="D6682" s="19" t="s">
        <v>22105</v>
      </c>
      <c r="E6682" s="19" t="s">
        <v>33320</v>
      </c>
      <c r="F6682" s="19" t="s">
        <v>35997</v>
      </c>
      <c r="G6682" s="18" t="str">
        <f>"55720"</f>
        <v>55720</v>
      </c>
      <c r="H6682" s="19" t="s">
        <v>33318</v>
      </c>
      <c r="I6682" s="20">
        <v>17.855</v>
      </c>
      <c r="J6682" s="44" t="s">
        <v>8</v>
      </c>
      <c r="K6682" s="23" t="s">
        <v>8</v>
      </c>
      <c r="L6682" s="23" t="s">
        <v>8</v>
      </c>
      <c r="M6682" s="23" t="s">
        <v>8</v>
      </c>
    </row>
    <row r="6683" spans="1:13" s="21" customFormat="1" x14ac:dyDescent="0.25">
      <c r="A6683" s="22" t="s">
        <v>8</v>
      </c>
      <c r="B6683" s="18" t="str">
        <f>"245052"</f>
        <v>245052</v>
      </c>
      <c r="C6683" s="19" t="s">
        <v>6591</v>
      </c>
      <c r="D6683" s="19" t="s">
        <v>22106</v>
      </c>
      <c r="E6683" s="19" t="s">
        <v>33321</v>
      </c>
      <c r="F6683" s="19" t="s">
        <v>35997</v>
      </c>
      <c r="G6683" s="18" t="str">
        <f>"56560"</f>
        <v>56560</v>
      </c>
      <c r="H6683" s="19" t="s">
        <v>36030</v>
      </c>
      <c r="I6683" s="20">
        <v>18.738</v>
      </c>
      <c r="J6683" s="44" t="s">
        <v>8</v>
      </c>
      <c r="K6683" s="23" t="s">
        <v>8</v>
      </c>
      <c r="L6683" s="23" t="s">
        <v>8</v>
      </c>
      <c r="M6683" s="23" t="s">
        <v>8</v>
      </c>
    </row>
    <row r="6684" spans="1:13" s="21" customFormat="1" x14ac:dyDescent="0.25">
      <c r="A6684" s="22" t="s">
        <v>8</v>
      </c>
      <c r="B6684" s="18" t="str">
        <f>"245055"</f>
        <v>245055</v>
      </c>
      <c r="C6684" s="19" t="s">
        <v>6592</v>
      </c>
      <c r="D6684" s="19" t="s">
        <v>22107</v>
      </c>
      <c r="E6684" s="19" t="s">
        <v>32601</v>
      </c>
      <c r="F6684" s="19" t="s">
        <v>35997</v>
      </c>
      <c r="G6684" s="18" t="str">
        <f>"55409"</f>
        <v>55409</v>
      </c>
      <c r="H6684" s="19" t="s">
        <v>36451</v>
      </c>
      <c r="I6684" s="20">
        <v>17.119</v>
      </c>
      <c r="J6684" s="44" t="s">
        <v>8</v>
      </c>
      <c r="K6684" s="23" t="s">
        <v>8</v>
      </c>
      <c r="L6684" s="23" t="s">
        <v>8</v>
      </c>
      <c r="M6684" s="23" t="s">
        <v>8</v>
      </c>
    </row>
    <row r="6685" spans="1:13" s="21" customFormat="1" x14ac:dyDescent="0.25">
      <c r="A6685" s="22" t="s">
        <v>8</v>
      </c>
      <c r="B6685" s="18" t="str">
        <f>"245063"</f>
        <v>245063</v>
      </c>
      <c r="C6685" s="19" t="s">
        <v>6593</v>
      </c>
      <c r="D6685" s="19" t="s">
        <v>22108</v>
      </c>
      <c r="E6685" s="19" t="s">
        <v>32650</v>
      </c>
      <c r="F6685" s="19" t="s">
        <v>35997</v>
      </c>
      <c r="G6685" s="18" t="str">
        <f>"55108"</f>
        <v>55108</v>
      </c>
      <c r="H6685" s="19" t="s">
        <v>36449</v>
      </c>
      <c r="I6685" s="20">
        <v>19.462</v>
      </c>
      <c r="J6685" s="44" t="s">
        <v>8</v>
      </c>
      <c r="K6685" s="23" t="s">
        <v>8</v>
      </c>
      <c r="L6685" s="23" t="s">
        <v>8</v>
      </c>
      <c r="M6685" s="23" t="s">
        <v>8</v>
      </c>
    </row>
    <row r="6686" spans="1:13" s="21" customFormat="1" x14ac:dyDescent="0.25">
      <c r="A6686" s="22" t="s">
        <v>8</v>
      </c>
      <c r="B6686" s="18" t="str">
        <f>"245067"</f>
        <v>245067</v>
      </c>
      <c r="C6686" s="19" t="s">
        <v>6594</v>
      </c>
      <c r="D6686" s="19" t="s">
        <v>22109</v>
      </c>
      <c r="E6686" s="19" t="s">
        <v>33322</v>
      </c>
      <c r="F6686" s="19" t="s">
        <v>35997</v>
      </c>
      <c r="G6686" s="18" t="str">
        <f>"55021"</f>
        <v>55021</v>
      </c>
      <c r="H6686" s="19" t="s">
        <v>36306</v>
      </c>
      <c r="I6686" s="20">
        <v>18.567</v>
      </c>
      <c r="J6686" s="44" t="s">
        <v>8</v>
      </c>
      <c r="K6686" s="23" t="s">
        <v>8</v>
      </c>
      <c r="L6686" s="23" t="s">
        <v>8</v>
      </c>
      <c r="M6686" s="23" t="s">
        <v>8</v>
      </c>
    </row>
    <row r="6687" spans="1:13" s="21" customFormat="1" x14ac:dyDescent="0.25">
      <c r="A6687" s="22" t="s">
        <v>8</v>
      </c>
      <c r="B6687" s="18" t="str">
        <f>"245071"</f>
        <v>245071</v>
      </c>
      <c r="C6687" s="19" t="s">
        <v>6595</v>
      </c>
      <c r="D6687" s="19" t="s">
        <v>22110</v>
      </c>
      <c r="E6687" s="19" t="s">
        <v>32601</v>
      </c>
      <c r="F6687" s="19" t="s">
        <v>35997</v>
      </c>
      <c r="G6687" s="18" t="str">
        <f>"55419"</f>
        <v>55419</v>
      </c>
      <c r="H6687" s="19" t="s">
        <v>36451</v>
      </c>
      <c r="I6687" s="20">
        <v>19.036999999999999</v>
      </c>
      <c r="J6687" s="44" t="s">
        <v>8</v>
      </c>
      <c r="K6687" s="23" t="s">
        <v>8</v>
      </c>
      <c r="L6687" s="23" t="s">
        <v>8</v>
      </c>
      <c r="M6687" s="23" t="s">
        <v>8</v>
      </c>
    </row>
    <row r="6688" spans="1:13" s="21" customFormat="1" x14ac:dyDescent="0.25">
      <c r="A6688" s="22" t="s">
        <v>8</v>
      </c>
      <c r="B6688" s="18" t="str">
        <f>"245083"</f>
        <v>245083</v>
      </c>
      <c r="C6688" s="19" t="s">
        <v>6596</v>
      </c>
      <c r="D6688" s="19" t="s">
        <v>22111</v>
      </c>
      <c r="E6688" s="19" t="s">
        <v>33323</v>
      </c>
      <c r="F6688" s="19" t="s">
        <v>35997</v>
      </c>
      <c r="G6688" s="18" t="str">
        <f>"55416"</f>
        <v>55416</v>
      </c>
      <c r="H6688" s="19" t="s">
        <v>36451</v>
      </c>
      <c r="I6688" s="20">
        <v>21.137</v>
      </c>
      <c r="J6688" s="44" t="s">
        <v>8</v>
      </c>
      <c r="K6688" s="23" t="s">
        <v>8</v>
      </c>
      <c r="L6688" s="23" t="s">
        <v>8</v>
      </c>
      <c r="M6688" s="23" t="s">
        <v>8</v>
      </c>
    </row>
    <row r="6689" spans="1:13" s="21" customFormat="1" x14ac:dyDescent="0.25">
      <c r="A6689" s="22" t="s">
        <v>8</v>
      </c>
      <c r="B6689" s="18" t="str">
        <f>"245084"</f>
        <v>245084</v>
      </c>
      <c r="C6689" s="19" t="s">
        <v>6597</v>
      </c>
      <c r="D6689" s="19" t="s">
        <v>22112</v>
      </c>
      <c r="E6689" s="19" t="s">
        <v>33324</v>
      </c>
      <c r="F6689" s="19" t="s">
        <v>35997</v>
      </c>
      <c r="G6689" s="18" t="str">
        <f>"55391"</f>
        <v>55391</v>
      </c>
      <c r="H6689" s="19" t="s">
        <v>36451</v>
      </c>
      <c r="I6689" s="20">
        <v>19.562000000000001</v>
      </c>
      <c r="J6689" s="44" t="s">
        <v>8</v>
      </c>
      <c r="K6689" s="23" t="s">
        <v>8</v>
      </c>
      <c r="L6689" s="23" t="s">
        <v>8</v>
      </c>
      <c r="M6689" s="23" t="s">
        <v>8</v>
      </c>
    </row>
    <row r="6690" spans="1:13" s="21" customFormat="1" x14ac:dyDescent="0.25">
      <c r="A6690" s="22" t="s">
        <v>8</v>
      </c>
      <c r="B6690" s="18" t="str">
        <f>"245090"</f>
        <v>245090</v>
      </c>
      <c r="C6690" s="19" t="s">
        <v>6598</v>
      </c>
      <c r="D6690" s="19" t="s">
        <v>22113</v>
      </c>
      <c r="E6690" s="19" t="s">
        <v>33322</v>
      </c>
      <c r="F6690" s="19" t="s">
        <v>35997</v>
      </c>
      <c r="G6690" s="18" t="str">
        <f>"55021"</f>
        <v>55021</v>
      </c>
      <c r="H6690" s="19" t="s">
        <v>36306</v>
      </c>
      <c r="I6690" s="20">
        <v>17.187000000000001</v>
      </c>
      <c r="J6690" s="44" t="s">
        <v>8</v>
      </c>
      <c r="K6690" s="23" t="s">
        <v>8</v>
      </c>
      <c r="L6690" s="23" t="s">
        <v>8</v>
      </c>
      <c r="M6690" s="23" t="s">
        <v>8</v>
      </c>
    </row>
    <row r="6691" spans="1:13" s="21" customFormat="1" x14ac:dyDescent="0.25">
      <c r="A6691" s="22" t="s">
        <v>8</v>
      </c>
      <c r="B6691" s="18" t="str">
        <f>"245097"</f>
        <v>245097</v>
      </c>
      <c r="C6691" s="19" t="s">
        <v>6599</v>
      </c>
      <c r="D6691" s="19" t="s">
        <v>22114</v>
      </c>
      <c r="E6691" s="19" t="s">
        <v>33322</v>
      </c>
      <c r="F6691" s="19" t="s">
        <v>35997</v>
      </c>
      <c r="G6691" s="18" t="str">
        <f>"55021"</f>
        <v>55021</v>
      </c>
      <c r="H6691" s="19" t="s">
        <v>36306</v>
      </c>
      <c r="I6691" s="20">
        <v>18.565999999999999</v>
      </c>
      <c r="J6691" s="44" t="s">
        <v>8</v>
      </c>
      <c r="K6691" s="23" t="s">
        <v>8</v>
      </c>
      <c r="L6691" s="23" t="s">
        <v>8</v>
      </c>
      <c r="M6691" s="23" t="s">
        <v>8</v>
      </c>
    </row>
    <row r="6692" spans="1:13" s="21" customFormat="1" x14ac:dyDescent="0.25">
      <c r="A6692" s="22" t="s">
        <v>8</v>
      </c>
      <c r="B6692" s="18" t="str">
        <f>"245102"</f>
        <v>245102</v>
      </c>
      <c r="C6692" s="19" t="s">
        <v>6600</v>
      </c>
      <c r="D6692" s="19" t="s">
        <v>22115</v>
      </c>
      <c r="E6692" s="19" t="s">
        <v>33325</v>
      </c>
      <c r="F6692" s="19" t="s">
        <v>35997</v>
      </c>
      <c r="G6692" s="18" t="str">
        <f>"55987"</f>
        <v>55987</v>
      </c>
      <c r="H6692" s="19" t="s">
        <v>33325</v>
      </c>
      <c r="I6692" s="20">
        <v>18.547000000000001</v>
      </c>
      <c r="J6692" s="44" t="s">
        <v>8</v>
      </c>
      <c r="K6692" s="23" t="s">
        <v>8</v>
      </c>
      <c r="L6692" s="23" t="s">
        <v>8</v>
      </c>
      <c r="M6692" s="23" t="s">
        <v>8</v>
      </c>
    </row>
    <row r="6693" spans="1:13" s="21" customFormat="1" x14ac:dyDescent="0.25">
      <c r="A6693" s="22" t="s">
        <v>8</v>
      </c>
      <c r="B6693" s="18" t="str">
        <f>"245105"</f>
        <v>245105</v>
      </c>
      <c r="C6693" s="19" t="s">
        <v>6601</v>
      </c>
      <c r="D6693" s="19" t="s">
        <v>22116</v>
      </c>
      <c r="E6693" s="19" t="s">
        <v>31213</v>
      </c>
      <c r="F6693" s="19" t="s">
        <v>35997</v>
      </c>
      <c r="G6693" s="18" t="str">
        <f>"55113"</f>
        <v>55113</v>
      </c>
      <c r="H6693" s="19" t="s">
        <v>36449</v>
      </c>
      <c r="I6693" s="20">
        <v>17.446999999999999</v>
      </c>
      <c r="J6693" s="44" t="s">
        <v>8</v>
      </c>
      <c r="K6693" s="23" t="s">
        <v>8</v>
      </c>
      <c r="L6693" s="23" t="s">
        <v>8</v>
      </c>
      <c r="M6693" s="23" t="s">
        <v>8</v>
      </c>
    </row>
    <row r="6694" spans="1:13" s="21" customFormat="1" x14ac:dyDescent="0.25">
      <c r="A6694" s="22" t="s">
        <v>8</v>
      </c>
      <c r="B6694" s="18" t="str">
        <f>"245114"</f>
        <v>245114</v>
      </c>
      <c r="C6694" s="19" t="s">
        <v>6602</v>
      </c>
      <c r="D6694" s="19" t="s">
        <v>22117</v>
      </c>
      <c r="E6694" s="19" t="s">
        <v>32559</v>
      </c>
      <c r="F6694" s="19" t="s">
        <v>35997</v>
      </c>
      <c r="G6694" s="18" t="str">
        <f>"55350"</f>
        <v>55350</v>
      </c>
      <c r="H6694" s="19" t="s">
        <v>36452</v>
      </c>
      <c r="I6694" s="20">
        <v>20.515000000000001</v>
      </c>
      <c r="J6694" s="44" t="s">
        <v>8</v>
      </c>
      <c r="K6694" s="23" t="s">
        <v>8</v>
      </c>
      <c r="L6694" s="23" t="s">
        <v>8</v>
      </c>
      <c r="M6694" s="23" t="s">
        <v>8</v>
      </c>
    </row>
    <row r="6695" spans="1:13" s="21" customFormat="1" x14ac:dyDescent="0.25">
      <c r="A6695" s="22" t="s">
        <v>8</v>
      </c>
      <c r="B6695" s="18" t="str">
        <f>"245119"</f>
        <v>245119</v>
      </c>
      <c r="C6695" s="19" t="s">
        <v>6603</v>
      </c>
      <c r="D6695" s="19" t="s">
        <v>22118</v>
      </c>
      <c r="E6695" s="19" t="s">
        <v>33326</v>
      </c>
      <c r="F6695" s="19" t="s">
        <v>35997</v>
      </c>
      <c r="G6695" s="18" t="str">
        <f>"56431"</f>
        <v>56431</v>
      </c>
      <c r="H6695" s="19" t="s">
        <v>33326</v>
      </c>
      <c r="I6695" s="20">
        <v>19.279</v>
      </c>
      <c r="J6695" s="44" t="s">
        <v>8</v>
      </c>
      <c r="K6695" s="23" t="s">
        <v>8</v>
      </c>
      <c r="L6695" s="23" t="s">
        <v>8</v>
      </c>
      <c r="M6695" s="23" t="s">
        <v>8</v>
      </c>
    </row>
    <row r="6696" spans="1:13" s="21" customFormat="1" x14ac:dyDescent="0.25">
      <c r="A6696" s="22" t="s">
        <v>8</v>
      </c>
      <c r="B6696" s="18" t="str">
        <f>"245120"</f>
        <v>245120</v>
      </c>
      <c r="C6696" s="19" t="s">
        <v>6604</v>
      </c>
      <c r="D6696" s="19" t="s">
        <v>22119</v>
      </c>
      <c r="E6696" s="19" t="s">
        <v>32969</v>
      </c>
      <c r="F6696" s="19" t="s">
        <v>35997</v>
      </c>
      <c r="G6696" s="18" t="str">
        <f>"55008"</f>
        <v>55008</v>
      </c>
      <c r="H6696" s="19" t="s">
        <v>36453</v>
      </c>
      <c r="I6696" s="20">
        <v>19.347000000000001</v>
      </c>
      <c r="J6696" s="44" t="s">
        <v>8</v>
      </c>
      <c r="K6696" s="23" t="s">
        <v>8</v>
      </c>
      <c r="L6696" s="23" t="s">
        <v>8</v>
      </c>
      <c r="M6696" s="23" t="s">
        <v>8</v>
      </c>
    </row>
    <row r="6697" spans="1:13" s="21" customFormat="1" x14ac:dyDescent="0.25">
      <c r="A6697" s="22" t="s">
        <v>8</v>
      </c>
      <c r="B6697" s="18" t="str">
        <f>"245125"</f>
        <v>245125</v>
      </c>
      <c r="C6697" s="19" t="s">
        <v>6605</v>
      </c>
      <c r="D6697" s="19" t="s">
        <v>22120</v>
      </c>
      <c r="E6697" s="19" t="s">
        <v>33327</v>
      </c>
      <c r="F6697" s="19" t="s">
        <v>35997</v>
      </c>
      <c r="G6697" s="18" t="str">
        <f>"55734"</f>
        <v>55734</v>
      </c>
      <c r="H6697" s="19" t="s">
        <v>33228</v>
      </c>
      <c r="I6697" s="20">
        <v>18.297000000000001</v>
      </c>
      <c r="J6697" s="44" t="s">
        <v>8</v>
      </c>
      <c r="K6697" s="23" t="s">
        <v>8</v>
      </c>
      <c r="L6697" s="23" t="s">
        <v>8</v>
      </c>
      <c r="M6697" s="23" t="s">
        <v>8</v>
      </c>
    </row>
    <row r="6698" spans="1:13" s="21" customFormat="1" x14ac:dyDescent="0.25">
      <c r="A6698" s="22" t="s">
        <v>8</v>
      </c>
      <c r="B6698" s="18" t="str">
        <f>"245127"</f>
        <v>245127</v>
      </c>
      <c r="C6698" s="19" t="s">
        <v>6606</v>
      </c>
      <c r="D6698" s="19" t="s">
        <v>22121</v>
      </c>
      <c r="E6698" s="19" t="s">
        <v>33328</v>
      </c>
      <c r="F6698" s="19" t="s">
        <v>35997</v>
      </c>
      <c r="G6698" s="18" t="str">
        <f>"56359"</f>
        <v>56359</v>
      </c>
      <c r="H6698" s="19" t="s">
        <v>36454</v>
      </c>
      <c r="I6698" s="20">
        <v>19.652999999999999</v>
      </c>
      <c r="J6698" s="44" t="s">
        <v>8</v>
      </c>
      <c r="K6698" s="23" t="s">
        <v>8</v>
      </c>
      <c r="L6698" s="23" t="s">
        <v>8</v>
      </c>
      <c r="M6698" s="23" t="s">
        <v>8</v>
      </c>
    </row>
    <row r="6699" spans="1:13" s="21" customFormat="1" x14ac:dyDescent="0.25">
      <c r="A6699" s="22" t="s">
        <v>8</v>
      </c>
      <c r="B6699" s="18" t="str">
        <f>"245138"</f>
        <v>245138</v>
      </c>
      <c r="C6699" s="19" t="s">
        <v>6607</v>
      </c>
      <c r="D6699" s="19" t="s">
        <v>22122</v>
      </c>
      <c r="E6699" s="19" t="s">
        <v>33329</v>
      </c>
      <c r="F6699" s="19" t="s">
        <v>35997</v>
      </c>
      <c r="G6699" s="18" t="str">
        <f>"55731"</f>
        <v>55731</v>
      </c>
      <c r="H6699" s="19" t="s">
        <v>33228</v>
      </c>
      <c r="I6699" s="20">
        <v>17.824000000000002</v>
      </c>
      <c r="J6699" s="44" t="s">
        <v>8</v>
      </c>
      <c r="K6699" s="23" t="s">
        <v>8</v>
      </c>
      <c r="L6699" s="23" t="s">
        <v>8</v>
      </c>
      <c r="M6699" s="23" t="s">
        <v>8</v>
      </c>
    </row>
    <row r="6700" spans="1:13" s="21" customFormat="1" x14ac:dyDescent="0.25">
      <c r="A6700" s="22" t="s">
        <v>8</v>
      </c>
      <c r="B6700" s="18" t="str">
        <f>"245148"</f>
        <v>245148</v>
      </c>
      <c r="C6700" s="19" t="s">
        <v>6608</v>
      </c>
      <c r="D6700" s="19" t="s">
        <v>22123</v>
      </c>
      <c r="E6700" s="19" t="s">
        <v>33323</v>
      </c>
      <c r="F6700" s="19" t="s">
        <v>35997</v>
      </c>
      <c r="G6700" s="18" t="str">
        <f>"55426"</f>
        <v>55426</v>
      </c>
      <c r="H6700" s="19" t="s">
        <v>36451</v>
      </c>
      <c r="I6700" s="20">
        <v>21.289000000000001</v>
      </c>
      <c r="J6700" s="44" t="s">
        <v>8</v>
      </c>
      <c r="K6700" s="23" t="s">
        <v>8</v>
      </c>
      <c r="L6700" s="23" t="s">
        <v>8</v>
      </c>
      <c r="M6700" s="23" t="s">
        <v>8</v>
      </c>
    </row>
    <row r="6701" spans="1:13" s="21" customFormat="1" x14ac:dyDescent="0.25">
      <c r="A6701" s="22" t="s">
        <v>8</v>
      </c>
      <c r="B6701" s="18" t="str">
        <f>"245149"</f>
        <v>245149</v>
      </c>
      <c r="C6701" s="19" t="s">
        <v>6609</v>
      </c>
      <c r="D6701" s="19" t="s">
        <v>22124</v>
      </c>
      <c r="E6701" s="19" t="s">
        <v>33330</v>
      </c>
      <c r="F6701" s="19" t="s">
        <v>35997</v>
      </c>
      <c r="G6701" s="18" t="str">
        <f>"55427"</f>
        <v>55427</v>
      </c>
      <c r="H6701" s="19" t="s">
        <v>36451</v>
      </c>
      <c r="I6701" s="20">
        <v>17.995000000000001</v>
      </c>
      <c r="J6701" s="44" t="s">
        <v>8</v>
      </c>
      <c r="K6701" s="23" t="s">
        <v>8</v>
      </c>
      <c r="L6701" s="23" t="s">
        <v>8</v>
      </c>
      <c r="M6701" s="23" t="s">
        <v>8</v>
      </c>
    </row>
    <row r="6702" spans="1:13" s="21" customFormat="1" x14ac:dyDescent="0.25">
      <c r="A6702" s="22" t="s">
        <v>8</v>
      </c>
      <c r="B6702" s="18" t="str">
        <f>"245153"</f>
        <v>245153</v>
      </c>
      <c r="C6702" s="19" t="s">
        <v>6610</v>
      </c>
      <c r="D6702" s="19" t="s">
        <v>22125</v>
      </c>
      <c r="E6702" s="19" t="s">
        <v>32267</v>
      </c>
      <c r="F6702" s="19" t="s">
        <v>35997</v>
      </c>
      <c r="G6702" s="18" t="str">
        <f>"55901"</f>
        <v>55901</v>
      </c>
      <c r="H6702" s="19" t="s">
        <v>36455</v>
      </c>
      <c r="I6702" s="20">
        <v>20.114999999999998</v>
      </c>
      <c r="J6702" s="44" t="s">
        <v>8</v>
      </c>
      <c r="K6702" s="23" t="s">
        <v>8</v>
      </c>
      <c r="L6702" s="23" t="s">
        <v>8</v>
      </c>
      <c r="M6702" s="23" t="s">
        <v>8</v>
      </c>
    </row>
    <row r="6703" spans="1:13" s="21" customFormat="1" x14ac:dyDescent="0.25">
      <c r="A6703" s="22" t="s">
        <v>8</v>
      </c>
      <c r="B6703" s="18" t="str">
        <f>"245164"</f>
        <v>245164</v>
      </c>
      <c r="C6703" s="19" t="s">
        <v>6611</v>
      </c>
      <c r="D6703" s="19" t="s">
        <v>22126</v>
      </c>
      <c r="E6703" s="19" t="s">
        <v>33331</v>
      </c>
      <c r="F6703" s="19" t="s">
        <v>35997</v>
      </c>
      <c r="G6703" s="18" t="str">
        <f>"55112"</f>
        <v>55112</v>
      </c>
      <c r="H6703" s="19" t="s">
        <v>36449</v>
      </c>
      <c r="I6703" s="20">
        <v>21.050999999999998</v>
      </c>
      <c r="J6703" s="44" t="s">
        <v>8</v>
      </c>
      <c r="K6703" s="23" t="s">
        <v>8</v>
      </c>
      <c r="L6703" s="23" t="s">
        <v>8</v>
      </c>
      <c r="M6703" s="23" t="s">
        <v>8</v>
      </c>
    </row>
    <row r="6704" spans="1:13" s="21" customFormat="1" x14ac:dyDescent="0.25">
      <c r="A6704" s="22" t="s">
        <v>8</v>
      </c>
      <c r="B6704" s="18" t="str">
        <f>"245170"</f>
        <v>245170</v>
      </c>
      <c r="C6704" s="19" t="s">
        <v>6612</v>
      </c>
      <c r="D6704" s="19" t="s">
        <v>22127</v>
      </c>
      <c r="E6704" s="19" t="s">
        <v>32601</v>
      </c>
      <c r="F6704" s="19" t="s">
        <v>35997</v>
      </c>
      <c r="G6704" s="18" t="str">
        <f>"55454"</f>
        <v>55454</v>
      </c>
      <c r="H6704" s="19" t="s">
        <v>36451</v>
      </c>
      <c r="I6704" s="20">
        <v>18.12</v>
      </c>
      <c r="J6704" s="44" t="s">
        <v>8</v>
      </c>
      <c r="K6704" s="23" t="s">
        <v>8</v>
      </c>
      <c r="L6704" s="23" t="s">
        <v>8</v>
      </c>
      <c r="M6704" s="23" t="s">
        <v>8</v>
      </c>
    </row>
    <row r="6705" spans="1:13" s="21" customFormat="1" x14ac:dyDescent="0.25">
      <c r="A6705" s="22" t="s">
        <v>8</v>
      </c>
      <c r="B6705" s="18" t="str">
        <f>"245182"</f>
        <v>245182</v>
      </c>
      <c r="C6705" s="19" t="s">
        <v>6613</v>
      </c>
      <c r="D6705" s="19" t="s">
        <v>22128</v>
      </c>
      <c r="E6705" s="19" t="s">
        <v>33323</v>
      </c>
      <c r="F6705" s="19" t="s">
        <v>35997</v>
      </c>
      <c r="G6705" s="18" t="str">
        <f>"55426"</f>
        <v>55426</v>
      </c>
      <c r="H6705" s="19" t="s">
        <v>36451</v>
      </c>
      <c r="I6705" s="20">
        <v>19.091999999999999</v>
      </c>
      <c r="J6705" s="44" t="s">
        <v>8</v>
      </c>
      <c r="K6705" s="23" t="s">
        <v>8</v>
      </c>
      <c r="L6705" s="23" t="s">
        <v>8</v>
      </c>
      <c r="M6705" s="23" t="s">
        <v>8</v>
      </c>
    </row>
    <row r="6706" spans="1:13" s="21" customFormat="1" x14ac:dyDescent="0.25">
      <c r="A6706" s="22" t="s">
        <v>8</v>
      </c>
      <c r="B6706" s="18" t="str">
        <f>"245183"</f>
        <v>245183</v>
      </c>
      <c r="C6706" s="19" t="s">
        <v>6614</v>
      </c>
      <c r="D6706" s="19" t="s">
        <v>22129</v>
      </c>
      <c r="E6706" s="19" t="s">
        <v>33330</v>
      </c>
      <c r="F6706" s="19" t="s">
        <v>35997</v>
      </c>
      <c r="G6706" s="18" t="str">
        <f>"55428"</f>
        <v>55428</v>
      </c>
      <c r="H6706" s="19" t="s">
        <v>36451</v>
      </c>
      <c r="I6706" s="20">
        <v>17.613</v>
      </c>
      <c r="J6706" s="44" t="s">
        <v>8</v>
      </c>
      <c r="K6706" s="23" t="s">
        <v>8</v>
      </c>
      <c r="L6706" s="23" t="s">
        <v>8</v>
      </c>
      <c r="M6706" s="23" t="s">
        <v>8</v>
      </c>
    </row>
    <row r="6707" spans="1:13" s="21" customFormat="1" x14ac:dyDescent="0.25">
      <c r="A6707" s="22" t="s">
        <v>8</v>
      </c>
      <c r="B6707" s="18" t="str">
        <f>"245184"</f>
        <v>245184</v>
      </c>
      <c r="C6707" s="19" t="s">
        <v>6615</v>
      </c>
      <c r="D6707" s="19" t="s">
        <v>22130</v>
      </c>
      <c r="E6707" s="19" t="s">
        <v>32267</v>
      </c>
      <c r="F6707" s="19" t="s">
        <v>35997</v>
      </c>
      <c r="G6707" s="18" t="str">
        <f>"55904"</f>
        <v>55904</v>
      </c>
      <c r="H6707" s="19" t="s">
        <v>36455</v>
      </c>
      <c r="I6707" s="20">
        <v>18.98</v>
      </c>
      <c r="J6707" s="44" t="s">
        <v>8</v>
      </c>
      <c r="K6707" s="23" t="s">
        <v>8</v>
      </c>
      <c r="L6707" s="23" t="s">
        <v>8</v>
      </c>
      <c r="M6707" s="23" t="s">
        <v>8</v>
      </c>
    </row>
    <row r="6708" spans="1:13" s="21" customFormat="1" x14ac:dyDescent="0.25">
      <c r="A6708" s="22" t="s">
        <v>8</v>
      </c>
      <c r="B6708" s="18" t="str">
        <f>"245186"</f>
        <v>245186</v>
      </c>
      <c r="C6708" s="19" t="s">
        <v>6616</v>
      </c>
      <c r="D6708" s="19" t="s">
        <v>22131</v>
      </c>
      <c r="E6708" s="19" t="s">
        <v>33332</v>
      </c>
      <c r="F6708" s="19" t="s">
        <v>35997</v>
      </c>
      <c r="G6708" s="18" t="str">
        <f>"55427"</f>
        <v>55427</v>
      </c>
      <c r="H6708" s="19" t="s">
        <v>36451</v>
      </c>
      <c r="I6708" s="20">
        <v>17.318999999999999</v>
      </c>
      <c r="J6708" s="44" t="s">
        <v>8</v>
      </c>
      <c r="K6708" s="23" t="s">
        <v>8</v>
      </c>
      <c r="L6708" s="23" t="s">
        <v>8</v>
      </c>
      <c r="M6708" s="23" t="s">
        <v>8</v>
      </c>
    </row>
    <row r="6709" spans="1:13" s="21" customFormat="1" x14ac:dyDescent="0.25">
      <c r="A6709" s="22" t="s">
        <v>8</v>
      </c>
      <c r="B6709" s="18" t="str">
        <f>"245187"</f>
        <v>245187</v>
      </c>
      <c r="C6709" s="19" t="s">
        <v>6617</v>
      </c>
      <c r="D6709" s="19" t="s">
        <v>22132</v>
      </c>
      <c r="E6709" s="19" t="s">
        <v>33323</v>
      </c>
      <c r="F6709" s="19" t="s">
        <v>35997</v>
      </c>
      <c r="G6709" s="18" t="str">
        <f>"55426"</f>
        <v>55426</v>
      </c>
      <c r="H6709" s="19" t="s">
        <v>36451</v>
      </c>
      <c r="I6709" s="20">
        <v>16.41</v>
      </c>
      <c r="J6709" s="44" t="s">
        <v>8</v>
      </c>
      <c r="K6709" s="23" t="s">
        <v>8</v>
      </c>
      <c r="L6709" s="23" t="s">
        <v>8</v>
      </c>
      <c r="M6709" s="23" t="s">
        <v>8</v>
      </c>
    </row>
    <row r="6710" spans="1:13" s="21" customFormat="1" x14ac:dyDescent="0.25">
      <c r="A6710" s="22" t="s">
        <v>8</v>
      </c>
      <c r="B6710" s="18" t="str">
        <f>"245189"</f>
        <v>245189</v>
      </c>
      <c r="C6710" s="19" t="s">
        <v>6618</v>
      </c>
      <c r="D6710" s="19" t="s">
        <v>22133</v>
      </c>
      <c r="E6710" s="19" t="s">
        <v>33333</v>
      </c>
      <c r="F6710" s="19" t="s">
        <v>35997</v>
      </c>
      <c r="G6710" s="18" t="str">
        <f>"55118"</f>
        <v>55118</v>
      </c>
      <c r="H6710" s="19" t="s">
        <v>36456</v>
      </c>
      <c r="I6710" s="20">
        <v>16.690999999999999</v>
      </c>
      <c r="J6710" s="44" t="s">
        <v>8</v>
      </c>
      <c r="K6710" s="23" t="s">
        <v>8</v>
      </c>
      <c r="L6710" s="23" t="s">
        <v>8</v>
      </c>
      <c r="M6710" s="23" t="s">
        <v>8</v>
      </c>
    </row>
    <row r="6711" spans="1:13" s="21" customFormat="1" x14ac:dyDescent="0.25">
      <c r="A6711" s="22" t="s">
        <v>8</v>
      </c>
      <c r="B6711" s="18" t="str">
        <f>"245200"</f>
        <v>245200</v>
      </c>
      <c r="C6711" s="19" t="s">
        <v>6619</v>
      </c>
      <c r="D6711" s="19" t="s">
        <v>22134</v>
      </c>
      <c r="E6711" s="19" t="s">
        <v>33334</v>
      </c>
      <c r="F6711" s="19" t="s">
        <v>35997</v>
      </c>
      <c r="G6711" s="18" t="str">
        <f>"55025"</f>
        <v>55025</v>
      </c>
      <c r="H6711" s="19" t="s">
        <v>31500</v>
      </c>
      <c r="I6711" s="20">
        <v>20.097999999999999</v>
      </c>
      <c r="J6711" s="44" t="s">
        <v>8</v>
      </c>
      <c r="K6711" s="23" t="s">
        <v>8</v>
      </c>
      <c r="L6711" s="23" t="s">
        <v>8</v>
      </c>
      <c r="M6711" s="23" t="s">
        <v>8</v>
      </c>
    </row>
    <row r="6712" spans="1:13" s="21" customFormat="1" x14ac:dyDescent="0.25">
      <c r="A6712" s="22" t="s">
        <v>8</v>
      </c>
      <c r="B6712" s="18" t="str">
        <f>"245201"</f>
        <v>245201</v>
      </c>
      <c r="C6712" s="19" t="s">
        <v>6620</v>
      </c>
      <c r="D6712" s="19" t="s">
        <v>22135</v>
      </c>
      <c r="E6712" s="19" t="s">
        <v>33335</v>
      </c>
      <c r="F6712" s="19" t="s">
        <v>35997</v>
      </c>
      <c r="G6712" s="18" t="str">
        <f>"55432"</f>
        <v>55432</v>
      </c>
      <c r="H6712" s="19" t="s">
        <v>33336</v>
      </c>
      <c r="I6712" s="20">
        <v>20.071999999999999</v>
      </c>
      <c r="J6712" s="44" t="s">
        <v>8</v>
      </c>
      <c r="K6712" s="23" t="s">
        <v>8</v>
      </c>
      <c r="L6712" s="23" t="s">
        <v>8</v>
      </c>
      <c r="M6712" s="23" t="s">
        <v>8</v>
      </c>
    </row>
    <row r="6713" spans="1:13" s="21" customFormat="1" x14ac:dyDescent="0.25">
      <c r="A6713" s="22" t="s">
        <v>8</v>
      </c>
      <c r="B6713" s="18" t="str">
        <f>"245203"</f>
        <v>245203</v>
      </c>
      <c r="C6713" s="19" t="s">
        <v>6621</v>
      </c>
      <c r="D6713" s="19" t="s">
        <v>22136</v>
      </c>
      <c r="E6713" s="19" t="s">
        <v>32601</v>
      </c>
      <c r="F6713" s="19" t="s">
        <v>35997</v>
      </c>
      <c r="G6713" s="18" t="str">
        <f>"55405"</f>
        <v>55405</v>
      </c>
      <c r="H6713" s="19" t="s">
        <v>36451</v>
      </c>
      <c r="I6713" s="20">
        <v>17.501000000000001</v>
      </c>
      <c r="J6713" s="44" t="s">
        <v>8</v>
      </c>
      <c r="K6713" s="23" t="s">
        <v>8</v>
      </c>
      <c r="L6713" s="23" t="s">
        <v>8</v>
      </c>
      <c r="M6713" s="23" t="s">
        <v>8</v>
      </c>
    </row>
    <row r="6714" spans="1:13" s="21" customFormat="1" x14ac:dyDescent="0.25">
      <c r="A6714" s="22" t="s">
        <v>8</v>
      </c>
      <c r="B6714" s="18" t="str">
        <f>"245205"</f>
        <v>245205</v>
      </c>
      <c r="C6714" s="19" t="s">
        <v>6622</v>
      </c>
      <c r="D6714" s="19" t="s">
        <v>22137</v>
      </c>
      <c r="E6714" s="19" t="s">
        <v>33336</v>
      </c>
      <c r="F6714" s="19" t="s">
        <v>35997</v>
      </c>
      <c r="G6714" s="18" t="str">
        <f>"55303"</f>
        <v>55303</v>
      </c>
      <c r="H6714" s="19" t="s">
        <v>33336</v>
      </c>
      <c r="I6714" s="20">
        <v>20.193000000000001</v>
      </c>
      <c r="J6714" s="44" t="s">
        <v>8</v>
      </c>
      <c r="K6714" s="23" t="s">
        <v>8</v>
      </c>
      <c r="L6714" s="23" t="s">
        <v>8</v>
      </c>
      <c r="M6714" s="23" t="s">
        <v>8</v>
      </c>
    </row>
    <row r="6715" spans="1:13" s="21" customFormat="1" x14ac:dyDescent="0.25">
      <c r="A6715" s="22" t="s">
        <v>8</v>
      </c>
      <c r="B6715" s="18" t="str">
        <f>"245207"</f>
        <v>245207</v>
      </c>
      <c r="C6715" s="19" t="s">
        <v>6623</v>
      </c>
      <c r="D6715" s="19" t="s">
        <v>22138</v>
      </c>
      <c r="E6715" s="19" t="s">
        <v>33337</v>
      </c>
      <c r="F6715" s="19" t="s">
        <v>35997</v>
      </c>
      <c r="G6715" s="18" t="str">
        <f>"55082"</f>
        <v>55082</v>
      </c>
      <c r="H6715" s="19" t="s">
        <v>31500</v>
      </c>
      <c r="I6715" s="20">
        <v>17.431000000000001</v>
      </c>
      <c r="J6715" s="44" t="s">
        <v>8</v>
      </c>
      <c r="K6715" s="23" t="s">
        <v>8</v>
      </c>
      <c r="L6715" s="23" t="s">
        <v>8</v>
      </c>
      <c r="M6715" s="23" t="s">
        <v>8</v>
      </c>
    </row>
    <row r="6716" spans="1:13" s="21" customFormat="1" x14ac:dyDescent="0.25">
      <c r="A6716" s="22" t="s">
        <v>8</v>
      </c>
      <c r="B6716" s="18" t="str">
        <f>"245210"</f>
        <v>245210</v>
      </c>
      <c r="C6716" s="19" t="s">
        <v>6624</v>
      </c>
      <c r="D6716" s="19" t="s">
        <v>22139</v>
      </c>
      <c r="E6716" s="19" t="s">
        <v>33338</v>
      </c>
      <c r="F6716" s="19" t="s">
        <v>35997</v>
      </c>
      <c r="G6716" s="18" t="str">
        <f>"55384"</f>
        <v>55384</v>
      </c>
      <c r="H6716" s="19" t="s">
        <v>36451</v>
      </c>
      <c r="I6716" s="20">
        <v>19.834</v>
      </c>
      <c r="J6716" s="44" t="s">
        <v>8</v>
      </c>
      <c r="K6716" s="23" t="s">
        <v>8</v>
      </c>
      <c r="L6716" s="23" t="s">
        <v>8</v>
      </c>
      <c r="M6716" s="23" t="s">
        <v>8</v>
      </c>
    </row>
    <row r="6717" spans="1:13" s="21" customFormat="1" x14ac:dyDescent="0.25">
      <c r="A6717" s="22" t="s">
        <v>8</v>
      </c>
      <c r="B6717" s="18" t="str">
        <f>"245212"</f>
        <v>245212</v>
      </c>
      <c r="C6717" s="19" t="s">
        <v>6625</v>
      </c>
      <c r="D6717" s="19" t="s">
        <v>22140</v>
      </c>
      <c r="E6717" s="19" t="s">
        <v>33339</v>
      </c>
      <c r="F6717" s="19" t="s">
        <v>35997</v>
      </c>
      <c r="G6717" s="18" t="str">
        <f>"56501"</f>
        <v>56501</v>
      </c>
      <c r="H6717" s="19" t="s">
        <v>36457</v>
      </c>
      <c r="I6717" s="20">
        <v>18.239000000000001</v>
      </c>
      <c r="J6717" s="44" t="s">
        <v>8</v>
      </c>
      <c r="K6717" s="23" t="s">
        <v>8</v>
      </c>
      <c r="L6717" s="23" t="s">
        <v>8</v>
      </c>
      <c r="M6717" s="23" t="s">
        <v>8</v>
      </c>
    </row>
    <row r="6718" spans="1:13" s="21" customFormat="1" x14ac:dyDescent="0.25">
      <c r="A6718" s="22" t="s">
        <v>8</v>
      </c>
      <c r="B6718" s="18" t="str">
        <f>"245213"</f>
        <v>245213</v>
      </c>
      <c r="C6718" s="19" t="s">
        <v>6626</v>
      </c>
      <c r="D6718" s="19" t="s">
        <v>22141</v>
      </c>
      <c r="E6718" s="19" t="s">
        <v>33340</v>
      </c>
      <c r="F6718" s="19" t="s">
        <v>35997</v>
      </c>
      <c r="G6718" s="18" t="str">
        <f>"55337"</f>
        <v>55337</v>
      </c>
      <c r="H6718" s="19" t="s">
        <v>36456</v>
      </c>
      <c r="I6718" s="20">
        <v>16.391999999999999</v>
      </c>
      <c r="J6718" s="44" t="s">
        <v>8</v>
      </c>
      <c r="K6718" s="23" t="s">
        <v>8</v>
      </c>
      <c r="L6718" s="23" t="s">
        <v>8</v>
      </c>
      <c r="M6718" s="23" t="s">
        <v>8</v>
      </c>
    </row>
    <row r="6719" spans="1:13" s="21" customFormat="1" x14ac:dyDescent="0.25">
      <c r="A6719" s="22" t="s">
        <v>8</v>
      </c>
      <c r="B6719" s="18" t="str">
        <f>"245215"</f>
        <v>245215</v>
      </c>
      <c r="C6719" s="19" t="s">
        <v>6627</v>
      </c>
      <c r="D6719" s="19" t="s">
        <v>22142</v>
      </c>
      <c r="E6719" s="19" t="s">
        <v>33341</v>
      </c>
      <c r="F6719" s="19" t="s">
        <v>35997</v>
      </c>
      <c r="G6719" s="18" t="str">
        <f>"55804"</f>
        <v>55804</v>
      </c>
      <c r="H6719" s="19" t="s">
        <v>33228</v>
      </c>
      <c r="I6719" s="20">
        <v>18.722999999999999</v>
      </c>
      <c r="J6719" s="44" t="s">
        <v>8</v>
      </c>
      <c r="K6719" s="23" t="s">
        <v>8</v>
      </c>
      <c r="L6719" s="23" t="s">
        <v>8</v>
      </c>
      <c r="M6719" s="23" t="s">
        <v>8</v>
      </c>
    </row>
    <row r="6720" spans="1:13" s="21" customFormat="1" x14ac:dyDescent="0.25">
      <c r="A6720" s="22" t="s">
        <v>8</v>
      </c>
      <c r="B6720" s="18" t="str">
        <f>"245218"</f>
        <v>245218</v>
      </c>
      <c r="C6720" s="19" t="s">
        <v>6628</v>
      </c>
      <c r="D6720" s="19" t="s">
        <v>22143</v>
      </c>
      <c r="E6720" s="19" t="s">
        <v>31055</v>
      </c>
      <c r="F6720" s="19" t="s">
        <v>35997</v>
      </c>
      <c r="G6720" s="18" t="str">
        <f>"55041"</f>
        <v>55041</v>
      </c>
      <c r="H6720" s="19" t="s">
        <v>33458</v>
      </c>
      <c r="I6720" s="20">
        <v>19.074000000000002</v>
      </c>
      <c r="J6720" s="44" t="s">
        <v>8</v>
      </c>
      <c r="K6720" s="23" t="s">
        <v>8</v>
      </c>
      <c r="L6720" s="23" t="s">
        <v>8</v>
      </c>
      <c r="M6720" s="23" t="s">
        <v>8</v>
      </c>
    </row>
    <row r="6721" spans="1:13" s="21" customFormat="1" x14ac:dyDescent="0.25">
      <c r="A6721" s="22" t="s">
        <v>8</v>
      </c>
      <c r="B6721" s="18" t="str">
        <f>"245221"</f>
        <v>245221</v>
      </c>
      <c r="C6721" s="19" t="s">
        <v>6629</v>
      </c>
      <c r="D6721" s="19" t="s">
        <v>22144</v>
      </c>
      <c r="E6721" s="19" t="s">
        <v>33342</v>
      </c>
      <c r="F6721" s="19" t="s">
        <v>35997</v>
      </c>
      <c r="G6721" s="18" t="str">
        <f>"55117"</f>
        <v>55117</v>
      </c>
      <c r="H6721" s="19" t="s">
        <v>36449</v>
      </c>
      <c r="I6721" s="20">
        <v>21.893000000000001</v>
      </c>
      <c r="J6721" s="44" t="s">
        <v>8</v>
      </c>
      <c r="K6721" s="23" t="s">
        <v>8</v>
      </c>
      <c r="L6721" s="23" t="s">
        <v>8</v>
      </c>
      <c r="M6721" s="23" t="s">
        <v>8</v>
      </c>
    </row>
    <row r="6722" spans="1:13" s="21" customFormat="1" x14ac:dyDescent="0.25">
      <c r="A6722" s="22" t="s">
        <v>8</v>
      </c>
      <c r="B6722" s="18" t="str">
        <f>"245222"</f>
        <v>245222</v>
      </c>
      <c r="C6722" s="19" t="s">
        <v>6630</v>
      </c>
      <c r="D6722" s="19" t="s">
        <v>22145</v>
      </c>
      <c r="E6722" s="19" t="s">
        <v>32601</v>
      </c>
      <c r="F6722" s="19" t="s">
        <v>35997</v>
      </c>
      <c r="G6722" s="18" t="str">
        <f>"55404"</f>
        <v>55404</v>
      </c>
      <c r="H6722" s="19" t="s">
        <v>36451</v>
      </c>
      <c r="I6722" s="20">
        <v>19.013000000000002</v>
      </c>
      <c r="J6722" s="44" t="s">
        <v>8</v>
      </c>
      <c r="K6722" s="23" t="s">
        <v>8</v>
      </c>
      <c r="L6722" s="23" t="s">
        <v>8</v>
      </c>
      <c r="M6722" s="23" t="s">
        <v>8</v>
      </c>
    </row>
    <row r="6723" spans="1:13" s="21" customFormat="1" x14ac:dyDescent="0.25">
      <c r="A6723" s="22" t="s">
        <v>8</v>
      </c>
      <c r="B6723" s="18" t="str">
        <f>"245223"</f>
        <v>245223</v>
      </c>
      <c r="C6723" s="19" t="s">
        <v>6631</v>
      </c>
      <c r="D6723" s="19" t="s">
        <v>22146</v>
      </c>
      <c r="E6723" s="19" t="s">
        <v>33343</v>
      </c>
      <c r="F6723" s="19" t="s">
        <v>35997</v>
      </c>
      <c r="G6723" s="18" t="str">
        <f>"55066"</f>
        <v>55066</v>
      </c>
      <c r="H6723" s="19" t="s">
        <v>36458</v>
      </c>
      <c r="I6723" s="20">
        <v>19.745999999999999</v>
      </c>
      <c r="J6723" s="44" t="s">
        <v>8</v>
      </c>
      <c r="K6723" s="23" t="s">
        <v>8</v>
      </c>
      <c r="L6723" s="23" t="s">
        <v>8</v>
      </c>
      <c r="M6723" s="23" t="s">
        <v>8</v>
      </c>
    </row>
    <row r="6724" spans="1:13" s="21" customFormat="1" x14ac:dyDescent="0.25">
      <c r="A6724" s="22" t="s">
        <v>8</v>
      </c>
      <c r="B6724" s="18" t="str">
        <f>"245224"</f>
        <v>245224</v>
      </c>
      <c r="C6724" s="19" t="s">
        <v>6632</v>
      </c>
      <c r="D6724" s="19" t="s">
        <v>22147</v>
      </c>
      <c r="E6724" s="19" t="s">
        <v>33150</v>
      </c>
      <c r="F6724" s="19" t="s">
        <v>35997</v>
      </c>
      <c r="G6724" s="18" t="str">
        <f>"55033"</f>
        <v>55033</v>
      </c>
      <c r="H6724" s="19" t="s">
        <v>36456</v>
      </c>
      <c r="I6724" s="20">
        <v>19.454999999999998</v>
      </c>
      <c r="J6724" s="44" t="s">
        <v>8</v>
      </c>
      <c r="K6724" s="23" t="s">
        <v>8</v>
      </c>
      <c r="L6724" s="23" t="s">
        <v>8</v>
      </c>
      <c r="M6724" s="23" t="s">
        <v>8</v>
      </c>
    </row>
    <row r="6725" spans="1:13" s="21" customFormat="1" x14ac:dyDescent="0.25">
      <c r="A6725" s="22" t="s">
        <v>8</v>
      </c>
      <c r="B6725" s="18" t="str">
        <f>"245225"</f>
        <v>245225</v>
      </c>
      <c r="C6725" s="19" t="s">
        <v>6633</v>
      </c>
      <c r="D6725" s="19" t="s">
        <v>22148</v>
      </c>
      <c r="E6725" s="19" t="s">
        <v>33344</v>
      </c>
      <c r="F6725" s="19" t="s">
        <v>35997</v>
      </c>
      <c r="G6725" s="18" t="str">
        <f>"56085"</f>
        <v>56085</v>
      </c>
      <c r="H6725" s="19" t="s">
        <v>36244</v>
      </c>
      <c r="I6725" s="20">
        <v>16.611999999999998</v>
      </c>
      <c r="J6725" s="44" t="s">
        <v>8</v>
      </c>
      <c r="K6725" s="23" t="s">
        <v>8</v>
      </c>
      <c r="L6725" s="23" t="s">
        <v>8</v>
      </c>
      <c r="M6725" s="23" t="s">
        <v>8</v>
      </c>
    </row>
    <row r="6726" spans="1:13" s="21" customFormat="1" x14ac:dyDescent="0.25">
      <c r="A6726" s="22" t="s">
        <v>8</v>
      </c>
      <c r="B6726" s="18" t="str">
        <f>"245227"</f>
        <v>245227</v>
      </c>
      <c r="C6726" s="19" t="s">
        <v>6634</v>
      </c>
      <c r="D6726" s="19" t="s">
        <v>22149</v>
      </c>
      <c r="E6726" s="19" t="s">
        <v>33341</v>
      </c>
      <c r="F6726" s="19" t="s">
        <v>35997</v>
      </c>
      <c r="G6726" s="18" t="str">
        <f>"55802"</f>
        <v>55802</v>
      </c>
      <c r="H6726" s="19" t="s">
        <v>33228</v>
      </c>
      <c r="I6726" s="20">
        <v>19.324000000000002</v>
      </c>
      <c r="J6726" s="44" t="s">
        <v>8</v>
      </c>
      <c r="K6726" s="23" t="s">
        <v>8</v>
      </c>
      <c r="L6726" s="23" t="s">
        <v>8</v>
      </c>
      <c r="M6726" s="23" t="s">
        <v>8</v>
      </c>
    </row>
    <row r="6727" spans="1:13" s="21" customFormat="1" x14ac:dyDescent="0.25">
      <c r="A6727" s="22" t="s">
        <v>8</v>
      </c>
      <c r="B6727" s="18" t="str">
        <f>"245228"</f>
        <v>245228</v>
      </c>
      <c r="C6727" s="19" t="s">
        <v>6635</v>
      </c>
      <c r="D6727" s="19" t="s">
        <v>22150</v>
      </c>
      <c r="E6727" s="19" t="s">
        <v>31063</v>
      </c>
      <c r="F6727" s="19" t="s">
        <v>35997</v>
      </c>
      <c r="G6727" s="18" t="str">
        <f>"56258"</f>
        <v>56258</v>
      </c>
      <c r="H6727" s="19" t="s">
        <v>36274</v>
      </c>
      <c r="I6727" s="20">
        <v>17.643999999999998</v>
      </c>
      <c r="J6727" s="44" t="s">
        <v>8</v>
      </c>
      <c r="K6727" s="23" t="s">
        <v>8</v>
      </c>
      <c r="L6727" s="23" t="s">
        <v>8</v>
      </c>
      <c r="M6727" s="23" t="s">
        <v>8</v>
      </c>
    </row>
    <row r="6728" spans="1:13" s="21" customFormat="1" x14ac:dyDescent="0.25">
      <c r="A6728" s="22" t="s">
        <v>8</v>
      </c>
      <c r="B6728" s="18" t="str">
        <f>"245229"</f>
        <v>245229</v>
      </c>
      <c r="C6728" s="19" t="s">
        <v>6636</v>
      </c>
      <c r="D6728" s="19" t="s">
        <v>22151</v>
      </c>
      <c r="E6728" s="19" t="s">
        <v>31919</v>
      </c>
      <c r="F6728" s="19" t="s">
        <v>35997</v>
      </c>
      <c r="G6728" s="18" t="str">
        <f>"55438"</f>
        <v>55438</v>
      </c>
      <c r="H6728" s="19" t="s">
        <v>36451</v>
      </c>
      <c r="I6728" s="20">
        <v>19.669</v>
      </c>
      <c r="J6728" s="44" t="s">
        <v>8</v>
      </c>
      <c r="K6728" s="23" t="s">
        <v>8</v>
      </c>
      <c r="L6728" s="23" t="s">
        <v>8</v>
      </c>
      <c r="M6728" s="23" t="s">
        <v>8</v>
      </c>
    </row>
    <row r="6729" spans="1:13" s="21" customFormat="1" x14ac:dyDescent="0.25">
      <c r="A6729" s="22" t="s">
        <v>8</v>
      </c>
      <c r="B6729" s="18" t="str">
        <f>"245231"</f>
        <v>245231</v>
      </c>
      <c r="C6729" s="19" t="s">
        <v>6637</v>
      </c>
      <c r="D6729" s="19" t="s">
        <v>22152</v>
      </c>
      <c r="E6729" s="19" t="s">
        <v>33345</v>
      </c>
      <c r="F6729" s="19" t="s">
        <v>35997</v>
      </c>
      <c r="G6729" s="18" t="str">
        <f>"56208"</f>
        <v>56208</v>
      </c>
      <c r="H6729" s="19" t="s">
        <v>36459</v>
      </c>
      <c r="I6729" s="20">
        <v>19.288</v>
      </c>
      <c r="J6729" s="44" t="s">
        <v>8</v>
      </c>
      <c r="K6729" s="23" t="s">
        <v>8</v>
      </c>
      <c r="L6729" s="23" t="s">
        <v>8</v>
      </c>
      <c r="M6729" s="23" t="s">
        <v>8</v>
      </c>
    </row>
    <row r="6730" spans="1:13" s="21" customFormat="1" x14ac:dyDescent="0.25">
      <c r="A6730" s="22" t="s">
        <v>8</v>
      </c>
      <c r="B6730" s="18" t="str">
        <f>"245232"</f>
        <v>245232</v>
      </c>
      <c r="C6730" s="19" t="s">
        <v>6638</v>
      </c>
      <c r="D6730" s="19" t="s">
        <v>22153</v>
      </c>
      <c r="E6730" s="19" t="s">
        <v>33346</v>
      </c>
      <c r="F6730" s="19" t="s">
        <v>35997</v>
      </c>
      <c r="G6730" s="18" t="str">
        <f>"56441"</f>
        <v>56441</v>
      </c>
      <c r="H6730" s="19" t="s">
        <v>36460</v>
      </c>
      <c r="I6730" s="20">
        <v>23.372</v>
      </c>
      <c r="J6730" s="44" t="s">
        <v>8</v>
      </c>
      <c r="K6730" s="23" t="s">
        <v>8</v>
      </c>
      <c r="L6730" s="23" t="s">
        <v>8</v>
      </c>
      <c r="M6730" s="23" t="s">
        <v>8</v>
      </c>
    </row>
    <row r="6731" spans="1:13" s="21" customFormat="1" x14ac:dyDescent="0.25">
      <c r="A6731" s="22" t="s">
        <v>8</v>
      </c>
      <c r="B6731" s="18" t="str">
        <f>"245233"</f>
        <v>245233</v>
      </c>
      <c r="C6731" s="19" t="s">
        <v>6639</v>
      </c>
      <c r="D6731" s="19" t="s">
        <v>22154</v>
      </c>
      <c r="E6731" s="19" t="s">
        <v>33325</v>
      </c>
      <c r="F6731" s="19" t="s">
        <v>35997</v>
      </c>
      <c r="G6731" s="18" t="str">
        <f>"55987"</f>
        <v>55987</v>
      </c>
      <c r="H6731" s="19" t="s">
        <v>33325</v>
      </c>
      <c r="I6731" s="20">
        <v>18.216000000000001</v>
      </c>
      <c r="J6731" s="44" t="s">
        <v>8</v>
      </c>
      <c r="K6731" s="23" t="s">
        <v>8</v>
      </c>
      <c r="L6731" s="23" t="s">
        <v>8</v>
      </c>
      <c r="M6731" s="23" t="s">
        <v>8</v>
      </c>
    </row>
    <row r="6732" spans="1:13" s="21" customFormat="1" x14ac:dyDescent="0.25">
      <c r="A6732" s="22" t="s">
        <v>8</v>
      </c>
      <c r="B6732" s="18" t="str">
        <f>"245234"</f>
        <v>245234</v>
      </c>
      <c r="C6732" s="19" t="s">
        <v>6640</v>
      </c>
      <c r="D6732" s="19" t="s">
        <v>22155</v>
      </c>
      <c r="E6732" s="19" t="s">
        <v>33347</v>
      </c>
      <c r="F6732" s="19" t="s">
        <v>35997</v>
      </c>
      <c r="G6732" s="18" t="str">
        <f>"55387"</f>
        <v>55387</v>
      </c>
      <c r="H6732" s="19" t="s">
        <v>36461</v>
      </c>
      <c r="I6732" s="20">
        <v>17.702999999999999</v>
      </c>
      <c r="J6732" s="44" t="s">
        <v>8</v>
      </c>
      <c r="K6732" s="23" t="s">
        <v>8</v>
      </c>
      <c r="L6732" s="23" t="s">
        <v>8</v>
      </c>
      <c r="M6732" s="23" t="s">
        <v>8</v>
      </c>
    </row>
    <row r="6733" spans="1:13" s="21" customFormat="1" x14ac:dyDescent="0.25">
      <c r="A6733" s="22" t="s">
        <v>8</v>
      </c>
      <c r="B6733" s="18" t="str">
        <f>"245235"</f>
        <v>245235</v>
      </c>
      <c r="C6733" s="19" t="s">
        <v>6641</v>
      </c>
      <c r="D6733" s="19" t="s">
        <v>22156</v>
      </c>
      <c r="E6733" s="19" t="s">
        <v>33348</v>
      </c>
      <c r="F6733" s="19" t="s">
        <v>35997</v>
      </c>
      <c r="G6733" s="18" t="str">
        <f>"55125"</f>
        <v>55125</v>
      </c>
      <c r="H6733" s="19" t="s">
        <v>31500</v>
      </c>
      <c r="I6733" s="20">
        <v>19.652999999999999</v>
      </c>
      <c r="J6733" s="44" t="s">
        <v>8</v>
      </c>
      <c r="K6733" s="23" t="s">
        <v>8</v>
      </c>
      <c r="L6733" s="23" t="s">
        <v>8</v>
      </c>
      <c r="M6733" s="23" t="s">
        <v>8</v>
      </c>
    </row>
    <row r="6734" spans="1:13" s="21" customFormat="1" x14ac:dyDescent="0.25">
      <c r="A6734" s="22" t="s">
        <v>8</v>
      </c>
      <c r="B6734" s="18" t="str">
        <f>"245236"</f>
        <v>245236</v>
      </c>
      <c r="C6734" s="19" t="s">
        <v>6642</v>
      </c>
      <c r="D6734" s="19" t="s">
        <v>22157</v>
      </c>
      <c r="E6734" s="19" t="s">
        <v>33341</v>
      </c>
      <c r="F6734" s="19" t="s">
        <v>35997</v>
      </c>
      <c r="G6734" s="18" t="str">
        <f>"55811"</f>
        <v>55811</v>
      </c>
      <c r="H6734" s="19" t="s">
        <v>33228</v>
      </c>
      <c r="I6734" s="20">
        <v>17.91</v>
      </c>
      <c r="J6734" s="44" t="s">
        <v>8</v>
      </c>
      <c r="K6734" s="23" t="s">
        <v>8</v>
      </c>
      <c r="L6734" s="23" t="s">
        <v>8</v>
      </c>
      <c r="M6734" s="23" t="s">
        <v>8</v>
      </c>
    </row>
    <row r="6735" spans="1:13" s="21" customFormat="1" x14ac:dyDescent="0.25">
      <c r="A6735" s="22" t="s">
        <v>8</v>
      </c>
      <c r="B6735" s="18" t="str">
        <f>"245237"</f>
        <v>245237</v>
      </c>
      <c r="C6735" s="19" t="s">
        <v>6643</v>
      </c>
      <c r="D6735" s="19" t="s">
        <v>22158</v>
      </c>
      <c r="E6735" s="19" t="s">
        <v>33349</v>
      </c>
      <c r="F6735" s="19" t="s">
        <v>35997</v>
      </c>
      <c r="G6735" s="18" t="str">
        <f>"56283"</f>
        <v>56283</v>
      </c>
      <c r="H6735" s="19" t="s">
        <v>36462</v>
      </c>
      <c r="I6735" s="20">
        <v>17.850999999999999</v>
      </c>
      <c r="J6735" s="44" t="s">
        <v>8</v>
      </c>
      <c r="K6735" s="23" t="s">
        <v>8</v>
      </c>
      <c r="L6735" s="23" t="s">
        <v>8</v>
      </c>
      <c r="M6735" s="23" t="s">
        <v>8</v>
      </c>
    </row>
    <row r="6736" spans="1:13" s="21" customFormat="1" x14ac:dyDescent="0.25">
      <c r="A6736" s="22" t="s">
        <v>8</v>
      </c>
      <c r="B6736" s="18" t="str">
        <f>"245238"</f>
        <v>245238</v>
      </c>
      <c r="C6736" s="19" t="s">
        <v>6644</v>
      </c>
      <c r="D6736" s="19" t="s">
        <v>22159</v>
      </c>
      <c r="E6736" s="19" t="s">
        <v>33350</v>
      </c>
      <c r="F6736" s="19" t="s">
        <v>35997</v>
      </c>
      <c r="G6736" s="18" t="str">
        <f>"56557"</f>
        <v>56557</v>
      </c>
      <c r="H6736" s="19" t="s">
        <v>33350</v>
      </c>
      <c r="I6736" s="20">
        <v>18.114999999999998</v>
      </c>
      <c r="J6736" s="44" t="s">
        <v>8</v>
      </c>
      <c r="K6736" s="23" t="s">
        <v>8</v>
      </c>
      <c r="L6736" s="23" t="s">
        <v>8</v>
      </c>
      <c r="M6736" s="23" t="s">
        <v>8</v>
      </c>
    </row>
    <row r="6737" spans="1:13" s="21" customFormat="1" x14ac:dyDescent="0.25">
      <c r="A6737" s="22" t="s">
        <v>8</v>
      </c>
      <c r="B6737" s="18" t="str">
        <f>"245239"</f>
        <v>245239</v>
      </c>
      <c r="C6737" s="19" t="s">
        <v>6645</v>
      </c>
      <c r="D6737" s="19" t="s">
        <v>22160</v>
      </c>
      <c r="E6737" s="19" t="s">
        <v>33351</v>
      </c>
      <c r="F6737" s="19" t="s">
        <v>35997</v>
      </c>
      <c r="G6737" s="18" t="str">
        <f>"55746"</f>
        <v>55746</v>
      </c>
      <c r="H6737" s="19" t="s">
        <v>33228</v>
      </c>
      <c r="I6737" s="20">
        <v>18.021999999999998</v>
      </c>
      <c r="J6737" s="44" t="s">
        <v>8</v>
      </c>
      <c r="K6737" s="23" t="s">
        <v>8</v>
      </c>
      <c r="L6737" s="23" t="s">
        <v>8</v>
      </c>
      <c r="M6737" s="23" t="s">
        <v>8</v>
      </c>
    </row>
    <row r="6738" spans="1:13" s="21" customFormat="1" x14ac:dyDescent="0.25">
      <c r="A6738" s="22" t="s">
        <v>8</v>
      </c>
      <c r="B6738" s="18" t="str">
        <f>"245240"</f>
        <v>245240</v>
      </c>
      <c r="C6738" s="19" t="s">
        <v>6646</v>
      </c>
      <c r="D6738" s="19" t="s">
        <v>22161</v>
      </c>
      <c r="E6738" s="19" t="s">
        <v>33325</v>
      </c>
      <c r="F6738" s="19" t="s">
        <v>35997</v>
      </c>
      <c r="G6738" s="18" t="str">
        <f>"55987"</f>
        <v>55987</v>
      </c>
      <c r="H6738" s="19" t="s">
        <v>33325</v>
      </c>
      <c r="I6738" s="20">
        <v>16.166</v>
      </c>
      <c r="J6738" s="44" t="s">
        <v>8</v>
      </c>
      <c r="K6738" s="23" t="s">
        <v>8</v>
      </c>
      <c r="L6738" s="23" t="s">
        <v>8</v>
      </c>
      <c r="M6738" s="23" t="s">
        <v>8</v>
      </c>
    </row>
    <row r="6739" spans="1:13" s="21" customFormat="1" x14ac:dyDescent="0.25">
      <c r="A6739" s="22" t="s">
        <v>8</v>
      </c>
      <c r="B6739" s="18" t="str">
        <f>"245241"</f>
        <v>245241</v>
      </c>
      <c r="C6739" s="19" t="s">
        <v>6647</v>
      </c>
      <c r="D6739" s="19" t="s">
        <v>22162</v>
      </c>
      <c r="E6739" s="19" t="s">
        <v>33352</v>
      </c>
      <c r="F6739" s="19" t="s">
        <v>35997</v>
      </c>
      <c r="G6739" s="18" t="str">
        <f>"55057"</f>
        <v>55057</v>
      </c>
      <c r="H6739" s="19" t="s">
        <v>36306</v>
      </c>
      <c r="I6739" s="20">
        <v>17.997</v>
      </c>
      <c r="J6739" s="44" t="s">
        <v>8</v>
      </c>
      <c r="K6739" s="23" t="s">
        <v>8</v>
      </c>
      <c r="L6739" s="23" t="s">
        <v>8</v>
      </c>
      <c r="M6739" s="23" t="s">
        <v>8</v>
      </c>
    </row>
    <row r="6740" spans="1:13" s="21" customFormat="1" x14ac:dyDescent="0.25">
      <c r="A6740" s="22" t="s">
        <v>8</v>
      </c>
      <c r="B6740" s="18" t="str">
        <f>"245242"</f>
        <v>245242</v>
      </c>
      <c r="C6740" s="19" t="s">
        <v>6648</v>
      </c>
      <c r="D6740" s="19" t="s">
        <v>22163</v>
      </c>
      <c r="E6740" s="19" t="s">
        <v>32601</v>
      </c>
      <c r="F6740" s="19" t="s">
        <v>35997</v>
      </c>
      <c r="G6740" s="18" t="str">
        <f>"55404"</f>
        <v>55404</v>
      </c>
      <c r="H6740" s="19" t="s">
        <v>36451</v>
      </c>
      <c r="I6740" s="20">
        <v>21.457000000000001</v>
      </c>
      <c r="J6740" s="44" t="s">
        <v>8</v>
      </c>
      <c r="K6740" s="23" t="s">
        <v>8</v>
      </c>
      <c r="L6740" s="23" t="s">
        <v>8</v>
      </c>
      <c r="M6740" s="23" t="s">
        <v>8</v>
      </c>
    </row>
    <row r="6741" spans="1:13" s="21" customFormat="1" x14ac:dyDescent="0.25">
      <c r="A6741" s="22" t="s">
        <v>8</v>
      </c>
      <c r="B6741" s="18" t="str">
        <f>"245243"</f>
        <v>245243</v>
      </c>
      <c r="C6741" s="19" t="s">
        <v>6649</v>
      </c>
      <c r="D6741" s="19" t="s">
        <v>22164</v>
      </c>
      <c r="E6741" s="19" t="s">
        <v>33353</v>
      </c>
      <c r="F6741" s="19" t="s">
        <v>35997</v>
      </c>
      <c r="G6741" s="18" t="str">
        <f>"56241"</f>
        <v>56241</v>
      </c>
      <c r="H6741" s="19" t="s">
        <v>36463</v>
      </c>
      <c r="I6741" s="20">
        <v>19.033000000000001</v>
      </c>
      <c r="J6741" s="44" t="s">
        <v>8</v>
      </c>
      <c r="K6741" s="23" t="s">
        <v>8</v>
      </c>
      <c r="L6741" s="23" t="s">
        <v>8</v>
      </c>
      <c r="M6741" s="23" t="s">
        <v>8</v>
      </c>
    </row>
    <row r="6742" spans="1:13" s="21" customFormat="1" x14ac:dyDescent="0.25">
      <c r="A6742" s="22" t="s">
        <v>8</v>
      </c>
      <c r="B6742" s="18" t="str">
        <f>"245244"</f>
        <v>245244</v>
      </c>
      <c r="C6742" s="19" t="s">
        <v>6650</v>
      </c>
      <c r="D6742" s="19" t="s">
        <v>22165</v>
      </c>
      <c r="E6742" s="19" t="s">
        <v>33354</v>
      </c>
      <c r="F6742" s="19" t="s">
        <v>35997</v>
      </c>
      <c r="G6742" s="18" t="str">
        <f>"56347"</f>
        <v>56347</v>
      </c>
      <c r="H6742" s="19" t="s">
        <v>36350</v>
      </c>
      <c r="I6742" s="20">
        <v>19.399000000000001</v>
      </c>
      <c r="J6742" s="44" t="s">
        <v>8</v>
      </c>
      <c r="K6742" s="23" t="s">
        <v>8</v>
      </c>
      <c r="L6742" s="23" t="s">
        <v>8</v>
      </c>
      <c r="M6742" s="23" t="s">
        <v>8</v>
      </c>
    </row>
    <row r="6743" spans="1:13" s="21" customFormat="1" x14ac:dyDescent="0.25">
      <c r="A6743" s="22" t="s">
        <v>8</v>
      </c>
      <c r="B6743" s="18" t="str">
        <f>"245245"</f>
        <v>245245</v>
      </c>
      <c r="C6743" s="19" t="s">
        <v>1006</v>
      </c>
      <c r="D6743" s="19" t="s">
        <v>22166</v>
      </c>
      <c r="E6743" s="19" t="s">
        <v>33355</v>
      </c>
      <c r="F6743" s="19" t="s">
        <v>35997</v>
      </c>
      <c r="G6743" s="18" t="str">
        <f>"55719"</f>
        <v>55719</v>
      </c>
      <c r="H6743" s="19" t="s">
        <v>33228</v>
      </c>
      <c r="I6743" s="20">
        <v>17.925000000000001</v>
      </c>
      <c r="J6743" s="44" t="s">
        <v>8</v>
      </c>
      <c r="K6743" s="23" t="s">
        <v>8</v>
      </c>
      <c r="L6743" s="23" t="s">
        <v>8</v>
      </c>
      <c r="M6743" s="23" t="s">
        <v>8</v>
      </c>
    </row>
    <row r="6744" spans="1:13" s="21" customFormat="1" x14ac:dyDescent="0.25">
      <c r="A6744" s="22" t="s">
        <v>8</v>
      </c>
      <c r="B6744" s="18" t="str">
        <f>"245247"</f>
        <v>245247</v>
      </c>
      <c r="C6744" s="19" t="s">
        <v>6651</v>
      </c>
      <c r="D6744" s="19" t="s">
        <v>22167</v>
      </c>
      <c r="E6744" s="19" t="s">
        <v>33356</v>
      </c>
      <c r="F6744" s="19" t="s">
        <v>35997</v>
      </c>
      <c r="G6744" s="18" t="str">
        <f>"56728"</f>
        <v>56728</v>
      </c>
      <c r="H6744" s="19" t="s">
        <v>36464</v>
      </c>
      <c r="I6744" s="20">
        <v>17.759</v>
      </c>
      <c r="J6744" s="44" t="s">
        <v>8</v>
      </c>
      <c r="K6744" s="23" t="s">
        <v>8</v>
      </c>
      <c r="L6744" s="23" t="s">
        <v>8</v>
      </c>
      <c r="M6744" s="23" t="s">
        <v>8</v>
      </c>
    </row>
    <row r="6745" spans="1:13" s="21" customFormat="1" x14ac:dyDescent="0.25">
      <c r="A6745" s="22" t="s">
        <v>8</v>
      </c>
      <c r="B6745" s="18" t="str">
        <f>"245250"</f>
        <v>245250</v>
      </c>
      <c r="C6745" s="19" t="s">
        <v>6652</v>
      </c>
      <c r="D6745" s="19" t="s">
        <v>22168</v>
      </c>
      <c r="E6745" s="19" t="s">
        <v>31445</v>
      </c>
      <c r="F6745" s="19" t="s">
        <v>35997</v>
      </c>
      <c r="G6745" s="18" t="str">
        <f>"55024"</f>
        <v>55024</v>
      </c>
      <c r="H6745" s="19" t="s">
        <v>36456</v>
      </c>
      <c r="I6745" s="20">
        <v>17.395</v>
      </c>
      <c r="J6745" s="44" t="s">
        <v>8</v>
      </c>
      <c r="K6745" s="23" t="s">
        <v>8</v>
      </c>
      <c r="L6745" s="23" t="s">
        <v>8</v>
      </c>
      <c r="M6745" s="23" t="s">
        <v>8</v>
      </c>
    </row>
    <row r="6746" spans="1:13" s="21" customFormat="1" x14ac:dyDescent="0.25">
      <c r="A6746" s="22" t="s">
        <v>8</v>
      </c>
      <c r="B6746" s="18" t="str">
        <f>"245251"</f>
        <v>245251</v>
      </c>
      <c r="C6746" s="19" t="s">
        <v>6653</v>
      </c>
      <c r="D6746" s="19" t="s">
        <v>22169</v>
      </c>
      <c r="E6746" s="19" t="s">
        <v>33357</v>
      </c>
      <c r="F6746" s="19" t="s">
        <v>35997</v>
      </c>
      <c r="G6746" s="18" t="str">
        <f>"56716"</f>
        <v>56716</v>
      </c>
      <c r="H6746" s="19" t="s">
        <v>36062</v>
      </c>
      <c r="I6746" s="20">
        <v>18.879000000000001</v>
      </c>
      <c r="J6746" s="44" t="s">
        <v>8</v>
      </c>
      <c r="K6746" s="23" t="s">
        <v>8</v>
      </c>
      <c r="L6746" s="23" t="s">
        <v>8</v>
      </c>
      <c r="M6746" s="23" t="s">
        <v>8</v>
      </c>
    </row>
    <row r="6747" spans="1:13" s="21" customFormat="1" x14ac:dyDescent="0.25">
      <c r="A6747" s="22" t="s">
        <v>8</v>
      </c>
      <c r="B6747" s="18" t="str">
        <f>"245252"</f>
        <v>245252</v>
      </c>
      <c r="C6747" s="19" t="s">
        <v>6654</v>
      </c>
      <c r="D6747" s="19" t="s">
        <v>22170</v>
      </c>
      <c r="E6747" s="19" t="s">
        <v>33358</v>
      </c>
      <c r="F6747" s="19" t="s">
        <v>35997</v>
      </c>
      <c r="G6747" s="18" t="str">
        <f>"56701"</f>
        <v>56701</v>
      </c>
      <c r="H6747" s="19" t="s">
        <v>36465</v>
      </c>
      <c r="I6747" s="20">
        <v>18.681999999999999</v>
      </c>
      <c r="J6747" s="44" t="s">
        <v>8</v>
      </c>
      <c r="K6747" s="23" t="s">
        <v>8</v>
      </c>
      <c r="L6747" s="23" t="s">
        <v>8</v>
      </c>
      <c r="M6747" s="23" t="s">
        <v>8</v>
      </c>
    </row>
    <row r="6748" spans="1:13" s="21" customFormat="1" x14ac:dyDescent="0.25">
      <c r="A6748" s="22" t="s">
        <v>8</v>
      </c>
      <c r="B6748" s="18" t="str">
        <f>"245253"</f>
        <v>245253</v>
      </c>
      <c r="C6748" s="19" t="s">
        <v>6655</v>
      </c>
      <c r="D6748" s="19" t="s">
        <v>22171</v>
      </c>
      <c r="E6748" s="19" t="s">
        <v>33359</v>
      </c>
      <c r="F6748" s="19" t="s">
        <v>35997</v>
      </c>
      <c r="G6748" s="18" t="str">
        <f>"56362"</f>
        <v>56362</v>
      </c>
      <c r="H6748" s="19" t="s">
        <v>36466</v>
      </c>
      <c r="I6748" s="20">
        <v>19.318999999999999</v>
      </c>
      <c r="J6748" s="44" t="s">
        <v>8</v>
      </c>
      <c r="K6748" s="23" t="s">
        <v>8</v>
      </c>
      <c r="L6748" s="23" t="s">
        <v>8</v>
      </c>
      <c r="M6748" s="23" t="s">
        <v>8</v>
      </c>
    </row>
    <row r="6749" spans="1:13" s="21" customFormat="1" x14ac:dyDescent="0.25">
      <c r="A6749" s="22" t="s">
        <v>8</v>
      </c>
      <c r="B6749" s="18" t="str">
        <f>"245254"</f>
        <v>245254</v>
      </c>
      <c r="C6749" s="19" t="s">
        <v>6656</v>
      </c>
      <c r="D6749" s="19" t="s">
        <v>22172</v>
      </c>
      <c r="E6749" s="19" t="s">
        <v>33150</v>
      </c>
      <c r="F6749" s="19" t="s">
        <v>35997</v>
      </c>
      <c r="G6749" s="18" t="str">
        <f>"55033"</f>
        <v>55033</v>
      </c>
      <c r="H6749" s="19" t="s">
        <v>36456</v>
      </c>
      <c r="I6749" s="20">
        <v>17.122</v>
      </c>
      <c r="J6749" s="44" t="s">
        <v>8</v>
      </c>
      <c r="K6749" s="23" t="s">
        <v>8</v>
      </c>
      <c r="L6749" s="23" t="s">
        <v>8</v>
      </c>
      <c r="M6749" s="23" t="s">
        <v>8</v>
      </c>
    </row>
    <row r="6750" spans="1:13" s="21" customFormat="1" x14ac:dyDescent="0.25">
      <c r="A6750" s="22" t="s">
        <v>8</v>
      </c>
      <c r="B6750" s="18" t="str">
        <f>"245255"</f>
        <v>245255</v>
      </c>
      <c r="C6750" s="19" t="s">
        <v>6657</v>
      </c>
      <c r="D6750" s="19" t="s">
        <v>22173</v>
      </c>
      <c r="E6750" s="19" t="s">
        <v>32650</v>
      </c>
      <c r="F6750" s="19" t="s">
        <v>35997</v>
      </c>
      <c r="G6750" s="18" t="str">
        <f>"55107"</f>
        <v>55107</v>
      </c>
      <c r="H6750" s="19" t="s">
        <v>36449</v>
      </c>
      <c r="I6750" s="20">
        <v>18.881</v>
      </c>
      <c r="J6750" s="44" t="s">
        <v>8</v>
      </c>
      <c r="K6750" s="23" t="s">
        <v>8</v>
      </c>
      <c r="L6750" s="23" t="s">
        <v>8</v>
      </c>
      <c r="M6750" s="23" t="s">
        <v>8</v>
      </c>
    </row>
    <row r="6751" spans="1:13" s="21" customFormat="1" x14ac:dyDescent="0.25">
      <c r="A6751" s="22" t="s">
        <v>8</v>
      </c>
      <c r="B6751" s="18" t="str">
        <f>"245257"</f>
        <v>245257</v>
      </c>
      <c r="C6751" s="19" t="s">
        <v>6658</v>
      </c>
      <c r="D6751" s="19" t="s">
        <v>22174</v>
      </c>
      <c r="E6751" s="19" t="s">
        <v>33360</v>
      </c>
      <c r="F6751" s="19" t="s">
        <v>35997</v>
      </c>
      <c r="G6751" s="18" t="str">
        <f>"56345"</f>
        <v>56345</v>
      </c>
      <c r="H6751" s="19" t="s">
        <v>31351</v>
      </c>
      <c r="I6751" s="20">
        <v>17.635999999999999</v>
      </c>
      <c r="J6751" s="44" t="s">
        <v>8</v>
      </c>
      <c r="K6751" s="23" t="s">
        <v>8</v>
      </c>
      <c r="L6751" s="23" t="s">
        <v>8</v>
      </c>
      <c r="M6751" s="23" t="s">
        <v>8</v>
      </c>
    </row>
    <row r="6752" spans="1:13" s="21" customFormat="1" x14ac:dyDescent="0.25">
      <c r="A6752" s="22" t="s">
        <v>8</v>
      </c>
      <c r="B6752" s="18" t="str">
        <f>"245258"</f>
        <v>245258</v>
      </c>
      <c r="C6752" s="19" t="s">
        <v>6659</v>
      </c>
      <c r="D6752" s="19" t="s">
        <v>22175</v>
      </c>
      <c r="E6752" s="19" t="s">
        <v>33341</v>
      </c>
      <c r="F6752" s="19" t="s">
        <v>35997</v>
      </c>
      <c r="G6752" s="18" t="str">
        <f>"55802"</f>
        <v>55802</v>
      </c>
      <c r="H6752" s="19" t="s">
        <v>33228</v>
      </c>
      <c r="I6752" s="20">
        <v>19.178000000000001</v>
      </c>
      <c r="J6752" s="44" t="s">
        <v>8</v>
      </c>
      <c r="K6752" s="23" t="s">
        <v>8</v>
      </c>
      <c r="L6752" s="23" t="s">
        <v>8</v>
      </c>
      <c r="M6752" s="23" t="s">
        <v>8</v>
      </c>
    </row>
    <row r="6753" spans="1:13" s="21" customFormat="1" x14ac:dyDescent="0.25">
      <c r="A6753" s="22" t="s">
        <v>8</v>
      </c>
      <c r="B6753" s="18" t="str">
        <f>"245259"</f>
        <v>245259</v>
      </c>
      <c r="C6753" s="19" t="s">
        <v>6660</v>
      </c>
      <c r="D6753" s="19" t="s">
        <v>22176</v>
      </c>
      <c r="E6753" s="19" t="s">
        <v>33361</v>
      </c>
      <c r="F6753" s="19" t="s">
        <v>35997</v>
      </c>
      <c r="G6753" s="18" t="str">
        <f>"56265"</f>
        <v>56265</v>
      </c>
      <c r="H6753" s="19" t="s">
        <v>36439</v>
      </c>
      <c r="I6753" s="20">
        <v>17.597999999999999</v>
      </c>
      <c r="J6753" s="44" t="s">
        <v>8</v>
      </c>
      <c r="K6753" s="23" t="s">
        <v>8</v>
      </c>
      <c r="L6753" s="23" t="s">
        <v>8</v>
      </c>
      <c r="M6753" s="23" t="s">
        <v>8</v>
      </c>
    </row>
    <row r="6754" spans="1:13" s="21" customFormat="1" x14ac:dyDescent="0.25">
      <c r="A6754" s="22" t="s">
        <v>8</v>
      </c>
      <c r="B6754" s="18" t="str">
        <f>"245261"</f>
        <v>245261</v>
      </c>
      <c r="C6754" s="19" t="s">
        <v>6661</v>
      </c>
      <c r="D6754" s="19" t="s">
        <v>22177</v>
      </c>
      <c r="E6754" s="19" t="s">
        <v>33349</v>
      </c>
      <c r="F6754" s="19" t="s">
        <v>35997</v>
      </c>
      <c r="G6754" s="18" t="str">
        <f>"56283"</f>
        <v>56283</v>
      </c>
      <c r="H6754" s="19" t="s">
        <v>36462</v>
      </c>
      <c r="I6754" s="20">
        <v>18.186</v>
      </c>
      <c r="J6754" s="44" t="s">
        <v>8</v>
      </c>
      <c r="K6754" s="23" t="s">
        <v>8</v>
      </c>
      <c r="L6754" s="23" t="s">
        <v>8</v>
      </c>
      <c r="M6754" s="23" t="s">
        <v>8</v>
      </c>
    </row>
    <row r="6755" spans="1:13" s="21" customFormat="1" x14ac:dyDescent="0.25">
      <c r="A6755" s="22" t="s">
        <v>8</v>
      </c>
      <c r="B6755" s="18" t="str">
        <f>"245262"</f>
        <v>245262</v>
      </c>
      <c r="C6755" s="19" t="s">
        <v>6662</v>
      </c>
      <c r="D6755" s="19" t="s">
        <v>22178</v>
      </c>
      <c r="E6755" s="19" t="s">
        <v>32051</v>
      </c>
      <c r="F6755" s="19" t="s">
        <v>35997</v>
      </c>
      <c r="G6755" s="18" t="str">
        <f>"56267"</f>
        <v>56267</v>
      </c>
      <c r="H6755" s="19" t="s">
        <v>34934</v>
      </c>
      <c r="I6755" s="20">
        <v>19.821000000000002</v>
      </c>
      <c r="J6755" s="44" t="s">
        <v>8</v>
      </c>
      <c r="K6755" s="23" t="s">
        <v>8</v>
      </c>
      <c r="L6755" s="23" t="s">
        <v>8</v>
      </c>
      <c r="M6755" s="23" t="s">
        <v>8</v>
      </c>
    </row>
    <row r="6756" spans="1:13" s="21" customFormat="1" x14ac:dyDescent="0.25">
      <c r="A6756" s="22" t="s">
        <v>8</v>
      </c>
      <c r="B6756" s="18" t="str">
        <f>"245263"</f>
        <v>245263</v>
      </c>
      <c r="C6756" s="19" t="s">
        <v>6663</v>
      </c>
      <c r="D6756" s="19" t="s">
        <v>22179</v>
      </c>
      <c r="E6756" s="19" t="s">
        <v>30879</v>
      </c>
      <c r="F6756" s="19" t="s">
        <v>35997</v>
      </c>
      <c r="G6756" s="18" t="str">
        <f>"55336"</f>
        <v>55336</v>
      </c>
      <c r="H6756" s="19" t="s">
        <v>36452</v>
      </c>
      <c r="I6756" s="20">
        <v>18.36</v>
      </c>
      <c r="J6756" s="44" t="s">
        <v>8</v>
      </c>
      <c r="K6756" s="23" t="s">
        <v>8</v>
      </c>
      <c r="L6756" s="23" t="s">
        <v>8</v>
      </c>
      <c r="M6756" s="23" t="s">
        <v>8</v>
      </c>
    </row>
    <row r="6757" spans="1:13" s="21" customFormat="1" x14ac:dyDescent="0.25">
      <c r="A6757" s="22" t="s">
        <v>8</v>
      </c>
      <c r="B6757" s="18" t="str">
        <f>"245264"</f>
        <v>245264</v>
      </c>
      <c r="C6757" s="19" t="s">
        <v>6664</v>
      </c>
      <c r="D6757" s="19" t="s">
        <v>22180</v>
      </c>
      <c r="E6757" s="19" t="s">
        <v>33362</v>
      </c>
      <c r="F6757" s="19" t="s">
        <v>35997</v>
      </c>
      <c r="G6757" s="18" t="str">
        <f>"55124"</f>
        <v>55124</v>
      </c>
      <c r="H6757" s="19" t="s">
        <v>36456</v>
      </c>
      <c r="I6757" s="20">
        <v>17.704999999999998</v>
      </c>
      <c r="J6757" s="44" t="s">
        <v>8</v>
      </c>
      <c r="K6757" s="23" t="s">
        <v>8</v>
      </c>
      <c r="L6757" s="23" t="s">
        <v>8</v>
      </c>
      <c r="M6757" s="23" t="s">
        <v>8</v>
      </c>
    </row>
    <row r="6758" spans="1:13" s="21" customFormat="1" x14ac:dyDescent="0.25">
      <c r="A6758" s="22" t="s">
        <v>8</v>
      </c>
      <c r="B6758" s="18" t="str">
        <f>"245265"</f>
        <v>245265</v>
      </c>
      <c r="C6758" s="19" t="s">
        <v>6261</v>
      </c>
      <c r="D6758" s="19" t="s">
        <v>22181</v>
      </c>
      <c r="E6758" s="19" t="s">
        <v>33363</v>
      </c>
      <c r="F6758" s="19" t="s">
        <v>35997</v>
      </c>
      <c r="G6758" s="18" t="str">
        <f>"56520"</f>
        <v>56520</v>
      </c>
      <c r="H6758" s="19" t="s">
        <v>36467</v>
      </c>
      <c r="I6758" s="20">
        <v>16.783999999999999</v>
      </c>
      <c r="J6758" s="44" t="s">
        <v>8</v>
      </c>
      <c r="K6758" s="23" t="s">
        <v>8</v>
      </c>
      <c r="L6758" s="23" t="s">
        <v>8</v>
      </c>
      <c r="M6758" s="23" t="s">
        <v>8</v>
      </c>
    </row>
    <row r="6759" spans="1:13" s="21" customFormat="1" x14ac:dyDescent="0.25">
      <c r="A6759" s="22" t="s">
        <v>8</v>
      </c>
      <c r="B6759" s="18" t="str">
        <f>"245266"</f>
        <v>245266</v>
      </c>
      <c r="C6759" s="19" t="s">
        <v>6665</v>
      </c>
      <c r="D6759" s="19" t="s">
        <v>22182</v>
      </c>
      <c r="E6759" s="19" t="s">
        <v>32601</v>
      </c>
      <c r="F6759" s="19" t="s">
        <v>35997</v>
      </c>
      <c r="G6759" s="18" t="str">
        <f>"55404"</f>
        <v>55404</v>
      </c>
      <c r="H6759" s="19" t="s">
        <v>36451</v>
      </c>
      <c r="I6759" s="20">
        <v>20.773</v>
      </c>
      <c r="J6759" s="44" t="s">
        <v>8</v>
      </c>
      <c r="K6759" s="23" t="s">
        <v>8</v>
      </c>
      <c r="L6759" s="23" t="s">
        <v>8</v>
      </c>
      <c r="M6759" s="23" t="s">
        <v>8</v>
      </c>
    </row>
    <row r="6760" spans="1:13" s="21" customFormat="1" x14ac:dyDescent="0.25">
      <c r="A6760" s="22" t="s">
        <v>8</v>
      </c>
      <c r="B6760" s="18" t="str">
        <f>"245267"</f>
        <v>245267</v>
      </c>
      <c r="C6760" s="19" t="s">
        <v>6666</v>
      </c>
      <c r="D6760" s="19" t="s">
        <v>22183</v>
      </c>
      <c r="E6760" s="19" t="s">
        <v>33364</v>
      </c>
      <c r="F6760" s="19" t="s">
        <v>35997</v>
      </c>
      <c r="G6760" s="18" t="str">
        <f>"55421"</f>
        <v>55421</v>
      </c>
      <c r="H6760" s="19" t="s">
        <v>33336</v>
      </c>
      <c r="I6760" s="20">
        <v>17.279</v>
      </c>
      <c r="J6760" s="44" t="s">
        <v>8</v>
      </c>
      <c r="K6760" s="23" t="s">
        <v>8</v>
      </c>
      <c r="L6760" s="23" t="s">
        <v>8</v>
      </c>
      <c r="M6760" s="23" t="s">
        <v>8</v>
      </c>
    </row>
    <row r="6761" spans="1:13" s="21" customFormat="1" x14ac:dyDescent="0.25">
      <c r="A6761" s="22" t="s">
        <v>8</v>
      </c>
      <c r="B6761" s="18" t="str">
        <f>"245269"</f>
        <v>245269</v>
      </c>
      <c r="C6761" s="19" t="s">
        <v>6667</v>
      </c>
      <c r="D6761" s="19" t="s">
        <v>22184</v>
      </c>
      <c r="E6761" s="19" t="s">
        <v>33365</v>
      </c>
      <c r="F6761" s="19" t="s">
        <v>35997</v>
      </c>
      <c r="G6761" s="18" t="str">
        <f>"56379"</f>
        <v>56379</v>
      </c>
      <c r="H6761" s="19" t="s">
        <v>31024</v>
      </c>
      <c r="I6761" s="20">
        <v>21.77</v>
      </c>
      <c r="J6761" s="44" t="s">
        <v>8</v>
      </c>
      <c r="K6761" s="23" t="s">
        <v>8</v>
      </c>
      <c r="L6761" s="23" t="s">
        <v>8</v>
      </c>
      <c r="M6761" s="23" t="s">
        <v>8</v>
      </c>
    </row>
    <row r="6762" spans="1:13" s="21" customFormat="1" x14ac:dyDescent="0.25">
      <c r="A6762" s="22" t="s">
        <v>8</v>
      </c>
      <c r="B6762" s="18" t="str">
        <f>"245270"</f>
        <v>245270</v>
      </c>
      <c r="C6762" s="19" t="s">
        <v>6668</v>
      </c>
      <c r="D6762" s="19" t="s">
        <v>22185</v>
      </c>
      <c r="E6762" s="19" t="s">
        <v>31996</v>
      </c>
      <c r="F6762" s="19" t="s">
        <v>35997</v>
      </c>
      <c r="G6762" s="18" t="str">
        <f>"55972"</f>
        <v>55972</v>
      </c>
      <c r="H6762" s="19" t="s">
        <v>33325</v>
      </c>
      <c r="I6762" s="20">
        <v>18.111999999999998</v>
      </c>
      <c r="J6762" s="44" t="s">
        <v>8</v>
      </c>
      <c r="K6762" s="23" t="s">
        <v>8</v>
      </c>
      <c r="L6762" s="23" t="s">
        <v>8</v>
      </c>
      <c r="M6762" s="23" t="s">
        <v>8</v>
      </c>
    </row>
    <row r="6763" spans="1:13" s="21" customFormat="1" x14ac:dyDescent="0.25">
      <c r="A6763" s="22" t="s">
        <v>8</v>
      </c>
      <c r="B6763" s="18" t="str">
        <f>"245271"</f>
        <v>245271</v>
      </c>
      <c r="C6763" s="19" t="s">
        <v>4583</v>
      </c>
      <c r="D6763" s="19" t="s">
        <v>22186</v>
      </c>
      <c r="E6763" s="19" t="s">
        <v>32601</v>
      </c>
      <c r="F6763" s="19" t="s">
        <v>35997</v>
      </c>
      <c r="G6763" s="18" t="str">
        <f>"55407"</f>
        <v>55407</v>
      </c>
      <c r="H6763" s="19" t="s">
        <v>36451</v>
      </c>
      <c r="I6763" s="20">
        <v>16.853999999999999</v>
      </c>
      <c r="J6763" s="44" t="s">
        <v>8</v>
      </c>
      <c r="K6763" s="23" t="s">
        <v>8</v>
      </c>
      <c r="L6763" s="23" t="s">
        <v>8</v>
      </c>
      <c r="M6763" s="23" t="s">
        <v>8</v>
      </c>
    </row>
    <row r="6764" spans="1:13" s="21" customFormat="1" x14ac:dyDescent="0.25">
      <c r="A6764" s="22" t="s">
        <v>8</v>
      </c>
      <c r="B6764" s="18" t="str">
        <f>"245272"</f>
        <v>245272</v>
      </c>
      <c r="C6764" s="19" t="s">
        <v>6669</v>
      </c>
      <c r="D6764" s="19" t="s">
        <v>22187</v>
      </c>
      <c r="E6764" s="19" t="s">
        <v>31919</v>
      </c>
      <c r="F6764" s="19" t="s">
        <v>35997</v>
      </c>
      <c r="G6764" s="18" t="str">
        <f>"55425"</f>
        <v>55425</v>
      </c>
      <c r="H6764" s="19" t="s">
        <v>36451</v>
      </c>
      <c r="I6764" s="20">
        <v>15.893000000000001</v>
      </c>
      <c r="J6764" s="44" t="s">
        <v>8</v>
      </c>
      <c r="K6764" s="23" t="s">
        <v>8</v>
      </c>
      <c r="L6764" s="23" t="s">
        <v>8</v>
      </c>
      <c r="M6764" s="23" t="s">
        <v>8</v>
      </c>
    </row>
    <row r="6765" spans="1:13" s="21" customFormat="1" x14ac:dyDescent="0.25">
      <c r="A6765" s="22" t="s">
        <v>8</v>
      </c>
      <c r="B6765" s="18" t="str">
        <f>"245273"</f>
        <v>245273</v>
      </c>
      <c r="C6765" s="19" t="s">
        <v>6670</v>
      </c>
      <c r="D6765" s="19" t="s">
        <v>22188</v>
      </c>
      <c r="E6765" s="19" t="s">
        <v>5</v>
      </c>
      <c r="F6765" s="19" t="s">
        <v>35997</v>
      </c>
      <c r="G6765" s="18" t="str">
        <f>"55333"</f>
        <v>55333</v>
      </c>
      <c r="H6765" s="19" t="s">
        <v>33486</v>
      </c>
      <c r="I6765" s="20">
        <v>17.675000000000001</v>
      </c>
      <c r="J6765" s="44" t="s">
        <v>8</v>
      </c>
      <c r="K6765" s="23" t="s">
        <v>8</v>
      </c>
      <c r="L6765" s="23" t="s">
        <v>8</v>
      </c>
      <c r="M6765" s="23" t="s">
        <v>8</v>
      </c>
    </row>
    <row r="6766" spans="1:13" s="21" customFormat="1" x14ac:dyDescent="0.25">
      <c r="A6766" s="22" t="s">
        <v>8</v>
      </c>
      <c r="B6766" s="18" t="str">
        <f>"245274"</f>
        <v>245274</v>
      </c>
      <c r="C6766" s="19" t="s">
        <v>6584</v>
      </c>
      <c r="D6766" s="19" t="s">
        <v>22189</v>
      </c>
      <c r="E6766" s="19" t="s">
        <v>33315</v>
      </c>
      <c r="F6766" s="19" t="s">
        <v>35997</v>
      </c>
      <c r="G6766" s="18" t="str">
        <f>"56031"</f>
        <v>56031</v>
      </c>
      <c r="H6766" s="19" t="s">
        <v>35168</v>
      </c>
      <c r="I6766" s="20">
        <v>19.827000000000002</v>
      </c>
      <c r="J6766" s="44" t="s">
        <v>8</v>
      </c>
      <c r="K6766" s="23" t="s">
        <v>8</v>
      </c>
      <c r="L6766" s="23" t="s">
        <v>8</v>
      </c>
      <c r="M6766" s="23" t="s">
        <v>8</v>
      </c>
    </row>
    <row r="6767" spans="1:13" s="21" customFormat="1" x14ac:dyDescent="0.25">
      <c r="A6767" s="22" t="s">
        <v>8</v>
      </c>
      <c r="B6767" s="18" t="str">
        <f>"245275"</f>
        <v>245275</v>
      </c>
      <c r="C6767" s="19" t="s">
        <v>6671</v>
      </c>
      <c r="D6767" s="19" t="s">
        <v>22190</v>
      </c>
      <c r="E6767" s="19" t="s">
        <v>33366</v>
      </c>
      <c r="F6767" s="19" t="s">
        <v>35997</v>
      </c>
      <c r="G6767" s="18" t="str">
        <f>"55423"</f>
        <v>55423</v>
      </c>
      <c r="H6767" s="19" t="s">
        <v>36451</v>
      </c>
      <c r="I6767" s="20">
        <v>19.922999999999998</v>
      </c>
      <c r="J6767" s="44" t="s">
        <v>8</v>
      </c>
      <c r="K6767" s="23" t="s">
        <v>8</v>
      </c>
      <c r="L6767" s="23" t="s">
        <v>8</v>
      </c>
      <c r="M6767" s="23" t="s">
        <v>8</v>
      </c>
    </row>
    <row r="6768" spans="1:13" s="21" customFormat="1" x14ac:dyDescent="0.25">
      <c r="A6768" s="22" t="s">
        <v>8</v>
      </c>
      <c r="B6768" s="18" t="str">
        <f>"245276"</f>
        <v>245276</v>
      </c>
      <c r="C6768" s="19" t="s">
        <v>6672</v>
      </c>
      <c r="D6768" s="19" t="s">
        <v>22191</v>
      </c>
      <c r="E6768" s="19" t="s">
        <v>33342</v>
      </c>
      <c r="F6768" s="19" t="s">
        <v>35997</v>
      </c>
      <c r="G6768" s="18" t="str">
        <f>"55109"</f>
        <v>55109</v>
      </c>
      <c r="H6768" s="19" t="s">
        <v>36449</v>
      </c>
      <c r="I6768" s="20">
        <v>22.690999999999999</v>
      </c>
      <c r="J6768" s="44" t="s">
        <v>8</v>
      </c>
      <c r="K6768" s="23" t="s">
        <v>8</v>
      </c>
      <c r="L6768" s="23" t="s">
        <v>8</v>
      </c>
      <c r="M6768" s="23" t="s">
        <v>8</v>
      </c>
    </row>
    <row r="6769" spans="1:13" s="21" customFormat="1" x14ac:dyDescent="0.25">
      <c r="A6769" s="22" t="s">
        <v>8</v>
      </c>
      <c r="B6769" s="18" t="str">
        <f>"245277"</f>
        <v>245277</v>
      </c>
      <c r="C6769" s="19" t="s">
        <v>6673</v>
      </c>
      <c r="D6769" s="19" t="s">
        <v>22192</v>
      </c>
      <c r="E6769" s="19" t="s">
        <v>33327</v>
      </c>
      <c r="F6769" s="19" t="s">
        <v>35997</v>
      </c>
      <c r="G6769" s="18" t="str">
        <f>"55734"</f>
        <v>55734</v>
      </c>
      <c r="H6769" s="19" t="s">
        <v>33228</v>
      </c>
      <c r="I6769" s="20">
        <v>19.045000000000002</v>
      </c>
      <c r="J6769" s="44" t="s">
        <v>8</v>
      </c>
      <c r="K6769" s="23" t="s">
        <v>8</v>
      </c>
      <c r="L6769" s="23" t="s">
        <v>8</v>
      </c>
      <c r="M6769" s="23" t="s">
        <v>8</v>
      </c>
    </row>
    <row r="6770" spans="1:13" s="21" customFormat="1" x14ac:dyDescent="0.25">
      <c r="A6770" s="22" t="s">
        <v>8</v>
      </c>
      <c r="B6770" s="18" t="str">
        <f>"245278"</f>
        <v>245278</v>
      </c>
      <c r="C6770" s="19" t="s">
        <v>6674</v>
      </c>
      <c r="D6770" s="19" t="s">
        <v>22193</v>
      </c>
      <c r="E6770" s="19" t="s">
        <v>33367</v>
      </c>
      <c r="F6770" s="19" t="s">
        <v>35997</v>
      </c>
      <c r="G6770" s="18" t="str">
        <f>"55349"</f>
        <v>55349</v>
      </c>
      <c r="H6770" s="19" t="s">
        <v>36290</v>
      </c>
      <c r="I6770" s="20">
        <v>17.619</v>
      </c>
      <c r="J6770" s="44" t="s">
        <v>8</v>
      </c>
      <c r="K6770" s="23" t="s">
        <v>8</v>
      </c>
      <c r="L6770" s="23" t="s">
        <v>8</v>
      </c>
      <c r="M6770" s="23" t="s">
        <v>8</v>
      </c>
    </row>
    <row r="6771" spans="1:13" s="21" customFormat="1" x14ac:dyDescent="0.25">
      <c r="A6771" s="22" t="s">
        <v>8</v>
      </c>
      <c r="B6771" s="18" t="str">
        <f>"245279"</f>
        <v>245279</v>
      </c>
      <c r="C6771" s="19" t="s">
        <v>6675</v>
      </c>
      <c r="D6771" s="19" t="s">
        <v>22194</v>
      </c>
      <c r="E6771" s="19" t="s">
        <v>33368</v>
      </c>
      <c r="F6771" s="19" t="s">
        <v>35997</v>
      </c>
      <c r="G6771" s="18" t="str">
        <f>"55422"</f>
        <v>55422</v>
      </c>
      <c r="H6771" s="19" t="s">
        <v>36451</v>
      </c>
      <c r="I6771" s="20">
        <v>19.241</v>
      </c>
      <c r="J6771" s="44" t="s">
        <v>8</v>
      </c>
      <c r="K6771" s="23" t="s">
        <v>8</v>
      </c>
      <c r="L6771" s="23" t="s">
        <v>8</v>
      </c>
      <c r="M6771" s="23" t="s">
        <v>8</v>
      </c>
    </row>
    <row r="6772" spans="1:13" s="21" customFormat="1" x14ac:dyDescent="0.25">
      <c r="A6772" s="22" t="s">
        <v>8</v>
      </c>
      <c r="B6772" s="18" t="str">
        <f>"245280"</f>
        <v>245280</v>
      </c>
      <c r="C6772" s="19" t="s">
        <v>6676</v>
      </c>
      <c r="D6772" s="19" t="s">
        <v>22195</v>
      </c>
      <c r="E6772" s="19" t="s">
        <v>33315</v>
      </c>
      <c r="F6772" s="19" t="s">
        <v>35997</v>
      </c>
      <c r="G6772" s="18" t="str">
        <f>"56031"</f>
        <v>56031</v>
      </c>
      <c r="H6772" s="19" t="s">
        <v>35168</v>
      </c>
      <c r="I6772" s="20">
        <v>17.957000000000001</v>
      </c>
      <c r="J6772" s="44" t="s">
        <v>8</v>
      </c>
      <c r="K6772" s="23" t="s">
        <v>8</v>
      </c>
      <c r="L6772" s="23" t="s">
        <v>8</v>
      </c>
      <c r="M6772" s="23" t="s">
        <v>8</v>
      </c>
    </row>
    <row r="6773" spans="1:13" s="21" customFormat="1" x14ac:dyDescent="0.25">
      <c r="A6773" s="22" t="s">
        <v>8</v>
      </c>
      <c r="B6773" s="18" t="str">
        <f>"245281"</f>
        <v>245281</v>
      </c>
      <c r="C6773" s="19" t="s">
        <v>6677</v>
      </c>
      <c r="D6773" s="19" t="s">
        <v>22196</v>
      </c>
      <c r="E6773" s="19" t="s">
        <v>31773</v>
      </c>
      <c r="F6773" s="19" t="s">
        <v>35997</v>
      </c>
      <c r="G6773" s="18" t="str">
        <f>"56514"</f>
        <v>56514</v>
      </c>
      <c r="H6773" s="19" t="s">
        <v>36030</v>
      </c>
      <c r="I6773" s="20">
        <v>19.922999999999998</v>
      </c>
      <c r="J6773" s="44" t="s">
        <v>8</v>
      </c>
      <c r="K6773" s="23" t="s">
        <v>8</v>
      </c>
      <c r="L6773" s="23" t="s">
        <v>8</v>
      </c>
      <c r="M6773" s="23" t="s">
        <v>8</v>
      </c>
    </row>
    <row r="6774" spans="1:13" s="21" customFormat="1" x14ac:dyDescent="0.25">
      <c r="A6774" s="22" t="s">
        <v>8</v>
      </c>
      <c r="B6774" s="18" t="str">
        <f>"245282"</f>
        <v>245282</v>
      </c>
      <c r="C6774" s="19" t="s">
        <v>6678</v>
      </c>
      <c r="D6774" s="19" t="s">
        <v>22197</v>
      </c>
      <c r="E6774" s="19" t="s">
        <v>32267</v>
      </c>
      <c r="F6774" s="19" t="s">
        <v>35997</v>
      </c>
      <c r="G6774" s="18" t="str">
        <f>"55901"</f>
        <v>55901</v>
      </c>
      <c r="H6774" s="19" t="s">
        <v>36455</v>
      </c>
      <c r="I6774" s="20">
        <v>17.806999999999999</v>
      </c>
      <c r="J6774" s="44" t="s">
        <v>8</v>
      </c>
      <c r="K6774" s="23" t="s">
        <v>8</v>
      </c>
      <c r="L6774" s="23" t="s">
        <v>8</v>
      </c>
      <c r="M6774" s="23" t="s">
        <v>8</v>
      </c>
    </row>
    <row r="6775" spans="1:13" s="21" customFormat="1" x14ac:dyDescent="0.25">
      <c r="A6775" s="22" t="s">
        <v>8</v>
      </c>
      <c r="B6775" s="18" t="str">
        <f>"245283"</f>
        <v>245283</v>
      </c>
      <c r="C6775" s="19" t="s">
        <v>6679</v>
      </c>
      <c r="D6775" s="19" t="s">
        <v>22198</v>
      </c>
      <c r="E6775" s="19" t="s">
        <v>32172</v>
      </c>
      <c r="F6775" s="19" t="s">
        <v>35997</v>
      </c>
      <c r="G6775" s="18" t="str">
        <f>"55792"</f>
        <v>55792</v>
      </c>
      <c r="H6775" s="19" t="s">
        <v>33228</v>
      </c>
      <c r="I6775" s="20">
        <v>20.364000000000001</v>
      </c>
      <c r="J6775" s="44" t="s">
        <v>8</v>
      </c>
      <c r="K6775" s="23" t="s">
        <v>8</v>
      </c>
      <c r="L6775" s="23" t="s">
        <v>8</v>
      </c>
      <c r="M6775" s="23" t="s">
        <v>8</v>
      </c>
    </row>
    <row r="6776" spans="1:13" s="21" customFormat="1" x14ac:dyDescent="0.25">
      <c r="A6776" s="22" t="s">
        <v>8</v>
      </c>
      <c r="B6776" s="18" t="str">
        <f>"245285"</f>
        <v>245285</v>
      </c>
      <c r="C6776" s="19" t="s">
        <v>6680</v>
      </c>
      <c r="D6776" s="19" t="s">
        <v>22199</v>
      </c>
      <c r="E6776" s="19" t="s">
        <v>33369</v>
      </c>
      <c r="F6776" s="19" t="s">
        <v>35997</v>
      </c>
      <c r="G6776" s="18" t="str">
        <f>"55077"</f>
        <v>55077</v>
      </c>
      <c r="H6776" s="19" t="s">
        <v>36456</v>
      </c>
      <c r="I6776" s="20">
        <v>20.152000000000001</v>
      </c>
      <c r="J6776" s="44" t="s">
        <v>8</v>
      </c>
      <c r="K6776" s="23" t="s">
        <v>8</v>
      </c>
      <c r="L6776" s="23" t="s">
        <v>8</v>
      </c>
      <c r="M6776" s="23" t="s">
        <v>8</v>
      </c>
    </row>
    <row r="6777" spans="1:13" s="21" customFormat="1" x14ac:dyDescent="0.25">
      <c r="A6777" s="22" t="s">
        <v>8</v>
      </c>
      <c r="B6777" s="18" t="str">
        <f>"245286"</f>
        <v>245286</v>
      </c>
      <c r="C6777" s="19" t="s">
        <v>6681</v>
      </c>
      <c r="D6777" s="19" t="s">
        <v>22200</v>
      </c>
      <c r="E6777" s="19" t="s">
        <v>33370</v>
      </c>
      <c r="F6777" s="19" t="s">
        <v>35997</v>
      </c>
      <c r="G6777" s="18" t="str">
        <f>"56364"</f>
        <v>56364</v>
      </c>
      <c r="H6777" s="19" t="s">
        <v>31351</v>
      </c>
      <c r="I6777" s="20">
        <v>19.167999999999999</v>
      </c>
      <c r="J6777" s="44" t="s">
        <v>8</v>
      </c>
      <c r="K6777" s="23" t="s">
        <v>8</v>
      </c>
      <c r="L6777" s="23" t="s">
        <v>8</v>
      </c>
      <c r="M6777" s="23" t="s">
        <v>8</v>
      </c>
    </row>
    <row r="6778" spans="1:13" s="21" customFormat="1" x14ac:dyDescent="0.25">
      <c r="A6778" s="22" t="s">
        <v>8</v>
      </c>
      <c r="B6778" s="18" t="str">
        <f>"245289"</f>
        <v>245289</v>
      </c>
      <c r="C6778" s="19" t="s">
        <v>6682</v>
      </c>
      <c r="D6778" s="19" t="s">
        <v>22201</v>
      </c>
      <c r="E6778" s="19" t="s">
        <v>33371</v>
      </c>
      <c r="F6778" s="19" t="s">
        <v>35997</v>
      </c>
      <c r="G6778" s="18" t="str">
        <f>"55422"</f>
        <v>55422</v>
      </c>
      <c r="H6778" s="19" t="s">
        <v>36451</v>
      </c>
      <c r="I6778" s="20">
        <v>18.753</v>
      </c>
      <c r="J6778" s="44" t="s">
        <v>8</v>
      </c>
      <c r="K6778" s="23" t="s">
        <v>8</v>
      </c>
      <c r="L6778" s="23" t="s">
        <v>8</v>
      </c>
      <c r="M6778" s="23" t="s">
        <v>8</v>
      </c>
    </row>
    <row r="6779" spans="1:13" s="21" customFormat="1" x14ac:dyDescent="0.25">
      <c r="A6779" s="22" t="s">
        <v>8</v>
      </c>
      <c r="B6779" s="18" t="str">
        <f>"245290"</f>
        <v>245290</v>
      </c>
      <c r="C6779" s="19" t="s">
        <v>6683</v>
      </c>
      <c r="D6779" s="19" t="s">
        <v>22202</v>
      </c>
      <c r="E6779" s="19" t="s">
        <v>33372</v>
      </c>
      <c r="F6779" s="19" t="s">
        <v>35997</v>
      </c>
      <c r="G6779" s="18" t="str">
        <f>"56277"</f>
        <v>56277</v>
      </c>
      <c r="H6779" s="19" t="s">
        <v>33486</v>
      </c>
      <c r="I6779" s="20">
        <v>19.195</v>
      </c>
      <c r="J6779" s="44" t="s">
        <v>8</v>
      </c>
      <c r="K6779" s="23" t="s">
        <v>8</v>
      </c>
      <c r="L6779" s="23" t="s">
        <v>8</v>
      </c>
      <c r="M6779" s="23" t="s">
        <v>8</v>
      </c>
    </row>
    <row r="6780" spans="1:13" s="21" customFormat="1" x14ac:dyDescent="0.25">
      <c r="A6780" s="22" t="s">
        <v>8</v>
      </c>
      <c r="B6780" s="18" t="str">
        <f>"245291"</f>
        <v>245291</v>
      </c>
      <c r="C6780" s="19" t="s">
        <v>6684</v>
      </c>
      <c r="D6780" s="19" t="s">
        <v>22203</v>
      </c>
      <c r="E6780" s="19" t="s">
        <v>33373</v>
      </c>
      <c r="F6780" s="19" t="s">
        <v>35997</v>
      </c>
      <c r="G6780" s="18" t="str">
        <f>"55051"</f>
        <v>55051</v>
      </c>
      <c r="H6780" s="19" t="s">
        <v>36468</v>
      </c>
      <c r="I6780" s="20">
        <v>18.658000000000001</v>
      </c>
      <c r="J6780" s="44" t="s">
        <v>8</v>
      </c>
      <c r="K6780" s="23" t="s">
        <v>8</v>
      </c>
      <c r="L6780" s="23" t="s">
        <v>8</v>
      </c>
      <c r="M6780" s="23" t="s">
        <v>8</v>
      </c>
    </row>
    <row r="6781" spans="1:13" s="21" customFormat="1" x14ac:dyDescent="0.25">
      <c r="A6781" s="22" t="s">
        <v>8</v>
      </c>
      <c r="B6781" s="18" t="str">
        <f>"245293"</f>
        <v>245293</v>
      </c>
      <c r="C6781" s="19" t="s">
        <v>6685</v>
      </c>
      <c r="D6781" s="19" t="s">
        <v>22204</v>
      </c>
      <c r="E6781" s="19" t="s">
        <v>33374</v>
      </c>
      <c r="F6781" s="19" t="s">
        <v>35997</v>
      </c>
      <c r="G6781" s="18" t="str">
        <f>"55343"</f>
        <v>55343</v>
      </c>
      <c r="H6781" s="19" t="s">
        <v>36451</v>
      </c>
      <c r="I6781" s="20">
        <v>18.202999999999999</v>
      </c>
      <c r="J6781" s="44" t="s">
        <v>8</v>
      </c>
      <c r="K6781" s="23" t="s">
        <v>8</v>
      </c>
      <c r="L6781" s="23" t="s">
        <v>8</v>
      </c>
      <c r="M6781" s="23" t="s">
        <v>8</v>
      </c>
    </row>
    <row r="6782" spans="1:13" s="21" customFormat="1" x14ac:dyDescent="0.25">
      <c r="A6782" s="22" t="s">
        <v>8</v>
      </c>
      <c r="B6782" s="18" t="str">
        <f>"245294"</f>
        <v>245294</v>
      </c>
      <c r="C6782" s="19" t="s">
        <v>6686</v>
      </c>
      <c r="D6782" s="19" t="s">
        <v>22205</v>
      </c>
      <c r="E6782" s="19" t="s">
        <v>32897</v>
      </c>
      <c r="F6782" s="19" t="s">
        <v>35997</v>
      </c>
      <c r="G6782" s="18" t="str">
        <f>"56096"</f>
        <v>56096</v>
      </c>
      <c r="H6782" s="19" t="s">
        <v>33428</v>
      </c>
      <c r="I6782" s="20">
        <v>18.963000000000001</v>
      </c>
      <c r="J6782" s="44" t="s">
        <v>8</v>
      </c>
      <c r="K6782" s="23" t="s">
        <v>8</v>
      </c>
      <c r="L6782" s="23" t="s">
        <v>8</v>
      </c>
      <c r="M6782" s="23" t="s">
        <v>8</v>
      </c>
    </row>
    <row r="6783" spans="1:13" s="21" customFormat="1" x14ac:dyDescent="0.25">
      <c r="A6783" s="22" t="s">
        <v>8</v>
      </c>
      <c r="B6783" s="18" t="str">
        <f>"245295"</f>
        <v>245295</v>
      </c>
      <c r="C6783" s="19" t="s">
        <v>6687</v>
      </c>
      <c r="D6783" s="19" t="s">
        <v>22206</v>
      </c>
      <c r="E6783" s="19" t="s">
        <v>32650</v>
      </c>
      <c r="F6783" s="19" t="s">
        <v>35997</v>
      </c>
      <c r="G6783" s="18" t="str">
        <f>"55102"</f>
        <v>55102</v>
      </c>
      <c r="H6783" s="19" t="s">
        <v>36449</v>
      </c>
      <c r="I6783" s="20">
        <v>17.562999999999999</v>
      </c>
      <c r="J6783" s="44" t="s">
        <v>8</v>
      </c>
      <c r="K6783" s="23" t="s">
        <v>8</v>
      </c>
      <c r="L6783" s="23" t="s">
        <v>8</v>
      </c>
      <c r="M6783" s="23" t="s">
        <v>8</v>
      </c>
    </row>
    <row r="6784" spans="1:13" s="21" customFormat="1" x14ac:dyDescent="0.25">
      <c r="A6784" s="22" t="s">
        <v>8</v>
      </c>
      <c r="B6784" s="18" t="str">
        <f>"245298"</f>
        <v>245298</v>
      </c>
      <c r="C6784" s="19" t="s">
        <v>6688</v>
      </c>
      <c r="D6784" s="19" t="s">
        <v>22207</v>
      </c>
      <c r="E6784" s="19" t="s">
        <v>33336</v>
      </c>
      <c r="F6784" s="19" t="s">
        <v>35997</v>
      </c>
      <c r="G6784" s="18" t="str">
        <f>"55303"</f>
        <v>55303</v>
      </c>
      <c r="H6784" s="19" t="s">
        <v>33336</v>
      </c>
      <c r="I6784" s="20">
        <v>18.347999999999999</v>
      </c>
      <c r="J6784" s="44" t="s">
        <v>8</v>
      </c>
      <c r="K6784" s="23" t="s">
        <v>8</v>
      </c>
      <c r="L6784" s="23" t="s">
        <v>8</v>
      </c>
      <c r="M6784" s="23" t="s">
        <v>8</v>
      </c>
    </row>
    <row r="6785" spans="1:13" s="21" customFormat="1" x14ac:dyDescent="0.25">
      <c r="A6785" s="22" t="s">
        <v>8</v>
      </c>
      <c r="B6785" s="18" t="str">
        <f>"245299"</f>
        <v>245299</v>
      </c>
      <c r="C6785" s="19" t="s">
        <v>6689</v>
      </c>
      <c r="D6785" s="19" t="s">
        <v>22208</v>
      </c>
      <c r="E6785" s="19" t="s">
        <v>33375</v>
      </c>
      <c r="F6785" s="19" t="s">
        <v>35997</v>
      </c>
      <c r="G6785" s="18" t="str">
        <f>"56544"</f>
        <v>56544</v>
      </c>
      <c r="H6785" s="19" t="s">
        <v>36457</v>
      </c>
      <c r="I6785" s="20">
        <v>18.007999999999999</v>
      </c>
      <c r="J6785" s="44" t="s">
        <v>8</v>
      </c>
      <c r="K6785" s="23" t="s">
        <v>8</v>
      </c>
      <c r="L6785" s="23" t="s">
        <v>8</v>
      </c>
      <c r="M6785" s="23" t="s">
        <v>8</v>
      </c>
    </row>
    <row r="6786" spans="1:13" s="21" customFormat="1" x14ac:dyDescent="0.25">
      <c r="A6786" s="22" t="s">
        <v>8</v>
      </c>
      <c r="B6786" s="18" t="str">
        <f>"245300"</f>
        <v>245300</v>
      </c>
      <c r="C6786" s="19" t="s">
        <v>6690</v>
      </c>
      <c r="D6786" s="19" t="s">
        <v>22209</v>
      </c>
      <c r="E6786" s="19" t="s">
        <v>33376</v>
      </c>
      <c r="F6786" s="19" t="s">
        <v>35997</v>
      </c>
      <c r="G6786" s="18" t="str">
        <f>"55110"</f>
        <v>55110</v>
      </c>
      <c r="H6786" s="19" t="s">
        <v>36449</v>
      </c>
      <c r="I6786" s="20">
        <v>20.9</v>
      </c>
      <c r="J6786" s="44" t="s">
        <v>8</v>
      </c>
      <c r="K6786" s="23" t="s">
        <v>8</v>
      </c>
      <c r="L6786" s="23" t="s">
        <v>8</v>
      </c>
      <c r="M6786" s="23" t="s">
        <v>8</v>
      </c>
    </row>
    <row r="6787" spans="1:13" s="21" customFormat="1" x14ac:dyDescent="0.25">
      <c r="A6787" s="22" t="s">
        <v>8</v>
      </c>
      <c r="B6787" s="18" t="str">
        <f>"245301"</f>
        <v>245301</v>
      </c>
      <c r="C6787" s="19" t="s">
        <v>6691</v>
      </c>
      <c r="D6787" s="19" t="s">
        <v>22210</v>
      </c>
      <c r="E6787" s="19" t="s">
        <v>33377</v>
      </c>
      <c r="F6787" s="19" t="s">
        <v>35997</v>
      </c>
      <c r="G6787" s="18" t="str">
        <f>"56535"</f>
        <v>56535</v>
      </c>
      <c r="H6787" s="19" t="s">
        <v>36062</v>
      </c>
      <c r="I6787" s="20">
        <v>20.207999999999998</v>
      </c>
      <c r="J6787" s="44" t="s">
        <v>8</v>
      </c>
      <c r="K6787" s="23" t="s">
        <v>8</v>
      </c>
      <c r="L6787" s="23" t="s">
        <v>8</v>
      </c>
      <c r="M6787" s="23" t="s">
        <v>8</v>
      </c>
    </row>
    <row r="6788" spans="1:13" s="21" customFormat="1" x14ac:dyDescent="0.25">
      <c r="A6788" s="22" t="s">
        <v>8</v>
      </c>
      <c r="B6788" s="18" t="str">
        <f>"245304"</f>
        <v>245304</v>
      </c>
      <c r="C6788" s="19" t="s">
        <v>6692</v>
      </c>
      <c r="D6788" s="19" t="s">
        <v>22211</v>
      </c>
      <c r="E6788" s="19" t="s">
        <v>33378</v>
      </c>
      <c r="F6788" s="19" t="s">
        <v>35997</v>
      </c>
      <c r="G6788" s="18" t="str">
        <f>"55009"</f>
        <v>55009</v>
      </c>
      <c r="H6788" s="19" t="s">
        <v>36458</v>
      </c>
      <c r="I6788" s="20">
        <v>18.045999999999999</v>
      </c>
      <c r="J6788" s="44" t="s">
        <v>8</v>
      </c>
      <c r="K6788" s="23" t="s">
        <v>8</v>
      </c>
      <c r="L6788" s="23" t="s">
        <v>8</v>
      </c>
      <c r="M6788" s="23" t="s">
        <v>8</v>
      </c>
    </row>
    <row r="6789" spans="1:13" s="21" customFormat="1" x14ac:dyDescent="0.25">
      <c r="A6789" s="22" t="s">
        <v>8</v>
      </c>
      <c r="B6789" s="18" t="str">
        <f>"245306"</f>
        <v>245306</v>
      </c>
      <c r="C6789" s="19" t="s">
        <v>6693</v>
      </c>
      <c r="D6789" s="19" t="s">
        <v>22212</v>
      </c>
      <c r="E6789" s="19" t="s">
        <v>32267</v>
      </c>
      <c r="F6789" s="19" t="s">
        <v>35997</v>
      </c>
      <c r="G6789" s="18" t="str">
        <f>"55901"</f>
        <v>55901</v>
      </c>
      <c r="H6789" s="19" t="s">
        <v>36455</v>
      </c>
      <c r="I6789" s="20">
        <v>17.02</v>
      </c>
      <c r="J6789" s="44" t="s">
        <v>8</v>
      </c>
      <c r="K6789" s="23" t="s">
        <v>8</v>
      </c>
      <c r="L6789" s="23" t="s">
        <v>8</v>
      </c>
      <c r="M6789" s="23" t="s">
        <v>8</v>
      </c>
    </row>
    <row r="6790" spans="1:13" s="21" customFormat="1" x14ac:dyDescent="0.25">
      <c r="A6790" s="22" t="s">
        <v>8</v>
      </c>
      <c r="B6790" s="18" t="str">
        <f>"245307"</f>
        <v>245307</v>
      </c>
      <c r="C6790" s="19" t="s">
        <v>6694</v>
      </c>
      <c r="D6790" s="19" t="s">
        <v>22213</v>
      </c>
      <c r="E6790" s="19" t="s">
        <v>33379</v>
      </c>
      <c r="F6790" s="19" t="s">
        <v>35997</v>
      </c>
      <c r="G6790" s="18" t="str">
        <f>"56621"</f>
        <v>56621</v>
      </c>
      <c r="H6790" s="19" t="s">
        <v>31551</v>
      </c>
      <c r="I6790" s="20">
        <v>17.803000000000001</v>
      </c>
      <c r="J6790" s="44" t="s">
        <v>8</v>
      </c>
      <c r="K6790" s="23" t="s">
        <v>8</v>
      </c>
      <c r="L6790" s="23" t="s">
        <v>8</v>
      </c>
      <c r="M6790" s="23" t="s">
        <v>8</v>
      </c>
    </row>
    <row r="6791" spans="1:13" s="21" customFormat="1" x14ac:dyDescent="0.25">
      <c r="A6791" s="22" t="s">
        <v>8</v>
      </c>
      <c r="B6791" s="18" t="str">
        <f>"245310"</f>
        <v>245310</v>
      </c>
      <c r="C6791" s="19" t="s">
        <v>6695</v>
      </c>
      <c r="D6791" s="19" t="s">
        <v>22214</v>
      </c>
      <c r="E6791" s="19" t="s">
        <v>33331</v>
      </c>
      <c r="F6791" s="19" t="s">
        <v>35997</v>
      </c>
      <c r="G6791" s="18" t="str">
        <f>"55112"</f>
        <v>55112</v>
      </c>
      <c r="H6791" s="19" t="s">
        <v>36449</v>
      </c>
      <c r="I6791" s="20">
        <v>18.460999999999999</v>
      </c>
      <c r="J6791" s="44" t="s">
        <v>8</v>
      </c>
      <c r="K6791" s="23" t="s">
        <v>8</v>
      </c>
      <c r="L6791" s="23" t="s">
        <v>8</v>
      </c>
      <c r="M6791" s="23" t="s">
        <v>8</v>
      </c>
    </row>
    <row r="6792" spans="1:13" s="21" customFormat="1" x14ac:dyDescent="0.25">
      <c r="A6792" s="22" t="s">
        <v>8</v>
      </c>
      <c r="B6792" s="18" t="str">
        <f>"245312"</f>
        <v>245312</v>
      </c>
      <c r="C6792" s="19" t="s">
        <v>6696</v>
      </c>
      <c r="D6792" s="19" t="s">
        <v>22215</v>
      </c>
      <c r="E6792" s="19" t="s">
        <v>33380</v>
      </c>
      <c r="F6792" s="19" t="s">
        <v>35997</v>
      </c>
      <c r="G6792" s="18" t="str">
        <f>"55344"</f>
        <v>55344</v>
      </c>
      <c r="H6792" s="19" t="s">
        <v>36451</v>
      </c>
      <c r="I6792" s="20">
        <v>19.535</v>
      </c>
      <c r="J6792" s="44" t="s">
        <v>8</v>
      </c>
      <c r="K6792" s="23" t="s">
        <v>8</v>
      </c>
      <c r="L6792" s="23" t="s">
        <v>8</v>
      </c>
      <c r="M6792" s="23" t="s">
        <v>8</v>
      </c>
    </row>
    <row r="6793" spans="1:13" s="21" customFormat="1" x14ac:dyDescent="0.25">
      <c r="A6793" s="22" t="s">
        <v>8</v>
      </c>
      <c r="B6793" s="18" t="str">
        <f>"245313"</f>
        <v>245313</v>
      </c>
      <c r="C6793" s="19" t="s">
        <v>6697</v>
      </c>
      <c r="D6793" s="19" t="s">
        <v>22216</v>
      </c>
      <c r="E6793" s="19" t="s">
        <v>30967</v>
      </c>
      <c r="F6793" s="19" t="s">
        <v>35997</v>
      </c>
      <c r="G6793" s="18" t="str">
        <f>"56215"</f>
        <v>56215</v>
      </c>
      <c r="H6793" s="19" t="s">
        <v>36459</v>
      </c>
      <c r="I6793" s="20">
        <v>20.178000000000001</v>
      </c>
      <c r="J6793" s="44" t="s">
        <v>8</v>
      </c>
      <c r="K6793" s="23" t="s">
        <v>8</v>
      </c>
      <c r="L6793" s="23" t="s">
        <v>8</v>
      </c>
      <c r="M6793" s="23" t="s">
        <v>8</v>
      </c>
    </row>
    <row r="6794" spans="1:13" s="21" customFormat="1" x14ac:dyDescent="0.25">
      <c r="A6794" s="22" t="s">
        <v>8</v>
      </c>
      <c r="B6794" s="18" t="str">
        <f>"245314"</f>
        <v>245314</v>
      </c>
      <c r="C6794" s="19" t="s">
        <v>6698</v>
      </c>
      <c r="D6794" s="19" t="s">
        <v>22217</v>
      </c>
      <c r="E6794" s="19" t="s">
        <v>32916</v>
      </c>
      <c r="F6794" s="19" t="s">
        <v>35997</v>
      </c>
      <c r="G6794" s="18" t="str">
        <f>"55396"</f>
        <v>55396</v>
      </c>
      <c r="H6794" s="19" t="s">
        <v>32483</v>
      </c>
      <c r="I6794" s="20">
        <v>17.481999999999999</v>
      </c>
      <c r="J6794" s="44" t="s">
        <v>8</v>
      </c>
      <c r="K6794" s="23" t="s">
        <v>8</v>
      </c>
      <c r="L6794" s="23" t="s">
        <v>8</v>
      </c>
      <c r="M6794" s="23" t="s">
        <v>8</v>
      </c>
    </row>
    <row r="6795" spans="1:13" s="21" customFormat="1" x14ac:dyDescent="0.25">
      <c r="A6795" s="22" t="s">
        <v>8</v>
      </c>
      <c r="B6795" s="18" t="str">
        <f>"245315"</f>
        <v>245315</v>
      </c>
      <c r="C6795" s="19" t="s">
        <v>6699</v>
      </c>
      <c r="D6795" s="19" t="s">
        <v>22218</v>
      </c>
      <c r="E6795" s="19" t="s">
        <v>33381</v>
      </c>
      <c r="F6795" s="19" t="s">
        <v>35997</v>
      </c>
      <c r="G6795" s="18" t="str">
        <f>"56176"</f>
        <v>56176</v>
      </c>
      <c r="H6795" s="19" t="s">
        <v>35168</v>
      </c>
      <c r="I6795" s="20">
        <v>18.439</v>
      </c>
      <c r="J6795" s="44" t="s">
        <v>8</v>
      </c>
      <c r="K6795" s="23" t="s">
        <v>8</v>
      </c>
      <c r="L6795" s="23" t="s">
        <v>8</v>
      </c>
      <c r="M6795" s="23" t="s">
        <v>8</v>
      </c>
    </row>
    <row r="6796" spans="1:13" s="21" customFormat="1" x14ac:dyDescent="0.25">
      <c r="A6796" s="22" t="s">
        <v>8</v>
      </c>
      <c r="B6796" s="18" t="str">
        <f>"245316"</f>
        <v>245316</v>
      </c>
      <c r="C6796" s="19" t="s">
        <v>6700</v>
      </c>
      <c r="D6796" s="19" t="s">
        <v>22219</v>
      </c>
      <c r="E6796" s="19" t="s">
        <v>33382</v>
      </c>
      <c r="F6796" s="19" t="s">
        <v>35997</v>
      </c>
      <c r="G6796" s="18" t="str">
        <f>"56072"</f>
        <v>56072</v>
      </c>
      <c r="H6796" s="19" t="s">
        <v>33418</v>
      </c>
      <c r="I6796" s="20">
        <v>18.888999999999999</v>
      </c>
      <c r="J6796" s="44" t="s">
        <v>8</v>
      </c>
      <c r="K6796" s="23" t="s">
        <v>8</v>
      </c>
      <c r="L6796" s="23" t="s">
        <v>8</v>
      </c>
      <c r="M6796" s="23" t="s">
        <v>8</v>
      </c>
    </row>
    <row r="6797" spans="1:13" s="21" customFormat="1" x14ac:dyDescent="0.25">
      <c r="A6797" s="22" t="s">
        <v>8</v>
      </c>
      <c r="B6797" s="18" t="str">
        <f>"245317"</f>
        <v>245317</v>
      </c>
      <c r="C6797" s="19" t="s">
        <v>6701</v>
      </c>
      <c r="D6797" s="19" t="s">
        <v>22220</v>
      </c>
      <c r="E6797" s="19" t="s">
        <v>33383</v>
      </c>
      <c r="F6797" s="19" t="s">
        <v>35997</v>
      </c>
      <c r="G6797" s="18" t="str">
        <f>"55912"</f>
        <v>55912</v>
      </c>
      <c r="H6797" s="19" t="s">
        <v>36469</v>
      </c>
      <c r="I6797" s="20">
        <v>22.878</v>
      </c>
      <c r="J6797" s="44" t="s">
        <v>8</v>
      </c>
      <c r="K6797" s="23" t="s">
        <v>8</v>
      </c>
      <c r="L6797" s="23" t="s">
        <v>8</v>
      </c>
      <c r="M6797" s="23" t="s">
        <v>8</v>
      </c>
    </row>
    <row r="6798" spans="1:13" s="21" customFormat="1" x14ac:dyDescent="0.25">
      <c r="A6798" s="22" t="s">
        <v>8</v>
      </c>
      <c r="B6798" s="18" t="str">
        <f>"245318"</f>
        <v>245318</v>
      </c>
      <c r="C6798" s="19" t="s">
        <v>6702</v>
      </c>
      <c r="D6798" s="19" t="s">
        <v>22221</v>
      </c>
      <c r="E6798" s="19" t="s">
        <v>33384</v>
      </c>
      <c r="F6798" s="19" t="s">
        <v>35997</v>
      </c>
      <c r="G6798" s="18" t="str">
        <f>"56649"</f>
        <v>56649</v>
      </c>
      <c r="H6798" s="19" t="s">
        <v>36470</v>
      </c>
      <c r="I6798" s="20">
        <v>21.239000000000001</v>
      </c>
      <c r="J6798" s="44" t="s">
        <v>8</v>
      </c>
      <c r="K6798" s="23" t="s">
        <v>8</v>
      </c>
      <c r="L6798" s="23" t="s">
        <v>8</v>
      </c>
      <c r="M6798" s="23" t="s">
        <v>8</v>
      </c>
    </row>
    <row r="6799" spans="1:13" s="21" customFormat="1" x14ac:dyDescent="0.25">
      <c r="A6799" s="22" t="s">
        <v>8</v>
      </c>
      <c r="B6799" s="18" t="str">
        <f>"245319"</f>
        <v>245319</v>
      </c>
      <c r="C6799" s="19" t="s">
        <v>6703</v>
      </c>
      <c r="D6799" s="19" t="s">
        <v>22222</v>
      </c>
      <c r="E6799" s="19" t="s">
        <v>33385</v>
      </c>
      <c r="F6799" s="19" t="s">
        <v>35997</v>
      </c>
      <c r="G6799" s="18" t="str">
        <f>"55947"</f>
        <v>55947</v>
      </c>
      <c r="H6799" s="19" t="s">
        <v>33493</v>
      </c>
      <c r="I6799" s="20">
        <v>19.95</v>
      </c>
      <c r="J6799" s="44" t="s">
        <v>8</v>
      </c>
      <c r="K6799" s="23" t="s">
        <v>8</v>
      </c>
      <c r="L6799" s="23" t="s">
        <v>8</v>
      </c>
      <c r="M6799" s="23" t="s">
        <v>8</v>
      </c>
    </row>
    <row r="6800" spans="1:13" s="21" customFormat="1" x14ac:dyDescent="0.25">
      <c r="A6800" s="22" t="s">
        <v>8</v>
      </c>
      <c r="B6800" s="18" t="str">
        <f>"245320"</f>
        <v>245320</v>
      </c>
      <c r="C6800" s="19" t="s">
        <v>6704</v>
      </c>
      <c r="D6800" s="19" t="s">
        <v>22223</v>
      </c>
      <c r="E6800" s="19" t="s">
        <v>33369</v>
      </c>
      <c r="F6800" s="19" t="s">
        <v>35997</v>
      </c>
      <c r="G6800" s="18" t="str">
        <f>"55077"</f>
        <v>55077</v>
      </c>
      <c r="H6800" s="19" t="s">
        <v>36456</v>
      </c>
      <c r="I6800" s="20">
        <v>19.821000000000002</v>
      </c>
      <c r="J6800" s="44" t="s">
        <v>8</v>
      </c>
      <c r="K6800" s="23" t="s">
        <v>8</v>
      </c>
      <c r="L6800" s="23" t="s">
        <v>8</v>
      </c>
      <c r="M6800" s="23" t="s">
        <v>8</v>
      </c>
    </row>
    <row r="6801" spans="1:13" s="21" customFormat="1" x14ac:dyDescent="0.25">
      <c r="A6801" s="22" t="s">
        <v>8</v>
      </c>
      <c r="B6801" s="18" t="str">
        <f>"245322"</f>
        <v>245322</v>
      </c>
      <c r="C6801" s="19" t="s">
        <v>6705</v>
      </c>
      <c r="D6801" s="19" t="s">
        <v>22224</v>
      </c>
      <c r="E6801" s="19" t="s">
        <v>33332</v>
      </c>
      <c r="F6801" s="19" t="s">
        <v>35997</v>
      </c>
      <c r="G6801" s="18" t="str">
        <f>"55422"</f>
        <v>55422</v>
      </c>
      <c r="H6801" s="19" t="s">
        <v>36451</v>
      </c>
      <c r="I6801" s="20">
        <v>18.282</v>
      </c>
      <c r="J6801" s="44" t="s">
        <v>8</v>
      </c>
      <c r="K6801" s="23" t="s">
        <v>8</v>
      </c>
      <c r="L6801" s="23" t="s">
        <v>8</v>
      </c>
      <c r="M6801" s="23" t="s">
        <v>8</v>
      </c>
    </row>
    <row r="6802" spans="1:13" s="21" customFormat="1" x14ac:dyDescent="0.25">
      <c r="A6802" s="22" t="s">
        <v>8</v>
      </c>
      <c r="B6802" s="18" t="str">
        <f>"245323"</f>
        <v>245323</v>
      </c>
      <c r="C6802" s="19" t="s">
        <v>6706</v>
      </c>
      <c r="D6802" s="19" t="s">
        <v>22225</v>
      </c>
      <c r="E6802" s="19" t="s">
        <v>33386</v>
      </c>
      <c r="F6802" s="19" t="s">
        <v>35997</v>
      </c>
      <c r="G6802" s="18" t="str">
        <f>"56484"</f>
        <v>56484</v>
      </c>
      <c r="H6802" s="19" t="s">
        <v>36246</v>
      </c>
      <c r="I6802" s="20">
        <v>21.468</v>
      </c>
      <c r="J6802" s="44" t="s">
        <v>8</v>
      </c>
      <c r="K6802" s="23" t="s">
        <v>8</v>
      </c>
      <c r="L6802" s="23" t="s">
        <v>8</v>
      </c>
      <c r="M6802" s="23" t="s">
        <v>8</v>
      </c>
    </row>
    <row r="6803" spans="1:13" s="21" customFormat="1" x14ac:dyDescent="0.25">
      <c r="A6803" s="22" t="s">
        <v>8</v>
      </c>
      <c r="B6803" s="18" t="str">
        <f>"245324"</f>
        <v>245324</v>
      </c>
      <c r="C6803" s="19" t="s">
        <v>6707</v>
      </c>
      <c r="D6803" s="19" t="s">
        <v>22226</v>
      </c>
      <c r="E6803" s="19" t="s">
        <v>31919</v>
      </c>
      <c r="F6803" s="19" t="s">
        <v>35997</v>
      </c>
      <c r="G6803" s="18" t="str">
        <f>"55420"</f>
        <v>55420</v>
      </c>
      <c r="H6803" s="19" t="s">
        <v>36451</v>
      </c>
      <c r="I6803" s="20">
        <v>20.361999999999998</v>
      </c>
      <c r="J6803" s="44" t="s">
        <v>8</v>
      </c>
      <c r="K6803" s="23" t="s">
        <v>8</v>
      </c>
      <c r="L6803" s="23" t="s">
        <v>8</v>
      </c>
      <c r="M6803" s="23" t="s">
        <v>8</v>
      </c>
    </row>
    <row r="6804" spans="1:13" s="21" customFormat="1" x14ac:dyDescent="0.25">
      <c r="A6804" s="22" t="s">
        <v>8</v>
      </c>
      <c r="B6804" s="18" t="str">
        <f>"245325"</f>
        <v>245325</v>
      </c>
      <c r="C6804" s="19" t="s">
        <v>6708</v>
      </c>
      <c r="D6804" s="19" t="s">
        <v>22227</v>
      </c>
      <c r="E6804" s="19" t="s">
        <v>30830</v>
      </c>
      <c r="F6804" s="19" t="s">
        <v>35997</v>
      </c>
      <c r="G6804" s="18" t="str">
        <f>"56329"</f>
        <v>56329</v>
      </c>
      <c r="H6804" s="19" t="s">
        <v>31024</v>
      </c>
      <c r="I6804" s="20">
        <v>22.59</v>
      </c>
      <c r="J6804" s="44" t="s">
        <v>8</v>
      </c>
      <c r="K6804" s="23" t="s">
        <v>8</v>
      </c>
      <c r="L6804" s="23" t="s">
        <v>8</v>
      </c>
      <c r="M6804" s="23" t="s">
        <v>8</v>
      </c>
    </row>
    <row r="6805" spans="1:13" s="21" customFormat="1" x14ac:dyDescent="0.25">
      <c r="A6805" s="22" t="s">
        <v>8</v>
      </c>
      <c r="B6805" s="18" t="str">
        <f>"245326"</f>
        <v>245326</v>
      </c>
      <c r="C6805" s="19" t="s">
        <v>6709</v>
      </c>
      <c r="D6805" s="19" t="s">
        <v>22228</v>
      </c>
      <c r="E6805" s="19" t="s">
        <v>31213</v>
      </c>
      <c r="F6805" s="19" t="s">
        <v>35997</v>
      </c>
      <c r="G6805" s="18" t="str">
        <f>"55113"</f>
        <v>55113</v>
      </c>
      <c r="H6805" s="19" t="s">
        <v>36449</v>
      </c>
      <c r="I6805" s="20">
        <v>18.486999999999998</v>
      </c>
      <c r="J6805" s="44" t="s">
        <v>8</v>
      </c>
      <c r="K6805" s="23" t="s">
        <v>8</v>
      </c>
      <c r="L6805" s="23" t="s">
        <v>8</v>
      </c>
      <c r="M6805" s="23" t="s">
        <v>8</v>
      </c>
    </row>
    <row r="6806" spans="1:13" s="21" customFormat="1" x14ac:dyDescent="0.25">
      <c r="A6806" s="22" t="s">
        <v>8</v>
      </c>
      <c r="B6806" s="18" t="str">
        <f>"245327"</f>
        <v>245327</v>
      </c>
      <c r="C6806" s="19" t="s">
        <v>6710</v>
      </c>
      <c r="D6806" s="19" t="s">
        <v>22229</v>
      </c>
      <c r="E6806" s="19" t="s">
        <v>33387</v>
      </c>
      <c r="F6806" s="19" t="s">
        <v>35997</v>
      </c>
      <c r="G6806" s="18" t="str">
        <f>"56142"</f>
        <v>56142</v>
      </c>
      <c r="H6806" s="19" t="s">
        <v>31995</v>
      </c>
      <c r="I6806" s="20">
        <v>19.309999999999999</v>
      </c>
      <c r="J6806" s="44" t="s">
        <v>8</v>
      </c>
      <c r="K6806" s="23" t="s">
        <v>8</v>
      </c>
      <c r="L6806" s="23" t="s">
        <v>8</v>
      </c>
      <c r="M6806" s="23" t="s">
        <v>8</v>
      </c>
    </row>
    <row r="6807" spans="1:13" s="21" customFormat="1" x14ac:dyDescent="0.25">
      <c r="A6807" s="22" t="s">
        <v>8</v>
      </c>
      <c r="B6807" s="18" t="str">
        <f>"245328"</f>
        <v>245328</v>
      </c>
      <c r="C6807" s="19" t="s">
        <v>6711</v>
      </c>
      <c r="D6807" s="19" t="s">
        <v>22230</v>
      </c>
      <c r="E6807" s="19" t="s">
        <v>33388</v>
      </c>
      <c r="F6807" s="19" t="s">
        <v>35997</v>
      </c>
      <c r="G6807" s="18" t="str">
        <f>"55013"</f>
        <v>55013</v>
      </c>
      <c r="H6807" s="19" t="s">
        <v>36471</v>
      </c>
      <c r="I6807" s="20">
        <v>19.372</v>
      </c>
      <c r="J6807" s="44" t="s">
        <v>8</v>
      </c>
      <c r="K6807" s="23" t="s">
        <v>8</v>
      </c>
      <c r="L6807" s="23" t="s">
        <v>8</v>
      </c>
      <c r="M6807" s="23" t="s">
        <v>8</v>
      </c>
    </row>
    <row r="6808" spans="1:13" s="21" customFormat="1" x14ac:dyDescent="0.25">
      <c r="A6808" s="22" t="s">
        <v>8</v>
      </c>
      <c r="B6808" s="18" t="str">
        <f>"245329"</f>
        <v>245329</v>
      </c>
      <c r="C6808" s="19" t="s">
        <v>6712</v>
      </c>
      <c r="D6808" s="19" t="s">
        <v>22231</v>
      </c>
      <c r="E6808" s="19" t="s">
        <v>33389</v>
      </c>
      <c r="F6808" s="19" t="s">
        <v>35997</v>
      </c>
      <c r="G6808" s="18" t="str">
        <f>"56763"</f>
        <v>56763</v>
      </c>
      <c r="H6808" s="19" t="s">
        <v>33451</v>
      </c>
      <c r="I6808" s="20">
        <v>18.832999999999998</v>
      </c>
      <c r="J6808" s="44" t="s">
        <v>8</v>
      </c>
      <c r="K6808" s="23" t="s">
        <v>8</v>
      </c>
      <c r="L6808" s="23" t="s">
        <v>8</v>
      </c>
      <c r="M6808" s="23" t="s">
        <v>8</v>
      </c>
    </row>
    <row r="6809" spans="1:13" s="21" customFormat="1" x14ac:dyDescent="0.25">
      <c r="A6809" s="22" t="s">
        <v>8</v>
      </c>
      <c r="B6809" s="18" t="str">
        <f>"245330"</f>
        <v>245330</v>
      </c>
      <c r="C6809" s="19" t="s">
        <v>6713</v>
      </c>
      <c r="D6809" s="19" t="s">
        <v>22232</v>
      </c>
      <c r="E6809" s="19" t="s">
        <v>33390</v>
      </c>
      <c r="F6809" s="19" t="s">
        <v>35997</v>
      </c>
      <c r="G6809" s="18" t="str">
        <f>"56377"</f>
        <v>56377</v>
      </c>
      <c r="H6809" s="19" t="s">
        <v>36466</v>
      </c>
      <c r="I6809" s="20">
        <v>23.187999999999999</v>
      </c>
      <c r="J6809" s="44" t="s">
        <v>8</v>
      </c>
      <c r="K6809" s="23" t="s">
        <v>8</v>
      </c>
      <c r="L6809" s="23" t="s">
        <v>8</v>
      </c>
      <c r="M6809" s="23" t="s">
        <v>8</v>
      </c>
    </row>
    <row r="6810" spans="1:13" s="21" customFormat="1" x14ac:dyDescent="0.25">
      <c r="A6810" s="22" t="s">
        <v>8</v>
      </c>
      <c r="B6810" s="18" t="str">
        <f>"245332"</f>
        <v>245332</v>
      </c>
      <c r="C6810" s="19" t="s">
        <v>6714</v>
      </c>
      <c r="D6810" s="19" t="s">
        <v>22233</v>
      </c>
      <c r="E6810" s="19" t="s">
        <v>33391</v>
      </c>
      <c r="F6810" s="19" t="s">
        <v>35997</v>
      </c>
      <c r="G6810" s="18" t="str">
        <f>"55331"</f>
        <v>55331</v>
      </c>
      <c r="H6810" s="19" t="s">
        <v>36451</v>
      </c>
      <c r="I6810" s="20">
        <v>21.923999999999999</v>
      </c>
      <c r="J6810" s="44" t="s">
        <v>8</v>
      </c>
      <c r="K6810" s="23" t="s">
        <v>8</v>
      </c>
      <c r="L6810" s="23" t="s">
        <v>8</v>
      </c>
      <c r="M6810" s="23" t="s">
        <v>8</v>
      </c>
    </row>
    <row r="6811" spans="1:13" s="21" customFormat="1" x14ac:dyDescent="0.25">
      <c r="A6811" s="22" t="s">
        <v>8</v>
      </c>
      <c r="B6811" s="18" t="str">
        <f>"245333"</f>
        <v>245333</v>
      </c>
      <c r="C6811" s="19" t="s">
        <v>6715</v>
      </c>
      <c r="D6811" s="19" t="s">
        <v>22234</v>
      </c>
      <c r="E6811" s="19" t="s">
        <v>33392</v>
      </c>
      <c r="F6811" s="19" t="s">
        <v>35997</v>
      </c>
      <c r="G6811" s="18" t="str">
        <f>"55332"</f>
        <v>55332</v>
      </c>
      <c r="H6811" s="19" t="s">
        <v>33486</v>
      </c>
      <c r="I6811" s="20">
        <v>19.2</v>
      </c>
      <c r="J6811" s="44" t="s">
        <v>8</v>
      </c>
      <c r="K6811" s="23" t="s">
        <v>8</v>
      </c>
      <c r="L6811" s="23" t="s">
        <v>8</v>
      </c>
      <c r="M6811" s="23" t="s">
        <v>8</v>
      </c>
    </row>
    <row r="6812" spans="1:13" s="21" customFormat="1" x14ac:dyDescent="0.25">
      <c r="A6812" s="22" t="s">
        <v>8</v>
      </c>
      <c r="B6812" s="18" t="str">
        <f>"245336"</f>
        <v>245336</v>
      </c>
      <c r="C6812" s="19" t="s">
        <v>6716</v>
      </c>
      <c r="D6812" s="19" t="s">
        <v>22235</v>
      </c>
      <c r="E6812" s="19" t="s">
        <v>31322</v>
      </c>
      <c r="F6812" s="19" t="s">
        <v>35997</v>
      </c>
      <c r="G6812" s="18" t="str">
        <f>"55328"</f>
        <v>55328</v>
      </c>
      <c r="H6812" s="19" t="s">
        <v>36290</v>
      </c>
      <c r="I6812" s="20">
        <v>18.359000000000002</v>
      </c>
      <c r="J6812" s="44" t="s">
        <v>8</v>
      </c>
      <c r="K6812" s="23" t="s">
        <v>8</v>
      </c>
      <c r="L6812" s="23" t="s">
        <v>8</v>
      </c>
      <c r="M6812" s="23" t="s">
        <v>8</v>
      </c>
    </row>
    <row r="6813" spans="1:13" s="21" customFormat="1" x14ac:dyDescent="0.25">
      <c r="A6813" s="22" t="s">
        <v>8</v>
      </c>
      <c r="B6813" s="18" t="str">
        <f>"245337"</f>
        <v>245337</v>
      </c>
      <c r="C6813" s="19" t="s">
        <v>6717</v>
      </c>
      <c r="D6813" s="19" t="s">
        <v>22236</v>
      </c>
      <c r="E6813" s="19" t="s">
        <v>33337</v>
      </c>
      <c r="F6813" s="19" t="s">
        <v>35997</v>
      </c>
      <c r="G6813" s="18" t="str">
        <f>"55082"</f>
        <v>55082</v>
      </c>
      <c r="H6813" s="19" t="s">
        <v>31500</v>
      </c>
      <c r="I6813" s="20">
        <v>18.658999999999999</v>
      </c>
      <c r="J6813" s="44" t="s">
        <v>8</v>
      </c>
      <c r="K6813" s="23" t="s">
        <v>8</v>
      </c>
      <c r="L6813" s="23" t="s">
        <v>8</v>
      </c>
      <c r="M6813" s="23" t="s">
        <v>8</v>
      </c>
    </row>
    <row r="6814" spans="1:13" s="21" customFormat="1" x14ac:dyDescent="0.25">
      <c r="A6814" s="22" t="s">
        <v>8</v>
      </c>
      <c r="B6814" s="18" t="str">
        <f>"245338"</f>
        <v>245338</v>
      </c>
      <c r="C6814" s="19" t="s">
        <v>6718</v>
      </c>
      <c r="D6814" s="19" t="s">
        <v>22237</v>
      </c>
      <c r="E6814" s="19" t="s">
        <v>33393</v>
      </c>
      <c r="F6814" s="19" t="s">
        <v>35997</v>
      </c>
      <c r="G6814" s="18" t="str">
        <f>"56007"</f>
        <v>56007</v>
      </c>
      <c r="H6814" s="19" t="s">
        <v>36472</v>
      </c>
      <c r="I6814" s="20">
        <v>16.893999999999998</v>
      </c>
      <c r="J6814" s="44" t="s">
        <v>8</v>
      </c>
      <c r="K6814" s="23" t="s">
        <v>8</v>
      </c>
      <c r="L6814" s="23" t="s">
        <v>8</v>
      </c>
      <c r="M6814" s="23" t="s">
        <v>8</v>
      </c>
    </row>
    <row r="6815" spans="1:13" s="21" customFormat="1" x14ac:dyDescent="0.25">
      <c r="A6815" s="22" t="s">
        <v>8</v>
      </c>
      <c r="B6815" s="18" t="str">
        <f>"245339"</f>
        <v>245339</v>
      </c>
      <c r="C6815" s="19" t="s">
        <v>6719</v>
      </c>
      <c r="D6815" s="19" t="s">
        <v>22238</v>
      </c>
      <c r="E6815" s="19" t="s">
        <v>31834</v>
      </c>
      <c r="F6815" s="19" t="s">
        <v>35997</v>
      </c>
      <c r="G6815" s="18" t="str">
        <f>"56307"</f>
        <v>56307</v>
      </c>
      <c r="H6815" s="19" t="s">
        <v>36466</v>
      </c>
      <c r="I6815" s="20">
        <v>17.096</v>
      </c>
      <c r="J6815" s="44" t="s">
        <v>8</v>
      </c>
      <c r="K6815" s="23" t="s">
        <v>8</v>
      </c>
      <c r="L6815" s="23" t="s">
        <v>8</v>
      </c>
      <c r="M6815" s="23" t="s">
        <v>8</v>
      </c>
    </row>
    <row r="6816" spans="1:13" s="21" customFormat="1" x14ac:dyDescent="0.25">
      <c r="A6816" s="22" t="s">
        <v>8</v>
      </c>
      <c r="B6816" s="18" t="str">
        <f>"245340"</f>
        <v>245340</v>
      </c>
      <c r="C6816" s="19" t="s">
        <v>6720</v>
      </c>
      <c r="D6816" s="19" t="s">
        <v>22239</v>
      </c>
      <c r="E6816" s="19" t="s">
        <v>32650</v>
      </c>
      <c r="F6816" s="19" t="s">
        <v>35997</v>
      </c>
      <c r="G6816" s="18" t="str">
        <f>"55103"</f>
        <v>55103</v>
      </c>
      <c r="H6816" s="19" t="s">
        <v>36449</v>
      </c>
      <c r="I6816" s="20">
        <v>17.036000000000001</v>
      </c>
      <c r="J6816" s="44" t="s">
        <v>8</v>
      </c>
      <c r="K6816" s="23" t="s">
        <v>8</v>
      </c>
      <c r="L6816" s="23" t="s">
        <v>8</v>
      </c>
      <c r="M6816" s="23" t="s">
        <v>8</v>
      </c>
    </row>
    <row r="6817" spans="1:13" s="21" customFormat="1" x14ac:dyDescent="0.25">
      <c r="A6817" s="22" t="s">
        <v>8</v>
      </c>
      <c r="B6817" s="18" t="str">
        <f>"245341"</f>
        <v>245341</v>
      </c>
      <c r="C6817" s="19" t="s">
        <v>6721</v>
      </c>
      <c r="D6817" s="19" t="s">
        <v>22240</v>
      </c>
      <c r="E6817" s="19" t="s">
        <v>33394</v>
      </c>
      <c r="F6817" s="19" t="s">
        <v>35997</v>
      </c>
      <c r="G6817" s="18" t="str">
        <f>"56378"</f>
        <v>56378</v>
      </c>
      <c r="H6817" s="19" t="s">
        <v>36466</v>
      </c>
      <c r="I6817" s="20">
        <v>18.248999999999999</v>
      </c>
      <c r="J6817" s="44" t="s">
        <v>8</v>
      </c>
      <c r="K6817" s="23" t="s">
        <v>8</v>
      </c>
      <c r="L6817" s="23" t="s">
        <v>8</v>
      </c>
      <c r="M6817" s="23" t="s">
        <v>8</v>
      </c>
    </row>
    <row r="6818" spans="1:13" s="21" customFormat="1" x14ac:dyDescent="0.25">
      <c r="A6818" s="22" t="s">
        <v>8</v>
      </c>
      <c r="B6818" s="18" t="str">
        <f>"245342"</f>
        <v>245342</v>
      </c>
      <c r="C6818" s="19" t="s">
        <v>6722</v>
      </c>
      <c r="D6818" s="19" t="s">
        <v>22241</v>
      </c>
      <c r="E6818" s="19" t="s">
        <v>33337</v>
      </c>
      <c r="F6818" s="19" t="s">
        <v>35997</v>
      </c>
      <c r="G6818" s="18" t="str">
        <f>"55082"</f>
        <v>55082</v>
      </c>
      <c r="H6818" s="19" t="s">
        <v>31500</v>
      </c>
      <c r="I6818" s="20">
        <v>18.074000000000002</v>
      </c>
      <c r="J6818" s="44" t="s">
        <v>8</v>
      </c>
      <c r="K6818" s="23" t="s">
        <v>8</v>
      </c>
      <c r="L6818" s="23" t="s">
        <v>8</v>
      </c>
      <c r="M6818" s="23" t="s">
        <v>8</v>
      </c>
    </row>
    <row r="6819" spans="1:13" s="21" customFormat="1" x14ac:dyDescent="0.25">
      <c r="A6819" s="22" t="s">
        <v>8</v>
      </c>
      <c r="B6819" s="18" t="str">
        <f>"245343"</f>
        <v>245343</v>
      </c>
      <c r="C6819" s="19" t="s">
        <v>6723</v>
      </c>
      <c r="D6819" s="19" t="s">
        <v>22242</v>
      </c>
      <c r="E6819" s="19" t="s">
        <v>31919</v>
      </c>
      <c r="F6819" s="19" t="s">
        <v>35997</v>
      </c>
      <c r="G6819" s="18" t="str">
        <f>"55437"</f>
        <v>55437</v>
      </c>
      <c r="H6819" s="19" t="s">
        <v>36451</v>
      </c>
      <c r="I6819" s="20">
        <v>19.280999999999999</v>
      </c>
      <c r="J6819" s="44" t="s">
        <v>8</v>
      </c>
      <c r="K6819" s="23" t="s">
        <v>8</v>
      </c>
      <c r="L6819" s="23" t="s">
        <v>8</v>
      </c>
      <c r="M6819" s="23" t="s">
        <v>8</v>
      </c>
    </row>
    <row r="6820" spans="1:13" s="21" customFormat="1" x14ac:dyDescent="0.25">
      <c r="A6820" s="22" t="s">
        <v>8</v>
      </c>
      <c r="B6820" s="18" t="str">
        <f>"245344"</f>
        <v>245344</v>
      </c>
      <c r="C6820" s="19" t="s">
        <v>6724</v>
      </c>
      <c r="D6820" s="19" t="s">
        <v>22243</v>
      </c>
      <c r="E6820" s="19" t="s">
        <v>33395</v>
      </c>
      <c r="F6820" s="19" t="s">
        <v>35997</v>
      </c>
      <c r="G6820" s="18" t="str">
        <f>"55927"</f>
        <v>55927</v>
      </c>
      <c r="H6820" s="19" t="s">
        <v>33824</v>
      </c>
      <c r="I6820" s="20">
        <v>19.010000000000002</v>
      </c>
      <c r="J6820" s="44" t="s">
        <v>8</v>
      </c>
      <c r="K6820" s="23" t="s">
        <v>8</v>
      </c>
      <c r="L6820" s="23" t="s">
        <v>8</v>
      </c>
      <c r="M6820" s="23" t="s">
        <v>8</v>
      </c>
    </row>
    <row r="6821" spans="1:13" s="21" customFormat="1" x14ac:dyDescent="0.25">
      <c r="A6821" s="22" t="s">
        <v>8</v>
      </c>
      <c r="B6821" s="18" t="str">
        <f>"245345"</f>
        <v>245345</v>
      </c>
      <c r="C6821" s="19" t="s">
        <v>6725</v>
      </c>
      <c r="D6821" s="19" t="s">
        <v>22244</v>
      </c>
      <c r="E6821" s="19" t="s">
        <v>33396</v>
      </c>
      <c r="F6821" s="19" t="s">
        <v>35997</v>
      </c>
      <c r="G6821" s="18" t="str">
        <f>"55964"</f>
        <v>55964</v>
      </c>
      <c r="H6821" s="19" t="s">
        <v>33458</v>
      </c>
      <c r="I6821" s="20">
        <v>19.120999999999999</v>
      </c>
      <c r="J6821" s="44" t="s">
        <v>8</v>
      </c>
      <c r="K6821" s="23" t="s">
        <v>8</v>
      </c>
      <c r="L6821" s="23" t="s">
        <v>8</v>
      </c>
      <c r="M6821" s="23" t="s">
        <v>8</v>
      </c>
    </row>
    <row r="6822" spans="1:13" s="21" customFormat="1" x14ac:dyDescent="0.25">
      <c r="A6822" s="22" t="s">
        <v>8</v>
      </c>
      <c r="B6822" s="18" t="str">
        <f>"245346"</f>
        <v>245346</v>
      </c>
      <c r="C6822" s="19" t="s">
        <v>6726</v>
      </c>
      <c r="D6822" s="19" t="s">
        <v>22245</v>
      </c>
      <c r="E6822" s="19" t="s">
        <v>33397</v>
      </c>
      <c r="F6822" s="19" t="s">
        <v>35997</v>
      </c>
      <c r="G6822" s="18" t="str">
        <f>"56088"</f>
        <v>56088</v>
      </c>
      <c r="H6822" s="19" t="s">
        <v>35168</v>
      </c>
      <c r="I6822" s="20">
        <v>19.626000000000001</v>
      </c>
      <c r="J6822" s="44" t="s">
        <v>8</v>
      </c>
      <c r="K6822" s="23" t="s">
        <v>8</v>
      </c>
      <c r="L6822" s="23" t="s">
        <v>8</v>
      </c>
      <c r="M6822" s="23" t="s">
        <v>8</v>
      </c>
    </row>
    <row r="6823" spans="1:13" s="21" customFormat="1" x14ac:dyDescent="0.25">
      <c r="A6823" s="22" t="s">
        <v>8</v>
      </c>
      <c r="B6823" s="18" t="str">
        <f>"245347"</f>
        <v>245347</v>
      </c>
      <c r="C6823" s="19" t="s">
        <v>6727</v>
      </c>
      <c r="D6823" s="19" t="s">
        <v>22246</v>
      </c>
      <c r="E6823" s="19" t="s">
        <v>32650</v>
      </c>
      <c r="F6823" s="19" t="s">
        <v>35997</v>
      </c>
      <c r="G6823" s="18" t="str">
        <f>"55108"</f>
        <v>55108</v>
      </c>
      <c r="H6823" s="19" t="s">
        <v>36449</v>
      </c>
      <c r="I6823" s="20">
        <v>17.943999999999999</v>
      </c>
      <c r="J6823" s="44" t="s">
        <v>8</v>
      </c>
      <c r="K6823" s="23" t="s">
        <v>8</v>
      </c>
      <c r="L6823" s="23" t="s">
        <v>8</v>
      </c>
      <c r="M6823" s="23" t="s">
        <v>8</v>
      </c>
    </row>
    <row r="6824" spans="1:13" s="21" customFormat="1" x14ac:dyDescent="0.25">
      <c r="A6824" s="22" t="s">
        <v>8</v>
      </c>
      <c r="B6824" s="18" t="str">
        <f>"245348"</f>
        <v>245348</v>
      </c>
      <c r="C6824" s="19" t="s">
        <v>6728</v>
      </c>
      <c r="D6824" s="19" t="s">
        <v>22247</v>
      </c>
      <c r="E6824" s="19" t="s">
        <v>33398</v>
      </c>
      <c r="F6824" s="19" t="s">
        <v>35997</v>
      </c>
      <c r="G6824" s="18" t="str">
        <f>"55069"</f>
        <v>55069</v>
      </c>
      <c r="H6824" s="19" t="s">
        <v>36471</v>
      </c>
      <c r="I6824" s="20">
        <v>19.443999999999999</v>
      </c>
      <c r="J6824" s="44" t="s">
        <v>8</v>
      </c>
      <c r="K6824" s="23" t="s">
        <v>8</v>
      </c>
      <c r="L6824" s="23" t="s">
        <v>8</v>
      </c>
      <c r="M6824" s="23" t="s">
        <v>8</v>
      </c>
    </row>
    <row r="6825" spans="1:13" s="21" customFormat="1" x14ac:dyDescent="0.25">
      <c r="A6825" s="22" t="s">
        <v>8</v>
      </c>
      <c r="B6825" s="18" t="str">
        <f>"245349"</f>
        <v>245349</v>
      </c>
      <c r="C6825" s="19" t="s">
        <v>6729</v>
      </c>
      <c r="D6825" s="19" t="s">
        <v>22248</v>
      </c>
      <c r="E6825" s="19" t="s">
        <v>33399</v>
      </c>
      <c r="F6825" s="19" t="s">
        <v>35997</v>
      </c>
      <c r="G6825" s="18" t="str">
        <f>"55976"</f>
        <v>55976</v>
      </c>
      <c r="H6825" s="19" t="s">
        <v>36455</v>
      </c>
      <c r="I6825" s="20">
        <v>16.91</v>
      </c>
      <c r="J6825" s="44" t="s">
        <v>8</v>
      </c>
      <c r="K6825" s="23" t="s">
        <v>8</v>
      </c>
      <c r="L6825" s="23" t="s">
        <v>8</v>
      </c>
      <c r="M6825" s="23" t="s">
        <v>8</v>
      </c>
    </row>
    <row r="6826" spans="1:13" s="21" customFormat="1" x14ac:dyDescent="0.25">
      <c r="A6826" s="22" t="s">
        <v>8</v>
      </c>
      <c r="B6826" s="18" t="str">
        <f>"245350"</f>
        <v>245350</v>
      </c>
      <c r="C6826" s="19" t="s">
        <v>6730</v>
      </c>
      <c r="D6826" s="19" t="s">
        <v>22249</v>
      </c>
      <c r="E6826" s="19" t="s">
        <v>31627</v>
      </c>
      <c r="F6826" s="19" t="s">
        <v>35997</v>
      </c>
      <c r="G6826" s="18" t="str">
        <f>"56304"</f>
        <v>56304</v>
      </c>
      <c r="H6826" s="19" t="s">
        <v>36448</v>
      </c>
      <c r="I6826" s="20">
        <v>16.375</v>
      </c>
      <c r="J6826" s="44" t="s">
        <v>8</v>
      </c>
      <c r="K6826" s="23" t="s">
        <v>8</v>
      </c>
      <c r="L6826" s="23" t="s">
        <v>8</v>
      </c>
      <c r="M6826" s="23" t="s">
        <v>8</v>
      </c>
    </row>
    <row r="6827" spans="1:13" s="21" customFormat="1" x14ac:dyDescent="0.25">
      <c r="A6827" s="22" t="s">
        <v>8</v>
      </c>
      <c r="B6827" s="18" t="str">
        <f>"245352"</f>
        <v>245352</v>
      </c>
      <c r="C6827" s="19" t="s">
        <v>6731</v>
      </c>
      <c r="D6827" s="19" t="s">
        <v>22250</v>
      </c>
      <c r="E6827" s="19" t="s">
        <v>33342</v>
      </c>
      <c r="F6827" s="19" t="s">
        <v>35997</v>
      </c>
      <c r="G6827" s="18" t="str">
        <f>"55109"</f>
        <v>55109</v>
      </c>
      <c r="H6827" s="19" t="s">
        <v>36449</v>
      </c>
      <c r="I6827" s="20">
        <v>16.664000000000001</v>
      </c>
      <c r="J6827" s="44" t="s">
        <v>8</v>
      </c>
      <c r="K6827" s="23" t="s">
        <v>8</v>
      </c>
      <c r="L6827" s="23" t="s">
        <v>8</v>
      </c>
      <c r="M6827" s="23" t="s">
        <v>8</v>
      </c>
    </row>
    <row r="6828" spans="1:13" s="21" customFormat="1" x14ac:dyDescent="0.25">
      <c r="A6828" s="22" t="s">
        <v>8</v>
      </c>
      <c r="B6828" s="18" t="str">
        <f>"245353"</f>
        <v>245353</v>
      </c>
      <c r="C6828" s="19" t="s">
        <v>6732</v>
      </c>
      <c r="D6828" s="19" t="s">
        <v>22251</v>
      </c>
      <c r="E6828" s="19" t="s">
        <v>32457</v>
      </c>
      <c r="F6828" s="19" t="s">
        <v>35997</v>
      </c>
      <c r="G6828" s="18" t="str">
        <f>"55448"</f>
        <v>55448</v>
      </c>
      <c r="H6828" s="19" t="s">
        <v>33336</v>
      </c>
      <c r="I6828" s="20">
        <v>21.364000000000001</v>
      </c>
      <c r="J6828" s="44" t="s">
        <v>8</v>
      </c>
      <c r="K6828" s="23" t="s">
        <v>8</v>
      </c>
      <c r="L6828" s="23" t="s">
        <v>8</v>
      </c>
      <c r="M6828" s="23" t="s">
        <v>8</v>
      </c>
    </row>
    <row r="6829" spans="1:13" s="21" customFormat="1" x14ac:dyDescent="0.25">
      <c r="A6829" s="22" t="s">
        <v>8</v>
      </c>
      <c r="B6829" s="18" t="str">
        <f>"245355"</f>
        <v>245355</v>
      </c>
      <c r="C6829" s="19" t="s">
        <v>6733</v>
      </c>
      <c r="D6829" s="19" t="s">
        <v>22252</v>
      </c>
      <c r="E6829" s="19" t="s">
        <v>33343</v>
      </c>
      <c r="F6829" s="19" t="s">
        <v>35997</v>
      </c>
      <c r="G6829" s="18" t="str">
        <f>"55066"</f>
        <v>55066</v>
      </c>
      <c r="H6829" s="19" t="s">
        <v>36458</v>
      </c>
      <c r="I6829" s="20">
        <v>17.113</v>
      </c>
      <c r="J6829" s="44" t="s">
        <v>8</v>
      </c>
      <c r="K6829" s="23" t="s">
        <v>8</v>
      </c>
      <c r="L6829" s="23" t="s">
        <v>8</v>
      </c>
      <c r="M6829" s="23" t="s">
        <v>8</v>
      </c>
    </row>
    <row r="6830" spans="1:13" s="21" customFormat="1" x14ac:dyDescent="0.25">
      <c r="A6830" s="22" t="s">
        <v>8</v>
      </c>
      <c r="B6830" s="18" t="str">
        <f>"245356"</f>
        <v>245356</v>
      </c>
      <c r="C6830" s="19" t="s">
        <v>6734</v>
      </c>
      <c r="D6830" s="19" t="s">
        <v>22253</v>
      </c>
      <c r="E6830" s="19" t="s">
        <v>33400</v>
      </c>
      <c r="F6830" s="19" t="s">
        <v>35997</v>
      </c>
      <c r="G6830" s="18" t="str">
        <f>"56556"</f>
        <v>56556</v>
      </c>
      <c r="H6830" s="19" t="s">
        <v>36062</v>
      </c>
      <c r="I6830" s="20">
        <v>18.783000000000001</v>
      </c>
      <c r="J6830" s="44" t="s">
        <v>8</v>
      </c>
      <c r="K6830" s="23" t="s">
        <v>8</v>
      </c>
      <c r="L6830" s="23" t="s">
        <v>8</v>
      </c>
      <c r="M6830" s="23" t="s">
        <v>8</v>
      </c>
    </row>
    <row r="6831" spans="1:13" s="21" customFormat="1" x14ac:dyDescent="0.25">
      <c r="A6831" s="22" t="s">
        <v>8</v>
      </c>
      <c r="B6831" s="18" t="str">
        <f>"245357"</f>
        <v>245357</v>
      </c>
      <c r="C6831" s="19" t="s">
        <v>6735</v>
      </c>
      <c r="D6831" s="19" t="s">
        <v>22254</v>
      </c>
      <c r="E6831" s="19" t="s">
        <v>33401</v>
      </c>
      <c r="F6831" s="19" t="s">
        <v>35997</v>
      </c>
      <c r="G6831" s="18" t="str">
        <f>"56178"</f>
        <v>56178</v>
      </c>
      <c r="H6831" s="19" t="s">
        <v>31995</v>
      </c>
      <c r="I6831" s="20">
        <v>19.759</v>
      </c>
      <c r="J6831" s="44" t="s">
        <v>8</v>
      </c>
      <c r="K6831" s="23" t="s">
        <v>8</v>
      </c>
      <c r="L6831" s="23" t="s">
        <v>8</v>
      </c>
      <c r="M6831" s="23" t="s">
        <v>8</v>
      </c>
    </row>
    <row r="6832" spans="1:13" s="21" customFormat="1" x14ac:dyDescent="0.25">
      <c r="A6832" s="22" t="s">
        <v>8</v>
      </c>
      <c r="B6832" s="18" t="str">
        <f>"245358"</f>
        <v>245358</v>
      </c>
      <c r="C6832" s="19" t="s">
        <v>1249</v>
      </c>
      <c r="D6832" s="19" t="s">
        <v>22255</v>
      </c>
      <c r="E6832" s="19" t="s">
        <v>33402</v>
      </c>
      <c r="F6832" s="19" t="s">
        <v>35997</v>
      </c>
      <c r="G6832" s="18" t="str">
        <f>"55389"</f>
        <v>55389</v>
      </c>
      <c r="H6832" s="19" t="s">
        <v>34685</v>
      </c>
      <c r="I6832" s="20">
        <v>18.366</v>
      </c>
      <c r="J6832" s="44" t="s">
        <v>8</v>
      </c>
      <c r="K6832" s="23" t="s">
        <v>8</v>
      </c>
      <c r="L6832" s="23" t="s">
        <v>8</v>
      </c>
      <c r="M6832" s="23" t="s">
        <v>8</v>
      </c>
    </row>
    <row r="6833" spans="1:13" s="21" customFormat="1" x14ac:dyDescent="0.25">
      <c r="A6833" s="22" t="s">
        <v>8</v>
      </c>
      <c r="B6833" s="18" t="str">
        <f>"245359"</f>
        <v>245359</v>
      </c>
      <c r="C6833" s="19" t="s">
        <v>6736</v>
      </c>
      <c r="D6833" s="19" t="s">
        <v>22256</v>
      </c>
      <c r="E6833" s="19" t="s">
        <v>33403</v>
      </c>
      <c r="F6833" s="19" t="s">
        <v>35997</v>
      </c>
      <c r="G6833" s="18" t="str">
        <f>"55963"</f>
        <v>55963</v>
      </c>
      <c r="H6833" s="19" t="s">
        <v>36458</v>
      </c>
      <c r="I6833" s="20">
        <v>18.07</v>
      </c>
      <c r="J6833" s="44" t="s">
        <v>8</v>
      </c>
      <c r="K6833" s="23" t="s">
        <v>8</v>
      </c>
      <c r="L6833" s="23" t="s">
        <v>8</v>
      </c>
      <c r="M6833" s="23" t="s">
        <v>8</v>
      </c>
    </row>
    <row r="6834" spans="1:13" s="21" customFormat="1" x14ac:dyDescent="0.25">
      <c r="A6834" s="22" t="s">
        <v>8</v>
      </c>
      <c r="B6834" s="18" t="str">
        <f>"245360"</f>
        <v>245360</v>
      </c>
      <c r="C6834" s="19" t="s">
        <v>6737</v>
      </c>
      <c r="D6834" s="19" t="s">
        <v>22257</v>
      </c>
      <c r="E6834" s="19" t="s">
        <v>31423</v>
      </c>
      <c r="F6834" s="19" t="s">
        <v>35997</v>
      </c>
      <c r="G6834" s="18" t="str">
        <f>"56273"</f>
        <v>56273</v>
      </c>
      <c r="H6834" s="19" t="s">
        <v>36473</v>
      </c>
      <c r="I6834" s="20">
        <v>18.834</v>
      </c>
      <c r="J6834" s="44" t="s">
        <v>8</v>
      </c>
      <c r="K6834" s="23" t="s">
        <v>8</v>
      </c>
      <c r="L6834" s="23" t="s">
        <v>8</v>
      </c>
      <c r="M6834" s="23" t="s">
        <v>8</v>
      </c>
    </row>
    <row r="6835" spans="1:13" s="21" customFormat="1" x14ac:dyDescent="0.25">
      <c r="A6835" s="22" t="s">
        <v>8</v>
      </c>
      <c r="B6835" s="18" t="str">
        <f>"245361"</f>
        <v>245361</v>
      </c>
      <c r="C6835" s="19" t="s">
        <v>6738</v>
      </c>
      <c r="D6835" s="19" t="s">
        <v>22258</v>
      </c>
      <c r="E6835" s="19" t="s">
        <v>31463</v>
      </c>
      <c r="F6835" s="19" t="s">
        <v>35997</v>
      </c>
      <c r="G6835" s="18" t="str">
        <f>"55355"</f>
        <v>55355</v>
      </c>
      <c r="H6835" s="19" t="s">
        <v>34685</v>
      </c>
      <c r="I6835" s="20">
        <v>17.329999999999998</v>
      </c>
      <c r="J6835" s="44" t="s">
        <v>8</v>
      </c>
      <c r="K6835" s="23" t="s">
        <v>8</v>
      </c>
      <c r="L6835" s="23" t="s">
        <v>8</v>
      </c>
      <c r="M6835" s="23" t="s">
        <v>8</v>
      </c>
    </row>
    <row r="6836" spans="1:13" s="21" customFormat="1" x14ac:dyDescent="0.25">
      <c r="A6836" s="22" t="s">
        <v>8</v>
      </c>
      <c r="B6836" s="18" t="str">
        <f>"245362"</f>
        <v>245362</v>
      </c>
      <c r="C6836" s="19" t="s">
        <v>6739</v>
      </c>
      <c r="D6836" s="19" t="s">
        <v>22259</v>
      </c>
      <c r="E6836" s="19" t="s">
        <v>32411</v>
      </c>
      <c r="F6836" s="19" t="s">
        <v>35997</v>
      </c>
      <c r="G6836" s="18" t="str">
        <f>"56065"</f>
        <v>56065</v>
      </c>
      <c r="H6836" s="19" t="s">
        <v>33408</v>
      </c>
      <c r="I6836" s="20">
        <v>18.911000000000001</v>
      </c>
      <c r="J6836" s="44" t="s">
        <v>8</v>
      </c>
      <c r="K6836" s="23" t="s">
        <v>8</v>
      </c>
      <c r="L6836" s="23" t="s">
        <v>8</v>
      </c>
      <c r="M6836" s="23" t="s">
        <v>8</v>
      </c>
    </row>
    <row r="6837" spans="1:13" s="21" customFormat="1" x14ac:dyDescent="0.25">
      <c r="A6837" s="22" t="s">
        <v>8</v>
      </c>
      <c r="B6837" s="18" t="str">
        <f>"245363"</f>
        <v>245363</v>
      </c>
      <c r="C6837" s="19" t="s">
        <v>6740</v>
      </c>
      <c r="D6837" s="19" t="s">
        <v>22260</v>
      </c>
      <c r="E6837" s="19" t="s">
        <v>33326</v>
      </c>
      <c r="F6837" s="19" t="s">
        <v>35997</v>
      </c>
      <c r="G6837" s="18" t="str">
        <f>"56431"</f>
        <v>56431</v>
      </c>
      <c r="H6837" s="19" t="s">
        <v>33326</v>
      </c>
      <c r="I6837" s="20">
        <v>16.728999999999999</v>
      </c>
      <c r="J6837" s="44" t="s">
        <v>8</v>
      </c>
      <c r="K6837" s="23" t="s">
        <v>8</v>
      </c>
      <c r="L6837" s="23" t="s">
        <v>8</v>
      </c>
      <c r="M6837" s="23" t="s">
        <v>8</v>
      </c>
    </row>
    <row r="6838" spans="1:13" s="21" customFormat="1" x14ac:dyDescent="0.25">
      <c r="A6838" s="22" t="s">
        <v>8</v>
      </c>
      <c r="B6838" s="18" t="str">
        <f>"245364"</f>
        <v>245364</v>
      </c>
      <c r="C6838" s="19" t="s">
        <v>6741</v>
      </c>
      <c r="D6838" s="19" t="s">
        <v>22261</v>
      </c>
      <c r="E6838" s="19" t="s">
        <v>33404</v>
      </c>
      <c r="F6838" s="19" t="s">
        <v>35997</v>
      </c>
      <c r="G6838" s="18" t="str">
        <f>"55302"</f>
        <v>55302</v>
      </c>
      <c r="H6838" s="19" t="s">
        <v>36290</v>
      </c>
      <c r="I6838" s="20">
        <v>17.515000000000001</v>
      </c>
      <c r="J6838" s="44" t="s">
        <v>8</v>
      </c>
      <c r="K6838" s="23" t="s">
        <v>8</v>
      </c>
      <c r="L6838" s="23" t="s">
        <v>8</v>
      </c>
      <c r="M6838" s="23" t="s">
        <v>8</v>
      </c>
    </row>
    <row r="6839" spans="1:13" s="21" customFormat="1" x14ac:dyDescent="0.25">
      <c r="A6839" s="22" t="s">
        <v>8</v>
      </c>
      <c r="B6839" s="18" t="str">
        <f>"245365"</f>
        <v>245365</v>
      </c>
      <c r="C6839" s="19" t="s">
        <v>6742</v>
      </c>
      <c r="D6839" s="19" t="s">
        <v>22262</v>
      </c>
      <c r="E6839" s="19" t="s">
        <v>32650</v>
      </c>
      <c r="F6839" s="19" t="s">
        <v>35997</v>
      </c>
      <c r="G6839" s="18" t="str">
        <f>"55106"</f>
        <v>55106</v>
      </c>
      <c r="H6839" s="19" t="s">
        <v>36449</v>
      </c>
      <c r="I6839" s="20">
        <v>16.908999999999999</v>
      </c>
      <c r="J6839" s="44" t="s">
        <v>8</v>
      </c>
      <c r="K6839" s="23" t="s">
        <v>8</v>
      </c>
      <c r="L6839" s="23" t="s">
        <v>8</v>
      </c>
      <c r="M6839" s="23" t="s">
        <v>8</v>
      </c>
    </row>
    <row r="6840" spans="1:13" s="21" customFormat="1" x14ac:dyDescent="0.25">
      <c r="A6840" s="22" t="s">
        <v>8</v>
      </c>
      <c r="B6840" s="18" t="str">
        <f>"245366"</f>
        <v>245366</v>
      </c>
      <c r="C6840" s="19" t="s">
        <v>6743</v>
      </c>
      <c r="D6840" s="19" t="s">
        <v>22263</v>
      </c>
      <c r="E6840" s="19" t="s">
        <v>33341</v>
      </c>
      <c r="F6840" s="19" t="s">
        <v>35997</v>
      </c>
      <c r="G6840" s="18" t="str">
        <f>"55811"</f>
        <v>55811</v>
      </c>
      <c r="H6840" s="19" t="s">
        <v>33228</v>
      </c>
      <c r="I6840" s="20">
        <v>18.812000000000001</v>
      </c>
      <c r="J6840" s="44" t="s">
        <v>8</v>
      </c>
      <c r="K6840" s="23" t="s">
        <v>8</v>
      </c>
      <c r="L6840" s="23" t="s">
        <v>8</v>
      </c>
      <c r="M6840" s="23" t="s">
        <v>8</v>
      </c>
    </row>
    <row r="6841" spans="1:13" s="21" customFormat="1" x14ac:dyDescent="0.25">
      <c r="A6841" s="22" t="s">
        <v>8</v>
      </c>
      <c r="B6841" s="18" t="str">
        <f>"245367"</f>
        <v>245367</v>
      </c>
      <c r="C6841" s="19" t="s">
        <v>6744</v>
      </c>
      <c r="D6841" s="19" t="s">
        <v>22264</v>
      </c>
      <c r="E6841" s="19" t="s">
        <v>33405</v>
      </c>
      <c r="F6841" s="19" t="s">
        <v>35997</v>
      </c>
      <c r="G6841" s="18" t="str">
        <f>"55936"</f>
        <v>55936</v>
      </c>
      <c r="H6841" s="19" t="s">
        <v>36469</v>
      </c>
      <c r="I6841" s="20">
        <v>19.803999999999998</v>
      </c>
      <c r="J6841" s="44" t="s">
        <v>8</v>
      </c>
      <c r="K6841" s="23" t="s">
        <v>8</v>
      </c>
      <c r="L6841" s="23" t="s">
        <v>8</v>
      </c>
      <c r="M6841" s="23" t="s">
        <v>8</v>
      </c>
    </row>
    <row r="6842" spans="1:13" s="21" customFormat="1" x14ac:dyDescent="0.25">
      <c r="A6842" s="22" t="s">
        <v>8</v>
      </c>
      <c r="B6842" s="18" t="str">
        <f>"245368"</f>
        <v>245368</v>
      </c>
      <c r="C6842" s="19" t="s">
        <v>6745</v>
      </c>
      <c r="D6842" s="19" t="s">
        <v>22265</v>
      </c>
      <c r="E6842" s="19" t="s">
        <v>33160</v>
      </c>
      <c r="F6842" s="19" t="s">
        <v>35997</v>
      </c>
      <c r="G6842" s="18" t="str">
        <f>"55744"</f>
        <v>55744</v>
      </c>
      <c r="H6842" s="19" t="s">
        <v>32089</v>
      </c>
      <c r="I6842" s="20">
        <v>16.599</v>
      </c>
      <c r="J6842" s="44" t="s">
        <v>8</v>
      </c>
      <c r="K6842" s="23" t="s">
        <v>8</v>
      </c>
      <c r="L6842" s="23" t="s">
        <v>8</v>
      </c>
      <c r="M6842" s="23" t="s">
        <v>8</v>
      </c>
    </row>
    <row r="6843" spans="1:13" s="21" customFormat="1" x14ac:dyDescent="0.25">
      <c r="A6843" s="22" t="s">
        <v>8</v>
      </c>
      <c r="B6843" s="18" t="str">
        <f>"245369"</f>
        <v>245369</v>
      </c>
      <c r="C6843" s="19" t="s">
        <v>6746</v>
      </c>
      <c r="D6843" s="19" t="s">
        <v>22266</v>
      </c>
      <c r="E6843" s="19" t="s">
        <v>33383</v>
      </c>
      <c r="F6843" s="19" t="s">
        <v>35997</v>
      </c>
      <c r="G6843" s="18" t="str">
        <f>"55912"</f>
        <v>55912</v>
      </c>
      <c r="H6843" s="19" t="s">
        <v>36469</v>
      </c>
      <c r="I6843" s="20">
        <v>16.734000000000002</v>
      </c>
      <c r="J6843" s="44" t="s">
        <v>8</v>
      </c>
      <c r="K6843" s="23" t="s">
        <v>8</v>
      </c>
      <c r="L6843" s="23" t="s">
        <v>8</v>
      </c>
      <c r="M6843" s="23" t="s">
        <v>8</v>
      </c>
    </row>
    <row r="6844" spans="1:13" s="21" customFormat="1" x14ac:dyDescent="0.25">
      <c r="A6844" s="22" t="s">
        <v>8</v>
      </c>
      <c r="B6844" s="18" t="str">
        <f>"245370"</f>
        <v>245370</v>
      </c>
      <c r="C6844" s="19" t="s">
        <v>6747</v>
      </c>
      <c r="D6844" s="19" t="s">
        <v>22267</v>
      </c>
      <c r="E6844" s="19" t="s">
        <v>33406</v>
      </c>
      <c r="F6844" s="19" t="s">
        <v>35997</v>
      </c>
      <c r="G6844" s="18" t="str">
        <f>"55056"</f>
        <v>55056</v>
      </c>
      <c r="H6844" s="19" t="s">
        <v>36471</v>
      </c>
      <c r="I6844" s="20">
        <v>18.882000000000001</v>
      </c>
      <c r="J6844" s="44" t="s">
        <v>8</v>
      </c>
      <c r="K6844" s="23" t="s">
        <v>8</v>
      </c>
      <c r="L6844" s="23" t="s">
        <v>8</v>
      </c>
      <c r="M6844" s="23" t="s">
        <v>8</v>
      </c>
    </row>
    <row r="6845" spans="1:13" s="21" customFormat="1" x14ac:dyDescent="0.25">
      <c r="A6845" s="22" t="s">
        <v>8</v>
      </c>
      <c r="B6845" s="18" t="str">
        <f>"245371"</f>
        <v>245371</v>
      </c>
      <c r="C6845" s="19" t="s">
        <v>6748</v>
      </c>
      <c r="D6845" s="19" t="s">
        <v>22268</v>
      </c>
      <c r="E6845" s="19" t="s">
        <v>33407</v>
      </c>
      <c r="F6845" s="19" t="s">
        <v>35997</v>
      </c>
      <c r="G6845" s="18" t="str">
        <f>"56175"</f>
        <v>56175</v>
      </c>
      <c r="H6845" s="19" t="s">
        <v>36274</v>
      </c>
      <c r="I6845" s="20">
        <v>19.582999999999998</v>
      </c>
      <c r="J6845" s="44" t="s">
        <v>8</v>
      </c>
      <c r="K6845" s="23" t="s">
        <v>8</v>
      </c>
      <c r="L6845" s="23" t="s">
        <v>8</v>
      </c>
      <c r="M6845" s="23" t="s">
        <v>8</v>
      </c>
    </row>
    <row r="6846" spans="1:13" s="21" customFormat="1" x14ac:dyDescent="0.25">
      <c r="A6846" s="22" t="s">
        <v>8</v>
      </c>
      <c r="B6846" s="18" t="str">
        <f>"245372"</f>
        <v>245372</v>
      </c>
      <c r="C6846" s="19" t="s">
        <v>6749</v>
      </c>
      <c r="D6846" s="19" t="s">
        <v>22269</v>
      </c>
      <c r="E6846" s="19" t="s">
        <v>33408</v>
      </c>
      <c r="F6846" s="19" t="s">
        <v>35997</v>
      </c>
      <c r="G6846" s="18" t="str">
        <f>"56013"</f>
        <v>56013</v>
      </c>
      <c r="H6846" s="19" t="s">
        <v>33322</v>
      </c>
      <c r="I6846" s="20">
        <v>18.513000000000002</v>
      </c>
      <c r="J6846" s="44" t="s">
        <v>8</v>
      </c>
      <c r="K6846" s="23" t="s">
        <v>8</v>
      </c>
      <c r="L6846" s="23" t="s">
        <v>8</v>
      </c>
      <c r="M6846" s="23" t="s">
        <v>8</v>
      </c>
    </row>
    <row r="6847" spans="1:13" s="21" customFormat="1" x14ac:dyDescent="0.25">
      <c r="A6847" s="22" t="s">
        <v>8</v>
      </c>
      <c r="B6847" s="18" t="str">
        <f>"245373"</f>
        <v>245373</v>
      </c>
      <c r="C6847" s="19" t="s">
        <v>6750</v>
      </c>
      <c r="D6847" s="19" t="s">
        <v>22270</v>
      </c>
      <c r="E6847" s="19" t="s">
        <v>33409</v>
      </c>
      <c r="F6847" s="19" t="s">
        <v>35997</v>
      </c>
      <c r="G6847" s="18" t="str">
        <f>"56572"</f>
        <v>56572</v>
      </c>
      <c r="H6847" s="19" t="s">
        <v>36474</v>
      </c>
      <c r="I6847" s="20">
        <v>18.056000000000001</v>
      </c>
      <c r="J6847" s="44" t="s">
        <v>8</v>
      </c>
      <c r="K6847" s="23" t="s">
        <v>8</v>
      </c>
      <c r="L6847" s="23" t="s">
        <v>8</v>
      </c>
      <c r="M6847" s="23" t="s">
        <v>8</v>
      </c>
    </row>
    <row r="6848" spans="1:13" s="21" customFormat="1" x14ac:dyDescent="0.25">
      <c r="A6848" s="22" t="s">
        <v>8</v>
      </c>
      <c r="B6848" s="18" t="str">
        <f>"245374"</f>
        <v>245374</v>
      </c>
      <c r="C6848" s="19" t="s">
        <v>6751</v>
      </c>
      <c r="D6848" s="19" t="s">
        <v>22271</v>
      </c>
      <c r="E6848" s="19" t="s">
        <v>33410</v>
      </c>
      <c r="F6848" s="19" t="s">
        <v>35997</v>
      </c>
      <c r="G6848" s="18" t="str">
        <f>"55063"</f>
        <v>55063</v>
      </c>
      <c r="H6848" s="19" t="s">
        <v>36475</v>
      </c>
      <c r="I6848" s="20">
        <v>17.981000000000002</v>
      </c>
      <c r="J6848" s="44" t="s">
        <v>8</v>
      </c>
      <c r="K6848" s="23" t="s">
        <v>8</v>
      </c>
      <c r="L6848" s="23" t="s">
        <v>8</v>
      </c>
      <c r="M6848" s="23" t="s">
        <v>8</v>
      </c>
    </row>
    <row r="6849" spans="1:13" s="21" customFormat="1" x14ac:dyDescent="0.25">
      <c r="A6849" s="22" t="s">
        <v>8</v>
      </c>
      <c r="B6849" s="18" t="str">
        <f>"245375"</f>
        <v>245375</v>
      </c>
      <c r="C6849" s="19" t="s">
        <v>6752</v>
      </c>
      <c r="D6849" s="19" t="s">
        <v>22272</v>
      </c>
      <c r="E6849" s="19" t="s">
        <v>33411</v>
      </c>
      <c r="F6849" s="19" t="s">
        <v>35997</v>
      </c>
      <c r="G6849" s="18" t="str">
        <f>"56387"</f>
        <v>56387</v>
      </c>
      <c r="H6849" s="19" t="s">
        <v>36466</v>
      </c>
      <c r="I6849" s="20">
        <v>19.105</v>
      </c>
      <c r="J6849" s="44" t="s">
        <v>8</v>
      </c>
      <c r="K6849" s="23" t="s">
        <v>8</v>
      </c>
      <c r="L6849" s="23" t="s">
        <v>8</v>
      </c>
      <c r="M6849" s="23" t="s">
        <v>8</v>
      </c>
    </row>
    <row r="6850" spans="1:13" s="21" customFormat="1" x14ac:dyDescent="0.25">
      <c r="A6850" s="22" t="s">
        <v>8</v>
      </c>
      <c r="B6850" s="18" t="str">
        <f>"245376"</f>
        <v>245376</v>
      </c>
      <c r="C6850" s="19" t="s">
        <v>6753</v>
      </c>
      <c r="D6850" s="19" t="s">
        <v>22273</v>
      </c>
      <c r="E6850" s="19" t="s">
        <v>33412</v>
      </c>
      <c r="F6850" s="19" t="s">
        <v>35997</v>
      </c>
      <c r="G6850" s="18" t="str">
        <f>"55992"</f>
        <v>55992</v>
      </c>
      <c r="H6850" s="19" t="s">
        <v>36458</v>
      </c>
      <c r="I6850" s="20">
        <v>16.841000000000001</v>
      </c>
      <c r="J6850" s="44" t="s">
        <v>8</v>
      </c>
      <c r="K6850" s="23" t="s">
        <v>8</v>
      </c>
      <c r="L6850" s="23" t="s">
        <v>8</v>
      </c>
      <c r="M6850" s="23" t="s">
        <v>8</v>
      </c>
    </row>
    <row r="6851" spans="1:13" s="21" customFormat="1" x14ac:dyDescent="0.25">
      <c r="A6851" s="22" t="s">
        <v>8</v>
      </c>
      <c r="B6851" s="18" t="str">
        <f>"245378"</f>
        <v>245378</v>
      </c>
      <c r="C6851" s="19" t="s">
        <v>6754</v>
      </c>
      <c r="D6851" s="19" t="s">
        <v>22274</v>
      </c>
      <c r="E6851" s="19" t="s">
        <v>33413</v>
      </c>
      <c r="F6851" s="19" t="s">
        <v>35997</v>
      </c>
      <c r="G6851" s="18" t="str">
        <f>"56152"</f>
        <v>56152</v>
      </c>
      <c r="H6851" s="19" t="s">
        <v>36462</v>
      </c>
      <c r="I6851" s="20">
        <v>20.375</v>
      </c>
      <c r="J6851" s="44" t="s">
        <v>8</v>
      </c>
      <c r="K6851" s="23" t="s">
        <v>8</v>
      </c>
      <c r="L6851" s="23" t="s">
        <v>8</v>
      </c>
      <c r="M6851" s="23" t="s">
        <v>8</v>
      </c>
    </row>
    <row r="6852" spans="1:13" s="21" customFormat="1" x14ac:dyDescent="0.25">
      <c r="A6852" s="22" t="s">
        <v>8</v>
      </c>
      <c r="B6852" s="18" t="str">
        <f>"245379"</f>
        <v>245379</v>
      </c>
      <c r="C6852" s="19" t="s">
        <v>6755</v>
      </c>
      <c r="D6852" s="19" t="s">
        <v>22275</v>
      </c>
      <c r="E6852" s="19" t="s">
        <v>33414</v>
      </c>
      <c r="F6852" s="19" t="s">
        <v>35997</v>
      </c>
      <c r="G6852" s="18" t="str">
        <f>"55946"</f>
        <v>55946</v>
      </c>
      <c r="H6852" s="19" t="s">
        <v>36458</v>
      </c>
      <c r="I6852" s="20">
        <v>18.178000000000001</v>
      </c>
      <c r="J6852" s="44" t="s">
        <v>8</v>
      </c>
      <c r="K6852" s="23" t="s">
        <v>8</v>
      </c>
      <c r="L6852" s="23" t="s">
        <v>8</v>
      </c>
      <c r="M6852" s="23" t="s">
        <v>8</v>
      </c>
    </row>
    <row r="6853" spans="1:13" s="21" customFormat="1" x14ac:dyDescent="0.25">
      <c r="A6853" s="22" t="s">
        <v>8</v>
      </c>
      <c r="B6853" s="18" t="str">
        <f>"245381"</f>
        <v>245381</v>
      </c>
      <c r="C6853" s="19" t="s">
        <v>6756</v>
      </c>
      <c r="D6853" s="19" t="s">
        <v>22276</v>
      </c>
      <c r="E6853" s="19" t="s">
        <v>32650</v>
      </c>
      <c r="F6853" s="19" t="s">
        <v>35997</v>
      </c>
      <c r="G6853" s="18" t="str">
        <f>"55117"</f>
        <v>55117</v>
      </c>
      <c r="H6853" s="19" t="s">
        <v>36449</v>
      </c>
      <c r="I6853" s="20">
        <v>16.366</v>
      </c>
      <c r="J6853" s="44" t="s">
        <v>8</v>
      </c>
      <c r="K6853" s="23" t="s">
        <v>8</v>
      </c>
      <c r="L6853" s="23" t="s">
        <v>8</v>
      </c>
      <c r="M6853" s="23" t="s">
        <v>8</v>
      </c>
    </row>
    <row r="6854" spans="1:13" s="21" customFormat="1" x14ac:dyDescent="0.25">
      <c r="A6854" s="22" t="s">
        <v>8</v>
      </c>
      <c r="B6854" s="18" t="str">
        <f>"245382"</f>
        <v>245382</v>
      </c>
      <c r="C6854" s="19" t="s">
        <v>6757</v>
      </c>
      <c r="D6854" s="19" t="s">
        <v>22277</v>
      </c>
      <c r="E6854" s="19" t="s">
        <v>30899</v>
      </c>
      <c r="F6854" s="19" t="s">
        <v>35997</v>
      </c>
      <c r="G6854" s="18" t="str">
        <f>"56256"</f>
        <v>56256</v>
      </c>
      <c r="H6854" s="19" t="s">
        <v>36476</v>
      </c>
      <c r="I6854" s="20">
        <v>19.263000000000002</v>
      </c>
      <c r="J6854" s="44" t="s">
        <v>8</v>
      </c>
      <c r="K6854" s="23" t="s">
        <v>8</v>
      </c>
      <c r="L6854" s="23" t="s">
        <v>8</v>
      </c>
      <c r="M6854" s="23" t="s">
        <v>8</v>
      </c>
    </row>
    <row r="6855" spans="1:13" s="21" customFormat="1" x14ac:dyDescent="0.25">
      <c r="A6855" s="22" t="s">
        <v>8</v>
      </c>
      <c r="B6855" s="18" t="str">
        <f>"245383"</f>
        <v>245383</v>
      </c>
      <c r="C6855" s="19" t="s">
        <v>6758</v>
      </c>
      <c r="D6855" s="19" t="s">
        <v>22278</v>
      </c>
      <c r="E6855" s="19" t="s">
        <v>33415</v>
      </c>
      <c r="F6855" s="19" t="s">
        <v>35997</v>
      </c>
      <c r="G6855" s="18" t="str">
        <f>"55060"</f>
        <v>55060</v>
      </c>
      <c r="H6855" s="19" t="s">
        <v>33605</v>
      </c>
      <c r="I6855" s="20">
        <v>19.407</v>
      </c>
      <c r="J6855" s="44" t="s">
        <v>8</v>
      </c>
      <c r="K6855" s="23" t="s">
        <v>8</v>
      </c>
      <c r="L6855" s="23" t="s">
        <v>8</v>
      </c>
      <c r="M6855" s="23" t="s">
        <v>8</v>
      </c>
    </row>
    <row r="6856" spans="1:13" s="21" customFormat="1" x14ac:dyDescent="0.25">
      <c r="A6856" s="22" t="s">
        <v>8</v>
      </c>
      <c r="B6856" s="18" t="str">
        <f>"245384"</f>
        <v>245384</v>
      </c>
      <c r="C6856" s="19" t="s">
        <v>6759</v>
      </c>
      <c r="D6856" s="19" t="s">
        <v>22279</v>
      </c>
      <c r="E6856" s="19" t="s">
        <v>33416</v>
      </c>
      <c r="F6856" s="19" t="s">
        <v>35997</v>
      </c>
      <c r="G6856" s="18" t="str">
        <f>"55604"</f>
        <v>55604</v>
      </c>
      <c r="H6856" s="19" t="s">
        <v>33420</v>
      </c>
      <c r="I6856" s="20">
        <v>18.780999999999999</v>
      </c>
      <c r="J6856" s="44" t="s">
        <v>8</v>
      </c>
      <c r="K6856" s="23" t="s">
        <v>8</v>
      </c>
      <c r="L6856" s="23" t="s">
        <v>8</v>
      </c>
      <c r="M6856" s="23" t="s">
        <v>8</v>
      </c>
    </row>
    <row r="6857" spans="1:13" s="21" customFormat="1" x14ac:dyDescent="0.25">
      <c r="A6857" s="22" t="s">
        <v>8</v>
      </c>
      <c r="B6857" s="18" t="str">
        <f>"245386"</f>
        <v>245386</v>
      </c>
      <c r="C6857" s="19" t="s">
        <v>6760</v>
      </c>
      <c r="D6857" s="19" t="s">
        <v>22280</v>
      </c>
      <c r="E6857" s="19" t="s">
        <v>33417</v>
      </c>
      <c r="F6857" s="19" t="s">
        <v>35997</v>
      </c>
      <c r="G6857" s="18" t="str">
        <f>"56172"</f>
        <v>56172</v>
      </c>
      <c r="H6857" s="19" t="s">
        <v>32687</v>
      </c>
      <c r="I6857" s="20">
        <v>18.734000000000002</v>
      </c>
      <c r="J6857" s="44" t="s">
        <v>8</v>
      </c>
      <c r="K6857" s="23" t="s">
        <v>8</v>
      </c>
      <c r="L6857" s="23" t="s">
        <v>8</v>
      </c>
      <c r="M6857" s="23" t="s">
        <v>8</v>
      </c>
    </row>
    <row r="6858" spans="1:13" s="21" customFormat="1" x14ac:dyDescent="0.25">
      <c r="A6858" s="22" t="s">
        <v>8</v>
      </c>
      <c r="B6858" s="18" t="str">
        <f>"245387"</f>
        <v>245387</v>
      </c>
      <c r="C6858" s="19" t="s">
        <v>6761</v>
      </c>
      <c r="D6858" s="19" t="s">
        <v>22281</v>
      </c>
      <c r="E6858" s="19" t="s">
        <v>32601</v>
      </c>
      <c r="F6858" s="19" t="s">
        <v>35997</v>
      </c>
      <c r="G6858" s="18" t="str">
        <f>"55411"</f>
        <v>55411</v>
      </c>
      <c r="H6858" s="19" t="s">
        <v>36451</v>
      </c>
      <c r="I6858" s="20">
        <v>19.088999999999999</v>
      </c>
      <c r="J6858" s="44" t="s">
        <v>8</v>
      </c>
      <c r="K6858" s="23" t="s">
        <v>8</v>
      </c>
      <c r="L6858" s="23" t="s">
        <v>8</v>
      </c>
      <c r="M6858" s="23" t="s">
        <v>8</v>
      </c>
    </row>
    <row r="6859" spans="1:13" s="21" customFormat="1" x14ac:dyDescent="0.25">
      <c r="A6859" s="22" t="s">
        <v>8</v>
      </c>
      <c r="B6859" s="18" t="str">
        <f>"245388"</f>
        <v>245388</v>
      </c>
      <c r="C6859" s="19" t="s">
        <v>6762</v>
      </c>
      <c r="D6859" s="19" t="s">
        <v>22282</v>
      </c>
      <c r="E6859" s="19" t="s">
        <v>33418</v>
      </c>
      <c r="F6859" s="19" t="s">
        <v>35997</v>
      </c>
      <c r="G6859" s="18" t="str">
        <f>"56093"</f>
        <v>56093</v>
      </c>
      <c r="H6859" s="19" t="s">
        <v>33418</v>
      </c>
      <c r="I6859" s="20">
        <v>19.119</v>
      </c>
      <c r="J6859" s="44" t="s">
        <v>8</v>
      </c>
      <c r="K6859" s="23" t="s">
        <v>8</v>
      </c>
      <c r="L6859" s="23" t="s">
        <v>8</v>
      </c>
      <c r="M6859" s="23" t="s">
        <v>8</v>
      </c>
    </row>
    <row r="6860" spans="1:13" s="21" customFormat="1" x14ac:dyDescent="0.25">
      <c r="A6860" s="22" t="s">
        <v>8</v>
      </c>
      <c r="B6860" s="18" t="str">
        <f>"245389"</f>
        <v>245389</v>
      </c>
      <c r="C6860" s="19" t="s">
        <v>6763</v>
      </c>
      <c r="D6860" s="19" t="s">
        <v>22283</v>
      </c>
      <c r="E6860" s="19" t="s">
        <v>31213</v>
      </c>
      <c r="F6860" s="19" t="s">
        <v>35997</v>
      </c>
      <c r="G6860" s="18" t="str">
        <f>"55112"</f>
        <v>55112</v>
      </c>
      <c r="H6860" s="19" t="s">
        <v>36449</v>
      </c>
      <c r="I6860" s="20">
        <v>20.96</v>
      </c>
      <c r="J6860" s="44" t="s">
        <v>8</v>
      </c>
      <c r="K6860" s="23" t="s">
        <v>8</v>
      </c>
      <c r="L6860" s="23" t="s">
        <v>8</v>
      </c>
      <c r="M6860" s="23" t="s">
        <v>8</v>
      </c>
    </row>
    <row r="6861" spans="1:13" s="21" customFormat="1" x14ac:dyDescent="0.25">
      <c r="A6861" s="22" t="s">
        <v>8</v>
      </c>
      <c r="B6861" s="18" t="str">
        <f>"245390"</f>
        <v>245390</v>
      </c>
      <c r="C6861" s="19" t="s">
        <v>6764</v>
      </c>
      <c r="D6861" s="19" t="s">
        <v>22284</v>
      </c>
      <c r="E6861" s="19" t="s">
        <v>33419</v>
      </c>
      <c r="F6861" s="19" t="s">
        <v>35997</v>
      </c>
      <c r="G6861" s="18" t="str">
        <f>"56001"</f>
        <v>56001</v>
      </c>
      <c r="H6861" s="19" t="s">
        <v>33408</v>
      </c>
      <c r="I6861" s="20">
        <v>17.669</v>
      </c>
      <c r="J6861" s="44" t="s">
        <v>8</v>
      </c>
      <c r="K6861" s="23" t="s">
        <v>8</v>
      </c>
      <c r="L6861" s="23" t="s">
        <v>8</v>
      </c>
      <c r="M6861" s="23" t="s">
        <v>8</v>
      </c>
    </row>
    <row r="6862" spans="1:13" s="21" customFormat="1" x14ac:dyDescent="0.25">
      <c r="A6862" s="22" t="s">
        <v>8</v>
      </c>
      <c r="B6862" s="18" t="str">
        <f>"245392"</f>
        <v>245392</v>
      </c>
      <c r="C6862" s="19" t="s">
        <v>6765</v>
      </c>
      <c r="D6862" s="19" t="s">
        <v>22285</v>
      </c>
      <c r="E6862" s="19" t="s">
        <v>33420</v>
      </c>
      <c r="F6862" s="19" t="s">
        <v>35997</v>
      </c>
      <c r="G6862" s="18" t="str">
        <f>"55723"</f>
        <v>55723</v>
      </c>
      <c r="H6862" s="19" t="s">
        <v>33228</v>
      </c>
      <c r="I6862" s="20">
        <v>18.731000000000002</v>
      </c>
      <c r="J6862" s="44" t="s">
        <v>8</v>
      </c>
      <c r="K6862" s="23" t="s">
        <v>8</v>
      </c>
      <c r="L6862" s="23" t="s">
        <v>8</v>
      </c>
      <c r="M6862" s="23" t="s">
        <v>8</v>
      </c>
    </row>
    <row r="6863" spans="1:13" s="21" customFormat="1" x14ac:dyDescent="0.25">
      <c r="A6863" s="22" t="s">
        <v>8</v>
      </c>
      <c r="B6863" s="18" t="str">
        <f>"245393"</f>
        <v>245393</v>
      </c>
      <c r="C6863" s="19" t="s">
        <v>6667</v>
      </c>
      <c r="D6863" s="19" t="s">
        <v>22286</v>
      </c>
      <c r="E6863" s="19" t="s">
        <v>33421</v>
      </c>
      <c r="F6863" s="19" t="s">
        <v>35997</v>
      </c>
      <c r="G6863" s="18" t="str">
        <f>"55971"</f>
        <v>55971</v>
      </c>
      <c r="H6863" s="19" t="s">
        <v>35716</v>
      </c>
      <c r="I6863" s="20">
        <v>17.693000000000001</v>
      </c>
      <c r="J6863" s="44" t="s">
        <v>8</v>
      </c>
      <c r="K6863" s="23" t="s">
        <v>8</v>
      </c>
      <c r="L6863" s="23" t="s">
        <v>8</v>
      </c>
      <c r="M6863" s="23" t="s">
        <v>8</v>
      </c>
    </row>
    <row r="6864" spans="1:13" s="21" customFormat="1" x14ac:dyDescent="0.25">
      <c r="A6864" s="22" t="s">
        <v>8</v>
      </c>
      <c r="B6864" s="18" t="str">
        <f>"245394"</f>
        <v>245394</v>
      </c>
      <c r="C6864" s="19" t="s">
        <v>6766</v>
      </c>
      <c r="D6864" s="19" t="s">
        <v>22287</v>
      </c>
      <c r="E6864" s="19" t="s">
        <v>32650</v>
      </c>
      <c r="F6864" s="19" t="s">
        <v>35997</v>
      </c>
      <c r="G6864" s="18" t="str">
        <f>"55104"</f>
        <v>55104</v>
      </c>
      <c r="H6864" s="19" t="s">
        <v>36449</v>
      </c>
      <c r="I6864" s="20">
        <v>18.585000000000001</v>
      </c>
      <c r="J6864" s="44" t="s">
        <v>8</v>
      </c>
      <c r="K6864" s="23" t="s">
        <v>8</v>
      </c>
      <c r="L6864" s="23" t="s">
        <v>8</v>
      </c>
      <c r="M6864" s="23" t="s">
        <v>8</v>
      </c>
    </row>
    <row r="6865" spans="1:13" s="21" customFormat="1" x14ac:dyDescent="0.25">
      <c r="A6865" s="22" t="s">
        <v>8</v>
      </c>
      <c r="B6865" s="18" t="str">
        <f>"245395"</f>
        <v>245395</v>
      </c>
      <c r="C6865" s="19" t="s">
        <v>6767</v>
      </c>
      <c r="D6865" s="19" t="s">
        <v>22288</v>
      </c>
      <c r="E6865" s="19" t="s">
        <v>33314</v>
      </c>
      <c r="F6865" s="19" t="s">
        <v>35997</v>
      </c>
      <c r="G6865" s="18" t="str">
        <f>"56187"</f>
        <v>56187</v>
      </c>
      <c r="H6865" s="19" t="s">
        <v>36447</v>
      </c>
      <c r="I6865" s="20">
        <v>19.396999999999998</v>
      </c>
      <c r="J6865" s="44" t="s">
        <v>8</v>
      </c>
      <c r="K6865" s="23" t="s">
        <v>8</v>
      </c>
      <c r="L6865" s="23" t="s">
        <v>8</v>
      </c>
      <c r="M6865" s="23" t="s">
        <v>8</v>
      </c>
    </row>
    <row r="6866" spans="1:13" s="21" customFormat="1" x14ac:dyDescent="0.25">
      <c r="A6866" s="22" t="s">
        <v>8</v>
      </c>
      <c r="B6866" s="18" t="str">
        <f>"245396"</f>
        <v>245396</v>
      </c>
      <c r="C6866" s="19" t="s">
        <v>6768</v>
      </c>
      <c r="D6866" s="19" t="s">
        <v>22289</v>
      </c>
      <c r="E6866" s="19" t="s">
        <v>33001</v>
      </c>
      <c r="F6866" s="19" t="s">
        <v>35997</v>
      </c>
      <c r="G6866" s="18" t="str">
        <f>"56352"</f>
        <v>56352</v>
      </c>
      <c r="H6866" s="19" t="s">
        <v>36466</v>
      </c>
      <c r="I6866" s="20">
        <v>18.524999999999999</v>
      </c>
      <c r="J6866" s="44" t="s">
        <v>8</v>
      </c>
      <c r="K6866" s="23" t="s">
        <v>8</v>
      </c>
      <c r="L6866" s="23" t="s">
        <v>8</v>
      </c>
      <c r="M6866" s="23" t="s">
        <v>8</v>
      </c>
    </row>
    <row r="6867" spans="1:13" s="21" customFormat="1" x14ac:dyDescent="0.25">
      <c r="A6867" s="22" t="s">
        <v>8</v>
      </c>
      <c r="B6867" s="18" t="str">
        <f>"245397"</f>
        <v>245397</v>
      </c>
      <c r="C6867" s="19" t="s">
        <v>6769</v>
      </c>
      <c r="D6867" s="19" t="s">
        <v>22290</v>
      </c>
      <c r="E6867" s="19" t="s">
        <v>33319</v>
      </c>
      <c r="F6867" s="19" t="s">
        <v>35997</v>
      </c>
      <c r="G6867" s="18" t="str">
        <f>"56601"</f>
        <v>56601</v>
      </c>
      <c r="H6867" s="19" t="s">
        <v>36450</v>
      </c>
      <c r="I6867" s="20">
        <v>18.873999999999999</v>
      </c>
      <c r="J6867" s="44" t="s">
        <v>8</v>
      </c>
      <c r="K6867" s="23" t="s">
        <v>8</v>
      </c>
      <c r="L6867" s="23" t="s">
        <v>8</v>
      </c>
      <c r="M6867" s="23" t="s">
        <v>8</v>
      </c>
    </row>
    <row r="6868" spans="1:13" s="21" customFormat="1" x14ac:dyDescent="0.25">
      <c r="A6868" s="22" t="s">
        <v>8</v>
      </c>
      <c r="B6868" s="18" t="str">
        <f>"245399"</f>
        <v>245399</v>
      </c>
      <c r="C6868" s="19" t="s">
        <v>6770</v>
      </c>
      <c r="D6868" s="19" t="s">
        <v>22291</v>
      </c>
      <c r="E6868" s="19" t="s">
        <v>33360</v>
      </c>
      <c r="F6868" s="19" t="s">
        <v>35997</v>
      </c>
      <c r="G6868" s="18" t="str">
        <f>"56345"</f>
        <v>56345</v>
      </c>
      <c r="H6868" s="19" t="s">
        <v>31351</v>
      </c>
      <c r="I6868" s="20">
        <v>17.617000000000001</v>
      </c>
      <c r="J6868" s="44" t="s">
        <v>8</v>
      </c>
      <c r="K6868" s="23" t="s">
        <v>8</v>
      </c>
      <c r="L6868" s="23" t="s">
        <v>8</v>
      </c>
      <c r="M6868" s="23" t="s">
        <v>8</v>
      </c>
    </row>
    <row r="6869" spans="1:13" s="21" customFormat="1" x14ac:dyDescent="0.25">
      <c r="A6869" s="22" t="s">
        <v>8</v>
      </c>
      <c r="B6869" s="18" t="str">
        <f>"245400"</f>
        <v>245400</v>
      </c>
      <c r="C6869" s="19" t="s">
        <v>6771</v>
      </c>
      <c r="D6869" s="19" t="s">
        <v>22292</v>
      </c>
      <c r="E6869" s="19" t="s">
        <v>33422</v>
      </c>
      <c r="F6869" s="19" t="s">
        <v>35997</v>
      </c>
      <c r="G6869" s="18" t="str">
        <f>"56293"</f>
        <v>56293</v>
      </c>
      <c r="H6869" s="19" t="s">
        <v>36462</v>
      </c>
      <c r="I6869" s="20">
        <v>17.567</v>
      </c>
      <c r="J6869" s="44" t="s">
        <v>8</v>
      </c>
      <c r="K6869" s="23" t="s">
        <v>8</v>
      </c>
      <c r="L6869" s="23" t="s">
        <v>8</v>
      </c>
      <c r="M6869" s="23" t="s">
        <v>8</v>
      </c>
    </row>
    <row r="6870" spans="1:13" s="21" customFormat="1" x14ac:dyDescent="0.25">
      <c r="A6870" s="22" t="s">
        <v>8</v>
      </c>
      <c r="B6870" s="18" t="str">
        <f>"245401"</f>
        <v>245401</v>
      </c>
      <c r="C6870" s="19" t="s">
        <v>6772</v>
      </c>
      <c r="D6870" s="19" t="s">
        <v>22293</v>
      </c>
      <c r="E6870" s="19" t="s">
        <v>33423</v>
      </c>
      <c r="F6870" s="19" t="s">
        <v>35997</v>
      </c>
      <c r="G6870" s="18" t="str">
        <f>"56057"</f>
        <v>56057</v>
      </c>
      <c r="H6870" s="19" t="s">
        <v>33428</v>
      </c>
      <c r="I6870" s="20">
        <v>18.173999999999999</v>
      </c>
      <c r="J6870" s="44" t="s">
        <v>8</v>
      </c>
      <c r="K6870" s="23" t="s">
        <v>8</v>
      </c>
      <c r="L6870" s="23" t="s">
        <v>8</v>
      </c>
      <c r="M6870" s="23" t="s">
        <v>8</v>
      </c>
    </row>
    <row r="6871" spans="1:13" s="21" customFormat="1" x14ac:dyDescent="0.25">
      <c r="A6871" s="22" t="s">
        <v>8</v>
      </c>
      <c r="B6871" s="18" t="str">
        <f>"245402"</f>
        <v>245402</v>
      </c>
      <c r="C6871" s="19" t="s">
        <v>6773</v>
      </c>
      <c r="D6871" s="19" t="s">
        <v>22294</v>
      </c>
      <c r="E6871" s="19" t="s">
        <v>31078</v>
      </c>
      <c r="F6871" s="19" t="s">
        <v>35997</v>
      </c>
      <c r="G6871" s="18" t="str">
        <f>"56334"</f>
        <v>56334</v>
      </c>
      <c r="H6871" s="19" t="s">
        <v>36077</v>
      </c>
      <c r="I6871" s="20">
        <v>19.184999999999999</v>
      </c>
      <c r="J6871" s="44" t="s">
        <v>8</v>
      </c>
      <c r="K6871" s="23" t="s">
        <v>8</v>
      </c>
      <c r="L6871" s="23" t="s">
        <v>8</v>
      </c>
      <c r="M6871" s="23" t="s">
        <v>8</v>
      </c>
    </row>
    <row r="6872" spans="1:13" s="21" customFormat="1" x14ac:dyDescent="0.25">
      <c r="A6872" s="22" t="s">
        <v>8</v>
      </c>
      <c r="B6872" s="18" t="str">
        <f>"245403"</f>
        <v>245403</v>
      </c>
      <c r="C6872" s="19" t="s">
        <v>6774</v>
      </c>
      <c r="D6872" s="19" t="s">
        <v>22295</v>
      </c>
      <c r="E6872" s="19" t="s">
        <v>33424</v>
      </c>
      <c r="F6872" s="19" t="s">
        <v>35997</v>
      </c>
      <c r="G6872" s="18" t="str">
        <f>"56515"</f>
        <v>56515</v>
      </c>
      <c r="H6872" s="19" t="s">
        <v>36474</v>
      </c>
      <c r="I6872" s="20">
        <v>17.896000000000001</v>
      </c>
      <c r="J6872" s="44" t="s">
        <v>8</v>
      </c>
      <c r="K6872" s="23" t="s">
        <v>8</v>
      </c>
      <c r="L6872" s="23" t="s">
        <v>8</v>
      </c>
      <c r="M6872" s="23" t="s">
        <v>8</v>
      </c>
    </row>
    <row r="6873" spans="1:13" s="21" customFormat="1" x14ac:dyDescent="0.25">
      <c r="A6873" s="22" t="s">
        <v>8</v>
      </c>
      <c r="B6873" s="18" t="str">
        <f>"245405"</f>
        <v>245405</v>
      </c>
      <c r="C6873" s="19" t="s">
        <v>521</v>
      </c>
      <c r="D6873" s="19" t="s">
        <v>22296</v>
      </c>
      <c r="E6873" s="19" t="s">
        <v>33425</v>
      </c>
      <c r="F6873" s="19" t="s">
        <v>35997</v>
      </c>
      <c r="G6873" s="18" t="str">
        <f>"56470"</f>
        <v>56470</v>
      </c>
      <c r="H6873" s="19" t="s">
        <v>32440</v>
      </c>
      <c r="I6873" s="20">
        <v>17.841999999999999</v>
      </c>
      <c r="J6873" s="44" t="s">
        <v>8</v>
      </c>
      <c r="K6873" s="23" t="s">
        <v>8</v>
      </c>
      <c r="L6873" s="23" t="s">
        <v>8</v>
      </c>
      <c r="M6873" s="23" t="s">
        <v>8</v>
      </c>
    </row>
    <row r="6874" spans="1:13" s="21" customFormat="1" x14ac:dyDescent="0.25">
      <c r="A6874" s="22" t="s">
        <v>8</v>
      </c>
      <c r="B6874" s="18" t="str">
        <f>"245407"</f>
        <v>245407</v>
      </c>
      <c r="C6874" s="19" t="s">
        <v>6775</v>
      </c>
      <c r="D6874" s="19" t="s">
        <v>22297</v>
      </c>
      <c r="E6874" s="19" t="s">
        <v>31717</v>
      </c>
      <c r="F6874" s="19" t="s">
        <v>35997</v>
      </c>
      <c r="G6874" s="18" t="str">
        <f>"56087"</f>
        <v>56087</v>
      </c>
      <c r="H6874" s="19" t="s">
        <v>36244</v>
      </c>
      <c r="I6874" s="20">
        <v>18.652999999999999</v>
      </c>
      <c r="J6874" s="44" t="s">
        <v>8</v>
      </c>
      <c r="K6874" s="23" t="s">
        <v>8</v>
      </c>
      <c r="L6874" s="23" t="s">
        <v>8</v>
      </c>
      <c r="M6874" s="23" t="s">
        <v>8</v>
      </c>
    </row>
    <row r="6875" spans="1:13" s="21" customFormat="1" x14ac:dyDescent="0.25">
      <c r="A6875" s="22" t="s">
        <v>8</v>
      </c>
      <c r="B6875" s="18" t="str">
        <f>"245409"</f>
        <v>245409</v>
      </c>
      <c r="C6875" s="19" t="s">
        <v>6776</v>
      </c>
      <c r="D6875" s="19" t="s">
        <v>22298</v>
      </c>
      <c r="E6875" s="19" t="s">
        <v>32267</v>
      </c>
      <c r="F6875" s="19" t="s">
        <v>35997</v>
      </c>
      <c r="G6875" s="18" t="str">
        <f>"55901"</f>
        <v>55901</v>
      </c>
      <c r="H6875" s="19" t="s">
        <v>36455</v>
      </c>
      <c r="I6875" s="20">
        <v>20.562000000000001</v>
      </c>
      <c r="J6875" s="44" t="s">
        <v>8</v>
      </c>
      <c r="K6875" s="23" t="s">
        <v>8</v>
      </c>
      <c r="L6875" s="23" t="s">
        <v>8</v>
      </c>
      <c r="M6875" s="23" t="s">
        <v>8</v>
      </c>
    </row>
    <row r="6876" spans="1:13" s="21" customFormat="1" x14ac:dyDescent="0.25">
      <c r="A6876" s="22" t="s">
        <v>8</v>
      </c>
      <c r="B6876" s="18" t="str">
        <f>"245410"</f>
        <v>245410</v>
      </c>
      <c r="C6876" s="19" t="s">
        <v>6777</v>
      </c>
      <c r="D6876" s="19" t="s">
        <v>22299</v>
      </c>
      <c r="E6876" s="19" t="s">
        <v>33426</v>
      </c>
      <c r="F6876" s="19" t="s">
        <v>35997</v>
      </c>
      <c r="G6876" s="18" t="str">
        <f>"56201"</f>
        <v>56201</v>
      </c>
      <c r="H6876" s="19" t="s">
        <v>36473</v>
      </c>
      <c r="I6876" s="20">
        <v>17.797999999999998</v>
      </c>
      <c r="J6876" s="44" t="s">
        <v>8</v>
      </c>
      <c r="K6876" s="23" t="s">
        <v>8</v>
      </c>
      <c r="L6876" s="23" t="s">
        <v>8</v>
      </c>
      <c r="M6876" s="23" t="s">
        <v>8</v>
      </c>
    </row>
    <row r="6877" spans="1:13" s="21" customFormat="1" x14ac:dyDescent="0.25">
      <c r="A6877" s="22" t="s">
        <v>8</v>
      </c>
      <c r="B6877" s="18" t="str">
        <f>"245411"</f>
        <v>245411</v>
      </c>
      <c r="C6877" s="19" t="s">
        <v>6778</v>
      </c>
      <c r="D6877" s="19" t="s">
        <v>22300</v>
      </c>
      <c r="E6877" s="19" t="s">
        <v>32650</v>
      </c>
      <c r="F6877" s="19" t="s">
        <v>35997</v>
      </c>
      <c r="G6877" s="18" t="str">
        <f>"55102"</f>
        <v>55102</v>
      </c>
      <c r="H6877" s="19" t="s">
        <v>36449</v>
      </c>
      <c r="I6877" s="20">
        <v>23.248000000000001</v>
      </c>
      <c r="J6877" s="44" t="s">
        <v>8</v>
      </c>
      <c r="K6877" s="23" t="s">
        <v>8</v>
      </c>
      <c r="L6877" s="23" t="s">
        <v>8</v>
      </c>
      <c r="M6877" s="23" t="s">
        <v>8</v>
      </c>
    </row>
    <row r="6878" spans="1:13" s="21" customFormat="1" x14ac:dyDescent="0.25">
      <c r="A6878" s="22" t="s">
        <v>8</v>
      </c>
      <c r="B6878" s="18" t="str">
        <f>"245412"</f>
        <v>245412</v>
      </c>
      <c r="C6878" s="19" t="s">
        <v>6779</v>
      </c>
      <c r="D6878" s="19" t="s">
        <v>22301</v>
      </c>
      <c r="E6878" s="19" t="s">
        <v>33427</v>
      </c>
      <c r="F6878" s="19" t="s">
        <v>35997</v>
      </c>
      <c r="G6878" s="18" t="str">
        <f>"55321"</f>
        <v>55321</v>
      </c>
      <c r="H6878" s="19" t="s">
        <v>36290</v>
      </c>
      <c r="I6878" s="20">
        <v>17.981000000000002</v>
      </c>
      <c r="J6878" s="44" t="s">
        <v>8</v>
      </c>
      <c r="K6878" s="23" t="s">
        <v>8</v>
      </c>
      <c r="L6878" s="23" t="s">
        <v>8</v>
      </c>
      <c r="M6878" s="23" t="s">
        <v>8</v>
      </c>
    </row>
    <row r="6879" spans="1:13" s="21" customFormat="1" x14ac:dyDescent="0.25">
      <c r="A6879" s="22" t="s">
        <v>8</v>
      </c>
      <c r="B6879" s="18" t="str">
        <f>"245414"</f>
        <v>245414</v>
      </c>
      <c r="C6879" s="19" t="s">
        <v>6780</v>
      </c>
      <c r="D6879" s="19" t="s">
        <v>22302</v>
      </c>
      <c r="E6879" s="19" t="s">
        <v>33341</v>
      </c>
      <c r="F6879" s="19" t="s">
        <v>35997</v>
      </c>
      <c r="G6879" s="18" t="str">
        <f>"55811"</f>
        <v>55811</v>
      </c>
      <c r="H6879" s="19" t="s">
        <v>33228</v>
      </c>
      <c r="I6879" s="20">
        <v>19.553999999999998</v>
      </c>
      <c r="J6879" s="44" t="s">
        <v>8</v>
      </c>
      <c r="K6879" s="23" t="s">
        <v>8</v>
      </c>
      <c r="L6879" s="23" t="s">
        <v>8</v>
      </c>
      <c r="M6879" s="23" t="s">
        <v>8</v>
      </c>
    </row>
    <row r="6880" spans="1:13" s="21" customFormat="1" x14ac:dyDescent="0.25">
      <c r="A6880" s="22" t="s">
        <v>8</v>
      </c>
      <c r="B6880" s="18" t="str">
        <f>"245416"</f>
        <v>245416</v>
      </c>
      <c r="C6880" s="19" t="s">
        <v>6781</v>
      </c>
      <c r="D6880" s="19" t="s">
        <v>22303</v>
      </c>
      <c r="E6880" s="19" t="s">
        <v>33428</v>
      </c>
      <c r="F6880" s="19" t="s">
        <v>35997</v>
      </c>
      <c r="G6880" s="18" t="str">
        <f>"56058"</f>
        <v>56058</v>
      </c>
      <c r="H6880" s="19" t="s">
        <v>33428</v>
      </c>
      <c r="I6880" s="20">
        <v>18.181999999999999</v>
      </c>
      <c r="J6880" s="44" t="s">
        <v>8</v>
      </c>
      <c r="K6880" s="23" t="s">
        <v>8</v>
      </c>
      <c r="L6880" s="23" t="s">
        <v>8</v>
      </c>
      <c r="M6880" s="23" t="s">
        <v>8</v>
      </c>
    </row>
    <row r="6881" spans="1:13" s="21" customFormat="1" x14ac:dyDescent="0.25">
      <c r="A6881" s="22" t="s">
        <v>8</v>
      </c>
      <c r="B6881" s="18" t="str">
        <f>"245417"</f>
        <v>245417</v>
      </c>
      <c r="C6881" s="19" t="s">
        <v>6782</v>
      </c>
      <c r="D6881" s="19" t="s">
        <v>22304</v>
      </c>
      <c r="E6881" s="19" t="s">
        <v>33368</v>
      </c>
      <c r="F6881" s="19" t="s">
        <v>35997</v>
      </c>
      <c r="G6881" s="18" t="str">
        <f>"55422"</f>
        <v>55422</v>
      </c>
      <c r="H6881" s="19" t="s">
        <v>36451</v>
      </c>
      <c r="I6881" s="20">
        <v>20.033999999999999</v>
      </c>
      <c r="J6881" s="44" t="s">
        <v>8</v>
      </c>
      <c r="K6881" s="23" t="s">
        <v>8</v>
      </c>
      <c r="L6881" s="23" t="s">
        <v>8</v>
      </c>
      <c r="M6881" s="23" t="s">
        <v>8</v>
      </c>
    </row>
    <row r="6882" spans="1:13" s="21" customFormat="1" x14ac:dyDescent="0.25">
      <c r="A6882" s="22" t="s">
        <v>8</v>
      </c>
      <c r="B6882" s="18" t="str">
        <f>"245418"</f>
        <v>245418</v>
      </c>
      <c r="C6882" s="19" t="s">
        <v>6783</v>
      </c>
      <c r="D6882" s="19" t="s">
        <v>22305</v>
      </c>
      <c r="E6882" s="19" t="s">
        <v>33429</v>
      </c>
      <c r="F6882" s="19" t="s">
        <v>35997</v>
      </c>
      <c r="G6882" s="18" t="str">
        <f>"56312"</f>
        <v>56312</v>
      </c>
      <c r="H6882" s="19" t="s">
        <v>36466</v>
      </c>
      <c r="I6882" s="20">
        <v>18.876000000000001</v>
      </c>
      <c r="J6882" s="44" t="s">
        <v>8</v>
      </c>
      <c r="K6882" s="23" t="s">
        <v>8</v>
      </c>
      <c r="L6882" s="23" t="s">
        <v>8</v>
      </c>
      <c r="M6882" s="23" t="s">
        <v>8</v>
      </c>
    </row>
    <row r="6883" spans="1:13" s="21" customFormat="1" x14ac:dyDescent="0.25">
      <c r="A6883" s="22" t="s">
        <v>8</v>
      </c>
      <c r="B6883" s="18" t="str">
        <f>"245419"</f>
        <v>245419</v>
      </c>
      <c r="C6883" s="19" t="s">
        <v>6784</v>
      </c>
      <c r="D6883" s="19" t="s">
        <v>22306</v>
      </c>
      <c r="E6883" s="19" t="s">
        <v>33430</v>
      </c>
      <c r="F6883" s="19" t="s">
        <v>35997</v>
      </c>
      <c r="G6883" s="18" t="str">
        <f>"56584"</f>
        <v>56584</v>
      </c>
      <c r="H6883" s="19" t="s">
        <v>34652</v>
      </c>
      <c r="I6883" s="20">
        <v>18.210999999999999</v>
      </c>
      <c r="J6883" s="44" t="s">
        <v>8</v>
      </c>
      <c r="K6883" s="23" t="s">
        <v>8</v>
      </c>
      <c r="L6883" s="23" t="s">
        <v>8</v>
      </c>
      <c r="M6883" s="23" t="s">
        <v>8</v>
      </c>
    </row>
    <row r="6884" spans="1:13" s="21" customFormat="1" x14ac:dyDescent="0.25">
      <c r="A6884" s="22" t="s">
        <v>8</v>
      </c>
      <c r="B6884" s="18" t="str">
        <f>"245420"</f>
        <v>245420</v>
      </c>
      <c r="C6884" s="19" t="s">
        <v>6785</v>
      </c>
      <c r="D6884" s="19" t="s">
        <v>22307</v>
      </c>
      <c r="E6884" s="19" t="s">
        <v>33431</v>
      </c>
      <c r="F6884" s="19" t="s">
        <v>35997</v>
      </c>
      <c r="G6884" s="18" t="str">
        <f>"56479"</f>
        <v>56479</v>
      </c>
      <c r="H6884" s="19" t="s">
        <v>33500</v>
      </c>
      <c r="I6884" s="20">
        <v>19.625</v>
      </c>
      <c r="J6884" s="44" t="s">
        <v>8</v>
      </c>
      <c r="K6884" s="23" t="s">
        <v>8</v>
      </c>
      <c r="L6884" s="23" t="s">
        <v>8</v>
      </c>
      <c r="M6884" s="23" t="s">
        <v>8</v>
      </c>
    </row>
    <row r="6885" spans="1:13" s="21" customFormat="1" x14ac:dyDescent="0.25">
      <c r="A6885" s="22" t="s">
        <v>8</v>
      </c>
      <c r="B6885" s="18" t="str">
        <f>"245421"</f>
        <v>245421</v>
      </c>
      <c r="C6885" s="19" t="s">
        <v>6786</v>
      </c>
      <c r="D6885" s="19" t="s">
        <v>22308</v>
      </c>
      <c r="E6885" s="19" t="s">
        <v>33331</v>
      </c>
      <c r="F6885" s="19" t="s">
        <v>35997</v>
      </c>
      <c r="G6885" s="18" t="str">
        <f>"55112"</f>
        <v>55112</v>
      </c>
      <c r="H6885" s="19" t="s">
        <v>36449</v>
      </c>
      <c r="I6885" s="20">
        <v>18.312000000000001</v>
      </c>
      <c r="J6885" s="44" t="s">
        <v>8</v>
      </c>
      <c r="K6885" s="23" t="s">
        <v>8</v>
      </c>
      <c r="L6885" s="23" t="s">
        <v>8</v>
      </c>
      <c r="M6885" s="23" t="s">
        <v>8</v>
      </c>
    </row>
    <row r="6886" spans="1:13" s="21" customFormat="1" x14ac:dyDescent="0.25">
      <c r="A6886" s="22" t="s">
        <v>8</v>
      </c>
      <c r="B6886" s="18" t="str">
        <f>"245422"</f>
        <v>245422</v>
      </c>
      <c r="C6886" s="19" t="s">
        <v>6787</v>
      </c>
      <c r="D6886" s="19" t="s">
        <v>22309</v>
      </c>
      <c r="E6886" s="19" t="s">
        <v>33432</v>
      </c>
      <c r="F6886" s="19" t="s">
        <v>35997</v>
      </c>
      <c r="G6886" s="18" t="str">
        <f>"56353"</f>
        <v>56353</v>
      </c>
      <c r="H6886" s="19" t="s">
        <v>36454</v>
      </c>
      <c r="I6886" s="20">
        <v>18.129000000000001</v>
      </c>
      <c r="J6886" s="44" t="s">
        <v>8</v>
      </c>
      <c r="K6886" s="23" t="s">
        <v>8</v>
      </c>
      <c r="L6886" s="23" t="s">
        <v>8</v>
      </c>
      <c r="M6886" s="23" t="s">
        <v>8</v>
      </c>
    </row>
    <row r="6887" spans="1:13" s="21" customFormat="1" x14ac:dyDescent="0.25">
      <c r="A6887" s="22" t="s">
        <v>8</v>
      </c>
      <c r="B6887" s="18" t="str">
        <f>"245423"</f>
        <v>245423</v>
      </c>
      <c r="C6887" s="19" t="s">
        <v>6788</v>
      </c>
      <c r="D6887" s="19" t="s">
        <v>22310</v>
      </c>
      <c r="E6887" s="19" t="s">
        <v>33433</v>
      </c>
      <c r="F6887" s="19" t="s">
        <v>35997</v>
      </c>
      <c r="G6887" s="18" t="str">
        <f>"55923"</f>
        <v>55923</v>
      </c>
      <c r="H6887" s="19" t="s">
        <v>35716</v>
      </c>
      <c r="I6887" s="20">
        <v>18.754000000000001</v>
      </c>
      <c r="J6887" s="44" t="s">
        <v>8</v>
      </c>
      <c r="K6887" s="23" t="s">
        <v>8</v>
      </c>
      <c r="L6887" s="23" t="s">
        <v>8</v>
      </c>
      <c r="M6887" s="23" t="s">
        <v>8</v>
      </c>
    </row>
    <row r="6888" spans="1:13" s="21" customFormat="1" x14ac:dyDescent="0.25">
      <c r="A6888" s="22" t="s">
        <v>8</v>
      </c>
      <c r="B6888" s="18" t="str">
        <f>"245424"</f>
        <v>245424</v>
      </c>
      <c r="C6888" s="19" t="s">
        <v>6789</v>
      </c>
      <c r="D6888" s="19" t="s">
        <v>22311</v>
      </c>
      <c r="E6888" s="19" t="s">
        <v>33434</v>
      </c>
      <c r="F6888" s="19" t="s">
        <v>35997</v>
      </c>
      <c r="G6888" s="18" t="str">
        <f>"55112"</f>
        <v>55112</v>
      </c>
      <c r="H6888" s="19" t="s">
        <v>36449</v>
      </c>
      <c r="I6888" s="20">
        <v>19.327999999999999</v>
      </c>
      <c r="J6888" s="44" t="s">
        <v>8</v>
      </c>
      <c r="K6888" s="23" t="s">
        <v>8</v>
      </c>
      <c r="L6888" s="23" t="s">
        <v>8</v>
      </c>
      <c r="M6888" s="23" t="s">
        <v>8</v>
      </c>
    </row>
    <row r="6889" spans="1:13" s="21" customFormat="1" x14ac:dyDescent="0.25">
      <c r="A6889" s="22" t="s">
        <v>8</v>
      </c>
      <c r="B6889" s="18" t="str">
        <f>"245425"</f>
        <v>245425</v>
      </c>
      <c r="C6889" s="19" t="s">
        <v>6790</v>
      </c>
      <c r="D6889" s="19" t="s">
        <v>22312</v>
      </c>
      <c r="E6889" s="19" t="s">
        <v>33393</v>
      </c>
      <c r="F6889" s="19" t="s">
        <v>35997</v>
      </c>
      <c r="G6889" s="18" t="str">
        <f>"56007"</f>
        <v>56007</v>
      </c>
      <c r="H6889" s="19" t="s">
        <v>36472</v>
      </c>
      <c r="I6889" s="20">
        <v>19.411000000000001</v>
      </c>
      <c r="J6889" s="44" t="s">
        <v>8</v>
      </c>
      <c r="K6889" s="23" t="s">
        <v>8</v>
      </c>
      <c r="L6889" s="23" t="s">
        <v>8</v>
      </c>
      <c r="M6889" s="23" t="s">
        <v>8</v>
      </c>
    </row>
    <row r="6890" spans="1:13" s="21" customFormat="1" x14ac:dyDescent="0.25">
      <c r="A6890" s="22" t="s">
        <v>8</v>
      </c>
      <c r="B6890" s="18" t="str">
        <f>"245426"</f>
        <v>245426</v>
      </c>
      <c r="C6890" s="19" t="s">
        <v>6791</v>
      </c>
      <c r="D6890" s="19" t="s">
        <v>22313</v>
      </c>
      <c r="E6890" s="19" t="s">
        <v>33415</v>
      </c>
      <c r="F6890" s="19" t="s">
        <v>35997</v>
      </c>
      <c r="G6890" s="18" t="str">
        <f>"55060"</f>
        <v>55060</v>
      </c>
      <c r="H6890" s="19" t="s">
        <v>33605</v>
      </c>
      <c r="I6890" s="20">
        <v>19.518000000000001</v>
      </c>
      <c r="J6890" s="44" t="s">
        <v>8</v>
      </c>
      <c r="K6890" s="23" t="s">
        <v>8</v>
      </c>
      <c r="L6890" s="23" t="s">
        <v>8</v>
      </c>
      <c r="M6890" s="23" t="s">
        <v>8</v>
      </c>
    </row>
    <row r="6891" spans="1:13" s="21" customFormat="1" x14ac:dyDescent="0.25">
      <c r="A6891" s="22" t="s">
        <v>8</v>
      </c>
      <c r="B6891" s="18" t="str">
        <f>"245427"</f>
        <v>245427</v>
      </c>
      <c r="C6891" s="19" t="s">
        <v>6792</v>
      </c>
      <c r="D6891" s="19" t="s">
        <v>22314</v>
      </c>
      <c r="E6891" s="19" t="s">
        <v>33426</v>
      </c>
      <c r="F6891" s="19" t="s">
        <v>35997</v>
      </c>
      <c r="G6891" s="18" t="str">
        <f>"56201"</f>
        <v>56201</v>
      </c>
      <c r="H6891" s="19" t="s">
        <v>36473</v>
      </c>
      <c r="I6891" s="20">
        <v>18.739999999999998</v>
      </c>
      <c r="J6891" s="44" t="s">
        <v>8</v>
      </c>
      <c r="K6891" s="23" t="s">
        <v>8</v>
      </c>
      <c r="L6891" s="23" t="s">
        <v>8</v>
      </c>
      <c r="M6891" s="23" t="s">
        <v>8</v>
      </c>
    </row>
    <row r="6892" spans="1:13" s="21" customFormat="1" x14ac:dyDescent="0.25">
      <c r="A6892" s="22" t="s">
        <v>8</v>
      </c>
      <c r="B6892" s="18" t="str">
        <f>"245428"</f>
        <v>245428</v>
      </c>
      <c r="C6892" s="19" t="s">
        <v>6793</v>
      </c>
      <c r="D6892" s="19" t="s">
        <v>22315</v>
      </c>
      <c r="E6892" s="19" t="s">
        <v>33435</v>
      </c>
      <c r="F6892" s="19" t="s">
        <v>35997</v>
      </c>
      <c r="G6892" s="18" t="str">
        <f>"56636"</f>
        <v>56636</v>
      </c>
      <c r="H6892" s="19" t="s">
        <v>32089</v>
      </c>
      <c r="I6892" s="20">
        <v>19.718</v>
      </c>
      <c r="J6892" s="44" t="s">
        <v>8</v>
      </c>
      <c r="K6892" s="23" t="s">
        <v>8</v>
      </c>
      <c r="L6892" s="23" t="s">
        <v>8</v>
      </c>
      <c r="M6892" s="23" t="s">
        <v>8</v>
      </c>
    </row>
    <row r="6893" spans="1:13" s="21" customFormat="1" x14ac:dyDescent="0.25">
      <c r="A6893" s="22" t="s">
        <v>8</v>
      </c>
      <c r="B6893" s="18" t="str">
        <f>"245429"</f>
        <v>245429</v>
      </c>
      <c r="C6893" s="19" t="s">
        <v>6794</v>
      </c>
      <c r="D6893" s="19" t="s">
        <v>22316</v>
      </c>
      <c r="E6893" s="19" t="s">
        <v>33436</v>
      </c>
      <c r="F6893" s="19" t="s">
        <v>35997</v>
      </c>
      <c r="G6893" s="18" t="str">
        <f>"55974"</f>
        <v>55974</v>
      </c>
      <c r="H6893" s="19" t="s">
        <v>33493</v>
      </c>
      <c r="I6893" s="20">
        <v>17.123999999999999</v>
      </c>
      <c r="J6893" s="44" t="s">
        <v>8</v>
      </c>
      <c r="K6893" s="23" t="s">
        <v>8</v>
      </c>
      <c r="L6893" s="23" t="s">
        <v>8</v>
      </c>
      <c r="M6893" s="23" t="s">
        <v>8</v>
      </c>
    </row>
    <row r="6894" spans="1:13" s="21" customFormat="1" x14ac:dyDescent="0.25">
      <c r="A6894" s="22" t="s">
        <v>8</v>
      </c>
      <c r="B6894" s="18" t="str">
        <f>"245431"</f>
        <v>245431</v>
      </c>
      <c r="C6894" s="19" t="s">
        <v>6795</v>
      </c>
      <c r="D6894" s="19" t="s">
        <v>22317</v>
      </c>
      <c r="E6894" s="19" t="s">
        <v>33437</v>
      </c>
      <c r="F6894" s="19" t="s">
        <v>35997</v>
      </c>
      <c r="G6894" s="18" t="str">
        <f>"55940"</f>
        <v>55940</v>
      </c>
      <c r="H6894" s="19" t="s">
        <v>33824</v>
      </c>
      <c r="I6894" s="20">
        <v>19.146999999999998</v>
      </c>
      <c r="J6894" s="44" t="s">
        <v>8</v>
      </c>
      <c r="K6894" s="23" t="s">
        <v>8</v>
      </c>
      <c r="L6894" s="23" t="s">
        <v>8</v>
      </c>
      <c r="M6894" s="23" t="s">
        <v>8</v>
      </c>
    </row>
    <row r="6895" spans="1:13" s="21" customFormat="1" x14ac:dyDescent="0.25">
      <c r="A6895" s="22" t="s">
        <v>8</v>
      </c>
      <c r="B6895" s="18" t="str">
        <f>"245432"</f>
        <v>245432</v>
      </c>
      <c r="C6895" s="19" t="s">
        <v>6796</v>
      </c>
      <c r="D6895" s="19" t="s">
        <v>22318</v>
      </c>
      <c r="E6895" s="19" t="s">
        <v>32969</v>
      </c>
      <c r="F6895" s="19" t="s">
        <v>35997</v>
      </c>
      <c r="G6895" s="18" t="str">
        <f>"55008"</f>
        <v>55008</v>
      </c>
      <c r="H6895" s="19" t="s">
        <v>36453</v>
      </c>
      <c r="I6895" s="20">
        <v>21.231000000000002</v>
      </c>
      <c r="J6895" s="44" t="s">
        <v>8</v>
      </c>
      <c r="K6895" s="23" t="s">
        <v>8</v>
      </c>
      <c r="L6895" s="23" t="s">
        <v>8</v>
      </c>
      <c r="M6895" s="23" t="s">
        <v>8</v>
      </c>
    </row>
    <row r="6896" spans="1:13" s="21" customFormat="1" x14ac:dyDescent="0.25">
      <c r="A6896" s="22" t="s">
        <v>8</v>
      </c>
      <c r="B6896" s="18" t="str">
        <f>"245433"</f>
        <v>245433</v>
      </c>
      <c r="C6896" s="19" t="s">
        <v>6797</v>
      </c>
      <c r="D6896" s="19" t="s">
        <v>22319</v>
      </c>
      <c r="E6896" s="19" t="s">
        <v>33438</v>
      </c>
      <c r="F6896" s="19" t="s">
        <v>35997</v>
      </c>
      <c r="G6896" s="18" t="str">
        <f>"56220"</f>
        <v>56220</v>
      </c>
      <c r="H6896" s="19" t="s">
        <v>36463</v>
      </c>
      <c r="I6896" s="20">
        <v>18.957999999999998</v>
      </c>
      <c r="J6896" s="44" t="s">
        <v>8</v>
      </c>
      <c r="K6896" s="23" t="s">
        <v>8</v>
      </c>
      <c r="L6896" s="23" t="s">
        <v>8</v>
      </c>
      <c r="M6896" s="23" t="s">
        <v>8</v>
      </c>
    </row>
    <row r="6897" spans="1:13" s="21" customFormat="1" x14ac:dyDescent="0.25">
      <c r="A6897" s="22" t="s">
        <v>8</v>
      </c>
      <c r="B6897" s="18" t="str">
        <f>"245434"</f>
        <v>245434</v>
      </c>
      <c r="C6897" s="19" t="s">
        <v>4516</v>
      </c>
      <c r="D6897" s="19" t="s">
        <v>22320</v>
      </c>
      <c r="E6897" s="19" t="s">
        <v>32288</v>
      </c>
      <c r="F6897" s="19" t="s">
        <v>35997</v>
      </c>
      <c r="G6897" s="18" t="str">
        <f>"56308"</f>
        <v>56308</v>
      </c>
      <c r="H6897" s="19" t="s">
        <v>30966</v>
      </c>
      <c r="I6897" s="20">
        <v>18.373999999999999</v>
      </c>
      <c r="J6897" s="44" t="s">
        <v>8</v>
      </c>
      <c r="K6897" s="23" t="s">
        <v>8</v>
      </c>
      <c r="L6897" s="23" t="s">
        <v>8</v>
      </c>
      <c r="M6897" s="23" t="s">
        <v>8</v>
      </c>
    </row>
    <row r="6898" spans="1:13" s="21" customFormat="1" x14ac:dyDescent="0.25">
      <c r="A6898" s="22" t="s">
        <v>8</v>
      </c>
      <c r="B6898" s="18" t="str">
        <f>"245435"</f>
        <v>245435</v>
      </c>
      <c r="C6898" s="19" t="s">
        <v>6798</v>
      </c>
      <c r="D6898" s="19" t="s">
        <v>22321</v>
      </c>
      <c r="E6898" s="19" t="s">
        <v>32288</v>
      </c>
      <c r="F6898" s="19" t="s">
        <v>35997</v>
      </c>
      <c r="G6898" s="18" t="str">
        <f>"56308"</f>
        <v>56308</v>
      </c>
      <c r="H6898" s="19" t="s">
        <v>30966</v>
      </c>
      <c r="I6898" s="20">
        <v>16.798999999999999</v>
      </c>
      <c r="J6898" s="44" t="s">
        <v>8</v>
      </c>
      <c r="K6898" s="23" t="s">
        <v>8</v>
      </c>
      <c r="L6898" s="23" t="s">
        <v>8</v>
      </c>
      <c r="M6898" s="23" t="s">
        <v>8</v>
      </c>
    </row>
    <row r="6899" spans="1:13" s="21" customFormat="1" x14ac:dyDescent="0.25">
      <c r="A6899" s="22" t="s">
        <v>8</v>
      </c>
      <c r="B6899" s="18" t="str">
        <f>"245436"</f>
        <v>245436</v>
      </c>
      <c r="C6899" s="19" t="s">
        <v>6799</v>
      </c>
      <c r="D6899" s="19" t="s">
        <v>22322</v>
      </c>
      <c r="E6899" s="19" t="s">
        <v>33439</v>
      </c>
      <c r="F6899" s="19" t="s">
        <v>35997</v>
      </c>
      <c r="G6899" s="18" t="str">
        <f>"56097"</f>
        <v>56097</v>
      </c>
      <c r="H6899" s="19" t="s">
        <v>33322</v>
      </c>
      <c r="I6899" s="20">
        <v>17.689</v>
      </c>
      <c r="J6899" s="44" t="s">
        <v>8</v>
      </c>
      <c r="K6899" s="23" t="s">
        <v>8</v>
      </c>
      <c r="L6899" s="23" t="s">
        <v>8</v>
      </c>
      <c r="M6899" s="23" t="s">
        <v>8</v>
      </c>
    </row>
    <row r="6900" spans="1:13" s="21" customFormat="1" x14ac:dyDescent="0.25">
      <c r="A6900" s="22" t="s">
        <v>8</v>
      </c>
      <c r="B6900" s="18" t="str">
        <f>"245437"</f>
        <v>245437</v>
      </c>
      <c r="C6900" s="19" t="s">
        <v>6800</v>
      </c>
      <c r="D6900" s="19" t="s">
        <v>22323</v>
      </c>
      <c r="E6900" s="19" t="s">
        <v>31419</v>
      </c>
      <c r="F6900" s="19" t="s">
        <v>35997</v>
      </c>
      <c r="G6900" s="18" t="str">
        <f>"55388"</f>
        <v>55388</v>
      </c>
      <c r="H6900" s="19" t="s">
        <v>36461</v>
      </c>
      <c r="I6900" s="20">
        <v>20.584</v>
      </c>
      <c r="J6900" s="44" t="s">
        <v>8</v>
      </c>
      <c r="K6900" s="23" t="s">
        <v>8</v>
      </c>
      <c r="L6900" s="23" t="s">
        <v>8</v>
      </c>
      <c r="M6900" s="23" t="s">
        <v>8</v>
      </c>
    </row>
    <row r="6901" spans="1:13" s="21" customFormat="1" x14ac:dyDescent="0.25">
      <c r="A6901" s="22" t="s">
        <v>8</v>
      </c>
      <c r="B6901" s="18" t="str">
        <f>"245438"</f>
        <v>245438</v>
      </c>
      <c r="C6901" s="19" t="s">
        <v>6801</v>
      </c>
      <c r="D6901" s="19" t="s">
        <v>22324</v>
      </c>
      <c r="E6901" s="19" t="s">
        <v>31627</v>
      </c>
      <c r="F6901" s="19" t="s">
        <v>35997</v>
      </c>
      <c r="G6901" s="18" t="str">
        <f>"56304"</f>
        <v>56304</v>
      </c>
      <c r="H6901" s="19" t="s">
        <v>36448</v>
      </c>
      <c r="I6901" s="20">
        <v>18.635000000000002</v>
      </c>
      <c r="J6901" s="44" t="s">
        <v>8</v>
      </c>
      <c r="K6901" s="23" t="s">
        <v>8</v>
      </c>
      <c r="L6901" s="23" t="s">
        <v>8</v>
      </c>
      <c r="M6901" s="23" t="s">
        <v>8</v>
      </c>
    </row>
    <row r="6902" spans="1:13" s="21" customFormat="1" x14ac:dyDescent="0.25">
      <c r="A6902" s="22" t="s">
        <v>8</v>
      </c>
      <c r="B6902" s="18" t="str">
        <f>"245439"</f>
        <v>245439</v>
      </c>
      <c r="C6902" s="19" t="s">
        <v>6802</v>
      </c>
      <c r="D6902" s="19" t="s">
        <v>22325</v>
      </c>
      <c r="E6902" s="19" t="s">
        <v>32601</v>
      </c>
      <c r="F6902" s="19" t="s">
        <v>35997</v>
      </c>
      <c r="G6902" s="18" t="str">
        <f>"55413"</f>
        <v>55413</v>
      </c>
      <c r="H6902" s="19" t="s">
        <v>36451</v>
      </c>
      <c r="I6902" s="20">
        <v>19.649999999999999</v>
      </c>
      <c r="J6902" s="44" t="s">
        <v>8</v>
      </c>
      <c r="K6902" s="23" t="s">
        <v>8</v>
      </c>
      <c r="L6902" s="23" t="s">
        <v>8</v>
      </c>
      <c r="M6902" s="23" t="s">
        <v>8</v>
      </c>
    </row>
    <row r="6903" spans="1:13" s="21" customFormat="1" x14ac:dyDescent="0.25">
      <c r="A6903" s="22" t="s">
        <v>8</v>
      </c>
      <c r="B6903" s="18" t="str">
        <f>"245440"</f>
        <v>245440</v>
      </c>
      <c r="C6903" s="19" t="s">
        <v>6803</v>
      </c>
      <c r="D6903" s="19" t="s">
        <v>22326</v>
      </c>
      <c r="E6903" s="19" t="s">
        <v>33440</v>
      </c>
      <c r="F6903" s="19" t="s">
        <v>35997</v>
      </c>
      <c r="G6903" s="18" t="str">
        <f>"56048"</f>
        <v>56048</v>
      </c>
      <c r="H6903" s="19" t="s">
        <v>33418</v>
      </c>
      <c r="I6903" s="20">
        <v>18.419</v>
      </c>
      <c r="J6903" s="44" t="s">
        <v>8</v>
      </c>
      <c r="K6903" s="23" t="s">
        <v>8</v>
      </c>
      <c r="L6903" s="23" t="s">
        <v>8</v>
      </c>
      <c r="M6903" s="23" t="s">
        <v>8</v>
      </c>
    </row>
    <row r="6904" spans="1:13" s="21" customFormat="1" x14ac:dyDescent="0.25">
      <c r="A6904" s="22" t="s">
        <v>8</v>
      </c>
      <c r="B6904" s="18" t="str">
        <f>"245441"</f>
        <v>245441</v>
      </c>
      <c r="C6904" s="19" t="s">
        <v>6804</v>
      </c>
      <c r="D6904" s="19" t="s">
        <v>22327</v>
      </c>
      <c r="E6904" s="19" t="s">
        <v>33393</v>
      </c>
      <c r="F6904" s="19" t="s">
        <v>35997</v>
      </c>
      <c r="G6904" s="18" t="str">
        <f>"56007"</f>
        <v>56007</v>
      </c>
      <c r="H6904" s="19" t="s">
        <v>36472</v>
      </c>
      <c r="I6904" s="20">
        <v>16.483000000000001</v>
      </c>
      <c r="J6904" s="44" t="s">
        <v>8</v>
      </c>
      <c r="K6904" s="23" t="s">
        <v>8</v>
      </c>
      <c r="L6904" s="23" t="s">
        <v>8</v>
      </c>
      <c r="M6904" s="23" t="s">
        <v>8</v>
      </c>
    </row>
    <row r="6905" spans="1:13" s="21" customFormat="1" x14ac:dyDescent="0.25">
      <c r="A6905" s="22" t="s">
        <v>8</v>
      </c>
      <c r="B6905" s="18" t="str">
        <f>"245442"</f>
        <v>245442</v>
      </c>
      <c r="C6905" s="19" t="s">
        <v>6805</v>
      </c>
      <c r="D6905" s="19" t="s">
        <v>22328</v>
      </c>
      <c r="E6905" s="19" t="s">
        <v>31247</v>
      </c>
      <c r="F6905" s="19" t="s">
        <v>35997</v>
      </c>
      <c r="G6905" s="18" t="str">
        <f>"55975"</f>
        <v>55975</v>
      </c>
      <c r="H6905" s="19" t="s">
        <v>35716</v>
      </c>
      <c r="I6905" s="20">
        <v>18</v>
      </c>
      <c r="J6905" s="44" t="s">
        <v>8</v>
      </c>
      <c r="K6905" s="23" t="s">
        <v>8</v>
      </c>
      <c r="L6905" s="23" t="s">
        <v>8</v>
      </c>
      <c r="M6905" s="23" t="s">
        <v>8</v>
      </c>
    </row>
    <row r="6906" spans="1:13" s="21" customFormat="1" x14ac:dyDescent="0.25">
      <c r="A6906" s="22" t="s">
        <v>8</v>
      </c>
      <c r="B6906" s="18" t="str">
        <f>"245445"</f>
        <v>245445</v>
      </c>
      <c r="C6906" s="19" t="s">
        <v>6806</v>
      </c>
      <c r="D6906" s="19" t="s">
        <v>22329</v>
      </c>
      <c r="E6906" s="19" t="s">
        <v>33441</v>
      </c>
      <c r="F6906" s="19" t="s">
        <v>35997</v>
      </c>
      <c r="G6906" s="18" t="str">
        <f>"55379"</f>
        <v>55379</v>
      </c>
      <c r="H6906" s="19" t="s">
        <v>36083</v>
      </c>
      <c r="I6906" s="20">
        <v>19.253</v>
      </c>
      <c r="J6906" s="44" t="s">
        <v>8</v>
      </c>
      <c r="K6906" s="23" t="s">
        <v>8</v>
      </c>
      <c r="L6906" s="23" t="s">
        <v>8</v>
      </c>
      <c r="M6906" s="23" t="s">
        <v>8</v>
      </c>
    </row>
    <row r="6907" spans="1:13" s="21" customFormat="1" x14ac:dyDescent="0.25">
      <c r="A6907" s="22" t="s">
        <v>8</v>
      </c>
      <c r="B6907" s="18" t="str">
        <f>"245446"</f>
        <v>245446</v>
      </c>
      <c r="C6907" s="19" t="s">
        <v>6807</v>
      </c>
      <c r="D6907" s="19" t="s">
        <v>22330</v>
      </c>
      <c r="E6907" s="19" t="s">
        <v>32772</v>
      </c>
      <c r="F6907" s="19" t="s">
        <v>35997</v>
      </c>
      <c r="G6907" s="18" t="str">
        <f>"56320"</f>
        <v>56320</v>
      </c>
      <c r="H6907" s="19" t="s">
        <v>36466</v>
      </c>
      <c r="I6907" s="20">
        <v>21.385999999999999</v>
      </c>
      <c r="J6907" s="44" t="s">
        <v>8</v>
      </c>
      <c r="K6907" s="23" t="s">
        <v>8</v>
      </c>
      <c r="L6907" s="23" t="s">
        <v>8</v>
      </c>
      <c r="M6907" s="23" t="s">
        <v>8</v>
      </c>
    </row>
    <row r="6908" spans="1:13" s="21" customFormat="1" x14ac:dyDescent="0.25">
      <c r="A6908" s="22" t="s">
        <v>8</v>
      </c>
      <c r="B6908" s="18" t="str">
        <f>"245447"</f>
        <v>245447</v>
      </c>
      <c r="C6908" s="19" t="s">
        <v>6808</v>
      </c>
      <c r="D6908" s="19" t="s">
        <v>22331</v>
      </c>
      <c r="E6908" s="19" t="s">
        <v>33383</v>
      </c>
      <c r="F6908" s="19" t="s">
        <v>35997</v>
      </c>
      <c r="G6908" s="18" t="str">
        <f>"55912"</f>
        <v>55912</v>
      </c>
      <c r="H6908" s="19" t="s">
        <v>36469</v>
      </c>
      <c r="I6908" s="20">
        <v>18.149999999999999</v>
      </c>
      <c r="J6908" s="44" t="s">
        <v>8</v>
      </c>
      <c r="K6908" s="23" t="s">
        <v>8</v>
      </c>
      <c r="L6908" s="23" t="s">
        <v>8</v>
      </c>
      <c r="M6908" s="23" t="s">
        <v>8</v>
      </c>
    </row>
    <row r="6909" spans="1:13" s="21" customFormat="1" x14ac:dyDescent="0.25">
      <c r="A6909" s="22" t="s">
        <v>8</v>
      </c>
      <c r="B6909" s="18" t="str">
        <f>"245448"</f>
        <v>245448</v>
      </c>
      <c r="C6909" s="19" t="s">
        <v>6809</v>
      </c>
      <c r="D6909" s="19" t="s">
        <v>22332</v>
      </c>
      <c r="E6909" s="19" t="s">
        <v>32457</v>
      </c>
      <c r="F6909" s="19" t="s">
        <v>35997</v>
      </c>
      <c r="G6909" s="18" t="str">
        <f>"55433"</f>
        <v>55433</v>
      </c>
      <c r="H6909" s="19" t="s">
        <v>33336</v>
      </c>
      <c r="I6909" s="20">
        <v>17.34</v>
      </c>
      <c r="J6909" s="44" t="s">
        <v>8</v>
      </c>
      <c r="K6909" s="23" t="s">
        <v>8</v>
      </c>
      <c r="L6909" s="23" t="s">
        <v>8</v>
      </c>
      <c r="M6909" s="23" t="s">
        <v>8</v>
      </c>
    </row>
    <row r="6910" spans="1:13" s="21" customFormat="1" x14ac:dyDescent="0.25">
      <c r="A6910" s="22" t="s">
        <v>8</v>
      </c>
      <c r="B6910" s="18" t="str">
        <f>"245449"</f>
        <v>245449</v>
      </c>
      <c r="C6910" s="19" t="s">
        <v>6810</v>
      </c>
      <c r="D6910" s="19" t="s">
        <v>22333</v>
      </c>
      <c r="E6910" s="19" t="s">
        <v>33343</v>
      </c>
      <c r="F6910" s="19" t="s">
        <v>35997</v>
      </c>
      <c r="G6910" s="18" t="str">
        <f>"55066"</f>
        <v>55066</v>
      </c>
      <c r="H6910" s="19" t="s">
        <v>36458</v>
      </c>
      <c r="I6910" s="20">
        <v>18.036999999999999</v>
      </c>
      <c r="J6910" s="44" t="s">
        <v>8</v>
      </c>
      <c r="K6910" s="23" t="s">
        <v>8</v>
      </c>
      <c r="L6910" s="23" t="s">
        <v>8</v>
      </c>
      <c r="M6910" s="23" t="s">
        <v>8</v>
      </c>
    </row>
    <row r="6911" spans="1:13" s="21" customFormat="1" x14ac:dyDescent="0.25">
      <c r="A6911" s="22" t="s">
        <v>8</v>
      </c>
      <c r="B6911" s="18" t="str">
        <f>"245450"</f>
        <v>245450</v>
      </c>
      <c r="C6911" s="19" t="s">
        <v>6811</v>
      </c>
      <c r="D6911" s="19" t="s">
        <v>22334</v>
      </c>
      <c r="E6911" s="19" t="s">
        <v>33352</v>
      </c>
      <c r="F6911" s="19" t="s">
        <v>35997</v>
      </c>
      <c r="G6911" s="18" t="str">
        <f>"55057"</f>
        <v>55057</v>
      </c>
      <c r="H6911" s="19" t="s">
        <v>36306</v>
      </c>
      <c r="I6911" s="20">
        <v>17.065999999999999</v>
      </c>
      <c r="J6911" s="44" t="s">
        <v>8</v>
      </c>
      <c r="K6911" s="23" t="s">
        <v>8</v>
      </c>
      <c r="L6911" s="23" t="s">
        <v>8</v>
      </c>
      <c r="M6911" s="23" t="s">
        <v>8</v>
      </c>
    </row>
    <row r="6912" spans="1:13" s="21" customFormat="1" x14ac:dyDescent="0.25">
      <c r="A6912" s="22" t="s">
        <v>8</v>
      </c>
      <c r="B6912" s="18" t="str">
        <f>"245451"</f>
        <v>245451</v>
      </c>
      <c r="C6912" s="19" t="s">
        <v>6812</v>
      </c>
      <c r="D6912" s="19" t="s">
        <v>22335</v>
      </c>
      <c r="E6912" s="19" t="s">
        <v>33442</v>
      </c>
      <c r="F6912" s="19" t="s">
        <v>35997</v>
      </c>
      <c r="G6912" s="18" t="str">
        <f>"56278"</f>
        <v>56278</v>
      </c>
      <c r="H6912" s="19" t="s">
        <v>36477</v>
      </c>
      <c r="I6912" s="20">
        <v>19.015999999999998</v>
      </c>
      <c r="J6912" s="44" t="s">
        <v>8</v>
      </c>
      <c r="K6912" s="23" t="s">
        <v>8</v>
      </c>
      <c r="L6912" s="23" t="s">
        <v>8</v>
      </c>
      <c r="M6912" s="23" t="s">
        <v>8</v>
      </c>
    </row>
    <row r="6913" spans="1:13" s="21" customFormat="1" x14ac:dyDescent="0.25">
      <c r="A6913" s="22" t="s">
        <v>8</v>
      </c>
      <c r="B6913" s="18" t="str">
        <f>"245452"</f>
        <v>245452</v>
      </c>
      <c r="C6913" s="19" t="s">
        <v>6813</v>
      </c>
      <c r="D6913" s="19" t="s">
        <v>22336</v>
      </c>
      <c r="E6913" s="19" t="s">
        <v>32650</v>
      </c>
      <c r="F6913" s="19" t="s">
        <v>35997</v>
      </c>
      <c r="G6913" s="18" t="str">
        <f>"55104"</f>
        <v>55104</v>
      </c>
      <c r="H6913" s="19" t="s">
        <v>36449</v>
      </c>
      <c r="I6913" s="20">
        <v>17.713000000000001</v>
      </c>
      <c r="J6913" s="44" t="s">
        <v>8</v>
      </c>
      <c r="K6913" s="23" t="s">
        <v>8</v>
      </c>
      <c r="L6913" s="23" t="s">
        <v>8</v>
      </c>
      <c r="M6913" s="23" t="s">
        <v>8</v>
      </c>
    </row>
    <row r="6914" spans="1:13" s="21" customFormat="1" x14ac:dyDescent="0.25">
      <c r="A6914" s="22" t="s">
        <v>8</v>
      </c>
      <c r="B6914" s="18" t="str">
        <f>"245453"</f>
        <v>245453</v>
      </c>
      <c r="C6914" s="19" t="s">
        <v>6814</v>
      </c>
      <c r="D6914" s="19" t="s">
        <v>22337</v>
      </c>
      <c r="E6914" s="19" t="s">
        <v>33443</v>
      </c>
      <c r="F6914" s="19" t="s">
        <v>35997</v>
      </c>
      <c r="G6914" s="18" t="str">
        <f>"56537"</f>
        <v>56537</v>
      </c>
      <c r="H6914" s="19" t="s">
        <v>36474</v>
      </c>
      <c r="I6914" s="20">
        <v>15.657999999999999</v>
      </c>
      <c r="J6914" s="44" t="s">
        <v>8</v>
      </c>
      <c r="K6914" s="23" t="s">
        <v>8</v>
      </c>
      <c r="L6914" s="23" t="s">
        <v>8</v>
      </c>
      <c r="M6914" s="23" t="s">
        <v>8</v>
      </c>
    </row>
    <row r="6915" spans="1:13" s="21" customFormat="1" x14ac:dyDescent="0.25">
      <c r="A6915" s="22" t="s">
        <v>8</v>
      </c>
      <c r="B6915" s="18" t="str">
        <f>"245454"</f>
        <v>245454</v>
      </c>
      <c r="C6915" s="19" t="s">
        <v>6815</v>
      </c>
      <c r="D6915" s="19" t="s">
        <v>22338</v>
      </c>
      <c r="E6915" s="19" t="s">
        <v>33444</v>
      </c>
      <c r="F6915" s="19" t="s">
        <v>35997</v>
      </c>
      <c r="G6915" s="18" t="str">
        <f>"55072"</f>
        <v>55072</v>
      </c>
      <c r="H6915" s="19" t="s">
        <v>36475</v>
      </c>
      <c r="I6915" s="20">
        <v>19.347000000000001</v>
      </c>
      <c r="J6915" s="44" t="s">
        <v>8</v>
      </c>
      <c r="K6915" s="23" t="s">
        <v>8</v>
      </c>
      <c r="L6915" s="23" t="s">
        <v>8</v>
      </c>
      <c r="M6915" s="23" t="s">
        <v>8</v>
      </c>
    </row>
    <row r="6916" spans="1:13" s="21" customFormat="1" x14ac:dyDescent="0.25">
      <c r="A6916" s="22" t="s">
        <v>8</v>
      </c>
      <c r="B6916" s="18" t="str">
        <f>"245455"</f>
        <v>245455</v>
      </c>
      <c r="C6916" s="19" t="s">
        <v>6816</v>
      </c>
      <c r="D6916" s="19" t="s">
        <v>22339</v>
      </c>
      <c r="E6916" s="19" t="s">
        <v>30816</v>
      </c>
      <c r="F6916" s="19" t="s">
        <v>35997</v>
      </c>
      <c r="G6916" s="18" t="str">
        <f>"56143"</f>
        <v>56143</v>
      </c>
      <c r="H6916" s="19" t="s">
        <v>30816</v>
      </c>
      <c r="I6916" s="20">
        <v>17.501999999999999</v>
      </c>
      <c r="J6916" s="44" t="s">
        <v>8</v>
      </c>
      <c r="K6916" s="23" t="s">
        <v>8</v>
      </c>
      <c r="L6916" s="23" t="s">
        <v>8</v>
      </c>
      <c r="M6916" s="23" t="s">
        <v>8</v>
      </c>
    </row>
    <row r="6917" spans="1:13" s="21" customFormat="1" x14ac:dyDescent="0.25">
      <c r="A6917" s="22" t="s">
        <v>8</v>
      </c>
      <c r="B6917" s="18" t="str">
        <f>"245458"</f>
        <v>245458</v>
      </c>
      <c r="C6917" s="19" t="s">
        <v>6817</v>
      </c>
      <c r="D6917" s="19" t="s">
        <v>22340</v>
      </c>
      <c r="E6917" s="19" t="s">
        <v>32172</v>
      </c>
      <c r="F6917" s="19" t="s">
        <v>35997</v>
      </c>
      <c r="G6917" s="18" t="str">
        <f>"55792"</f>
        <v>55792</v>
      </c>
      <c r="H6917" s="19" t="s">
        <v>33228</v>
      </c>
      <c r="I6917" s="20">
        <v>15.955</v>
      </c>
      <c r="J6917" s="44" t="s">
        <v>8</v>
      </c>
      <c r="K6917" s="23" t="s">
        <v>8</v>
      </c>
      <c r="L6917" s="23" t="s">
        <v>8</v>
      </c>
      <c r="M6917" s="23" t="s">
        <v>8</v>
      </c>
    </row>
    <row r="6918" spans="1:13" s="21" customFormat="1" x14ac:dyDescent="0.25">
      <c r="A6918" s="22" t="s">
        <v>8</v>
      </c>
      <c r="B6918" s="18" t="str">
        <f>"245459"</f>
        <v>245459</v>
      </c>
      <c r="C6918" s="19" t="s">
        <v>6818</v>
      </c>
      <c r="D6918" s="19" t="s">
        <v>22341</v>
      </c>
      <c r="E6918" s="19" t="s">
        <v>33445</v>
      </c>
      <c r="F6918" s="19" t="s">
        <v>35997</v>
      </c>
      <c r="G6918" s="18" t="str">
        <f>"55395"</f>
        <v>55395</v>
      </c>
      <c r="H6918" s="19" t="s">
        <v>36452</v>
      </c>
      <c r="I6918" s="20">
        <v>20.045000000000002</v>
      </c>
      <c r="J6918" s="44" t="s">
        <v>8</v>
      </c>
      <c r="K6918" s="23" t="s">
        <v>8</v>
      </c>
      <c r="L6918" s="23" t="s">
        <v>8</v>
      </c>
      <c r="M6918" s="23" t="s">
        <v>8</v>
      </c>
    </row>
    <row r="6919" spans="1:13" s="21" customFormat="1" x14ac:dyDescent="0.25">
      <c r="A6919" s="22" t="s">
        <v>8</v>
      </c>
      <c r="B6919" s="18" t="str">
        <f>"245460"</f>
        <v>245460</v>
      </c>
      <c r="C6919" s="19" t="s">
        <v>6819</v>
      </c>
      <c r="D6919" s="19" t="s">
        <v>22342</v>
      </c>
      <c r="E6919" s="19" t="s">
        <v>32601</v>
      </c>
      <c r="F6919" s="19" t="s">
        <v>35997</v>
      </c>
      <c r="G6919" s="18" t="str">
        <f>"55416"</f>
        <v>55416</v>
      </c>
      <c r="H6919" s="19" t="s">
        <v>36451</v>
      </c>
      <c r="I6919" s="20">
        <v>17.219000000000001</v>
      </c>
      <c r="J6919" s="44" t="s">
        <v>8</v>
      </c>
      <c r="K6919" s="23" t="s">
        <v>8</v>
      </c>
      <c r="L6919" s="23" t="s">
        <v>8</v>
      </c>
      <c r="M6919" s="23" t="s">
        <v>8</v>
      </c>
    </row>
    <row r="6920" spans="1:13" s="21" customFormat="1" x14ac:dyDescent="0.25">
      <c r="A6920" s="22" t="s">
        <v>8</v>
      </c>
      <c r="B6920" s="18" t="str">
        <f>"245461"</f>
        <v>245461</v>
      </c>
      <c r="C6920" s="19" t="s">
        <v>6820</v>
      </c>
      <c r="D6920" s="19" t="s">
        <v>22343</v>
      </c>
      <c r="E6920" s="19" t="s">
        <v>33321</v>
      </c>
      <c r="F6920" s="19" t="s">
        <v>35997</v>
      </c>
      <c r="G6920" s="18" t="str">
        <f>"56560"</f>
        <v>56560</v>
      </c>
      <c r="H6920" s="19" t="s">
        <v>36030</v>
      </c>
      <c r="I6920" s="20">
        <v>16.827000000000002</v>
      </c>
      <c r="J6920" s="44" t="s">
        <v>8</v>
      </c>
      <c r="K6920" s="23" t="s">
        <v>8</v>
      </c>
      <c r="L6920" s="23" t="s">
        <v>8</v>
      </c>
      <c r="M6920" s="23" t="s">
        <v>8</v>
      </c>
    </row>
    <row r="6921" spans="1:13" s="21" customFormat="1" x14ac:dyDescent="0.25">
      <c r="A6921" s="22" t="s">
        <v>8</v>
      </c>
      <c r="B6921" s="18" t="str">
        <f>"245462"</f>
        <v>245462</v>
      </c>
      <c r="C6921" s="19" t="s">
        <v>6821</v>
      </c>
      <c r="D6921" s="19" t="s">
        <v>22344</v>
      </c>
      <c r="E6921" s="19" t="s">
        <v>33446</v>
      </c>
      <c r="F6921" s="19" t="s">
        <v>35997</v>
      </c>
      <c r="G6921" s="18" t="str">
        <f>"55429"</f>
        <v>55429</v>
      </c>
      <c r="H6921" s="19" t="s">
        <v>36451</v>
      </c>
      <c r="I6921" s="20">
        <v>20.056000000000001</v>
      </c>
      <c r="J6921" s="44" t="s">
        <v>8</v>
      </c>
      <c r="K6921" s="23" t="s">
        <v>8</v>
      </c>
      <c r="L6921" s="23" t="s">
        <v>8</v>
      </c>
      <c r="M6921" s="23" t="s">
        <v>8</v>
      </c>
    </row>
    <row r="6922" spans="1:13" s="21" customFormat="1" x14ac:dyDescent="0.25">
      <c r="A6922" s="22" t="s">
        <v>8</v>
      </c>
      <c r="B6922" s="18" t="str">
        <f>"245463"</f>
        <v>245463</v>
      </c>
      <c r="C6922" s="19" t="s">
        <v>6822</v>
      </c>
      <c r="D6922" s="19" t="s">
        <v>22345</v>
      </c>
      <c r="E6922" s="19" t="s">
        <v>33443</v>
      </c>
      <c r="F6922" s="19" t="s">
        <v>35997</v>
      </c>
      <c r="G6922" s="18" t="str">
        <f>"56537"</f>
        <v>56537</v>
      </c>
      <c r="H6922" s="19" t="s">
        <v>36474</v>
      </c>
      <c r="I6922" s="20">
        <v>17.369</v>
      </c>
      <c r="J6922" s="44" t="s">
        <v>8</v>
      </c>
      <c r="K6922" s="23" t="s">
        <v>8</v>
      </c>
      <c r="L6922" s="23" t="s">
        <v>8</v>
      </c>
      <c r="M6922" s="23" t="s">
        <v>8</v>
      </c>
    </row>
    <row r="6923" spans="1:13" s="21" customFormat="1" x14ac:dyDescent="0.25">
      <c r="A6923" s="22" t="s">
        <v>8</v>
      </c>
      <c r="B6923" s="18" t="str">
        <f>"245464"</f>
        <v>245464</v>
      </c>
      <c r="C6923" s="19" t="s">
        <v>6823</v>
      </c>
      <c r="D6923" s="19" t="s">
        <v>22346</v>
      </c>
      <c r="E6923" s="19" t="s">
        <v>33447</v>
      </c>
      <c r="F6923" s="19" t="s">
        <v>35997</v>
      </c>
      <c r="G6923" s="18" t="str">
        <f>"55961"</f>
        <v>55961</v>
      </c>
      <c r="H6923" s="19" t="s">
        <v>35716</v>
      </c>
      <c r="I6923" s="20">
        <v>18.391999999999999</v>
      </c>
      <c r="J6923" s="44" t="s">
        <v>8</v>
      </c>
      <c r="K6923" s="23" t="s">
        <v>8</v>
      </c>
      <c r="L6923" s="23" t="s">
        <v>8</v>
      </c>
      <c r="M6923" s="23" t="s">
        <v>8</v>
      </c>
    </row>
    <row r="6924" spans="1:13" s="21" customFormat="1" x14ac:dyDescent="0.25">
      <c r="A6924" s="22" t="s">
        <v>8</v>
      </c>
      <c r="B6924" s="18" t="str">
        <f>"245465"</f>
        <v>245465</v>
      </c>
      <c r="C6924" s="19" t="s">
        <v>6824</v>
      </c>
      <c r="D6924" s="19" t="s">
        <v>22347</v>
      </c>
      <c r="E6924" s="19" t="s">
        <v>33448</v>
      </c>
      <c r="F6924" s="19" t="s">
        <v>35997</v>
      </c>
      <c r="G6924" s="18" t="str">
        <f>"56360"</f>
        <v>56360</v>
      </c>
      <c r="H6924" s="19" t="s">
        <v>30966</v>
      </c>
      <c r="I6924" s="20">
        <v>18.616</v>
      </c>
      <c r="J6924" s="44" t="s">
        <v>8</v>
      </c>
      <c r="K6924" s="23" t="s">
        <v>8</v>
      </c>
      <c r="L6924" s="23" t="s">
        <v>8</v>
      </c>
      <c r="M6924" s="23" t="s">
        <v>8</v>
      </c>
    </row>
    <row r="6925" spans="1:13" s="21" customFormat="1" x14ac:dyDescent="0.25">
      <c r="A6925" s="22" t="s">
        <v>8</v>
      </c>
      <c r="B6925" s="18" t="str">
        <f>"245467"</f>
        <v>245467</v>
      </c>
      <c r="C6925" s="19" t="s">
        <v>6825</v>
      </c>
      <c r="D6925" s="19" t="s">
        <v>22348</v>
      </c>
      <c r="E6925" s="19" t="s">
        <v>33449</v>
      </c>
      <c r="F6925" s="19" t="s">
        <v>35997</v>
      </c>
      <c r="G6925" s="18" t="str">
        <f>"56136"</f>
        <v>56136</v>
      </c>
      <c r="H6925" s="19" t="s">
        <v>31995</v>
      </c>
      <c r="I6925" s="20">
        <v>18.693000000000001</v>
      </c>
      <c r="J6925" s="44" t="s">
        <v>8</v>
      </c>
      <c r="K6925" s="23" t="s">
        <v>8</v>
      </c>
      <c r="L6925" s="23" t="s">
        <v>8</v>
      </c>
      <c r="M6925" s="23" t="s">
        <v>8</v>
      </c>
    </row>
    <row r="6926" spans="1:13" s="21" customFormat="1" x14ac:dyDescent="0.25">
      <c r="A6926" s="22" t="s">
        <v>8</v>
      </c>
      <c r="B6926" s="18" t="str">
        <f>"245468"</f>
        <v>245468</v>
      </c>
      <c r="C6926" s="19" t="s">
        <v>6826</v>
      </c>
      <c r="D6926" s="19" t="s">
        <v>22349</v>
      </c>
      <c r="E6926" s="19" t="s">
        <v>33450</v>
      </c>
      <c r="F6926" s="19" t="s">
        <v>35997</v>
      </c>
      <c r="G6926" s="18" t="str">
        <f>"56732"</f>
        <v>56732</v>
      </c>
      <c r="H6926" s="19" t="s">
        <v>36464</v>
      </c>
      <c r="I6926" s="20">
        <v>18.187999999999999</v>
      </c>
      <c r="J6926" s="44" t="s">
        <v>8</v>
      </c>
      <c r="K6926" s="23" t="s">
        <v>8</v>
      </c>
      <c r="L6926" s="23" t="s">
        <v>8</v>
      </c>
      <c r="M6926" s="23" t="s">
        <v>8</v>
      </c>
    </row>
    <row r="6927" spans="1:13" s="21" customFormat="1" x14ac:dyDescent="0.25">
      <c r="A6927" s="22" t="s">
        <v>8</v>
      </c>
      <c r="B6927" s="18" t="str">
        <f>"245469"</f>
        <v>245469</v>
      </c>
      <c r="C6927" s="19" t="s">
        <v>6827</v>
      </c>
      <c r="D6927" s="19" t="s">
        <v>22350</v>
      </c>
      <c r="E6927" s="19" t="s">
        <v>31333</v>
      </c>
      <c r="F6927" s="19" t="s">
        <v>35997</v>
      </c>
      <c r="G6927" s="18" t="str">
        <f>"55705"</f>
        <v>55705</v>
      </c>
      <c r="H6927" s="19" t="s">
        <v>33228</v>
      </c>
      <c r="I6927" s="20">
        <v>18.896999999999998</v>
      </c>
      <c r="J6927" s="44" t="s">
        <v>8</v>
      </c>
      <c r="K6927" s="23" t="s">
        <v>8</v>
      </c>
      <c r="L6927" s="23" t="s">
        <v>8</v>
      </c>
      <c r="M6927" s="23" t="s">
        <v>8</v>
      </c>
    </row>
    <row r="6928" spans="1:13" s="21" customFormat="1" x14ac:dyDescent="0.25">
      <c r="A6928" s="22" t="s">
        <v>8</v>
      </c>
      <c r="B6928" s="18" t="str">
        <f>"245470"</f>
        <v>245470</v>
      </c>
      <c r="C6928" s="19" t="s">
        <v>6828</v>
      </c>
      <c r="D6928" s="19" t="s">
        <v>22351</v>
      </c>
      <c r="E6928" s="19" t="s">
        <v>33451</v>
      </c>
      <c r="F6928" s="19" t="s">
        <v>35997</v>
      </c>
      <c r="G6928" s="18" t="str">
        <f>"56751"</f>
        <v>56751</v>
      </c>
      <c r="H6928" s="19" t="s">
        <v>33451</v>
      </c>
      <c r="I6928" s="20">
        <v>18.733000000000001</v>
      </c>
      <c r="J6928" s="44" t="s">
        <v>8</v>
      </c>
      <c r="K6928" s="23" t="s">
        <v>8</v>
      </c>
      <c r="L6928" s="23" t="s">
        <v>8</v>
      </c>
      <c r="M6928" s="23" t="s">
        <v>8</v>
      </c>
    </row>
    <row r="6929" spans="1:13" s="21" customFormat="1" x14ac:dyDescent="0.25">
      <c r="A6929" s="22" t="s">
        <v>8</v>
      </c>
      <c r="B6929" s="18" t="str">
        <f>"245471"</f>
        <v>245471</v>
      </c>
      <c r="C6929" s="19" t="s">
        <v>6829</v>
      </c>
      <c r="D6929" s="19" t="s">
        <v>22352</v>
      </c>
      <c r="E6929" s="19" t="s">
        <v>33452</v>
      </c>
      <c r="F6929" s="19" t="s">
        <v>35997</v>
      </c>
      <c r="G6929" s="18" t="str">
        <f>"55616"</f>
        <v>55616</v>
      </c>
      <c r="H6929" s="19" t="s">
        <v>36096</v>
      </c>
      <c r="I6929" s="20">
        <v>18.780999999999999</v>
      </c>
      <c r="J6929" s="44" t="s">
        <v>8</v>
      </c>
      <c r="K6929" s="23" t="s">
        <v>8</v>
      </c>
      <c r="L6929" s="23" t="s">
        <v>8</v>
      </c>
      <c r="M6929" s="23" t="s">
        <v>8</v>
      </c>
    </row>
    <row r="6930" spans="1:13" s="21" customFormat="1" x14ac:dyDescent="0.25">
      <c r="A6930" s="22" t="s">
        <v>8</v>
      </c>
      <c r="B6930" s="18" t="str">
        <f>"245473"</f>
        <v>245473</v>
      </c>
      <c r="C6930" s="19" t="s">
        <v>6830</v>
      </c>
      <c r="D6930" s="19" t="s">
        <v>22353</v>
      </c>
      <c r="E6930" s="19" t="s">
        <v>33148</v>
      </c>
      <c r="F6930" s="19" t="s">
        <v>35997</v>
      </c>
      <c r="G6930" s="18" t="str">
        <f>"55334"</f>
        <v>55334</v>
      </c>
      <c r="H6930" s="19" t="s">
        <v>32483</v>
      </c>
      <c r="I6930" s="20">
        <v>17.771999999999998</v>
      </c>
      <c r="J6930" s="44" t="s">
        <v>8</v>
      </c>
      <c r="K6930" s="23" t="s">
        <v>8</v>
      </c>
      <c r="L6930" s="23" t="s">
        <v>8</v>
      </c>
      <c r="M6930" s="23" t="s">
        <v>8</v>
      </c>
    </row>
    <row r="6931" spans="1:13" s="21" customFormat="1" x14ac:dyDescent="0.25">
      <c r="A6931" s="22" t="s">
        <v>8</v>
      </c>
      <c r="B6931" s="18" t="str">
        <f>"245474"</f>
        <v>245474</v>
      </c>
      <c r="C6931" s="19" t="s">
        <v>6831</v>
      </c>
      <c r="D6931" s="19" t="s">
        <v>22354</v>
      </c>
      <c r="E6931" s="19" t="s">
        <v>33453</v>
      </c>
      <c r="F6931" s="19" t="s">
        <v>35997</v>
      </c>
      <c r="G6931" s="18" t="str">
        <f>"55313"</f>
        <v>55313</v>
      </c>
      <c r="H6931" s="19" t="s">
        <v>36290</v>
      </c>
      <c r="I6931" s="20">
        <v>18.614999999999998</v>
      </c>
      <c r="J6931" s="44" t="s">
        <v>8</v>
      </c>
      <c r="K6931" s="23" t="s">
        <v>8</v>
      </c>
      <c r="L6931" s="23" t="s">
        <v>8</v>
      </c>
      <c r="M6931" s="23" t="s">
        <v>8</v>
      </c>
    </row>
    <row r="6932" spans="1:13" s="21" customFormat="1" x14ac:dyDescent="0.25">
      <c r="A6932" s="22" t="s">
        <v>8</v>
      </c>
      <c r="B6932" s="18" t="str">
        <f>"245475"</f>
        <v>245475</v>
      </c>
      <c r="C6932" s="19" t="s">
        <v>4487</v>
      </c>
      <c r="D6932" s="19" t="s">
        <v>22355</v>
      </c>
      <c r="E6932" s="19" t="s">
        <v>33454</v>
      </c>
      <c r="F6932" s="19" t="s">
        <v>35997</v>
      </c>
      <c r="G6932" s="18" t="str">
        <f>"56214"</f>
        <v>56214</v>
      </c>
      <c r="H6932" s="19" t="s">
        <v>36462</v>
      </c>
      <c r="I6932" s="20">
        <v>18.539000000000001</v>
      </c>
      <c r="J6932" s="44" t="s">
        <v>8</v>
      </c>
      <c r="K6932" s="23" t="s">
        <v>8</v>
      </c>
      <c r="L6932" s="23" t="s">
        <v>8</v>
      </c>
      <c r="M6932" s="23" t="s">
        <v>8</v>
      </c>
    </row>
    <row r="6933" spans="1:13" s="21" customFormat="1" x14ac:dyDescent="0.25">
      <c r="A6933" s="22" t="s">
        <v>8</v>
      </c>
      <c r="B6933" s="18" t="str">
        <f>"245476"</f>
        <v>245476</v>
      </c>
      <c r="C6933" s="19" t="s">
        <v>6832</v>
      </c>
      <c r="D6933" s="19" t="s">
        <v>22356</v>
      </c>
      <c r="E6933" s="19" t="s">
        <v>33455</v>
      </c>
      <c r="F6933" s="19" t="s">
        <v>35997</v>
      </c>
      <c r="G6933" s="18" t="str">
        <f>"56474"</f>
        <v>56474</v>
      </c>
      <c r="H6933" s="19" t="s">
        <v>36246</v>
      </c>
      <c r="I6933" s="20">
        <v>19.986999999999998</v>
      </c>
      <c r="J6933" s="44" t="s">
        <v>8</v>
      </c>
      <c r="K6933" s="23" t="s">
        <v>8</v>
      </c>
      <c r="L6933" s="23" t="s">
        <v>8</v>
      </c>
      <c r="M6933" s="23" t="s">
        <v>8</v>
      </c>
    </row>
    <row r="6934" spans="1:13" s="21" customFormat="1" x14ac:dyDescent="0.25">
      <c r="A6934" s="22" t="s">
        <v>8</v>
      </c>
      <c r="B6934" s="18" t="str">
        <f>"245479"</f>
        <v>245479</v>
      </c>
      <c r="C6934" s="19" t="s">
        <v>6833</v>
      </c>
      <c r="D6934" s="19" t="s">
        <v>22357</v>
      </c>
      <c r="E6934" s="19" t="s">
        <v>32650</v>
      </c>
      <c r="F6934" s="19" t="s">
        <v>35997</v>
      </c>
      <c r="G6934" s="18" t="str">
        <f>"55107"</f>
        <v>55107</v>
      </c>
      <c r="H6934" s="19" t="s">
        <v>36449</v>
      </c>
      <c r="I6934" s="20">
        <v>21.14</v>
      </c>
      <c r="J6934" s="44" t="s">
        <v>8</v>
      </c>
      <c r="K6934" s="23" t="s">
        <v>8</v>
      </c>
      <c r="L6934" s="23" t="s">
        <v>8</v>
      </c>
      <c r="M6934" s="23" t="s">
        <v>8</v>
      </c>
    </row>
    <row r="6935" spans="1:13" s="21" customFormat="1" x14ac:dyDescent="0.25">
      <c r="A6935" s="22" t="s">
        <v>8</v>
      </c>
      <c r="B6935" s="18" t="str">
        <f>"245482"</f>
        <v>245482</v>
      </c>
      <c r="C6935" s="19" t="s">
        <v>6834</v>
      </c>
      <c r="D6935" s="19" t="s">
        <v>22358</v>
      </c>
      <c r="E6935" s="19" t="s">
        <v>33456</v>
      </c>
      <c r="F6935" s="19" t="s">
        <v>35997</v>
      </c>
      <c r="G6935" s="18" t="str">
        <f>"55917"</f>
        <v>55917</v>
      </c>
      <c r="H6935" s="19" t="s">
        <v>33605</v>
      </c>
      <c r="I6935" s="20">
        <v>20.977</v>
      </c>
      <c r="J6935" s="44" t="s">
        <v>8</v>
      </c>
      <c r="K6935" s="23" t="s">
        <v>8</v>
      </c>
      <c r="L6935" s="23" t="s">
        <v>8</v>
      </c>
      <c r="M6935" s="23" t="s">
        <v>8</v>
      </c>
    </row>
    <row r="6936" spans="1:13" s="21" customFormat="1" x14ac:dyDescent="0.25">
      <c r="A6936" s="22" t="s">
        <v>8</v>
      </c>
      <c r="B6936" s="18" t="str">
        <f>"245483"</f>
        <v>245483</v>
      </c>
      <c r="C6936" s="19" t="s">
        <v>6835</v>
      </c>
      <c r="D6936" s="19" t="s">
        <v>22359</v>
      </c>
      <c r="E6936" s="19" t="s">
        <v>33341</v>
      </c>
      <c r="F6936" s="19" t="s">
        <v>35997</v>
      </c>
      <c r="G6936" s="18" t="str">
        <f>"55807"</f>
        <v>55807</v>
      </c>
      <c r="H6936" s="19" t="s">
        <v>33228</v>
      </c>
      <c r="I6936" s="20">
        <v>18.715</v>
      </c>
      <c r="J6936" s="44" t="s">
        <v>8</v>
      </c>
      <c r="K6936" s="23" t="s">
        <v>8</v>
      </c>
      <c r="L6936" s="23" t="s">
        <v>8</v>
      </c>
      <c r="M6936" s="23" t="s">
        <v>8</v>
      </c>
    </row>
    <row r="6937" spans="1:13" s="21" customFormat="1" x14ac:dyDescent="0.25">
      <c r="A6937" s="22" t="s">
        <v>8</v>
      </c>
      <c r="B6937" s="18" t="str">
        <f>"245484"</f>
        <v>245484</v>
      </c>
      <c r="C6937" s="19" t="s">
        <v>6836</v>
      </c>
      <c r="D6937" s="19" t="s">
        <v>22360</v>
      </c>
      <c r="E6937" s="19" t="s">
        <v>33357</v>
      </c>
      <c r="F6937" s="19" t="s">
        <v>35997</v>
      </c>
      <c r="G6937" s="18" t="str">
        <f>"56716"</f>
        <v>56716</v>
      </c>
      <c r="H6937" s="19" t="s">
        <v>36062</v>
      </c>
      <c r="I6937" s="20">
        <v>19.998999999999999</v>
      </c>
      <c r="J6937" s="44" t="s">
        <v>8</v>
      </c>
      <c r="K6937" s="23" t="s">
        <v>8</v>
      </c>
      <c r="L6937" s="23" t="s">
        <v>8</v>
      </c>
      <c r="M6937" s="23" t="s">
        <v>8</v>
      </c>
    </row>
    <row r="6938" spans="1:13" s="21" customFormat="1" x14ac:dyDescent="0.25">
      <c r="A6938" s="22" t="s">
        <v>8</v>
      </c>
      <c r="B6938" s="18" t="str">
        <f>"245486"</f>
        <v>245486</v>
      </c>
      <c r="C6938" s="19" t="s">
        <v>6837</v>
      </c>
      <c r="D6938" s="19" t="s">
        <v>22361</v>
      </c>
      <c r="E6938" s="19" t="s">
        <v>33457</v>
      </c>
      <c r="F6938" s="19" t="s">
        <v>35997</v>
      </c>
      <c r="G6938" s="18" t="str">
        <f>"56573"</f>
        <v>56573</v>
      </c>
      <c r="H6938" s="19" t="s">
        <v>36474</v>
      </c>
      <c r="I6938" s="20">
        <v>16.971</v>
      </c>
      <c r="J6938" s="44" t="s">
        <v>8</v>
      </c>
      <c r="K6938" s="23" t="s">
        <v>8</v>
      </c>
      <c r="L6938" s="23" t="s">
        <v>8</v>
      </c>
      <c r="M6938" s="23" t="s">
        <v>8</v>
      </c>
    </row>
    <row r="6939" spans="1:13" s="21" customFormat="1" x14ac:dyDescent="0.25">
      <c r="A6939" s="22" t="s">
        <v>8</v>
      </c>
      <c r="B6939" s="18" t="str">
        <f>"245487"</f>
        <v>245487</v>
      </c>
      <c r="C6939" s="19" t="s">
        <v>6838</v>
      </c>
      <c r="D6939" s="19" t="s">
        <v>22362</v>
      </c>
      <c r="E6939" s="19" t="s">
        <v>33458</v>
      </c>
      <c r="F6939" s="19" t="s">
        <v>35997</v>
      </c>
      <c r="G6939" s="18" t="str">
        <f>"55981"</f>
        <v>55981</v>
      </c>
      <c r="H6939" s="19" t="s">
        <v>33458</v>
      </c>
      <c r="I6939" s="20">
        <v>17.620999999999999</v>
      </c>
      <c r="J6939" s="44" t="s">
        <v>8</v>
      </c>
      <c r="K6939" s="23" t="s">
        <v>8</v>
      </c>
      <c r="L6939" s="23" t="s">
        <v>8</v>
      </c>
      <c r="M6939" s="23" t="s">
        <v>8</v>
      </c>
    </row>
    <row r="6940" spans="1:13" s="21" customFormat="1" x14ac:dyDescent="0.25">
      <c r="A6940" s="22" t="s">
        <v>8</v>
      </c>
      <c r="B6940" s="18" t="str">
        <f>"245488"</f>
        <v>245488</v>
      </c>
      <c r="C6940" s="19" t="s">
        <v>6839</v>
      </c>
      <c r="D6940" s="19" t="s">
        <v>22363</v>
      </c>
      <c r="E6940" s="19" t="s">
        <v>33459</v>
      </c>
      <c r="F6940" s="19" t="s">
        <v>35997</v>
      </c>
      <c r="G6940" s="18" t="str">
        <f>"56401"</f>
        <v>56401</v>
      </c>
      <c r="H6940" s="19" t="s">
        <v>36460</v>
      </c>
      <c r="I6940" s="20">
        <v>16.873000000000001</v>
      </c>
      <c r="J6940" s="44" t="s">
        <v>8</v>
      </c>
      <c r="K6940" s="23" t="s">
        <v>8</v>
      </c>
      <c r="L6940" s="23" t="s">
        <v>8</v>
      </c>
      <c r="M6940" s="23" t="s">
        <v>8</v>
      </c>
    </row>
    <row r="6941" spans="1:13" s="21" customFormat="1" x14ac:dyDescent="0.25">
      <c r="A6941" s="22" t="s">
        <v>8</v>
      </c>
      <c r="B6941" s="18" t="str">
        <f>"245489"</f>
        <v>245489</v>
      </c>
      <c r="C6941" s="19" t="s">
        <v>6840</v>
      </c>
      <c r="D6941" s="19" t="s">
        <v>22364</v>
      </c>
      <c r="E6941" s="19" t="s">
        <v>33339</v>
      </c>
      <c r="F6941" s="19" t="s">
        <v>35997</v>
      </c>
      <c r="G6941" s="18" t="str">
        <f>"56501"</f>
        <v>56501</v>
      </c>
      <c r="H6941" s="19" t="s">
        <v>36457</v>
      </c>
      <c r="I6941" s="20">
        <v>17.509</v>
      </c>
      <c r="J6941" s="44" t="s">
        <v>8</v>
      </c>
      <c r="K6941" s="23" t="s">
        <v>8</v>
      </c>
      <c r="L6941" s="23" t="s">
        <v>8</v>
      </c>
      <c r="M6941" s="23" t="s">
        <v>8</v>
      </c>
    </row>
    <row r="6942" spans="1:13" s="21" customFormat="1" x14ac:dyDescent="0.25">
      <c r="A6942" s="22" t="s">
        <v>8</v>
      </c>
      <c r="B6942" s="18" t="str">
        <f>"245490"</f>
        <v>245490</v>
      </c>
      <c r="C6942" s="19" t="s">
        <v>6841</v>
      </c>
      <c r="D6942" s="19" t="s">
        <v>22365</v>
      </c>
      <c r="E6942" s="19" t="s">
        <v>33460</v>
      </c>
      <c r="F6942" s="19" t="s">
        <v>35997</v>
      </c>
      <c r="G6942" s="18" t="str">
        <f>"56073"</f>
        <v>56073</v>
      </c>
      <c r="H6942" s="19" t="s">
        <v>36244</v>
      </c>
      <c r="I6942" s="20">
        <v>19.323</v>
      </c>
      <c r="J6942" s="44" t="s">
        <v>8</v>
      </c>
      <c r="K6942" s="23" t="s">
        <v>8</v>
      </c>
      <c r="L6942" s="23" t="s">
        <v>8</v>
      </c>
      <c r="M6942" s="23" t="s">
        <v>8</v>
      </c>
    </row>
    <row r="6943" spans="1:13" s="21" customFormat="1" x14ac:dyDescent="0.25">
      <c r="A6943" s="22" t="s">
        <v>8</v>
      </c>
      <c r="B6943" s="18" t="str">
        <f>"245491"</f>
        <v>245491</v>
      </c>
      <c r="C6943" s="19" t="s">
        <v>6842</v>
      </c>
      <c r="D6943" s="19" t="s">
        <v>22366</v>
      </c>
      <c r="E6943" s="19" t="s">
        <v>33461</v>
      </c>
      <c r="F6943" s="19" t="s">
        <v>35997</v>
      </c>
      <c r="G6943" s="18" t="str">
        <f>"55767"</f>
        <v>55767</v>
      </c>
      <c r="H6943" s="19" t="s">
        <v>33318</v>
      </c>
      <c r="I6943" s="20">
        <v>17.731000000000002</v>
      </c>
      <c r="J6943" s="44" t="s">
        <v>8</v>
      </c>
      <c r="K6943" s="23" t="s">
        <v>8</v>
      </c>
      <c r="L6943" s="23" t="s">
        <v>8</v>
      </c>
      <c r="M6943" s="23" t="s">
        <v>8</v>
      </c>
    </row>
    <row r="6944" spans="1:13" s="21" customFormat="1" x14ac:dyDescent="0.25">
      <c r="A6944" s="22" t="s">
        <v>8</v>
      </c>
      <c r="B6944" s="18" t="str">
        <f>"245492"</f>
        <v>245492</v>
      </c>
      <c r="C6944" s="19" t="s">
        <v>6843</v>
      </c>
      <c r="D6944" s="19" t="s">
        <v>22367</v>
      </c>
      <c r="E6944" s="19" t="s">
        <v>33366</v>
      </c>
      <c r="F6944" s="19" t="s">
        <v>35997</v>
      </c>
      <c r="G6944" s="18" t="str">
        <f>"55423"</f>
        <v>55423</v>
      </c>
      <c r="H6944" s="19" t="s">
        <v>36451</v>
      </c>
      <c r="I6944" s="20">
        <v>18.88</v>
      </c>
      <c r="J6944" s="44" t="s">
        <v>8</v>
      </c>
      <c r="K6944" s="23" t="s">
        <v>8</v>
      </c>
      <c r="L6944" s="23" t="s">
        <v>8</v>
      </c>
      <c r="M6944" s="23" t="s">
        <v>8</v>
      </c>
    </row>
    <row r="6945" spans="1:13" s="21" customFormat="1" x14ac:dyDescent="0.25">
      <c r="A6945" s="22" t="s">
        <v>8</v>
      </c>
      <c r="B6945" s="18" t="str">
        <f>"245493"</f>
        <v>245493</v>
      </c>
      <c r="C6945" s="19" t="s">
        <v>6844</v>
      </c>
      <c r="D6945" s="19" t="s">
        <v>22368</v>
      </c>
      <c r="E6945" s="19" t="s">
        <v>33374</v>
      </c>
      <c r="F6945" s="19" t="s">
        <v>35997</v>
      </c>
      <c r="G6945" s="18" t="str">
        <f>"55343"</f>
        <v>55343</v>
      </c>
      <c r="H6945" s="19" t="s">
        <v>36451</v>
      </c>
      <c r="I6945" s="20">
        <v>17.327999999999999</v>
      </c>
      <c r="J6945" s="44" t="s">
        <v>8</v>
      </c>
      <c r="K6945" s="23" t="s">
        <v>8</v>
      </c>
      <c r="L6945" s="23" t="s">
        <v>8</v>
      </c>
      <c r="M6945" s="23" t="s">
        <v>8</v>
      </c>
    </row>
    <row r="6946" spans="1:13" s="21" customFormat="1" x14ac:dyDescent="0.25">
      <c r="A6946" s="22" t="s">
        <v>8</v>
      </c>
      <c r="B6946" s="18" t="str">
        <f>"245494"</f>
        <v>245494</v>
      </c>
      <c r="C6946" s="19" t="s">
        <v>6845</v>
      </c>
      <c r="D6946" s="19" t="s">
        <v>22369</v>
      </c>
      <c r="E6946" s="19" t="s">
        <v>31998</v>
      </c>
      <c r="F6946" s="19" t="s">
        <v>35997</v>
      </c>
      <c r="G6946" s="18" t="str">
        <f>"55371"</f>
        <v>55371</v>
      </c>
      <c r="H6946" s="19" t="s">
        <v>36454</v>
      </c>
      <c r="I6946" s="20">
        <v>20.771999999999998</v>
      </c>
      <c r="J6946" s="44" t="s">
        <v>8</v>
      </c>
      <c r="K6946" s="23" t="s">
        <v>8</v>
      </c>
      <c r="L6946" s="23" t="s">
        <v>8</v>
      </c>
      <c r="M6946" s="23" t="s">
        <v>8</v>
      </c>
    </row>
    <row r="6947" spans="1:13" s="21" customFormat="1" x14ac:dyDescent="0.25">
      <c r="A6947" s="22" t="s">
        <v>8</v>
      </c>
      <c r="B6947" s="18" t="str">
        <f>"245495"</f>
        <v>245495</v>
      </c>
      <c r="C6947" s="19" t="s">
        <v>6846</v>
      </c>
      <c r="D6947" s="19" t="s">
        <v>22370</v>
      </c>
      <c r="E6947" s="19" t="s">
        <v>33160</v>
      </c>
      <c r="F6947" s="19" t="s">
        <v>35997</v>
      </c>
      <c r="G6947" s="18" t="str">
        <f>"55744"</f>
        <v>55744</v>
      </c>
      <c r="H6947" s="19" t="s">
        <v>32089</v>
      </c>
      <c r="I6947" s="20">
        <v>18.494</v>
      </c>
      <c r="J6947" s="44" t="s">
        <v>8</v>
      </c>
      <c r="K6947" s="23" t="s">
        <v>8</v>
      </c>
      <c r="L6947" s="23" t="s">
        <v>8</v>
      </c>
      <c r="M6947" s="23" t="s">
        <v>8</v>
      </c>
    </row>
    <row r="6948" spans="1:13" s="21" customFormat="1" x14ac:dyDescent="0.25">
      <c r="A6948" s="22" t="s">
        <v>8</v>
      </c>
      <c r="B6948" s="18" t="str">
        <f>"245496"</f>
        <v>245496</v>
      </c>
      <c r="C6948" s="19" t="s">
        <v>6847</v>
      </c>
      <c r="D6948" s="19" t="s">
        <v>22371</v>
      </c>
      <c r="E6948" s="19" t="s">
        <v>33462</v>
      </c>
      <c r="F6948" s="19" t="s">
        <v>35997</v>
      </c>
      <c r="G6948" s="18" t="str">
        <f>"56264"</f>
        <v>56264</v>
      </c>
      <c r="H6948" s="19" t="s">
        <v>36274</v>
      </c>
      <c r="I6948" s="20">
        <v>19.481999999999999</v>
      </c>
      <c r="J6948" s="44" t="s">
        <v>8</v>
      </c>
      <c r="K6948" s="23" t="s">
        <v>8</v>
      </c>
      <c r="L6948" s="23" t="s">
        <v>8</v>
      </c>
      <c r="M6948" s="23" t="s">
        <v>8</v>
      </c>
    </row>
    <row r="6949" spans="1:13" s="21" customFormat="1" x14ac:dyDescent="0.25">
      <c r="A6949" s="22" t="s">
        <v>8</v>
      </c>
      <c r="B6949" s="18" t="str">
        <f>"245497"</f>
        <v>245497</v>
      </c>
      <c r="C6949" s="19" t="s">
        <v>6848</v>
      </c>
      <c r="D6949" s="19" t="s">
        <v>22372</v>
      </c>
      <c r="E6949" s="19" t="s">
        <v>33463</v>
      </c>
      <c r="F6949" s="19" t="s">
        <v>35997</v>
      </c>
      <c r="G6949" s="18" t="str">
        <f>"55359"</f>
        <v>55359</v>
      </c>
      <c r="H6949" s="19" t="s">
        <v>36451</v>
      </c>
      <c r="I6949" s="20">
        <v>17.317</v>
      </c>
      <c r="J6949" s="44" t="s">
        <v>8</v>
      </c>
      <c r="K6949" s="23" t="s">
        <v>8</v>
      </c>
      <c r="L6949" s="23" t="s">
        <v>8</v>
      </c>
      <c r="M6949" s="23" t="s">
        <v>8</v>
      </c>
    </row>
    <row r="6950" spans="1:13" s="21" customFormat="1" x14ac:dyDescent="0.25">
      <c r="A6950" s="22" t="s">
        <v>8</v>
      </c>
      <c r="B6950" s="18" t="str">
        <f>"245499"</f>
        <v>245499</v>
      </c>
      <c r="C6950" s="19" t="s">
        <v>6849</v>
      </c>
      <c r="D6950" s="19" t="s">
        <v>22373</v>
      </c>
      <c r="E6950" s="19" t="s">
        <v>33464</v>
      </c>
      <c r="F6950" s="19" t="s">
        <v>35997</v>
      </c>
      <c r="G6950" s="18" t="str">
        <f>"55921"</f>
        <v>55921</v>
      </c>
      <c r="H6950" s="19" t="s">
        <v>33493</v>
      </c>
      <c r="I6950" s="20">
        <v>18.408999999999999</v>
      </c>
      <c r="J6950" s="44" t="s">
        <v>8</v>
      </c>
      <c r="K6950" s="23" t="s">
        <v>8</v>
      </c>
      <c r="L6950" s="23" t="s">
        <v>8</v>
      </c>
      <c r="M6950" s="23" t="s">
        <v>8</v>
      </c>
    </row>
    <row r="6951" spans="1:13" s="21" customFormat="1" x14ac:dyDescent="0.25">
      <c r="A6951" s="22" t="s">
        <v>8</v>
      </c>
      <c r="B6951" s="18" t="str">
        <f>"245500"</f>
        <v>245500</v>
      </c>
      <c r="C6951" s="19" t="s">
        <v>6850</v>
      </c>
      <c r="D6951" s="19" t="s">
        <v>22374</v>
      </c>
      <c r="E6951" s="19" t="s">
        <v>33459</v>
      </c>
      <c r="F6951" s="19" t="s">
        <v>35997</v>
      </c>
      <c r="G6951" s="18" t="str">
        <f>"56401"</f>
        <v>56401</v>
      </c>
      <c r="H6951" s="19" t="s">
        <v>36460</v>
      </c>
      <c r="I6951" s="20">
        <v>18.84</v>
      </c>
      <c r="J6951" s="44" t="s">
        <v>8</v>
      </c>
      <c r="K6951" s="23" t="s">
        <v>8</v>
      </c>
      <c r="L6951" s="23" t="s">
        <v>8</v>
      </c>
      <c r="M6951" s="23" t="s">
        <v>8</v>
      </c>
    </row>
    <row r="6952" spans="1:13" s="21" customFormat="1" x14ac:dyDescent="0.25">
      <c r="A6952" s="22" t="s">
        <v>8</v>
      </c>
      <c r="B6952" s="18" t="str">
        <f>"245501"</f>
        <v>245501</v>
      </c>
      <c r="C6952" s="19" t="s">
        <v>6851</v>
      </c>
      <c r="D6952" s="19" t="s">
        <v>22375</v>
      </c>
      <c r="E6952" s="19" t="s">
        <v>33465</v>
      </c>
      <c r="F6952" s="19" t="s">
        <v>35997</v>
      </c>
      <c r="G6952" s="18" t="str">
        <f>"56082"</f>
        <v>56082</v>
      </c>
      <c r="H6952" s="19" t="s">
        <v>36478</v>
      </c>
      <c r="I6952" s="20">
        <v>19.890999999999998</v>
      </c>
      <c r="J6952" s="44" t="s">
        <v>8</v>
      </c>
      <c r="K6952" s="23" t="s">
        <v>8</v>
      </c>
      <c r="L6952" s="23" t="s">
        <v>8</v>
      </c>
      <c r="M6952" s="23" t="s">
        <v>8</v>
      </c>
    </row>
    <row r="6953" spans="1:13" s="21" customFormat="1" x14ac:dyDescent="0.25">
      <c r="A6953" s="22" t="s">
        <v>8</v>
      </c>
      <c r="B6953" s="18" t="str">
        <f>"245502"</f>
        <v>245502</v>
      </c>
      <c r="C6953" s="19" t="s">
        <v>6852</v>
      </c>
      <c r="D6953" s="19" t="s">
        <v>22376</v>
      </c>
      <c r="E6953" s="19" t="s">
        <v>33466</v>
      </c>
      <c r="F6953" s="19" t="s">
        <v>35997</v>
      </c>
      <c r="G6953" s="18" t="str">
        <f>"56510"</f>
        <v>56510</v>
      </c>
      <c r="H6953" s="19" t="s">
        <v>34652</v>
      </c>
      <c r="I6953" s="20">
        <v>19.184999999999999</v>
      </c>
      <c r="J6953" s="44" t="s">
        <v>8</v>
      </c>
      <c r="K6953" s="23" t="s">
        <v>8</v>
      </c>
      <c r="L6953" s="23" t="s">
        <v>8</v>
      </c>
      <c r="M6953" s="23" t="s">
        <v>8</v>
      </c>
    </row>
    <row r="6954" spans="1:13" s="21" customFormat="1" x14ac:dyDescent="0.25">
      <c r="A6954" s="22" t="s">
        <v>8</v>
      </c>
      <c r="B6954" s="18" t="str">
        <f>"245507"</f>
        <v>245507</v>
      </c>
      <c r="C6954" s="19" t="s">
        <v>6853</v>
      </c>
      <c r="D6954" s="19" t="s">
        <v>22377</v>
      </c>
      <c r="E6954" s="19" t="s">
        <v>33419</v>
      </c>
      <c r="F6954" s="19" t="s">
        <v>35997</v>
      </c>
      <c r="G6954" s="18" t="str">
        <f>"56001"</f>
        <v>56001</v>
      </c>
      <c r="H6954" s="19" t="s">
        <v>33408</v>
      </c>
      <c r="I6954" s="20">
        <v>20.503</v>
      </c>
      <c r="J6954" s="44" t="s">
        <v>8</v>
      </c>
      <c r="K6954" s="23" t="s">
        <v>8</v>
      </c>
      <c r="L6954" s="23" t="s">
        <v>8</v>
      </c>
      <c r="M6954" s="23" t="s">
        <v>8</v>
      </c>
    </row>
    <row r="6955" spans="1:13" s="21" customFormat="1" x14ac:dyDescent="0.25">
      <c r="A6955" s="22" t="s">
        <v>8</v>
      </c>
      <c r="B6955" s="18" t="str">
        <f>"245509"</f>
        <v>245509</v>
      </c>
      <c r="C6955" s="19" t="s">
        <v>6854</v>
      </c>
      <c r="D6955" s="19" t="s">
        <v>22378</v>
      </c>
      <c r="E6955" s="19" t="s">
        <v>33467</v>
      </c>
      <c r="F6955" s="19" t="s">
        <v>35997</v>
      </c>
      <c r="G6955" s="18" t="str">
        <f>"55909"</f>
        <v>55909</v>
      </c>
      <c r="H6955" s="19" t="s">
        <v>36469</v>
      </c>
      <c r="I6955" s="20">
        <v>20.988</v>
      </c>
      <c r="J6955" s="44" t="s">
        <v>8</v>
      </c>
      <c r="K6955" s="23" t="s">
        <v>8</v>
      </c>
      <c r="L6955" s="23" t="s">
        <v>8</v>
      </c>
      <c r="M6955" s="23" t="s">
        <v>8</v>
      </c>
    </row>
    <row r="6956" spans="1:13" s="21" customFormat="1" x14ac:dyDescent="0.25">
      <c r="A6956" s="22" t="s">
        <v>8</v>
      </c>
      <c r="B6956" s="18" t="str">
        <f>"245510"</f>
        <v>245510</v>
      </c>
      <c r="C6956" s="19" t="s">
        <v>6855</v>
      </c>
      <c r="D6956" s="19" t="s">
        <v>22379</v>
      </c>
      <c r="E6956" s="19" t="s">
        <v>32217</v>
      </c>
      <c r="F6956" s="19" t="s">
        <v>35997</v>
      </c>
      <c r="G6956" s="18" t="str">
        <f>"56326"</f>
        <v>56326</v>
      </c>
      <c r="H6956" s="19" t="s">
        <v>30966</v>
      </c>
      <c r="I6956" s="20">
        <v>19.204000000000001</v>
      </c>
      <c r="J6956" s="44" t="s">
        <v>8</v>
      </c>
      <c r="K6956" s="23" t="s">
        <v>8</v>
      </c>
      <c r="L6956" s="23" t="s">
        <v>8</v>
      </c>
      <c r="M6956" s="23" t="s">
        <v>8</v>
      </c>
    </row>
    <row r="6957" spans="1:13" s="21" customFormat="1" x14ac:dyDescent="0.25">
      <c r="A6957" s="22" t="s">
        <v>8</v>
      </c>
      <c r="B6957" s="18" t="str">
        <f>"245511"</f>
        <v>245511</v>
      </c>
      <c r="C6957" s="19" t="s">
        <v>6856</v>
      </c>
      <c r="D6957" s="19" t="s">
        <v>22380</v>
      </c>
      <c r="E6957" s="19" t="s">
        <v>30986</v>
      </c>
      <c r="F6957" s="19" t="s">
        <v>35997</v>
      </c>
      <c r="G6957" s="18" t="str">
        <f>"55362"</f>
        <v>55362</v>
      </c>
      <c r="H6957" s="19" t="s">
        <v>36290</v>
      </c>
      <c r="I6957" s="20">
        <v>18.632000000000001</v>
      </c>
      <c r="J6957" s="44" t="s">
        <v>8</v>
      </c>
      <c r="K6957" s="23" t="s">
        <v>8</v>
      </c>
      <c r="L6957" s="23" t="s">
        <v>8</v>
      </c>
      <c r="M6957" s="23" t="s">
        <v>8</v>
      </c>
    </row>
    <row r="6958" spans="1:13" s="21" customFormat="1" x14ac:dyDescent="0.25">
      <c r="A6958" s="22" t="s">
        <v>8</v>
      </c>
      <c r="B6958" s="18" t="str">
        <f>"245512"</f>
        <v>245512</v>
      </c>
      <c r="C6958" s="19" t="s">
        <v>6857</v>
      </c>
      <c r="D6958" s="19" t="s">
        <v>22381</v>
      </c>
      <c r="E6958" s="19" t="s">
        <v>33468</v>
      </c>
      <c r="F6958" s="19" t="s">
        <v>35997</v>
      </c>
      <c r="G6958" s="18" t="str">
        <f>"56542"</f>
        <v>56542</v>
      </c>
      <c r="H6958" s="19" t="s">
        <v>36062</v>
      </c>
      <c r="I6958" s="20">
        <v>17.916</v>
      </c>
      <c r="J6958" s="44" t="s">
        <v>8</v>
      </c>
      <c r="K6958" s="23" t="s">
        <v>8</v>
      </c>
      <c r="L6958" s="23" t="s">
        <v>8</v>
      </c>
      <c r="M6958" s="23" t="s">
        <v>8</v>
      </c>
    </row>
    <row r="6959" spans="1:13" s="21" customFormat="1" x14ac:dyDescent="0.25">
      <c r="A6959" s="22" t="s">
        <v>8</v>
      </c>
      <c r="B6959" s="18" t="str">
        <f>"245513"</f>
        <v>245513</v>
      </c>
      <c r="C6959" s="19" t="s">
        <v>6858</v>
      </c>
      <c r="D6959" s="19" t="s">
        <v>22382</v>
      </c>
      <c r="E6959" s="19" t="s">
        <v>33453</v>
      </c>
      <c r="F6959" s="19" t="s">
        <v>35997</v>
      </c>
      <c r="G6959" s="18" t="str">
        <f>"55313"</f>
        <v>55313</v>
      </c>
      <c r="H6959" s="19" t="s">
        <v>36290</v>
      </c>
      <c r="I6959" s="20">
        <v>16.817</v>
      </c>
      <c r="J6959" s="44" t="s">
        <v>8</v>
      </c>
      <c r="K6959" s="23" t="s">
        <v>8</v>
      </c>
      <c r="L6959" s="23" t="s">
        <v>8</v>
      </c>
      <c r="M6959" s="23" t="s">
        <v>8</v>
      </c>
    </row>
    <row r="6960" spans="1:13" s="21" customFormat="1" x14ac:dyDescent="0.25">
      <c r="A6960" s="22" t="s">
        <v>8</v>
      </c>
      <c r="B6960" s="18" t="str">
        <f>"245514"</f>
        <v>245514</v>
      </c>
      <c r="C6960" s="19" t="s">
        <v>6859</v>
      </c>
      <c r="D6960" s="19" t="s">
        <v>22383</v>
      </c>
      <c r="E6960" s="19" t="s">
        <v>33469</v>
      </c>
      <c r="F6960" s="19" t="s">
        <v>35997</v>
      </c>
      <c r="G6960" s="18" t="str">
        <f>"56071"</f>
        <v>56071</v>
      </c>
      <c r="H6960" s="19" t="s">
        <v>36083</v>
      </c>
      <c r="I6960" s="20">
        <v>19.882000000000001</v>
      </c>
      <c r="J6960" s="44" t="s">
        <v>8</v>
      </c>
      <c r="K6960" s="23" t="s">
        <v>8</v>
      </c>
      <c r="L6960" s="23" t="s">
        <v>8</v>
      </c>
      <c r="M6960" s="23" t="s">
        <v>8</v>
      </c>
    </row>
    <row r="6961" spans="1:13" s="21" customFormat="1" x14ac:dyDescent="0.25">
      <c r="A6961" s="22" t="s">
        <v>8</v>
      </c>
      <c r="B6961" s="18" t="str">
        <f>"245516"</f>
        <v>245516</v>
      </c>
      <c r="C6961" s="19" t="s">
        <v>6860</v>
      </c>
      <c r="D6961" s="19" t="s">
        <v>22384</v>
      </c>
      <c r="E6961" s="19" t="s">
        <v>33419</v>
      </c>
      <c r="F6961" s="19" t="s">
        <v>35997</v>
      </c>
      <c r="G6961" s="18" t="str">
        <f>"56001"</f>
        <v>56001</v>
      </c>
      <c r="H6961" s="19" t="s">
        <v>33408</v>
      </c>
      <c r="I6961" s="20">
        <v>19.934000000000001</v>
      </c>
      <c r="J6961" s="44" t="s">
        <v>8</v>
      </c>
      <c r="K6961" s="23" t="s">
        <v>8</v>
      </c>
      <c r="L6961" s="23" t="s">
        <v>8</v>
      </c>
      <c r="M6961" s="23" t="s">
        <v>8</v>
      </c>
    </row>
    <row r="6962" spans="1:13" s="21" customFormat="1" x14ac:dyDescent="0.25">
      <c r="A6962" s="22" t="s">
        <v>8</v>
      </c>
      <c r="B6962" s="18" t="str">
        <f>"245517"</f>
        <v>245517</v>
      </c>
      <c r="C6962" s="19" t="s">
        <v>6861</v>
      </c>
      <c r="D6962" s="19" t="s">
        <v>22385</v>
      </c>
      <c r="E6962" s="19" t="s">
        <v>33419</v>
      </c>
      <c r="F6962" s="19" t="s">
        <v>35997</v>
      </c>
      <c r="G6962" s="18" t="str">
        <f>"56001"</f>
        <v>56001</v>
      </c>
      <c r="H6962" s="19" t="s">
        <v>33408</v>
      </c>
      <c r="I6962" s="20">
        <v>15.843999999999999</v>
      </c>
      <c r="J6962" s="44" t="s">
        <v>8</v>
      </c>
      <c r="K6962" s="23" t="s">
        <v>8</v>
      </c>
      <c r="L6962" s="23" t="s">
        <v>8</v>
      </c>
      <c r="M6962" s="23" t="s">
        <v>8</v>
      </c>
    </row>
    <row r="6963" spans="1:13" s="21" customFormat="1" x14ac:dyDescent="0.25">
      <c r="A6963" s="22" t="s">
        <v>8</v>
      </c>
      <c r="B6963" s="18" t="str">
        <f>"245518"</f>
        <v>245518</v>
      </c>
      <c r="C6963" s="19" t="s">
        <v>6862</v>
      </c>
      <c r="D6963" s="19" t="s">
        <v>22386</v>
      </c>
      <c r="E6963" s="19" t="s">
        <v>33330</v>
      </c>
      <c r="F6963" s="19" t="s">
        <v>35997</v>
      </c>
      <c r="G6963" s="18" t="str">
        <f>"55428"</f>
        <v>55428</v>
      </c>
      <c r="H6963" s="19" t="s">
        <v>36451</v>
      </c>
      <c r="I6963" s="20">
        <v>17.07</v>
      </c>
      <c r="J6963" s="44" t="s">
        <v>8</v>
      </c>
      <c r="K6963" s="23" t="s">
        <v>8</v>
      </c>
      <c r="L6963" s="23" t="s">
        <v>8</v>
      </c>
      <c r="M6963" s="23" t="s">
        <v>8</v>
      </c>
    </row>
    <row r="6964" spans="1:13" s="21" customFormat="1" x14ac:dyDescent="0.25">
      <c r="A6964" s="22" t="s">
        <v>8</v>
      </c>
      <c r="B6964" s="18" t="str">
        <f>"245519"</f>
        <v>245519</v>
      </c>
      <c r="C6964" s="19" t="s">
        <v>6863</v>
      </c>
      <c r="D6964" s="19" t="s">
        <v>22387</v>
      </c>
      <c r="E6964" s="19" t="s">
        <v>33332</v>
      </c>
      <c r="F6964" s="19" t="s">
        <v>35997</v>
      </c>
      <c r="G6964" s="18" t="str">
        <f>"55422"</f>
        <v>55422</v>
      </c>
      <c r="H6964" s="19" t="s">
        <v>36451</v>
      </c>
      <c r="I6964" s="20">
        <v>19.82</v>
      </c>
      <c r="J6964" s="44" t="s">
        <v>8</v>
      </c>
      <c r="K6964" s="23" t="s">
        <v>8</v>
      </c>
      <c r="L6964" s="23" t="s">
        <v>8</v>
      </c>
      <c r="M6964" s="23" t="s">
        <v>8</v>
      </c>
    </row>
    <row r="6965" spans="1:13" s="21" customFormat="1" x14ac:dyDescent="0.25">
      <c r="A6965" s="22" t="s">
        <v>8</v>
      </c>
      <c r="B6965" s="18" t="str">
        <f>"245520"</f>
        <v>245520</v>
      </c>
      <c r="C6965" s="19" t="s">
        <v>6864</v>
      </c>
      <c r="D6965" s="19" t="s">
        <v>22388</v>
      </c>
      <c r="E6965" s="19" t="s">
        <v>32601</v>
      </c>
      <c r="F6965" s="19" t="s">
        <v>35997</v>
      </c>
      <c r="G6965" s="18" t="str">
        <f>"55408"</f>
        <v>55408</v>
      </c>
      <c r="H6965" s="19" t="s">
        <v>36451</v>
      </c>
      <c r="I6965" s="20">
        <v>19.704999999999998</v>
      </c>
      <c r="J6965" s="44" t="s">
        <v>8</v>
      </c>
      <c r="K6965" s="23" t="s">
        <v>8</v>
      </c>
      <c r="L6965" s="23" t="s">
        <v>8</v>
      </c>
      <c r="M6965" s="23" t="s">
        <v>8</v>
      </c>
    </row>
    <row r="6966" spans="1:13" s="21" customFormat="1" x14ac:dyDescent="0.25">
      <c r="A6966" s="22" t="s">
        <v>8</v>
      </c>
      <c r="B6966" s="18" t="str">
        <f>"245521"</f>
        <v>245521</v>
      </c>
      <c r="C6966" s="19" t="s">
        <v>6865</v>
      </c>
      <c r="D6966" s="19" t="s">
        <v>22389</v>
      </c>
      <c r="E6966" s="19" t="s">
        <v>33470</v>
      </c>
      <c r="F6966" s="19" t="s">
        <v>35997</v>
      </c>
      <c r="G6966" s="18" t="str">
        <f>"56440"</f>
        <v>56440</v>
      </c>
      <c r="H6966" s="19" t="s">
        <v>36350</v>
      </c>
      <c r="I6966" s="20">
        <v>18.417000000000002</v>
      </c>
      <c r="J6966" s="44" t="s">
        <v>8</v>
      </c>
      <c r="K6966" s="23" t="s">
        <v>8</v>
      </c>
      <c r="L6966" s="23" t="s">
        <v>8</v>
      </c>
      <c r="M6966" s="23" t="s">
        <v>8</v>
      </c>
    </row>
    <row r="6967" spans="1:13" s="21" customFormat="1" x14ac:dyDescent="0.25">
      <c r="A6967" s="22" t="s">
        <v>8</v>
      </c>
      <c r="B6967" s="18" t="str">
        <f>"245522"</f>
        <v>245522</v>
      </c>
      <c r="C6967" s="19" t="s">
        <v>6866</v>
      </c>
      <c r="D6967" s="19" t="s">
        <v>22390</v>
      </c>
      <c r="E6967" s="19" t="s">
        <v>33471</v>
      </c>
      <c r="F6967" s="19" t="s">
        <v>35997</v>
      </c>
      <c r="G6967" s="18" t="str">
        <f>"56062"</f>
        <v>56062</v>
      </c>
      <c r="H6967" s="19" t="s">
        <v>36479</v>
      </c>
      <c r="I6967" s="20">
        <v>18.536999999999999</v>
      </c>
      <c r="J6967" s="44" t="s">
        <v>8</v>
      </c>
      <c r="K6967" s="23" t="s">
        <v>8</v>
      </c>
      <c r="L6967" s="23" t="s">
        <v>8</v>
      </c>
      <c r="M6967" s="23" t="s">
        <v>8</v>
      </c>
    </row>
    <row r="6968" spans="1:13" s="21" customFormat="1" x14ac:dyDescent="0.25">
      <c r="A6968" s="22" t="s">
        <v>8</v>
      </c>
      <c r="B6968" s="18" t="str">
        <f>"245523"</f>
        <v>245523</v>
      </c>
      <c r="C6968" s="19" t="s">
        <v>6867</v>
      </c>
      <c r="D6968" s="19" t="s">
        <v>22391</v>
      </c>
      <c r="E6968" s="19" t="s">
        <v>33472</v>
      </c>
      <c r="F6968" s="19" t="s">
        <v>35997</v>
      </c>
      <c r="G6968" s="18" t="str">
        <f>"56634"</f>
        <v>56634</v>
      </c>
      <c r="H6968" s="19" t="s">
        <v>31551</v>
      </c>
      <c r="I6968" s="20">
        <v>19.099</v>
      </c>
      <c r="J6968" s="44" t="s">
        <v>8</v>
      </c>
      <c r="K6968" s="23" t="s">
        <v>8</v>
      </c>
      <c r="L6968" s="23" t="s">
        <v>8</v>
      </c>
      <c r="M6968" s="23" t="s">
        <v>8</v>
      </c>
    </row>
    <row r="6969" spans="1:13" s="21" customFormat="1" x14ac:dyDescent="0.25">
      <c r="A6969" s="22" t="s">
        <v>8</v>
      </c>
      <c r="B6969" s="18" t="str">
        <f>"245528"</f>
        <v>245528</v>
      </c>
      <c r="C6969" s="19" t="s">
        <v>6868</v>
      </c>
      <c r="D6969" s="19" t="s">
        <v>22392</v>
      </c>
      <c r="E6969" s="19" t="s">
        <v>33473</v>
      </c>
      <c r="F6969" s="19" t="s">
        <v>35997</v>
      </c>
      <c r="G6969" s="18" t="str">
        <f>"55939"</f>
        <v>55939</v>
      </c>
      <c r="H6969" s="19" t="s">
        <v>35716</v>
      </c>
      <c r="I6969" s="20">
        <v>18.033999999999999</v>
      </c>
      <c r="J6969" s="44" t="s">
        <v>8</v>
      </c>
      <c r="K6969" s="23" t="s">
        <v>8</v>
      </c>
      <c r="L6969" s="23" t="s">
        <v>8</v>
      </c>
      <c r="M6969" s="23" t="s">
        <v>8</v>
      </c>
    </row>
    <row r="6970" spans="1:13" s="21" customFormat="1" x14ac:dyDescent="0.25">
      <c r="A6970" s="22" t="s">
        <v>8</v>
      </c>
      <c r="B6970" s="18" t="str">
        <f>"245529"</f>
        <v>245529</v>
      </c>
      <c r="C6970" s="19" t="s">
        <v>6869</v>
      </c>
      <c r="D6970" s="19" t="s">
        <v>22393</v>
      </c>
      <c r="E6970" s="19" t="s">
        <v>33474</v>
      </c>
      <c r="F6970" s="19" t="s">
        <v>35997</v>
      </c>
      <c r="G6970" s="18" t="str">
        <f>"56628"</f>
        <v>56628</v>
      </c>
      <c r="H6970" s="19" t="s">
        <v>32089</v>
      </c>
      <c r="I6970" s="20">
        <v>19.957999999999998</v>
      </c>
      <c r="J6970" s="44" t="s">
        <v>8</v>
      </c>
      <c r="K6970" s="23" t="s">
        <v>8</v>
      </c>
      <c r="L6970" s="23" t="s">
        <v>8</v>
      </c>
      <c r="M6970" s="23" t="s">
        <v>8</v>
      </c>
    </row>
    <row r="6971" spans="1:13" s="21" customFormat="1" x14ac:dyDescent="0.25">
      <c r="A6971" s="22" t="s">
        <v>8</v>
      </c>
      <c r="B6971" s="18" t="str">
        <f>"245530"</f>
        <v>245530</v>
      </c>
      <c r="C6971" s="19" t="s">
        <v>6870</v>
      </c>
      <c r="D6971" s="19" t="s">
        <v>22394</v>
      </c>
      <c r="E6971" s="19" t="s">
        <v>32267</v>
      </c>
      <c r="F6971" s="19" t="s">
        <v>35997</v>
      </c>
      <c r="G6971" s="18" t="str">
        <f>"55901"</f>
        <v>55901</v>
      </c>
      <c r="H6971" s="19" t="s">
        <v>36455</v>
      </c>
      <c r="I6971" s="20">
        <v>17.222000000000001</v>
      </c>
      <c r="J6971" s="44" t="s">
        <v>8</v>
      </c>
      <c r="K6971" s="23" t="s">
        <v>8</v>
      </c>
      <c r="L6971" s="23" t="s">
        <v>8</v>
      </c>
      <c r="M6971" s="23" t="s">
        <v>8</v>
      </c>
    </row>
    <row r="6972" spans="1:13" s="21" customFormat="1" x14ac:dyDescent="0.25">
      <c r="A6972" s="22" t="s">
        <v>8</v>
      </c>
      <c r="B6972" s="18" t="str">
        <f>"245532"</f>
        <v>245532</v>
      </c>
      <c r="C6972" s="19" t="s">
        <v>6871</v>
      </c>
      <c r="D6972" s="19" t="s">
        <v>22395</v>
      </c>
      <c r="E6972" s="19" t="s">
        <v>33426</v>
      </c>
      <c r="F6972" s="19" t="s">
        <v>35997</v>
      </c>
      <c r="G6972" s="18" t="str">
        <f>"56201"</f>
        <v>56201</v>
      </c>
      <c r="H6972" s="19" t="s">
        <v>36473</v>
      </c>
      <c r="I6972" s="20">
        <v>20.411999999999999</v>
      </c>
      <c r="J6972" s="44" t="s">
        <v>8</v>
      </c>
      <c r="K6972" s="23" t="s">
        <v>8</v>
      </c>
      <c r="L6972" s="23" t="s">
        <v>8</v>
      </c>
      <c r="M6972" s="23" t="s">
        <v>8</v>
      </c>
    </row>
    <row r="6973" spans="1:13" s="21" customFormat="1" x14ac:dyDescent="0.25">
      <c r="A6973" s="22" t="s">
        <v>8</v>
      </c>
      <c r="B6973" s="18" t="str">
        <f>"245533"</f>
        <v>245533</v>
      </c>
      <c r="C6973" s="19" t="s">
        <v>6872</v>
      </c>
      <c r="D6973" s="19" t="s">
        <v>22396</v>
      </c>
      <c r="E6973" s="19" t="s">
        <v>33475</v>
      </c>
      <c r="F6973" s="19" t="s">
        <v>35997</v>
      </c>
      <c r="G6973" s="18" t="str">
        <f>"55325"</f>
        <v>55325</v>
      </c>
      <c r="H6973" s="19" t="s">
        <v>34685</v>
      </c>
      <c r="I6973" s="20">
        <v>18.86</v>
      </c>
      <c r="J6973" s="44" t="s">
        <v>8</v>
      </c>
      <c r="K6973" s="23" t="s">
        <v>8</v>
      </c>
      <c r="L6973" s="23" t="s">
        <v>8</v>
      </c>
      <c r="M6973" s="23" t="s">
        <v>8</v>
      </c>
    </row>
    <row r="6974" spans="1:13" s="21" customFormat="1" x14ac:dyDescent="0.25">
      <c r="A6974" s="22" t="s">
        <v>8</v>
      </c>
      <c r="B6974" s="18" t="str">
        <f>"245534"</f>
        <v>245534</v>
      </c>
      <c r="C6974" s="19" t="s">
        <v>6873</v>
      </c>
      <c r="D6974" s="19" t="s">
        <v>22397</v>
      </c>
      <c r="E6974" s="19" t="s">
        <v>32650</v>
      </c>
      <c r="F6974" s="19" t="s">
        <v>35997</v>
      </c>
      <c r="G6974" s="18" t="str">
        <f>"55101"</f>
        <v>55101</v>
      </c>
      <c r="H6974" s="19" t="s">
        <v>36449</v>
      </c>
      <c r="I6974" s="20">
        <v>16.957000000000001</v>
      </c>
      <c r="J6974" s="44" t="s">
        <v>8</v>
      </c>
      <c r="K6974" s="23" t="s">
        <v>8</v>
      </c>
      <c r="L6974" s="23" t="s">
        <v>8</v>
      </c>
      <c r="M6974" s="23" t="s">
        <v>8</v>
      </c>
    </row>
    <row r="6975" spans="1:13" s="21" customFormat="1" x14ac:dyDescent="0.25">
      <c r="A6975" s="22" t="s">
        <v>8</v>
      </c>
      <c r="B6975" s="18" t="str">
        <f>"245535"</f>
        <v>245535</v>
      </c>
      <c r="C6975" s="19" t="s">
        <v>6874</v>
      </c>
      <c r="D6975" s="19" t="s">
        <v>22398</v>
      </c>
      <c r="E6975" s="19" t="s">
        <v>33476</v>
      </c>
      <c r="F6975" s="19" t="s">
        <v>35997</v>
      </c>
      <c r="G6975" s="18" t="str">
        <f>"56671"</f>
        <v>56671</v>
      </c>
      <c r="H6975" s="19" t="s">
        <v>36450</v>
      </c>
      <c r="I6975" s="20">
        <v>18.841999999999999</v>
      </c>
      <c r="J6975" s="44" t="s">
        <v>8</v>
      </c>
      <c r="K6975" s="23" t="s">
        <v>8</v>
      </c>
      <c r="L6975" s="23" t="s">
        <v>8</v>
      </c>
      <c r="M6975" s="23" t="s">
        <v>8</v>
      </c>
    </row>
    <row r="6976" spans="1:13" s="21" customFormat="1" x14ac:dyDescent="0.25">
      <c r="A6976" s="22" t="s">
        <v>8</v>
      </c>
      <c r="B6976" s="18" t="str">
        <f>"245536"</f>
        <v>245536</v>
      </c>
      <c r="C6976" s="19" t="s">
        <v>6875</v>
      </c>
      <c r="D6976" s="19" t="s">
        <v>22399</v>
      </c>
      <c r="E6976" s="19" t="s">
        <v>33477</v>
      </c>
      <c r="F6976" s="19" t="s">
        <v>35997</v>
      </c>
      <c r="G6976" s="18" t="str">
        <f>"55954"</f>
        <v>55954</v>
      </c>
      <c r="H6976" s="19" t="s">
        <v>35716</v>
      </c>
      <c r="I6976" s="20">
        <v>17.155000000000001</v>
      </c>
      <c r="J6976" s="44" t="s">
        <v>8</v>
      </c>
      <c r="K6976" s="23" t="s">
        <v>8</v>
      </c>
      <c r="L6976" s="23" t="s">
        <v>8</v>
      </c>
      <c r="M6976" s="23" t="s">
        <v>8</v>
      </c>
    </row>
    <row r="6977" spans="1:13" s="21" customFormat="1" x14ac:dyDescent="0.25">
      <c r="A6977" s="22" t="s">
        <v>8</v>
      </c>
      <c r="B6977" s="18" t="str">
        <f>"245537"</f>
        <v>245537</v>
      </c>
      <c r="C6977" s="19" t="s">
        <v>6876</v>
      </c>
      <c r="D6977" s="19" t="s">
        <v>22400</v>
      </c>
      <c r="E6977" s="19" t="s">
        <v>33478</v>
      </c>
      <c r="F6977" s="19" t="s">
        <v>35997</v>
      </c>
      <c r="G6977" s="18" t="str">
        <f>"56381"</f>
        <v>56381</v>
      </c>
      <c r="H6977" s="19" t="s">
        <v>36077</v>
      </c>
      <c r="I6977" s="20">
        <v>17.638999999999999</v>
      </c>
      <c r="J6977" s="44" t="s">
        <v>8</v>
      </c>
      <c r="K6977" s="23" t="s">
        <v>8</v>
      </c>
      <c r="L6977" s="23" t="s">
        <v>8</v>
      </c>
      <c r="M6977" s="23" t="s">
        <v>8</v>
      </c>
    </row>
    <row r="6978" spans="1:13" s="21" customFormat="1" x14ac:dyDescent="0.25">
      <c r="A6978" s="22" t="s">
        <v>8</v>
      </c>
      <c r="B6978" s="18" t="str">
        <f>"245540"</f>
        <v>245540</v>
      </c>
      <c r="C6978" s="19" t="s">
        <v>6877</v>
      </c>
      <c r="D6978" s="19" t="s">
        <v>22401</v>
      </c>
      <c r="E6978" s="19" t="s">
        <v>33479</v>
      </c>
      <c r="F6978" s="19" t="s">
        <v>35997</v>
      </c>
      <c r="G6978" s="18" t="str">
        <f>"56551"</f>
        <v>56551</v>
      </c>
      <c r="H6978" s="19" t="s">
        <v>36474</v>
      </c>
      <c r="I6978" s="20">
        <v>18.53</v>
      </c>
      <c r="J6978" s="44" t="s">
        <v>8</v>
      </c>
      <c r="K6978" s="23" t="s">
        <v>8</v>
      </c>
      <c r="L6978" s="23" t="s">
        <v>8</v>
      </c>
      <c r="M6978" s="23" t="s">
        <v>8</v>
      </c>
    </row>
    <row r="6979" spans="1:13" s="21" customFormat="1" x14ac:dyDescent="0.25">
      <c r="A6979" s="22" t="s">
        <v>8</v>
      </c>
      <c r="B6979" s="18" t="str">
        <f>"245542"</f>
        <v>245542</v>
      </c>
      <c r="C6979" s="19" t="s">
        <v>6878</v>
      </c>
      <c r="D6979" s="19" t="s">
        <v>22402</v>
      </c>
      <c r="E6979" s="19" t="s">
        <v>33480</v>
      </c>
      <c r="F6979" s="19" t="s">
        <v>35997</v>
      </c>
      <c r="G6979" s="18" t="str">
        <f>"56653"</f>
        <v>56653</v>
      </c>
      <c r="H6979" s="19" t="s">
        <v>36470</v>
      </c>
      <c r="I6979" s="20">
        <v>18.381</v>
      </c>
      <c r="J6979" s="44" t="s">
        <v>8</v>
      </c>
      <c r="K6979" s="23" t="s">
        <v>8</v>
      </c>
      <c r="L6979" s="23" t="s">
        <v>8</v>
      </c>
      <c r="M6979" s="23" t="s">
        <v>8</v>
      </c>
    </row>
    <row r="6980" spans="1:13" s="21" customFormat="1" x14ac:dyDescent="0.25">
      <c r="A6980" s="22" t="s">
        <v>8</v>
      </c>
      <c r="B6980" s="18" t="str">
        <f>"245544"</f>
        <v>245544</v>
      </c>
      <c r="C6980" s="19" t="s">
        <v>6879</v>
      </c>
      <c r="D6980" s="19" t="s">
        <v>22403</v>
      </c>
      <c r="E6980" s="19" t="s">
        <v>32601</v>
      </c>
      <c r="F6980" s="19" t="s">
        <v>35997</v>
      </c>
      <c r="G6980" s="18" t="str">
        <f>"55430"</f>
        <v>55430</v>
      </c>
      <c r="H6980" s="19" t="s">
        <v>36451</v>
      </c>
      <c r="I6980" s="20">
        <v>19.34</v>
      </c>
      <c r="J6980" s="44" t="s">
        <v>8</v>
      </c>
      <c r="K6980" s="23" t="s">
        <v>8</v>
      </c>
      <c r="L6980" s="23" t="s">
        <v>8</v>
      </c>
      <c r="M6980" s="23" t="s">
        <v>8</v>
      </c>
    </row>
    <row r="6981" spans="1:13" s="21" customFormat="1" x14ac:dyDescent="0.25">
      <c r="A6981" s="22" t="s">
        <v>8</v>
      </c>
      <c r="B6981" s="18" t="str">
        <f>"245545"</f>
        <v>245545</v>
      </c>
      <c r="C6981" s="19" t="s">
        <v>6880</v>
      </c>
      <c r="D6981" s="19" t="s">
        <v>22404</v>
      </c>
      <c r="E6981" s="19" t="s">
        <v>33481</v>
      </c>
      <c r="F6981" s="19" t="s">
        <v>35997</v>
      </c>
      <c r="G6981" s="18" t="str">
        <f>"56540"</f>
        <v>56540</v>
      </c>
      <c r="H6981" s="19" t="s">
        <v>36062</v>
      </c>
      <c r="I6981" s="20">
        <v>19.260999999999999</v>
      </c>
      <c r="J6981" s="44" t="s">
        <v>8</v>
      </c>
      <c r="K6981" s="23" t="s">
        <v>8</v>
      </c>
      <c r="L6981" s="23" t="s">
        <v>8</v>
      </c>
      <c r="M6981" s="23" t="s">
        <v>8</v>
      </c>
    </row>
    <row r="6982" spans="1:13" s="21" customFormat="1" x14ac:dyDescent="0.25">
      <c r="A6982" s="22" t="s">
        <v>8</v>
      </c>
      <c r="B6982" s="18" t="str">
        <f>"245546"</f>
        <v>245546</v>
      </c>
      <c r="C6982" s="19" t="s">
        <v>6881</v>
      </c>
      <c r="D6982" s="19" t="s">
        <v>22405</v>
      </c>
      <c r="E6982" s="19" t="s">
        <v>31465</v>
      </c>
      <c r="F6982" s="19" t="s">
        <v>35997</v>
      </c>
      <c r="G6982" s="18" t="str">
        <f>"55441"</f>
        <v>55441</v>
      </c>
      <c r="H6982" s="19" t="s">
        <v>36451</v>
      </c>
      <c r="I6982" s="20">
        <v>17.266999999999999</v>
      </c>
      <c r="J6982" s="44" t="s">
        <v>8</v>
      </c>
      <c r="K6982" s="23" t="s">
        <v>8</v>
      </c>
      <c r="L6982" s="23" t="s">
        <v>8</v>
      </c>
      <c r="M6982" s="23" t="s">
        <v>8</v>
      </c>
    </row>
    <row r="6983" spans="1:13" s="21" customFormat="1" x14ac:dyDescent="0.25">
      <c r="A6983" s="22" t="s">
        <v>8</v>
      </c>
      <c r="B6983" s="18" t="str">
        <f>"245547"</f>
        <v>245547</v>
      </c>
      <c r="C6983" s="19" t="s">
        <v>6882</v>
      </c>
      <c r="D6983" s="19" t="s">
        <v>22406</v>
      </c>
      <c r="E6983" s="19" t="s">
        <v>31844</v>
      </c>
      <c r="F6983" s="19" t="s">
        <v>35997</v>
      </c>
      <c r="G6983" s="18" t="str">
        <f>"56110"</f>
        <v>56110</v>
      </c>
      <c r="H6983" s="19" t="s">
        <v>36447</v>
      </c>
      <c r="I6983" s="20">
        <v>19.472000000000001</v>
      </c>
      <c r="J6983" s="44" t="s">
        <v>8</v>
      </c>
      <c r="K6983" s="23" t="s">
        <v>8</v>
      </c>
      <c r="L6983" s="23" t="s">
        <v>8</v>
      </c>
      <c r="M6983" s="23" t="s">
        <v>8</v>
      </c>
    </row>
    <row r="6984" spans="1:13" s="21" customFormat="1" x14ac:dyDescent="0.25">
      <c r="A6984" s="22" t="s">
        <v>8</v>
      </c>
      <c r="B6984" s="18" t="str">
        <f>"245548"</f>
        <v>245548</v>
      </c>
      <c r="C6984" s="19" t="s">
        <v>6883</v>
      </c>
      <c r="D6984" s="19" t="s">
        <v>22407</v>
      </c>
      <c r="E6984" s="19" t="s">
        <v>33482</v>
      </c>
      <c r="F6984" s="19" t="s">
        <v>35997</v>
      </c>
      <c r="G6984" s="18" t="str">
        <f>"56138"</f>
        <v>56138</v>
      </c>
      <c r="H6984" s="19" t="s">
        <v>36480</v>
      </c>
      <c r="I6984" s="20">
        <v>18.317</v>
      </c>
      <c r="J6984" s="44" t="s">
        <v>8</v>
      </c>
      <c r="K6984" s="23" t="s">
        <v>8</v>
      </c>
      <c r="L6984" s="23" t="s">
        <v>8</v>
      </c>
      <c r="M6984" s="23" t="s">
        <v>8</v>
      </c>
    </row>
    <row r="6985" spans="1:13" s="21" customFormat="1" x14ac:dyDescent="0.25">
      <c r="A6985" s="22" t="s">
        <v>8</v>
      </c>
      <c r="B6985" s="18" t="str">
        <f>"245549"</f>
        <v>245549</v>
      </c>
      <c r="C6985" s="19" t="s">
        <v>6884</v>
      </c>
      <c r="D6985" s="19" t="s">
        <v>22408</v>
      </c>
      <c r="E6985" s="19" t="s">
        <v>33483</v>
      </c>
      <c r="F6985" s="19" t="s">
        <v>35997</v>
      </c>
      <c r="G6985" s="18" t="str">
        <f>"56159"</f>
        <v>56159</v>
      </c>
      <c r="H6985" s="19" t="s">
        <v>30947</v>
      </c>
      <c r="I6985" s="20">
        <v>19.762</v>
      </c>
      <c r="J6985" s="44" t="s">
        <v>8</v>
      </c>
      <c r="K6985" s="23" t="s">
        <v>8</v>
      </c>
      <c r="L6985" s="23" t="s">
        <v>8</v>
      </c>
      <c r="M6985" s="23" t="s">
        <v>8</v>
      </c>
    </row>
    <row r="6986" spans="1:13" s="21" customFormat="1" x14ac:dyDescent="0.25">
      <c r="A6986" s="22" t="s">
        <v>8</v>
      </c>
      <c r="B6986" s="18" t="str">
        <f>"245550"</f>
        <v>245550</v>
      </c>
      <c r="C6986" s="19" t="s">
        <v>6885</v>
      </c>
      <c r="D6986" s="19" t="s">
        <v>22409</v>
      </c>
      <c r="E6986" s="19" t="s">
        <v>31025</v>
      </c>
      <c r="F6986" s="19" t="s">
        <v>35997</v>
      </c>
      <c r="G6986" s="18" t="str">
        <f>"56762"</f>
        <v>56762</v>
      </c>
      <c r="H6986" s="19" t="s">
        <v>31063</v>
      </c>
      <c r="I6986" s="20">
        <v>19.978999999999999</v>
      </c>
      <c r="J6986" s="44" t="s">
        <v>8</v>
      </c>
      <c r="K6986" s="23" t="s">
        <v>8</v>
      </c>
      <c r="L6986" s="23" t="s">
        <v>8</v>
      </c>
      <c r="M6986" s="23" t="s">
        <v>8</v>
      </c>
    </row>
    <row r="6987" spans="1:13" s="21" customFormat="1" x14ac:dyDescent="0.25">
      <c r="A6987" s="22" t="s">
        <v>8</v>
      </c>
      <c r="B6987" s="18" t="str">
        <f>"245551"</f>
        <v>245551</v>
      </c>
      <c r="C6987" s="19" t="s">
        <v>6886</v>
      </c>
      <c r="D6987" s="19" t="s">
        <v>22410</v>
      </c>
      <c r="E6987" s="19" t="s">
        <v>33484</v>
      </c>
      <c r="F6987" s="19" t="s">
        <v>35997</v>
      </c>
      <c r="G6987" s="18" t="str">
        <f>"56223"</f>
        <v>56223</v>
      </c>
      <c r="H6987" s="19" t="s">
        <v>36463</v>
      </c>
      <c r="I6987" s="20">
        <v>19.832999999999998</v>
      </c>
      <c r="J6987" s="44" t="s">
        <v>8</v>
      </c>
      <c r="K6987" s="23" t="s">
        <v>8</v>
      </c>
      <c r="L6987" s="23" t="s">
        <v>8</v>
      </c>
      <c r="M6987" s="23" t="s">
        <v>8</v>
      </c>
    </row>
    <row r="6988" spans="1:13" s="21" customFormat="1" x14ac:dyDescent="0.25">
      <c r="A6988" s="22" t="s">
        <v>8</v>
      </c>
      <c r="B6988" s="18" t="str">
        <f>"245552"</f>
        <v>245552</v>
      </c>
      <c r="C6988" s="19" t="s">
        <v>6887</v>
      </c>
      <c r="D6988" s="19" t="s">
        <v>22411</v>
      </c>
      <c r="E6988" s="19" t="s">
        <v>33485</v>
      </c>
      <c r="F6988" s="19" t="s">
        <v>35997</v>
      </c>
      <c r="G6988" s="18" t="str">
        <f>"56115"</f>
        <v>56115</v>
      </c>
      <c r="H6988" s="19" t="s">
        <v>36274</v>
      </c>
      <c r="I6988" s="20">
        <v>18.547000000000001</v>
      </c>
      <c r="J6988" s="44" t="s">
        <v>8</v>
      </c>
      <c r="K6988" s="23" t="s">
        <v>8</v>
      </c>
      <c r="L6988" s="23" t="s">
        <v>8</v>
      </c>
      <c r="M6988" s="23" t="s">
        <v>8</v>
      </c>
    </row>
    <row r="6989" spans="1:13" s="21" customFormat="1" x14ac:dyDescent="0.25">
      <c r="A6989" s="22" t="s">
        <v>8</v>
      </c>
      <c r="B6989" s="18" t="str">
        <f>"245553"</f>
        <v>245553</v>
      </c>
      <c r="C6989" s="19" t="s">
        <v>6888</v>
      </c>
      <c r="D6989" s="19" t="s">
        <v>22412</v>
      </c>
      <c r="E6989" s="19" t="s">
        <v>32587</v>
      </c>
      <c r="F6989" s="19" t="s">
        <v>35997</v>
      </c>
      <c r="G6989" s="18" t="str">
        <f>"56129"</f>
        <v>56129</v>
      </c>
      <c r="H6989" s="19" t="s">
        <v>36447</v>
      </c>
      <c r="I6989" s="20">
        <v>18.829999999999998</v>
      </c>
      <c r="J6989" s="44" t="s">
        <v>8</v>
      </c>
      <c r="K6989" s="23" t="s">
        <v>8</v>
      </c>
      <c r="L6989" s="23" t="s">
        <v>8</v>
      </c>
      <c r="M6989" s="23" t="s">
        <v>8</v>
      </c>
    </row>
    <row r="6990" spans="1:13" s="21" customFormat="1" x14ac:dyDescent="0.25">
      <c r="A6990" s="22" t="s">
        <v>8</v>
      </c>
      <c r="B6990" s="18" t="str">
        <f>"245554"</f>
        <v>245554</v>
      </c>
      <c r="C6990" s="19" t="s">
        <v>6889</v>
      </c>
      <c r="D6990" s="19" t="s">
        <v>22413</v>
      </c>
      <c r="E6990" s="19" t="s">
        <v>33486</v>
      </c>
      <c r="F6990" s="19" t="s">
        <v>35997</v>
      </c>
      <c r="G6990" s="18" t="str">
        <f>"56284"</f>
        <v>56284</v>
      </c>
      <c r="H6990" s="19" t="s">
        <v>33486</v>
      </c>
      <c r="I6990" s="20">
        <v>18.309999999999999</v>
      </c>
      <c r="J6990" s="44" t="s">
        <v>8</v>
      </c>
      <c r="K6990" s="23" t="s">
        <v>8</v>
      </c>
      <c r="L6990" s="23" t="s">
        <v>8</v>
      </c>
      <c r="M6990" s="23" t="s">
        <v>8</v>
      </c>
    </row>
    <row r="6991" spans="1:13" s="21" customFormat="1" x14ac:dyDescent="0.25">
      <c r="A6991" s="22" t="s">
        <v>8</v>
      </c>
      <c r="B6991" s="18" t="str">
        <f>"245556"</f>
        <v>245556</v>
      </c>
      <c r="C6991" s="19" t="s">
        <v>6890</v>
      </c>
      <c r="D6991" s="19" t="s">
        <v>22414</v>
      </c>
      <c r="E6991" s="19" t="s">
        <v>31919</v>
      </c>
      <c r="F6991" s="19" t="s">
        <v>35997</v>
      </c>
      <c r="G6991" s="18" t="str">
        <f>"55431"</f>
        <v>55431</v>
      </c>
      <c r="H6991" s="19" t="s">
        <v>36451</v>
      </c>
      <c r="I6991" s="20">
        <v>17.021000000000001</v>
      </c>
      <c r="J6991" s="44" t="s">
        <v>8</v>
      </c>
      <c r="K6991" s="23" t="s">
        <v>8</v>
      </c>
      <c r="L6991" s="23" t="s">
        <v>8</v>
      </c>
      <c r="M6991" s="23" t="s">
        <v>8</v>
      </c>
    </row>
    <row r="6992" spans="1:13" s="21" customFormat="1" x14ac:dyDescent="0.25">
      <c r="A6992" s="22" t="s">
        <v>8</v>
      </c>
      <c r="B6992" s="18" t="str">
        <f>"245558"</f>
        <v>245558</v>
      </c>
      <c r="C6992" s="19" t="s">
        <v>6891</v>
      </c>
      <c r="D6992" s="19" t="s">
        <v>22415</v>
      </c>
      <c r="E6992" s="19" t="s">
        <v>33487</v>
      </c>
      <c r="F6992" s="19" t="s">
        <v>35997</v>
      </c>
      <c r="G6992" s="18" t="str">
        <f>"56101"</f>
        <v>56101</v>
      </c>
      <c r="H6992" s="19" t="s">
        <v>30947</v>
      </c>
      <c r="I6992" s="20">
        <v>18.187000000000001</v>
      </c>
      <c r="J6992" s="44" t="s">
        <v>8</v>
      </c>
      <c r="K6992" s="23" t="s">
        <v>8</v>
      </c>
      <c r="L6992" s="23" t="s">
        <v>8</v>
      </c>
      <c r="M6992" s="23" t="s">
        <v>8</v>
      </c>
    </row>
    <row r="6993" spans="1:13" s="21" customFormat="1" x14ac:dyDescent="0.25">
      <c r="A6993" s="22" t="s">
        <v>8</v>
      </c>
      <c r="B6993" s="18" t="str">
        <f>"245559"</f>
        <v>245559</v>
      </c>
      <c r="C6993" s="19" t="s">
        <v>6892</v>
      </c>
      <c r="D6993" s="19" t="s">
        <v>22416</v>
      </c>
      <c r="E6993" s="19" t="s">
        <v>33488</v>
      </c>
      <c r="F6993" s="19" t="s">
        <v>35997</v>
      </c>
      <c r="G6993" s="18" t="str">
        <f>"56585"</f>
        <v>56585</v>
      </c>
      <c r="H6993" s="19" t="s">
        <v>36030</v>
      </c>
      <c r="I6993" s="20">
        <v>19.783000000000001</v>
      </c>
      <c r="J6993" s="44" t="s">
        <v>8</v>
      </c>
      <c r="K6993" s="23" t="s">
        <v>8</v>
      </c>
      <c r="L6993" s="23" t="s">
        <v>8</v>
      </c>
      <c r="M6993" s="23" t="s">
        <v>8</v>
      </c>
    </row>
    <row r="6994" spans="1:13" s="21" customFormat="1" x14ac:dyDescent="0.25">
      <c r="A6994" s="22" t="s">
        <v>8</v>
      </c>
      <c r="B6994" s="18" t="str">
        <f>"245560"</f>
        <v>245560</v>
      </c>
      <c r="C6994" s="19" t="s">
        <v>6893</v>
      </c>
      <c r="D6994" s="19" t="s">
        <v>22417</v>
      </c>
      <c r="E6994" s="19" t="s">
        <v>33489</v>
      </c>
      <c r="F6994" s="19" t="s">
        <v>35997</v>
      </c>
      <c r="G6994" s="18" t="str">
        <f>"56128"</f>
        <v>56128</v>
      </c>
      <c r="H6994" s="19" t="s">
        <v>33503</v>
      </c>
      <c r="I6994" s="20">
        <v>18.841999999999999</v>
      </c>
      <c r="J6994" s="44" t="s">
        <v>8</v>
      </c>
      <c r="K6994" s="23" t="s">
        <v>8</v>
      </c>
      <c r="L6994" s="23" t="s">
        <v>8</v>
      </c>
      <c r="M6994" s="23" t="s">
        <v>8</v>
      </c>
    </row>
    <row r="6995" spans="1:13" s="21" customFormat="1" x14ac:dyDescent="0.25">
      <c r="A6995" s="22" t="s">
        <v>8</v>
      </c>
      <c r="B6995" s="18" t="str">
        <f>"245561"</f>
        <v>245561</v>
      </c>
      <c r="C6995" s="19" t="s">
        <v>6894</v>
      </c>
      <c r="D6995" s="19" t="s">
        <v>22418</v>
      </c>
      <c r="E6995" s="19" t="s">
        <v>33352</v>
      </c>
      <c r="F6995" s="19" t="s">
        <v>35997</v>
      </c>
      <c r="G6995" s="18" t="str">
        <f>"55057"</f>
        <v>55057</v>
      </c>
      <c r="H6995" s="19" t="s">
        <v>36306</v>
      </c>
      <c r="I6995" s="20">
        <v>17.684999999999999</v>
      </c>
      <c r="J6995" s="44" t="s">
        <v>8</v>
      </c>
      <c r="K6995" s="23" t="s">
        <v>8</v>
      </c>
      <c r="L6995" s="23" t="s">
        <v>8</v>
      </c>
      <c r="M6995" s="23" t="s">
        <v>8</v>
      </c>
    </row>
    <row r="6996" spans="1:13" s="21" customFormat="1" x14ac:dyDescent="0.25">
      <c r="A6996" s="22" t="s">
        <v>8</v>
      </c>
      <c r="B6996" s="18" t="str">
        <f>"245562"</f>
        <v>245562</v>
      </c>
      <c r="C6996" s="19" t="s">
        <v>6895</v>
      </c>
      <c r="D6996" s="19" t="s">
        <v>22419</v>
      </c>
      <c r="E6996" s="19" t="s">
        <v>33490</v>
      </c>
      <c r="F6996" s="19" t="s">
        <v>35997</v>
      </c>
      <c r="G6996" s="18" t="str">
        <f>"56567"</f>
        <v>56567</v>
      </c>
      <c r="H6996" s="19" t="s">
        <v>36474</v>
      </c>
      <c r="I6996" s="20">
        <v>19.771999999999998</v>
      </c>
      <c r="J6996" s="44" t="s">
        <v>8</v>
      </c>
      <c r="K6996" s="23" t="s">
        <v>8</v>
      </c>
      <c r="L6996" s="23" t="s">
        <v>8</v>
      </c>
      <c r="M6996" s="23" t="s">
        <v>8</v>
      </c>
    </row>
    <row r="6997" spans="1:13" s="21" customFormat="1" x14ac:dyDescent="0.25">
      <c r="A6997" s="22" t="s">
        <v>8</v>
      </c>
      <c r="B6997" s="18" t="str">
        <f>"245563"</f>
        <v>245563</v>
      </c>
      <c r="C6997" s="19" t="s">
        <v>6896</v>
      </c>
      <c r="D6997" s="19" t="s">
        <v>22420</v>
      </c>
      <c r="E6997" s="19" t="s">
        <v>33491</v>
      </c>
      <c r="F6997" s="19" t="s">
        <v>35997</v>
      </c>
      <c r="G6997" s="18" t="str">
        <f>"56464"</f>
        <v>56464</v>
      </c>
      <c r="H6997" s="19" t="s">
        <v>33500</v>
      </c>
      <c r="I6997" s="20">
        <v>22.120999999999999</v>
      </c>
      <c r="J6997" s="44" t="s">
        <v>8</v>
      </c>
      <c r="K6997" s="23" t="s">
        <v>8</v>
      </c>
      <c r="L6997" s="23" t="s">
        <v>8</v>
      </c>
      <c r="M6997" s="23" t="s">
        <v>8</v>
      </c>
    </row>
    <row r="6998" spans="1:13" s="21" customFormat="1" x14ac:dyDescent="0.25">
      <c r="A6998" s="22" t="s">
        <v>8</v>
      </c>
      <c r="B6998" s="18" t="str">
        <f>"245564"</f>
        <v>245564</v>
      </c>
      <c r="C6998" s="19" t="s">
        <v>6897</v>
      </c>
      <c r="D6998" s="19" t="s">
        <v>22421</v>
      </c>
      <c r="E6998" s="19" t="s">
        <v>33492</v>
      </c>
      <c r="F6998" s="19" t="s">
        <v>35997</v>
      </c>
      <c r="G6998" s="18" t="str">
        <f>"56219"</f>
        <v>56219</v>
      </c>
      <c r="H6998" s="19" t="s">
        <v>36481</v>
      </c>
      <c r="I6998" s="20">
        <v>18.271999999999998</v>
      </c>
      <c r="J6998" s="44" t="s">
        <v>8</v>
      </c>
      <c r="K6998" s="23" t="s">
        <v>8</v>
      </c>
      <c r="L6998" s="23" t="s">
        <v>8</v>
      </c>
      <c r="M6998" s="23" t="s">
        <v>8</v>
      </c>
    </row>
    <row r="6999" spans="1:13" s="21" customFormat="1" x14ac:dyDescent="0.25">
      <c r="A6999" s="22" t="s">
        <v>8</v>
      </c>
      <c r="B6999" s="18" t="str">
        <f>"245566"</f>
        <v>245566</v>
      </c>
      <c r="C6999" s="19" t="s">
        <v>6898</v>
      </c>
      <c r="D6999" s="19" t="s">
        <v>22422</v>
      </c>
      <c r="E6999" s="19" t="s">
        <v>33493</v>
      </c>
      <c r="F6999" s="19" t="s">
        <v>35997</v>
      </c>
      <c r="G6999" s="18" t="str">
        <f>"55943"</f>
        <v>55943</v>
      </c>
      <c r="H6999" s="19" t="s">
        <v>33493</v>
      </c>
      <c r="I6999" s="20">
        <v>17.873999999999999</v>
      </c>
      <c r="J6999" s="44" t="s">
        <v>8</v>
      </c>
      <c r="K6999" s="23" t="s">
        <v>8</v>
      </c>
      <c r="L6999" s="23" t="s">
        <v>8</v>
      </c>
      <c r="M6999" s="23" t="s">
        <v>8</v>
      </c>
    </row>
    <row r="7000" spans="1:13" s="21" customFormat="1" x14ac:dyDescent="0.25">
      <c r="A7000" s="22" t="s">
        <v>8</v>
      </c>
      <c r="B7000" s="18" t="str">
        <f>"245568"</f>
        <v>245568</v>
      </c>
      <c r="C7000" s="19" t="s">
        <v>6899</v>
      </c>
      <c r="D7000" s="19" t="s">
        <v>22423</v>
      </c>
      <c r="E7000" s="19" t="s">
        <v>30800</v>
      </c>
      <c r="F7000" s="19" t="s">
        <v>35997</v>
      </c>
      <c r="G7000" s="18" t="str">
        <f>"56156"</f>
        <v>56156</v>
      </c>
      <c r="H7000" s="19" t="s">
        <v>36480</v>
      </c>
      <c r="I7000" s="20">
        <v>19.706</v>
      </c>
      <c r="J7000" s="44" t="s">
        <v>8</v>
      </c>
      <c r="K7000" s="23" t="s">
        <v>8</v>
      </c>
      <c r="L7000" s="23" t="s">
        <v>8</v>
      </c>
      <c r="M7000" s="23" t="s">
        <v>8</v>
      </c>
    </row>
    <row r="7001" spans="1:13" s="21" customFormat="1" x14ac:dyDescent="0.25">
      <c r="A7001" s="22" t="s">
        <v>8</v>
      </c>
      <c r="B7001" s="18" t="str">
        <f>"245569"</f>
        <v>245569</v>
      </c>
      <c r="C7001" s="19" t="s">
        <v>6900</v>
      </c>
      <c r="D7001" s="19" t="s">
        <v>22424</v>
      </c>
      <c r="E7001" s="19" t="s">
        <v>33494</v>
      </c>
      <c r="F7001" s="19" t="s">
        <v>35997</v>
      </c>
      <c r="G7001" s="18" t="str">
        <f>"56548"</f>
        <v>56548</v>
      </c>
      <c r="H7001" s="19" t="s">
        <v>34652</v>
      </c>
      <c r="I7001" s="20">
        <v>17.663</v>
      </c>
      <c r="J7001" s="44" t="s">
        <v>8</v>
      </c>
      <c r="K7001" s="23" t="s">
        <v>8</v>
      </c>
      <c r="L7001" s="23" t="s">
        <v>8</v>
      </c>
      <c r="M7001" s="23" t="s">
        <v>8</v>
      </c>
    </row>
    <row r="7002" spans="1:13" s="21" customFormat="1" x14ac:dyDescent="0.25">
      <c r="A7002" s="22" t="s">
        <v>8</v>
      </c>
      <c r="B7002" s="18" t="str">
        <f>"245570"</f>
        <v>245570</v>
      </c>
      <c r="C7002" s="19" t="s">
        <v>6901</v>
      </c>
      <c r="D7002" s="19" t="s">
        <v>22425</v>
      </c>
      <c r="E7002" s="19" t="s">
        <v>33495</v>
      </c>
      <c r="F7002" s="19" t="s">
        <v>35997</v>
      </c>
      <c r="G7002" s="18" t="str">
        <f>"56131"</f>
        <v>56131</v>
      </c>
      <c r="H7002" s="19" t="s">
        <v>32687</v>
      </c>
      <c r="I7002" s="20">
        <v>19.149000000000001</v>
      </c>
      <c r="J7002" s="44" t="s">
        <v>8</v>
      </c>
      <c r="K7002" s="23" t="s">
        <v>8</v>
      </c>
      <c r="L7002" s="23" t="s">
        <v>8</v>
      </c>
      <c r="M7002" s="23" t="s">
        <v>8</v>
      </c>
    </row>
    <row r="7003" spans="1:13" s="21" customFormat="1" x14ac:dyDescent="0.25">
      <c r="A7003" s="22" t="s">
        <v>8</v>
      </c>
      <c r="B7003" s="18" t="str">
        <f>"245572"</f>
        <v>245572</v>
      </c>
      <c r="C7003" s="19" t="s">
        <v>6902</v>
      </c>
      <c r="D7003" s="19" t="s">
        <v>22426</v>
      </c>
      <c r="E7003" s="19" t="s">
        <v>33496</v>
      </c>
      <c r="F7003" s="19" t="s">
        <v>35997</v>
      </c>
      <c r="G7003" s="18" t="str">
        <f>"56150"</f>
        <v>56150</v>
      </c>
      <c r="H7003" s="19" t="s">
        <v>30816</v>
      </c>
      <c r="I7003" s="20">
        <v>17.215</v>
      </c>
      <c r="J7003" s="44" t="s">
        <v>8</v>
      </c>
      <c r="K7003" s="23" t="s">
        <v>8</v>
      </c>
      <c r="L7003" s="23" t="s">
        <v>8</v>
      </c>
      <c r="M7003" s="23" t="s">
        <v>8</v>
      </c>
    </row>
    <row r="7004" spans="1:13" s="21" customFormat="1" x14ac:dyDescent="0.25">
      <c r="A7004" s="22" t="s">
        <v>8</v>
      </c>
      <c r="B7004" s="18" t="str">
        <f>"245573"</f>
        <v>245573</v>
      </c>
      <c r="C7004" s="19" t="s">
        <v>6903</v>
      </c>
      <c r="D7004" s="19" t="s">
        <v>22427</v>
      </c>
      <c r="E7004" s="19" t="s">
        <v>33497</v>
      </c>
      <c r="F7004" s="19" t="s">
        <v>35997</v>
      </c>
      <c r="G7004" s="18" t="str">
        <f>"56222"</f>
        <v>56222</v>
      </c>
      <c r="H7004" s="19" t="s">
        <v>36439</v>
      </c>
      <c r="I7004" s="20">
        <v>21.838999999999999</v>
      </c>
      <c r="J7004" s="44" t="s">
        <v>8</v>
      </c>
      <c r="K7004" s="23" t="s">
        <v>8</v>
      </c>
      <c r="L7004" s="23" t="s">
        <v>8</v>
      </c>
      <c r="M7004" s="23" t="s">
        <v>8</v>
      </c>
    </row>
    <row r="7005" spans="1:13" s="21" customFormat="1" x14ac:dyDescent="0.25">
      <c r="A7005" s="22" t="s">
        <v>8</v>
      </c>
      <c r="B7005" s="18" t="str">
        <f>"245574"</f>
        <v>245574</v>
      </c>
      <c r="C7005" s="19" t="s">
        <v>6904</v>
      </c>
      <c r="D7005" s="19" t="s">
        <v>22428</v>
      </c>
      <c r="E7005" s="19" t="s">
        <v>33323</v>
      </c>
      <c r="F7005" s="19" t="s">
        <v>35997</v>
      </c>
      <c r="G7005" s="18" t="str">
        <f>"55426"</f>
        <v>55426</v>
      </c>
      <c r="H7005" s="19" t="s">
        <v>36451</v>
      </c>
      <c r="I7005" s="20">
        <v>18.280999999999999</v>
      </c>
      <c r="J7005" s="44" t="s">
        <v>8</v>
      </c>
      <c r="K7005" s="23" t="s">
        <v>8</v>
      </c>
      <c r="L7005" s="23" t="s">
        <v>8</v>
      </c>
      <c r="M7005" s="23" t="s">
        <v>8</v>
      </c>
    </row>
    <row r="7006" spans="1:13" s="21" customFormat="1" x14ac:dyDescent="0.25">
      <c r="A7006" s="22" t="s">
        <v>8</v>
      </c>
      <c r="B7006" s="18" t="str">
        <f>"245575"</f>
        <v>245575</v>
      </c>
      <c r="C7006" s="19" t="s">
        <v>6905</v>
      </c>
      <c r="D7006" s="19" t="s">
        <v>22429</v>
      </c>
      <c r="E7006" s="19" t="s">
        <v>33498</v>
      </c>
      <c r="F7006" s="19" t="s">
        <v>35997</v>
      </c>
      <c r="G7006" s="18" t="str">
        <f>"56311"</f>
        <v>56311</v>
      </c>
      <c r="H7006" s="19" t="s">
        <v>36078</v>
      </c>
      <c r="I7006" s="20">
        <v>19.597000000000001</v>
      </c>
      <c r="J7006" s="44" t="s">
        <v>8</v>
      </c>
      <c r="K7006" s="23" t="s">
        <v>8</v>
      </c>
      <c r="L7006" s="23" t="s">
        <v>8</v>
      </c>
      <c r="M7006" s="23" t="s">
        <v>8</v>
      </c>
    </row>
    <row r="7007" spans="1:13" s="21" customFormat="1" x14ac:dyDescent="0.25">
      <c r="A7007" s="22" t="s">
        <v>8</v>
      </c>
      <c r="B7007" s="18" t="str">
        <f>"245578"</f>
        <v>245578</v>
      </c>
      <c r="C7007" s="19" t="s">
        <v>6906</v>
      </c>
      <c r="D7007" s="19" t="s">
        <v>22430</v>
      </c>
      <c r="E7007" s="19" t="s">
        <v>32601</v>
      </c>
      <c r="F7007" s="19" t="s">
        <v>35997</v>
      </c>
      <c r="G7007" s="18" t="str">
        <f>"55418"</f>
        <v>55418</v>
      </c>
      <c r="H7007" s="19" t="s">
        <v>36451</v>
      </c>
      <c r="I7007" s="20">
        <v>20.074000000000002</v>
      </c>
      <c r="J7007" s="44" t="s">
        <v>8</v>
      </c>
      <c r="K7007" s="23" t="s">
        <v>8</v>
      </c>
      <c r="L7007" s="23" t="s">
        <v>8</v>
      </c>
      <c r="M7007" s="23" t="s">
        <v>8</v>
      </c>
    </row>
    <row r="7008" spans="1:13" s="21" customFormat="1" x14ac:dyDescent="0.25">
      <c r="A7008" s="22" t="s">
        <v>8</v>
      </c>
      <c r="B7008" s="18" t="str">
        <f>"245579"</f>
        <v>245579</v>
      </c>
      <c r="C7008" s="19" t="s">
        <v>6907</v>
      </c>
      <c r="D7008" s="19" t="s">
        <v>22431</v>
      </c>
      <c r="E7008" s="19" t="s">
        <v>31645</v>
      </c>
      <c r="F7008" s="19" t="s">
        <v>35997</v>
      </c>
      <c r="G7008" s="18" t="str">
        <f>"56240"</f>
        <v>56240</v>
      </c>
      <c r="H7008" s="19" t="s">
        <v>36477</v>
      </c>
      <c r="I7008" s="20">
        <v>17.614000000000001</v>
      </c>
      <c r="J7008" s="44" t="s">
        <v>8</v>
      </c>
      <c r="K7008" s="23" t="s">
        <v>8</v>
      </c>
      <c r="L7008" s="23" t="s">
        <v>8</v>
      </c>
      <c r="M7008" s="23" t="s">
        <v>8</v>
      </c>
    </row>
    <row r="7009" spans="1:13" s="21" customFormat="1" x14ac:dyDescent="0.25">
      <c r="A7009" s="22" t="s">
        <v>8</v>
      </c>
      <c r="B7009" s="18" t="str">
        <f>"245580"</f>
        <v>245580</v>
      </c>
      <c r="C7009" s="19" t="s">
        <v>6908</v>
      </c>
      <c r="D7009" s="19" t="s">
        <v>22432</v>
      </c>
      <c r="E7009" s="19" t="s">
        <v>33499</v>
      </c>
      <c r="F7009" s="19" t="s">
        <v>35997</v>
      </c>
      <c r="G7009" s="18" t="str">
        <f>"56623"</f>
        <v>56623</v>
      </c>
      <c r="H7009" s="19" t="s">
        <v>36482</v>
      </c>
      <c r="I7009" s="20">
        <v>18.593</v>
      </c>
      <c r="J7009" s="44" t="s">
        <v>8</v>
      </c>
      <c r="K7009" s="23" t="s">
        <v>8</v>
      </c>
      <c r="L7009" s="23" t="s">
        <v>8</v>
      </c>
      <c r="M7009" s="23" t="s">
        <v>8</v>
      </c>
    </row>
    <row r="7010" spans="1:13" s="21" customFormat="1" x14ac:dyDescent="0.25">
      <c r="A7010" s="22" t="s">
        <v>8</v>
      </c>
      <c r="B7010" s="18" t="str">
        <f>"245581"</f>
        <v>245581</v>
      </c>
      <c r="C7010" s="19" t="s">
        <v>6909</v>
      </c>
      <c r="D7010" s="19" t="s">
        <v>22433</v>
      </c>
      <c r="E7010" s="19" t="s">
        <v>33500</v>
      </c>
      <c r="F7010" s="19" t="s">
        <v>35997</v>
      </c>
      <c r="G7010" s="18" t="str">
        <f>"56482"</f>
        <v>56482</v>
      </c>
      <c r="H7010" s="19" t="s">
        <v>33500</v>
      </c>
      <c r="I7010" s="20">
        <v>19.216999999999999</v>
      </c>
      <c r="J7010" s="44" t="s">
        <v>8</v>
      </c>
      <c r="K7010" s="23" t="s">
        <v>8</v>
      </c>
      <c r="L7010" s="23" t="s">
        <v>8</v>
      </c>
      <c r="M7010" s="23" t="s">
        <v>8</v>
      </c>
    </row>
    <row r="7011" spans="1:13" s="21" customFormat="1" x14ac:dyDescent="0.25">
      <c r="A7011" s="22" t="s">
        <v>8</v>
      </c>
      <c r="B7011" s="18" t="str">
        <f>"245583"</f>
        <v>245583</v>
      </c>
      <c r="C7011" s="19" t="s">
        <v>6910</v>
      </c>
      <c r="D7011" s="19" t="s">
        <v>22434</v>
      </c>
      <c r="E7011" s="19" t="s">
        <v>33347</v>
      </c>
      <c r="F7011" s="19" t="s">
        <v>35997</v>
      </c>
      <c r="G7011" s="18" t="str">
        <f>"55387"</f>
        <v>55387</v>
      </c>
      <c r="H7011" s="19" t="s">
        <v>36461</v>
      </c>
      <c r="I7011" s="20">
        <v>19.446000000000002</v>
      </c>
      <c r="J7011" s="44" t="s">
        <v>8</v>
      </c>
      <c r="K7011" s="23" t="s">
        <v>8</v>
      </c>
      <c r="L7011" s="23" t="s">
        <v>8</v>
      </c>
      <c r="M7011" s="23" t="s">
        <v>8</v>
      </c>
    </row>
    <row r="7012" spans="1:13" s="21" customFormat="1" x14ac:dyDescent="0.25">
      <c r="A7012" s="22" t="s">
        <v>8</v>
      </c>
      <c r="B7012" s="18" t="str">
        <f>"245585"</f>
        <v>245585</v>
      </c>
      <c r="C7012" s="19" t="s">
        <v>6911</v>
      </c>
      <c r="D7012" s="19" t="s">
        <v>22435</v>
      </c>
      <c r="E7012" s="19" t="s">
        <v>31926</v>
      </c>
      <c r="F7012" s="19" t="s">
        <v>35997</v>
      </c>
      <c r="G7012" s="18" t="str">
        <f>"56296"</f>
        <v>56296</v>
      </c>
      <c r="H7012" s="19" t="s">
        <v>36481</v>
      </c>
      <c r="I7012" s="20">
        <v>17.59</v>
      </c>
      <c r="J7012" s="44" t="s">
        <v>8</v>
      </c>
      <c r="K7012" s="23" t="s">
        <v>8</v>
      </c>
      <c r="L7012" s="23" t="s">
        <v>8</v>
      </c>
      <c r="M7012" s="23" t="s">
        <v>8</v>
      </c>
    </row>
    <row r="7013" spans="1:13" s="21" customFormat="1" x14ac:dyDescent="0.25">
      <c r="A7013" s="22" t="s">
        <v>8</v>
      </c>
      <c r="B7013" s="18" t="str">
        <f>"245587"</f>
        <v>245587</v>
      </c>
      <c r="C7013" s="19" t="s">
        <v>6912</v>
      </c>
      <c r="D7013" s="19" t="s">
        <v>22436</v>
      </c>
      <c r="E7013" s="19" t="s">
        <v>32601</v>
      </c>
      <c r="F7013" s="19" t="s">
        <v>35997</v>
      </c>
      <c r="G7013" s="18" t="str">
        <f>"55404"</f>
        <v>55404</v>
      </c>
      <c r="H7013" s="19" t="s">
        <v>36451</v>
      </c>
      <c r="I7013" s="20">
        <v>18.085000000000001</v>
      </c>
      <c r="J7013" s="44" t="s">
        <v>8</v>
      </c>
      <c r="K7013" s="23" t="s">
        <v>8</v>
      </c>
      <c r="L7013" s="23" t="s">
        <v>8</v>
      </c>
      <c r="M7013" s="23" t="s">
        <v>8</v>
      </c>
    </row>
    <row r="7014" spans="1:13" s="21" customFormat="1" x14ac:dyDescent="0.25">
      <c r="A7014" s="22" t="s">
        <v>8</v>
      </c>
      <c r="B7014" s="18" t="str">
        <f>"245588"</f>
        <v>245588</v>
      </c>
      <c r="C7014" s="19" t="s">
        <v>6913</v>
      </c>
      <c r="D7014" s="19" t="s">
        <v>22437</v>
      </c>
      <c r="E7014" s="19" t="s">
        <v>33501</v>
      </c>
      <c r="F7014" s="19" t="s">
        <v>35997</v>
      </c>
      <c r="G7014" s="18" t="str">
        <f>"56361"</f>
        <v>56361</v>
      </c>
      <c r="H7014" s="19" t="s">
        <v>36474</v>
      </c>
      <c r="I7014" s="20">
        <v>19.899000000000001</v>
      </c>
      <c r="J7014" s="44" t="s">
        <v>8</v>
      </c>
      <c r="K7014" s="23" t="s">
        <v>8</v>
      </c>
      <c r="L7014" s="23" t="s">
        <v>8</v>
      </c>
      <c r="M7014" s="23" t="s">
        <v>8</v>
      </c>
    </row>
    <row r="7015" spans="1:13" s="21" customFormat="1" x14ac:dyDescent="0.25">
      <c r="A7015" s="22" t="s">
        <v>8</v>
      </c>
      <c r="B7015" s="18" t="str">
        <f>"245589"</f>
        <v>245589</v>
      </c>
      <c r="C7015" s="19" t="s">
        <v>6914</v>
      </c>
      <c r="D7015" s="19" t="s">
        <v>22438</v>
      </c>
      <c r="E7015" s="19" t="s">
        <v>33502</v>
      </c>
      <c r="F7015" s="19" t="s">
        <v>35997</v>
      </c>
      <c r="G7015" s="18" t="str">
        <f>"55314"</f>
        <v>55314</v>
      </c>
      <c r="H7015" s="19" t="s">
        <v>33486</v>
      </c>
      <c r="I7015" s="20">
        <v>17.858000000000001</v>
      </c>
      <c r="J7015" s="44" t="s">
        <v>8</v>
      </c>
      <c r="K7015" s="23" t="s">
        <v>8</v>
      </c>
      <c r="L7015" s="23" t="s">
        <v>8</v>
      </c>
      <c r="M7015" s="23" t="s">
        <v>8</v>
      </c>
    </row>
    <row r="7016" spans="1:13" s="21" customFormat="1" x14ac:dyDescent="0.25">
      <c r="A7016" s="22" t="s">
        <v>8</v>
      </c>
      <c r="B7016" s="18" t="str">
        <f>"245590"</f>
        <v>245590</v>
      </c>
      <c r="C7016" s="19" t="s">
        <v>6915</v>
      </c>
      <c r="D7016" s="19" t="s">
        <v>22439</v>
      </c>
      <c r="E7016" s="19" t="s">
        <v>32448</v>
      </c>
      <c r="F7016" s="19" t="s">
        <v>35997</v>
      </c>
      <c r="G7016" s="18" t="str">
        <f>"56011"</f>
        <v>56011</v>
      </c>
      <c r="H7016" s="19" t="s">
        <v>36083</v>
      </c>
      <c r="I7016" s="20">
        <v>17.532</v>
      </c>
      <c r="J7016" s="44" t="s">
        <v>8</v>
      </c>
      <c r="K7016" s="23" t="s">
        <v>8</v>
      </c>
      <c r="L7016" s="23" t="s">
        <v>8</v>
      </c>
      <c r="M7016" s="23" t="s">
        <v>8</v>
      </c>
    </row>
    <row r="7017" spans="1:13" s="21" customFormat="1" x14ac:dyDescent="0.25">
      <c r="A7017" s="22" t="s">
        <v>8</v>
      </c>
      <c r="B7017" s="18" t="str">
        <f>"245591"</f>
        <v>245591</v>
      </c>
      <c r="C7017" s="19" t="s">
        <v>6916</v>
      </c>
      <c r="D7017" s="19" t="s">
        <v>22440</v>
      </c>
      <c r="E7017" s="19" t="s">
        <v>33503</v>
      </c>
      <c r="F7017" s="19" t="s">
        <v>35997</v>
      </c>
      <c r="G7017" s="18" t="str">
        <f>"56164"</f>
        <v>56164</v>
      </c>
      <c r="H7017" s="19" t="s">
        <v>33503</v>
      </c>
      <c r="I7017" s="20">
        <v>17.062000000000001</v>
      </c>
      <c r="J7017" s="44" t="s">
        <v>8</v>
      </c>
      <c r="K7017" s="23" t="s">
        <v>8</v>
      </c>
      <c r="L7017" s="23" t="s">
        <v>8</v>
      </c>
      <c r="M7017" s="23" t="s">
        <v>8</v>
      </c>
    </row>
    <row r="7018" spans="1:13" s="21" customFormat="1" x14ac:dyDescent="0.25">
      <c r="A7018" s="22" t="s">
        <v>8</v>
      </c>
      <c r="B7018" s="18" t="str">
        <f>"245592"</f>
        <v>245592</v>
      </c>
      <c r="C7018" s="19" t="s">
        <v>6917</v>
      </c>
      <c r="D7018" s="19" t="s">
        <v>22441</v>
      </c>
      <c r="E7018" s="19" t="s">
        <v>33358</v>
      </c>
      <c r="F7018" s="19" t="s">
        <v>35997</v>
      </c>
      <c r="G7018" s="18" t="str">
        <f>"56701"</f>
        <v>56701</v>
      </c>
      <c r="H7018" s="19" t="s">
        <v>36465</v>
      </c>
      <c r="I7018" s="20">
        <v>17.698</v>
      </c>
      <c r="J7018" s="44" t="s">
        <v>8</v>
      </c>
      <c r="K7018" s="23" t="s">
        <v>8</v>
      </c>
      <c r="L7018" s="23" t="s">
        <v>8</v>
      </c>
      <c r="M7018" s="23" t="s">
        <v>8</v>
      </c>
    </row>
    <row r="7019" spans="1:13" s="21" customFormat="1" x14ac:dyDescent="0.25">
      <c r="A7019" s="22" t="s">
        <v>8</v>
      </c>
      <c r="B7019" s="18" t="str">
        <f>"245593"</f>
        <v>245593</v>
      </c>
      <c r="C7019" s="19" t="s">
        <v>6918</v>
      </c>
      <c r="D7019" s="19" t="s">
        <v>22442</v>
      </c>
      <c r="E7019" s="19" t="s">
        <v>33504</v>
      </c>
      <c r="F7019" s="19" t="s">
        <v>35997</v>
      </c>
      <c r="G7019" s="18" t="str">
        <f>"56081"</f>
        <v>56081</v>
      </c>
      <c r="H7019" s="19" t="s">
        <v>36479</v>
      </c>
      <c r="I7019" s="20">
        <v>18.138999999999999</v>
      </c>
      <c r="J7019" s="44" t="s">
        <v>8</v>
      </c>
      <c r="K7019" s="23" t="s">
        <v>8</v>
      </c>
      <c r="L7019" s="23" t="s">
        <v>8</v>
      </c>
      <c r="M7019" s="23" t="s">
        <v>8</v>
      </c>
    </row>
    <row r="7020" spans="1:13" s="21" customFormat="1" x14ac:dyDescent="0.25">
      <c r="A7020" s="22" t="s">
        <v>8</v>
      </c>
      <c r="B7020" s="18" t="str">
        <f>"245594"</f>
        <v>245594</v>
      </c>
      <c r="C7020" s="19" t="s">
        <v>6919</v>
      </c>
      <c r="D7020" s="19" t="s">
        <v>22443</v>
      </c>
      <c r="E7020" s="19" t="s">
        <v>33505</v>
      </c>
      <c r="F7020" s="19" t="s">
        <v>35997</v>
      </c>
      <c r="G7020" s="18" t="str">
        <f>"56266"</f>
        <v>56266</v>
      </c>
      <c r="H7020" s="19" t="s">
        <v>36462</v>
      </c>
      <c r="I7020" s="20">
        <v>18.111000000000001</v>
      </c>
      <c r="J7020" s="44" t="s">
        <v>8</v>
      </c>
      <c r="K7020" s="23" t="s">
        <v>8</v>
      </c>
      <c r="L7020" s="23" t="s">
        <v>8</v>
      </c>
      <c r="M7020" s="23" t="s">
        <v>8</v>
      </c>
    </row>
    <row r="7021" spans="1:13" s="21" customFormat="1" x14ac:dyDescent="0.25">
      <c r="A7021" s="22" t="s">
        <v>8</v>
      </c>
      <c r="B7021" s="18" t="str">
        <f>"245595"</f>
        <v>245595</v>
      </c>
      <c r="C7021" s="19" t="s">
        <v>6920</v>
      </c>
      <c r="D7021" s="19" t="s">
        <v>22444</v>
      </c>
      <c r="E7021" s="19" t="s">
        <v>32888</v>
      </c>
      <c r="F7021" s="19" t="s">
        <v>35997</v>
      </c>
      <c r="G7021" s="18" t="str">
        <f>"56183"</f>
        <v>56183</v>
      </c>
      <c r="H7021" s="19" t="s">
        <v>30947</v>
      </c>
      <c r="I7021" s="20">
        <v>17.975999999999999</v>
      </c>
      <c r="J7021" s="44" t="s">
        <v>8</v>
      </c>
      <c r="K7021" s="23" t="s">
        <v>8</v>
      </c>
      <c r="L7021" s="23" t="s">
        <v>8</v>
      </c>
      <c r="M7021" s="23" t="s">
        <v>8</v>
      </c>
    </row>
    <row r="7022" spans="1:13" s="21" customFormat="1" x14ac:dyDescent="0.25">
      <c r="A7022" s="22" t="s">
        <v>8</v>
      </c>
      <c r="B7022" s="18" t="str">
        <f>"245596"</f>
        <v>245596</v>
      </c>
      <c r="C7022" s="19" t="s">
        <v>6921</v>
      </c>
      <c r="D7022" s="19" t="s">
        <v>22445</v>
      </c>
      <c r="E7022" s="19" t="s">
        <v>33314</v>
      </c>
      <c r="F7022" s="19" t="s">
        <v>35997</v>
      </c>
      <c r="G7022" s="18" t="str">
        <f>"56187"</f>
        <v>56187</v>
      </c>
      <c r="H7022" s="19" t="s">
        <v>36447</v>
      </c>
      <c r="I7022" s="20">
        <v>20.349</v>
      </c>
      <c r="J7022" s="44" t="s">
        <v>8</v>
      </c>
      <c r="K7022" s="23" t="s">
        <v>8</v>
      </c>
      <c r="L7022" s="23" t="s">
        <v>8</v>
      </c>
      <c r="M7022" s="23" t="s">
        <v>8</v>
      </c>
    </row>
    <row r="7023" spans="1:13" s="21" customFormat="1" x14ac:dyDescent="0.25">
      <c r="A7023" s="22" t="s">
        <v>8</v>
      </c>
      <c r="B7023" s="18" t="str">
        <f>"245597"</f>
        <v>245597</v>
      </c>
      <c r="C7023" s="19" t="s">
        <v>6922</v>
      </c>
      <c r="D7023" s="19" t="s">
        <v>22446</v>
      </c>
      <c r="E7023" s="19" t="s">
        <v>31641</v>
      </c>
      <c r="F7023" s="19" t="s">
        <v>35997</v>
      </c>
      <c r="G7023" s="18" t="str">
        <f>"56554"</f>
        <v>56554</v>
      </c>
      <c r="H7023" s="19" t="s">
        <v>36457</v>
      </c>
      <c r="I7023" s="20">
        <v>18.927</v>
      </c>
      <c r="J7023" s="44" t="s">
        <v>8</v>
      </c>
      <c r="K7023" s="23" t="s">
        <v>8</v>
      </c>
      <c r="L7023" s="23" t="s">
        <v>8</v>
      </c>
      <c r="M7023" s="23" t="s">
        <v>8</v>
      </c>
    </row>
    <row r="7024" spans="1:13" s="21" customFormat="1" x14ac:dyDescent="0.25">
      <c r="A7024" s="22" t="s">
        <v>8</v>
      </c>
      <c r="B7024" s="18" t="str">
        <f>"245598"</f>
        <v>245598</v>
      </c>
      <c r="C7024" s="19" t="s">
        <v>6923</v>
      </c>
      <c r="D7024" s="19" t="s">
        <v>22447</v>
      </c>
      <c r="E7024" s="19" t="s">
        <v>33116</v>
      </c>
      <c r="F7024" s="19" t="s">
        <v>35997</v>
      </c>
      <c r="G7024" s="18" t="str">
        <f>"55307"</f>
        <v>55307</v>
      </c>
      <c r="H7024" s="19" t="s">
        <v>32483</v>
      </c>
      <c r="I7024" s="20">
        <v>18.436</v>
      </c>
      <c r="J7024" s="44" t="s">
        <v>8</v>
      </c>
      <c r="K7024" s="23" t="s">
        <v>8</v>
      </c>
      <c r="L7024" s="23" t="s">
        <v>8</v>
      </c>
      <c r="M7024" s="23" t="s">
        <v>8</v>
      </c>
    </row>
    <row r="7025" spans="1:13" s="21" customFormat="1" x14ac:dyDescent="0.25">
      <c r="A7025" s="22" t="s">
        <v>8</v>
      </c>
      <c r="B7025" s="18" t="str">
        <f>"245599"</f>
        <v>245599</v>
      </c>
      <c r="C7025" s="19" t="s">
        <v>6924</v>
      </c>
      <c r="D7025" s="19" t="s">
        <v>22448</v>
      </c>
      <c r="E7025" s="19" t="s">
        <v>33344</v>
      </c>
      <c r="F7025" s="19" t="s">
        <v>35997</v>
      </c>
      <c r="G7025" s="18" t="str">
        <f>"56085"</f>
        <v>56085</v>
      </c>
      <c r="H7025" s="19" t="s">
        <v>36244</v>
      </c>
      <c r="I7025" s="20">
        <v>17.84</v>
      </c>
      <c r="J7025" s="44" t="s">
        <v>8</v>
      </c>
      <c r="K7025" s="23" t="s">
        <v>8</v>
      </c>
      <c r="L7025" s="23" t="s">
        <v>8</v>
      </c>
      <c r="M7025" s="23" t="s">
        <v>8</v>
      </c>
    </row>
    <row r="7026" spans="1:13" s="21" customFormat="1" x14ac:dyDescent="0.25">
      <c r="A7026" s="22" t="s">
        <v>8</v>
      </c>
      <c r="B7026" s="18" t="str">
        <f>"245600"</f>
        <v>245600</v>
      </c>
      <c r="C7026" s="19" t="s">
        <v>6925</v>
      </c>
      <c r="D7026" s="19" t="s">
        <v>22449</v>
      </c>
      <c r="E7026" s="19" t="s">
        <v>33506</v>
      </c>
      <c r="F7026" s="19" t="s">
        <v>35997</v>
      </c>
      <c r="G7026" s="18" t="str">
        <f>"56630"</f>
        <v>56630</v>
      </c>
      <c r="H7026" s="19" t="s">
        <v>36450</v>
      </c>
      <c r="I7026" s="20">
        <v>20.146000000000001</v>
      </c>
      <c r="J7026" s="44" t="s">
        <v>8</v>
      </c>
      <c r="K7026" s="23" t="s">
        <v>8</v>
      </c>
      <c r="L7026" s="23" t="s">
        <v>8</v>
      </c>
      <c r="M7026" s="23" t="s">
        <v>8</v>
      </c>
    </row>
    <row r="7027" spans="1:13" s="21" customFormat="1" x14ac:dyDescent="0.25">
      <c r="A7027" s="22" t="s">
        <v>8</v>
      </c>
      <c r="B7027" s="18" t="str">
        <f>"245604"</f>
        <v>245604</v>
      </c>
      <c r="C7027" s="19" t="s">
        <v>6926</v>
      </c>
      <c r="D7027" s="19" t="s">
        <v>22450</v>
      </c>
      <c r="E7027" s="19" t="s">
        <v>33507</v>
      </c>
      <c r="F7027" s="19" t="s">
        <v>35997</v>
      </c>
      <c r="G7027" s="18" t="str">
        <f>"55318"</f>
        <v>55318</v>
      </c>
      <c r="H7027" s="19" t="s">
        <v>36461</v>
      </c>
      <c r="I7027" s="20">
        <v>17.79</v>
      </c>
      <c r="J7027" s="44" t="s">
        <v>8</v>
      </c>
      <c r="K7027" s="23" t="s">
        <v>8</v>
      </c>
      <c r="L7027" s="23" t="s">
        <v>8</v>
      </c>
      <c r="M7027" s="23" t="s">
        <v>8</v>
      </c>
    </row>
    <row r="7028" spans="1:13" s="21" customFormat="1" x14ac:dyDescent="0.25">
      <c r="A7028" s="22" t="s">
        <v>8</v>
      </c>
      <c r="B7028" s="18" t="str">
        <f>"245610"</f>
        <v>245610</v>
      </c>
      <c r="C7028" s="19" t="s">
        <v>6927</v>
      </c>
      <c r="D7028" s="19" t="s">
        <v>22451</v>
      </c>
      <c r="E7028" s="19" t="s">
        <v>33441</v>
      </c>
      <c r="F7028" s="19" t="s">
        <v>35997</v>
      </c>
      <c r="G7028" s="18" t="str">
        <f>"55379"</f>
        <v>55379</v>
      </c>
      <c r="H7028" s="19" t="s">
        <v>36083</v>
      </c>
      <c r="I7028" s="20">
        <v>17.059999999999999</v>
      </c>
      <c r="J7028" s="44" t="s">
        <v>8</v>
      </c>
      <c r="K7028" s="23" t="s">
        <v>8</v>
      </c>
      <c r="L7028" s="23" t="s">
        <v>8</v>
      </c>
      <c r="M7028" s="23" t="s">
        <v>8</v>
      </c>
    </row>
    <row r="7029" spans="1:13" s="21" customFormat="1" x14ac:dyDescent="0.25">
      <c r="A7029" s="22" t="s">
        <v>8</v>
      </c>
      <c r="B7029" s="18" t="str">
        <f>"245611"</f>
        <v>245611</v>
      </c>
      <c r="C7029" s="19" t="s">
        <v>6928</v>
      </c>
      <c r="D7029" s="19" t="s">
        <v>22452</v>
      </c>
      <c r="E7029" s="19" t="s">
        <v>33380</v>
      </c>
      <c r="F7029" s="19" t="s">
        <v>35997</v>
      </c>
      <c r="G7029" s="18" t="str">
        <f>"55344"</f>
        <v>55344</v>
      </c>
      <c r="H7029" s="19" t="s">
        <v>36451</v>
      </c>
      <c r="I7029" s="20">
        <v>18.347999999999999</v>
      </c>
      <c r="J7029" s="44" t="s">
        <v>8</v>
      </c>
      <c r="K7029" s="23" t="s">
        <v>8</v>
      </c>
      <c r="L7029" s="23" t="s">
        <v>8</v>
      </c>
      <c r="M7029" s="23" t="s">
        <v>8</v>
      </c>
    </row>
    <row r="7030" spans="1:13" s="21" customFormat="1" x14ac:dyDescent="0.25">
      <c r="A7030" s="22" t="s">
        <v>8</v>
      </c>
      <c r="B7030" s="18" t="str">
        <f>"245612"</f>
        <v>245612</v>
      </c>
      <c r="C7030" s="19" t="s">
        <v>6929</v>
      </c>
      <c r="D7030" s="19" t="s">
        <v>22453</v>
      </c>
      <c r="E7030" s="19" t="s">
        <v>31899</v>
      </c>
      <c r="F7030" s="19" t="s">
        <v>35997</v>
      </c>
      <c r="G7030" s="18" t="str">
        <f>"55713"</f>
        <v>55713</v>
      </c>
      <c r="H7030" s="19" t="s">
        <v>33228</v>
      </c>
      <c r="I7030" s="20">
        <v>20.91</v>
      </c>
      <c r="J7030" s="44" t="s">
        <v>8</v>
      </c>
      <c r="K7030" s="23" t="s">
        <v>8</v>
      </c>
      <c r="L7030" s="23" t="s">
        <v>8</v>
      </c>
      <c r="M7030" s="23" t="s">
        <v>8</v>
      </c>
    </row>
    <row r="7031" spans="1:13" s="21" customFormat="1" x14ac:dyDescent="0.25">
      <c r="A7031" s="22" t="s">
        <v>8</v>
      </c>
      <c r="B7031" s="18" t="str">
        <f>"245613"</f>
        <v>245613</v>
      </c>
      <c r="C7031" s="19" t="s">
        <v>6930</v>
      </c>
      <c r="D7031" s="19" t="s">
        <v>22454</v>
      </c>
      <c r="E7031" s="19" t="s">
        <v>5662</v>
      </c>
      <c r="F7031" s="19" t="s">
        <v>35997</v>
      </c>
      <c r="G7031" s="18" t="str">
        <f>"55127"</f>
        <v>55127</v>
      </c>
      <c r="H7031" s="19" t="s">
        <v>36449</v>
      </c>
      <c r="I7031" s="20">
        <v>18.495000000000001</v>
      </c>
      <c r="J7031" s="44" t="s">
        <v>8</v>
      </c>
      <c r="K7031" s="23" t="s">
        <v>8</v>
      </c>
      <c r="L7031" s="23" t="s">
        <v>8</v>
      </c>
      <c r="M7031" s="23" t="s">
        <v>8</v>
      </c>
    </row>
    <row r="7032" spans="1:13" s="21" customFormat="1" x14ac:dyDescent="0.25">
      <c r="A7032" s="22" t="s">
        <v>8</v>
      </c>
      <c r="B7032" s="18" t="str">
        <f>"245615"</f>
        <v>245615</v>
      </c>
      <c r="C7032" s="19" t="s">
        <v>6931</v>
      </c>
      <c r="D7032" s="19" t="s">
        <v>22455</v>
      </c>
      <c r="E7032" s="19" t="s">
        <v>33508</v>
      </c>
      <c r="F7032" s="19" t="s">
        <v>35997</v>
      </c>
      <c r="G7032" s="18" t="str">
        <f>"55082"</f>
        <v>55082</v>
      </c>
      <c r="H7032" s="19" t="s">
        <v>31500</v>
      </c>
      <c r="I7032" s="20">
        <v>18.446999999999999</v>
      </c>
      <c r="J7032" s="44" t="s">
        <v>8</v>
      </c>
      <c r="K7032" s="23" t="s">
        <v>8</v>
      </c>
      <c r="L7032" s="23" t="s">
        <v>8</v>
      </c>
      <c r="M7032" s="23" t="s">
        <v>8</v>
      </c>
    </row>
    <row r="7033" spans="1:13" s="21" customFormat="1" x14ac:dyDescent="0.25">
      <c r="A7033" s="22" t="s">
        <v>8</v>
      </c>
      <c r="B7033" s="18" t="str">
        <f>"245617"</f>
        <v>245617</v>
      </c>
      <c r="C7033" s="19" t="s">
        <v>6932</v>
      </c>
      <c r="D7033" s="19" t="s">
        <v>22456</v>
      </c>
      <c r="E7033" s="19" t="s">
        <v>32650</v>
      </c>
      <c r="F7033" s="19" t="s">
        <v>35997</v>
      </c>
      <c r="G7033" s="18" t="str">
        <f>"55116"</f>
        <v>55116</v>
      </c>
      <c r="H7033" s="19" t="s">
        <v>36449</v>
      </c>
      <c r="I7033" s="20">
        <v>17.138999999999999</v>
      </c>
      <c r="J7033" s="44" t="s">
        <v>8</v>
      </c>
      <c r="K7033" s="23" t="s">
        <v>8</v>
      </c>
      <c r="L7033" s="23" t="s">
        <v>8</v>
      </c>
      <c r="M7033" s="23" t="s">
        <v>8</v>
      </c>
    </row>
    <row r="7034" spans="1:13" s="21" customFormat="1" x14ac:dyDescent="0.25">
      <c r="A7034" s="22" t="s">
        <v>8</v>
      </c>
      <c r="B7034" s="18" t="str">
        <f>"245618"</f>
        <v>245618</v>
      </c>
      <c r="C7034" s="19" t="s">
        <v>6933</v>
      </c>
      <c r="D7034" s="19" t="s">
        <v>22457</v>
      </c>
      <c r="E7034" s="19" t="s">
        <v>33333</v>
      </c>
      <c r="F7034" s="19" t="s">
        <v>35997</v>
      </c>
      <c r="G7034" s="18" t="str">
        <f>"55118"</f>
        <v>55118</v>
      </c>
      <c r="H7034" s="19" t="s">
        <v>36456</v>
      </c>
      <c r="I7034" s="20">
        <v>18.506</v>
      </c>
      <c r="J7034" s="44" t="s">
        <v>8</v>
      </c>
      <c r="K7034" s="23" t="s">
        <v>8</v>
      </c>
      <c r="L7034" s="23" t="s">
        <v>8</v>
      </c>
      <c r="M7034" s="23" t="s">
        <v>8</v>
      </c>
    </row>
    <row r="7035" spans="1:13" s="21" customFormat="1" x14ac:dyDescent="0.25">
      <c r="A7035" s="22" t="s">
        <v>8</v>
      </c>
      <c r="B7035" s="18" t="str">
        <f>"245619"</f>
        <v>245619</v>
      </c>
      <c r="C7035" s="19" t="s">
        <v>6934</v>
      </c>
      <c r="D7035" s="19" t="s">
        <v>22458</v>
      </c>
      <c r="E7035" s="19" t="s">
        <v>32940</v>
      </c>
      <c r="F7035" s="19" t="s">
        <v>35997</v>
      </c>
      <c r="G7035" s="18" t="str">
        <f>"55443"</f>
        <v>55443</v>
      </c>
      <c r="H7035" s="19" t="s">
        <v>36451</v>
      </c>
      <c r="I7035" s="20">
        <v>21.291</v>
      </c>
      <c r="J7035" s="44" t="s">
        <v>8</v>
      </c>
      <c r="K7035" s="23" t="s">
        <v>8</v>
      </c>
      <c r="L7035" s="23" t="s">
        <v>8</v>
      </c>
      <c r="M7035" s="23" t="s">
        <v>8</v>
      </c>
    </row>
    <row r="7036" spans="1:13" s="21" customFormat="1" x14ac:dyDescent="0.25">
      <c r="A7036" s="22" t="s">
        <v>8</v>
      </c>
      <c r="B7036" s="18" t="str">
        <f>"245621"</f>
        <v>245621</v>
      </c>
      <c r="C7036" s="19" t="s">
        <v>6935</v>
      </c>
      <c r="D7036" s="19" t="s">
        <v>22459</v>
      </c>
      <c r="E7036" s="19" t="s">
        <v>33324</v>
      </c>
      <c r="F7036" s="19" t="s">
        <v>35997</v>
      </c>
      <c r="G7036" s="18" t="str">
        <f>"55391"</f>
        <v>55391</v>
      </c>
      <c r="H7036" s="19" t="s">
        <v>36451</v>
      </c>
      <c r="I7036" s="20">
        <v>17.021000000000001</v>
      </c>
      <c r="J7036" s="44" t="s">
        <v>8</v>
      </c>
      <c r="K7036" s="23" t="s">
        <v>8</v>
      </c>
      <c r="L7036" s="23" t="s">
        <v>8</v>
      </c>
      <c r="M7036" s="23" t="s">
        <v>8</v>
      </c>
    </row>
    <row r="7037" spans="1:13" s="21" customFormat="1" x14ac:dyDescent="0.25">
      <c r="A7037" s="22" t="s">
        <v>8</v>
      </c>
      <c r="B7037" s="18" t="str">
        <f>"245622"</f>
        <v>245622</v>
      </c>
      <c r="C7037" s="19" t="s">
        <v>6936</v>
      </c>
      <c r="D7037" s="19" t="s">
        <v>22460</v>
      </c>
      <c r="E7037" s="19" t="s">
        <v>33261</v>
      </c>
      <c r="F7037" s="19" t="s">
        <v>35997</v>
      </c>
      <c r="G7037" s="18" t="str">
        <f>"55092"</f>
        <v>55092</v>
      </c>
      <c r="H7037" s="19" t="s">
        <v>36471</v>
      </c>
      <c r="I7037" s="20">
        <v>18.849</v>
      </c>
      <c r="J7037" s="44" t="s">
        <v>8</v>
      </c>
      <c r="K7037" s="23" t="s">
        <v>8</v>
      </c>
      <c r="L7037" s="23" t="s">
        <v>8</v>
      </c>
      <c r="M7037" s="23" t="s">
        <v>8</v>
      </c>
    </row>
    <row r="7038" spans="1:13" s="21" customFormat="1" x14ac:dyDescent="0.25">
      <c r="A7038" s="22" t="s">
        <v>8</v>
      </c>
      <c r="B7038" s="18" t="str">
        <f>"245623"</f>
        <v>245623</v>
      </c>
      <c r="C7038" s="19" t="s">
        <v>6937</v>
      </c>
      <c r="D7038" s="19" t="s">
        <v>22461</v>
      </c>
      <c r="E7038" s="19" t="s">
        <v>33335</v>
      </c>
      <c r="F7038" s="19" t="s">
        <v>35997</v>
      </c>
      <c r="G7038" s="18" t="str">
        <f>"55432"</f>
        <v>55432</v>
      </c>
      <c r="H7038" s="19" t="s">
        <v>33336</v>
      </c>
      <c r="I7038" s="20">
        <v>19.542000000000002</v>
      </c>
      <c r="J7038" s="44" t="s">
        <v>8</v>
      </c>
      <c r="K7038" s="23" t="s">
        <v>8</v>
      </c>
      <c r="L7038" s="23" t="s">
        <v>8</v>
      </c>
      <c r="M7038" s="23" t="s">
        <v>8</v>
      </c>
    </row>
    <row r="7039" spans="1:13" s="21" customFormat="1" x14ac:dyDescent="0.25">
      <c r="A7039" s="22" t="s">
        <v>8</v>
      </c>
      <c r="B7039" s="18" t="str">
        <f>"245624"</f>
        <v>245624</v>
      </c>
      <c r="C7039" s="19" t="s">
        <v>6938</v>
      </c>
      <c r="D7039" s="19" t="s">
        <v>22462</v>
      </c>
      <c r="E7039" s="19" t="s">
        <v>31465</v>
      </c>
      <c r="F7039" s="19" t="s">
        <v>35997</v>
      </c>
      <c r="G7039" s="18" t="str">
        <f>"55441"</f>
        <v>55441</v>
      </c>
      <c r="H7039" s="19" t="s">
        <v>36451</v>
      </c>
      <c r="I7039" s="20">
        <v>18.096</v>
      </c>
      <c r="J7039" s="44" t="s">
        <v>8</v>
      </c>
      <c r="K7039" s="23" t="s">
        <v>8</v>
      </c>
      <c r="L7039" s="23" t="s">
        <v>8</v>
      </c>
      <c r="M7039" s="23" t="s">
        <v>8</v>
      </c>
    </row>
    <row r="7040" spans="1:13" s="21" customFormat="1" x14ac:dyDescent="0.25">
      <c r="A7040" s="22" t="s">
        <v>8</v>
      </c>
      <c r="B7040" s="18" t="str">
        <f>"245625"</f>
        <v>245625</v>
      </c>
      <c r="C7040" s="19" t="s">
        <v>6939</v>
      </c>
      <c r="D7040" s="19" t="s">
        <v>22463</v>
      </c>
      <c r="E7040" s="19" t="s">
        <v>32650</v>
      </c>
      <c r="F7040" s="19" t="s">
        <v>35997</v>
      </c>
      <c r="G7040" s="18" t="str">
        <f>"55104"</f>
        <v>55104</v>
      </c>
      <c r="H7040" s="19" t="s">
        <v>36449</v>
      </c>
      <c r="I7040" s="20">
        <v>18.795999999999999</v>
      </c>
      <c r="J7040" s="44" t="s">
        <v>8</v>
      </c>
      <c r="K7040" s="23" t="s">
        <v>8</v>
      </c>
      <c r="L7040" s="23" t="s">
        <v>8</v>
      </c>
      <c r="M7040" s="23" t="s">
        <v>8</v>
      </c>
    </row>
    <row r="7041" spans="1:13" s="21" customFormat="1" x14ac:dyDescent="0.25">
      <c r="A7041" s="22" t="s">
        <v>8</v>
      </c>
      <c r="B7041" s="18" t="str">
        <f>"245626"</f>
        <v>245626</v>
      </c>
      <c r="C7041" s="19" t="s">
        <v>6940</v>
      </c>
      <c r="D7041" s="19" t="s">
        <v>22464</v>
      </c>
      <c r="E7041" s="19" t="s">
        <v>32267</v>
      </c>
      <c r="F7041" s="19" t="s">
        <v>35997</v>
      </c>
      <c r="G7041" s="18" t="str">
        <f>"55901"</f>
        <v>55901</v>
      </c>
      <c r="H7041" s="19" t="s">
        <v>36455</v>
      </c>
      <c r="I7041" s="20">
        <v>19.702999999999999</v>
      </c>
      <c r="J7041" s="44" t="s">
        <v>8</v>
      </c>
      <c r="K7041" s="23" t="s">
        <v>8</v>
      </c>
      <c r="L7041" s="23" t="s">
        <v>8</v>
      </c>
      <c r="M7041" s="23" t="s">
        <v>8</v>
      </c>
    </row>
    <row r="7042" spans="1:13" s="21" customFormat="1" x14ac:dyDescent="0.25">
      <c r="A7042" s="22" t="s">
        <v>8</v>
      </c>
      <c r="B7042" s="18" t="str">
        <f>"245627"</f>
        <v>245627</v>
      </c>
      <c r="C7042" s="19" t="s">
        <v>6941</v>
      </c>
      <c r="D7042" s="19" t="s">
        <v>22465</v>
      </c>
      <c r="E7042" s="19" t="s">
        <v>31465</v>
      </c>
      <c r="F7042" s="19" t="s">
        <v>35997</v>
      </c>
      <c r="G7042" s="18" t="str">
        <f>"55446"</f>
        <v>55446</v>
      </c>
      <c r="H7042" s="19" t="s">
        <v>36451</v>
      </c>
      <c r="I7042" s="20">
        <v>20.888999999999999</v>
      </c>
      <c r="J7042" s="44" t="s">
        <v>8</v>
      </c>
      <c r="K7042" s="23" t="s">
        <v>8</v>
      </c>
      <c r="L7042" s="23" t="s">
        <v>8</v>
      </c>
      <c r="M7042" s="23" t="s">
        <v>8</v>
      </c>
    </row>
    <row r="7043" spans="1:13" s="21" customFormat="1" x14ac:dyDescent="0.25">
      <c r="A7043" s="22" t="s">
        <v>8</v>
      </c>
      <c r="B7043" s="18" t="s">
        <v>15256</v>
      </c>
      <c r="C7043" s="19" t="s">
        <v>6942</v>
      </c>
      <c r="D7043" s="19" t="s">
        <v>22466</v>
      </c>
      <c r="E7043" s="19" t="s">
        <v>33509</v>
      </c>
      <c r="F7043" s="19" t="s">
        <v>35998</v>
      </c>
      <c r="G7043" s="18" t="str">
        <f>"38852"</f>
        <v>38852</v>
      </c>
      <c r="H7043" s="19" t="s">
        <v>36483</v>
      </c>
      <c r="I7043" s="20">
        <v>18.437999999999999</v>
      </c>
      <c r="J7043" s="44" t="s">
        <v>8</v>
      </c>
      <c r="K7043" s="23" t="s">
        <v>8</v>
      </c>
      <c r="L7043" s="23" t="s">
        <v>8</v>
      </c>
      <c r="M7043" s="23" t="s">
        <v>8</v>
      </c>
    </row>
    <row r="7044" spans="1:13" s="21" customFormat="1" x14ac:dyDescent="0.25">
      <c r="A7044" s="22" t="s">
        <v>8</v>
      </c>
      <c r="B7044" s="18" t="s">
        <v>15257</v>
      </c>
      <c r="C7044" s="19" t="s">
        <v>6943</v>
      </c>
      <c r="D7044" s="19" t="s">
        <v>22467</v>
      </c>
      <c r="E7044" s="19" t="s">
        <v>32211</v>
      </c>
      <c r="F7044" s="19" t="s">
        <v>35998</v>
      </c>
      <c r="G7044" s="18" t="str">
        <f>"38652"</f>
        <v>38652</v>
      </c>
      <c r="H7044" s="19" t="s">
        <v>33554</v>
      </c>
      <c r="I7044" s="20">
        <v>16.571999999999999</v>
      </c>
      <c r="J7044" s="44" t="s">
        <v>8</v>
      </c>
      <c r="K7044" s="23" t="s">
        <v>8</v>
      </c>
      <c r="L7044" s="23" t="s">
        <v>8</v>
      </c>
      <c r="M7044" s="23" t="s">
        <v>8</v>
      </c>
    </row>
    <row r="7045" spans="1:13" s="21" customFormat="1" x14ac:dyDescent="0.25">
      <c r="A7045" s="22" t="s">
        <v>8</v>
      </c>
      <c r="B7045" s="18" t="s">
        <v>15258</v>
      </c>
      <c r="C7045" s="19" t="s">
        <v>6944</v>
      </c>
      <c r="D7045" s="19" t="s">
        <v>22468</v>
      </c>
      <c r="E7045" s="19" t="s">
        <v>33510</v>
      </c>
      <c r="F7045" s="19" t="s">
        <v>35998</v>
      </c>
      <c r="G7045" s="18" t="str">
        <f>"38635"</f>
        <v>38635</v>
      </c>
      <c r="H7045" s="19" t="s">
        <v>31063</v>
      </c>
      <c r="I7045" s="20">
        <v>19.401</v>
      </c>
      <c r="J7045" s="44" t="s">
        <v>8</v>
      </c>
      <c r="K7045" s="23" t="s">
        <v>8</v>
      </c>
      <c r="L7045" s="23" t="s">
        <v>8</v>
      </c>
      <c r="M7045" s="23" t="s">
        <v>8</v>
      </c>
    </row>
    <row r="7046" spans="1:13" s="21" customFormat="1" x14ac:dyDescent="0.25">
      <c r="A7046" s="22" t="s">
        <v>8</v>
      </c>
      <c r="B7046" s="18" t="s">
        <v>15259</v>
      </c>
      <c r="C7046" s="19" t="s">
        <v>6945</v>
      </c>
      <c r="D7046" s="19" t="s">
        <v>22469</v>
      </c>
      <c r="E7046" s="19" t="s">
        <v>33493</v>
      </c>
      <c r="F7046" s="19" t="s">
        <v>35998</v>
      </c>
      <c r="G7046" s="18" t="str">
        <f>"38851"</f>
        <v>38851</v>
      </c>
      <c r="H7046" s="19" t="s">
        <v>36286</v>
      </c>
      <c r="I7046" s="20">
        <v>20.49</v>
      </c>
      <c r="J7046" s="44" t="s">
        <v>8</v>
      </c>
      <c r="K7046" s="23" t="s">
        <v>8</v>
      </c>
      <c r="L7046" s="23" t="s">
        <v>8</v>
      </c>
      <c r="M7046" s="23" t="s">
        <v>8</v>
      </c>
    </row>
    <row r="7047" spans="1:13" s="21" customFormat="1" x14ac:dyDescent="0.25">
      <c r="A7047" s="22" t="s">
        <v>8</v>
      </c>
      <c r="B7047" s="18" t="s">
        <v>15260</v>
      </c>
      <c r="C7047" s="19" t="s">
        <v>6946</v>
      </c>
      <c r="D7047" s="19" t="s">
        <v>22470</v>
      </c>
      <c r="E7047" s="19" t="s">
        <v>33511</v>
      </c>
      <c r="F7047" s="19" t="s">
        <v>35998</v>
      </c>
      <c r="G7047" s="18" t="str">
        <f>"39422"</f>
        <v>39422</v>
      </c>
      <c r="H7047" s="19" t="s">
        <v>30854</v>
      </c>
      <c r="I7047" s="20">
        <v>18.972000000000001</v>
      </c>
      <c r="J7047" s="44" t="s">
        <v>8</v>
      </c>
      <c r="K7047" s="23" t="s">
        <v>8</v>
      </c>
      <c r="L7047" s="23" t="s">
        <v>8</v>
      </c>
      <c r="M7047" s="23" t="s">
        <v>8</v>
      </c>
    </row>
    <row r="7048" spans="1:13" s="21" customFormat="1" x14ac:dyDescent="0.25">
      <c r="A7048" s="22" t="s">
        <v>8</v>
      </c>
      <c r="B7048" s="18" t="s">
        <v>15261</v>
      </c>
      <c r="C7048" s="19" t="s">
        <v>6947</v>
      </c>
      <c r="D7048" s="19" t="s">
        <v>22471</v>
      </c>
      <c r="E7048" s="19" t="s">
        <v>33512</v>
      </c>
      <c r="F7048" s="19" t="s">
        <v>35998</v>
      </c>
      <c r="G7048" s="18" t="str">
        <f>"39744"</f>
        <v>39744</v>
      </c>
      <c r="H7048" s="19" t="s">
        <v>33048</v>
      </c>
      <c r="I7048" s="20">
        <v>25.305</v>
      </c>
      <c r="J7048" s="44" t="s">
        <v>8</v>
      </c>
      <c r="K7048" s="23" t="s">
        <v>8</v>
      </c>
      <c r="L7048" s="23" t="s">
        <v>8</v>
      </c>
      <c r="M7048" s="23" t="s">
        <v>8</v>
      </c>
    </row>
    <row r="7049" spans="1:13" s="21" customFormat="1" x14ac:dyDescent="0.25">
      <c r="A7049" s="22" t="s">
        <v>8</v>
      </c>
      <c r="B7049" s="18" t="s">
        <v>15262</v>
      </c>
      <c r="C7049" s="19" t="s">
        <v>6948</v>
      </c>
      <c r="D7049" s="19" t="s">
        <v>22472</v>
      </c>
      <c r="E7049" s="19" t="s">
        <v>33513</v>
      </c>
      <c r="F7049" s="19" t="s">
        <v>35998</v>
      </c>
      <c r="G7049" s="18" t="str">
        <f>"38821"</f>
        <v>38821</v>
      </c>
      <c r="H7049" s="19" t="s">
        <v>31711</v>
      </c>
      <c r="I7049" s="20">
        <v>18.535</v>
      </c>
      <c r="J7049" s="44" t="s">
        <v>8</v>
      </c>
      <c r="K7049" s="23" t="s">
        <v>8</v>
      </c>
      <c r="L7049" s="23" t="s">
        <v>8</v>
      </c>
      <c r="M7049" s="23" t="s">
        <v>8</v>
      </c>
    </row>
    <row r="7050" spans="1:13" s="21" customFormat="1" x14ac:dyDescent="0.25">
      <c r="A7050" s="22" t="s">
        <v>8</v>
      </c>
      <c r="B7050" s="18" t="s">
        <v>15263</v>
      </c>
      <c r="C7050" s="19" t="s">
        <v>6949</v>
      </c>
      <c r="D7050" s="19" t="s">
        <v>22473</v>
      </c>
      <c r="E7050" s="19" t="s">
        <v>31696</v>
      </c>
      <c r="F7050" s="19" t="s">
        <v>35998</v>
      </c>
      <c r="G7050" s="18" t="str">
        <f>"39339"</f>
        <v>39339</v>
      </c>
      <c r="H7050" s="19" t="s">
        <v>36032</v>
      </c>
      <c r="I7050" s="20">
        <v>17.693999999999999</v>
      </c>
      <c r="J7050" s="44" t="s">
        <v>8</v>
      </c>
      <c r="K7050" s="23" t="s">
        <v>8</v>
      </c>
      <c r="L7050" s="23" t="s">
        <v>8</v>
      </c>
      <c r="M7050" s="23" t="s">
        <v>8</v>
      </c>
    </row>
    <row r="7051" spans="1:13" s="21" customFormat="1" x14ac:dyDescent="0.25">
      <c r="A7051" s="22" t="s">
        <v>8</v>
      </c>
      <c r="B7051" s="18" t="s">
        <v>15264</v>
      </c>
      <c r="C7051" s="19" t="s">
        <v>6950</v>
      </c>
      <c r="D7051" s="19" t="s">
        <v>22474</v>
      </c>
      <c r="E7051" s="19" t="s">
        <v>33514</v>
      </c>
      <c r="F7051" s="19" t="s">
        <v>35998</v>
      </c>
      <c r="G7051" s="18" t="str">
        <f>"39350"</f>
        <v>39350</v>
      </c>
      <c r="H7051" s="19" t="s">
        <v>36484</v>
      </c>
      <c r="I7051" s="20">
        <v>20.085000000000001</v>
      </c>
      <c r="J7051" s="44" t="s">
        <v>8</v>
      </c>
      <c r="K7051" s="23" t="s">
        <v>8</v>
      </c>
      <c r="L7051" s="23" t="s">
        <v>8</v>
      </c>
      <c r="M7051" s="23" t="s">
        <v>8</v>
      </c>
    </row>
    <row r="7052" spans="1:13" s="21" customFormat="1" x14ac:dyDescent="0.25">
      <c r="A7052" s="22" t="s">
        <v>8</v>
      </c>
      <c r="B7052" s="18" t="s">
        <v>15265</v>
      </c>
      <c r="C7052" s="19" t="s">
        <v>6951</v>
      </c>
      <c r="D7052" s="19" t="s">
        <v>22475</v>
      </c>
      <c r="E7052" s="19" t="s">
        <v>31051</v>
      </c>
      <c r="F7052" s="19" t="s">
        <v>35998</v>
      </c>
      <c r="G7052" s="18" t="str">
        <f>"38829"</f>
        <v>38829</v>
      </c>
      <c r="H7052" s="19" t="s">
        <v>33519</v>
      </c>
      <c r="I7052" s="20">
        <v>17.178000000000001</v>
      </c>
      <c r="J7052" s="44" t="s">
        <v>8</v>
      </c>
      <c r="K7052" s="23" t="s">
        <v>8</v>
      </c>
      <c r="L7052" s="23" t="s">
        <v>8</v>
      </c>
      <c r="M7052" s="23" t="s">
        <v>8</v>
      </c>
    </row>
    <row r="7053" spans="1:13" s="21" customFormat="1" x14ac:dyDescent="0.25">
      <c r="A7053" s="22" t="s">
        <v>8</v>
      </c>
      <c r="B7053" s="18" t="s">
        <v>15266</v>
      </c>
      <c r="C7053" s="19" t="s">
        <v>6952</v>
      </c>
      <c r="D7053" s="19" t="s">
        <v>22476</v>
      </c>
      <c r="E7053" s="19" t="s">
        <v>30987</v>
      </c>
      <c r="F7053" s="19" t="s">
        <v>35998</v>
      </c>
      <c r="G7053" s="18" t="str">
        <f>"39652"</f>
        <v>39652</v>
      </c>
      <c r="H7053" s="19" t="s">
        <v>36033</v>
      </c>
      <c r="I7053" s="20">
        <v>21.181000000000001</v>
      </c>
      <c r="J7053" s="44" t="s">
        <v>8</v>
      </c>
      <c r="K7053" s="23" t="s">
        <v>8</v>
      </c>
      <c r="L7053" s="23" t="s">
        <v>8</v>
      </c>
      <c r="M7053" s="23" t="s">
        <v>8</v>
      </c>
    </row>
    <row r="7054" spans="1:13" s="21" customFormat="1" x14ac:dyDescent="0.25">
      <c r="A7054" s="22" t="s">
        <v>8</v>
      </c>
      <c r="B7054" s="18" t="s">
        <v>15267</v>
      </c>
      <c r="C7054" s="19" t="s">
        <v>6953</v>
      </c>
      <c r="D7054" s="19" t="s">
        <v>22477</v>
      </c>
      <c r="E7054" s="19" t="s">
        <v>33515</v>
      </c>
      <c r="F7054" s="19" t="s">
        <v>35998</v>
      </c>
      <c r="G7054" s="18" t="str">
        <f>"39759"</f>
        <v>39759</v>
      </c>
      <c r="H7054" s="19" t="s">
        <v>36485</v>
      </c>
      <c r="I7054" s="20">
        <v>17.547999999999998</v>
      </c>
      <c r="J7054" s="44" t="s">
        <v>8</v>
      </c>
      <c r="K7054" s="23" t="s">
        <v>8</v>
      </c>
      <c r="L7054" s="23" t="s">
        <v>8</v>
      </c>
      <c r="M7054" s="23" t="s">
        <v>8</v>
      </c>
    </row>
    <row r="7055" spans="1:13" s="21" customFormat="1" x14ac:dyDescent="0.25">
      <c r="A7055" s="22" t="s">
        <v>8</v>
      </c>
      <c r="B7055" s="18" t="s">
        <v>15268</v>
      </c>
      <c r="C7055" s="19" t="s">
        <v>6954</v>
      </c>
      <c r="D7055" s="19" t="s">
        <v>22478</v>
      </c>
      <c r="E7055" s="19" t="s">
        <v>33516</v>
      </c>
      <c r="F7055" s="19" t="s">
        <v>35998</v>
      </c>
      <c r="G7055" s="18" t="str">
        <f>"38965"</f>
        <v>38965</v>
      </c>
      <c r="H7055" s="19" t="s">
        <v>36486</v>
      </c>
      <c r="I7055" s="20">
        <v>19.132000000000001</v>
      </c>
      <c r="J7055" s="44" t="s">
        <v>8</v>
      </c>
      <c r="K7055" s="23" t="s">
        <v>8</v>
      </c>
      <c r="L7055" s="23" t="s">
        <v>8</v>
      </c>
      <c r="M7055" s="23" t="s">
        <v>8</v>
      </c>
    </row>
    <row r="7056" spans="1:13" s="21" customFormat="1" x14ac:dyDescent="0.25">
      <c r="A7056" s="22" t="s">
        <v>8</v>
      </c>
      <c r="B7056" s="18" t="s">
        <v>15269</v>
      </c>
      <c r="C7056" s="19" t="s">
        <v>6955</v>
      </c>
      <c r="D7056" s="19" t="s">
        <v>22479</v>
      </c>
      <c r="E7056" s="19" t="s">
        <v>32540</v>
      </c>
      <c r="F7056" s="19" t="s">
        <v>35998</v>
      </c>
      <c r="G7056" s="18" t="str">
        <f>"39773"</f>
        <v>39773</v>
      </c>
      <c r="H7056" s="19" t="s">
        <v>36030</v>
      </c>
      <c r="I7056" s="20">
        <v>19.347999999999999</v>
      </c>
      <c r="J7056" s="44" t="s">
        <v>8</v>
      </c>
      <c r="K7056" s="23" t="s">
        <v>8</v>
      </c>
      <c r="L7056" s="23" t="s">
        <v>8</v>
      </c>
      <c r="M7056" s="23" t="s">
        <v>8</v>
      </c>
    </row>
    <row r="7057" spans="1:13" s="21" customFormat="1" x14ac:dyDescent="0.25">
      <c r="A7057" s="22" t="s">
        <v>8</v>
      </c>
      <c r="B7057" s="18" t="s">
        <v>15270</v>
      </c>
      <c r="C7057" s="19" t="s">
        <v>6956</v>
      </c>
      <c r="D7057" s="19" t="s">
        <v>22480</v>
      </c>
      <c r="E7057" s="19" t="s">
        <v>31701</v>
      </c>
      <c r="F7057" s="19" t="s">
        <v>35998</v>
      </c>
      <c r="G7057" s="18" t="str">
        <f>"39367"</f>
        <v>39367</v>
      </c>
      <c r="H7057" s="19" t="s">
        <v>33280</v>
      </c>
      <c r="I7057" s="20">
        <v>17.971</v>
      </c>
      <c r="J7057" s="44" t="s">
        <v>8</v>
      </c>
      <c r="K7057" s="23" t="s">
        <v>8</v>
      </c>
      <c r="L7057" s="23" t="s">
        <v>8</v>
      </c>
      <c r="M7057" s="23" t="s">
        <v>8</v>
      </c>
    </row>
    <row r="7058" spans="1:13" s="21" customFormat="1" x14ac:dyDescent="0.25">
      <c r="A7058" s="22" t="s">
        <v>8</v>
      </c>
      <c r="B7058" s="18" t="s">
        <v>15271</v>
      </c>
      <c r="C7058" s="19" t="s">
        <v>6957</v>
      </c>
      <c r="D7058" s="19" t="s">
        <v>22481</v>
      </c>
      <c r="E7058" s="19" t="s">
        <v>33517</v>
      </c>
      <c r="F7058" s="19" t="s">
        <v>35998</v>
      </c>
      <c r="G7058" s="18" t="str">
        <f>"39159"</f>
        <v>39159</v>
      </c>
      <c r="H7058" s="19" t="s">
        <v>36487</v>
      </c>
      <c r="I7058" s="20">
        <v>19.331</v>
      </c>
      <c r="J7058" s="44" t="s">
        <v>8</v>
      </c>
      <c r="K7058" s="23" t="s">
        <v>8</v>
      </c>
      <c r="L7058" s="23" t="s">
        <v>8</v>
      </c>
      <c r="M7058" s="23" t="s">
        <v>8</v>
      </c>
    </row>
    <row r="7059" spans="1:13" s="21" customFormat="1" x14ac:dyDescent="0.25">
      <c r="A7059" s="22" t="s">
        <v>8</v>
      </c>
      <c r="B7059" s="18" t="s">
        <v>15272</v>
      </c>
      <c r="C7059" s="19" t="s">
        <v>6958</v>
      </c>
      <c r="D7059" s="19" t="s">
        <v>22482</v>
      </c>
      <c r="E7059" s="19" t="s">
        <v>31905</v>
      </c>
      <c r="F7059" s="19" t="s">
        <v>35998</v>
      </c>
      <c r="G7059" s="18" t="str">
        <f>"39301"</f>
        <v>39301</v>
      </c>
      <c r="H7059" s="19" t="s">
        <v>36036</v>
      </c>
      <c r="I7059" s="20">
        <v>22.289000000000001</v>
      </c>
      <c r="J7059" s="44" t="s">
        <v>8</v>
      </c>
      <c r="K7059" s="23" t="s">
        <v>8</v>
      </c>
      <c r="L7059" s="23" t="s">
        <v>8</v>
      </c>
      <c r="M7059" s="23" t="s">
        <v>8</v>
      </c>
    </row>
    <row r="7060" spans="1:13" s="21" customFormat="1" x14ac:dyDescent="0.25">
      <c r="A7060" s="22" t="s">
        <v>8</v>
      </c>
      <c r="B7060" s="18" t="s">
        <v>15273</v>
      </c>
      <c r="C7060" s="19" t="s">
        <v>6959</v>
      </c>
      <c r="D7060" s="19" t="s">
        <v>22483</v>
      </c>
      <c r="E7060" s="19" t="s">
        <v>32076</v>
      </c>
      <c r="F7060" s="19" t="s">
        <v>35998</v>
      </c>
      <c r="G7060" s="18" t="str">
        <f>"39429"</f>
        <v>39429</v>
      </c>
      <c r="H7060" s="19" t="s">
        <v>30850</v>
      </c>
      <c r="I7060" s="20">
        <v>21.146999999999998</v>
      </c>
      <c r="J7060" s="44" t="s">
        <v>8</v>
      </c>
      <c r="K7060" s="23" t="s">
        <v>8</v>
      </c>
      <c r="L7060" s="23" t="s">
        <v>8</v>
      </c>
      <c r="M7060" s="23" t="s">
        <v>8</v>
      </c>
    </row>
    <row r="7061" spans="1:13" s="21" customFormat="1" x14ac:dyDescent="0.25">
      <c r="A7061" s="22" t="s">
        <v>8</v>
      </c>
      <c r="B7061" s="18" t="s">
        <v>15274</v>
      </c>
      <c r="C7061" s="19" t="s">
        <v>6960</v>
      </c>
      <c r="D7061" s="19" t="s">
        <v>22484</v>
      </c>
      <c r="E7061" s="19" t="s">
        <v>31810</v>
      </c>
      <c r="F7061" s="19" t="s">
        <v>35998</v>
      </c>
      <c r="G7061" s="18" t="str">
        <f>"38732"</f>
        <v>38732</v>
      </c>
      <c r="H7061" s="19" t="s">
        <v>33582</v>
      </c>
      <c r="I7061" s="20">
        <v>19.928999999999998</v>
      </c>
      <c r="J7061" s="44" t="s">
        <v>8</v>
      </c>
      <c r="K7061" s="23" t="s">
        <v>8</v>
      </c>
      <c r="L7061" s="23" t="s">
        <v>8</v>
      </c>
      <c r="M7061" s="23" t="s">
        <v>8</v>
      </c>
    </row>
    <row r="7062" spans="1:13" s="21" customFormat="1" x14ac:dyDescent="0.25">
      <c r="A7062" s="22" t="s">
        <v>8</v>
      </c>
      <c r="B7062" s="18" t="s">
        <v>15275</v>
      </c>
      <c r="C7062" s="19" t="s">
        <v>6961</v>
      </c>
      <c r="D7062" s="19" t="s">
        <v>22485</v>
      </c>
      <c r="E7062" s="19" t="s">
        <v>32354</v>
      </c>
      <c r="F7062" s="19" t="s">
        <v>35998</v>
      </c>
      <c r="G7062" s="18" t="str">
        <f>"38751"</f>
        <v>38751</v>
      </c>
      <c r="H7062" s="19" t="s">
        <v>36488</v>
      </c>
      <c r="I7062" s="20">
        <v>20.442</v>
      </c>
      <c r="J7062" s="44" t="s">
        <v>8</v>
      </c>
      <c r="K7062" s="23" t="s">
        <v>8</v>
      </c>
      <c r="L7062" s="23" t="s">
        <v>8</v>
      </c>
      <c r="M7062" s="23" t="s">
        <v>8</v>
      </c>
    </row>
    <row r="7063" spans="1:13" s="21" customFormat="1" x14ac:dyDescent="0.25">
      <c r="A7063" s="22" t="s">
        <v>8</v>
      </c>
      <c r="B7063" s="18" t="s">
        <v>15276</v>
      </c>
      <c r="C7063" s="19" t="s">
        <v>6962</v>
      </c>
      <c r="D7063" s="19" t="s">
        <v>22486</v>
      </c>
      <c r="E7063" s="19" t="s">
        <v>33518</v>
      </c>
      <c r="F7063" s="19" t="s">
        <v>35998</v>
      </c>
      <c r="G7063" s="18" t="str">
        <f>"39111"</f>
        <v>39111</v>
      </c>
      <c r="H7063" s="19" t="s">
        <v>36344</v>
      </c>
      <c r="I7063" s="20">
        <v>19.021999999999998</v>
      </c>
      <c r="J7063" s="44" t="s">
        <v>8</v>
      </c>
      <c r="K7063" s="23" t="s">
        <v>8</v>
      </c>
      <c r="L7063" s="23" t="s">
        <v>8</v>
      </c>
      <c r="M7063" s="23" t="s">
        <v>8</v>
      </c>
    </row>
    <row r="7064" spans="1:13" s="21" customFormat="1" x14ac:dyDescent="0.25">
      <c r="A7064" s="22" t="s">
        <v>8</v>
      </c>
      <c r="B7064" s="18" t="str">
        <f>"255050"</f>
        <v>255050</v>
      </c>
      <c r="C7064" s="19" t="s">
        <v>6963</v>
      </c>
      <c r="D7064" s="19" t="s">
        <v>22487</v>
      </c>
      <c r="E7064" s="19" t="s">
        <v>33519</v>
      </c>
      <c r="F7064" s="19" t="s">
        <v>35998</v>
      </c>
      <c r="G7064" s="18" t="str">
        <f>"39474"</f>
        <v>39474</v>
      </c>
      <c r="H7064" s="19" t="s">
        <v>36356</v>
      </c>
      <c r="I7064" s="20">
        <v>18.239000000000001</v>
      </c>
      <c r="J7064" s="44" t="s">
        <v>8</v>
      </c>
      <c r="K7064" s="23" t="s">
        <v>8</v>
      </c>
      <c r="L7064" s="23" t="s">
        <v>8</v>
      </c>
      <c r="M7064" s="23" t="s">
        <v>8</v>
      </c>
    </row>
    <row r="7065" spans="1:13" s="21" customFormat="1" x14ac:dyDescent="0.25">
      <c r="A7065" s="22" t="s">
        <v>8</v>
      </c>
      <c r="B7065" s="18" t="str">
        <f>"255072"</f>
        <v>255072</v>
      </c>
      <c r="C7065" s="19" t="s">
        <v>6964</v>
      </c>
      <c r="D7065" s="19" t="s">
        <v>22488</v>
      </c>
      <c r="E7065" s="19" t="s">
        <v>31696</v>
      </c>
      <c r="F7065" s="19" t="s">
        <v>35998</v>
      </c>
      <c r="G7065" s="18" t="str">
        <f>"39339"</f>
        <v>39339</v>
      </c>
      <c r="H7065" s="19" t="s">
        <v>36032</v>
      </c>
      <c r="I7065" s="20">
        <v>19.375</v>
      </c>
      <c r="J7065" s="44" t="s">
        <v>8</v>
      </c>
      <c r="K7065" s="23" t="s">
        <v>8</v>
      </c>
      <c r="L7065" s="23" t="s">
        <v>8</v>
      </c>
      <c r="M7065" s="23" t="s">
        <v>8</v>
      </c>
    </row>
    <row r="7066" spans="1:13" s="21" customFormat="1" x14ac:dyDescent="0.25">
      <c r="A7066" s="22" t="s">
        <v>8</v>
      </c>
      <c r="B7066" s="18" t="str">
        <f>"255091"</f>
        <v>255091</v>
      </c>
      <c r="C7066" s="19" t="s">
        <v>6965</v>
      </c>
      <c r="D7066" s="19" t="s">
        <v>22489</v>
      </c>
      <c r="E7066" s="19" t="s">
        <v>32692</v>
      </c>
      <c r="F7066" s="19" t="s">
        <v>35998</v>
      </c>
      <c r="G7066" s="18" t="str">
        <f>"39095"</f>
        <v>39095</v>
      </c>
      <c r="H7066" s="19" t="s">
        <v>34081</v>
      </c>
      <c r="I7066" s="20">
        <v>18.785</v>
      </c>
      <c r="J7066" s="44" t="s">
        <v>8</v>
      </c>
      <c r="K7066" s="23" t="s">
        <v>8</v>
      </c>
      <c r="L7066" s="23" t="s">
        <v>8</v>
      </c>
      <c r="M7066" s="23" t="s">
        <v>8</v>
      </c>
    </row>
    <row r="7067" spans="1:13" s="21" customFormat="1" x14ac:dyDescent="0.25">
      <c r="A7067" s="22" t="s">
        <v>8</v>
      </c>
      <c r="B7067" s="18" t="str">
        <f>"255092"</f>
        <v>255092</v>
      </c>
      <c r="C7067" s="19" t="s">
        <v>6966</v>
      </c>
      <c r="D7067" s="19" t="s">
        <v>22490</v>
      </c>
      <c r="E7067" s="19" t="s">
        <v>31550</v>
      </c>
      <c r="F7067" s="19" t="s">
        <v>35998</v>
      </c>
      <c r="G7067" s="18" t="str">
        <f>"39501"</f>
        <v>39501</v>
      </c>
      <c r="H7067" s="19" t="s">
        <v>31020</v>
      </c>
      <c r="I7067" s="20">
        <v>17.533999999999999</v>
      </c>
      <c r="J7067" s="44" t="s">
        <v>8</v>
      </c>
      <c r="K7067" s="23" t="s">
        <v>8</v>
      </c>
      <c r="L7067" s="23" t="s">
        <v>8</v>
      </c>
      <c r="M7067" s="23" t="s">
        <v>8</v>
      </c>
    </row>
    <row r="7068" spans="1:13" s="21" customFormat="1" x14ac:dyDescent="0.25">
      <c r="A7068" s="22" t="s">
        <v>8</v>
      </c>
      <c r="B7068" s="18" t="str">
        <f>"255093"</f>
        <v>255093</v>
      </c>
      <c r="C7068" s="19" t="s">
        <v>6967</v>
      </c>
      <c r="D7068" s="19" t="s">
        <v>22491</v>
      </c>
      <c r="E7068" s="19" t="s">
        <v>33520</v>
      </c>
      <c r="F7068" s="19" t="s">
        <v>35998</v>
      </c>
      <c r="G7068" s="18" t="str">
        <f>"39531"</f>
        <v>39531</v>
      </c>
      <c r="H7068" s="19" t="s">
        <v>31020</v>
      </c>
      <c r="I7068" s="20">
        <v>24.774000000000001</v>
      </c>
      <c r="J7068" s="44" t="s">
        <v>8</v>
      </c>
      <c r="K7068" s="23" t="s">
        <v>8</v>
      </c>
      <c r="L7068" s="23" t="s">
        <v>8</v>
      </c>
      <c r="M7068" s="23" t="s">
        <v>8</v>
      </c>
    </row>
    <row r="7069" spans="1:13" s="21" customFormat="1" x14ac:dyDescent="0.25">
      <c r="A7069" s="22" t="s">
        <v>8</v>
      </c>
      <c r="B7069" s="18" t="str">
        <f>"255095"</f>
        <v>255095</v>
      </c>
      <c r="C7069" s="19" t="s">
        <v>6968</v>
      </c>
      <c r="D7069" s="19" t="s">
        <v>22492</v>
      </c>
      <c r="E7069" s="19" t="s">
        <v>32957</v>
      </c>
      <c r="F7069" s="19" t="s">
        <v>35998</v>
      </c>
      <c r="G7069" s="18" t="str">
        <f>"39440"</f>
        <v>39440</v>
      </c>
      <c r="H7069" s="19" t="s">
        <v>34651</v>
      </c>
      <c r="I7069" s="20">
        <v>26.295999999999999</v>
      </c>
      <c r="J7069" s="44" t="s">
        <v>8</v>
      </c>
      <c r="K7069" s="23" t="s">
        <v>8</v>
      </c>
      <c r="L7069" s="23" t="s">
        <v>8</v>
      </c>
      <c r="M7069" s="23" t="s">
        <v>8</v>
      </c>
    </row>
    <row r="7070" spans="1:13" s="21" customFormat="1" x14ac:dyDescent="0.25">
      <c r="A7070" s="22" t="s">
        <v>8</v>
      </c>
      <c r="B7070" s="18" t="str">
        <f>"255096"</f>
        <v>255096</v>
      </c>
      <c r="C7070" s="19" t="s">
        <v>6969</v>
      </c>
      <c r="D7070" s="19" t="s">
        <v>22493</v>
      </c>
      <c r="E7070" s="19" t="s">
        <v>31696</v>
      </c>
      <c r="F7070" s="19" t="s">
        <v>35998</v>
      </c>
      <c r="G7070" s="18" t="str">
        <f>"39339"</f>
        <v>39339</v>
      </c>
      <c r="H7070" s="19" t="s">
        <v>36032</v>
      </c>
      <c r="I7070" s="20">
        <v>17.914000000000001</v>
      </c>
      <c r="J7070" s="44" t="s">
        <v>8</v>
      </c>
      <c r="K7070" s="23" t="s">
        <v>8</v>
      </c>
      <c r="L7070" s="23" t="s">
        <v>8</v>
      </c>
      <c r="M7070" s="23" t="s">
        <v>8</v>
      </c>
    </row>
    <row r="7071" spans="1:13" s="21" customFormat="1" x14ac:dyDescent="0.25">
      <c r="A7071" s="22" t="s">
        <v>8</v>
      </c>
      <c r="B7071" s="18" t="str">
        <f>"255097"</f>
        <v>255097</v>
      </c>
      <c r="C7071" s="19" t="s">
        <v>6970</v>
      </c>
      <c r="D7071" s="19" t="s">
        <v>22494</v>
      </c>
      <c r="E7071" s="19" t="s">
        <v>33521</v>
      </c>
      <c r="F7071" s="19" t="s">
        <v>35998</v>
      </c>
      <c r="G7071" s="18" t="str">
        <f>"39730"</f>
        <v>39730</v>
      </c>
      <c r="H7071" s="19" t="s">
        <v>31711</v>
      </c>
      <c r="I7071" s="20">
        <v>19.745000000000001</v>
      </c>
      <c r="J7071" s="44" t="s">
        <v>8</v>
      </c>
      <c r="K7071" s="23" t="s">
        <v>8</v>
      </c>
      <c r="L7071" s="23" t="s">
        <v>8</v>
      </c>
      <c r="M7071" s="23" t="s">
        <v>8</v>
      </c>
    </row>
    <row r="7072" spans="1:13" s="21" customFormat="1" x14ac:dyDescent="0.25">
      <c r="A7072" s="22" t="s">
        <v>8</v>
      </c>
      <c r="B7072" s="18" t="str">
        <f>"255100"</f>
        <v>255100</v>
      </c>
      <c r="C7072" s="19" t="s">
        <v>6971</v>
      </c>
      <c r="D7072" s="19" t="s">
        <v>22495</v>
      </c>
      <c r="E7072" s="19" t="s">
        <v>33522</v>
      </c>
      <c r="F7072" s="19" t="s">
        <v>35998</v>
      </c>
      <c r="G7072" s="18" t="str">
        <f>"39667"</f>
        <v>39667</v>
      </c>
      <c r="H7072" s="19" t="s">
        <v>36489</v>
      </c>
      <c r="I7072" s="20">
        <v>17.565999999999999</v>
      </c>
      <c r="J7072" s="44" t="s">
        <v>8</v>
      </c>
      <c r="K7072" s="23" t="s">
        <v>8</v>
      </c>
      <c r="L7072" s="23" t="s">
        <v>8</v>
      </c>
      <c r="M7072" s="23" t="s">
        <v>8</v>
      </c>
    </row>
    <row r="7073" spans="1:13" s="21" customFormat="1" x14ac:dyDescent="0.25">
      <c r="A7073" s="22" t="s">
        <v>8</v>
      </c>
      <c r="B7073" s="18" t="str">
        <f>"255101"</f>
        <v>255101</v>
      </c>
      <c r="C7073" s="19" t="s">
        <v>6972</v>
      </c>
      <c r="D7073" s="19" t="s">
        <v>22496</v>
      </c>
      <c r="E7073" s="19" t="s">
        <v>33523</v>
      </c>
      <c r="F7073" s="19" t="s">
        <v>35998</v>
      </c>
      <c r="G7073" s="18" t="str">
        <f>"39648"</f>
        <v>39648</v>
      </c>
      <c r="H7073" s="19" t="s">
        <v>36033</v>
      </c>
      <c r="I7073" s="20">
        <v>24.975999999999999</v>
      </c>
      <c r="J7073" s="44" t="s">
        <v>8</v>
      </c>
      <c r="K7073" s="23" t="s">
        <v>8</v>
      </c>
      <c r="L7073" s="23" t="s">
        <v>8</v>
      </c>
      <c r="M7073" s="23" t="s">
        <v>8</v>
      </c>
    </row>
    <row r="7074" spans="1:13" s="21" customFormat="1" x14ac:dyDescent="0.25">
      <c r="A7074" s="22" t="s">
        <v>8</v>
      </c>
      <c r="B7074" s="18" t="str">
        <f>"255102"</f>
        <v>255102</v>
      </c>
      <c r="C7074" s="19" t="s">
        <v>6973</v>
      </c>
      <c r="D7074" s="19" t="s">
        <v>22497</v>
      </c>
      <c r="E7074" s="19" t="s">
        <v>33524</v>
      </c>
      <c r="F7074" s="19" t="s">
        <v>35998</v>
      </c>
      <c r="G7074" s="18" t="str">
        <f>"38663"</f>
        <v>38663</v>
      </c>
      <c r="H7074" s="19" t="s">
        <v>36490</v>
      </c>
      <c r="I7074" s="20">
        <v>19.318999999999999</v>
      </c>
      <c r="J7074" s="44" t="s">
        <v>8</v>
      </c>
      <c r="K7074" s="23" t="s">
        <v>8</v>
      </c>
      <c r="L7074" s="23" t="s">
        <v>8</v>
      </c>
      <c r="M7074" s="23" t="s">
        <v>8</v>
      </c>
    </row>
    <row r="7075" spans="1:13" s="21" customFormat="1" x14ac:dyDescent="0.25">
      <c r="A7075" s="22" t="s">
        <v>8</v>
      </c>
      <c r="B7075" s="18" t="str">
        <f>"255103"</f>
        <v>255103</v>
      </c>
      <c r="C7075" s="19" t="s">
        <v>6974</v>
      </c>
      <c r="D7075" s="19" t="s">
        <v>22498</v>
      </c>
      <c r="E7075" s="19" t="s">
        <v>30816</v>
      </c>
      <c r="F7075" s="19" t="s">
        <v>35998</v>
      </c>
      <c r="G7075" s="18" t="str">
        <f>"39213"</f>
        <v>39213</v>
      </c>
      <c r="H7075" s="19" t="s">
        <v>36491</v>
      </c>
      <c r="I7075" s="20">
        <v>18.024000000000001</v>
      </c>
      <c r="J7075" s="44" t="s">
        <v>8</v>
      </c>
      <c r="K7075" s="23" t="s">
        <v>8</v>
      </c>
      <c r="L7075" s="23" t="s">
        <v>8</v>
      </c>
      <c r="M7075" s="23" t="s">
        <v>8</v>
      </c>
    </row>
    <row r="7076" spans="1:13" s="21" customFormat="1" x14ac:dyDescent="0.25">
      <c r="A7076" s="22" t="s">
        <v>8</v>
      </c>
      <c r="B7076" s="18" t="str">
        <f>"255104"</f>
        <v>255104</v>
      </c>
      <c r="C7076" s="19" t="s">
        <v>6975</v>
      </c>
      <c r="D7076" s="19" t="s">
        <v>22499</v>
      </c>
      <c r="E7076" s="19" t="s">
        <v>33525</v>
      </c>
      <c r="F7076" s="19" t="s">
        <v>35998</v>
      </c>
      <c r="G7076" s="18" t="str">
        <f>"38901"</f>
        <v>38901</v>
      </c>
      <c r="H7076" s="19" t="s">
        <v>33525</v>
      </c>
      <c r="I7076" s="20">
        <v>19.698</v>
      </c>
      <c r="J7076" s="44" t="s">
        <v>8</v>
      </c>
      <c r="K7076" s="23" t="s">
        <v>8</v>
      </c>
      <c r="L7076" s="23" t="s">
        <v>8</v>
      </c>
      <c r="M7076" s="23" t="s">
        <v>8</v>
      </c>
    </row>
    <row r="7077" spans="1:13" s="21" customFormat="1" x14ac:dyDescent="0.25">
      <c r="A7077" s="22" t="s">
        <v>8</v>
      </c>
      <c r="B7077" s="18" t="str">
        <f>"255105"</f>
        <v>255105</v>
      </c>
      <c r="C7077" s="19" t="s">
        <v>6976</v>
      </c>
      <c r="D7077" s="19" t="s">
        <v>22500</v>
      </c>
      <c r="E7077" s="19" t="s">
        <v>33526</v>
      </c>
      <c r="F7077" s="19" t="s">
        <v>35998</v>
      </c>
      <c r="G7077" s="18" t="str">
        <f>"38804"</f>
        <v>38804</v>
      </c>
      <c r="H7077" s="19" t="s">
        <v>33138</v>
      </c>
      <c r="I7077" s="20">
        <v>19.315999999999999</v>
      </c>
      <c r="J7077" s="44" t="s">
        <v>8</v>
      </c>
      <c r="K7077" s="23" t="s">
        <v>8</v>
      </c>
      <c r="L7077" s="23" t="s">
        <v>8</v>
      </c>
      <c r="M7077" s="23" t="s">
        <v>8</v>
      </c>
    </row>
    <row r="7078" spans="1:13" s="21" customFormat="1" x14ac:dyDescent="0.25">
      <c r="A7078" s="22" t="s">
        <v>8</v>
      </c>
      <c r="B7078" s="18" t="str">
        <f>"255106"</f>
        <v>255106</v>
      </c>
      <c r="C7078" s="19" t="s">
        <v>6977</v>
      </c>
      <c r="D7078" s="19" t="s">
        <v>22501</v>
      </c>
      <c r="E7078" s="19" t="s">
        <v>31623</v>
      </c>
      <c r="F7078" s="19" t="s">
        <v>35998</v>
      </c>
      <c r="G7078" s="18" t="str">
        <f>"39042"</f>
        <v>39042</v>
      </c>
      <c r="H7078" s="19" t="s">
        <v>36492</v>
      </c>
      <c r="I7078" s="20">
        <v>23.279</v>
      </c>
      <c r="J7078" s="44" t="s">
        <v>8</v>
      </c>
      <c r="K7078" s="23" t="s">
        <v>8</v>
      </c>
      <c r="L7078" s="23" t="s">
        <v>8</v>
      </c>
      <c r="M7078" s="23" t="s">
        <v>8</v>
      </c>
    </row>
    <row r="7079" spans="1:13" s="21" customFormat="1" x14ac:dyDescent="0.25">
      <c r="A7079" s="22" t="s">
        <v>8</v>
      </c>
      <c r="B7079" s="18" t="str">
        <f>"255108"</f>
        <v>255108</v>
      </c>
      <c r="C7079" s="19" t="s">
        <v>6978</v>
      </c>
      <c r="D7079" s="19" t="s">
        <v>22502</v>
      </c>
      <c r="E7079" s="19" t="s">
        <v>33527</v>
      </c>
      <c r="F7079" s="19" t="s">
        <v>35998</v>
      </c>
      <c r="G7079" s="18" t="str">
        <f>"39051"</f>
        <v>39051</v>
      </c>
      <c r="H7079" s="19" t="s">
        <v>36493</v>
      </c>
      <c r="I7079" s="20">
        <v>21.367999999999999</v>
      </c>
      <c r="J7079" s="44" t="s">
        <v>8</v>
      </c>
      <c r="K7079" s="23" t="s">
        <v>8</v>
      </c>
      <c r="L7079" s="23" t="s">
        <v>8</v>
      </c>
      <c r="M7079" s="23" t="s">
        <v>8</v>
      </c>
    </row>
    <row r="7080" spans="1:13" s="21" customFormat="1" x14ac:dyDescent="0.25">
      <c r="A7080" s="22" t="s">
        <v>8</v>
      </c>
      <c r="B7080" s="18" t="str">
        <f>"255109"</f>
        <v>255109</v>
      </c>
      <c r="C7080" s="19" t="s">
        <v>6979</v>
      </c>
      <c r="D7080" s="19" t="s">
        <v>22503</v>
      </c>
      <c r="E7080" s="19" t="s">
        <v>33528</v>
      </c>
      <c r="F7080" s="19" t="s">
        <v>35998</v>
      </c>
      <c r="G7080" s="18" t="str">
        <f>"38671"</f>
        <v>38671</v>
      </c>
      <c r="H7080" s="19" t="s">
        <v>35316</v>
      </c>
      <c r="I7080" s="20">
        <v>23.707999999999998</v>
      </c>
      <c r="J7080" s="44" t="s">
        <v>8</v>
      </c>
      <c r="K7080" s="23" t="s">
        <v>8</v>
      </c>
      <c r="L7080" s="23" t="s">
        <v>8</v>
      </c>
      <c r="M7080" s="23" t="s">
        <v>8</v>
      </c>
    </row>
    <row r="7081" spans="1:13" s="21" customFormat="1" x14ac:dyDescent="0.25">
      <c r="A7081" s="22" t="s">
        <v>8</v>
      </c>
      <c r="B7081" s="18" t="str">
        <f>"255110"</f>
        <v>255110</v>
      </c>
      <c r="C7081" s="19" t="s">
        <v>6980</v>
      </c>
      <c r="D7081" s="19" t="s">
        <v>22504</v>
      </c>
      <c r="E7081" s="19" t="s">
        <v>33529</v>
      </c>
      <c r="F7081" s="19" t="s">
        <v>35998</v>
      </c>
      <c r="G7081" s="18" t="str">
        <f>"38834"</f>
        <v>38834</v>
      </c>
      <c r="H7081" s="19" t="s">
        <v>36494</v>
      </c>
      <c r="I7081" s="20">
        <v>22.111999999999998</v>
      </c>
      <c r="J7081" s="44" t="s">
        <v>8</v>
      </c>
      <c r="K7081" s="23" t="s">
        <v>8</v>
      </c>
      <c r="L7081" s="23" t="s">
        <v>8</v>
      </c>
      <c r="M7081" s="23" t="s">
        <v>8</v>
      </c>
    </row>
    <row r="7082" spans="1:13" s="21" customFormat="1" x14ac:dyDescent="0.25">
      <c r="A7082" s="22" t="s">
        <v>8</v>
      </c>
      <c r="B7082" s="18" t="str">
        <f>"255111"</f>
        <v>255111</v>
      </c>
      <c r="C7082" s="19" t="s">
        <v>6981</v>
      </c>
      <c r="D7082" s="19" t="s">
        <v>22505</v>
      </c>
      <c r="E7082" s="19" t="s">
        <v>32540</v>
      </c>
      <c r="F7082" s="19" t="s">
        <v>35998</v>
      </c>
      <c r="G7082" s="18" t="str">
        <f>"39773"</f>
        <v>39773</v>
      </c>
      <c r="H7082" s="19" t="s">
        <v>36030</v>
      </c>
      <c r="I7082" s="20">
        <v>21.050999999999998</v>
      </c>
      <c r="J7082" s="44" t="s">
        <v>8</v>
      </c>
      <c r="K7082" s="23" t="s">
        <v>8</v>
      </c>
      <c r="L7082" s="23" t="s">
        <v>8</v>
      </c>
      <c r="M7082" s="23" t="s">
        <v>8</v>
      </c>
    </row>
    <row r="7083" spans="1:13" s="21" customFormat="1" x14ac:dyDescent="0.25">
      <c r="A7083" s="22" t="s">
        <v>8</v>
      </c>
      <c r="B7083" s="18" t="str">
        <f>"255112"</f>
        <v>255112</v>
      </c>
      <c r="C7083" s="19" t="s">
        <v>6982</v>
      </c>
      <c r="D7083" s="19" t="s">
        <v>22506</v>
      </c>
      <c r="E7083" s="19" t="s">
        <v>30816</v>
      </c>
      <c r="F7083" s="19" t="s">
        <v>35998</v>
      </c>
      <c r="G7083" s="18" t="str">
        <f>"39204"</f>
        <v>39204</v>
      </c>
      <c r="H7083" s="19" t="s">
        <v>36491</v>
      </c>
      <c r="I7083" s="20">
        <v>21.521000000000001</v>
      </c>
      <c r="J7083" s="44" t="s">
        <v>8</v>
      </c>
      <c r="K7083" s="23" t="s">
        <v>8</v>
      </c>
      <c r="L7083" s="23" t="s">
        <v>8</v>
      </c>
      <c r="M7083" s="23" t="s">
        <v>8</v>
      </c>
    </row>
    <row r="7084" spans="1:13" s="21" customFormat="1" x14ac:dyDescent="0.25">
      <c r="A7084" s="22" t="s">
        <v>8</v>
      </c>
      <c r="B7084" s="18" t="str">
        <f>"255113"</f>
        <v>255113</v>
      </c>
      <c r="C7084" s="19" t="s">
        <v>6983</v>
      </c>
      <c r="D7084" s="19" t="s">
        <v>22507</v>
      </c>
      <c r="E7084" s="19" t="s">
        <v>33530</v>
      </c>
      <c r="F7084" s="19" t="s">
        <v>35998</v>
      </c>
      <c r="G7084" s="18" t="str">
        <f>"38771"</f>
        <v>38771</v>
      </c>
      <c r="H7084" s="19" t="s">
        <v>36488</v>
      </c>
      <c r="I7084" s="20">
        <v>20.664999999999999</v>
      </c>
      <c r="J7084" s="44" t="s">
        <v>8</v>
      </c>
      <c r="K7084" s="23" t="s">
        <v>8</v>
      </c>
      <c r="L7084" s="23" t="s">
        <v>8</v>
      </c>
      <c r="M7084" s="23" t="s">
        <v>8</v>
      </c>
    </row>
    <row r="7085" spans="1:13" s="21" customFormat="1" x14ac:dyDescent="0.25">
      <c r="A7085" s="22" t="s">
        <v>8</v>
      </c>
      <c r="B7085" s="18" t="str">
        <f>"255114"</f>
        <v>255114</v>
      </c>
      <c r="C7085" s="19" t="s">
        <v>6984</v>
      </c>
      <c r="D7085" s="19" t="s">
        <v>22508</v>
      </c>
      <c r="E7085" s="19" t="s">
        <v>31810</v>
      </c>
      <c r="F7085" s="19" t="s">
        <v>35998</v>
      </c>
      <c r="G7085" s="18" t="str">
        <f>"38732"</f>
        <v>38732</v>
      </c>
      <c r="H7085" s="19" t="s">
        <v>33582</v>
      </c>
      <c r="I7085" s="20">
        <v>19.815000000000001</v>
      </c>
      <c r="J7085" s="44" t="s">
        <v>8</v>
      </c>
      <c r="K7085" s="23" t="s">
        <v>8</v>
      </c>
      <c r="L7085" s="23" t="s">
        <v>8</v>
      </c>
      <c r="M7085" s="23" t="s">
        <v>8</v>
      </c>
    </row>
    <row r="7086" spans="1:13" s="21" customFormat="1" x14ac:dyDescent="0.25">
      <c r="A7086" s="22" t="s">
        <v>8</v>
      </c>
      <c r="B7086" s="18" t="str">
        <f>"255115"</f>
        <v>255115</v>
      </c>
      <c r="C7086" s="19" t="s">
        <v>6985</v>
      </c>
      <c r="D7086" s="19" t="s">
        <v>22509</v>
      </c>
      <c r="E7086" s="19" t="s">
        <v>30816</v>
      </c>
      <c r="F7086" s="19" t="s">
        <v>35998</v>
      </c>
      <c r="G7086" s="18" t="str">
        <f>"39206"</f>
        <v>39206</v>
      </c>
      <c r="H7086" s="19" t="s">
        <v>36491</v>
      </c>
      <c r="I7086" s="20">
        <v>19.596</v>
      </c>
      <c r="J7086" s="44" t="s">
        <v>8</v>
      </c>
      <c r="K7086" s="23" t="s">
        <v>8</v>
      </c>
      <c r="L7086" s="23" t="s">
        <v>8</v>
      </c>
      <c r="M7086" s="23" t="s">
        <v>8</v>
      </c>
    </row>
    <row r="7087" spans="1:13" s="21" customFormat="1" x14ac:dyDescent="0.25">
      <c r="A7087" s="22" t="s">
        <v>8</v>
      </c>
      <c r="B7087" s="18" t="str">
        <f>"255116"</f>
        <v>255116</v>
      </c>
      <c r="C7087" s="19" t="s">
        <v>6986</v>
      </c>
      <c r="D7087" s="19" t="s">
        <v>22510</v>
      </c>
      <c r="E7087" s="19" t="s">
        <v>30816</v>
      </c>
      <c r="F7087" s="19" t="s">
        <v>35998</v>
      </c>
      <c r="G7087" s="18" t="str">
        <f>"39216"</f>
        <v>39216</v>
      </c>
      <c r="H7087" s="19" t="s">
        <v>36491</v>
      </c>
      <c r="I7087" s="20">
        <v>25.904</v>
      </c>
      <c r="J7087" s="44" t="s">
        <v>8</v>
      </c>
      <c r="K7087" s="23" t="s">
        <v>8</v>
      </c>
      <c r="L7087" s="23" t="s">
        <v>8</v>
      </c>
      <c r="M7087" s="23" t="s">
        <v>8</v>
      </c>
    </row>
    <row r="7088" spans="1:13" s="21" customFormat="1" x14ac:dyDescent="0.25">
      <c r="A7088" s="22" t="s">
        <v>8</v>
      </c>
      <c r="B7088" s="18" t="str">
        <f>"255117"</f>
        <v>255117</v>
      </c>
      <c r="C7088" s="19" t="s">
        <v>6987</v>
      </c>
      <c r="D7088" s="19" t="s">
        <v>22511</v>
      </c>
      <c r="E7088" s="19" t="s">
        <v>33512</v>
      </c>
      <c r="F7088" s="19" t="s">
        <v>35998</v>
      </c>
      <c r="G7088" s="18" t="str">
        <f>"39744"</f>
        <v>39744</v>
      </c>
      <c r="H7088" s="19" t="s">
        <v>33048</v>
      </c>
      <c r="I7088" s="20">
        <v>25.094000000000001</v>
      </c>
      <c r="J7088" s="44" t="s">
        <v>8</v>
      </c>
      <c r="K7088" s="23" t="s">
        <v>8</v>
      </c>
      <c r="L7088" s="23" t="s">
        <v>8</v>
      </c>
      <c r="M7088" s="23" t="s">
        <v>8</v>
      </c>
    </row>
    <row r="7089" spans="1:13" s="21" customFormat="1" x14ac:dyDescent="0.25">
      <c r="A7089" s="22" t="s">
        <v>8</v>
      </c>
      <c r="B7089" s="18" t="str">
        <f>"255118"</f>
        <v>255118</v>
      </c>
      <c r="C7089" s="19" t="s">
        <v>6988</v>
      </c>
      <c r="D7089" s="19" t="s">
        <v>22512</v>
      </c>
      <c r="E7089" s="19" t="s">
        <v>31905</v>
      </c>
      <c r="F7089" s="19" t="s">
        <v>35998</v>
      </c>
      <c r="G7089" s="18" t="str">
        <f>"39301"</f>
        <v>39301</v>
      </c>
      <c r="H7089" s="19" t="s">
        <v>36036</v>
      </c>
      <c r="I7089" s="20">
        <v>20.751000000000001</v>
      </c>
      <c r="J7089" s="44" t="s">
        <v>8</v>
      </c>
      <c r="K7089" s="23" t="s">
        <v>8</v>
      </c>
      <c r="L7089" s="23" t="s">
        <v>8</v>
      </c>
      <c r="M7089" s="23" t="s">
        <v>8</v>
      </c>
    </row>
    <row r="7090" spans="1:13" s="21" customFormat="1" x14ac:dyDescent="0.25">
      <c r="A7090" s="22" t="s">
        <v>8</v>
      </c>
      <c r="B7090" s="18" t="str">
        <f>"255119"</f>
        <v>255119</v>
      </c>
      <c r="C7090" s="19" t="s">
        <v>6989</v>
      </c>
      <c r="D7090" s="19" t="s">
        <v>22513</v>
      </c>
      <c r="E7090" s="19" t="s">
        <v>33513</v>
      </c>
      <c r="F7090" s="19" t="s">
        <v>35998</v>
      </c>
      <c r="G7090" s="18" t="str">
        <f>"38821"</f>
        <v>38821</v>
      </c>
      <c r="H7090" s="19" t="s">
        <v>31711</v>
      </c>
      <c r="I7090" s="20">
        <v>21.398</v>
      </c>
      <c r="J7090" s="44" t="s">
        <v>8</v>
      </c>
      <c r="K7090" s="23" t="s">
        <v>8</v>
      </c>
      <c r="L7090" s="23" t="s">
        <v>8</v>
      </c>
      <c r="M7090" s="23" t="s">
        <v>8</v>
      </c>
    </row>
    <row r="7091" spans="1:13" s="21" customFormat="1" x14ac:dyDescent="0.25">
      <c r="A7091" s="22" t="s">
        <v>8</v>
      </c>
      <c r="B7091" s="18" t="str">
        <f>"255125"</f>
        <v>255125</v>
      </c>
      <c r="C7091" s="19" t="s">
        <v>6990</v>
      </c>
      <c r="D7091" s="19" t="s">
        <v>22514</v>
      </c>
      <c r="E7091" s="19" t="s">
        <v>30816</v>
      </c>
      <c r="F7091" s="19" t="s">
        <v>35998</v>
      </c>
      <c r="G7091" s="18" t="str">
        <f>"39204"</f>
        <v>39204</v>
      </c>
      <c r="H7091" s="19" t="s">
        <v>36491</v>
      </c>
      <c r="I7091" s="20">
        <v>20.898</v>
      </c>
      <c r="J7091" s="44" t="s">
        <v>8</v>
      </c>
      <c r="K7091" s="23" t="s">
        <v>8</v>
      </c>
      <c r="L7091" s="23" t="s">
        <v>8</v>
      </c>
      <c r="M7091" s="23" t="s">
        <v>8</v>
      </c>
    </row>
    <row r="7092" spans="1:13" s="21" customFormat="1" x14ac:dyDescent="0.25">
      <c r="A7092" s="22" t="s">
        <v>8</v>
      </c>
      <c r="B7092" s="18" t="str">
        <f>"255126"</f>
        <v>255126</v>
      </c>
      <c r="C7092" s="19" t="s">
        <v>6991</v>
      </c>
      <c r="D7092" s="19" t="s">
        <v>22515</v>
      </c>
      <c r="E7092" s="19" t="s">
        <v>30806</v>
      </c>
      <c r="F7092" s="19" t="s">
        <v>35998</v>
      </c>
      <c r="G7092" s="18" t="str">
        <f>"39631"</f>
        <v>39631</v>
      </c>
      <c r="H7092" s="19" t="s">
        <v>36179</v>
      </c>
      <c r="I7092" s="20">
        <v>20.925000000000001</v>
      </c>
      <c r="J7092" s="44" t="s">
        <v>8</v>
      </c>
      <c r="K7092" s="23" t="s">
        <v>8</v>
      </c>
      <c r="L7092" s="23" t="s">
        <v>8</v>
      </c>
      <c r="M7092" s="23" t="s">
        <v>8</v>
      </c>
    </row>
    <row r="7093" spans="1:13" s="21" customFormat="1" x14ac:dyDescent="0.25">
      <c r="A7093" s="22" t="s">
        <v>8</v>
      </c>
      <c r="B7093" s="18" t="str">
        <f>"255127"</f>
        <v>255127</v>
      </c>
      <c r="C7093" s="19" t="s">
        <v>6992</v>
      </c>
      <c r="D7093" s="19" t="s">
        <v>22516</v>
      </c>
      <c r="E7093" s="19" t="s">
        <v>33509</v>
      </c>
      <c r="F7093" s="19" t="s">
        <v>35998</v>
      </c>
      <c r="G7093" s="18" t="str">
        <f>"38852"</f>
        <v>38852</v>
      </c>
      <c r="H7093" s="19" t="s">
        <v>36483</v>
      </c>
      <c r="I7093" s="20">
        <v>18.853999999999999</v>
      </c>
      <c r="J7093" s="44" t="s">
        <v>8</v>
      </c>
      <c r="K7093" s="23" t="s">
        <v>8</v>
      </c>
      <c r="L7093" s="23" t="s">
        <v>8</v>
      </c>
      <c r="M7093" s="23" t="s">
        <v>8</v>
      </c>
    </row>
    <row r="7094" spans="1:13" s="21" customFormat="1" x14ac:dyDescent="0.25">
      <c r="A7094" s="22" t="s">
        <v>8</v>
      </c>
      <c r="B7094" s="18" t="str">
        <f>"255128"</f>
        <v>255128</v>
      </c>
      <c r="C7094" s="19" t="s">
        <v>6993</v>
      </c>
      <c r="D7094" s="19" t="s">
        <v>22517</v>
      </c>
      <c r="E7094" s="19" t="s">
        <v>33530</v>
      </c>
      <c r="F7094" s="19" t="s">
        <v>35998</v>
      </c>
      <c r="G7094" s="18" t="str">
        <f>"38771"</f>
        <v>38771</v>
      </c>
      <c r="H7094" s="19" t="s">
        <v>36488</v>
      </c>
      <c r="I7094" s="20">
        <v>18.866</v>
      </c>
      <c r="J7094" s="44" t="s">
        <v>8</v>
      </c>
      <c r="K7094" s="23" t="s">
        <v>8</v>
      </c>
      <c r="L7094" s="23" t="s">
        <v>8</v>
      </c>
      <c r="M7094" s="23" t="s">
        <v>8</v>
      </c>
    </row>
    <row r="7095" spans="1:13" s="21" customFormat="1" x14ac:dyDescent="0.25">
      <c r="A7095" s="22" t="s">
        <v>8</v>
      </c>
      <c r="B7095" s="18" t="str">
        <f>"255130"</f>
        <v>255130</v>
      </c>
      <c r="C7095" s="19" t="s">
        <v>6994</v>
      </c>
      <c r="D7095" s="19" t="s">
        <v>22518</v>
      </c>
      <c r="E7095" s="19" t="s">
        <v>33524</v>
      </c>
      <c r="F7095" s="19" t="s">
        <v>35998</v>
      </c>
      <c r="G7095" s="18" t="str">
        <f>"38663"</f>
        <v>38663</v>
      </c>
      <c r="H7095" s="19" t="s">
        <v>36490</v>
      </c>
      <c r="I7095" s="20">
        <v>19.228999999999999</v>
      </c>
      <c r="J7095" s="44" t="s">
        <v>8</v>
      </c>
      <c r="K7095" s="23" t="s">
        <v>8</v>
      </c>
      <c r="L7095" s="23" t="s">
        <v>8</v>
      </c>
      <c r="M7095" s="23" t="s">
        <v>8</v>
      </c>
    </row>
    <row r="7096" spans="1:13" s="21" customFormat="1" x14ac:dyDescent="0.25">
      <c r="A7096" s="22" t="s">
        <v>8</v>
      </c>
      <c r="B7096" s="18" t="str">
        <f>"255136"</f>
        <v>255136</v>
      </c>
      <c r="C7096" s="19" t="s">
        <v>6995</v>
      </c>
      <c r="D7096" s="19" t="s">
        <v>22519</v>
      </c>
      <c r="E7096" s="19" t="s">
        <v>33526</v>
      </c>
      <c r="F7096" s="19" t="s">
        <v>35998</v>
      </c>
      <c r="G7096" s="18" t="str">
        <f>"38804"</f>
        <v>38804</v>
      </c>
      <c r="H7096" s="19" t="s">
        <v>33138</v>
      </c>
      <c r="I7096" s="20">
        <v>21.253</v>
      </c>
      <c r="J7096" s="44" t="s">
        <v>8</v>
      </c>
      <c r="K7096" s="23" t="s">
        <v>8</v>
      </c>
      <c r="L7096" s="23" t="s">
        <v>8</v>
      </c>
      <c r="M7096" s="23" t="s">
        <v>8</v>
      </c>
    </row>
    <row r="7097" spans="1:13" s="21" customFormat="1" x14ac:dyDescent="0.25">
      <c r="A7097" s="22" t="s">
        <v>8</v>
      </c>
      <c r="B7097" s="18" t="str">
        <f>"255137"</f>
        <v>255137</v>
      </c>
      <c r="C7097" s="19" t="s">
        <v>6996</v>
      </c>
      <c r="D7097" s="19" t="s">
        <v>22474</v>
      </c>
      <c r="E7097" s="19" t="s">
        <v>33514</v>
      </c>
      <c r="F7097" s="19" t="s">
        <v>35998</v>
      </c>
      <c r="G7097" s="18" t="str">
        <f>"39350"</f>
        <v>39350</v>
      </c>
      <c r="H7097" s="19" t="s">
        <v>36484</v>
      </c>
      <c r="I7097" s="20">
        <v>19.827999999999999</v>
      </c>
      <c r="J7097" s="44" t="s">
        <v>8</v>
      </c>
      <c r="K7097" s="23" t="s">
        <v>8</v>
      </c>
      <c r="L7097" s="23" t="s">
        <v>8</v>
      </c>
      <c r="M7097" s="23" t="s">
        <v>8</v>
      </c>
    </row>
    <row r="7098" spans="1:13" s="21" customFormat="1" x14ac:dyDescent="0.25">
      <c r="A7098" s="22" t="s">
        <v>8</v>
      </c>
      <c r="B7098" s="18" t="str">
        <f>"255138"</f>
        <v>255138</v>
      </c>
      <c r="C7098" s="19" t="s">
        <v>6997</v>
      </c>
      <c r="D7098" s="19" t="s">
        <v>22520</v>
      </c>
      <c r="E7098" s="19" t="s">
        <v>30809</v>
      </c>
      <c r="F7098" s="19" t="s">
        <v>35998</v>
      </c>
      <c r="G7098" s="18" t="str">
        <f>"38603"</f>
        <v>38603</v>
      </c>
      <c r="H7098" s="19" t="s">
        <v>31024</v>
      </c>
      <c r="I7098" s="20">
        <v>18.96</v>
      </c>
      <c r="J7098" s="44" t="s">
        <v>8</v>
      </c>
      <c r="K7098" s="23" t="s">
        <v>8</v>
      </c>
      <c r="L7098" s="23" t="s">
        <v>8</v>
      </c>
      <c r="M7098" s="23" t="s">
        <v>8</v>
      </c>
    </row>
    <row r="7099" spans="1:13" s="21" customFormat="1" x14ac:dyDescent="0.25">
      <c r="A7099" s="22" t="s">
        <v>8</v>
      </c>
      <c r="B7099" s="18" t="str">
        <f>"255139"</f>
        <v>255139</v>
      </c>
      <c r="C7099" s="19" t="s">
        <v>6998</v>
      </c>
      <c r="D7099" s="19" t="s">
        <v>22521</v>
      </c>
      <c r="E7099" s="19" t="s">
        <v>30998</v>
      </c>
      <c r="F7099" s="19" t="s">
        <v>35998</v>
      </c>
      <c r="G7099" s="18" t="str">
        <f>"38606"</f>
        <v>38606</v>
      </c>
      <c r="H7099" s="19" t="s">
        <v>36495</v>
      </c>
      <c r="I7099" s="20">
        <v>19.899999999999999</v>
      </c>
      <c r="J7099" s="44" t="s">
        <v>8</v>
      </c>
      <c r="K7099" s="23" t="s">
        <v>8</v>
      </c>
      <c r="L7099" s="23" t="s">
        <v>8</v>
      </c>
      <c r="M7099" s="23" t="s">
        <v>8</v>
      </c>
    </row>
    <row r="7100" spans="1:13" s="21" customFormat="1" x14ac:dyDescent="0.25">
      <c r="A7100" s="22" t="s">
        <v>8</v>
      </c>
      <c r="B7100" s="18" t="str">
        <f>"255140"</f>
        <v>255140</v>
      </c>
      <c r="C7100" s="19" t="s">
        <v>6999</v>
      </c>
      <c r="D7100" s="19" t="s">
        <v>22522</v>
      </c>
      <c r="E7100" s="19" t="s">
        <v>33531</v>
      </c>
      <c r="F7100" s="19" t="s">
        <v>35998</v>
      </c>
      <c r="G7100" s="18" t="str">
        <f>"39180"</f>
        <v>39180</v>
      </c>
      <c r="H7100" s="19" t="s">
        <v>31025</v>
      </c>
      <c r="I7100" s="20">
        <v>19.739999999999998</v>
      </c>
      <c r="J7100" s="44" t="s">
        <v>8</v>
      </c>
      <c r="K7100" s="23" t="s">
        <v>8</v>
      </c>
      <c r="L7100" s="23" t="s">
        <v>8</v>
      </c>
      <c r="M7100" s="23" t="s">
        <v>8</v>
      </c>
    </row>
    <row r="7101" spans="1:13" s="21" customFormat="1" x14ac:dyDescent="0.25">
      <c r="A7101" s="22" t="s">
        <v>8</v>
      </c>
      <c r="B7101" s="18" t="str">
        <f>"255141"</f>
        <v>255141</v>
      </c>
      <c r="C7101" s="19" t="s">
        <v>7000</v>
      </c>
      <c r="D7101" s="19" t="s">
        <v>22523</v>
      </c>
      <c r="E7101" s="19" t="s">
        <v>33532</v>
      </c>
      <c r="F7101" s="19" t="s">
        <v>35998</v>
      </c>
      <c r="G7101" s="18" t="str">
        <f>"39466"</f>
        <v>39466</v>
      </c>
      <c r="H7101" s="19" t="s">
        <v>36496</v>
      </c>
      <c r="I7101" s="20">
        <v>19.584</v>
      </c>
      <c r="J7101" s="44" t="s">
        <v>8</v>
      </c>
      <c r="K7101" s="23" t="s">
        <v>8</v>
      </c>
      <c r="L7101" s="23" t="s">
        <v>8</v>
      </c>
      <c r="M7101" s="23" t="s">
        <v>8</v>
      </c>
    </row>
    <row r="7102" spans="1:13" s="21" customFormat="1" x14ac:dyDescent="0.25">
      <c r="A7102" s="22" t="s">
        <v>8</v>
      </c>
      <c r="B7102" s="18" t="str">
        <f>"255142"</f>
        <v>255142</v>
      </c>
      <c r="C7102" s="19" t="s">
        <v>7001</v>
      </c>
      <c r="D7102" s="19" t="s">
        <v>22524</v>
      </c>
      <c r="E7102" s="19" t="s">
        <v>33533</v>
      </c>
      <c r="F7102" s="19" t="s">
        <v>35998</v>
      </c>
      <c r="G7102" s="18" t="str">
        <f>"39564"</f>
        <v>39564</v>
      </c>
      <c r="H7102" s="19" t="s">
        <v>30816</v>
      </c>
      <c r="I7102" s="20">
        <v>18.309000000000001</v>
      </c>
      <c r="J7102" s="44" t="s">
        <v>8</v>
      </c>
      <c r="K7102" s="23" t="s">
        <v>8</v>
      </c>
      <c r="L7102" s="23" t="s">
        <v>8</v>
      </c>
      <c r="M7102" s="23" t="s">
        <v>8</v>
      </c>
    </row>
    <row r="7103" spans="1:13" s="21" customFormat="1" x14ac:dyDescent="0.25">
      <c r="A7103" s="22" t="s">
        <v>8</v>
      </c>
      <c r="B7103" s="18" t="str">
        <f>"255145"</f>
        <v>255145</v>
      </c>
      <c r="C7103" s="19" t="s">
        <v>7002</v>
      </c>
      <c r="D7103" s="19" t="s">
        <v>22525</v>
      </c>
      <c r="E7103" s="19" t="s">
        <v>33523</v>
      </c>
      <c r="F7103" s="19" t="s">
        <v>35998</v>
      </c>
      <c r="G7103" s="18" t="str">
        <f>"39648"</f>
        <v>39648</v>
      </c>
      <c r="H7103" s="19" t="s">
        <v>36033</v>
      </c>
      <c r="I7103" s="20">
        <v>21.146999999999998</v>
      </c>
      <c r="J7103" s="44" t="s">
        <v>8</v>
      </c>
      <c r="K7103" s="23" t="s">
        <v>8</v>
      </c>
      <c r="L7103" s="23" t="s">
        <v>8</v>
      </c>
      <c r="M7103" s="23" t="s">
        <v>8</v>
      </c>
    </row>
    <row r="7104" spans="1:13" s="21" customFormat="1" x14ac:dyDescent="0.25">
      <c r="A7104" s="22" t="s">
        <v>8</v>
      </c>
      <c r="B7104" s="18" t="str">
        <f>"255146"</f>
        <v>255146</v>
      </c>
      <c r="C7104" s="19" t="s">
        <v>7003</v>
      </c>
      <c r="D7104" s="19" t="s">
        <v>22526</v>
      </c>
      <c r="E7104" s="19" t="s">
        <v>33534</v>
      </c>
      <c r="F7104" s="19" t="s">
        <v>35998</v>
      </c>
      <c r="G7104" s="18" t="str">
        <f>"39194"</f>
        <v>39194</v>
      </c>
      <c r="H7104" s="19" t="s">
        <v>36497</v>
      </c>
      <c r="I7104" s="20">
        <v>18.346</v>
      </c>
      <c r="J7104" s="44" t="s">
        <v>8</v>
      </c>
      <c r="K7104" s="23" t="s">
        <v>8</v>
      </c>
      <c r="L7104" s="23" t="s">
        <v>8</v>
      </c>
      <c r="M7104" s="23" t="s">
        <v>8</v>
      </c>
    </row>
    <row r="7105" spans="1:13" s="21" customFormat="1" x14ac:dyDescent="0.25">
      <c r="A7105" s="22" t="s">
        <v>8</v>
      </c>
      <c r="B7105" s="18" t="str">
        <f>"255148"</f>
        <v>255148</v>
      </c>
      <c r="C7105" s="19" t="s">
        <v>7004</v>
      </c>
      <c r="D7105" s="19" t="s">
        <v>22527</v>
      </c>
      <c r="E7105" s="19" t="s">
        <v>31081</v>
      </c>
      <c r="F7105" s="19" t="s">
        <v>35998</v>
      </c>
      <c r="G7105" s="18" t="str">
        <f>"39056"</f>
        <v>39056</v>
      </c>
      <c r="H7105" s="19" t="s">
        <v>36491</v>
      </c>
      <c r="I7105" s="20">
        <v>20.553999999999998</v>
      </c>
      <c r="J7105" s="44" t="s">
        <v>8</v>
      </c>
      <c r="K7105" s="23" t="s">
        <v>8</v>
      </c>
      <c r="L7105" s="23" t="s">
        <v>8</v>
      </c>
      <c r="M7105" s="23" t="s">
        <v>8</v>
      </c>
    </row>
    <row r="7106" spans="1:13" s="21" customFormat="1" x14ac:dyDescent="0.25">
      <c r="A7106" s="22" t="s">
        <v>8</v>
      </c>
      <c r="B7106" s="18" t="str">
        <f>"255149"</f>
        <v>255149</v>
      </c>
      <c r="C7106" s="19" t="s">
        <v>7005</v>
      </c>
      <c r="D7106" s="19" t="s">
        <v>22528</v>
      </c>
      <c r="E7106" s="19" t="s">
        <v>33535</v>
      </c>
      <c r="F7106" s="19" t="s">
        <v>35998</v>
      </c>
      <c r="G7106" s="18" t="str">
        <f>"39465"</f>
        <v>39465</v>
      </c>
      <c r="H7106" s="19" t="s">
        <v>36498</v>
      </c>
      <c r="I7106" s="20">
        <v>19.376000000000001</v>
      </c>
      <c r="J7106" s="44" t="s">
        <v>8</v>
      </c>
      <c r="K7106" s="23" t="s">
        <v>8</v>
      </c>
      <c r="L7106" s="23" t="s">
        <v>8</v>
      </c>
      <c r="M7106" s="23" t="s">
        <v>8</v>
      </c>
    </row>
    <row r="7107" spans="1:13" s="21" customFormat="1" x14ac:dyDescent="0.25">
      <c r="A7107" s="22" t="s">
        <v>8</v>
      </c>
      <c r="B7107" s="18" t="str">
        <f>"255150"</f>
        <v>255150</v>
      </c>
      <c r="C7107" s="19" t="s">
        <v>7006</v>
      </c>
      <c r="D7107" s="19" t="s">
        <v>22529</v>
      </c>
      <c r="E7107" s="19" t="s">
        <v>33536</v>
      </c>
      <c r="F7107" s="19" t="s">
        <v>35998</v>
      </c>
      <c r="G7107" s="18" t="str">
        <f>"39114"</f>
        <v>39114</v>
      </c>
      <c r="H7107" s="19" t="s">
        <v>36344</v>
      </c>
      <c r="I7107" s="20">
        <v>18.902999999999999</v>
      </c>
      <c r="J7107" s="44" t="s">
        <v>8</v>
      </c>
      <c r="K7107" s="23" t="s">
        <v>8</v>
      </c>
      <c r="L7107" s="23" t="s">
        <v>8</v>
      </c>
      <c r="M7107" s="23" t="s">
        <v>8</v>
      </c>
    </row>
    <row r="7108" spans="1:13" s="21" customFormat="1" x14ac:dyDescent="0.25">
      <c r="A7108" s="22" t="s">
        <v>8</v>
      </c>
      <c r="B7108" s="18" t="str">
        <f>"255153"</f>
        <v>255153</v>
      </c>
      <c r="C7108" s="19" t="s">
        <v>7007</v>
      </c>
      <c r="D7108" s="19" t="s">
        <v>22530</v>
      </c>
      <c r="E7108" s="19" t="s">
        <v>32101</v>
      </c>
      <c r="F7108" s="19" t="s">
        <v>35998</v>
      </c>
      <c r="G7108" s="18" t="str">
        <f>"39345"</f>
        <v>39345</v>
      </c>
      <c r="H7108" s="19" t="s">
        <v>32101</v>
      </c>
      <c r="I7108" s="20">
        <v>19.988</v>
      </c>
      <c r="J7108" s="44" t="s">
        <v>8</v>
      </c>
      <c r="K7108" s="23" t="s">
        <v>8</v>
      </c>
      <c r="L7108" s="23" t="s">
        <v>8</v>
      </c>
      <c r="M7108" s="23" t="s">
        <v>8</v>
      </c>
    </row>
    <row r="7109" spans="1:13" s="21" customFormat="1" x14ac:dyDescent="0.25">
      <c r="A7109" s="22" t="s">
        <v>8</v>
      </c>
      <c r="B7109" s="18" t="str">
        <f>"255154"</f>
        <v>255154</v>
      </c>
      <c r="C7109" s="19" t="s">
        <v>7008</v>
      </c>
      <c r="D7109" s="19" t="s">
        <v>22531</v>
      </c>
      <c r="E7109" s="19" t="s">
        <v>32204</v>
      </c>
      <c r="F7109" s="19" t="s">
        <v>35998</v>
      </c>
      <c r="G7109" s="18" t="str">
        <f>"38930"</f>
        <v>38930</v>
      </c>
      <c r="H7109" s="19" t="s">
        <v>36499</v>
      </c>
      <c r="I7109" s="20">
        <v>20.466000000000001</v>
      </c>
      <c r="J7109" s="44" t="s">
        <v>8</v>
      </c>
      <c r="K7109" s="23" t="s">
        <v>8</v>
      </c>
      <c r="L7109" s="23" t="s">
        <v>8</v>
      </c>
      <c r="M7109" s="23" t="s">
        <v>8</v>
      </c>
    </row>
    <row r="7110" spans="1:13" s="21" customFormat="1" x14ac:dyDescent="0.25">
      <c r="A7110" s="22" t="s">
        <v>8</v>
      </c>
      <c r="B7110" s="18" t="str">
        <f>"255156"</f>
        <v>255156</v>
      </c>
      <c r="C7110" s="19" t="s">
        <v>7009</v>
      </c>
      <c r="D7110" s="19" t="s">
        <v>22532</v>
      </c>
      <c r="E7110" s="19" t="s">
        <v>33525</v>
      </c>
      <c r="F7110" s="19" t="s">
        <v>35998</v>
      </c>
      <c r="G7110" s="18" t="str">
        <f>"38901"</f>
        <v>38901</v>
      </c>
      <c r="H7110" s="19" t="s">
        <v>33525</v>
      </c>
      <c r="I7110" s="20">
        <v>17.965</v>
      </c>
      <c r="J7110" s="44" t="s">
        <v>8</v>
      </c>
      <c r="K7110" s="23" t="s">
        <v>8</v>
      </c>
      <c r="L7110" s="23" t="s">
        <v>8</v>
      </c>
      <c r="M7110" s="23" t="s">
        <v>8</v>
      </c>
    </row>
    <row r="7111" spans="1:13" s="21" customFormat="1" x14ac:dyDescent="0.25">
      <c r="A7111" s="22" t="s">
        <v>8</v>
      </c>
      <c r="B7111" s="18" t="str">
        <f>"255158"</f>
        <v>255158</v>
      </c>
      <c r="C7111" s="19" t="s">
        <v>7010</v>
      </c>
      <c r="D7111" s="19" t="s">
        <v>22533</v>
      </c>
      <c r="E7111" s="19" t="s">
        <v>33537</v>
      </c>
      <c r="F7111" s="19" t="s">
        <v>35998</v>
      </c>
      <c r="G7111" s="18" t="str">
        <f>"39401"</f>
        <v>39401</v>
      </c>
      <c r="H7111" s="19" t="s">
        <v>36498</v>
      </c>
      <c r="I7111" s="20">
        <v>24.582999999999998</v>
      </c>
      <c r="J7111" s="44" t="s">
        <v>8</v>
      </c>
      <c r="K7111" s="23" t="s">
        <v>8</v>
      </c>
      <c r="L7111" s="23" t="s">
        <v>8</v>
      </c>
      <c r="M7111" s="23" t="s">
        <v>8</v>
      </c>
    </row>
    <row r="7112" spans="1:13" s="21" customFormat="1" x14ac:dyDescent="0.25">
      <c r="A7112" s="22" t="s">
        <v>8</v>
      </c>
      <c r="B7112" s="18" t="str">
        <f>"255159"</f>
        <v>255159</v>
      </c>
      <c r="C7112" s="19" t="s">
        <v>7011</v>
      </c>
      <c r="D7112" s="19" t="s">
        <v>22534</v>
      </c>
      <c r="E7112" s="19" t="s">
        <v>33538</v>
      </c>
      <c r="F7112" s="19" t="s">
        <v>35998</v>
      </c>
      <c r="G7112" s="18" t="str">
        <f>"39476"</f>
        <v>39476</v>
      </c>
      <c r="H7112" s="19" t="s">
        <v>31503</v>
      </c>
      <c r="I7112" s="20">
        <v>21.123000000000001</v>
      </c>
      <c r="J7112" s="44" t="s">
        <v>8</v>
      </c>
      <c r="K7112" s="23" t="s">
        <v>8</v>
      </c>
      <c r="L7112" s="23" t="s">
        <v>8</v>
      </c>
      <c r="M7112" s="23" t="s">
        <v>8</v>
      </c>
    </row>
    <row r="7113" spans="1:13" s="21" customFormat="1" x14ac:dyDescent="0.25">
      <c r="A7113" s="22" t="s">
        <v>8</v>
      </c>
      <c r="B7113" s="18" t="str">
        <f>"255160"</f>
        <v>255160</v>
      </c>
      <c r="C7113" s="19" t="s">
        <v>7012</v>
      </c>
      <c r="D7113" s="19" t="s">
        <v>22535</v>
      </c>
      <c r="E7113" s="19" t="s">
        <v>32194</v>
      </c>
      <c r="F7113" s="19" t="s">
        <v>35998</v>
      </c>
      <c r="G7113" s="18" t="str">
        <f>"38843"</f>
        <v>38843</v>
      </c>
      <c r="H7113" s="19" t="s">
        <v>36500</v>
      </c>
      <c r="I7113" s="20">
        <v>16.843</v>
      </c>
      <c r="J7113" s="44" t="s">
        <v>8</v>
      </c>
      <c r="K7113" s="23" t="s">
        <v>8</v>
      </c>
      <c r="L7113" s="23" t="s">
        <v>8</v>
      </c>
      <c r="M7113" s="23" t="s">
        <v>8</v>
      </c>
    </row>
    <row r="7114" spans="1:13" s="21" customFormat="1" x14ac:dyDescent="0.25">
      <c r="A7114" s="22" t="s">
        <v>8</v>
      </c>
      <c r="B7114" s="18" t="str">
        <f>"255161"</f>
        <v>255161</v>
      </c>
      <c r="C7114" s="19" t="s">
        <v>7013</v>
      </c>
      <c r="D7114" s="19" t="s">
        <v>22536</v>
      </c>
      <c r="E7114" s="19" t="s">
        <v>33539</v>
      </c>
      <c r="F7114" s="19" t="s">
        <v>35998</v>
      </c>
      <c r="G7114" s="18" t="str">
        <f>"38824"</f>
        <v>38824</v>
      </c>
      <c r="H7114" s="19" t="s">
        <v>33138</v>
      </c>
      <c r="I7114" s="20">
        <v>19.381</v>
      </c>
      <c r="J7114" s="44" t="s">
        <v>8</v>
      </c>
      <c r="K7114" s="23" t="s">
        <v>8</v>
      </c>
      <c r="L7114" s="23" t="s">
        <v>8</v>
      </c>
      <c r="M7114" s="23" t="s">
        <v>8</v>
      </c>
    </row>
    <row r="7115" spans="1:13" s="21" customFormat="1" x14ac:dyDescent="0.25">
      <c r="A7115" s="22" t="s">
        <v>8</v>
      </c>
      <c r="B7115" s="18" t="str">
        <f>"255162"</f>
        <v>255162</v>
      </c>
      <c r="C7115" s="19" t="s">
        <v>7014</v>
      </c>
      <c r="D7115" s="19" t="s">
        <v>22537</v>
      </c>
      <c r="E7115" s="19" t="s">
        <v>33540</v>
      </c>
      <c r="F7115" s="19" t="s">
        <v>35998</v>
      </c>
      <c r="G7115" s="18" t="str">
        <f>"39601"</f>
        <v>39601</v>
      </c>
      <c r="H7115" s="19" t="s">
        <v>31995</v>
      </c>
      <c r="I7115" s="20">
        <v>19.603999999999999</v>
      </c>
      <c r="J7115" s="44" t="s">
        <v>8</v>
      </c>
      <c r="K7115" s="23" t="s">
        <v>8</v>
      </c>
      <c r="L7115" s="23" t="s">
        <v>8</v>
      </c>
      <c r="M7115" s="23" t="s">
        <v>8</v>
      </c>
    </row>
    <row r="7116" spans="1:13" s="21" customFormat="1" x14ac:dyDescent="0.25">
      <c r="A7116" s="22" t="s">
        <v>8</v>
      </c>
      <c r="B7116" s="18" t="str">
        <f>"255163"</f>
        <v>255163</v>
      </c>
      <c r="C7116" s="19" t="s">
        <v>7015</v>
      </c>
      <c r="D7116" s="19" t="s">
        <v>22538</v>
      </c>
      <c r="E7116" s="19" t="s">
        <v>33541</v>
      </c>
      <c r="F7116" s="19" t="s">
        <v>35998</v>
      </c>
      <c r="G7116" s="18" t="str">
        <f>"39525"</f>
        <v>39525</v>
      </c>
      <c r="H7116" s="19" t="s">
        <v>33144</v>
      </c>
      <c r="I7116" s="20">
        <v>23.032</v>
      </c>
      <c r="J7116" s="44" t="s">
        <v>8</v>
      </c>
      <c r="K7116" s="23" t="s">
        <v>8</v>
      </c>
      <c r="L7116" s="23" t="s">
        <v>8</v>
      </c>
      <c r="M7116" s="23" t="s">
        <v>8</v>
      </c>
    </row>
    <row r="7117" spans="1:13" s="21" customFormat="1" x14ac:dyDescent="0.25">
      <c r="A7117" s="22" t="s">
        <v>8</v>
      </c>
      <c r="B7117" s="18" t="str">
        <f>"255164"</f>
        <v>255164</v>
      </c>
      <c r="C7117" s="19" t="s">
        <v>7016</v>
      </c>
      <c r="D7117" s="19" t="s">
        <v>22539</v>
      </c>
      <c r="E7117" s="19" t="s">
        <v>30805</v>
      </c>
      <c r="F7117" s="19" t="s">
        <v>35998</v>
      </c>
      <c r="G7117" s="18" t="str">
        <f>"39069"</f>
        <v>39069</v>
      </c>
      <c r="H7117" s="19" t="s">
        <v>32391</v>
      </c>
      <c r="I7117" s="20">
        <v>19.379000000000001</v>
      </c>
      <c r="J7117" s="44" t="s">
        <v>8</v>
      </c>
      <c r="K7117" s="23" t="s">
        <v>8</v>
      </c>
      <c r="L7117" s="23" t="s">
        <v>8</v>
      </c>
      <c r="M7117" s="23" t="s">
        <v>8</v>
      </c>
    </row>
    <row r="7118" spans="1:13" s="21" customFormat="1" x14ac:dyDescent="0.25">
      <c r="A7118" s="22" t="s">
        <v>8</v>
      </c>
      <c r="B7118" s="18" t="str">
        <f>"255166"</f>
        <v>255166</v>
      </c>
      <c r="C7118" s="19" t="s">
        <v>7017</v>
      </c>
      <c r="D7118" s="19" t="s">
        <v>22540</v>
      </c>
      <c r="E7118" s="19" t="s">
        <v>31905</v>
      </c>
      <c r="F7118" s="19" t="s">
        <v>35998</v>
      </c>
      <c r="G7118" s="18" t="str">
        <f>"39301"</f>
        <v>39301</v>
      </c>
      <c r="H7118" s="19" t="s">
        <v>36036</v>
      </c>
      <c r="I7118" s="20">
        <v>17.501999999999999</v>
      </c>
      <c r="J7118" s="44" t="s">
        <v>8</v>
      </c>
      <c r="K7118" s="23" t="s">
        <v>8</v>
      </c>
      <c r="L7118" s="23" t="s">
        <v>8</v>
      </c>
      <c r="M7118" s="23" t="s">
        <v>8</v>
      </c>
    </row>
    <row r="7119" spans="1:13" s="21" customFormat="1" x14ac:dyDescent="0.25">
      <c r="A7119" s="22" t="s">
        <v>8</v>
      </c>
      <c r="B7119" s="18" t="str">
        <f>"255168"</f>
        <v>255168</v>
      </c>
      <c r="C7119" s="19" t="s">
        <v>7018</v>
      </c>
      <c r="D7119" s="19" t="s">
        <v>22541</v>
      </c>
      <c r="E7119" s="19" t="s">
        <v>33537</v>
      </c>
      <c r="F7119" s="19" t="s">
        <v>35998</v>
      </c>
      <c r="G7119" s="18" t="str">
        <f>"39402"</f>
        <v>39402</v>
      </c>
      <c r="H7119" s="19" t="s">
        <v>36498</v>
      </c>
      <c r="I7119" s="20">
        <v>17.617000000000001</v>
      </c>
      <c r="J7119" s="44" t="s">
        <v>8</v>
      </c>
      <c r="K7119" s="23" t="s">
        <v>8</v>
      </c>
      <c r="L7119" s="23" t="s">
        <v>8</v>
      </c>
      <c r="M7119" s="23" t="s">
        <v>8</v>
      </c>
    </row>
    <row r="7120" spans="1:13" s="21" customFormat="1" x14ac:dyDescent="0.25">
      <c r="A7120" s="22" t="s">
        <v>8</v>
      </c>
      <c r="B7120" s="18" t="str">
        <f>"255169"</f>
        <v>255169</v>
      </c>
      <c r="C7120" s="19" t="s">
        <v>7019</v>
      </c>
      <c r="D7120" s="19" t="s">
        <v>22542</v>
      </c>
      <c r="E7120" s="19" t="s">
        <v>33542</v>
      </c>
      <c r="F7120" s="19" t="s">
        <v>35998</v>
      </c>
      <c r="G7120" s="18" t="str">
        <f>"39120"</f>
        <v>39120</v>
      </c>
      <c r="H7120" s="19" t="s">
        <v>33467</v>
      </c>
      <c r="I7120" s="20">
        <v>24.532</v>
      </c>
      <c r="J7120" s="44" t="s">
        <v>8</v>
      </c>
      <c r="K7120" s="23" t="s">
        <v>8</v>
      </c>
      <c r="L7120" s="23" t="s">
        <v>8</v>
      </c>
      <c r="M7120" s="23" t="s">
        <v>8</v>
      </c>
    </row>
    <row r="7121" spans="1:13" s="21" customFormat="1" x14ac:dyDescent="0.25">
      <c r="A7121" s="22" t="s">
        <v>8</v>
      </c>
      <c r="B7121" s="18" t="str">
        <f>"255171"</f>
        <v>255171</v>
      </c>
      <c r="C7121" s="19" t="s">
        <v>7020</v>
      </c>
      <c r="D7121" s="19" t="s">
        <v>22543</v>
      </c>
      <c r="E7121" s="19" t="s">
        <v>33325</v>
      </c>
      <c r="F7121" s="19" t="s">
        <v>35998</v>
      </c>
      <c r="G7121" s="18" t="str">
        <f>"38967"</f>
        <v>38967</v>
      </c>
      <c r="H7121" s="19" t="s">
        <v>30833</v>
      </c>
      <c r="I7121" s="20">
        <v>18.47</v>
      </c>
      <c r="J7121" s="44" t="s">
        <v>8</v>
      </c>
      <c r="K7121" s="23" t="s">
        <v>8</v>
      </c>
      <c r="L7121" s="23" t="s">
        <v>8</v>
      </c>
      <c r="M7121" s="23" t="s">
        <v>8</v>
      </c>
    </row>
    <row r="7122" spans="1:13" s="21" customFormat="1" x14ac:dyDescent="0.25">
      <c r="A7122" s="22" t="s">
        <v>8</v>
      </c>
      <c r="B7122" s="18" t="str">
        <f>"255172"</f>
        <v>255172</v>
      </c>
      <c r="C7122" s="19" t="s">
        <v>7021</v>
      </c>
      <c r="D7122" s="19" t="s">
        <v>22544</v>
      </c>
      <c r="E7122" s="19" t="s">
        <v>33515</v>
      </c>
      <c r="F7122" s="19" t="s">
        <v>35998</v>
      </c>
      <c r="G7122" s="18" t="str">
        <f>"39759"</f>
        <v>39759</v>
      </c>
      <c r="H7122" s="19" t="s">
        <v>36485</v>
      </c>
      <c r="I7122" s="20">
        <v>23.504000000000001</v>
      </c>
      <c r="J7122" s="44" t="s">
        <v>8</v>
      </c>
      <c r="K7122" s="23" t="s">
        <v>8</v>
      </c>
      <c r="L7122" s="23" t="s">
        <v>8</v>
      </c>
      <c r="M7122" s="23" t="s">
        <v>8</v>
      </c>
    </row>
    <row r="7123" spans="1:13" s="21" customFormat="1" x14ac:dyDescent="0.25">
      <c r="A7123" s="22" t="s">
        <v>8</v>
      </c>
      <c r="B7123" s="18" t="str">
        <f>"255173"</f>
        <v>255173</v>
      </c>
      <c r="C7123" s="19" t="s">
        <v>7022</v>
      </c>
      <c r="D7123" s="19" t="s">
        <v>22545</v>
      </c>
      <c r="E7123" s="19" t="s">
        <v>33542</v>
      </c>
      <c r="F7123" s="19" t="s">
        <v>35998</v>
      </c>
      <c r="G7123" s="18" t="str">
        <f>"39120"</f>
        <v>39120</v>
      </c>
      <c r="H7123" s="19" t="s">
        <v>33467</v>
      </c>
      <c r="I7123" s="20">
        <v>19.87</v>
      </c>
      <c r="J7123" s="44" t="s">
        <v>8</v>
      </c>
      <c r="K7123" s="23" t="s">
        <v>8</v>
      </c>
      <c r="L7123" s="23" t="s">
        <v>8</v>
      </c>
      <c r="M7123" s="23" t="s">
        <v>8</v>
      </c>
    </row>
    <row r="7124" spans="1:13" s="21" customFormat="1" x14ac:dyDescent="0.25">
      <c r="A7124" s="22" t="s">
        <v>8</v>
      </c>
      <c r="B7124" s="18" t="str">
        <f>"255174"</f>
        <v>255174</v>
      </c>
      <c r="C7124" s="19" t="s">
        <v>7023</v>
      </c>
      <c r="D7124" s="19" t="s">
        <v>22546</v>
      </c>
      <c r="E7124" s="19" t="s">
        <v>33543</v>
      </c>
      <c r="F7124" s="19" t="s">
        <v>35998</v>
      </c>
      <c r="G7124" s="18" t="str">
        <f>"39563"</f>
        <v>39563</v>
      </c>
      <c r="H7124" s="19" t="s">
        <v>30816</v>
      </c>
      <c r="I7124" s="20">
        <v>18.300999999999998</v>
      </c>
      <c r="J7124" s="44" t="s">
        <v>8</v>
      </c>
      <c r="K7124" s="23" t="s">
        <v>8</v>
      </c>
      <c r="L7124" s="23" t="s">
        <v>8</v>
      </c>
      <c r="M7124" s="23" t="s">
        <v>8</v>
      </c>
    </row>
    <row r="7125" spans="1:13" s="21" customFormat="1" x14ac:dyDescent="0.25">
      <c r="A7125" s="22" t="s">
        <v>8</v>
      </c>
      <c r="B7125" s="18" t="str">
        <f>"255175"</f>
        <v>255175</v>
      </c>
      <c r="C7125" s="19" t="s">
        <v>7024</v>
      </c>
      <c r="D7125" s="19" t="s">
        <v>22547</v>
      </c>
      <c r="E7125" s="19" t="s">
        <v>33540</v>
      </c>
      <c r="F7125" s="19" t="s">
        <v>35998</v>
      </c>
      <c r="G7125" s="18" t="str">
        <f>"39601"</f>
        <v>39601</v>
      </c>
      <c r="H7125" s="19" t="s">
        <v>31995</v>
      </c>
      <c r="I7125" s="20">
        <v>20.097000000000001</v>
      </c>
      <c r="J7125" s="44" t="s">
        <v>8</v>
      </c>
      <c r="K7125" s="23" t="s">
        <v>8</v>
      </c>
      <c r="L7125" s="23" t="s">
        <v>8</v>
      </c>
      <c r="M7125" s="23" t="s">
        <v>8</v>
      </c>
    </row>
    <row r="7126" spans="1:13" s="21" customFormat="1" x14ac:dyDescent="0.25">
      <c r="A7126" s="22" t="s">
        <v>8</v>
      </c>
      <c r="B7126" s="18" t="str">
        <f>"255179"</f>
        <v>255179</v>
      </c>
      <c r="C7126" s="19" t="s">
        <v>7025</v>
      </c>
      <c r="D7126" s="19" t="s">
        <v>22548</v>
      </c>
      <c r="E7126" s="19" t="s">
        <v>33544</v>
      </c>
      <c r="F7126" s="19" t="s">
        <v>35998</v>
      </c>
      <c r="G7126" s="18" t="str">
        <f>"39451"</f>
        <v>39451</v>
      </c>
      <c r="H7126" s="19" t="s">
        <v>32455</v>
      </c>
      <c r="I7126" s="20">
        <v>20.382999999999999</v>
      </c>
      <c r="J7126" s="44" t="s">
        <v>8</v>
      </c>
      <c r="K7126" s="23" t="s">
        <v>8</v>
      </c>
      <c r="L7126" s="23" t="s">
        <v>8</v>
      </c>
      <c r="M7126" s="23" t="s">
        <v>8</v>
      </c>
    </row>
    <row r="7127" spans="1:13" s="21" customFormat="1" x14ac:dyDescent="0.25">
      <c r="A7127" s="22" t="s">
        <v>8</v>
      </c>
      <c r="B7127" s="18" t="str">
        <f>"255181"</f>
        <v>255181</v>
      </c>
      <c r="C7127" s="19" t="s">
        <v>7026</v>
      </c>
      <c r="D7127" s="19" t="s">
        <v>22549</v>
      </c>
      <c r="E7127" s="19" t="s">
        <v>33545</v>
      </c>
      <c r="F7127" s="19" t="s">
        <v>35998</v>
      </c>
      <c r="G7127" s="18" t="str">
        <f>"39452"</f>
        <v>39452</v>
      </c>
      <c r="H7127" s="19" t="s">
        <v>32401</v>
      </c>
      <c r="I7127" s="20">
        <v>19.324999999999999</v>
      </c>
      <c r="J7127" s="44" t="s">
        <v>8</v>
      </c>
      <c r="K7127" s="23" t="s">
        <v>8</v>
      </c>
      <c r="L7127" s="23" t="s">
        <v>8</v>
      </c>
      <c r="M7127" s="23" t="s">
        <v>8</v>
      </c>
    </row>
    <row r="7128" spans="1:13" s="21" customFormat="1" x14ac:dyDescent="0.25">
      <c r="A7128" s="22" t="s">
        <v>8</v>
      </c>
      <c r="B7128" s="18" t="str">
        <f>"255182"</f>
        <v>255182</v>
      </c>
      <c r="C7128" s="19" t="s">
        <v>7027</v>
      </c>
      <c r="D7128" s="19" t="s">
        <v>22550</v>
      </c>
      <c r="E7128" s="19" t="s">
        <v>31550</v>
      </c>
      <c r="F7128" s="19" t="s">
        <v>35998</v>
      </c>
      <c r="G7128" s="18" t="str">
        <f>"39503"</f>
        <v>39503</v>
      </c>
      <c r="H7128" s="19" t="s">
        <v>31020</v>
      </c>
      <c r="I7128" s="20">
        <v>21.23</v>
      </c>
      <c r="J7128" s="44" t="s">
        <v>8</v>
      </c>
      <c r="K7128" s="23" t="s">
        <v>8</v>
      </c>
      <c r="L7128" s="23" t="s">
        <v>8</v>
      </c>
      <c r="M7128" s="23" t="s">
        <v>8</v>
      </c>
    </row>
    <row r="7129" spans="1:13" s="21" customFormat="1" x14ac:dyDescent="0.25">
      <c r="A7129" s="22" t="s">
        <v>8</v>
      </c>
      <c r="B7129" s="18" t="str">
        <f>"255185"</f>
        <v>255185</v>
      </c>
      <c r="C7129" s="19" t="s">
        <v>7028</v>
      </c>
      <c r="D7129" s="19" t="s">
        <v>22551</v>
      </c>
      <c r="E7129" s="19" t="s">
        <v>32354</v>
      </c>
      <c r="F7129" s="19" t="s">
        <v>35998</v>
      </c>
      <c r="G7129" s="18" t="str">
        <f>"38751"</f>
        <v>38751</v>
      </c>
      <c r="H7129" s="19" t="s">
        <v>36488</v>
      </c>
      <c r="I7129" s="20">
        <v>16.920999999999999</v>
      </c>
      <c r="J7129" s="44" t="s">
        <v>8</v>
      </c>
      <c r="K7129" s="23" t="s">
        <v>8</v>
      </c>
      <c r="L7129" s="23" t="s">
        <v>8</v>
      </c>
      <c r="M7129" s="23" t="s">
        <v>8</v>
      </c>
    </row>
    <row r="7130" spans="1:13" s="21" customFormat="1" x14ac:dyDescent="0.25">
      <c r="A7130" s="22" t="s">
        <v>8</v>
      </c>
      <c r="B7130" s="18" t="str">
        <f>"255191"</f>
        <v>255191</v>
      </c>
      <c r="C7130" s="19" t="s">
        <v>7029</v>
      </c>
      <c r="D7130" s="19" t="s">
        <v>22552</v>
      </c>
      <c r="E7130" s="19" t="s">
        <v>33546</v>
      </c>
      <c r="F7130" s="19" t="s">
        <v>35998</v>
      </c>
      <c r="G7130" s="18" t="str">
        <f>"39090"</f>
        <v>39090</v>
      </c>
      <c r="H7130" s="19" t="s">
        <v>36501</v>
      </c>
      <c r="I7130" s="20">
        <v>20.645</v>
      </c>
      <c r="J7130" s="44" t="s">
        <v>8</v>
      </c>
      <c r="K7130" s="23" t="s">
        <v>8</v>
      </c>
      <c r="L7130" s="23" t="s">
        <v>8</v>
      </c>
      <c r="M7130" s="23" t="s">
        <v>8</v>
      </c>
    </row>
    <row r="7131" spans="1:13" s="21" customFormat="1" x14ac:dyDescent="0.25">
      <c r="A7131" s="22" t="s">
        <v>8</v>
      </c>
      <c r="B7131" s="18" t="str">
        <f>"255192"</f>
        <v>255192</v>
      </c>
      <c r="C7131" s="19" t="s">
        <v>7030</v>
      </c>
      <c r="D7131" s="19" t="s">
        <v>22553</v>
      </c>
      <c r="E7131" s="19" t="s">
        <v>33547</v>
      </c>
      <c r="F7131" s="19" t="s">
        <v>35998</v>
      </c>
      <c r="G7131" s="18" t="str">
        <f>"39150"</f>
        <v>39150</v>
      </c>
      <c r="H7131" s="19" t="s">
        <v>36360</v>
      </c>
      <c r="I7131" s="20">
        <v>20.062000000000001</v>
      </c>
      <c r="J7131" s="44" t="s">
        <v>8</v>
      </c>
      <c r="K7131" s="23" t="s">
        <v>8</v>
      </c>
      <c r="L7131" s="23" t="s">
        <v>8</v>
      </c>
      <c r="M7131" s="23" t="s">
        <v>8</v>
      </c>
    </row>
    <row r="7132" spans="1:13" s="21" customFormat="1" x14ac:dyDescent="0.25">
      <c r="A7132" s="22" t="s">
        <v>8</v>
      </c>
      <c r="B7132" s="18" t="str">
        <f>"255206"</f>
        <v>255206</v>
      </c>
      <c r="C7132" s="19" t="s">
        <v>7031</v>
      </c>
      <c r="D7132" s="19" t="s">
        <v>22554</v>
      </c>
      <c r="E7132" s="19" t="s">
        <v>31715</v>
      </c>
      <c r="F7132" s="19" t="s">
        <v>35998</v>
      </c>
      <c r="G7132" s="18" t="str">
        <f>"39702"</f>
        <v>39702</v>
      </c>
      <c r="H7132" s="19" t="s">
        <v>36047</v>
      </c>
      <c r="I7132" s="20">
        <v>24.8</v>
      </c>
      <c r="J7132" s="44" t="s">
        <v>8</v>
      </c>
      <c r="K7132" s="23" t="s">
        <v>8</v>
      </c>
      <c r="L7132" s="23" t="s">
        <v>8</v>
      </c>
      <c r="M7132" s="23" t="s">
        <v>8</v>
      </c>
    </row>
    <row r="7133" spans="1:13" s="21" customFormat="1" x14ac:dyDescent="0.25">
      <c r="A7133" s="22" t="s">
        <v>8</v>
      </c>
      <c r="B7133" s="18" t="str">
        <f>"255207"</f>
        <v>255207</v>
      </c>
      <c r="C7133" s="19" t="s">
        <v>7032</v>
      </c>
      <c r="D7133" s="19" t="s">
        <v>22555</v>
      </c>
      <c r="E7133" s="19" t="s">
        <v>33548</v>
      </c>
      <c r="F7133" s="19" t="s">
        <v>35998</v>
      </c>
      <c r="G7133" s="18" t="str">
        <f>"39581"</f>
        <v>39581</v>
      </c>
      <c r="H7133" s="19" t="s">
        <v>30816</v>
      </c>
      <c r="I7133" s="20">
        <v>17.812999999999999</v>
      </c>
      <c r="J7133" s="44" t="s">
        <v>8</v>
      </c>
      <c r="K7133" s="23" t="s">
        <v>8</v>
      </c>
      <c r="L7133" s="23" t="s">
        <v>8</v>
      </c>
      <c r="M7133" s="23" t="s">
        <v>8</v>
      </c>
    </row>
    <row r="7134" spans="1:13" s="21" customFormat="1" x14ac:dyDescent="0.25">
      <c r="A7134" s="22" t="s">
        <v>8</v>
      </c>
      <c r="B7134" s="18" t="str">
        <f>"255210"</f>
        <v>255210</v>
      </c>
      <c r="C7134" s="19" t="s">
        <v>7033</v>
      </c>
      <c r="D7134" s="19" t="s">
        <v>22556</v>
      </c>
      <c r="E7134" s="19" t="s">
        <v>31835</v>
      </c>
      <c r="F7134" s="19" t="s">
        <v>35998</v>
      </c>
      <c r="G7134" s="18" t="str">
        <f>"39083"</f>
        <v>39083</v>
      </c>
      <c r="H7134" s="19" t="s">
        <v>36502</v>
      </c>
      <c r="I7134" s="20">
        <v>18.001999999999999</v>
      </c>
      <c r="J7134" s="44" t="s">
        <v>8</v>
      </c>
      <c r="K7134" s="23" t="s">
        <v>8</v>
      </c>
      <c r="L7134" s="23" t="s">
        <v>8</v>
      </c>
      <c r="M7134" s="23" t="s">
        <v>8</v>
      </c>
    </row>
    <row r="7135" spans="1:13" s="21" customFormat="1" x14ac:dyDescent="0.25">
      <c r="A7135" s="22" t="s">
        <v>8</v>
      </c>
      <c r="B7135" s="18" t="str">
        <f>"255212"</f>
        <v>255212</v>
      </c>
      <c r="C7135" s="19" t="s">
        <v>7034</v>
      </c>
      <c r="D7135" s="19" t="s">
        <v>22557</v>
      </c>
      <c r="E7135" s="19" t="s">
        <v>32194</v>
      </c>
      <c r="F7135" s="19" t="s">
        <v>35998</v>
      </c>
      <c r="G7135" s="18" t="str">
        <f>"38843"</f>
        <v>38843</v>
      </c>
      <c r="H7135" s="19" t="s">
        <v>36500</v>
      </c>
      <c r="I7135" s="20">
        <v>16.911999999999999</v>
      </c>
      <c r="J7135" s="44" t="s">
        <v>8</v>
      </c>
      <c r="K7135" s="23" t="s">
        <v>8</v>
      </c>
      <c r="L7135" s="23" t="s">
        <v>8</v>
      </c>
      <c r="M7135" s="23" t="s">
        <v>8</v>
      </c>
    </row>
    <row r="7136" spans="1:13" s="21" customFormat="1" x14ac:dyDescent="0.25">
      <c r="A7136" s="22" t="s">
        <v>8</v>
      </c>
      <c r="B7136" s="18" t="str">
        <f>"255213"</f>
        <v>255213</v>
      </c>
      <c r="C7136" s="19" t="s">
        <v>7035</v>
      </c>
      <c r="D7136" s="19" t="s">
        <v>22558</v>
      </c>
      <c r="E7136" s="19" t="s">
        <v>33549</v>
      </c>
      <c r="F7136" s="19" t="s">
        <v>35998</v>
      </c>
      <c r="G7136" s="18" t="str">
        <f>"39653"</f>
        <v>39653</v>
      </c>
      <c r="H7136" s="19" t="s">
        <v>5</v>
      </c>
      <c r="I7136" s="20">
        <v>20.169</v>
      </c>
      <c r="J7136" s="44" t="s">
        <v>8</v>
      </c>
      <c r="K7136" s="23" t="s">
        <v>8</v>
      </c>
      <c r="L7136" s="23" t="s">
        <v>8</v>
      </c>
      <c r="M7136" s="23" t="s">
        <v>8</v>
      </c>
    </row>
    <row r="7137" spans="1:13" s="21" customFormat="1" x14ac:dyDescent="0.25">
      <c r="A7137" s="22" t="s">
        <v>8</v>
      </c>
      <c r="B7137" s="18" t="str">
        <f>"255214"</f>
        <v>255214</v>
      </c>
      <c r="C7137" s="19" t="s">
        <v>7036</v>
      </c>
      <c r="D7137" s="19" t="s">
        <v>22559</v>
      </c>
      <c r="E7137" s="19" t="s">
        <v>30986</v>
      </c>
      <c r="F7137" s="19" t="s">
        <v>35998</v>
      </c>
      <c r="G7137" s="18" t="str">
        <f>"39654"</f>
        <v>39654</v>
      </c>
      <c r="H7137" s="19" t="s">
        <v>32568</v>
      </c>
      <c r="I7137" s="20">
        <v>20.826000000000001</v>
      </c>
      <c r="J7137" s="44" t="s">
        <v>8</v>
      </c>
      <c r="K7137" s="23" t="s">
        <v>8</v>
      </c>
      <c r="L7137" s="23" t="s">
        <v>8</v>
      </c>
      <c r="M7137" s="23" t="s">
        <v>8</v>
      </c>
    </row>
    <row r="7138" spans="1:13" s="21" customFormat="1" x14ac:dyDescent="0.25">
      <c r="A7138" s="22" t="s">
        <v>8</v>
      </c>
      <c r="B7138" s="18" t="str">
        <f>"255215"</f>
        <v>255215</v>
      </c>
      <c r="C7138" s="19" t="s">
        <v>7037</v>
      </c>
      <c r="D7138" s="19" t="s">
        <v>22560</v>
      </c>
      <c r="E7138" s="19" t="s">
        <v>33550</v>
      </c>
      <c r="F7138" s="19" t="s">
        <v>35998</v>
      </c>
      <c r="G7138" s="18" t="str">
        <f>"39428"</f>
        <v>39428</v>
      </c>
      <c r="H7138" s="19" t="s">
        <v>31753</v>
      </c>
      <c r="I7138" s="20">
        <v>21.321000000000002</v>
      </c>
      <c r="J7138" s="44" t="s">
        <v>8</v>
      </c>
      <c r="K7138" s="23" t="s">
        <v>8</v>
      </c>
      <c r="L7138" s="23" t="s">
        <v>8</v>
      </c>
      <c r="M7138" s="23" t="s">
        <v>8</v>
      </c>
    </row>
    <row r="7139" spans="1:13" s="21" customFormat="1" x14ac:dyDescent="0.25">
      <c r="A7139" s="22" t="s">
        <v>8</v>
      </c>
      <c r="B7139" s="18" t="str">
        <f>"255216"</f>
        <v>255216</v>
      </c>
      <c r="C7139" s="19" t="s">
        <v>7038</v>
      </c>
      <c r="D7139" s="19" t="s">
        <v>22561</v>
      </c>
      <c r="E7139" s="19" t="s">
        <v>32204</v>
      </c>
      <c r="F7139" s="19" t="s">
        <v>35998</v>
      </c>
      <c r="G7139" s="18" t="str">
        <f>"38930"</f>
        <v>38930</v>
      </c>
      <c r="H7139" s="19" t="s">
        <v>36499</v>
      </c>
      <c r="I7139" s="20">
        <v>19.446000000000002</v>
      </c>
      <c r="J7139" s="44" t="s">
        <v>8</v>
      </c>
      <c r="K7139" s="23" t="s">
        <v>8</v>
      </c>
      <c r="L7139" s="23" t="s">
        <v>8</v>
      </c>
      <c r="M7139" s="23" t="s">
        <v>8</v>
      </c>
    </row>
    <row r="7140" spans="1:13" s="21" customFormat="1" x14ac:dyDescent="0.25">
      <c r="A7140" s="22" t="s">
        <v>8</v>
      </c>
      <c r="B7140" s="18" t="str">
        <f>"255217"</f>
        <v>255217</v>
      </c>
      <c r="C7140" s="19" t="s">
        <v>7039</v>
      </c>
      <c r="D7140" s="19" t="s">
        <v>22562</v>
      </c>
      <c r="E7140" s="19" t="s">
        <v>30817</v>
      </c>
      <c r="F7140" s="19" t="s">
        <v>35998</v>
      </c>
      <c r="G7140" s="18" t="str">
        <f>"38701"</f>
        <v>38701</v>
      </c>
      <c r="H7140" s="19" t="s">
        <v>31500</v>
      </c>
      <c r="I7140" s="20">
        <v>18.436</v>
      </c>
      <c r="J7140" s="44" t="s">
        <v>8</v>
      </c>
      <c r="K7140" s="23" t="s">
        <v>8</v>
      </c>
      <c r="L7140" s="23" t="s">
        <v>8</v>
      </c>
      <c r="M7140" s="23" t="s">
        <v>8</v>
      </c>
    </row>
    <row r="7141" spans="1:13" s="21" customFormat="1" x14ac:dyDescent="0.25">
      <c r="A7141" s="22" t="s">
        <v>8</v>
      </c>
      <c r="B7141" s="18" t="str">
        <f>"255218"</f>
        <v>255218</v>
      </c>
      <c r="C7141" s="19" t="s">
        <v>7040</v>
      </c>
      <c r="D7141" s="19" t="s">
        <v>22563</v>
      </c>
      <c r="E7141" s="19" t="s">
        <v>33509</v>
      </c>
      <c r="F7141" s="19" t="s">
        <v>35998</v>
      </c>
      <c r="G7141" s="18" t="str">
        <f>"38852"</f>
        <v>38852</v>
      </c>
      <c r="H7141" s="19" t="s">
        <v>36483</v>
      </c>
      <c r="I7141" s="20">
        <v>18.802</v>
      </c>
      <c r="J7141" s="44" t="s">
        <v>8</v>
      </c>
      <c r="K7141" s="23" t="s">
        <v>8</v>
      </c>
      <c r="L7141" s="23" t="s">
        <v>8</v>
      </c>
      <c r="M7141" s="23" t="s">
        <v>8</v>
      </c>
    </row>
    <row r="7142" spans="1:13" s="21" customFormat="1" x14ac:dyDescent="0.25">
      <c r="A7142" s="22" t="s">
        <v>8</v>
      </c>
      <c r="B7142" s="18" t="str">
        <f>"255219"</f>
        <v>255219</v>
      </c>
      <c r="C7142" s="19" t="s">
        <v>7041</v>
      </c>
      <c r="D7142" s="19" t="s">
        <v>22564</v>
      </c>
      <c r="E7142" s="19" t="s">
        <v>30817</v>
      </c>
      <c r="F7142" s="19" t="s">
        <v>35998</v>
      </c>
      <c r="G7142" s="18" t="str">
        <f>"38703"</f>
        <v>38703</v>
      </c>
      <c r="H7142" s="19" t="s">
        <v>31500</v>
      </c>
      <c r="I7142" s="20">
        <v>20.016999999999999</v>
      </c>
      <c r="J7142" s="44" t="s">
        <v>8</v>
      </c>
      <c r="K7142" s="23" t="s">
        <v>8</v>
      </c>
      <c r="L7142" s="23" t="s">
        <v>8</v>
      </c>
      <c r="M7142" s="23" t="s">
        <v>8</v>
      </c>
    </row>
    <row r="7143" spans="1:13" s="21" customFormat="1" x14ac:dyDescent="0.25">
      <c r="A7143" s="22" t="s">
        <v>8</v>
      </c>
      <c r="B7143" s="18" t="str">
        <f>"255220"</f>
        <v>255220</v>
      </c>
      <c r="C7143" s="19" t="s">
        <v>7042</v>
      </c>
      <c r="D7143" s="19" t="s">
        <v>22565</v>
      </c>
      <c r="E7143" s="19" t="s">
        <v>33517</v>
      </c>
      <c r="F7143" s="19" t="s">
        <v>35998</v>
      </c>
      <c r="G7143" s="18" t="str">
        <f>"39159"</f>
        <v>39159</v>
      </c>
      <c r="H7143" s="19" t="s">
        <v>36487</v>
      </c>
      <c r="I7143" s="20">
        <v>19.023</v>
      </c>
      <c r="J7143" s="44" t="s">
        <v>8</v>
      </c>
      <c r="K7143" s="23" t="s">
        <v>8</v>
      </c>
      <c r="L7143" s="23" t="s">
        <v>8</v>
      </c>
      <c r="M7143" s="23" t="s">
        <v>8</v>
      </c>
    </row>
    <row r="7144" spans="1:13" s="21" customFormat="1" x14ac:dyDescent="0.25">
      <c r="A7144" s="22" t="s">
        <v>8</v>
      </c>
      <c r="B7144" s="18" t="str">
        <f>"255221"</f>
        <v>255221</v>
      </c>
      <c r="C7144" s="19" t="s">
        <v>7043</v>
      </c>
      <c r="D7144" s="19" t="s">
        <v>22566</v>
      </c>
      <c r="E7144" s="19" t="s">
        <v>33540</v>
      </c>
      <c r="F7144" s="19" t="s">
        <v>35998</v>
      </c>
      <c r="G7144" s="18" t="str">
        <f>"39601"</f>
        <v>39601</v>
      </c>
      <c r="H7144" s="19" t="s">
        <v>31995</v>
      </c>
      <c r="I7144" s="20">
        <v>18.061</v>
      </c>
      <c r="J7144" s="44" t="s">
        <v>8</v>
      </c>
      <c r="K7144" s="23" t="s">
        <v>8</v>
      </c>
      <c r="L7144" s="23" t="s">
        <v>8</v>
      </c>
      <c r="M7144" s="23" t="s">
        <v>8</v>
      </c>
    </row>
    <row r="7145" spans="1:13" s="21" customFormat="1" x14ac:dyDescent="0.25">
      <c r="A7145" s="22" t="s">
        <v>8</v>
      </c>
      <c r="B7145" s="18" t="str">
        <f>"255222"</f>
        <v>255222</v>
      </c>
      <c r="C7145" s="19" t="s">
        <v>7044</v>
      </c>
      <c r="D7145" s="19" t="s">
        <v>22567</v>
      </c>
      <c r="E7145" s="19" t="s">
        <v>31715</v>
      </c>
      <c r="F7145" s="19" t="s">
        <v>35998</v>
      </c>
      <c r="G7145" s="18" t="str">
        <f>"39702"</f>
        <v>39702</v>
      </c>
      <c r="H7145" s="19" t="s">
        <v>36047</v>
      </c>
      <c r="I7145" s="20">
        <v>18.452999999999999</v>
      </c>
      <c r="J7145" s="44" t="s">
        <v>8</v>
      </c>
      <c r="K7145" s="23" t="s">
        <v>8</v>
      </c>
      <c r="L7145" s="23" t="s">
        <v>8</v>
      </c>
      <c r="M7145" s="23" t="s">
        <v>8</v>
      </c>
    </row>
    <row r="7146" spans="1:13" s="21" customFormat="1" x14ac:dyDescent="0.25">
      <c r="A7146" s="22" t="s">
        <v>8</v>
      </c>
      <c r="B7146" s="18" t="str">
        <f>"255226"</f>
        <v>255226</v>
      </c>
      <c r="C7146" s="19" t="s">
        <v>7045</v>
      </c>
      <c r="D7146" s="19" t="s">
        <v>22568</v>
      </c>
      <c r="E7146" s="19" t="s">
        <v>33542</v>
      </c>
      <c r="F7146" s="19" t="s">
        <v>35998</v>
      </c>
      <c r="G7146" s="18" t="str">
        <f>"39120"</f>
        <v>39120</v>
      </c>
      <c r="H7146" s="19" t="s">
        <v>33467</v>
      </c>
      <c r="I7146" s="20">
        <v>21.516999999999999</v>
      </c>
      <c r="J7146" s="44" t="s">
        <v>8</v>
      </c>
      <c r="K7146" s="23" t="s">
        <v>8</v>
      </c>
      <c r="L7146" s="23" t="s">
        <v>8</v>
      </c>
      <c r="M7146" s="23" t="s">
        <v>8</v>
      </c>
    </row>
    <row r="7147" spans="1:13" s="21" customFormat="1" x14ac:dyDescent="0.25">
      <c r="A7147" s="22" t="s">
        <v>8</v>
      </c>
      <c r="B7147" s="18" t="str">
        <f>"255227"</f>
        <v>255227</v>
      </c>
      <c r="C7147" s="19" t="s">
        <v>7046</v>
      </c>
      <c r="D7147" s="19" t="s">
        <v>22569</v>
      </c>
      <c r="E7147" s="19" t="s">
        <v>32076</v>
      </c>
      <c r="F7147" s="19" t="s">
        <v>35998</v>
      </c>
      <c r="G7147" s="18" t="str">
        <f>"39429"</f>
        <v>39429</v>
      </c>
      <c r="H7147" s="19" t="s">
        <v>30850</v>
      </c>
      <c r="I7147" s="20">
        <v>23.126000000000001</v>
      </c>
      <c r="J7147" s="44" t="s">
        <v>8</v>
      </c>
      <c r="K7147" s="23" t="s">
        <v>8</v>
      </c>
      <c r="L7147" s="23" t="s">
        <v>8</v>
      </c>
      <c r="M7147" s="23" t="s">
        <v>8</v>
      </c>
    </row>
    <row r="7148" spans="1:13" s="21" customFormat="1" x14ac:dyDescent="0.25">
      <c r="A7148" s="22" t="s">
        <v>8</v>
      </c>
      <c r="B7148" s="18" t="str">
        <f>"255228"</f>
        <v>255228</v>
      </c>
      <c r="C7148" s="19" t="s">
        <v>7047</v>
      </c>
      <c r="D7148" s="19" t="s">
        <v>22570</v>
      </c>
      <c r="E7148" s="19" t="s">
        <v>31810</v>
      </c>
      <c r="F7148" s="19" t="s">
        <v>35998</v>
      </c>
      <c r="G7148" s="18" t="str">
        <f>"38732"</f>
        <v>38732</v>
      </c>
      <c r="H7148" s="19" t="s">
        <v>33582</v>
      </c>
      <c r="I7148" s="20">
        <v>21.975999999999999</v>
      </c>
      <c r="J7148" s="44" t="s">
        <v>8</v>
      </c>
      <c r="K7148" s="23" t="s">
        <v>8</v>
      </c>
      <c r="L7148" s="23" t="s">
        <v>8</v>
      </c>
      <c r="M7148" s="23" t="s">
        <v>8</v>
      </c>
    </row>
    <row r="7149" spans="1:13" s="21" customFormat="1" x14ac:dyDescent="0.25">
      <c r="A7149" s="22" t="s">
        <v>8</v>
      </c>
      <c r="B7149" s="18" t="str">
        <f>"255229"</f>
        <v>255229</v>
      </c>
      <c r="C7149" s="19" t="s">
        <v>7048</v>
      </c>
      <c r="D7149" s="19" t="s">
        <v>22571</v>
      </c>
      <c r="E7149" s="19" t="s">
        <v>33510</v>
      </c>
      <c r="F7149" s="19" t="s">
        <v>35998</v>
      </c>
      <c r="G7149" s="18" t="str">
        <f>"38635"</f>
        <v>38635</v>
      </c>
      <c r="H7149" s="19" t="s">
        <v>31063</v>
      </c>
      <c r="I7149" s="20">
        <v>19.591000000000001</v>
      </c>
      <c r="J7149" s="44" t="s">
        <v>8</v>
      </c>
      <c r="K7149" s="23" t="s">
        <v>8</v>
      </c>
      <c r="L7149" s="23" t="s">
        <v>8</v>
      </c>
      <c r="M7149" s="23" t="s">
        <v>8</v>
      </c>
    </row>
    <row r="7150" spans="1:13" s="21" customFormat="1" x14ac:dyDescent="0.25">
      <c r="A7150" s="22" t="s">
        <v>8</v>
      </c>
      <c r="B7150" s="18" t="str">
        <f>"255230"</f>
        <v>255230</v>
      </c>
      <c r="C7150" s="19" t="s">
        <v>7049</v>
      </c>
      <c r="D7150" s="19" t="s">
        <v>22572</v>
      </c>
      <c r="E7150" s="19" t="s">
        <v>31715</v>
      </c>
      <c r="F7150" s="19" t="s">
        <v>35998</v>
      </c>
      <c r="G7150" s="18" t="str">
        <f>"39705"</f>
        <v>39705</v>
      </c>
      <c r="H7150" s="19" t="s">
        <v>36047</v>
      </c>
      <c r="I7150" s="20">
        <v>18.468</v>
      </c>
      <c r="J7150" s="44" t="s">
        <v>8</v>
      </c>
      <c r="K7150" s="23" t="s">
        <v>8</v>
      </c>
      <c r="L7150" s="23" t="s">
        <v>8</v>
      </c>
      <c r="M7150" s="23" t="s">
        <v>8</v>
      </c>
    </row>
    <row r="7151" spans="1:13" s="21" customFormat="1" x14ac:dyDescent="0.25">
      <c r="A7151" s="22" t="s">
        <v>8</v>
      </c>
      <c r="B7151" s="18" t="str">
        <f>"255232"</f>
        <v>255232</v>
      </c>
      <c r="C7151" s="19" t="s">
        <v>7050</v>
      </c>
      <c r="D7151" s="19" t="s">
        <v>22573</v>
      </c>
      <c r="E7151" s="19" t="s">
        <v>33529</v>
      </c>
      <c r="F7151" s="19" t="s">
        <v>35998</v>
      </c>
      <c r="G7151" s="18" t="str">
        <f>"38834"</f>
        <v>38834</v>
      </c>
      <c r="H7151" s="19" t="s">
        <v>36494</v>
      </c>
      <c r="I7151" s="20">
        <v>17.259</v>
      </c>
      <c r="J7151" s="44" t="s">
        <v>8</v>
      </c>
      <c r="K7151" s="23" t="s">
        <v>8</v>
      </c>
      <c r="L7151" s="23" t="s">
        <v>8</v>
      </c>
      <c r="M7151" s="23" t="s">
        <v>8</v>
      </c>
    </row>
    <row r="7152" spans="1:13" s="21" customFormat="1" x14ac:dyDescent="0.25">
      <c r="A7152" s="22" t="s">
        <v>8</v>
      </c>
      <c r="B7152" s="18" t="str">
        <f>"255233"</f>
        <v>255233</v>
      </c>
      <c r="C7152" s="19" t="s">
        <v>7051</v>
      </c>
      <c r="D7152" s="19" t="s">
        <v>22574</v>
      </c>
      <c r="E7152" s="19" t="s">
        <v>33551</v>
      </c>
      <c r="F7152" s="19" t="s">
        <v>35998</v>
      </c>
      <c r="G7152" s="18" t="str">
        <f>"39577"</f>
        <v>39577</v>
      </c>
      <c r="H7152" s="19" t="s">
        <v>36069</v>
      </c>
      <c r="I7152" s="20">
        <v>18.332999999999998</v>
      </c>
      <c r="J7152" s="44" t="s">
        <v>8</v>
      </c>
      <c r="K7152" s="23" t="s">
        <v>8</v>
      </c>
      <c r="L7152" s="23" t="s">
        <v>8</v>
      </c>
      <c r="M7152" s="23" t="s">
        <v>8</v>
      </c>
    </row>
    <row r="7153" spans="1:13" s="21" customFormat="1" x14ac:dyDescent="0.25">
      <c r="A7153" s="22" t="s">
        <v>8</v>
      </c>
      <c r="B7153" s="18" t="str">
        <f>"255234"</f>
        <v>255234</v>
      </c>
      <c r="C7153" s="19" t="s">
        <v>7052</v>
      </c>
      <c r="D7153" s="19" t="s">
        <v>22575</v>
      </c>
      <c r="E7153" s="19" t="s">
        <v>33531</v>
      </c>
      <c r="F7153" s="19" t="s">
        <v>35998</v>
      </c>
      <c r="G7153" s="18" t="str">
        <f>"39180"</f>
        <v>39180</v>
      </c>
      <c r="H7153" s="19" t="s">
        <v>31025</v>
      </c>
      <c r="I7153" s="20">
        <v>19.942</v>
      </c>
      <c r="J7153" s="44" t="s">
        <v>8</v>
      </c>
      <c r="K7153" s="23" t="s">
        <v>8</v>
      </c>
      <c r="L7153" s="23" t="s">
        <v>8</v>
      </c>
      <c r="M7153" s="23" t="s">
        <v>8</v>
      </c>
    </row>
    <row r="7154" spans="1:13" s="21" customFormat="1" x14ac:dyDescent="0.25">
      <c r="A7154" s="22" t="s">
        <v>8</v>
      </c>
      <c r="B7154" s="18" t="str">
        <f>"255243"</f>
        <v>255243</v>
      </c>
      <c r="C7154" s="19" t="s">
        <v>7053</v>
      </c>
      <c r="D7154" s="19" t="s">
        <v>22576</v>
      </c>
      <c r="E7154" s="19" t="s">
        <v>33522</v>
      </c>
      <c r="F7154" s="19" t="s">
        <v>35998</v>
      </c>
      <c r="G7154" s="18" t="str">
        <f>"39667"</f>
        <v>39667</v>
      </c>
      <c r="H7154" s="19" t="s">
        <v>36489</v>
      </c>
      <c r="I7154" s="20">
        <v>20.032</v>
      </c>
      <c r="J7154" s="44" t="s">
        <v>8</v>
      </c>
      <c r="K7154" s="23" t="s">
        <v>8</v>
      </c>
      <c r="L7154" s="23" t="s">
        <v>8</v>
      </c>
      <c r="M7154" s="23" t="s">
        <v>8</v>
      </c>
    </row>
    <row r="7155" spans="1:13" s="21" customFormat="1" x14ac:dyDescent="0.25">
      <c r="A7155" s="22" t="s">
        <v>8</v>
      </c>
      <c r="B7155" s="18" t="str">
        <f>"255244"</f>
        <v>255244</v>
      </c>
      <c r="C7155" s="19" t="s">
        <v>7054</v>
      </c>
      <c r="D7155" s="19" t="s">
        <v>22577</v>
      </c>
      <c r="E7155" s="19" t="s">
        <v>33533</v>
      </c>
      <c r="F7155" s="19" t="s">
        <v>35998</v>
      </c>
      <c r="G7155" s="18" t="str">
        <f>"39564"</f>
        <v>39564</v>
      </c>
      <c r="H7155" s="19" t="s">
        <v>30816</v>
      </c>
      <c r="I7155" s="20">
        <v>21.276</v>
      </c>
      <c r="J7155" s="44" t="s">
        <v>8</v>
      </c>
      <c r="K7155" s="23" t="s">
        <v>8</v>
      </c>
      <c r="L7155" s="23" t="s">
        <v>8</v>
      </c>
      <c r="M7155" s="23" t="s">
        <v>8</v>
      </c>
    </row>
    <row r="7156" spans="1:13" s="21" customFormat="1" x14ac:dyDescent="0.25">
      <c r="A7156" s="22" t="s">
        <v>8</v>
      </c>
      <c r="B7156" s="18" t="str">
        <f>"255247"</f>
        <v>255247</v>
      </c>
      <c r="C7156" s="19" t="s">
        <v>7055</v>
      </c>
      <c r="D7156" s="19" t="s">
        <v>22578</v>
      </c>
      <c r="E7156" s="19" t="s">
        <v>33524</v>
      </c>
      <c r="F7156" s="19" t="s">
        <v>35998</v>
      </c>
      <c r="G7156" s="18" t="str">
        <f>"38663"</f>
        <v>38663</v>
      </c>
      <c r="H7156" s="19" t="s">
        <v>36490</v>
      </c>
      <c r="I7156" s="20">
        <v>17.152999999999999</v>
      </c>
      <c r="J7156" s="44" t="s">
        <v>8</v>
      </c>
      <c r="K7156" s="23" t="s">
        <v>8</v>
      </c>
      <c r="L7156" s="23" t="s">
        <v>8</v>
      </c>
      <c r="M7156" s="23" t="s">
        <v>8</v>
      </c>
    </row>
    <row r="7157" spans="1:13" s="21" customFormat="1" x14ac:dyDescent="0.25">
      <c r="A7157" s="22" t="s">
        <v>8</v>
      </c>
      <c r="B7157" s="18" t="str">
        <f>"255249"</f>
        <v>255249</v>
      </c>
      <c r="C7157" s="19" t="s">
        <v>7056</v>
      </c>
      <c r="D7157" s="19" t="s">
        <v>22579</v>
      </c>
      <c r="E7157" s="19" t="s">
        <v>30816</v>
      </c>
      <c r="F7157" s="19" t="s">
        <v>35998</v>
      </c>
      <c r="G7157" s="18" t="str">
        <f>"39202"</f>
        <v>39202</v>
      </c>
      <c r="H7157" s="19" t="s">
        <v>36491</v>
      </c>
      <c r="I7157" s="20">
        <v>20.204000000000001</v>
      </c>
      <c r="J7157" s="44" t="s">
        <v>8</v>
      </c>
      <c r="K7157" s="23" t="s">
        <v>8</v>
      </c>
      <c r="L7157" s="23" t="s">
        <v>8</v>
      </c>
      <c r="M7157" s="23" t="s">
        <v>8</v>
      </c>
    </row>
    <row r="7158" spans="1:13" s="21" customFormat="1" x14ac:dyDescent="0.25">
      <c r="A7158" s="22" t="s">
        <v>8</v>
      </c>
      <c r="B7158" s="18" t="str">
        <f>"255250"</f>
        <v>255250</v>
      </c>
      <c r="C7158" s="19" t="s">
        <v>7057</v>
      </c>
      <c r="D7158" s="19" t="s">
        <v>22580</v>
      </c>
      <c r="E7158" s="19" t="s">
        <v>31951</v>
      </c>
      <c r="F7158" s="19" t="s">
        <v>35998</v>
      </c>
      <c r="G7158" s="18" t="str">
        <f>"39117"</f>
        <v>39117</v>
      </c>
      <c r="H7158" s="19" t="s">
        <v>36083</v>
      </c>
      <c r="I7158" s="20">
        <v>16.82</v>
      </c>
      <c r="J7158" s="44" t="s">
        <v>8</v>
      </c>
      <c r="K7158" s="23" t="s">
        <v>8</v>
      </c>
      <c r="L7158" s="23" t="s">
        <v>8</v>
      </c>
      <c r="M7158" s="23" t="s">
        <v>8</v>
      </c>
    </row>
    <row r="7159" spans="1:13" s="21" customFormat="1" x14ac:dyDescent="0.25">
      <c r="A7159" s="22" t="s">
        <v>8</v>
      </c>
      <c r="B7159" s="18" t="str">
        <f>"255251"</f>
        <v>255251</v>
      </c>
      <c r="C7159" s="19" t="s">
        <v>7058</v>
      </c>
      <c r="D7159" s="19" t="s">
        <v>22581</v>
      </c>
      <c r="E7159" s="19" t="s">
        <v>33552</v>
      </c>
      <c r="F7159" s="19" t="s">
        <v>35998</v>
      </c>
      <c r="G7159" s="18" t="str">
        <f>"39328"</f>
        <v>39328</v>
      </c>
      <c r="H7159" s="19" t="s">
        <v>36503</v>
      </c>
      <c r="I7159" s="20">
        <v>19.523</v>
      </c>
      <c r="J7159" s="44" t="s">
        <v>8</v>
      </c>
      <c r="K7159" s="23" t="s">
        <v>8</v>
      </c>
      <c r="L7159" s="23" t="s">
        <v>8</v>
      </c>
      <c r="M7159" s="23" t="s">
        <v>8</v>
      </c>
    </row>
    <row r="7160" spans="1:13" s="21" customFormat="1" x14ac:dyDescent="0.25">
      <c r="A7160" s="22" t="s">
        <v>8</v>
      </c>
      <c r="B7160" s="18" t="str">
        <f>"255252"</f>
        <v>255252</v>
      </c>
      <c r="C7160" s="19" t="s">
        <v>7059</v>
      </c>
      <c r="D7160" s="19" t="s">
        <v>22582</v>
      </c>
      <c r="E7160" s="19" t="s">
        <v>30817</v>
      </c>
      <c r="F7160" s="19" t="s">
        <v>35998</v>
      </c>
      <c r="G7160" s="18" t="str">
        <f>"38703"</f>
        <v>38703</v>
      </c>
      <c r="H7160" s="19" t="s">
        <v>31500</v>
      </c>
      <c r="I7160" s="20">
        <v>23.251999999999999</v>
      </c>
      <c r="J7160" s="44" t="s">
        <v>8</v>
      </c>
      <c r="K7160" s="23" t="s">
        <v>8</v>
      </c>
      <c r="L7160" s="23" t="s">
        <v>8</v>
      </c>
      <c r="M7160" s="23" t="s">
        <v>8</v>
      </c>
    </row>
    <row r="7161" spans="1:13" s="21" customFormat="1" x14ac:dyDescent="0.25">
      <c r="A7161" s="22" t="s">
        <v>8</v>
      </c>
      <c r="B7161" s="18" t="str">
        <f>"255253"</f>
        <v>255253</v>
      </c>
      <c r="C7161" s="19" t="s">
        <v>7060</v>
      </c>
      <c r="D7161" s="19" t="s">
        <v>22583</v>
      </c>
      <c r="E7161" s="19" t="s">
        <v>33531</v>
      </c>
      <c r="F7161" s="19" t="s">
        <v>35998</v>
      </c>
      <c r="G7161" s="18" t="str">
        <f>"39180"</f>
        <v>39180</v>
      </c>
      <c r="H7161" s="19" t="s">
        <v>31025</v>
      </c>
      <c r="I7161" s="20">
        <v>18.59</v>
      </c>
      <c r="J7161" s="44" t="s">
        <v>8</v>
      </c>
      <c r="K7161" s="23" t="s">
        <v>8</v>
      </c>
      <c r="L7161" s="23" t="s">
        <v>8</v>
      </c>
      <c r="M7161" s="23" t="s">
        <v>8</v>
      </c>
    </row>
    <row r="7162" spans="1:13" s="21" customFormat="1" x14ac:dyDescent="0.25">
      <c r="A7162" s="22" t="s">
        <v>8</v>
      </c>
      <c r="B7162" s="18" t="str">
        <f>"255257"</f>
        <v>255257</v>
      </c>
      <c r="C7162" s="19" t="s">
        <v>7061</v>
      </c>
      <c r="D7162" s="19" t="s">
        <v>22584</v>
      </c>
      <c r="E7162" s="19" t="s">
        <v>31715</v>
      </c>
      <c r="F7162" s="19" t="s">
        <v>35998</v>
      </c>
      <c r="G7162" s="18" t="str">
        <f>"39702"</f>
        <v>39702</v>
      </c>
      <c r="H7162" s="19" t="s">
        <v>36047</v>
      </c>
      <c r="I7162" s="20">
        <v>19.023</v>
      </c>
      <c r="J7162" s="44" t="s">
        <v>8</v>
      </c>
      <c r="K7162" s="23" t="s">
        <v>8</v>
      </c>
      <c r="L7162" s="23" t="s">
        <v>8</v>
      </c>
      <c r="M7162" s="23" t="s">
        <v>8</v>
      </c>
    </row>
    <row r="7163" spans="1:13" s="21" customFormat="1" x14ac:dyDescent="0.25">
      <c r="A7163" s="22" t="s">
        <v>8</v>
      </c>
      <c r="B7163" s="18" t="str">
        <f>"255259"</f>
        <v>255259</v>
      </c>
      <c r="C7163" s="19" t="s">
        <v>7062</v>
      </c>
      <c r="D7163" s="19" t="s">
        <v>22585</v>
      </c>
      <c r="E7163" s="19" t="s">
        <v>33553</v>
      </c>
      <c r="F7163" s="19" t="s">
        <v>35998</v>
      </c>
      <c r="G7163" s="18" t="str">
        <f>"39038"</f>
        <v>39038</v>
      </c>
      <c r="H7163" s="19" t="s">
        <v>36504</v>
      </c>
      <c r="I7163" s="20">
        <v>19.486999999999998</v>
      </c>
      <c r="J7163" s="44" t="s">
        <v>8</v>
      </c>
      <c r="K7163" s="23" t="s">
        <v>8</v>
      </c>
      <c r="L7163" s="23" t="s">
        <v>8</v>
      </c>
      <c r="M7163" s="23" t="s">
        <v>8</v>
      </c>
    </row>
    <row r="7164" spans="1:13" s="21" customFormat="1" x14ac:dyDescent="0.25">
      <c r="A7164" s="22" t="s">
        <v>8</v>
      </c>
      <c r="B7164" s="18" t="str">
        <f>"255260"</f>
        <v>255260</v>
      </c>
      <c r="C7164" s="19" t="s">
        <v>7063</v>
      </c>
      <c r="D7164" s="19" t="s">
        <v>22586</v>
      </c>
      <c r="E7164" s="19" t="s">
        <v>33554</v>
      </c>
      <c r="F7164" s="19" t="s">
        <v>35998</v>
      </c>
      <c r="G7164" s="18" t="str">
        <f>"39365"</f>
        <v>39365</v>
      </c>
      <c r="H7164" s="19" t="s">
        <v>36484</v>
      </c>
      <c r="I7164" s="20">
        <v>20.882000000000001</v>
      </c>
      <c r="J7164" s="44" t="s">
        <v>8</v>
      </c>
      <c r="K7164" s="23" t="s">
        <v>8</v>
      </c>
      <c r="L7164" s="23" t="s">
        <v>8</v>
      </c>
      <c r="M7164" s="23" t="s">
        <v>8</v>
      </c>
    </row>
    <row r="7165" spans="1:13" s="21" customFormat="1" x14ac:dyDescent="0.25">
      <c r="A7165" s="22" t="s">
        <v>8</v>
      </c>
      <c r="B7165" s="18" t="str">
        <f>"255261"</f>
        <v>255261</v>
      </c>
      <c r="C7165" s="19" t="s">
        <v>7064</v>
      </c>
      <c r="D7165" s="19" t="s">
        <v>22587</v>
      </c>
      <c r="E7165" s="19" t="s">
        <v>31905</v>
      </c>
      <c r="F7165" s="19" t="s">
        <v>35998</v>
      </c>
      <c r="G7165" s="18" t="str">
        <f>"39301"</f>
        <v>39301</v>
      </c>
      <c r="H7165" s="19" t="s">
        <v>36036</v>
      </c>
      <c r="I7165" s="20">
        <v>18.709</v>
      </c>
      <c r="J7165" s="44" t="s">
        <v>8</v>
      </c>
      <c r="K7165" s="23" t="s">
        <v>8</v>
      </c>
      <c r="L7165" s="23" t="s">
        <v>8</v>
      </c>
      <c r="M7165" s="23" t="s">
        <v>8</v>
      </c>
    </row>
    <row r="7166" spans="1:13" s="21" customFormat="1" x14ac:dyDescent="0.25">
      <c r="A7166" s="22" t="s">
        <v>8</v>
      </c>
      <c r="B7166" s="18" t="str">
        <f>"255262"</f>
        <v>255262</v>
      </c>
      <c r="C7166" s="19" t="s">
        <v>7065</v>
      </c>
      <c r="D7166" s="19" t="s">
        <v>22588</v>
      </c>
      <c r="E7166" s="19" t="s">
        <v>32957</v>
      </c>
      <c r="F7166" s="19" t="s">
        <v>35998</v>
      </c>
      <c r="G7166" s="18" t="str">
        <f>"39440"</f>
        <v>39440</v>
      </c>
      <c r="H7166" s="19" t="s">
        <v>34651</v>
      </c>
      <c r="I7166" s="20">
        <v>20.024999999999999</v>
      </c>
      <c r="J7166" s="44" t="s">
        <v>8</v>
      </c>
      <c r="K7166" s="23" t="s">
        <v>8</v>
      </c>
      <c r="L7166" s="23" t="s">
        <v>8</v>
      </c>
      <c r="M7166" s="23" t="s">
        <v>8</v>
      </c>
    </row>
    <row r="7167" spans="1:13" s="21" customFormat="1" x14ac:dyDescent="0.25">
      <c r="A7167" s="22" t="s">
        <v>8</v>
      </c>
      <c r="B7167" s="18" t="str">
        <f>"255263"</f>
        <v>255263</v>
      </c>
      <c r="C7167" s="19" t="s">
        <v>7066</v>
      </c>
      <c r="D7167" s="19" t="s">
        <v>22589</v>
      </c>
      <c r="E7167" s="19" t="s">
        <v>31905</v>
      </c>
      <c r="F7167" s="19" t="s">
        <v>35998</v>
      </c>
      <c r="G7167" s="18" t="str">
        <f>"39305"</f>
        <v>39305</v>
      </c>
      <c r="H7167" s="19" t="s">
        <v>36036</v>
      </c>
      <c r="I7167" s="20">
        <v>21.646000000000001</v>
      </c>
      <c r="J7167" s="44" t="s">
        <v>8</v>
      </c>
      <c r="K7167" s="23" t="s">
        <v>8</v>
      </c>
      <c r="L7167" s="23" t="s">
        <v>8</v>
      </c>
      <c r="M7167" s="23" t="s">
        <v>8</v>
      </c>
    </row>
    <row r="7168" spans="1:13" s="21" customFormat="1" x14ac:dyDescent="0.25">
      <c r="A7168" s="22" t="s">
        <v>8</v>
      </c>
      <c r="B7168" s="18" t="str">
        <f>"255264"</f>
        <v>255264</v>
      </c>
      <c r="C7168" s="19" t="s">
        <v>7067</v>
      </c>
      <c r="D7168" s="19" t="s">
        <v>22590</v>
      </c>
      <c r="E7168" s="19" t="s">
        <v>31051</v>
      </c>
      <c r="F7168" s="19" t="s">
        <v>35998</v>
      </c>
      <c r="G7168" s="18" t="str">
        <f>"38829"</f>
        <v>38829</v>
      </c>
      <c r="H7168" s="19" t="s">
        <v>33519</v>
      </c>
      <c r="I7168" s="20">
        <v>19.437999999999999</v>
      </c>
      <c r="J7168" s="44" t="s">
        <v>8</v>
      </c>
      <c r="K7168" s="23" t="s">
        <v>8</v>
      </c>
      <c r="L7168" s="23" t="s">
        <v>8</v>
      </c>
      <c r="M7168" s="23" t="s">
        <v>8</v>
      </c>
    </row>
    <row r="7169" spans="1:13" s="21" customFormat="1" x14ac:dyDescent="0.25">
      <c r="A7169" s="22" t="s">
        <v>8</v>
      </c>
      <c r="B7169" s="18" t="str">
        <f>"255265"</f>
        <v>255265</v>
      </c>
      <c r="C7169" s="19" t="s">
        <v>7068</v>
      </c>
      <c r="D7169" s="19" t="s">
        <v>22591</v>
      </c>
      <c r="E7169" s="19" t="s">
        <v>33537</v>
      </c>
      <c r="F7169" s="19" t="s">
        <v>35998</v>
      </c>
      <c r="G7169" s="18" t="str">
        <f>"39402"</f>
        <v>39402</v>
      </c>
      <c r="H7169" s="19" t="s">
        <v>36498</v>
      </c>
      <c r="I7169" s="20">
        <v>22.617999999999999</v>
      </c>
      <c r="J7169" s="44" t="s">
        <v>8</v>
      </c>
      <c r="K7169" s="23" t="s">
        <v>8</v>
      </c>
      <c r="L7169" s="23" t="s">
        <v>8</v>
      </c>
      <c r="M7169" s="23" t="s">
        <v>8</v>
      </c>
    </row>
    <row r="7170" spans="1:13" s="21" customFormat="1" x14ac:dyDescent="0.25">
      <c r="A7170" s="22" t="s">
        <v>8</v>
      </c>
      <c r="B7170" s="18" t="str">
        <f>"255266"</f>
        <v>255266</v>
      </c>
      <c r="C7170" s="19" t="s">
        <v>7069</v>
      </c>
      <c r="D7170" s="19" t="s">
        <v>22592</v>
      </c>
      <c r="E7170" s="19" t="s">
        <v>31623</v>
      </c>
      <c r="F7170" s="19" t="s">
        <v>35998</v>
      </c>
      <c r="G7170" s="18" t="str">
        <f>"39042"</f>
        <v>39042</v>
      </c>
      <c r="H7170" s="19" t="s">
        <v>36492</v>
      </c>
      <c r="I7170" s="20">
        <v>22.056999999999999</v>
      </c>
      <c r="J7170" s="44" t="s">
        <v>8</v>
      </c>
      <c r="K7170" s="23" t="s">
        <v>8</v>
      </c>
      <c r="L7170" s="23" t="s">
        <v>8</v>
      </c>
      <c r="M7170" s="23" t="s">
        <v>8</v>
      </c>
    </row>
    <row r="7171" spans="1:13" s="21" customFormat="1" x14ac:dyDescent="0.25">
      <c r="A7171" s="22" t="s">
        <v>8</v>
      </c>
      <c r="B7171" s="18" t="str">
        <f>"255267"</f>
        <v>255267</v>
      </c>
      <c r="C7171" s="19" t="s">
        <v>7070</v>
      </c>
      <c r="D7171" s="19" t="s">
        <v>22593</v>
      </c>
      <c r="E7171" s="19" t="s">
        <v>33555</v>
      </c>
      <c r="F7171" s="19" t="s">
        <v>35998</v>
      </c>
      <c r="G7171" s="18" t="str">
        <f>"38614"</f>
        <v>38614</v>
      </c>
      <c r="H7171" s="19" t="s">
        <v>36505</v>
      </c>
      <c r="I7171" s="20">
        <v>21.134</v>
      </c>
      <c r="J7171" s="44" t="s">
        <v>8</v>
      </c>
      <c r="K7171" s="23" t="s">
        <v>8</v>
      </c>
      <c r="L7171" s="23" t="s">
        <v>8</v>
      </c>
      <c r="M7171" s="23" t="s">
        <v>8</v>
      </c>
    </row>
    <row r="7172" spans="1:13" s="21" customFormat="1" x14ac:dyDescent="0.25">
      <c r="A7172" s="22" t="s">
        <v>8</v>
      </c>
      <c r="B7172" s="18" t="str">
        <f>"255268"</f>
        <v>255268</v>
      </c>
      <c r="C7172" s="19" t="s">
        <v>7071</v>
      </c>
      <c r="D7172" s="19" t="s">
        <v>22594</v>
      </c>
      <c r="E7172" s="19" t="s">
        <v>32211</v>
      </c>
      <c r="F7172" s="19" t="s">
        <v>35998</v>
      </c>
      <c r="G7172" s="18" t="str">
        <f>"38652"</f>
        <v>38652</v>
      </c>
      <c r="H7172" s="19" t="s">
        <v>33554</v>
      </c>
      <c r="I7172" s="20">
        <v>20.161000000000001</v>
      </c>
      <c r="J7172" s="44" t="s">
        <v>8</v>
      </c>
      <c r="K7172" s="23" t="s">
        <v>8</v>
      </c>
      <c r="L7172" s="23" t="s">
        <v>8</v>
      </c>
      <c r="M7172" s="23" t="s">
        <v>8</v>
      </c>
    </row>
    <row r="7173" spans="1:13" s="21" customFormat="1" x14ac:dyDescent="0.25">
      <c r="A7173" s="22" t="s">
        <v>8</v>
      </c>
      <c r="B7173" s="18" t="str">
        <f>"255269"</f>
        <v>255269</v>
      </c>
      <c r="C7173" s="19" t="s">
        <v>7072</v>
      </c>
      <c r="D7173" s="19" t="s">
        <v>22595</v>
      </c>
      <c r="E7173" s="19" t="s">
        <v>30861</v>
      </c>
      <c r="F7173" s="19" t="s">
        <v>35998</v>
      </c>
      <c r="G7173" s="18" t="str">
        <f>"38655"</f>
        <v>38655</v>
      </c>
      <c r="H7173" s="19" t="s">
        <v>30892</v>
      </c>
      <c r="I7173" s="20">
        <v>20.518000000000001</v>
      </c>
      <c r="J7173" s="44" t="s">
        <v>8</v>
      </c>
      <c r="K7173" s="23" t="s">
        <v>8</v>
      </c>
      <c r="L7173" s="23" t="s">
        <v>8</v>
      </c>
      <c r="M7173" s="23" t="s">
        <v>8</v>
      </c>
    </row>
    <row r="7174" spans="1:13" s="21" customFormat="1" x14ac:dyDescent="0.25">
      <c r="A7174" s="22" t="s">
        <v>8</v>
      </c>
      <c r="B7174" s="18" t="str">
        <f>"255270"</f>
        <v>255270</v>
      </c>
      <c r="C7174" s="19" t="s">
        <v>7073</v>
      </c>
      <c r="D7174" s="19" t="s">
        <v>22596</v>
      </c>
      <c r="E7174" s="19" t="s">
        <v>33556</v>
      </c>
      <c r="F7174" s="19" t="s">
        <v>35998</v>
      </c>
      <c r="G7174" s="18" t="str">
        <f>"38863"</f>
        <v>38863</v>
      </c>
      <c r="H7174" s="19" t="s">
        <v>33556</v>
      </c>
      <c r="I7174" s="20">
        <v>21.887</v>
      </c>
      <c r="J7174" s="44" t="s">
        <v>8</v>
      </c>
      <c r="K7174" s="23" t="s">
        <v>8</v>
      </c>
      <c r="L7174" s="23" t="s">
        <v>8</v>
      </c>
      <c r="M7174" s="23" t="s">
        <v>8</v>
      </c>
    </row>
    <row r="7175" spans="1:13" s="21" customFormat="1" x14ac:dyDescent="0.25">
      <c r="A7175" s="22" t="s">
        <v>8</v>
      </c>
      <c r="B7175" s="18" t="str">
        <f>"255271"</f>
        <v>255271</v>
      </c>
      <c r="C7175" s="19" t="s">
        <v>7074</v>
      </c>
      <c r="D7175" s="19" t="s">
        <v>22597</v>
      </c>
      <c r="E7175" s="19" t="s">
        <v>32284</v>
      </c>
      <c r="F7175" s="19" t="s">
        <v>35998</v>
      </c>
      <c r="G7175" s="18" t="str">
        <f>"39645"</f>
        <v>39645</v>
      </c>
      <c r="H7175" s="19" t="s">
        <v>32820</v>
      </c>
      <c r="I7175" s="20">
        <v>18.629000000000001</v>
      </c>
      <c r="J7175" s="44" t="s">
        <v>8</v>
      </c>
      <c r="K7175" s="23" t="s">
        <v>8</v>
      </c>
      <c r="L7175" s="23" t="s">
        <v>8</v>
      </c>
      <c r="M7175" s="23" t="s">
        <v>8</v>
      </c>
    </row>
    <row r="7176" spans="1:13" s="21" customFormat="1" x14ac:dyDescent="0.25">
      <c r="A7176" s="22" t="s">
        <v>8</v>
      </c>
      <c r="B7176" s="18" t="str">
        <f>"255272"</f>
        <v>255272</v>
      </c>
      <c r="C7176" s="19" t="s">
        <v>7075</v>
      </c>
      <c r="D7176" s="19" t="s">
        <v>22598</v>
      </c>
      <c r="E7176" s="19" t="s">
        <v>32076</v>
      </c>
      <c r="F7176" s="19" t="s">
        <v>35998</v>
      </c>
      <c r="G7176" s="18" t="str">
        <f>"39429"</f>
        <v>39429</v>
      </c>
      <c r="H7176" s="19" t="s">
        <v>30850</v>
      </c>
      <c r="I7176" s="20">
        <v>21.757999999999999</v>
      </c>
      <c r="J7176" s="44" t="s">
        <v>8</v>
      </c>
      <c r="K7176" s="23" t="s">
        <v>8</v>
      </c>
      <c r="L7176" s="23" t="s">
        <v>8</v>
      </c>
      <c r="M7176" s="23" t="s">
        <v>8</v>
      </c>
    </row>
    <row r="7177" spans="1:13" s="21" customFormat="1" x14ac:dyDescent="0.25">
      <c r="A7177" s="22" t="s">
        <v>8</v>
      </c>
      <c r="B7177" s="18" t="str">
        <f>"255273"</f>
        <v>255273</v>
      </c>
      <c r="C7177" s="19" t="s">
        <v>7076</v>
      </c>
      <c r="D7177" s="19" t="s">
        <v>22599</v>
      </c>
      <c r="E7177" s="19" t="s">
        <v>30816</v>
      </c>
      <c r="F7177" s="19" t="s">
        <v>35998</v>
      </c>
      <c r="G7177" s="18" t="str">
        <f>"39212"</f>
        <v>39212</v>
      </c>
      <c r="H7177" s="19" t="s">
        <v>36491</v>
      </c>
      <c r="I7177" s="20">
        <v>21.295000000000002</v>
      </c>
      <c r="J7177" s="44" t="s">
        <v>8</v>
      </c>
      <c r="K7177" s="23" t="s">
        <v>8</v>
      </c>
      <c r="L7177" s="23" t="s">
        <v>8</v>
      </c>
      <c r="M7177" s="23" t="s">
        <v>8</v>
      </c>
    </row>
    <row r="7178" spans="1:13" s="21" customFormat="1" x14ac:dyDescent="0.25">
      <c r="A7178" s="22" t="s">
        <v>8</v>
      </c>
      <c r="B7178" s="18" t="str">
        <f>"255274"</f>
        <v>255274</v>
      </c>
      <c r="C7178" s="19" t="s">
        <v>7077</v>
      </c>
      <c r="D7178" s="19" t="s">
        <v>22600</v>
      </c>
      <c r="E7178" s="19" t="s">
        <v>33557</v>
      </c>
      <c r="F7178" s="19" t="s">
        <v>35998</v>
      </c>
      <c r="G7178" s="18" t="str">
        <f>"39157"</f>
        <v>39157</v>
      </c>
      <c r="H7178" s="19" t="s">
        <v>30899</v>
      </c>
      <c r="I7178" s="20">
        <v>21.635999999999999</v>
      </c>
      <c r="J7178" s="44" t="s">
        <v>8</v>
      </c>
      <c r="K7178" s="23" t="s">
        <v>8</v>
      </c>
      <c r="L7178" s="23" t="s">
        <v>8</v>
      </c>
      <c r="M7178" s="23" t="s">
        <v>8</v>
      </c>
    </row>
    <row r="7179" spans="1:13" s="21" customFormat="1" x14ac:dyDescent="0.25">
      <c r="A7179" s="22" t="s">
        <v>8</v>
      </c>
      <c r="B7179" s="18" t="str">
        <f>"255275"</f>
        <v>255275</v>
      </c>
      <c r="C7179" s="19" t="s">
        <v>7078</v>
      </c>
      <c r="D7179" s="19" t="s">
        <v>22601</v>
      </c>
      <c r="E7179" s="19" t="s">
        <v>30816</v>
      </c>
      <c r="F7179" s="19" t="s">
        <v>35998</v>
      </c>
      <c r="G7179" s="18" t="str">
        <f>"39213"</f>
        <v>39213</v>
      </c>
      <c r="H7179" s="19" t="s">
        <v>36491</v>
      </c>
      <c r="I7179" s="20">
        <v>17.898</v>
      </c>
      <c r="J7179" s="44" t="s">
        <v>8</v>
      </c>
      <c r="K7179" s="23" t="s">
        <v>8</v>
      </c>
      <c r="L7179" s="23" t="s">
        <v>8</v>
      </c>
      <c r="M7179" s="23" t="s">
        <v>8</v>
      </c>
    </row>
    <row r="7180" spans="1:13" s="21" customFormat="1" x14ac:dyDescent="0.25">
      <c r="A7180" s="22" t="s">
        <v>8</v>
      </c>
      <c r="B7180" s="18" t="str">
        <f>"255276"</f>
        <v>255276</v>
      </c>
      <c r="C7180" s="19" t="s">
        <v>7079</v>
      </c>
      <c r="D7180" s="19" t="s">
        <v>22602</v>
      </c>
      <c r="E7180" s="19" t="s">
        <v>30816</v>
      </c>
      <c r="F7180" s="19" t="s">
        <v>35998</v>
      </c>
      <c r="G7180" s="18" t="str">
        <f>"39202"</f>
        <v>39202</v>
      </c>
      <c r="H7180" s="19" t="s">
        <v>36491</v>
      </c>
      <c r="I7180" s="20">
        <v>19.655000000000001</v>
      </c>
      <c r="J7180" s="44" t="s">
        <v>8</v>
      </c>
      <c r="K7180" s="23" t="s">
        <v>8</v>
      </c>
      <c r="L7180" s="23" t="s">
        <v>8</v>
      </c>
      <c r="M7180" s="23" t="s">
        <v>8</v>
      </c>
    </row>
    <row r="7181" spans="1:13" s="21" customFormat="1" x14ac:dyDescent="0.25">
      <c r="A7181" s="22" t="s">
        <v>8</v>
      </c>
      <c r="B7181" s="18" t="str">
        <f>"255277"</f>
        <v>255277</v>
      </c>
      <c r="C7181" s="19" t="s">
        <v>7080</v>
      </c>
      <c r="D7181" s="19" t="s">
        <v>22603</v>
      </c>
      <c r="E7181" s="19" t="s">
        <v>33544</v>
      </c>
      <c r="F7181" s="19" t="s">
        <v>35998</v>
      </c>
      <c r="G7181" s="18" t="str">
        <f>"39451"</f>
        <v>39451</v>
      </c>
      <c r="H7181" s="19" t="s">
        <v>32455</v>
      </c>
      <c r="I7181" s="20">
        <v>19.71</v>
      </c>
      <c r="J7181" s="44" t="s">
        <v>8</v>
      </c>
      <c r="K7181" s="23" t="s">
        <v>8</v>
      </c>
      <c r="L7181" s="23" t="s">
        <v>8</v>
      </c>
      <c r="M7181" s="23" t="s">
        <v>8</v>
      </c>
    </row>
    <row r="7182" spans="1:13" s="21" customFormat="1" x14ac:dyDescent="0.25">
      <c r="A7182" s="22" t="s">
        <v>8</v>
      </c>
      <c r="B7182" s="18" t="str">
        <f>"255278"</f>
        <v>255278</v>
      </c>
      <c r="C7182" s="19" t="s">
        <v>7081</v>
      </c>
      <c r="D7182" s="19" t="s">
        <v>22604</v>
      </c>
      <c r="E7182" s="19" t="s">
        <v>33518</v>
      </c>
      <c r="F7182" s="19" t="s">
        <v>35998</v>
      </c>
      <c r="G7182" s="18" t="str">
        <f>"39111"</f>
        <v>39111</v>
      </c>
      <c r="H7182" s="19" t="s">
        <v>36344</v>
      </c>
      <c r="I7182" s="20">
        <v>19.135999999999999</v>
      </c>
      <c r="J7182" s="44" t="s">
        <v>8</v>
      </c>
      <c r="K7182" s="23" t="s">
        <v>8</v>
      </c>
      <c r="L7182" s="23" t="s">
        <v>8</v>
      </c>
      <c r="M7182" s="23" t="s">
        <v>8</v>
      </c>
    </row>
    <row r="7183" spans="1:13" s="21" customFormat="1" x14ac:dyDescent="0.25">
      <c r="A7183" s="22" t="s">
        <v>8</v>
      </c>
      <c r="B7183" s="18" t="str">
        <f>"255279"</f>
        <v>255279</v>
      </c>
      <c r="C7183" s="19" t="s">
        <v>7082</v>
      </c>
      <c r="D7183" s="19" t="s">
        <v>22605</v>
      </c>
      <c r="E7183" s="19" t="s">
        <v>33558</v>
      </c>
      <c r="F7183" s="19" t="s">
        <v>35998</v>
      </c>
      <c r="G7183" s="18" t="str">
        <f>"38666"</f>
        <v>38666</v>
      </c>
      <c r="H7183" s="19" t="s">
        <v>36495</v>
      </c>
      <c r="I7183" s="20">
        <v>19.872</v>
      </c>
      <c r="J7183" s="44" t="s">
        <v>8</v>
      </c>
      <c r="K7183" s="23" t="s">
        <v>8</v>
      </c>
      <c r="L7183" s="23" t="s">
        <v>8</v>
      </c>
      <c r="M7183" s="23" t="s">
        <v>8</v>
      </c>
    </row>
    <row r="7184" spans="1:13" s="21" customFormat="1" x14ac:dyDescent="0.25">
      <c r="A7184" s="22" t="s">
        <v>8</v>
      </c>
      <c r="B7184" s="18" t="str">
        <f>"255280"</f>
        <v>255280</v>
      </c>
      <c r="C7184" s="19" t="s">
        <v>7083</v>
      </c>
      <c r="D7184" s="19" t="s">
        <v>22606</v>
      </c>
      <c r="E7184" s="19" t="s">
        <v>33523</v>
      </c>
      <c r="F7184" s="19" t="s">
        <v>35998</v>
      </c>
      <c r="G7184" s="18" t="str">
        <f>"39648"</f>
        <v>39648</v>
      </c>
      <c r="H7184" s="19" t="s">
        <v>36033</v>
      </c>
      <c r="I7184" s="20">
        <v>21.59</v>
      </c>
      <c r="J7184" s="44" t="s">
        <v>8</v>
      </c>
      <c r="K7184" s="23" t="s">
        <v>8</v>
      </c>
      <c r="L7184" s="23" t="s">
        <v>8</v>
      </c>
      <c r="M7184" s="23" t="s">
        <v>8</v>
      </c>
    </row>
    <row r="7185" spans="1:13" s="21" customFormat="1" x14ac:dyDescent="0.25">
      <c r="A7185" s="22" t="s">
        <v>8</v>
      </c>
      <c r="B7185" s="18" t="str">
        <f>"255281"</f>
        <v>255281</v>
      </c>
      <c r="C7185" s="19" t="s">
        <v>7084</v>
      </c>
      <c r="D7185" s="19" t="s">
        <v>22607</v>
      </c>
      <c r="E7185" s="19" t="s">
        <v>33559</v>
      </c>
      <c r="F7185" s="19" t="s">
        <v>35998</v>
      </c>
      <c r="G7185" s="18" t="str">
        <f>"38637"</f>
        <v>38637</v>
      </c>
      <c r="H7185" s="19" t="s">
        <v>35316</v>
      </c>
      <c r="I7185" s="20">
        <v>23.873000000000001</v>
      </c>
      <c r="J7185" s="44" t="s">
        <v>8</v>
      </c>
      <c r="K7185" s="23" t="s">
        <v>8</v>
      </c>
      <c r="L7185" s="23" t="s">
        <v>8</v>
      </c>
      <c r="M7185" s="23" t="s">
        <v>8</v>
      </c>
    </row>
    <row r="7186" spans="1:13" s="21" customFormat="1" x14ac:dyDescent="0.25">
      <c r="A7186" s="22" t="s">
        <v>8</v>
      </c>
      <c r="B7186" s="18" t="str">
        <f>"255282"</f>
        <v>255282</v>
      </c>
      <c r="C7186" s="19" t="s">
        <v>7085</v>
      </c>
      <c r="D7186" s="19" t="s">
        <v>22608</v>
      </c>
      <c r="E7186" s="19" t="s">
        <v>31081</v>
      </c>
      <c r="F7186" s="19" t="s">
        <v>35998</v>
      </c>
      <c r="G7186" s="18" t="str">
        <f>"39056"</f>
        <v>39056</v>
      </c>
      <c r="H7186" s="19" t="s">
        <v>36491</v>
      </c>
      <c r="I7186" s="20">
        <v>24.497</v>
      </c>
      <c r="J7186" s="44" t="s">
        <v>8</v>
      </c>
      <c r="K7186" s="23" t="s">
        <v>8</v>
      </c>
      <c r="L7186" s="23" t="s">
        <v>8</v>
      </c>
      <c r="M7186" s="23" t="s">
        <v>8</v>
      </c>
    </row>
    <row r="7187" spans="1:13" s="21" customFormat="1" x14ac:dyDescent="0.25">
      <c r="A7187" s="22" t="s">
        <v>8</v>
      </c>
      <c r="B7187" s="18" t="str">
        <f>"255283"</f>
        <v>255283</v>
      </c>
      <c r="C7187" s="19" t="s">
        <v>7086</v>
      </c>
      <c r="D7187" s="19" t="s">
        <v>22609</v>
      </c>
      <c r="E7187" s="19" t="s">
        <v>33560</v>
      </c>
      <c r="F7187" s="19" t="s">
        <v>35998</v>
      </c>
      <c r="G7187" s="18" t="str">
        <f>"39176"</f>
        <v>39176</v>
      </c>
      <c r="H7187" s="19" t="s">
        <v>32334</v>
      </c>
      <c r="I7187" s="20">
        <v>19.7</v>
      </c>
      <c r="J7187" s="44" t="s">
        <v>8</v>
      </c>
      <c r="K7187" s="23" t="s">
        <v>8</v>
      </c>
      <c r="L7187" s="23" t="s">
        <v>8</v>
      </c>
      <c r="M7187" s="23" t="s">
        <v>8</v>
      </c>
    </row>
    <row r="7188" spans="1:13" s="21" customFormat="1" x14ac:dyDescent="0.25">
      <c r="A7188" s="22" t="s">
        <v>8</v>
      </c>
      <c r="B7188" s="18" t="str">
        <f>"255284"</f>
        <v>255284</v>
      </c>
      <c r="C7188" s="19" t="s">
        <v>7087</v>
      </c>
      <c r="D7188" s="19" t="s">
        <v>22610</v>
      </c>
      <c r="E7188" s="19" t="s">
        <v>33561</v>
      </c>
      <c r="F7188" s="19" t="s">
        <v>35998</v>
      </c>
      <c r="G7188" s="18" t="str">
        <f>"39180"</f>
        <v>39180</v>
      </c>
      <c r="H7188" s="19" t="s">
        <v>31025</v>
      </c>
      <c r="I7188" s="20">
        <v>18.800999999999998</v>
      </c>
      <c r="J7188" s="44" t="s">
        <v>8</v>
      </c>
      <c r="K7188" s="23" t="s">
        <v>8</v>
      </c>
      <c r="L7188" s="23" t="s">
        <v>8</v>
      </c>
      <c r="M7188" s="23" t="s">
        <v>8</v>
      </c>
    </row>
    <row r="7189" spans="1:13" s="21" customFormat="1" x14ac:dyDescent="0.25">
      <c r="A7189" s="22" t="s">
        <v>8</v>
      </c>
      <c r="B7189" s="18" t="str">
        <f>"255285"</f>
        <v>255285</v>
      </c>
      <c r="C7189" s="19" t="s">
        <v>7088</v>
      </c>
      <c r="D7189" s="19" t="s">
        <v>22611</v>
      </c>
      <c r="E7189" s="19" t="s">
        <v>30816</v>
      </c>
      <c r="F7189" s="19" t="s">
        <v>35998</v>
      </c>
      <c r="G7189" s="18" t="str">
        <f>"39204"</f>
        <v>39204</v>
      </c>
      <c r="H7189" s="19" t="s">
        <v>36491</v>
      </c>
      <c r="I7189" s="20">
        <v>20.5</v>
      </c>
      <c r="J7189" s="44" t="s">
        <v>8</v>
      </c>
      <c r="K7189" s="23" t="s">
        <v>8</v>
      </c>
      <c r="L7189" s="23" t="s">
        <v>8</v>
      </c>
      <c r="M7189" s="23" t="s">
        <v>8</v>
      </c>
    </row>
    <row r="7190" spans="1:13" s="21" customFormat="1" x14ac:dyDescent="0.25">
      <c r="A7190" s="22" t="s">
        <v>8</v>
      </c>
      <c r="B7190" s="18" t="str">
        <f>"255286"</f>
        <v>255286</v>
      </c>
      <c r="C7190" s="19" t="s">
        <v>7089</v>
      </c>
      <c r="D7190" s="19" t="s">
        <v>22612</v>
      </c>
      <c r="E7190" s="19" t="s">
        <v>31701</v>
      </c>
      <c r="F7190" s="19" t="s">
        <v>35998</v>
      </c>
      <c r="G7190" s="18" t="str">
        <f>"39367"</f>
        <v>39367</v>
      </c>
      <c r="H7190" s="19" t="s">
        <v>33280</v>
      </c>
      <c r="I7190" s="20">
        <v>17.413</v>
      </c>
      <c r="J7190" s="44" t="s">
        <v>8</v>
      </c>
      <c r="K7190" s="23" t="s">
        <v>8</v>
      </c>
      <c r="L7190" s="23" t="s">
        <v>8</v>
      </c>
      <c r="M7190" s="23" t="s">
        <v>8</v>
      </c>
    </row>
    <row r="7191" spans="1:13" s="21" customFormat="1" x14ac:dyDescent="0.25">
      <c r="A7191" s="22" t="s">
        <v>8</v>
      </c>
      <c r="B7191" s="18" t="str">
        <f>"255287"</f>
        <v>255287</v>
      </c>
      <c r="C7191" s="19" t="s">
        <v>7090</v>
      </c>
      <c r="D7191" s="19" t="s">
        <v>22613</v>
      </c>
      <c r="E7191" s="19" t="s">
        <v>33562</v>
      </c>
      <c r="F7191" s="19" t="s">
        <v>35998</v>
      </c>
      <c r="G7191" s="18" t="str">
        <f>"39571"</f>
        <v>39571</v>
      </c>
      <c r="H7191" s="19" t="s">
        <v>31020</v>
      </c>
      <c r="I7191" s="20">
        <v>15.551</v>
      </c>
      <c r="J7191" s="44" t="s">
        <v>8</v>
      </c>
      <c r="K7191" s="23" t="s">
        <v>8</v>
      </c>
      <c r="L7191" s="23" t="s">
        <v>8</v>
      </c>
      <c r="M7191" s="23" t="s">
        <v>8</v>
      </c>
    </row>
    <row r="7192" spans="1:13" s="21" customFormat="1" x14ac:dyDescent="0.25">
      <c r="A7192" s="22" t="s">
        <v>8</v>
      </c>
      <c r="B7192" s="18" t="str">
        <f>"255288"</f>
        <v>255288</v>
      </c>
      <c r="C7192" s="19" t="s">
        <v>7091</v>
      </c>
      <c r="D7192" s="19" t="s">
        <v>22614</v>
      </c>
      <c r="E7192" s="19" t="s">
        <v>31790</v>
      </c>
      <c r="F7192" s="19" t="s">
        <v>35998</v>
      </c>
      <c r="G7192" s="18" t="str">
        <f>"39355"</f>
        <v>39355</v>
      </c>
      <c r="H7192" s="19" t="s">
        <v>36034</v>
      </c>
      <c r="I7192" s="20">
        <v>17.792000000000002</v>
      </c>
      <c r="J7192" s="44" t="s">
        <v>8</v>
      </c>
      <c r="K7192" s="23" t="s">
        <v>8</v>
      </c>
      <c r="L7192" s="23" t="s">
        <v>8</v>
      </c>
      <c r="M7192" s="23" t="s">
        <v>8</v>
      </c>
    </row>
    <row r="7193" spans="1:13" s="21" customFormat="1" x14ac:dyDescent="0.25">
      <c r="A7193" s="22" t="s">
        <v>8</v>
      </c>
      <c r="B7193" s="18" t="str">
        <f>"255289"</f>
        <v>255289</v>
      </c>
      <c r="C7193" s="19" t="s">
        <v>7092</v>
      </c>
      <c r="D7193" s="19" t="s">
        <v>22615</v>
      </c>
      <c r="E7193" s="19" t="s">
        <v>33563</v>
      </c>
      <c r="F7193" s="19" t="s">
        <v>35998</v>
      </c>
      <c r="G7193" s="18" t="str">
        <f>"39553"</f>
        <v>39553</v>
      </c>
      <c r="H7193" s="19" t="s">
        <v>30816</v>
      </c>
      <c r="I7193" s="20">
        <v>22.216999999999999</v>
      </c>
      <c r="J7193" s="44" t="s">
        <v>8</v>
      </c>
      <c r="K7193" s="23" t="s">
        <v>8</v>
      </c>
      <c r="L7193" s="23" t="s">
        <v>8</v>
      </c>
      <c r="M7193" s="23" t="s">
        <v>8</v>
      </c>
    </row>
    <row r="7194" spans="1:13" s="21" customFormat="1" x14ac:dyDescent="0.25">
      <c r="A7194" s="22" t="s">
        <v>8</v>
      </c>
      <c r="B7194" s="18" t="str">
        <f>"255290"</f>
        <v>255290</v>
      </c>
      <c r="C7194" s="19" t="s">
        <v>7093</v>
      </c>
      <c r="D7194" s="19" t="s">
        <v>22616</v>
      </c>
      <c r="E7194" s="19" t="s">
        <v>31550</v>
      </c>
      <c r="F7194" s="19" t="s">
        <v>35998</v>
      </c>
      <c r="G7194" s="18" t="str">
        <f>"39501"</f>
        <v>39501</v>
      </c>
      <c r="H7194" s="19" t="s">
        <v>31020</v>
      </c>
      <c r="I7194" s="20">
        <v>17.190999999999999</v>
      </c>
      <c r="J7194" s="44" t="s">
        <v>8</v>
      </c>
      <c r="K7194" s="23" t="s">
        <v>8</v>
      </c>
      <c r="L7194" s="23" t="s">
        <v>8</v>
      </c>
      <c r="M7194" s="23" t="s">
        <v>8</v>
      </c>
    </row>
    <row r="7195" spans="1:13" s="21" customFormat="1" x14ac:dyDescent="0.25">
      <c r="A7195" s="22" t="s">
        <v>8</v>
      </c>
      <c r="B7195" s="18" t="str">
        <f>"255291"</f>
        <v>255291</v>
      </c>
      <c r="C7195" s="19" t="s">
        <v>7094</v>
      </c>
      <c r="D7195" s="19" t="s">
        <v>22617</v>
      </c>
      <c r="E7195" s="19" t="s">
        <v>33564</v>
      </c>
      <c r="F7195" s="19" t="s">
        <v>35998</v>
      </c>
      <c r="G7195" s="18" t="str">
        <f>"39059"</f>
        <v>39059</v>
      </c>
      <c r="H7195" s="19" t="s">
        <v>36502</v>
      </c>
      <c r="I7195" s="20">
        <v>25.934000000000001</v>
      </c>
      <c r="J7195" s="44" t="s">
        <v>8</v>
      </c>
      <c r="K7195" s="23" t="s">
        <v>8</v>
      </c>
      <c r="L7195" s="23" t="s">
        <v>8</v>
      </c>
      <c r="M7195" s="23" t="s">
        <v>8</v>
      </c>
    </row>
    <row r="7196" spans="1:13" s="21" customFormat="1" x14ac:dyDescent="0.25">
      <c r="A7196" s="22" t="s">
        <v>8</v>
      </c>
      <c r="B7196" s="18" t="str">
        <f>"255292"</f>
        <v>255292</v>
      </c>
      <c r="C7196" s="19" t="s">
        <v>7095</v>
      </c>
      <c r="D7196" s="19" t="s">
        <v>22618</v>
      </c>
      <c r="E7196" s="19" t="s">
        <v>30817</v>
      </c>
      <c r="F7196" s="19" t="s">
        <v>35998</v>
      </c>
      <c r="G7196" s="18" t="str">
        <f>"38704"</f>
        <v>38704</v>
      </c>
      <c r="H7196" s="19" t="s">
        <v>31500</v>
      </c>
      <c r="I7196" s="20">
        <v>19.984999999999999</v>
      </c>
      <c r="J7196" s="44" t="s">
        <v>8</v>
      </c>
      <c r="K7196" s="23" t="s">
        <v>8</v>
      </c>
      <c r="L7196" s="23" t="s">
        <v>8</v>
      </c>
      <c r="M7196" s="23" t="s">
        <v>8</v>
      </c>
    </row>
    <row r="7197" spans="1:13" s="21" customFormat="1" x14ac:dyDescent="0.25">
      <c r="A7197" s="22" t="s">
        <v>8</v>
      </c>
      <c r="B7197" s="18" t="str">
        <f>"255293"</f>
        <v>255293</v>
      </c>
      <c r="C7197" s="19" t="s">
        <v>7096</v>
      </c>
      <c r="D7197" s="19" t="s">
        <v>22619</v>
      </c>
      <c r="E7197" s="19" t="s">
        <v>33565</v>
      </c>
      <c r="F7197" s="19" t="s">
        <v>35998</v>
      </c>
      <c r="G7197" s="18" t="str">
        <f>"38774"</f>
        <v>38774</v>
      </c>
      <c r="H7197" s="19" t="s">
        <v>33582</v>
      </c>
      <c r="I7197" s="20">
        <v>18.079000000000001</v>
      </c>
      <c r="J7197" s="44" t="s">
        <v>8</v>
      </c>
      <c r="K7197" s="23" t="s">
        <v>8</v>
      </c>
      <c r="L7197" s="23" t="s">
        <v>8</v>
      </c>
      <c r="M7197" s="23" t="s">
        <v>8</v>
      </c>
    </row>
    <row r="7198" spans="1:13" s="21" customFormat="1" x14ac:dyDescent="0.25">
      <c r="A7198" s="22" t="s">
        <v>8</v>
      </c>
      <c r="B7198" s="18" t="str">
        <f>"255294"</f>
        <v>255294</v>
      </c>
      <c r="C7198" s="19" t="s">
        <v>7097</v>
      </c>
      <c r="D7198" s="19" t="s">
        <v>22620</v>
      </c>
      <c r="E7198" s="19" t="s">
        <v>33555</v>
      </c>
      <c r="F7198" s="19" t="s">
        <v>35998</v>
      </c>
      <c r="G7198" s="18" t="str">
        <f>"38614"</f>
        <v>38614</v>
      </c>
      <c r="H7198" s="19" t="s">
        <v>36505</v>
      </c>
      <c r="I7198" s="20">
        <v>21.5</v>
      </c>
      <c r="J7198" s="44" t="s">
        <v>8</v>
      </c>
      <c r="K7198" s="23" t="s">
        <v>8</v>
      </c>
      <c r="L7198" s="23" t="s">
        <v>8</v>
      </c>
      <c r="M7198" s="23" t="s">
        <v>8</v>
      </c>
    </row>
    <row r="7199" spans="1:13" s="21" customFormat="1" x14ac:dyDescent="0.25">
      <c r="A7199" s="22" t="s">
        <v>8</v>
      </c>
      <c r="B7199" s="18" t="str">
        <f>"255296"</f>
        <v>255296</v>
      </c>
      <c r="C7199" s="19" t="s">
        <v>7098</v>
      </c>
      <c r="D7199" s="19" t="s">
        <v>22621</v>
      </c>
      <c r="E7199" s="19" t="s">
        <v>33528</v>
      </c>
      <c r="F7199" s="19" t="s">
        <v>35998</v>
      </c>
      <c r="G7199" s="18" t="str">
        <f>"38671"</f>
        <v>38671</v>
      </c>
      <c r="H7199" s="19" t="s">
        <v>35316</v>
      </c>
      <c r="I7199" s="20">
        <v>19.521999999999998</v>
      </c>
      <c r="J7199" s="44" t="s">
        <v>8</v>
      </c>
      <c r="K7199" s="23" t="s">
        <v>8</v>
      </c>
      <c r="L7199" s="23" t="s">
        <v>8</v>
      </c>
      <c r="M7199" s="23" t="s">
        <v>8</v>
      </c>
    </row>
    <row r="7200" spans="1:13" s="21" customFormat="1" x14ac:dyDescent="0.25">
      <c r="A7200" s="22" t="s">
        <v>8</v>
      </c>
      <c r="B7200" s="18" t="str">
        <f>"255297"</f>
        <v>255297</v>
      </c>
      <c r="C7200" s="19" t="s">
        <v>7099</v>
      </c>
      <c r="D7200" s="19" t="s">
        <v>22622</v>
      </c>
      <c r="E7200" s="19" t="s">
        <v>33537</v>
      </c>
      <c r="F7200" s="19" t="s">
        <v>35998</v>
      </c>
      <c r="G7200" s="18" t="str">
        <f>"39401"</f>
        <v>39401</v>
      </c>
      <c r="H7200" s="19" t="s">
        <v>36498</v>
      </c>
      <c r="I7200" s="20">
        <v>18.443999999999999</v>
      </c>
      <c r="J7200" s="44" t="s">
        <v>8</v>
      </c>
      <c r="K7200" s="23" t="s">
        <v>8</v>
      </c>
      <c r="L7200" s="23" t="s">
        <v>8</v>
      </c>
      <c r="M7200" s="23" t="s">
        <v>8</v>
      </c>
    </row>
    <row r="7201" spans="1:13" s="21" customFormat="1" x14ac:dyDescent="0.25">
      <c r="A7201" s="22" t="s">
        <v>8</v>
      </c>
      <c r="B7201" s="18" t="str">
        <f>"255299"</f>
        <v>255299</v>
      </c>
      <c r="C7201" s="19" t="s">
        <v>7100</v>
      </c>
      <c r="D7201" s="19" t="s">
        <v>22623</v>
      </c>
      <c r="E7201" s="19" t="s">
        <v>31715</v>
      </c>
      <c r="F7201" s="19" t="s">
        <v>35998</v>
      </c>
      <c r="G7201" s="18" t="str">
        <f>"39705"</f>
        <v>39705</v>
      </c>
      <c r="H7201" s="19" t="s">
        <v>36047</v>
      </c>
      <c r="I7201" s="20">
        <v>22.946999999999999</v>
      </c>
      <c r="J7201" s="44" t="s">
        <v>8</v>
      </c>
      <c r="K7201" s="23" t="s">
        <v>8</v>
      </c>
      <c r="L7201" s="23" t="s">
        <v>8</v>
      </c>
      <c r="M7201" s="23" t="s">
        <v>8</v>
      </c>
    </row>
    <row r="7202" spans="1:13" s="21" customFormat="1" x14ac:dyDescent="0.25">
      <c r="A7202" s="22" t="s">
        <v>8</v>
      </c>
      <c r="B7202" s="18" t="str">
        <f>"255300"</f>
        <v>255300</v>
      </c>
      <c r="C7202" s="19" t="s">
        <v>7101</v>
      </c>
      <c r="D7202" s="19" t="s">
        <v>22624</v>
      </c>
      <c r="E7202" s="19" t="s">
        <v>30816</v>
      </c>
      <c r="F7202" s="19" t="s">
        <v>35998</v>
      </c>
      <c r="G7202" s="18" t="str">
        <f>"39272"</f>
        <v>39272</v>
      </c>
      <c r="H7202" s="19" t="s">
        <v>36491</v>
      </c>
      <c r="I7202" s="20">
        <v>25.247</v>
      </c>
      <c r="J7202" s="44" t="s">
        <v>8</v>
      </c>
      <c r="K7202" s="23" t="s">
        <v>8</v>
      </c>
      <c r="L7202" s="23" t="s">
        <v>8</v>
      </c>
      <c r="M7202" s="23" t="s">
        <v>8</v>
      </c>
    </row>
    <row r="7203" spans="1:13" s="21" customFormat="1" x14ac:dyDescent="0.25">
      <c r="A7203" s="22" t="s">
        <v>8</v>
      </c>
      <c r="B7203" s="18" t="str">
        <f>"255301"</f>
        <v>255301</v>
      </c>
      <c r="C7203" s="19" t="s">
        <v>7102</v>
      </c>
      <c r="D7203" s="19" t="s">
        <v>22625</v>
      </c>
      <c r="E7203" s="19" t="s">
        <v>33515</v>
      </c>
      <c r="F7203" s="19" t="s">
        <v>35998</v>
      </c>
      <c r="G7203" s="18" t="str">
        <f>"39759"</f>
        <v>39759</v>
      </c>
      <c r="H7203" s="19" t="s">
        <v>36485</v>
      </c>
      <c r="I7203" s="20">
        <v>20.856000000000002</v>
      </c>
      <c r="J7203" s="44" t="s">
        <v>8</v>
      </c>
      <c r="K7203" s="23" t="s">
        <v>8</v>
      </c>
      <c r="L7203" s="23" t="s">
        <v>8</v>
      </c>
      <c r="M7203" s="23" t="s">
        <v>8</v>
      </c>
    </row>
    <row r="7204" spans="1:13" s="21" customFormat="1" x14ac:dyDescent="0.25">
      <c r="A7204" s="22" t="s">
        <v>8</v>
      </c>
      <c r="B7204" s="18" t="str">
        <f>"255302"</f>
        <v>255302</v>
      </c>
      <c r="C7204" s="19" t="s">
        <v>7103</v>
      </c>
      <c r="D7204" s="19" t="s">
        <v>22626</v>
      </c>
      <c r="E7204" s="19" t="s">
        <v>33566</v>
      </c>
      <c r="F7204" s="19" t="s">
        <v>35998</v>
      </c>
      <c r="G7204" s="18" t="str">
        <f>"38668"</f>
        <v>38668</v>
      </c>
      <c r="H7204" s="19" t="s">
        <v>36506</v>
      </c>
      <c r="I7204" s="20">
        <v>21.975999999999999</v>
      </c>
      <c r="J7204" s="44" t="s">
        <v>8</v>
      </c>
      <c r="K7204" s="23" t="s">
        <v>8</v>
      </c>
      <c r="L7204" s="23" t="s">
        <v>8</v>
      </c>
      <c r="M7204" s="23" t="s">
        <v>8</v>
      </c>
    </row>
    <row r="7205" spans="1:13" s="21" customFormat="1" x14ac:dyDescent="0.25">
      <c r="A7205" s="22" t="s">
        <v>8</v>
      </c>
      <c r="B7205" s="18" t="str">
        <f>"255303"</f>
        <v>255303</v>
      </c>
      <c r="C7205" s="19" t="s">
        <v>7104</v>
      </c>
      <c r="D7205" s="19" t="s">
        <v>22627</v>
      </c>
      <c r="E7205" s="19" t="s">
        <v>30829</v>
      </c>
      <c r="F7205" s="19" t="s">
        <v>35998</v>
      </c>
      <c r="G7205" s="18" t="str">
        <f>"39073"</f>
        <v>39073</v>
      </c>
      <c r="H7205" s="19" t="s">
        <v>36492</v>
      </c>
      <c r="I7205" s="20">
        <v>25.254000000000001</v>
      </c>
      <c r="J7205" s="44" t="s">
        <v>8</v>
      </c>
      <c r="K7205" s="23" t="s">
        <v>8</v>
      </c>
      <c r="L7205" s="23" t="s">
        <v>8</v>
      </c>
      <c r="M7205" s="23" t="s">
        <v>8</v>
      </c>
    </row>
    <row r="7206" spans="1:13" s="21" customFormat="1" x14ac:dyDescent="0.25">
      <c r="A7206" s="22" t="s">
        <v>8</v>
      </c>
      <c r="B7206" s="18" t="str">
        <f>"255304"</f>
        <v>255304</v>
      </c>
      <c r="C7206" s="19" t="s">
        <v>7105</v>
      </c>
      <c r="D7206" s="19" t="s">
        <v>22628</v>
      </c>
      <c r="E7206" s="19" t="s">
        <v>30899</v>
      </c>
      <c r="F7206" s="19" t="s">
        <v>35998</v>
      </c>
      <c r="G7206" s="18" t="str">
        <f>"39110"</f>
        <v>39110</v>
      </c>
      <c r="H7206" s="19" t="s">
        <v>30899</v>
      </c>
      <c r="I7206" s="20">
        <v>23.024999999999999</v>
      </c>
      <c r="J7206" s="44" t="s">
        <v>8</v>
      </c>
      <c r="K7206" s="23" t="s">
        <v>8</v>
      </c>
      <c r="L7206" s="23" t="s">
        <v>8</v>
      </c>
      <c r="M7206" s="23" t="s">
        <v>8</v>
      </c>
    </row>
    <row r="7207" spans="1:13" s="21" customFormat="1" x14ac:dyDescent="0.25">
      <c r="A7207" s="22" t="s">
        <v>8</v>
      </c>
      <c r="B7207" s="18" t="str">
        <f>"255305"</f>
        <v>255305</v>
      </c>
      <c r="C7207" s="19" t="s">
        <v>7106</v>
      </c>
      <c r="D7207" s="19" t="s">
        <v>22629</v>
      </c>
      <c r="E7207" s="19" t="s">
        <v>33513</v>
      </c>
      <c r="F7207" s="19" t="s">
        <v>35998</v>
      </c>
      <c r="G7207" s="18" t="str">
        <f>"38821"</f>
        <v>38821</v>
      </c>
      <c r="H7207" s="19" t="s">
        <v>31711</v>
      </c>
      <c r="I7207" s="20">
        <v>18.283999999999999</v>
      </c>
      <c r="J7207" s="44" t="s">
        <v>8</v>
      </c>
      <c r="K7207" s="23" t="s">
        <v>8</v>
      </c>
      <c r="L7207" s="23" t="s">
        <v>8</v>
      </c>
      <c r="M7207" s="23" t="s">
        <v>8</v>
      </c>
    </row>
    <row r="7208" spans="1:13" s="21" customFormat="1" x14ac:dyDescent="0.25">
      <c r="A7208" s="22" t="s">
        <v>8</v>
      </c>
      <c r="B7208" s="18" t="str">
        <f>"255306"</f>
        <v>255306</v>
      </c>
      <c r="C7208" s="19" t="s">
        <v>7107</v>
      </c>
      <c r="D7208" s="19" t="s">
        <v>22630</v>
      </c>
      <c r="E7208" s="19" t="s">
        <v>33493</v>
      </c>
      <c r="F7208" s="19" t="s">
        <v>35998</v>
      </c>
      <c r="G7208" s="18" t="str">
        <f>"38851"</f>
        <v>38851</v>
      </c>
      <c r="H7208" s="19" t="s">
        <v>36286</v>
      </c>
      <c r="I7208" s="20">
        <v>19.902999999999999</v>
      </c>
      <c r="J7208" s="44" t="s">
        <v>8</v>
      </c>
      <c r="K7208" s="23" t="s">
        <v>8</v>
      </c>
      <c r="L7208" s="23" t="s">
        <v>8</v>
      </c>
      <c r="M7208" s="23" t="s">
        <v>8</v>
      </c>
    </row>
    <row r="7209" spans="1:13" s="21" customFormat="1" x14ac:dyDescent="0.25">
      <c r="A7209" s="22" t="s">
        <v>8</v>
      </c>
      <c r="B7209" s="18" t="str">
        <f>"255307"</f>
        <v>255307</v>
      </c>
      <c r="C7209" s="19" t="s">
        <v>7108</v>
      </c>
      <c r="D7209" s="19" t="s">
        <v>22631</v>
      </c>
      <c r="E7209" s="19" t="s">
        <v>32204</v>
      </c>
      <c r="F7209" s="19" t="s">
        <v>35998</v>
      </c>
      <c r="G7209" s="18" t="str">
        <f>"38930"</f>
        <v>38930</v>
      </c>
      <c r="H7209" s="19" t="s">
        <v>36499</v>
      </c>
      <c r="I7209" s="20">
        <v>21.265000000000001</v>
      </c>
      <c r="J7209" s="44" t="s">
        <v>8</v>
      </c>
      <c r="K7209" s="23" t="s">
        <v>8</v>
      </c>
      <c r="L7209" s="23" t="s">
        <v>8</v>
      </c>
      <c r="M7209" s="23" t="s">
        <v>8</v>
      </c>
    </row>
    <row r="7210" spans="1:13" s="21" customFormat="1" x14ac:dyDescent="0.25">
      <c r="A7210" s="22" t="s">
        <v>8</v>
      </c>
      <c r="B7210" s="18" t="str">
        <f>"255308"</f>
        <v>255308</v>
      </c>
      <c r="C7210" s="19" t="s">
        <v>7109</v>
      </c>
      <c r="D7210" s="19" t="s">
        <v>22632</v>
      </c>
      <c r="E7210" s="19" t="s">
        <v>33551</v>
      </c>
      <c r="F7210" s="19" t="s">
        <v>35998</v>
      </c>
      <c r="G7210" s="18" t="str">
        <f>"39577"</f>
        <v>39577</v>
      </c>
      <c r="H7210" s="19" t="s">
        <v>36069</v>
      </c>
      <c r="I7210" s="20">
        <v>21.835000000000001</v>
      </c>
      <c r="J7210" s="44" t="s">
        <v>8</v>
      </c>
      <c r="K7210" s="23" t="s">
        <v>8</v>
      </c>
      <c r="L7210" s="23" t="s">
        <v>8</v>
      </c>
      <c r="M7210" s="23" t="s">
        <v>8</v>
      </c>
    </row>
    <row r="7211" spans="1:13" s="21" customFormat="1" x14ac:dyDescent="0.25">
      <c r="A7211" s="22" t="s">
        <v>8</v>
      </c>
      <c r="B7211" s="18" t="str">
        <f>"255309"</f>
        <v>255309</v>
      </c>
      <c r="C7211" s="19" t="s">
        <v>7110</v>
      </c>
      <c r="D7211" s="19" t="s">
        <v>22633</v>
      </c>
      <c r="E7211" s="19" t="s">
        <v>33526</v>
      </c>
      <c r="F7211" s="19" t="s">
        <v>35998</v>
      </c>
      <c r="G7211" s="18" t="str">
        <f>"38801"</f>
        <v>38801</v>
      </c>
      <c r="H7211" s="19" t="s">
        <v>33138</v>
      </c>
      <c r="I7211" s="20">
        <v>21.978999999999999</v>
      </c>
      <c r="J7211" s="44" t="s">
        <v>8</v>
      </c>
      <c r="K7211" s="23" t="s">
        <v>8</v>
      </c>
      <c r="L7211" s="23" t="s">
        <v>8</v>
      </c>
      <c r="M7211" s="23" t="s">
        <v>8</v>
      </c>
    </row>
    <row r="7212" spans="1:13" s="21" customFormat="1" x14ac:dyDescent="0.25">
      <c r="A7212" s="22" t="s">
        <v>8</v>
      </c>
      <c r="B7212" s="18" t="str">
        <f>"255310"</f>
        <v>255310</v>
      </c>
      <c r="C7212" s="19" t="s">
        <v>7111</v>
      </c>
      <c r="D7212" s="19" t="s">
        <v>22634</v>
      </c>
      <c r="E7212" s="19" t="s">
        <v>33540</v>
      </c>
      <c r="F7212" s="19" t="s">
        <v>35998</v>
      </c>
      <c r="G7212" s="18" t="str">
        <f>"39601"</f>
        <v>39601</v>
      </c>
      <c r="H7212" s="19" t="s">
        <v>31995</v>
      </c>
      <c r="I7212" s="20">
        <v>22.504999999999999</v>
      </c>
      <c r="J7212" s="44" t="s">
        <v>8</v>
      </c>
      <c r="K7212" s="23" t="s">
        <v>8</v>
      </c>
      <c r="L7212" s="23" t="s">
        <v>8</v>
      </c>
      <c r="M7212" s="23" t="s">
        <v>8</v>
      </c>
    </row>
    <row r="7213" spans="1:13" s="21" customFormat="1" x14ac:dyDescent="0.25">
      <c r="A7213" s="22" t="s">
        <v>8</v>
      </c>
      <c r="B7213" s="18" t="str">
        <f>"255311"</f>
        <v>255311</v>
      </c>
      <c r="C7213" s="19" t="s">
        <v>7112</v>
      </c>
      <c r="D7213" s="19" t="s">
        <v>22635</v>
      </c>
      <c r="E7213" s="19" t="s">
        <v>33567</v>
      </c>
      <c r="F7213" s="19" t="s">
        <v>35998</v>
      </c>
      <c r="G7213" s="18" t="str">
        <f>"38611"</f>
        <v>38611</v>
      </c>
      <c r="H7213" s="19" t="s">
        <v>31063</v>
      </c>
      <c r="I7213" s="20">
        <v>19.760000000000002</v>
      </c>
      <c r="J7213" s="44" t="s">
        <v>8</v>
      </c>
      <c r="K7213" s="23" t="s">
        <v>8</v>
      </c>
      <c r="L7213" s="23" t="s">
        <v>8</v>
      </c>
      <c r="M7213" s="23" t="s">
        <v>8</v>
      </c>
    </row>
    <row r="7214" spans="1:13" s="21" customFormat="1" x14ac:dyDescent="0.25">
      <c r="A7214" s="22" t="s">
        <v>8</v>
      </c>
      <c r="B7214" s="18" t="str">
        <f>"255312"</f>
        <v>255312</v>
      </c>
      <c r="C7214" s="19" t="s">
        <v>7113</v>
      </c>
      <c r="D7214" s="19" t="s">
        <v>22636</v>
      </c>
      <c r="E7214" s="19" t="s">
        <v>32211</v>
      </c>
      <c r="F7214" s="19" t="s">
        <v>35998</v>
      </c>
      <c r="G7214" s="18" t="str">
        <f>"38652"</f>
        <v>38652</v>
      </c>
      <c r="H7214" s="19" t="s">
        <v>33554</v>
      </c>
      <c r="I7214" s="20">
        <v>18.375</v>
      </c>
      <c r="J7214" s="44" t="s">
        <v>8</v>
      </c>
      <c r="K7214" s="23" t="s">
        <v>8</v>
      </c>
      <c r="L7214" s="23" t="s">
        <v>8</v>
      </c>
      <c r="M7214" s="23" t="s">
        <v>8</v>
      </c>
    </row>
    <row r="7215" spans="1:13" s="21" customFormat="1" x14ac:dyDescent="0.25">
      <c r="A7215" s="22" t="s">
        <v>8</v>
      </c>
      <c r="B7215" s="18" t="str">
        <f>"255313"</f>
        <v>255313</v>
      </c>
      <c r="C7215" s="19" t="s">
        <v>7114</v>
      </c>
      <c r="D7215" s="19" t="s">
        <v>22637</v>
      </c>
      <c r="E7215" s="19" t="s">
        <v>32540</v>
      </c>
      <c r="F7215" s="19" t="s">
        <v>35998</v>
      </c>
      <c r="G7215" s="18" t="str">
        <f>"39773"</f>
        <v>39773</v>
      </c>
      <c r="H7215" s="19" t="s">
        <v>36030</v>
      </c>
      <c r="I7215" s="20">
        <v>19.344999999999999</v>
      </c>
      <c r="J7215" s="44" t="s">
        <v>8</v>
      </c>
      <c r="K7215" s="23" t="s">
        <v>8</v>
      </c>
      <c r="L7215" s="23" t="s">
        <v>8</v>
      </c>
      <c r="M7215" s="23" t="s">
        <v>8</v>
      </c>
    </row>
    <row r="7216" spans="1:13" s="21" customFormat="1" x14ac:dyDescent="0.25">
      <c r="A7216" s="22" t="s">
        <v>8</v>
      </c>
      <c r="B7216" s="18" t="str">
        <f>"255314"</f>
        <v>255314</v>
      </c>
      <c r="C7216" s="19" t="s">
        <v>7115</v>
      </c>
      <c r="D7216" s="19" t="s">
        <v>22638</v>
      </c>
      <c r="E7216" s="19" t="s">
        <v>30817</v>
      </c>
      <c r="F7216" s="19" t="s">
        <v>35998</v>
      </c>
      <c r="G7216" s="18" t="str">
        <f>"38703"</f>
        <v>38703</v>
      </c>
      <c r="H7216" s="19" t="s">
        <v>31500</v>
      </c>
      <c r="I7216" s="20">
        <v>21.51</v>
      </c>
      <c r="J7216" s="44" t="s">
        <v>8</v>
      </c>
      <c r="K7216" s="23" t="s">
        <v>8</v>
      </c>
      <c r="L7216" s="23" t="s">
        <v>8</v>
      </c>
      <c r="M7216" s="23" t="s">
        <v>8</v>
      </c>
    </row>
    <row r="7217" spans="1:13" s="21" customFormat="1" x14ac:dyDescent="0.25">
      <c r="A7217" s="22" t="s">
        <v>8</v>
      </c>
      <c r="B7217" s="18" t="str">
        <f>"255315"</f>
        <v>255315</v>
      </c>
      <c r="C7217" s="19" t="s">
        <v>7116</v>
      </c>
      <c r="D7217" s="19" t="s">
        <v>22639</v>
      </c>
      <c r="E7217" s="19" t="s">
        <v>31905</v>
      </c>
      <c r="F7217" s="19" t="s">
        <v>35998</v>
      </c>
      <c r="G7217" s="18" t="str">
        <f>"39305"</f>
        <v>39305</v>
      </c>
      <c r="H7217" s="19" t="s">
        <v>36036</v>
      </c>
      <c r="I7217" s="20">
        <v>18.184999999999999</v>
      </c>
      <c r="J7217" s="44" t="s">
        <v>8</v>
      </c>
      <c r="K7217" s="23" t="s">
        <v>8</v>
      </c>
      <c r="L7217" s="23" t="s">
        <v>8</v>
      </c>
      <c r="M7217" s="23" t="s">
        <v>8</v>
      </c>
    </row>
    <row r="7218" spans="1:13" s="21" customFormat="1" x14ac:dyDescent="0.25">
      <c r="A7218" s="22" t="s">
        <v>8</v>
      </c>
      <c r="B7218" s="18" t="str">
        <f>"255316"</f>
        <v>255316</v>
      </c>
      <c r="C7218" s="19" t="s">
        <v>7117</v>
      </c>
      <c r="D7218" s="19" t="s">
        <v>22640</v>
      </c>
      <c r="E7218" s="19" t="s">
        <v>32076</v>
      </c>
      <c r="F7218" s="19" t="s">
        <v>35998</v>
      </c>
      <c r="G7218" s="18" t="str">
        <f>"39429"</f>
        <v>39429</v>
      </c>
      <c r="H7218" s="19" t="s">
        <v>30850</v>
      </c>
      <c r="I7218" s="20">
        <v>25.789000000000001</v>
      </c>
      <c r="J7218" s="44" t="s">
        <v>8</v>
      </c>
      <c r="K7218" s="23" t="s">
        <v>8</v>
      </c>
      <c r="L7218" s="23" t="s">
        <v>8</v>
      </c>
      <c r="M7218" s="23" t="s">
        <v>8</v>
      </c>
    </row>
    <row r="7219" spans="1:13" s="21" customFormat="1" x14ac:dyDescent="0.25">
      <c r="A7219" s="22" t="s">
        <v>8</v>
      </c>
      <c r="B7219" s="18" t="str">
        <f>"255317"</f>
        <v>255317</v>
      </c>
      <c r="C7219" s="19" t="s">
        <v>7118</v>
      </c>
      <c r="D7219" s="19" t="s">
        <v>22641</v>
      </c>
      <c r="E7219" s="19" t="s">
        <v>33526</v>
      </c>
      <c r="F7219" s="19" t="s">
        <v>35998</v>
      </c>
      <c r="G7219" s="18" t="str">
        <f>"38801"</f>
        <v>38801</v>
      </c>
      <c r="H7219" s="19" t="s">
        <v>33138</v>
      </c>
      <c r="I7219" s="20">
        <v>17.222000000000001</v>
      </c>
      <c r="J7219" s="44" t="s">
        <v>8</v>
      </c>
      <c r="K7219" s="23" t="s">
        <v>8</v>
      </c>
      <c r="L7219" s="23" t="s">
        <v>8</v>
      </c>
      <c r="M7219" s="23" t="s">
        <v>8</v>
      </c>
    </row>
    <row r="7220" spans="1:13" s="21" customFormat="1" x14ac:dyDescent="0.25">
      <c r="A7220" s="22" t="s">
        <v>8</v>
      </c>
      <c r="B7220" s="18" t="str">
        <f>"255318"</f>
        <v>255318</v>
      </c>
      <c r="C7220" s="19" t="s">
        <v>7119</v>
      </c>
      <c r="D7220" s="19" t="s">
        <v>22642</v>
      </c>
      <c r="E7220" s="19" t="s">
        <v>33554</v>
      </c>
      <c r="F7220" s="19" t="s">
        <v>35998</v>
      </c>
      <c r="G7220" s="18" t="str">
        <f>"39365"</f>
        <v>39365</v>
      </c>
      <c r="H7220" s="19" t="s">
        <v>36484</v>
      </c>
      <c r="I7220" s="20">
        <v>18.015000000000001</v>
      </c>
      <c r="J7220" s="44" t="s">
        <v>8</v>
      </c>
      <c r="K7220" s="23" t="s">
        <v>8</v>
      </c>
      <c r="L7220" s="23" t="s">
        <v>8</v>
      </c>
      <c r="M7220" s="23" t="s">
        <v>8</v>
      </c>
    </row>
    <row r="7221" spans="1:13" s="21" customFormat="1" x14ac:dyDescent="0.25">
      <c r="A7221" s="22" t="s">
        <v>8</v>
      </c>
      <c r="B7221" s="18" t="str">
        <f>"255319"</f>
        <v>255319</v>
      </c>
      <c r="C7221" s="19" t="s">
        <v>7120</v>
      </c>
      <c r="D7221" s="19" t="s">
        <v>22643</v>
      </c>
      <c r="E7221" s="19" t="s">
        <v>33556</v>
      </c>
      <c r="F7221" s="19" t="s">
        <v>35998</v>
      </c>
      <c r="G7221" s="18" t="str">
        <f>"38863"</f>
        <v>38863</v>
      </c>
      <c r="H7221" s="19" t="s">
        <v>33556</v>
      </c>
      <c r="I7221" s="20">
        <v>21.57</v>
      </c>
      <c r="J7221" s="44" t="s">
        <v>8</v>
      </c>
      <c r="K7221" s="23" t="s">
        <v>8</v>
      </c>
      <c r="L7221" s="23" t="s">
        <v>8</v>
      </c>
      <c r="M7221" s="23" t="s">
        <v>8</v>
      </c>
    </row>
    <row r="7222" spans="1:13" s="21" customFormat="1" x14ac:dyDescent="0.25">
      <c r="A7222" s="22" t="s">
        <v>8</v>
      </c>
      <c r="B7222" s="18" t="str">
        <f>"255320"</f>
        <v>255320</v>
      </c>
      <c r="C7222" s="19" t="s">
        <v>7121</v>
      </c>
      <c r="D7222" s="19" t="s">
        <v>22644</v>
      </c>
      <c r="E7222" s="19" t="s">
        <v>31051</v>
      </c>
      <c r="F7222" s="19" t="s">
        <v>35998</v>
      </c>
      <c r="G7222" s="18" t="str">
        <f>"38829"</f>
        <v>38829</v>
      </c>
      <c r="H7222" s="19" t="s">
        <v>33519</v>
      </c>
      <c r="I7222" s="20">
        <v>16.692</v>
      </c>
      <c r="J7222" s="44" t="s">
        <v>8</v>
      </c>
      <c r="K7222" s="23" t="s">
        <v>8</v>
      </c>
      <c r="L7222" s="23" t="s">
        <v>8</v>
      </c>
      <c r="M7222" s="23" t="s">
        <v>8</v>
      </c>
    </row>
    <row r="7223" spans="1:13" s="21" customFormat="1" x14ac:dyDescent="0.25">
      <c r="A7223" s="22" t="s">
        <v>8</v>
      </c>
      <c r="B7223" s="18" t="str">
        <f>"255321"</f>
        <v>255321</v>
      </c>
      <c r="C7223" s="19" t="s">
        <v>7122</v>
      </c>
      <c r="D7223" s="19" t="s">
        <v>22645</v>
      </c>
      <c r="E7223" s="19" t="s">
        <v>33537</v>
      </c>
      <c r="F7223" s="19" t="s">
        <v>35998</v>
      </c>
      <c r="G7223" s="18" t="str">
        <f>"39401"</f>
        <v>39401</v>
      </c>
      <c r="H7223" s="19" t="s">
        <v>36498</v>
      </c>
      <c r="I7223" s="20">
        <v>25.48</v>
      </c>
      <c r="J7223" s="44" t="s">
        <v>8</v>
      </c>
      <c r="K7223" s="23" t="s">
        <v>8</v>
      </c>
      <c r="L7223" s="23" t="s">
        <v>8</v>
      </c>
      <c r="M7223" s="23" t="s">
        <v>8</v>
      </c>
    </row>
    <row r="7224" spans="1:13" s="21" customFormat="1" x14ac:dyDescent="0.25">
      <c r="A7224" s="22" t="s">
        <v>8</v>
      </c>
      <c r="B7224" s="18" t="str">
        <f>"255322"</f>
        <v>255322</v>
      </c>
      <c r="C7224" s="19" t="s">
        <v>7123</v>
      </c>
      <c r="D7224" s="19" t="s">
        <v>22646</v>
      </c>
      <c r="E7224" s="19" t="s">
        <v>33568</v>
      </c>
      <c r="F7224" s="19" t="s">
        <v>35998</v>
      </c>
      <c r="G7224" s="18" t="str">
        <f>"39520"</f>
        <v>39520</v>
      </c>
      <c r="H7224" s="19" t="s">
        <v>33144</v>
      </c>
      <c r="I7224" s="20">
        <v>19.86</v>
      </c>
      <c r="J7224" s="44" t="s">
        <v>8</v>
      </c>
      <c r="K7224" s="23" t="s">
        <v>8</v>
      </c>
      <c r="L7224" s="23" t="s">
        <v>8</v>
      </c>
      <c r="M7224" s="23" t="s">
        <v>8</v>
      </c>
    </row>
    <row r="7225" spans="1:13" s="21" customFormat="1" x14ac:dyDescent="0.25">
      <c r="A7225" s="22" t="s">
        <v>8</v>
      </c>
      <c r="B7225" s="18" t="str">
        <f>"255323"</f>
        <v>255323</v>
      </c>
      <c r="C7225" s="19" t="s">
        <v>7124</v>
      </c>
      <c r="D7225" s="19" t="s">
        <v>22647</v>
      </c>
      <c r="E7225" s="19" t="s">
        <v>33569</v>
      </c>
      <c r="F7225" s="19" t="s">
        <v>35998</v>
      </c>
      <c r="G7225" s="18" t="str">
        <f>"39540"</f>
        <v>39540</v>
      </c>
      <c r="H7225" s="19" t="s">
        <v>31020</v>
      </c>
      <c r="I7225" s="20">
        <v>23.545999999999999</v>
      </c>
      <c r="J7225" s="44" t="s">
        <v>8</v>
      </c>
      <c r="K7225" s="23" t="s">
        <v>8</v>
      </c>
      <c r="L7225" s="23" t="s">
        <v>8</v>
      </c>
      <c r="M7225" s="23" t="s">
        <v>8</v>
      </c>
    </row>
    <row r="7226" spans="1:13" s="21" customFormat="1" x14ac:dyDescent="0.25">
      <c r="A7226" s="22" t="s">
        <v>8</v>
      </c>
      <c r="B7226" s="18" t="str">
        <f>"255324"</f>
        <v>255324</v>
      </c>
      <c r="C7226" s="19" t="s">
        <v>7125</v>
      </c>
      <c r="D7226" s="19" t="s">
        <v>22648</v>
      </c>
      <c r="E7226" s="19" t="s">
        <v>33570</v>
      </c>
      <c r="F7226" s="19" t="s">
        <v>35998</v>
      </c>
      <c r="G7226" s="18" t="str">
        <f>"38915"</f>
        <v>38915</v>
      </c>
      <c r="H7226" s="19" t="s">
        <v>31743</v>
      </c>
      <c r="I7226" s="20">
        <v>18.832999999999998</v>
      </c>
      <c r="J7226" s="44" t="s">
        <v>8</v>
      </c>
      <c r="K7226" s="23" t="s">
        <v>8</v>
      </c>
      <c r="L7226" s="23" t="s">
        <v>8</v>
      </c>
      <c r="M7226" s="23" t="s">
        <v>8</v>
      </c>
    </row>
    <row r="7227" spans="1:13" s="21" customFormat="1" x14ac:dyDescent="0.25">
      <c r="A7227" s="22" t="s">
        <v>8</v>
      </c>
      <c r="B7227" s="18" t="str">
        <f>"255325"</f>
        <v>255325</v>
      </c>
      <c r="C7227" s="19" t="s">
        <v>7126</v>
      </c>
      <c r="D7227" s="19" t="s">
        <v>22649</v>
      </c>
      <c r="E7227" s="19" t="s">
        <v>33571</v>
      </c>
      <c r="F7227" s="19" t="s">
        <v>35998</v>
      </c>
      <c r="G7227" s="18" t="str">
        <f>"39208"</f>
        <v>39208</v>
      </c>
      <c r="H7227" s="19" t="s">
        <v>36492</v>
      </c>
      <c r="I7227" s="20">
        <v>21.314</v>
      </c>
      <c r="J7227" s="44" t="s">
        <v>8</v>
      </c>
      <c r="K7227" s="23" t="s">
        <v>8</v>
      </c>
      <c r="L7227" s="23" t="s">
        <v>8</v>
      </c>
      <c r="M7227" s="23" t="s">
        <v>8</v>
      </c>
    </row>
    <row r="7228" spans="1:13" s="21" customFormat="1" x14ac:dyDescent="0.25">
      <c r="A7228" s="22" t="s">
        <v>8</v>
      </c>
      <c r="B7228" s="18" t="str">
        <f>"255326"</f>
        <v>255326</v>
      </c>
      <c r="C7228" s="19" t="s">
        <v>7127</v>
      </c>
      <c r="D7228" s="19" t="s">
        <v>22650</v>
      </c>
      <c r="E7228" s="19" t="s">
        <v>30816</v>
      </c>
      <c r="F7228" s="19" t="s">
        <v>35998</v>
      </c>
      <c r="G7228" s="18" t="str">
        <f>"39206"</f>
        <v>39206</v>
      </c>
      <c r="H7228" s="19" t="s">
        <v>36491</v>
      </c>
      <c r="I7228" s="20">
        <v>20.451000000000001</v>
      </c>
      <c r="J7228" s="44" t="s">
        <v>8</v>
      </c>
      <c r="K7228" s="23" t="s">
        <v>8</v>
      </c>
      <c r="L7228" s="23" t="s">
        <v>8</v>
      </c>
      <c r="M7228" s="23" t="s">
        <v>8</v>
      </c>
    </row>
    <row r="7229" spans="1:13" s="21" customFormat="1" x14ac:dyDescent="0.25">
      <c r="A7229" s="22" t="s">
        <v>8</v>
      </c>
      <c r="B7229" s="18" t="str">
        <f>"255327"</f>
        <v>255327</v>
      </c>
      <c r="C7229" s="19" t="s">
        <v>7128</v>
      </c>
      <c r="D7229" s="19" t="s">
        <v>22651</v>
      </c>
      <c r="E7229" s="19" t="s">
        <v>33534</v>
      </c>
      <c r="F7229" s="19" t="s">
        <v>35998</v>
      </c>
      <c r="G7229" s="18" t="str">
        <f>"39194"</f>
        <v>39194</v>
      </c>
      <c r="H7229" s="19" t="s">
        <v>36497</v>
      </c>
      <c r="I7229" s="20">
        <v>22.116</v>
      </c>
      <c r="J7229" s="44" t="s">
        <v>8</v>
      </c>
      <c r="K7229" s="23" t="s">
        <v>8</v>
      </c>
      <c r="L7229" s="23" t="s">
        <v>8</v>
      </c>
      <c r="M7229" s="23" t="s">
        <v>8</v>
      </c>
    </row>
    <row r="7230" spans="1:13" s="21" customFormat="1" x14ac:dyDescent="0.25">
      <c r="A7230" s="22" t="s">
        <v>8</v>
      </c>
      <c r="B7230" s="18" t="str">
        <f>"255328"</f>
        <v>255328</v>
      </c>
      <c r="C7230" s="19" t="s">
        <v>7129</v>
      </c>
      <c r="D7230" s="19" t="s">
        <v>22652</v>
      </c>
      <c r="E7230" s="19" t="s">
        <v>30850</v>
      </c>
      <c r="F7230" s="19" t="s">
        <v>35998</v>
      </c>
      <c r="G7230" s="18" t="str">
        <f>"39342"</f>
        <v>39342</v>
      </c>
      <c r="H7230" s="19" t="s">
        <v>36036</v>
      </c>
      <c r="I7230" s="20">
        <v>19.460999999999999</v>
      </c>
      <c r="J7230" s="44" t="s">
        <v>8</v>
      </c>
      <c r="K7230" s="23" t="s">
        <v>8</v>
      </c>
      <c r="L7230" s="23" t="s">
        <v>8</v>
      </c>
      <c r="M7230" s="23" t="s">
        <v>8</v>
      </c>
    </row>
    <row r="7231" spans="1:13" s="21" customFormat="1" x14ac:dyDescent="0.25">
      <c r="A7231" s="22" t="s">
        <v>8</v>
      </c>
      <c r="B7231" s="18" t="str">
        <f>"255329"</f>
        <v>255329</v>
      </c>
      <c r="C7231" s="19" t="s">
        <v>7130</v>
      </c>
      <c r="D7231" s="19" t="s">
        <v>22653</v>
      </c>
      <c r="E7231" s="19" t="s">
        <v>31791</v>
      </c>
      <c r="F7231" s="19" t="s">
        <v>35998</v>
      </c>
      <c r="G7231" s="18" t="str">
        <f>"39046"</f>
        <v>39046</v>
      </c>
      <c r="H7231" s="19" t="s">
        <v>30899</v>
      </c>
      <c r="I7231" s="20">
        <v>18.64</v>
      </c>
      <c r="J7231" s="44" t="s">
        <v>8</v>
      </c>
      <c r="K7231" s="23" t="s">
        <v>8</v>
      </c>
      <c r="L7231" s="23" t="s">
        <v>8</v>
      </c>
      <c r="M7231" s="23" t="s">
        <v>8</v>
      </c>
    </row>
    <row r="7232" spans="1:13" s="21" customFormat="1" x14ac:dyDescent="0.25">
      <c r="A7232" s="22" t="s">
        <v>8</v>
      </c>
      <c r="B7232" s="18" t="str">
        <f>"255331"</f>
        <v>255331</v>
      </c>
      <c r="C7232" s="19" t="s">
        <v>7131</v>
      </c>
      <c r="D7232" s="19" t="s">
        <v>22654</v>
      </c>
      <c r="E7232" s="19" t="s">
        <v>33550</v>
      </c>
      <c r="F7232" s="19" t="s">
        <v>35998</v>
      </c>
      <c r="G7232" s="18" t="str">
        <f>"39428"</f>
        <v>39428</v>
      </c>
      <c r="H7232" s="19" t="s">
        <v>31753</v>
      </c>
      <c r="I7232" s="20">
        <v>19.606000000000002</v>
      </c>
      <c r="J7232" s="44" t="s">
        <v>8</v>
      </c>
      <c r="K7232" s="23" t="s">
        <v>8</v>
      </c>
      <c r="L7232" s="23" t="s">
        <v>8</v>
      </c>
      <c r="M7232" s="23" t="s">
        <v>8</v>
      </c>
    </row>
    <row r="7233" spans="1:13" s="21" customFormat="1" x14ac:dyDescent="0.25">
      <c r="A7233" s="22" t="s">
        <v>8</v>
      </c>
      <c r="B7233" s="18" t="str">
        <f>"255332"</f>
        <v>255332</v>
      </c>
      <c r="C7233" s="19" t="s">
        <v>7132</v>
      </c>
      <c r="D7233" s="19" t="s">
        <v>22655</v>
      </c>
      <c r="E7233" s="19" t="s">
        <v>33572</v>
      </c>
      <c r="F7233" s="19" t="s">
        <v>35998</v>
      </c>
      <c r="G7233" s="18" t="str">
        <f>"39063"</f>
        <v>39063</v>
      </c>
      <c r="H7233" s="19" t="s">
        <v>34081</v>
      </c>
      <c r="I7233" s="20">
        <v>23.951000000000001</v>
      </c>
      <c r="J7233" s="44" t="s">
        <v>8</v>
      </c>
      <c r="K7233" s="23" t="s">
        <v>8</v>
      </c>
      <c r="L7233" s="23" t="s">
        <v>8</v>
      </c>
      <c r="M7233" s="23" t="s">
        <v>8</v>
      </c>
    </row>
    <row r="7234" spans="1:13" s="21" customFormat="1" x14ac:dyDescent="0.25">
      <c r="A7234" s="22" t="s">
        <v>8</v>
      </c>
      <c r="B7234" s="18" t="str">
        <f>"255333"</f>
        <v>255333</v>
      </c>
      <c r="C7234" s="19" t="s">
        <v>7133</v>
      </c>
      <c r="D7234" s="19" t="s">
        <v>22656</v>
      </c>
      <c r="E7234" s="19" t="s">
        <v>33545</v>
      </c>
      <c r="F7234" s="19" t="s">
        <v>35998</v>
      </c>
      <c r="G7234" s="18" t="str">
        <f>"39452"</f>
        <v>39452</v>
      </c>
      <c r="H7234" s="19" t="s">
        <v>32401</v>
      </c>
      <c r="I7234" s="20">
        <v>19.297999999999998</v>
      </c>
      <c r="J7234" s="44" t="s">
        <v>8</v>
      </c>
      <c r="K7234" s="23" t="s">
        <v>8</v>
      </c>
      <c r="L7234" s="23" t="s">
        <v>8</v>
      </c>
      <c r="M7234" s="23" t="s">
        <v>8</v>
      </c>
    </row>
    <row r="7235" spans="1:13" s="21" customFormat="1" x14ac:dyDescent="0.25">
      <c r="A7235" s="22" t="s">
        <v>8</v>
      </c>
      <c r="B7235" s="18" t="str">
        <f>"255334"</f>
        <v>255334</v>
      </c>
      <c r="C7235" s="19" t="s">
        <v>7134</v>
      </c>
      <c r="D7235" s="19" t="s">
        <v>22657</v>
      </c>
      <c r="E7235" s="19" t="s">
        <v>33573</v>
      </c>
      <c r="F7235" s="19" t="s">
        <v>35998</v>
      </c>
      <c r="G7235" s="18" t="str">
        <f>"38676"</f>
        <v>38676</v>
      </c>
      <c r="H7235" s="19" t="s">
        <v>33573</v>
      </c>
      <c r="I7235" s="20">
        <v>18.704999999999998</v>
      </c>
      <c r="J7235" s="44" t="s">
        <v>8</v>
      </c>
      <c r="K7235" s="23" t="s">
        <v>8</v>
      </c>
      <c r="L7235" s="23" t="s">
        <v>8</v>
      </c>
      <c r="M7235" s="23" t="s">
        <v>8</v>
      </c>
    </row>
    <row r="7236" spans="1:13" s="21" customFormat="1" x14ac:dyDescent="0.25">
      <c r="A7236" s="22" t="s">
        <v>8</v>
      </c>
      <c r="B7236" s="18" t="str">
        <f>"255335"</f>
        <v>255335</v>
      </c>
      <c r="C7236" s="19" t="s">
        <v>7135</v>
      </c>
      <c r="D7236" s="19" t="s">
        <v>22658</v>
      </c>
      <c r="E7236" s="19" t="s">
        <v>33537</v>
      </c>
      <c r="F7236" s="19" t="s">
        <v>35998</v>
      </c>
      <c r="G7236" s="18" t="str">
        <f>"39401"</f>
        <v>39401</v>
      </c>
      <c r="H7236" s="19" t="s">
        <v>36498</v>
      </c>
      <c r="I7236" s="20">
        <v>15.791</v>
      </c>
      <c r="J7236" s="44" t="s">
        <v>8</v>
      </c>
      <c r="K7236" s="23" t="s">
        <v>8</v>
      </c>
      <c r="L7236" s="23" t="s">
        <v>8</v>
      </c>
      <c r="M7236" s="23" t="s">
        <v>8</v>
      </c>
    </row>
    <row r="7237" spans="1:13" s="21" customFormat="1" x14ac:dyDescent="0.25">
      <c r="A7237" s="22" t="s">
        <v>8</v>
      </c>
      <c r="B7237" s="18" t="str">
        <f>"255336"</f>
        <v>255336</v>
      </c>
      <c r="C7237" s="19" t="s">
        <v>7136</v>
      </c>
      <c r="D7237" s="19" t="s">
        <v>22659</v>
      </c>
      <c r="E7237" s="19" t="s">
        <v>33574</v>
      </c>
      <c r="F7237" s="19" t="s">
        <v>35998</v>
      </c>
      <c r="G7237" s="18" t="str">
        <f>"39437"</f>
        <v>39437</v>
      </c>
      <c r="H7237" s="19" t="s">
        <v>34651</v>
      </c>
      <c r="I7237" s="20">
        <v>20.256</v>
      </c>
      <c r="J7237" s="44" t="s">
        <v>8</v>
      </c>
      <c r="K7237" s="23" t="s">
        <v>8</v>
      </c>
      <c r="L7237" s="23" t="s">
        <v>8</v>
      </c>
      <c r="M7237" s="23" t="s">
        <v>8</v>
      </c>
    </row>
    <row r="7238" spans="1:13" s="21" customFormat="1" x14ac:dyDescent="0.25">
      <c r="A7238" s="22" t="s">
        <v>8</v>
      </c>
      <c r="B7238" s="18" t="str">
        <f>"255338"</f>
        <v>255338</v>
      </c>
      <c r="C7238" s="19" t="s">
        <v>7137</v>
      </c>
      <c r="D7238" s="19" t="s">
        <v>22660</v>
      </c>
      <c r="E7238" s="19" t="s">
        <v>33575</v>
      </c>
      <c r="F7238" s="19" t="s">
        <v>35998</v>
      </c>
      <c r="G7238" s="18" t="str">
        <f>"39455"</f>
        <v>39455</v>
      </c>
      <c r="H7238" s="19" t="s">
        <v>31372</v>
      </c>
      <c r="I7238" s="20">
        <v>19.989000000000001</v>
      </c>
      <c r="J7238" s="44" t="s">
        <v>8</v>
      </c>
      <c r="K7238" s="23" t="s">
        <v>8</v>
      </c>
      <c r="L7238" s="23" t="s">
        <v>8</v>
      </c>
      <c r="M7238" s="23" t="s">
        <v>8</v>
      </c>
    </row>
    <row r="7239" spans="1:13" s="21" customFormat="1" x14ac:dyDescent="0.25">
      <c r="A7239" s="22" t="s">
        <v>8</v>
      </c>
      <c r="B7239" s="18" t="str">
        <f>"255339"</f>
        <v>255339</v>
      </c>
      <c r="C7239" s="19" t="s">
        <v>7138</v>
      </c>
      <c r="D7239" s="19" t="s">
        <v>22661</v>
      </c>
      <c r="E7239" s="19" t="s">
        <v>33514</v>
      </c>
      <c r="F7239" s="19" t="s">
        <v>35998</v>
      </c>
      <c r="G7239" s="18" t="str">
        <f>"39350"</f>
        <v>39350</v>
      </c>
      <c r="H7239" s="19" t="s">
        <v>36484</v>
      </c>
      <c r="I7239" s="20">
        <v>18.981000000000002</v>
      </c>
      <c r="J7239" s="44" t="s">
        <v>8</v>
      </c>
      <c r="K7239" s="23" t="s">
        <v>8</v>
      </c>
      <c r="L7239" s="23" t="s">
        <v>8</v>
      </c>
      <c r="M7239" s="23" t="s">
        <v>8</v>
      </c>
    </row>
    <row r="7240" spans="1:13" s="21" customFormat="1" x14ac:dyDescent="0.25">
      <c r="A7240" s="22" t="s">
        <v>8</v>
      </c>
      <c r="B7240" s="18" t="str">
        <f>"255340"</f>
        <v>255340</v>
      </c>
      <c r="C7240" s="19" t="s">
        <v>7139</v>
      </c>
      <c r="D7240" s="19" t="s">
        <v>22662</v>
      </c>
      <c r="E7240" s="19" t="s">
        <v>31905</v>
      </c>
      <c r="F7240" s="19" t="s">
        <v>35998</v>
      </c>
      <c r="G7240" s="18" t="str">
        <f>"39305"</f>
        <v>39305</v>
      </c>
      <c r="H7240" s="19" t="s">
        <v>36036</v>
      </c>
      <c r="I7240" s="20">
        <v>17.806000000000001</v>
      </c>
      <c r="J7240" s="44" t="s">
        <v>8</v>
      </c>
      <c r="K7240" s="23" t="s">
        <v>8</v>
      </c>
      <c r="L7240" s="23" t="s">
        <v>8</v>
      </c>
      <c r="M7240" s="23" t="s">
        <v>8</v>
      </c>
    </row>
    <row r="7241" spans="1:13" s="21" customFormat="1" x14ac:dyDescent="0.25">
      <c r="A7241" s="22" t="s">
        <v>8</v>
      </c>
      <c r="B7241" s="18" t="str">
        <f>"255341"</f>
        <v>255341</v>
      </c>
      <c r="C7241" s="19" t="s">
        <v>7140</v>
      </c>
      <c r="D7241" s="19" t="s">
        <v>22663</v>
      </c>
      <c r="E7241" s="19" t="s">
        <v>31550</v>
      </c>
      <c r="F7241" s="19" t="s">
        <v>35998</v>
      </c>
      <c r="G7241" s="18" t="str">
        <f>"39503"</f>
        <v>39503</v>
      </c>
      <c r="H7241" s="19" t="s">
        <v>31020</v>
      </c>
      <c r="I7241" s="20">
        <v>19.181000000000001</v>
      </c>
      <c r="J7241" s="44" t="s">
        <v>8</v>
      </c>
      <c r="K7241" s="23" t="s">
        <v>8</v>
      </c>
      <c r="L7241" s="23" t="s">
        <v>8</v>
      </c>
      <c r="M7241" s="23" t="s">
        <v>8</v>
      </c>
    </row>
    <row r="7242" spans="1:13" s="21" customFormat="1" x14ac:dyDescent="0.25">
      <c r="A7242" s="22" t="s">
        <v>8</v>
      </c>
      <c r="B7242" s="18" t="str">
        <f>"255342"</f>
        <v>255342</v>
      </c>
      <c r="C7242" s="19" t="s">
        <v>7141</v>
      </c>
      <c r="D7242" s="19" t="s">
        <v>22664</v>
      </c>
      <c r="E7242" s="19" t="s">
        <v>33576</v>
      </c>
      <c r="F7242" s="19" t="s">
        <v>35998</v>
      </c>
      <c r="G7242" s="18" t="str">
        <f>"39153"</f>
        <v>39153</v>
      </c>
      <c r="H7242" s="19" t="s">
        <v>36304</v>
      </c>
      <c r="I7242" s="20">
        <v>21.449000000000002</v>
      </c>
      <c r="J7242" s="44" t="s">
        <v>8</v>
      </c>
      <c r="K7242" s="23" t="s">
        <v>8</v>
      </c>
      <c r="L7242" s="23" t="s">
        <v>8</v>
      </c>
      <c r="M7242" s="23" t="s">
        <v>8</v>
      </c>
    </row>
    <row r="7243" spans="1:13" s="21" customFormat="1" x14ac:dyDescent="0.25">
      <c r="A7243" s="22" t="s">
        <v>8</v>
      </c>
      <c r="B7243" s="18" t="s">
        <v>15277</v>
      </c>
      <c r="C7243" s="19" t="s">
        <v>7142</v>
      </c>
      <c r="D7243" s="19" t="s">
        <v>22665</v>
      </c>
      <c r="E7243" s="19" t="s">
        <v>32285</v>
      </c>
      <c r="F7243" s="19" t="s">
        <v>35999</v>
      </c>
      <c r="G7243" s="18" t="str">
        <f>"65233"</f>
        <v>65233</v>
      </c>
      <c r="H7243" s="19" t="s">
        <v>35899</v>
      </c>
      <c r="I7243" s="20">
        <v>18.724</v>
      </c>
      <c r="J7243" s="44" t="s">
        <v>8</v>
      </c>
      <c r="K7243" s="23" t="s">
        <v>8</v>
      </c>
      <c r="L7243" s="23" t="s">
        <v>8</v>
      </c>
      <c r="M7243" s="23" t="s">
        <v>8</v>
      </c>
    </row>
    <row r="7244" spans="1:13" s="21" customFormat="1" x14ac:dyDescent="0.25">
      <c r="A7244" s="22" t="s">
        <v>8</v>
      </c>
      <c r="B7244" s="18" t="s">
        <v>15278</v>
      </c>
      <c r="C7244" s="19" t="s">
        <v>7143</v>
      </c>
      <c r="D7244" s="19" t="s">
        <v>22666</v>
      </c>
      <c r="E7244" s="19" t="s">
        <v>33577</v>
      </c>
      <c r="F7244" s="19" t="s">
        <v>35999</v>
      </c>
      <c r="G7244" s="18" t="str">
        <f>"63501"</f>
        <v>63501</v>
      </c>
      <c r="H7244" s="19" t="s">
        <v>36280</v>
      </c>
      <c r="I7244" s="20">
        <v>17.12</v>
      </c>
      <c r="J7244" s="44" t="s">
        <v>8</v>
      </c>
      <c r="K7244" s="23" t="s">
        <v>8</v>
      </c>
      <c r="L7244" s="23" t="s">
        <v>8</v>
      </c>
      <c r="M7244" s="23" t="s">
        <v>8</v>
      </c>
    </row>
    <row r="7245" spans="1:13" s="21" customFormat="1" x14ac:dyDescent="0.25">
      <c r="A7245" s="22" t="s">
        <v>8</v>
      </c>
      <c r="B7245" s="18" t="s">
        <v>15279</v>
      </c>
      <c r="C7245" s="19" t="s">
        <v>7144</v>
      </c>
      <c r="D7245" s="19" t="s">
        <v>22667</v>
      </c>
      <c r="E7245" s="19" t="s">
        <v>33493</v>
      </c>
      <c r="F7245" s="19" t="s">
        <v>35999</v>
      </c>
      <c r="G7245" s="18" t="str">
        <f>"65483"</f>
        <v>65483</v>
      </c>
      <c r="H7245" s="19" t="s">
        <v>36507</v>
      </c>
      <c r="I7245" s="20">
        <v>20.681000000000001</v>
      </c>
      <c r="J7245" s="44" t="s">
        <v>8</v>
      </c>
      <c r="K7245" s="23" t="s">
        <v>8</v>
      </c>
      <c r="L7245" s="23" t="s">
        <v>8</v>
      </c>
      <c r="M7245" s="23" t="s">
        <v>8</v>
      </c>
    </row>
    <row r="7246" spans="1:13" s="21" customFormat="1" x14ac:dyDescent="0.25">
      <c r="A7246" s="22" t="s">
        <v>8</v>
      </c>
      <c r="B7246" s="18" t="s">
        <v>15280</v>
      </c>
      <c r="C7246" s="19" t="s">
        <v>7145</v>
      </c>
      <c r="D7246" s="19" t="s">
        <v>22668</v>
      </c>
      <c r="E7246" s="19" t="s">
        <v>30876</v>
      </c>
      <c r="F7246" s="19" t="s">
        <v>35999</v>
      </c>
      <c r="G7246" s="18" t="str">
        <f>"64730"</f>
        <v>64730</v>
      </c>
      <c r="H7246" s="19" t="s">
        <v>36508</v>
      </c>
      <c r="I7246" s="20">
        <v>17.911000000000001</v>
      </c>
      <c r="J7246" s="44" t="s">
        <v>8</v>
      </c>
      <c r="K7246" s="23" t="s">
        <v>8</v>
      </c>
      <c r="L7246" s="23" t="s">
        <v>8</v>
      </c>
      <c r="M7246" s="23" t="s">
        <v>8</v>
      </c>
    </row>
    <row r="7247" spans="1:13" s="21" customFormat="1" x14ac:dyDescent="0.25">
      <c r="A7247" s="22" t="s">
        <v>8</v>
      </c>
      <c r="B7247" s="18" t="s">
        <v>15281</v>
      </c>
      <c r="C7247" s="19" t="s">
        <v>7146</v>
      </c>
      <c r="D7247" s="19" t="s">
        <v>22669</v>
      </c>
      <c r="E7247" s="19" t="s">
        <v>32082</v>
      </c>
      <c r="F7247" s="19" t="s">
        <v>35999</v>
      </c>
      <c r="G7247" s="18" t="str">
        <f>"64468"</f>
        <v>64468</v>
      </c>
      <c r="H7247" s="19" t="s">
        <v>36509</v>
      </c>
      <c r="I7247" s="20">
        <v>18.492999999999999</v>
      </c>
      <c r="J7247" s="44" t="s">
        <v>8</v>
      </c>
      <c r="K7247" s="23" t="s">
        <v>8</v>
      </c>
      <c r="L7247" s="23" t="s">
        <v>8</v>
      </c>
      <c r="M7247" s="23" t="s">
        <v>8</v>
      </c>
    </row>
    <row r="7248" spans="1:13" s="21" customFormat="1" x14ac:dyDescent="0.25">
      <c r="A7248" s="22" t="s">
        <v>8</v>
      </c>
      <c r="B7248" s="18" t="s">
        <v>15282</v>
      </c>
      <c r="C7248" s="19" t="s">
        <v>7147</v>
      </c>
      <c r="D7248" s="19" t="s">
        <v>22670</v>
      </c>
      <c r="E7248" s="19" t="s">
        <v>33578</v>
      </c>
      <c r="F7248" s="19" t="s">
        <v>35999</v>
      </c>
      <c r="G7248" s="18" t="str">
        <f>"64429"</f>
        <v>64429</v>
      </c>
      <c r="H7248" s="19" t="s">
        <v>31081</v>
      </c>
      <c r="I7248" s="20">
        <v>21.98</v>
      </c>
      <c r="J7248" s="44" t="s">
        <v>8</v>
      </c>
      <c r="K7248" s="23" t="s">
        <v>8</v>
      </c>
      <c r="L7248" s="23" t="s">
        <v>8</v>
      </c>
      <c r="M7248" s="23" t="s">
        <v>8</v>
      </c>
    </row>
    <row r="7249" spans="1:13" s="21" customFormat="1" x14ac:dyDescent="0.25">
      <c r="A7249" s="22" t="s">
        <v>8</v>
      </c>
      <c r="B7249" s="18" t="s">
        <v>15283</v>
      </c>
      <c r="C7249" s="19" t="s">
        <v>7148</v>
      </c>
      <c r="D7249" s="19" t="s">
        <v>22671</v>
      </c>
      <c r="E7249" s="19" t="s">
        <v>33579</v>
      </c>
      <c r="F7249" s="19" t="s">
        <v>35999</v>
      </c>
      <c r="G7249" s="18" t="str">
        <f>"63851"</f>
        <v>63851</v>
      </c>
      <c r="H7249" s="19" t="s">
        <v>36510</v>
      </c>
      <c r="I7249" s="20">
        <v>20.291</v>
      </c>
      <c r="J7249" s="44" t="s">
        <v>8</v>
      </c>
      <c r="K7249" s="23" t="s">
        <v>8</v>
      </c>
      <c r="L7249" s="23" t="s">
        <v>8</v>
      </c>
      <c r="M7249" s="23" t="s">
        <v>8</v>
      </c>
    </row>
    <row r="7250" spans="1:13" s="21" customFormat="1" x14ac:dyDescent="0.25">
      <c r="A7250" s="22" t="s">
        <v>8</v>
      </c>
      <c r="B7250" s="18" t="s">
        <v>15284</v>
      </c>
      <c r="C7250" s="19" t="s">
        <v>7149</v>
      </c>
      <c r="D7250" s="19" t="s">
        <v>22672</v>
      </c>
      <c r="E7250" s="19" t="s">
        <v>33580</v>
      </c>
      <c r="F7250" s="19" t="s">
        <v>35999</v>
      </c>
      <c r="G7250" s="18" t="str">
        <f>"65270"</f>
        <v>65270</v>
      </c>
      <c r="H7250" s="19" t="s">
        <v>33068</v>
      </c>
      <c r="I7250" s="20">
        <v>19.988</v>
      </c>
      <c r="J7250" s="44" t="s">
        <v>8</v>
      </c>
      <c r="K7250" s="23" t="s">
        <v>8</v>
      </c>
      <c r="L7250" s="23" t="s">
        <v>8</v>
      </c>
      <c r="M7250" s="23" t="s">
        <v>8</v>
      </c>
    </row>
    <row r="7251" spans="1:13" s="21" customFormat="1" x14ac:dyDescent="0.25">
      <c r="A7251" s="22" t="s">
        <v>8</v>
      </c>
      <c r="B7251" s="18" t="s">
        <v>15285</v>
      </c>
      <c r="C7251" s="19" t="s">
        <v>7150</v>
      </c>
      <c r="D7251" s="19" t="s">
        <v>22673</v>
      </c>
      <c r="E7251" s="19" t="s">
        <v>33581</v>
      </c>
      <c r="F7251" s="19" t="s">
        <v>35999</v>
      </c>
      <c r="G7251" s="18" t="str">
        <f>"64093"</f>
        <v>64093</v>
      </c>
      <c r="H7251" s="19" t="s">
        <v>36072</v>
      </c>
      <c r="I7251" s="20">
        <v>18.635000000000002</v>
      </c>
      <c r="J7251" s="44" t="s">
        <v>8</v>
      </c>
      <c r="K7251" s="23" t="s">
        <v>8</v>
      </c>
      <c r="L7251" s="23" t="s">
        <v>8</v>
      </c>
      <c r="M7251" s="23" t="s">
        <v>8</v>
      </c>
    </row>
    <row r="7252" spans="1:13" s="21" customFormat="1" x14ac:dyDescent="0.25">
      <c r="A7252" s="22" t="s">
        <v>8</v>
      </c>
      <c r="B7252" s="18" t="s">
        <v>15286</v>
      </c>
      <c r="C7252" s="19" t="s">
        <v>7151</v>
      </c>
      <c r="D7252" s="19" t="s">
        <v>22674</v>
      </c>
      <c r="E7252" s="19" t="s">
        <v>31445</v>
      </c>
      <c r="F7252" s="19" t="s">
        <v>35999</v>
      </c>
      <c r="G7252" s="18" t="str">
        <f>"63640"</f>
        <v>63640</v>
      </c>
      <c r="H7252" s="19" t="s">
        <v>36511</v>
      </c>
      <c r="I7252" s="20">
        <v>19.558</v>
      </c>
      <c r="J7252" s="44" t="s">
        <v>8</v>
      </c>
      <c r="K7252" s="23" t="s">
        <v>8</v>
      </c>
      <c r="L7252" s="23" t="s">
        <v>8</v>
      </c>
      <c r="M7252" s="23" t="s">
        <v>8</v>
      </c>
    </row>
    <row r="7253" spans="1:13" s="21" customFormat="1" x14ac:dyDescent="0.25">
      <c r="A7253" s="22" t="s">
        <v>8</v>
      </c>
      <c r="B7253" s="18" t="s">
        <v>15287</v>
      </c>
      <c r="C7253" s="19" t="s">
        <v>7152</v>
      </c>
      <c r="D7253" s="19" t="s">
        <v>22675</v>
      </c>
      <c r="E7253" s="19" t="s">
        <v>31063</v>
      </c>
      <c r="F7253" s="19" t="s">
        <v>35999</v>
      </c>
      <c r="G7253" s="18" t="str">
        <f>"65340"</f>
        <v>65340</v>
      </c>
      <c r="H7253" s="19" t="s">
        <v>33206</v>
      </c>
      <c r="I7253" s="20">
        <v>18.366</v>
      </c>
      <c r="J7253" s="44" t="s">
        <v>8</v>
      </c>
      <c r="K7253" s="23" t="s">
        <v>8</v>
      </c>
      <c r="L7253" s="23" t="s">
        <v>8</v>
      </c>
      <c r="M7253" s="23" t="s">
        <v>8</v>
      </c>
    </row>
    <row r="7254" spans="1:13" s="21" customFormat="1" x14ac:dyDescent="0.25">
      <c r="A7254" s="22" t="s">
        <v>8</v>
      </c>
      <c r="B7254" s="18" t="s">
        <v>15288</v>
      </c>
      <c r="C7254" s="19" t="s">
        <v>7153</v>
      </c>
      <c r="D7254" s="19" t="s">
        <v>22676</v>
      </c>
      <c r="E7254" s="19" t="s">
        <v>32907</v>
      </c>
      <c r="F7254" s="19" t="s">
        <v>35999</v>
      </c>
      <c r="G7254" s="18" t="str">
        <f>"63841"</f>
        <v>63841</v>
      </c>
      <c r="H7254" s="19" t="s">
        <v>36512</v>
      </c>
      <c r="I7254" s="20">
        <v>19.54</v>
      </c>
      <c r="J7254" s="44" t="s">
        <v>8</v>
      </c>
      <c r="K7254" s="23" t="s">
        <v>8</v>
      </c>
      <c r="L7254" s="23" t="s">
        <v>8</v>
      </c>
      <c r="M7254" s="23" t="s">
        <v>8</v>
      </c>
    </row>
    <row r="7255" spans="1:13" s="21" customFormat="1" x14ac:dyDescent="0.25">
      <c r="A7255" s="22" t="s">
        <v>8</v>
      </c>
      <c r="B7255" s="18" t="s">
        <v>15289</v>
      </c>
      <c r="C7255" s="19" t="s">
        <v>7154</v>
      </c>
      <c r="D7255" s="19" t="s">
        <v>22677</v>
      </c>
      <c r="E7255" s="19" t="s">
        <v>31081</v>
      </c>
      <c r="F7255" s="19" t="s">
        <v>35999</v>
      </c>
      <c r="G7255" s="18" t="str">
        <f>"64735"</f>
        <v>64735</v>
      </c>
      <c r="H7255" s="19" t="s">
        <v>32041</v>
      </c>
      <c r="I7255" s="20">
        <v>16.058</v>
      </c>
      <c r="J7255" s="44" t="s">
        <v>8</v>
      </c>
      <c r="K7255" s="23" t="s">
        <v>8</v>
      </c>
      <c r="L7255" s="23" t="s">
        <v>8</v>
      </c>
      <c r="M7255" s="23" t="s">
        <v>8</v>
      </c>
    </row>
    <row r="7256" spans="1:13" s="21" customFormat="1" x14ac:dyDescent="0.25">
      <c r="A7256" s="22" t="s">
        <v>8</v>
      </c>
      <c r="B7256" s="18" t="s">
        <v>15290</v>
      </c>
      <c r="C7256" s="19" t="s">
        <v>7155</v>
      </c>
      <c r="D7256" s="19" t="s">
        <v>22678</v>
      </c>
      <c r="E7256" s="19" t="s">
        <v>33582</v>
      </c>
      <c r="F7256" s="19" t="s">
        <v>35999</v>
      </c>
      <c r="G7256" s="18" t="str">
        <f>"65613"</f>
        <v>65613</v>
      </c>
      <c r="H7256" s="19" t="s">
        <v>36062</v>
      </c>
      <c r="I7256" s="20">
        <v>19.321999999999999</v>
      </c>
      <c r="J7256" s="44" t="s">
        <v>8</v>
      </c>
      <c r="K7256" s="23" t="s">
        <v>8</v>
      </c>
      <c r="L7256" s="23" t="s">
        <v>8</v>
      </c>
      <c r="M7256" s="23" t="s">
        <v>8</v>
      </c>
    </row>
    <row r="7257" spans="1:13" s="21" customFormat="1" x14ac:dyDescent="0.25">
      <c r="A7257" s="22" t="s">
        <v>8</v>
      </c>
      <c r="B7257" s="18" t="str">
        <f>"265001"</f>
        <v>265001</v>
      </c>
      <c r="C7257" s="19" t="s">
        <v>7156</v>
      </c>
      <c r="D7257" s="19" t="s">
        <v>22679</v>
      </c>
      <c r="E7257" s="19" t="s">
        <v>33583</v>
      </c>
      <c r="F7257" s="19" t="s">
        <v>35999</v>
      </c>
      <c r="G7257" s="18" t="str">
        <f>"63017"</f>
        <v>63017</v>
      </c>
      <c r="H7257" s="19" t="s">
        <v>33228</v>
      </c>
      <c r="I7257" s="20">
        <v>17.97</v>
      </c>
      <c r="J7257" s="44" t="s">
        <v>8</v>
      </c>
      <c r="K7257" s="23" t="s">
        <v>8</v>
      </c>
      <c r="L7257" s="23" t="s">
        <v>8</v>
      </c>
      <c r="M7257" s="23" t="s">
        <v>8</v>
      </c>
    </row>
    <row r="7258" spans="1:13" s="21" customFormat="1" x14ac:dyDescent="0.25">
      <c r="A7258" s="22" t="s">
        <v>8</v>
      </c>
      <c r="B7258" s="18" t="str">
        <f>"265055"</f>
        <v>265055</v>
      </c>
      <c r="C7258" s="19" t="s">
        <v>7157</v>
      </c>
      <c r="D7258" s="19" t="s">
        <v>22680</v>
      </c>
      <c r="E7258" s="19" t="s">
        <v>33584</v>
      </c>
      <c r="F7258" s="19" t="s">
        <v>35999</v>
      </c>
      <c r="G7258" s="18" t="str">
        <f>"65689"</f>
        <v>65689</v>
      </c>
      <c r="H7258" s="19" t="s">
        <v>36507</v>
      </c>
      <c r="I7258" s="20">
        <v>19.824000000000002</v>
      </c>
      <c r="J7258" s="44" t="s">
        <v>8</v>
      </c>
      <c r="K7258" s="23" t="s">
        <v>8</v>
      </c>
      <c r="L7258" s="23" t="s">
        <v>8</v>
      </c>
      <c r="M7258" s="23" t="s">
        <v>8</v>
      </c>
    </row>
    <row r="7259" spans="1:13" s="21" customFormat="1" x14ac:dyDescent="0.25">
      <c r="A7259" s="22" t="s">
        <v>8</v>
      </c>
      <c r="B7259" s="18" t="str">
        <f>"265071"</f>
        <v>265071</v>
      </c>
      <c r="C7259" s="19" t="s">
        <v>7158</v>
      </c>
      <c r="D7259" s="19" t="s">
        <v>22681</v>
      </c>
      <c r="E7259" s="19" t="s">
        <v>32311</v>
      </c>
      <c r="F7259" s="19" t="s">
        <v>35999</v>
      </c>
      <c r="G7259" s="18" t="str">
        <f>"63017"</f>
        <v>63017</v>
      </c>
      <c r="H7259" s="19" t="s">
        <v>33228</v>
      </c>
      <c r="I7259" s="20">
        <v>21.37</v>
      </c>
      <c r="J7259" s="44" t="s">
        <v>8</v>
      </c>
      <c r="K7259" s="23" t="s">
        <v>8</v>
      </c>
      <c r="L7259" s="23" t="s">
        <v>8</v>
      </c>
      <c r="M7259" s="23" t="s">
        <v>8</v>
      </c>
    </row>
    <row r="7260" spans="1:13" s="21" customFormat="1" x14ac:dyDescent="0.25">
      <c r="A7260" s="22" t="s">
        <v>8</v>
      </c>
      <c r="B7260" s="18" t="str">
        <f>"265091"</f>
        <v>265091</v>
      </c>
      <c r="C7260" s="19" t="s">
        <v>7159</v>
      </c>
      <c r="D7260" s="19" t="s">
        <v>22682</v>
      </c>
      <c r="E7260" s="19" t="s">
        <v>33585</v>
      </c>
      <c r="F7260" s="19" t="s">
        <v>35999</v>
      </c>
      <c r="G7260" s="18" t="str">
        <f>"65020"</f>
        <v>65020</v>
      </c>
      <c r="H7260" s="19" t="s">
        <v>30910</v>
      </c>
      <c r="I7260" s="20">
        <v>18.503</v>
      </c>
      <c r="J7260" s="44" t="s">
        <v>8</v>
      </c>
      <c r="K7260" s="23" t="s">
        <v>8</v>
      </c>
      <c r="L7260" s="23" t="s">
        <v>8</v>
      </c>
      <c r="M7260" s="23" t="s">
        <v>8</v>
      </c>
    </row>
    <row r="7261" spans="1:13" s="21" customFormat="1" x14ac:dyDescent="0.25">
      <c r="A7261" s="22" t="s">
        <v>8</v>
      </c>
      <c r="B7261" s="18" t="str">
        <f>"265095"</f>
        <v>265095</v>
      </c>
      <c r="C7261" s="19" t="s">
        <v>7160</v>
      </c>
      <c r="D7261" s="19" t="s">
        <v>22683</v>
      </c>
      <c r="E7261" s="19" t="s">
        <v>33586</v>
      </c>
      <c r="F7261" s="19" t="s">
        <v>35999</v>
      </c>
      <c r="G7261" s="18" t="str">
        <f>"64081"</f>
        <v>64081</v>
      </c>
      <c r="H7261" s="19" t="s">
        <v>30816</v>
      </c>
      <c r="I7261" s="20">
        <v>21.068999999999999</v>
      </c>
      <c r="J7261" s="44" t="s">
        <v>8</v>
      </c>
      <c r="K7261" s="23" t="s">
        <v>8</v>
      </c>
      <c r="L7261" s="23" t="s">
        <v>8</v>
      </c>
      <c r="M7261" s="23" t="s">
        <v>8</v>
      </c>
    </row>
    <row r="7262" spans="1:13" s="21" customFormat="1" x14ac:dyDescent="0.25">
      <c r="A7262" s="22" t="s">
        <v>8</v>
      </c>
      <c r="B7262" s="18" t="str">
        <f>"265105"</f>
        <v>265105</v>
      </c>
      <c r="C7262" s="19" t="s">
        <v>7161</v>
      </c>
      <c r="D7262" s="19" t="s">
        <v>22684</v>
      </c>
      <c r="E7262" s="19" t="s">
        <v>33583</v>
      </c>
      <c r="F7262" s="19" t="s">
        <v>35999</v>
      </c>
      <c r="G7262" s="18" t="str">
        <f>"63017"</f>
        <v>63017</v>
      </c>
      <c r="H7262" s="19" t="s">
        <v>33228</v>
      </c>
      <c r="I7262" s="20">
        <v>17.219000000000001</v>
      </c>
      <c r="J7262" s="44" t="s">
        <v>8</v>
      </c>
      <c r="K7262" s="23" t="s">
        <v>8</v>
      </c>
      <c r="L7262" s="23" t="s">
        <v>8</v>
      </c>
      <c r="M7262" s="23" t="s">
        <v>8</v>
      </c>
    </row>
    <row r="7263" spans="1:13" s="21" customFormat="1" x14ac:dyDescent="0.25">
      <c r="A7263" s="22" t="s">
        <v>8</v>
      </c>
      <c r="B7263" s="18" t="str">
        <f>"265108"</f>
        <v>265108</v>
      </c>
      <c r="C7263" s="19" t="s">
        <v>7162</v>
      </c>
      <c r="D7263" s="19" t="s">
        <v>22685</v>
      </c>
      <c r="E7263" s="19" t="s">
        <v>33587</v>
      </c>
      <c r="F7263" s="19" t="s">
        <v>35999</v>
      </c>
      <c r="G7263" s="18" t="str">
        <f>"63401"</f>
        <v>63401</v>
      </c>
      <c r="H7263" s="19" t="s">
        <v>30850</v>
      </c>
      <c r="I7263" s="20">
        <v>17.416</v>
      </c>
      <c r="J7263" s="44" t="s">
        <v>8</v>
      </c>
      <c r="K7263" s="23" t="s">
        <v>8</v>
      </c>
      <c r="L7263" s="23" t="s">
        <v>8</v>
      </c>
      <c r="M7263" s="23" t="s">
        <v>8</v>
      </c>
    </row>
    <row r="7264" spans="1:13" s="21" customFormat="1" x14ac:dyDescent="0.25">
      <c r="A7264" s="22" t="s">
        <v>8</v>
      </c>
      <c r="B7264" s="18" t="str">
        <f>"265110"</f>
        <v>265110</v>
      </c>
      <c r="C7264" s="19" t="s">
        <v>7163</v>
      </c>
      <c r="D7264" s="19" t="s">
        <v>22686</v>
      </c>
      <c r="E7264" s="19" t="s">
        <v>32459</v>
      </c>
      <c r="F7264" s="19" t="s">
        <v>35999</v>
      </c>
      <c r="G7264" s="18" t="str">
        <f>"64772"</f>
        <v>64772</v>
      </c>
      <c r="H7264" s="19" t="s">
        <v>30903</v>
      </c>
      <c r="I7264" s="20">
        <v>15.769</v>
      </c>
      <c r="J7264" s="44" t="s">
        <v>8</v>
      </c>
      <c r="K7264" s="23" t="s">
        <v>8</v>
      </c>
      <c r="L7264" s="23" t="s">
        <v>8</v>
      </c>
      <c r="M7264" s="23" t="s">
        <v>8</v>
      </c>
    </row>
    <row r="7265" spans="1:13" s="21" customFormat="1" x14ac:dyDescent="0.25">
      <c r="A7265" s="22" t="s">
        <v>8</v>
      </c>
      <c r="B7265" s="18" t="str">
        <f>"265112"</f>
        <v>265112</v>
      </c>
      <c r="C7265" s="19" t="s">
        <v>1990</v>
      </c>
      <c r="D7265" s="19" t="s">
        <v>22687</v>
      </c>
      <c r="E7265" s="19" t="s">
        <v>33588</v>
      </c>
      <c r="F7265" s="19" t="s">
        <v>35999</v>
      </c>
      <c r="G7265" s="18" t="str">
        <f>"63031"</f>
        <v>63031</v>
      </c>
      <c r="H7265" s="19" t="s">
        <v>33228</v>
      </c>
      <c r="I7265" s="20">
        <v>18.911999999999999</v>
      </c>
      <c r="J7265" s="44" t="s">
        <v>8</v>
      </c>
      <c r="K7265" s="23" t="s">
        <v>8</v>
      </c>
      <c r="L7265" s="23" t="s">
        <v>8</v>
      </c>
      <c r="M7265" s="23" t="s">
        <v>8</v>
      </c>
    </row>
    <row r="7266" spans="1:13" s="21" customFormat="1" x14ac:dyDescent="0.25">
      <c r="A7266" s="22" t="s">
        <v>8</v>
      </c>
      <c r="B7266" s="18" t="str">
        <f>"265118"</f>
        <v>265118</v>
      </c>
      <c r="C7266" s="19" t="s">
        <v>7164</v>
      </c>
      <c r="D7266" s="19" t="s">
        <v>22688</v>
      </c>
      <c r="E7266" s="19" t="s">
        <v>33589</v>
      </c>
      <c r="F7266" s="19" t="s">
        <v>35999</v>
      </c>
      <c r="G7266" s="18" t="str">
        <f>"63301"</f>
        <v>63301</v>
      </c>
      <c r="H7266" s="19" t="s">
        <v>33589</v>
      </c>
      <c r="I7266" s="20">
        <v>17.218</v>
      </c>
      <c r="J7266" s="44" t="s">
        <v>8</v>
      </c>
      <c r="K7266" s="23" t="s">
        <v>8</v>
      </c>
      <c r="L7266" s="23" t="s">
        <v>8</v>
      </c>
      <c r="M7266" s="23" t="s">
        <v>8</v>
      </c>
    </row>
    <row r="7267" spans="1:13" s="21" customFormat="1" x14ac:dyDescent="0.25">
      <c r="A7267" s="22" t="s">
        <v>8</v>
      </c>
      <c r="B7267" s="18" t="str">
        <f>"265120"</f>
        <v>265120</v>
      </c>
      <c r="C7267" s="19" t="s">
        <v>7165</v>
      </c>
      <c r="D7267" s="19" t="s">
        <v>22689</v>
      </c>
      <c r="E7267" s="19" t="s">
        <v>33588</v>
      </c>
      <c r="F7267" s="19" t="s">
        <v>35999</v>
      </c>
      <c r="G7267" s="18" t="str">
        <f>"63031"</f>
        <v>63031</v>
      </c>
      <c r="H7267" s="19" t="s">
        <v>33228</v>
      </c>
      <c r="I7267" s="20">
        <v>18.509</v>
      </c>
      <c r="J7267" s="44" t="s">
        <v>8</v>
      </c>
      <c r="K7267" s="23" t="s">
        <v>8</v>
      </c>
      <c r="L7267" s="23" t="s">
        <v>8</v>
      </c>
      <c r="M7267" s="23" t="s">
        <v>8</v>
      </c>
    </row>
    <row r="7268" spans="1:13" s="21" customFormat="1" x14ac:dyDescent="0.25">
      <c r="A7268" s="22" t="s">
        <v>8</v>
      </c>
      <c r="B7268" s="18" t="str">
        <f>"265121"</f>
        <v>265121</v>
      </c>
      <c r="C7268" s="19" t="s">
        <v>7166</v>
      </c>
      <c r="D7268" s="19" t="s">
        <v>22690</v>
      </c>
      <c r="E7268" s="19" t="s">
        <v>32311</v>
      </c>
      <c r="F7268" s="19" t="s">
        <v>35999</v>
      </c>
      <c r="G7268" s="18" t="str">
        <f>"63017"</f>
        <v>63017</v>
      </c>
      <c r="H7268" s="19" t="s">
        <v>33228</v>
      </c>
      <c r="I7268" s="20">
        <v>19.044</v>
      </c>
      <c r="J7268" s="44" t="s">
        <v>8</v>
      </c>
      <c r="K7268" s="23" t="s">
        <v>8</v>
      </c>
      <c r="L7268" s="23" t="s">
        <v>8</v>
      </c>
      <c r="M7268" s="23" t="s">
        <v>8</v>
      </c>
    </row>
    <row r="7269" spans="1:13" s="21" customFormat="1" x14ac:dyDescent="0.25">
      <c r="A7269" s="22" t="s">
        <v>8</v>
      </c>
      <c r="B7269" s="18" t="str">
        <f>"265123"</f>
        <v>265123</v>
      </c>
      <c r="C7269" s="19" t="s">
        <v>7167</v>
      </c>
      <c r="D7269" s="19" t="s">
        <v>22691</v>
      </c>
      <c r="E7269" s="19" t="s">
        <v>32035</v>
      </c>
      <c r="F7269" s="19" t="s">
        <v>35999</v>
      </c>
      <c r="G7269" s="18" t="str">
        <f>"65536"</f>
        <v>65536</v>
      </c>
      <c r="H7269" s="19" t="s">
        <v>36513</v>
      </c>
      <c r="I7269" s="20">
        <v>18.797999999999998</v>
      </c>
      <c r="J7269" s="44" t="s">
        <v>8</v>
      </c>
      <c r="K7269" s="23" t="s">
        <v>8</v>
      </c>
      <c r="L7269" s="23" t="s">
        <v>8</v>
      </c>
      <c r="M7269" s="23" t="s">
        <v>8</v>
      </c>
    </row>
    <row r="7270" spans="1:13" s="21" customFormat="1" x14ac:dyDescent="0.25">
      <c r="A7270" s="22" t="s">
        <v>8</v>
      </c>
      <c r="B7270" s="18" t="str">
        <f>"265130"</f>
        <v>265130</v>
      </c>
      <c r="C7270" s="19" t="s">
        <v>7168</v>
      </c>
      <c r="D7270" s="19" t="s">
        <v>22692</v>
      </c>
      <c r="E7270" s="19" t="s">
        <v>33590</v>
      </c>
      <c r="F7270" s="19" t="s">
        <v>35999</v>
      </c>
      <c r="G7270" s="18" t="str">
        <f>"63088"</f>
        <v>63088</v>
      </c>
      <c r="H7270" s="19" t="s">
        <v>33228</v>
      </c>
      <c r="I7270" s="20">
        <v>19.963999999999999</v>
      </c>
      <c r="J7270" s="44" t="s">
        <v>8</v>
      </c>
      <c r="K7270" s="23" t="s">
        <v>8</v>
      </c>
      <c r="L7270" s="23" t="s">
        <v>8</v>
      </c>
      <c r="M7270" s="23" t="s">
        <v>8</v>
      </c>
    </row>
    <row r="7271" spans="1:13" s="21" customFormat="1" x14ac:dyDescent="0.25">
      <c r="A7271" s="22" t="s">
        <v>8</v>
      </c>
      <c r="B7271" s="18" t="str">
        <f>"265131"</f>
        <v>265131</v>
      </c>
      <c r="C7271" s="19" t="s">
        <v>7169</v>
      </c>
      <c r="D7271" s="19" t="s">
        <v>22693</v>
      </c>
      <c r="E7271" s="19" t="s">
        <v>33591</v>
      </c>
      <c r="F7271" s="19" t="s">
        <v>35999</v>
      </c>
      <c r="G7271" s="18" t="str">
        <f>"65584"</f>
        <v>65584</v>
      </c>
      <c r="H7271" s="19" t="s">
        <v>31795</v>
      </c>
      <c r="I7271" s="20">
        <v>19.077999999999999</v>
      </c>
      <c r="J7271" s="44" t="s">
        <v>8</v>
      </c>
      <c r="K7271" s="23" t="s">
        <v>8</v>
      </c>
      <c r="L7271" s="23" t="s">
        <v>8</v>
      </c>
      <c r="M7271" s="23" t="s">
        <v>8</v>
      </c>
    </row>
    <row r="7272" spans="1:13" s="21" customFormat="1" x14ac:dyDescent="0.25">
      <c r="A7272" s="22" t="s">
        <v>8</v>
      </c>
      <c r="B7272" s="18" t="str">
        <f>"265136"</f>
        <v>265136</v>
      </c>
      <c r="C7272" s="19" t="s">
        <v>7170</v>
      </c>
      <c r="D7272" s="19" t="s">
        <v>22694</v>
      </c>
      <c r="E7272" s="19" t="s">
        <v>33592</v>
      </c>
      <c r="F7272" s="19" t="s">
        <v>35999</v>
      </c>
      <c r="G7272" s="18" t="str">
        <f>"63127"</f>
        <v>63127</v>
      </c>
      <c r="H7272" s="19" t="s">
        <v>33228</v>
      </c>
      <c r="I7272" s="20">
        <v>20.21</v>
      </c>
      <c r="J7272" s="44" t="s">
        <v>8</v>
      </c>
      <c r="K7272" s="23" t="s">
        <v>8</v>
      </c>
      <c r="L7272" s="23" t="s">
        <v>8</v>
      </c>
      <c r="M7272" s="23" t="s">
        <v>8</v>
      </c>
    </row>
    <row r="7273" spans="1:13" s="21" customFormat="1" x14ac:dyDescent="0.25">
      <c r="A7273" s="22" t="s">
        <v>8</v>
      </c>
      <c r="B7273" s="18" t="str">
        <f>"265140"</f>
        <v>265140</v>
      </c>
      <c r="C7273" s="19" t="s">
        <v>7171</v>
      </c>
      <c r="D7273" s="19" t="s">
        <v>22695</v>
      </c>
      <c r="E7273" s="19" t="s">
        <v>31100</v>
      </c>
      <c r="F7273" s="19" t="s">
        <v>35999</v>
      </c>
      <c r="G7273" s="18" t="str">
        <f>"63025"</f>
        <v>63025</v>
      </c>
      <c r="H7273" s="19" t="s">
        <v>33228</v>
      </c>
      <c r="I7273" s="20">
        <v>23.463000000000001</v>
      </c>
      <c r="J7273" s="44" t="s">
        <v>8</v>
      </c>
      <c r="K7273" s="23" t="s">
        <v>8</v>
      </c>
      <c r="L7273" s="23" t="s">
        <v>8</v>
      </c>
      <c r="M7273" s="23" t="s">
        <v>8</v>
      </c>
    </row>
    <row r="7274" spans="1:13" s="21" customFormat="1" x14ac:dyDescent="0.25">
      <c r="A7274" s="22" t="s">
        <v>8</v>
      </c>
      <c r="B7274" s="18" t="str">
        <f>"265142"</f>
        <v>265142</v>
      </c>
      <c r="C7274" s="19" t="s">
        <v>7172</v>
      </c>
      <c r="D7274" s="19" t="s">
        <v>22696</v>
      </c>
      <c r="E7274" s="19" t="s">
        <v>33593</v>
      </c>
      <c r="F7274" s="19" t="s">
        <v>35999</v>
      </c>
      <c r="G7274" s="18" t="str">
        <f>"63703"</f>
        <v>63703</v>
      </c>
      <c r="H7274" s="19" t="s">
        <v>33593</v>
      </c>
      <c r="I7274" s="20">
        <v>19.135999999999999</v>
      </c>
      <c r="J7274" s="44" t="s">
        <v>8</v>
      </c>
      <c r="K7274" s="23" t="s">
        <v>8</v>
      </c>
      <c r="L7274" s="23" t="s">
        <v>8</v>
      </c>
      <c r="M7274" s="23" t="s">
        <v>8</v>
      </c>
    </row>
    <row r="7275" spans="1:13" s="21" customFormat="1" x14ac:dyDescent="0.25">
      <c r="A7275" s="22" t="s">
        <v>8</v>
      </c>
      <c r="B7275" s="18" t="str">
        <f>"265145"</f>
        <v>265145</v>
      </c>
      <c r="C7275" s="19" t="s">
        <v>7173</v>
      </c>
      <c r="D7275" s="19" t="s">
        <v>22697</v>
      </c>
      <c r="E7275" s="19" t="s">
        <v>32565</v>
      </c>
      <c r="F7275" s="19" t="s">
        <v>35999</v>
      </c>
      <c r="G7275" s="18" t="str">
        <f>"64130"</f>
        <v>64130</v>
      </c>
      <c r="H7275" s="19" t="s">
        <v>30816</v>
      </c>
      <c r="I7275" s="20">
        <v>18.559000000000001</v>
      </c>
      <c r="J7275" s="44" t="s">
        <v>8</v>
      </c>
      <c r="K7275" s="23" t="s">
        <v>8</v>
      </c>
      <c r="L7275" s="23" t="s">
        <v>8</v>
      </c>
      <c r="M7275" s="23" t="s">
        <v>8</v>
      </c>
    </row>
    <row r="7276" spans="1:13" s="21" customFormat="1" x14ac:dyDescent="0.25">
      <c r="A7276" s="22" t="s">
        <v>8</v>
      </c>
      <c r="B7276" s="18" t="str">
        <f>"265149"</f>
        <v>265149</v>
      </c>
      <c r="C7276" s="19" t="s">
        <v>7174</v>
      </c>
      <c r="D7276" s="19" t="s">
        <v>22698</v>
      </c>
      <c r="E7276" s="19" t="s">
        <v>33594</v>
      </c>
      <c r="F7276" s="19" t="s">
        <v>35999</v>
      </c>
      <c r="G7276" s="18" t="str">
        <f>"65301"</f>
        <v>65301</v>
      </c>
      <c r="H7276" s="19" t="s">
        <v>36514</v>
      </c>
      <c r="I7276" s="20">
        <v>21.568000000000001</v>
      </c>
      <c r="J7276" s="44" t="s">
        <v>8</v>
      </c>
      <c r="K7276" s="23" t="s">
        <v>8</v>
      </c>
      <c r="L7276" s="23" t="s">
        <v>8</v>
      </c>
      <c r="M7276" s="23" t="s">
        <v>8</v>
      </c>
    </row>
    <row r="7277" spans="1:13" s="21" customFormat="1" x14ac:dyDescent="0.25">
      <c r="A7277" s="22" t="s">
        <v>8</v>
      </c>
      <c r="B7277" s="18" t="str">
        <f>"265155"</f>
        <v>265155</v>
      </c>
      <c r="C7277" s="19" t="s">
        <v>7175</v>
      </c>
      <c r="D7277" s="19" t="s">
        <v>22699</v>
      </c>
      <c r="E7277" s="19" t="s">
        <v>33595</v>
      </c>
      <c r="F7277" s="19" t="s">
        <v>35999</v>
      </c>
      <c r="G7277" s="18" t="str">
        <f>"65775"</f>
        <v>65775</v>
      </c>
      <c r="H7277" s="19" t="s">
        <v>33230</v>
      </c>
      <c r="I7277" s="20">
        <v>19.248000000000001</v>
      </c>
      <c r="J7277" s="44" t="s">
        <v>8</v>
      </c>
      <c r="K7277" s="23" t="s">
        <v>8</v>
      </c>
      <c r="L7277" s="23" t="s">
        <v>8</v>
      </c>
      <c r="M7277" s="23" t="s">
        <v>8</v>
      </c>
    </row>
    <row r="7278" spans="1:13" s="21" customFormat="1" x14ac:dyDescent="0.25">
      <c r="A7278" s="22" t="s">
        <v>8</v>
      </c>
      <c r="B7278" s="18" t="str">
        <f>"265156"</f>
        <v>265156</v>
      </c>
      <c r="C7278" s="19" t="s">
        <v>7176</v>
      </c>
      <c r="D7278" s="19" t="s">
        <v>22700</v>
      </c>
      <c r="E7278" s="19" t="s">
        <v>32311</v>
      </c>
      <c r="F7278" s="19" t="s">
        <v>35999</v>
      </c>
      <c r="G7278" s="18" t="str">
        <f>"63017"</f>
        <v>63017</v>
      </c>
      <c r="H7278" s="19" t="s">
        <v>33228</v>
      </c>
      <c r="I7278" s="20">
        <v>18.234999999999999</v>
      </c>
      <c r="J7278" s="44" t="s">
        <v>8</v>
      </c>
      <c r="K7278" s="23" t="s">
        <v>8</v>
      </c>
      <c r="L7278" s="23" t="s">
        <v>8</v>
      </c>
      <c r="M7278" s="23" t="s">
        <v>8</v>
      </c>
    </row>
    <row r="7279" spans="1:13" s="21" customFormat="1" x14ac:dyDescent="0.25">
      <c r="A7279" s="22" t="s">
        <v>8</v>
      </c>
      <c r="B7279" s="18" t="str">
        <f>"265157"</f>
        <v>265157</v>
      </c>
      <c r="C7279" s="19" t="s">
        <v>7177</v>
      </c>
      <c r="D7279" s="19" t="s">
        <v>22701</v>
      </c>
      <c r="E7279" s="19" t="s">
        <v>31717</v>
      </c>
      <c r="F7279" s="19" t="s">
        <v>35999</v>
      </c>
      <c r="G7279" s="18" t="str">
        <f>"65807"</f>
        <v>65807</v>
      </c>
      <c r="H7279" s="19" t="s">
        <v>32455</v>
      </c>
      <c r="I7279" s="20">
        <v>16.521999999999998</v>
      </c>
      <c r="J7279" s="44" t="s">
        <v>8</v>
      </c>
      <c r="K7279" s="23" t="s">
        <v>8</v>
      </c>
      <c r="L7279" s="23" t="s">
        <v>8</v>
      </c>
      <c r="M7279" s="23" t="s">
        <v>8</v>
      </c>
    </row>
    <row r="7280" spans="1:13" s="21" customFormat="1" x14ac:dyDescent="0.25">
      <c r="A7280" s="22" t="s">
        <v>8</v>
      </c>
      <c r="B7280" s="18" t="str">
        <f>"265158"</f>
        <v>265158</v>
      </c>
      <c r="C7280" s="19" t="s">
        <v>7178</v>
      </c>
      <c r="D7280" s="19" t="s">
        <v>22702</v>
      </c>
      <c r="E7280" s="19" t="s">
        <v>33596</v>
      </c>
      <c r="F7280" s="19" t="s">
        <v>35999</v>
      </c>
      <c r="G7280" s="18" t="str">
        <f>"63601"</f>
        <v>63601</v>
      </c>
      <c r="H7280" s="19" t="s">
        <v>36511</v>
      </c>
      <c r="I7280" s="20">
        <v>15.691000000000001</v>
      </c>
      <c r="J7280" s="44" t="s">
        <v>8</v>
      </c>
      <c r="K7280" s="23" t="s">
        <v>8</v>
      </c>
      <c r="L7280" s="23" t="s">
        <v>8</v>
      </c>
      <c r="M7280" s="23" t="s">
        <v>8</v>
      </c>
    </row>
    <row r="7281" spans="1:13" s="21" customFormat="1" x14ac:dyDescent="0.25">
      <c r="A7281" s="22" t="s">
        <v>8</v>
      </c>
      <c r="B7281" s="18" t="str">
        <f>"265159"</f>
        <v>265159</v>
      </c>
      <c r="C7281" s="19" t="s">
        <v>7179</v>
      </c>
      <c r="D7281" s="19" t="s">
        <v>22703</v>
      </c>
      <c r="E7281" s="19" t="s">
        <v>33097</v>
      </c>
      <c r="F7281" s="19" t="s">
        <v>35999</v>
      </c>
      <c r="G7281" s="18" t="str">
        <f>"63119"</f>
        <v>63119</v>
      </c>
      <c r="H7281" s="19" t="s">
        <v>33228</v>
      </c>
      <c r="I7281" s="20">
        <v>17.684999999999999</v>
      </c>
      <c r="J7281" s="44" t="s">
        <v>8</v>
      </c>
      <c r="K7281" s="23" t="s">
        <v>8</v>
      </c>
      <c r="L7281" s="23" t="s">
        <v>8</v>
      </c>
      <c r="M7281" s="23" t="s">
        <v>8</v>
      </c>
    </row>
    <row r="7282" spans="1:13" s="21" customFormat="1" x14ac:dyDescent="0.25">
      <c r="A7282" s="22" t="s">
        <v>8</v>
      </c>
      <c r="B7282" s="18" t="str">
        <f>"265160"</f>
        <v>265160</v>
      </c>
      <c r="C7282" s="19" t="s">
        <v>7180</v>
      </c>
      <c r="D7282" s="19" t="s">
        <v>22704</v>
      </c>
      <c r="E7282" s="19" t="s">
        <v>33589</v>
      </c>
      <c r="F7282" s="19" t="s">
        <v>35999</v>
      </c>
      <c r="G7282" s="18" t="str">
        <f>"63301"</f>
        <v>63301</v>
      </c>
      <c r="H7282" s="19" t="s">
        <v>33589</v>
      </c>
      <c r="I7282" s="20">
        <v>17.385000000000002</v>
      </c>
      <c r="J7282" s="44" t="s">
        <v>8</v>
      </c>
      <c r="K7282" s="23" t="s">
        <v>8</v>
      </c>
      <c r="L7282" s="23" t="s">
        <v>8</v>
      </c>
      <c r="M7282" s="23" t="s">
        <v>8</v>
      </c>
    </row>
    <row r="7283" spans="1:13" s="21" customFormat="1" x14ac:dyDescent="0.25">
      <c r="A7283" s="22" t="s">
        <v>8</v>
      </c>
      <c r="B7283" s="18" t="str">
        <f>"265161"</f>
        <v>265161</v>
      </c>
      <c r="C7283" s="19" t="s">
        <v>7181</v>
      </c>
      <c r="D7283" s="19" t="s">
        <v>22705</v>
      </c>
      <c r="E7283" s="19" t="s">
        <v>31717</v>
      </c>
      <c r="F7283" s="19" t="s">
        <v>35999</v>
      </c>
      <c r="G7283" s="18" t="str">
        <f>"65802"</f>
        <v>65802</v>
      </c>
      <c r="H7283" s="19" t="s">
        <v>32455</v>
      </c>
      <c r="I7283" s="20">
        <v>18.609000000000002</v>
      </c>
      <c r="J7283" s="44" t="s">
        <v>8</v>
      </c>
      <c r="K7283" s="23" t="s">
        <v>8</v>
      </c>
      <c r="L7283" s="23" t="s">
        <v>8</v>
      </c>
      <c r="M7283" s="23" t="s">
        <v>8</v>
      </c>
    </row>
    <row r="7284" spans="1:13" s="21" customFormat="1" x14ac:dyDescent="0.25">
      <c r="A7284" s="22" t="s">
        <v>8</v>
      </c>
      <c r="B7284" s="18" t="str">
        <f>"265163"</f>
        <v>265163</v>
      </c>
      <c r="C7284" s="19" t="s">
        <v>7182</v>
      </c>
      <c r="D7284" s="19" t="s">
        <v>22706</v>
      </c>
      <c r="E7284" s="19" t="s">
        <v>31733</v>
      </c>
      <c r="F7284" s="19" t="s">
        <v>35999</v>
      </c>
      <c r="G7284" s="18" t="str">
        <f>"63552"</f>
        <v>63552</v>
      </c>
      <c r="H7284" s="19" t="s">
        <v>31733</v>
      </c>
      <c r="I7284" s="20">
        <v>19.55</v>
      </c>
      <c r="J7284" s="44" t="s">
        <v>8</v>
      </c>
      <c r="K7284" s="23" t="s">
        <v>8</v>
      </c>
      <c r="L7284" s="23" t="s">
        <v>8</v>
      </c>
      <c r="M7284" s="23" t="s">
        <v>8</v>
      </c>
    </row>
    <row r="7285" spans="1:13" s="21" customFormat="1" x14ac:dyDescent="0.25">
      <c r="A7285" s="22" t="s">
        <v>8</v>
      </c>
      <c r="B7285" s="18" t="str">
        <f>"265164"</f>
        <v>265164</v>
      </c>
      <c r="C7285" s="19" t="s">
        <v>7183</v>
      </c>
      <c r="D7285" s="19" t="s">
        <v>22707</v>
      </c>
      <c r="E7285" s="19" t="s">
        <v>33595</v>
      </c>
      <c r="F7285" s="19" t="s">
        <v>35999</v>
      </c>
      <c r="G7285" s="18" t="str">
        <f>"65775"</f>
        <v>65775</v>
      </c>
      <c r="H7285" s="19" t="s">
        <v>33230</v>
      </c>
      <c r="I7285" s="20">
        <v>20.802</v>
      </c>
      <c r="J7285" s="44" t="s">
        <v>8</v>
      </c>
      <c r="K7285" s="23" t="s">
        <v>8</v>
      </c>
      <c r="L7285" s="23" t="s">
        <v>8</v>
      </c>
      <c r="M7285" s="23" t="s">
        <v>8</v>
      </c>
    </row>
    <row r="7286" spans="1:13" s="21" customFormat="1" x14ac:dyDescent="0.25">
      <c r="A7286" s="22" t="s">
        <v>8</v>
      </c>
      <c r="B7286" s="18" t="str">
        <f>"265165"</f>
        <v>265165</v>
      </c>
      <c r="C7286" s="19" t="s">
        <v>7184</v>
      </c>
      <c r="D7286" s="19" t="s">
        <v>22708</v>
      </c>
      <c r="E7286" s="19" t="s">
        <v>31091</v>
      </c>
      <c r="F7286" s="19" t="s">
        <v>35999</v>
      </c>
      <c r="G7286" s="18" t="str">
        <f>"63834"</f>
        <v>63834</v>
      </c>
      <c r="H7286" s="19" t="s">
        <v>36081</v>
      </c>
      <c r="I7286" s="20">
        <v>17.318000000000001</v>
      </c>
      <c r="J7286" s="44" t="s">
        <v>8</v>
      </c>
      <c r="K7286" s="23" t="s">
        <v>8</v>
      </c>
      <c r="L7286" s="23" t="s">
        <v>8</v>
      </c>
      <c r="M7286" s="23" t="s">
        <v>8</v>
      </c>
    </row>
    <row r="7287" spans="1:13" s="21" customFormat="1" x14ac:dyDescent="0.25">
      <c r="A7287" s="22" t="s">
        <v>8</v>
      </c>
      <c r="B7287" s="18" t="str">
        <f>"265166"</f>
        <v>265166</v>
      </c>
      <c r="C7287" s="19" t="s">
        <v>7185</v>
      </c>
      <c r="D7287" s="19" t="s">
        <v>22709</v>
      </c>
      <c r="E7287" s="19" t="s">
        <v>33589</v>
      </c>
      <c r="F7287" s="19" t="s">
        <v>35999</v>
      </c>
      <c r="G7287" s="18" t="str">
        <f>"63303"</f>
        <v>63303</v>
      </c>
      <c r="H7287" s="19" t="s">
        <v>33589</v>
      </c>
      <c r="I7287" s="20">
        <v>17.629000000000001</v>
      </c>
      <c r="J7287" s="44" t="s">
        <v>8</v>
      </c>
      <c r="K7287" s="23" t="s">
        <v>8</v>
      </c>
      <c r="L7287" s="23" t="s">
        <v>8</v>
      </c>
      <c r="M7287" s="23" t="s">
        <v>8</v>
      </c>
    </row>
    <row r="7288" spans="1:13" s="21" customFormat="1" x14ac:dyDescent="0.25">
      <c r="A7288" s="22" t="s">
        <v>8</v>
      </c>
      <c r="B7288" s="18" t="str">
        <f>"265167"</f>
        <v>265167</v>
      </c>
      <c r="C7288" s="19" t="s">
        <v>7186</v>
      </c>
      <c r="D7288" s="19" t="s">
        <v>22710</v>
      </c>
      <c r="E7288" s="19" t="s">
        <v>32565</v>
      </c>
      <c r="F7288" s="19" t="s">
        <v>35999</v>
      </c>
      <c r="G7288" s="18" t="str">
        <f>"64131"</f>
        <v>64131</v>
      </c>
      <c r="H7288" s="19" t="s">
        <v>30816</v>
      </c>
      <c r="I7288" s="20">
        <v>19.071000000000002</v>
      </c>
      <c r="J7288" s="44" t="s">
        <v>8</v>
      </c>
      <c r="K7288" s="23" t="s">
        <v>8</v>
      </c>
      <c r="L7288" s="23" t="s">
        <v>8</v>
      </c>
      <c r="M7288" s="23" t="s">
        <v>8</v>
      </c>
    </row>
    <row r="7289" spans="1:13" s="21" customFormat="1" x14ac:dyDescent="0.25">
      <c r="A7289" s="22" t="s">
        <v>8</v>
      </c>
      <c r="B7289" s="18" t="str">
        <f>"265168"</f>
        <v>265168</v>
      </c>
      <c r="C7289" s="19" t="s">
        <v>7187</v>
      </c>
      <c r="D7289" s="19" t="s">
        <v>22711</v>
      </c>
      <c r="E7289" s="19" t="s">
        <v>33597</v>
      </c>
      <c r="F7289" s="19" t="s">
        <v>35999</v>
      </c>
      <c r="G7289" s="18" t="str">
        <f>"63857"</f>
        <v>63857</v>
      </c>
      <c r="H7289" s="19" t="s">
        <v>36515</v>
      </c>
      <c r="I7289" s="20">
        <v>19.369</v>
      </c>
      <c r="J7289" s="44" t="s">
        <v>8</v>
      </c>
      <c r="K7289" s="23" t="s">
        <v>8</v>
      </c>
      <c r="L7289" s="23" t="s">
        <v>8</v>
      </c>
      <c r="M7289" s="23" t="s">
        <v>8</v>
      </c>
    </row>
    <row r="7290" spans="1:13" s="21" customFormat="1" x14ac:dyDescent="0.25">
      <c r="A7290" s="22" t="s">
        <v>8</v>
      </c>
      <c r="B7290" s="18" t="str">
        <f>"265169"</f>
        <v>265169</v>
      </c>
      <c r="C7290" s="19" t="s">
        <v>7188</v>
      </c>
      <c r="D7290" s="19" t="s">
        <v>22712</v>
      </c>
      <c r="E7290" s="19" t="s">
        <v>33598</v>
      </c>
      <c r="F7290" s="19" t="s">
        <v>35999</v>
      </c>
      <c r="G7290" s="18" t="str">
        <f>"64658"</f>
        <v>64658</v>
      </c>
      <c r="H7290" s="19" t="s">
        <v>32661</v>
      </c>
      <c r="I7290" s="20">
        <v>16.850000000000001</v>
      </c>
      <c r="J7290" s="44" t="s">
        <v>8</v>
      </c>
      <c r="K7290" s="23" t="s">
        <v>8</v>
      </c>
      <c r="L7290" s="23" t="s">
        <v>8</v>
      </c>
      <c r="M7290" s="23" t="s">
        <v>8</v>
      </c>
    </row>
    <row r="7291" spans="1:13" s="21" customFormat="1" x14ac:dyDescent="0.25">
      <c r="A7291" s="22" t="s">
        <v>8</v>
      </c>
      <c r="B7291" s="18" t="str">
        <f>"265170"</f>
        <v>265170</v>
      </c>
      <c r="C7291" s="19" t="s">
        <v>7189</v>
      </c>
      <c r="D7291" s="19" t="s">
        <v>22713</v>
      </c>
      <c r="E7291" s="19" t="s">
        <v>32311</v>
      </c>
      <c r="F7291" s="19" t="s">
        <v>35999</v>
      </c>
      <c r="G7291" s="18" t="str">
        <f>"63017"</f>
        <v>63017</v>
      </c>
      <c r="H7291" s="19" t="s">
        <v>33228</v>
      </c>
      <c r="I7291" s="20">
        <v>19.998999999999999</v>
      </c>
      <c r="J7291" s="44" t="s">
        <v>8</v>
      </c>
      <c r="K7291" s="23" t="s">
        <v>8</v>
      </c>
      <c r="L7291" s="23" t="s">
        <v>8</v>
      </c>
      <c r="M7291" s="23" t="s">
        <v>8</v>
      </c>
    </row>
    <row r="7292" spans="1:13" s="21" customFormat="1" x14ac:dyDescent="0.25">
      <c r="A7292" s="22" t="s">
        <v>8</v>
      </c>
      <c r="B7292" s="18" t="str">
        <f>"265171"</f>
        <v>265171</v>
      </c>
      <c r="C7292" s="19" t="s">
        <v>7190</v>
      </c>
      <c r="D7292" s="19" t="s">
        <v>22714</v>
      </c>
      <c r="E7292" s="19" t="s">
        <v>33599</v>
      </c>
      <c r="F7292" s="19" t="s">
        <v>35999</v>
      </c>
      <c r="G7292" s="18" t="str">
        <f>"65065"</f>
        <v>65065</v>
      </c>
      <c r="H7292" s="19" t="s">
        <v>30910</v>
      </c>
      <c r="I7292" s="20">
        <v>17.018000000000001</v>
      </c>
      <c r="J7292" s="44" t="s">
        <v>8</v>
      </c>
      <c r="K7292" s="23" t="s">
        <v>8</v>
      </c>
      <c r="L7292" s="23" t="s">
        <v>8</v>
      </c>
      <c r="M7292" s="23" t="s">
        <v>8</v>
      </c>
    </row>
    <row r="7293" spans="1:13" s="21" customFormat="1" x14ac:dyDescent="0.25">
      <c r="A7293" s="22" t="s">
        <v>8</v>
      </c>
      <c r="B7293" s="18" t="str">
        <f>"265174"</f>
        <v>265174</v>
      </c>
      <c r="C7293" s="19" t="s">
        <v>7191</v>
      </c>
      <c r="D7293" s="19" t="s">
        <v>22715</v>
      </c>
      <c r="E7293" s="19" t="s">
        <v>33228</v>
      </c>
      <c r="F7293" s="19" t="s">
        <v>35999</v>
      </c>
      <c r="G7293" s="18" t="str">
        <f>"63136"</f>
        <v>63136</v>
      </c>
      <c r="H7293" s="19" t="s">
        <v>33228</v>
      </c>
      <c r="I7293" s="20">
        <v>22.187999999999999</v>
      </c>
      <c r="J7293" s="44" t="s">
        <v>8</v>
      </c>
      <c r="K7293" s="23" t="s">
        <v>8</v>
      </c>
      <c r="L7293" s="23" t="s">
        <v>8</v>
      </c>
      <c r="M7293" s="23" t="s">
        <v>8</v>
      </c>
    </row>
    <row r="7294" spans="1:13" s="21" customFormat="1" x14ac:dyDescent="0.25">
      <c r="A7294" s="22" t="s">
        <v>8</v>
      </c>
      <c r="B7294" s="18" t="str">
        <f>"265175"</f>
        <v>265175</v>
      </c>
      <c r="C7294" s="19" t="s">
        <v>7192</v>
      </c>
      <c r="D7294" s="19" t="s">
        <v>22716</v>
      </c>
      <c r="E7294" s="19" t="s">
        <v>33600</v>
      </c>
      <c r="F7294" s="19" t="s">
        <v>35999</v>
      </c>
      <c r="G7294" s="18" t="str">
        <f>"64803"</f>
        <v>64803</v>
      </c>
      <c r="H7294" s="19" t="s">
        <v>30854</v>
      </c>
      <c r="I7294" s="20">
        <v>19.222000000000001</v>
      </c>
      <c r="J7294" s="44" t="s">
        <v>8</v>
      </c>
      <c r="K7294" s="23" t="s">
        <v>8</v>
      </c>
      <c r="L7294" s="23" t="s">
        <v>8</v>
      </c>
      <c r="M7294" s="23" t="s">
        <v>8</v>
      </c>
    </row>
    <row r="7295" spans="1:13" s="21" customFormat="1" x14ac:dyDescent="0.25">
      <c r="A7295" s="22" t="s">
        <v>8</v>
      </c>
      <c r="B7295" s="18" t="str">
        <f>"265178"</f>
        <v>265178</v>
      </c>
      <c r="C7295" s="19" t="s">
        <v>7193</v>
      </c>
      <c r="D7295" s="19" t="s">
        <v>22717</v>
      </c>
      <c r="E7295" s="19" t="s">
        <v>33599</v>
      </c>
      <c r="F7295" s="19" t="s">
        <v>35999</v>
      </c>
      <c r="G7295" s="18" t="str">
        <f>"65065"</f>
        <v>65065</v>
      </c>
      <c r="H7295" s="19" t="s">
        <v>30910</v>
      </c>
      <c r="I7295" s="20">
        <v>17.216000000000001</v>
      </c>
      <c r="J7295" s="44" t="s">
        <v>8</v>
      </c>
      <c r="K7295" s="23" t="s">
        <v>8</v>
      </c>
      <c r="L7295" s="23" t="s">
        <v>8</v>
      </c>
      <c r="M7295" s="23" t="s">
        <v>8</v>
      </c>
    </row>
    <row r="7296" spans="1:13" s="21" customFormat="1" x14ac:dyDescent="0.25">
      <c r="A7296" s="22" t="s">
        <v>8</v>
      </c>
      <c r="B7296" s="18" t="str">
        <f>"265181"</f>
        <v>265181</v>
      </c>
      <c r="C7296" s="19" t="s">
        <v>7194</v>
      </c>
      <c r="D7296" s="19" t="s">
        <v>22718</v>
      </c>
      <c r="E7296" s="19" t="s">
        <v>33601</v>
      </c>
      <c r="F7296" s="19" t="s">
        <v>35999</v>
      </c>
      <c r="G7296" s="18" t="str">
        <f>"63390"</f>
        <v>63390</v>
      </c>
      <c r="H7296" s="19" t="s">
        <v>31025</v>
      </c>
      <c r="I7296" s="20">
        <v>19.423999999999999</v>
      </c>
      <c r="J7296" s="44" t="s">
        <v>8</v>
      </c>
      <c r="K7296" s="23" t="s">
        <v>8</v>
      </c>
      <c r="L7296" s="23" t="s">
        <v>8</v>
      </c>
      <c r="M7296" s="23" t="s">
        <v>8</v>
      </c>
    </row>
    <row r="7297" spans="1:13" s="21" customFormat="1" x14ac:dyDescent="0.25">
      <c r="A7297" s="22" t="s">
        <v>8</v>
      </c>
      <c r="B7297" s="18" t="str">
        <f>"265182"</f>
        <v>265182</v>
      </c>
      <c r="C7297" s="19" t="s">
        <v>7195</v>
      </c>
      <c r="D7297" s="19" t="s">
        <v>22719</v>
      </c>
      <c r="E7297" s="19" t="s">
        <v>31333</v>
      </c>
      <c r="F7297" s="19" t="s">
        <v>35999</v>
      </c>
      <c r="G7297" s="18" t="str">
        <f>"65605"</f>
        <v>65605</v>
      </c>
      <c r="H7297" s="19" t="s">
        <v>32568</v>
      </c>
      <c r="I7297" s="20">
        <v>19.832000000000001</v>
      </c>
      <c r="J7297" s="44" t="s">
        <v>8</v>
      </c>
      <c r="K7297" s="23" t="s">
        <v>8</v>
      </c>
      <c r="L7297" s="23" t="s">
        <v>8</v>
      </c>
      <c r="M7297" s="23" t="s">
        <v>8</v>
      </c>
    </row>
    <row r="7298" spans="1:13" s="21" customFormat="1" x14ac:dyDescent="0.25">
      <c r="A7298" s="22" t="s">
        <v>8</v>
      </c>
      <c r="B7298" s="18" t="str">
        <f>"265185"</f>
        <v>265185</v>
      </c>
      <c r="C7298" s="19" t="s">
        <v>7196</v>
      </c>
      <c r="D7298" s="19" t="s">
        <v>22720</v>
      </c>
      <c r="E7298" s="19" t="s">
        <v>33593</v>
      </c>
      <c r="F7298" s="19" t="s">
        <v>35999</v>
      </c>
      <c r="G7298" s="18" t="str">
        <f>"63703"</f>
        <v>63703</v>
      </c>
      <c r="H7298" s="19" t="s">
        <v>33593</v>
      </c>
      <c r="I7298" s="20">
        <v>20.09</v>
      </c>
      <c r="J7298" s="44" t="s">
        <v>8</v>
      </c>
      <c r="K7298" s="23" t="s">
        <v>8</v>
      </c>
      <c r="L7298" s="23" t="s">
        <v>8</v>
      </c>
      <c r="M7298" s="23" t="s">
        <v>8</v>
      </c>
    </row>
    <row r="7299" spans="1:13" s="21" customFormat="1" x14ac:dyDescent="0.25">
      <c r="A7299" s="22" t="s">
        <v>8</v>
      </c>
      <c r="B7299" s="18" t="str">
        <f>"265188"</f>
        <v>265188</v>
      </c>
      <c r="C7299" s="19" t="s">
        <v>1990</v>
      </c>
      <c r="D7299" s="19" t="s">
        <v>22721</v>
      </c>
      <c r="E7299" s="19" t="s">
        <v>31717</v>
      </c>
      <c r="F7299" s="19" t="s">
        <v>35999</v>
      </c>
      <c r="G7299" s="18" t="str">
        <f>"65804"</f>
        <v>65804</v>
      </c>
      <c r="H7299" s="19" t="s">
        <v>32455</v>
      </c>
      <c r="I7299" s="20">
        <v>18.234999999999999</v>
      </c>
      <c r="J7299" s="44" t="s">
        <v>8</v>
      </c>
      <c r="K7299" s="23" t="s">
        <v>8</v>
      </c>
      <c r="L7299" s="23" t="s">
        <v>8</v>
      </c>
      <c r="M7299" s="23" t="s">
        <v>8</v>
      </c>
    </row>
    <row r="7300" spans="1:13" s="21" customFormat="1" x14ac:dyDescent="0.25">
      <c r="A7300" s="22" t="s">
        <v>8</v>
      </c>
      <c r="B7300" s="18" t="str">
        <f>"265193"</f>
        <v>265193</v>
      </c>
      <c r="C7300" s="19" t="s">
        <v>7197</v>
      </c>
      <c r="D7300" s="19" t="s">
        <v>22722</v>
      </c>
      <c r="E7300" s="19" t="s">
        <v>33602</v>
      </c>
      <c r="F7300" s="19" t="s">
        <v>35999</v>
      </c>
      <c r="G7300" s="18" t="str">
        <f>"63901"</f>
        <v>63901</v>
      </c>
      <c r="H7300" s="19" t="s">
        <v>30876</v>
      </c>
      <c r="I7300" s="20">
        <v>21.315999999999999</v>
      </c>
      <c r="J7300" s="44" t="s">
        <v>8</v>
      </c>
      <c r="K7300" s="23" t="s">
        <v>8</v>
      </c>
      <c r="L7300" s="23" t="s">
        <v>8</v>
      </c>
      <c r="M7300" s="23" t="s">
        <v>8</v>
      </c>
    </row>
    <row r="7301" spans="1:13" s="21" customFormat="1" x14ac:dyDescent="0.25">
      <c r="A7301" s="22" t="s">
        <v>8</v>
      </c>
      <c r="B7301" s="18" t="str">
        <f>"265195"</f>
        <v>265195</v>
      </c>
      <c r="C7301" s="19" t="s">
        <v>7198</v>
      </c>
      <c r="D7301" s="19" t="s">
        <v>22723</v>
      </c>
      <c r="E7301" s="19" t="s">
        <v>31100</v>
      </c>
      <c r="F7301" s="19" t="s">
        <v>35999</v>
      </c>
      <c r="G7301" s="18" t="str">
        <f>"63025"</f>
        <v>63025</v>
      </c>
      <c r="H7301" s="19" t="s">
        <v>33228</v>
      </c>
      <c r="I7301" s="20">
        <v>21.561</v>
      </c>
      <c r="J7301" s="44" t="s">
        <v>8</v>
      </c>
      <c r="K7301" s="23" t="s">
        <v>8</v>
      </c>
      <c r="L7301" s="23" t="s">
        <v>8</v>
      </c>
      <c r="M7301" s="23" t="s">
        <v>8</v>
      </c>
    </row>
    <row r="7302" spans="1:13" s="21" customFormat="1" x14ac:dyDescent="0.25">
      <c r="A7302" s="22" t="s">
        <v>8</v>
      </c>
      <c r="B7302" s="18" t="str">
        <f>"265198"</f>
        <v>265198</v>
      </c>
      <c r="C7302" s="19" t="s">
        <v>7199</v>
      </c>
      <c r="D7302" s="19" t="s">
        <v>22724</v>
      </c>
      <c r="E7302" s="19" t="s">
        <v>33577</v>
      </c>
      <c r="F7302" s="19" t="s">
        <v>35999</v>
      </c>
      <c r="G7302" s="18" t="str">
        <f>"63501"</f>
        <v>63501</v>
      </c>
      <c r="H7302" s="19" t="s">
        <v>36280</v>
      </c>
      <c r="I7302" s="20">
        <v>16.446000000000002</v>
      </c>
      <c r="J7302" s="44" t="s">
        <v>8</v>
      </c>
      <c r="K7302" s="23" t="s">
        <v>8</v>
      </c>
      <c r="L7302" s="23" t="s">
        <v>8</v>
      </c>
      <c r="M7302" s="23" t="s">
        <v>8</v>
      </c>
    </row>
    <row r="7303" spans="1:13" s="21" customFormat="1" x14ac:dyDescent="0.25">
      <c r="A7303" s="22" t="s">
        <v>8</v>
      </c>
      <c r="B7303" s="18" t="str">
        <f>"265199"</f>
        <v>265199</v>
      </c>
      <c r="C7303" s="19" t="s">
        <v>7200</v>
      </c>
      <c r="D7303" s="19" t="s">
        <v>22725</v>
      </c>
      <c r="E7303" s="19" t="s">
        <v>32565</v>
      </c>
      <c r="F7303" s="19" t="s">
        <v>35999</v>
      </c>
      <c r="G7303" s="18" t="str">
        <f>"64111"</f>
        <v>64111</v>
      </c>
      <c r="H7303" s="19" t="s">
        <v>30816</v>
      </c>
      <c r="I7303" s="20">
        <v>20.789000000000001</v>
      </c>
      <c r="J7303" s="44" t="s">
        <v>8</v>
      </c>
      <c r="K7303" s="23" t="s">
        <v>8</v>
      </c>
      <c r="L7303" s="23" t="s">
        <v>8</v>
      </c>
      <c r="M7303" s="23" t="s">
        <v>8</v>
      </c>
    </row>
    <row r="7304" spans="1:13" s="21" customFormat="1" x14ac:dyDescent="0.25">
      <c r="A7304" s="22" t="s">
        <v>8</v>
      </c>
      <c r="B7304" s="18" t="str">
        <f>"265200"</f>
        <v>265200</v>
      </c>
      <c r="C7304" s="19" t="s">
        <v>7201</v>
      </c>
      <c r="D7304" s="19" t="s">
        <v>22726</v>
      </c>
      <c r="E7304" s="19" t="s">
        <v>31733</v>
      </c>
      <c r="F7304" s="19" t="s">
        <v>35999</v>
      </c>
      <c r="G7304" s="18" t="str">
        <f>"63552"</f>
        <v>63552</v>
      </c>
      <c r="H7304" s="19" t="s">
        <v>31733</v>
      </c>
      <c r="I7304" s="20">
        <v>17.940999999999999</v>
      </c>
      <c r="J7304" s="44" t="s">
        <v>8</v>
      </c>
      <c r="K7304" s="23" t="s">
        <v>8</v>
      </c>
      <c r="L7304" s="23" t="s">
        <v>8</v>
      </c>
      <c r="M7304" s="23" t="s">
        <v>8</v>
      </c>
    </row>
    <row r="7305" spans="1:13" s="21" customFormat="1" x14ac:dyDescent="0.25">
      <c r="A7305" s="22" t="s">
        <v>8</v>
      </c>
      <c r="B7305" s="18" t="str">
        <f>"265202"</f>
        <v>265202</v>
      </c>
      <c r="C7305" s="19" t="s">
        <v>7202</v>
      </c>
      <c r="D7305" s="19" t="s">
        <v>22727</v>
      </c>
      <c r="E7305" s="19" t="s">
        <v>31500</v>
      </c>
      <c r="F7305" s="19" t="s">
        <v>35999</v>
      </c>
      <c r="G7305" s="18" t="str">
        <f>"63090"</f>
        <v>63090</v>
      </c>
      <c r="H7305" s="19" t="s">
        <v>5</v>
      </c>
      <c r="I7305" s="20">
        <v>18.547000000000001</v>
      </c>
      <c r="J7305" s="44" t="s">
        <v>8</v>
      </c>
      <c r="K7305" s="23" t="s">
        <v>8</v>
      </c>
      <c r="L7305" s="23" t="s">
        <v>8</v>
      </c>
      <c r="M7305" s="23" t="s">
        <v>8</v>
      </c>
    </row>
    <row r="7306" spans="1:13" s="21" customFormat="1" x14ac:dyDescent="0.25">
      <c r="A7306" s="22" t="s">
        <v>8</v>
      </c>
      <c r="B7306" s="18" t="str">
        <f>"265205"</f>
        <v>265205</v>
      </c>
      <c r="C7306" s="19" t="s">
        <v>7203</v>
      </c>
      <c r="D7306" s="19" t="s">
        <v>22728</v>
      </c>
      <c r="E7306" s="19" t="s">
        <v>33602</v>
      </c>
      <c r="F7306" s="19" t="s">
        <v>35999</v>
      </c>
      <c r="G7306" s="18" t="str">
        <f>"63901"</f>
        <v>63901</v>
      </c>
      <c r="H7306" s="19" t="s">
        <v>30876</v>
      </c>
      <c r="I7306" s="20">
        <v>19.856000000000002</v>
      </c>
      <c r="J7306" s="44" t="s">
        <v>8</v>
      </c>
      <c r="K7306" s="23" t="s">
        <v>8</v>
      </c>
      <c r="L7306" s="23" t="s">
        <v>8</v>
      </c>
      <c r="M7306" s="23" t="s">
        <v>8</v>
      </c>
    </row>
    <row r="7307" spans="1:13" s="21" customFormat="1" x14ac:dyDescent="0.25">
      <c r="A7307" s="22" t="s">
        <v>8</v>
      </c>
      <c r="B7307" s="18" t="str">
        <f>"265208"</f>
        <v>265208</v>
      </c>
      <c r="C7307" s="19" t="s">
        <v>7204</v>
      </c>
      <c r="D7307" s="19" t="s">
        <v>22729</v>
      </c>
      <c r="E7307" s="19" t="s">
        <v>33603</v>
      </c>
      <c r="F7307" s="19" t="s">
        <v>35999</v>
      </c>
      <c r="G7307" s="18" t="str">
        <f>"65109"</f>
        <v>65109</v>
      </c>
      <c r="H7307" s="19" t="s">
        <v>36516</v>
      </c>
      <c r="I7307" s="20">
        <v>21.75</v>
      </c>
      <c r="J7307" s="44" t="s">
        <v>8</v>
      </c>
      <c r="K7307" s="23" t="s">
        <v>8</v>
      </c>
      <c r="L7307" s="23" t="s">
        <v>8</v>
      </c>
      <c r="M7307" s="23" t="s">
        <v>8</v>
      </c>
    </row>
    <row r="7308" spans="1:13" s="21" customFormat="1" x14ac:dyDescent="0.25">
      <c r="A7308" s="22" t="s">
        <v>8</v>
      </c>
      <c r="B7308" s="18" t="str">
        <f>"265209"</f>
        <v>265209</v>
      </c>
      <c r="C7308" s="19" t="s">
        <v>7205</v>
      </c>
      <c r="D7308" s="19" t="s">
        <v>22730</v>
      </c>
      <c r="E7308" s="19" t="s">
        <v>33604</v>
      </c>
      <c r="F7308" s="19" t="s">
        <v>35999</v>
      </c>
      <c r="G7308" s="18" t="str">
        <f>"63869"</f>
        <v>63869</v>
      </c>
      <c r="H7308" s="19" t="s">
        <v>33604</v>
      </c>
      <c r="I7308" s="20">
        <v>17.585999999999999</v>
      </c>
      <c r="J7308" s="44" t="s">
        <v>8</v>
      </c>
      <c r="K7308" s="23" t="s">
        <v>8</v>
      </c>
      <c r="L7308" s="23" t="s">
        <v>8</v>
      </c>
      <c r="M7308" s="23" t="s">
        <v>8</v>
      </c>
    </row>
    <row r="7309" spans="1:13" s="21" customFormat="1" x14ac:dyDescent="0.25">
      <c r="A7309" s="22" t="s">
        <v>8</v>
      </c>
      <c r="B7309" s="18" t="str">
        <f>"265210"</f>
        <v>265210</v>
      </c>
      <c r="C7309" s="19" t="s">
        <v>7206</v>
      </c>
      <c r="D7309" s="19" t="s">
        <v>22731</v>
      </c>
      <c r="E7309" s="19" t="s">
        <v>33605</v>
      </c>
      <c r="F7309" s="19" t="s">
        <v>35999</v>
      </c>
      <c r="G7309" s="18" t="str">
        <f>"63877"</f>
        <v>63877</v>
      </c>
      <c r="H7309" s="19" t="s">
        <v>36510</v>
      </c>
      <c r="I7309" s="20">
        <v>19.376999999999999</v>
      </c>
      <c r="J7309" s="44" t="s">
        <v>8</v>
      </c>
      <c r="K7309" s="23" t="s">
        <v>8</v>
      </c>
      <c r="L7309" s="23" t="s">
        <v>8</v>
      </c>
      <c r="M7309" s="23" t="s">
        <v>8</v>
      </c>
    </row>
    <row r="7310" spans="1:13" s="21" customFormat="1" x14ac:dyDescent="0.25">
      <c r="A7310" s="22" t="s">
        <v>8</v>
      </c>
      <c r="B7310" s="18" t="str">
        <f>"265216"</f>
        <v>265216</v>
      </c>
      <c r="C7310" s="19" t="s">
        <v>7207</v>
      </c>
      <c r="D7310" s="19" t="s">
        <v>22732</v>
      </c>
      <c r="E7310" s="19" t="s">
        <v>33606</v>
      </c>
      <c r="F7310" s="19" t="s">
        <v>35999</v>
      </c>
      <c r="G7310" s="18" t="str">
        <f>"63048"</f>
        <v>63048</v>
      </c>
      <c r="H7310" s="19" t="s">
        <v>32391</v>
      </c>
      <c r="I7310" s="20">
        <v>17.103000000000002</v>
      </c>
      <c r="J7310" s="44" t="s">
        <v>8</v>
      </c>
      <c r="K7310" s="23" t="s">
        <v>8</v>
      </c>
      <c r="L7310" s="23" t="s">
        <v>8</v>
      </c>
      <c r="M7310" s="23" t="s">
        <v>8</v>
      </c>
    </row>
    <row r="7311" spans="1:13" s="21" customFormat="1" x14ac:dyDescent="0.25">
      <c r="A7311" s="22" t="s">
        <v>8</v>
      </c>
      <c r="B7311" s="18" t="str">
        <f>"265225"</f>
        <v>265225</v>
      </c>
      <c r="C7311" s="19" t="s">
        <v>7208</v>
      </c>
      <c r="D7311" s="19" t="s">
        <v>22733</v>
      </c>
      <c r="E7311" s="19" t="s">
        <v>33607</v>
      </c>
      <c r="F7311" s="19" t="s">
        <v>35999</v>
      </c>
      <c r="G7311" s="18" t="str">
        <f>"65559"</f>
        <v>65559</v>
      </c>
      <c r="H7311" s="19" t="s">
        <v>32722</v>
      </c>
      <c r="I7311" s="20">
        <v>16.492000000000001</v>
      </c>
      <c r="J7311" s="44" t="s">
        <v>8</v>
      </c>
      <c r="K7311" s="23" t="s">
        <v>8</v>
      </c>
      <c r="L7311" s="23" t="s">
        <v>8</v>
      </c>
      <c r="M7311" s="23" t="s">
        <v>8</v>
      </c>
    </row>
    <row r="7312" spans="1:13" s="21" customFormat="1" x14ac:dyDescent="0.25">
      <c r="A7312" s="22" t="s">
        <v>8</v>
      </c>
      <c r="B7312" s="18" t="str">
        <f>"265230"</f>
        <v>265230</v>
      </c>
      <c r="C7312" s="19" t="s">
        <v>7209</v>
      </c>
      <c r="D7312" s="19" t="s">
        <v>22734</v>
      </c>
      <c r="E7312" s="19" t="s">
        <v>33608</v>
      </c>
      <c r="F7312" s="19" t="s">
        <v>35999</v>
      </c>
      <c r="G7312" s="18" t="str">
        <f>"65633"</f>
        <v>65633</v>
      </c>
      <c r="H7312" s="19" t="s">
        <v>36069</v>
      </c>
      <c r="I7312" s="20">
        <v>20.102</v>
      </c>
      <c r="J7312" s="44" t="s">
        <v>8</v>
      </c>
      <c r="K7312" s="23" t="s">
        <v>8</v>
      </c>
      <c r="L7312" s="23" t="s">
        <v>8</v>
      </c>
      <c r="M7312" s="23" t="s">
        <v>8</v>
      </c>
    </row>
    <row r="7313" spans="1:13" s="21" customFormat="1" x14ac:dyDescent="0.25">
      <c r="A7313" s="22" t="s">
        <v>8</v>
      </c>
      <c r="B7313" s="18" t="str">
        <f>"265236"</f>
        <v>265236</v>
      </c>
      <c r="C7313" s="19" t="s">
        <v>7210</v>
      </c>
      <c r="D7313" s="19" t="s">
        <v>22735</v>
      </c>
      <c r="E7313" s="19" t="s">
        <v>33609</v>
      </c>
      <c r="F7313" s="19" t="s">
        <v>35999</v>
      </c>
      <c r="G7313" s="18" t="str">
        <f>"63044"</f>
        <v>63044</v>
      </c>
      <c r="H7313" s="19" t="s">
        <v>33228</v>
      </c>
      <c r="I7313" s="20">
        <v>18.765000000000001</v>
      </c>
      <c r="J7313" s="44" t="s">
        <v>8</v>
      </c>
      <c r="K7313" s="23" t="s">
        <v>8</v>
      </c>
      <c r="L7313" s="23" t="s">
        <v>8</v>
      </c>
      <c r="M7313" s="23" t="s">
        <v>8</v>
      </c>
    </row>
    <row r="7314" spans="1:13" s="21" customFormat="1" x14ac:dyDescent="0.25">
      <c r="A7314" s="22" t="s">
        <v>8</v>
      </c>
      <c r="B7314" s="18" t="str">
        <f>"265237"</f>
        <v>265237</v>
      </c>
      <c r="C7314" s="19" t="s">
        <v>7211</v>
      </c>
      <c r="D7314" s="19" t="s">
        <v>22736</v>
      </c>
      <c r="E7314" s="19" t="s">
        <v>33610</v>
      </c>
      <c r="F7314" s="19" t="s">
        <v>35999</v>
      </c>
      <c r="G7314" s="18" t="str">
        <f>"63461"</f>
        <v>63461</v>
      </c>
      <c r="H7314" s="19" t="s">
        <v>30850</v>
      </c>
      <c r="I7314" s="20">
        <v>17.571999999999999</v>
      </c>
      <c r="J7314" s="44" t="s">
        <v>8</v>
      </c>
      <c r="K7314" s="23" t="s">
        <v>8</v>
      </c>
      <c r="L7314" s="23" t="s">
        <v>8</v>
      </c>
      <c r="M7314" s="23" t="s">
        <v>8</v>
      </c>
    </row>
    <row r="7315" spans="1:13" s="21" customFormat="1" x14ac:dyDescent="0.25">
      <c r="A7315" s="22" t="s">
        <v>8</v>
      </c>
      <c r="B7315" s="18" t="str">
        <f>"265238"</f>
        <v>265238</v>
      </c>
      <c r="C7315" s="19" t="s">
        <v>7212</v>
      </c>
      <c r="D7315" s="19" t="s">
        <v>22737</v>
      </c>
      <c r="E7315" s="19" t="s">
        <v>32326</v>
      </c>
      <c r="F7315" s="19" t="s">
        <v>35999</v>
      </c>
      <c r="G7315" s="18" t="str">
        <f>"63556"</f>
        <v>63556</v>
      </c>
      <c r="H7315" s="19" t="s">
        <v>31976</v>
      </c>
      <c r="I7315" s="20">
        <v>18.846</v>
      </c>
      <c r="J7315" s="44" t="s">
        <v>8</v>
      </c>
      <c r="K7315" s="23" t="s">
        <v>8</v>
      </c>
      <c r="L7315" s="23" t="s">
        <v>8</v>
      </c>
      <c r="M7315" s="23" t="s">
        <v>8</v>
      </c>
    </row>
    <row r="7316" spans="1:13" s="21" customFormat="1" x14ac:dyDescent="0.25">
      <c r="A7316" s="22" t="s">
        <v>8</v>
      </c>
      <c r="B7316" s="18" t="str">
        <f>"265239"</f>
        <v>265239</v>
      </c>
      <c r="C7316" s="19" t="s">
        <v>7213</v>
      </c>
      <c r="D7316" s="19" t="s">
        <v>22738</v>
      </c>
      <c r="E7316" s="19" t="s">
        <v>33611</v>
      </c>
      <c r="F7316" s="19" t="s">
        <v>35999</v>
      </c>
      <c r="G7316" s="18" t="str">
        <f>"65668"</f>
        <v>65668</v>
      </c>
      <c r="H7316" s="19" t="s">
        <v>34248</v>
      </c>
      <c r="I7316" s="20">
        <v>22.260999999999999</v>
      </c>
      <c r="J7316" s="44" t="s">
        <v>8</v>
      </c>
      <c r="K7316" s="23" t="s">
        <v>8</v>
      </c>
      <c r="L7316" s="23" t="s">
        <v>8</v>
      </c>
      <c r="M7316" s="23" t="s">
        <v>8</v>
      </c>
    </row>
    <row r="7317" spans="1:13" s="21" customFormat="1" x14ac:dyDescent="0.25">
      <c r="A7317" s="22" t="s">
        <v>8</v>
      </c>
      <c r="B7317" s="18" t="str">
        <f>"265245"</f>
        <v>265245</v>
      </c>
      <c r="C7317" s="19" t="s">
        <v>7214</v>
      </c>
      <c r="D7317" s="19" t="s">
        <v>22739</v>
      </c>
      <c r="E7317" s="19" t="s">
        <v>33453</v>
      </c>
      <c r="F7317" s="19" t="s">
        <v>35999</v>
      </c>
      <c r="G7317" s="18" t="str">
        <f>"65622"</f>
        <v>65622</v>
      </c>
      <c r="H7317" s="19" t="s">
        <v>31723</v>
      </c>
      <c r="I7317" s="20">
        <v>18.617999999999999</v>
      </c>
      <c r="J7317" s="44" t="s">
        <v>8</v>
      </c>
      <c r="K7317" s="23" t="s">
        <v>8</v>
      </c>
      <c r="L7317" s="23" t="s">
        <v>8</v>
      </c>
      <c r="M7317" s="23" t="s">
        <v>8</v>
      </c>
    </row>
    <row r="7318" spans="1:13" s="21" customFormat="1" x14ac:dyDescent="0.25">
      <c r="A7318" s="22" t="s">
        <v>8</v>
      </c>
      <c r="B7318" s="18" t="str">
        <f>"265246"</f>
        <v>265246</v>
      </c>
      <c r="C7318" s="19" t="s">
        <v>7215</v>
      </c>
      <c r="D7318" s="19" t="s">
        <v>22740</v>
      </c>
      <c r="E7318" s="19" t="s">
        <v>33612</v>
      </c>
      <c r="F7318" s="19" t="s">
        <v>35999</v>
      </c>
      <c r="G7318" s="18" t="str">
        <f>"65791"</f>
        <v>65791</v>
      </c>
      <c r="H7318" s="19" t="s">
        <v>32013</v>
      </c>
      <c r="I7318" s="20">
        <v>18.170999999999999</v>
      </c>
      <c r="J7318" s="44" t="s">
        <v>8</v>
      </c>
      <c r="K7318" s="23" t="s">
        <v>8</v>
      </c>
      <c r="L7318" s="23" t="s">
        <v>8</v>
      </c>
      <c r="M7318" s="23" t="s">
        <v>8</v>
      </c>
    </row>
    <row r="7319" spans="1:13" s="21" customFormat="1" x14ac:dyDescent="0.25">
      <c r="A7319" s="22" t="s">
        <v>8</v>
      </c>
      <c r="B7319" s="18" t="str">
        <f>"265247"</f>
        <v>265247</v>
      </c>
      <c r="C7319" s="19" t="s">
        <v>7216</v>
      </c>
      <c r="D7319" s="19" t="s">
        <v>22741</v>
      </c>
      <c r="E7319" s="19" t="s">
        <v>33577</v>
      </c>
      <c r="F7319" s="19" t="s">
        <v>35999</v>
      </c>
      <c r="G7319" s="18" t="str">
        <f>"63501"</f>
        <v>63501</v>
      </c>
      <c r="H7319" s="19" t="s">
        <v>36280</v>
      </c>
      <c r="I7319" s="20">
        <v>19.154</v>
      </c>
      <c r="J7319" s="44" t="s">
        <v>8</v>
      </c>
      <c r="K7319" s="23" t="s">
        <v>8</v>
      </c>
      <c r="L7319" s="23" t="s">
        <v>8</v>
      </c>
      <c r="M7319" s="23" t="s">
        <v>8</v>
      </c>
    </row>
    <row r="7320" spans="1:13" s="21" customFormat="1" x14ac:dyDescent="0.25">
      <c r="A7320" s="22" t="s">
        <v>8</v>
      </c>
      <c r="B7320" s="18" t="str">
        <f>"265249"</f>
        <v>265249</v>
      </c>
      <c r="C7320" s="19" t="s">
        <v>7217</v>
      </c>
      <c r="D7320" s="19" t="s">
        <v>22742</v>
      </c>
      <c r="E7320" s="19" t="s">
        <v>32114</v>
      </c>
      <c r="F7320" s="19" t="s">
        <v>35999</v>
      </c>
      <c r="G7320" s="18" t="str">
        <f>"65582"</f>
        <v>65582</v>
      </c>
      <c r="H7320" s="19" t="s">
        <v>36517</v>
      </c>
      <c r="I7320" s="20">
        <v>17.98</v>
      </c>
      <c r="J7320" s="44" t="s">
        <v>8</v>
      </c>
      <c r="K7320" s="23" t="s">
        <v>8</v>
      </c>
      <c r="L7320" s="23" t="s">
        <v>8</v>
      </c>
      <c r="M7320" s="23" t="s">
        <v>8</v>
      </c>
    </row>
    <row r="7321" spans="1:13" s="21" customFormat="1" x14ac:dyDescent="0.25">
      <c r="A7321" s="22" t="s">
        <v>8</v>
      </c>
      <c r="B7321" s="18" t="str">
        <f>"265251"</f>
        <v>265251</v>
      </c>
      <c r="C7321" s="19" t="s">
        <v>3734</v>
      </c>
      <c r="D7321" s="19" t="s">
        <v>22743</v>
      </c>
      <c r="E7321" s="19" t="s">
        <v>32076</v>
      </c>
      <c r="F7321" s="19" t="s">
        <v>35999</v>
      </c>
      <c r="G7321" s="18" t="str">
        <f>"65202"</f>
        <v>65202</v>
      </c>
      <c r="H7321" s="19" t="s">
        <v>32513</v>
      </c>
      <c r="I7321" s="20">
        <v>23.172000000000001</v>
      </c>
      <c r="J7321" s="44" t="s">
        <v>8</v>
      </c>
      <c r="K7321" s="23" t="s">
        <v>8</v>
      </c>
      <c r="L7321" s="23" t="s">
        <v>8</v>
      </c>
      <c r="M7321" s="23" t="s">
        <v>8</v>
      </c>
    </row>
    <row r="7322" spans="1:13" s="21" customFormat="1" x14ac:dyDescent="0.25">
      <c r="A7322" s="22" t="s">
        <v>8</v>
      </c>
      <c r="B7322" s="18" t="str">
        <f>"265253"</f>
        <v>265253</v>
      </c>
      <c r="C7322" s="19" t="s">
        <v>7218</v>
      </c>
      <c r="D7322" s="19" t="s">
        <v>22744</v>
      </c>
      <c r="E7322" s="19" t="s">
        <v>31372</v>
      </c>
      <c r="F7322" s="19" t="s">
        <v>35999</v>
      </c>
      <c r="G7322" s="18" t="str">
        <f>"64759"</f>
        <v>64759</v>
      </c>
      <c r="H7322" s="19" t="s">
        <v>35358</v>
      </c>
      <c r="I7322" s="20">
        <v>17.861000000000001</v>
      </c>
      <c r="J7322" s="44" t="s">
        <v>8</v>
      </c>
      <c r="K7322" s="23" t="s">
        <v>8</v>
      </c>
      <c r="L7322" s="23" t="s">
        <v>8</v>
      </c>
      <c r="M7322" s="23" t="s">
        <v>8</v>
      </c>
    </row>
    <row r="7323" spans="1:13" s="21" customFormat="1" x14ac:dyDescent="0.25">
      <c r="A7323" s="22" t="s">
        <v>8</v>
      </c>
      <c r="B7323" s="18" t="str">
        <f>"265254"</f>
        <v>265254</v>
      </c>
      <c r="C7323" s="19" t="s">
        <v>7219</v>
      </c>
      <c r="D7323" s="19" t="s">
        <v>22745</v>
      </c>
      <c r="E7323" s="19" t="s">
        <v>33613</v>
      </c>
      <c r="F7323" s="19" t="s">
        <v>35999</v>
      </c>
      <c r="G7323" s="18" t="str">
        <f>"65608"</f>
        <v>65608</v>
      </c>
      <c r="H7323" s="19" t="s">
        <v>30966</v>
      </c>
      <c r="I7323" s="20">
        <v>21.053999999999998</v>
      </c>
      <c r="J7323" s="44" t="s">
        <v>8</v>
      </c>
      <c r="K7323" s="23" t="s">
        <v>8</v>
      </c>
      <c r="L7323" s="23" t="s">
        <v>8</v>
      </c>
      <c r="M7323" s="23" t="s">
        <v>8</v>
      </c>
    </row>
    <row r="7324" spans="1:13" s="21" customFormat="1" x14ac:dyDescent="0.25">
      <c r="A7324" s="22" t="s">
        <v>8</v>
      </c>
      <c r="B7324" s="18" t="str">
        <f>"265255"</f>
        <v>265255</v>
      </c>
      <c r="C7324" s="19" t="s">
        <v>7220</v>
      </c>
      <c r="D7324" s="19" t="s">
        <v>22746</v>
      </c>
      <c r="E7324" s="19" t="s">
        <v>31081</v>
      </c>
      <c r="F7324" s="19" t="s">
        <v>35999</v>
      </c>
      <c r="G7324" s="18" t="str">
        <f>"64735"</f>
        <v>64735</v>
      </c>
      <c r="H7324" s="19" t="s">
        <v>32041</v>
      </c>
      <c r="I7324" s="20">
        <v>20.148</v>
      </c>
      <c r="J7324" s="44" t="s">
        <v>8</v>
      </c>
      <c r="K7324" s="23" t="s">
        <v>8</v>
      </c>
      <c r="L7324" s="23" t="s">
        <v>8</v>
      </c>
      <c r="M7324" s="23" t="s">
        <v>8</v>
      </c>
    </row>
    <row r="7325" spans="1:13" s="21" customFormat="1" x14ac:dyDescent="0.25">
      <c r="A7325" s="22" t="s">
        <v>8</v>
      </c>
      <c r="B7325" s="18" t="str">
        <f>"265258"</f>
        <v>265258</v>
      </c>
      <c r="C7325" s="19" t="s">
        <v>7221</v>
      </c>
      <c r="D7325" s="19" t="s">
        <v>22747</v>
      </c>
      <c r="E7325" s="19" t="s">
        <v>33614</v>
      </c>
      <c r="F7325" s="19" t="s">
        <v>35999</v>
      </c>
      <c r="G7325" s="18" t="str">
        <f>"63623"</f>
        <v>63623</v>
      </c>
      <c r="H7325" s="19" t="s">
        <v>36438</v>
      </c>
      <c r="I7325" s="20">
        <v>19.427</v>
      </c>
      <c r="J7325" s="44" t="s">
        <v>8</v>
      </c>
      <c r="K7325" s="23" t="s">
        <v>8</v>
      </c>
      <c r="L7325" s="23" t="s">
        <v>8</v>
      </c>
      <c r="M7325" s="23" t="s">
        <v>8</v>
      </c>
    </row>
    <row r="7326" spans="1:13" s="21" customFormat="1" x14ac:dyDescent="0.25">
      <c r="A7326" s="22" t="s">
        <v>8</v>
      </c>
      <c r="B7326" s="18" t="str">
        <f>"265266"</f>
        <v>265266</v>
      </c>
      <c r="C7326" s="19" t="s">
        <v>7222</v>
      </c>
      <c r="D7326" s="19" t="s">
        <v>22748</v>
      </c>
      <c r="E7326" s="19" t="s">
        <v>33615</v>
      </c>
      <c r="F7326" s="19" t="s">
        <v>35999</v>
      </c>
      <c r="G7326" s="18" t="str">
        <f>"64850"</f>
        <v>64850</v>
      </c>
      <c r="H7326" s="19" t="s">
        <v>32101</v>
      </c>
      <c r="I7326" s="20">
        <v>20.189</v>
      </c>
      <c r="J7326" s="44" t="s">
        <v>8</v>
      </c>
      <c r="K7326" s="23" t="s">
        <v>8</v>
      </c>
      <c r="L7326" s="23" t="s">
        <v>8</v>
      </c>
      <c r="M7326" s="23" t="s">
        <v>8</v>
      </c>
    </row>
    <row r="7327" spans="1:13" s="21" customFormat="1" x14ac:dyDescent="0.25">
      <c r="A7327" s="22" t="s">
        <v>8</v>
      </c>
      <c r="B7327" s="18" t="str">
        <f>"265275"</f>
        <v>265275</v>
      </c>
      <c r="C7327" s="19" t="s">
        <v>7223</v>
      </c>
      <c r="D7327" s="19" t="s">
        <v>22749</v>
      </c>
      <c r="E7327" s="19" t="s">
        <v>30876</v>
      </c>
      <c r="F7327" s="19" t="s">
        <v>35999</v>
      </c>
      <c r="G7327" s="18" t="str">
        <f>"64730"</f>
        <v>64730</v>
      </c>
      <c r="H7327" s="19" t="s">
        <v>36508</v>
      </c>
      <c r="I7327" s="20">
        <v>17.763000000000002</v>
      </c>
      <c r="J7327" s="44" t="s">
        <v>8</v>
      </c>
      <c r="K7327" s="23" t="s">
        <v>8</v>
      </c>
      <c r="L7327" s="23" t="s">
        <v>8</v>
      </c>
      <c r="M7327" s="23" t="s">
        <v>8</v>
      </c>
    </row>
    <row r="7328" spans="1:13" s="21" customFormat="1" x14ac:dyDescent="0.25">
      <c r="A7328" s="22" t="s">
        <v>8</v>
      </c>
      <c r="B7328" s="18" t="str">
        <f>"265279"</f>
        <v>265279</v>
      </c>
      <c r="C7328" s="19" t="s">
        <v>7224</v>
      </c>
      <c r="D7328" s="19" t="s">
        <v>22750</v>
      </c>
      <c r="E7328" s="19" t="s">
        <v>33616</v>
      </c>
      <c r="F7328" s="19" t="s">
        <v>35999</v>
      </c>
      <c r="G7328" s="18" t="str">
        <f>"65401"</f>
        <v>65401</v>
      </c>
      <c r="H7328" s="19" t="s">
        <v>32722</v>
      </c>
      <c r="I7328" s="20">
        <v>17.739000000000001</v>
      </c>
      <c r="J7328" s="44" t="s">
        <v>8</v>
      </c>
      <c r="K7328" s="23" t="s">
        <v>8</v>
      </c>
      <c r="L7328" s="23" t="s">
        <v>8</v>
      </c>
      <c r="M7328" s="23" t="s">
        <v>8</v>
      </c>
    </row>
    <row r="7329" spans="1:13" s="21" customFormat="1" x14ac:dyDescent="0.25">
      <c r="A7329" s="22" t="s">
        <v>8</v>
      </c>
      <c r="B7329" s="18" t="str">
        <f>"265285"</f>
        <v>265285</v>
      </c>
      <c r="C7329" s="19" t="s">
        <v>7225</v>
      </c>
      <c r="D7329" s="19" t="s">
        <v>22751</v>
      </c>
      <c r="E7329" s="19" t="s">
        <v>33603</v>
      </c>
      <c r="F7329" s="19" t="s">
        <v>35999</v>
      </c>
      <c r="G7329" s="18" t="str">
        <f>"65109"</f>
        <v>65109</v>
      </c>
      <c r="H7329" s="19" t="s">
        <v>36516</v>
      </c>
      <c r="I7329" s="20">
        <v>19.524999999999999</v>
      </c>
      <c r="J7329" s="44" t="s">
        <v>8</v>
      </c>
      <c r="K7329" s="23" t="s">
        <v>8</v>
      </c>
      <c r="L7329" s="23" t="s">
        <v>8</v>
      </c>
      <c r="M7329" s="23" t="s">
        <v>8</v>
      </c>
    </row>
    <row r="7330" spans="1:13" s="21" customFormat="1" x14ac:dyDescent="0.25">
      <c r="A7330" s="22" t="s">
        <v>8</v>
      </c>
      <c r="B7330" s="18" t="str">
        <f>"265288"</f>
        <v>265288</v>
      </c>
      <c r="C7330" s="19" t="s">
        <v>7226</v>
      </c>
      <c r="D7330" s="19" t="s">
        <v>22752</v>
      </c>
      <c r="E7330" s="19" t="s">
        <v>33617</v>
      </c>
      <c r="F7330" s="19" t="s">
        <v>35999</v>
      </c>
      <c r="G7330" s="18" t="str">
        <f>"65686"</f>
        <v>65686</v>
      </c>
      <c r="H7330" s="19" t="s">
        <v>36069</v>
      </c>
      <c r="I7330" s="20">
        <v>21.164999999999999</v>
      </c>
      <c r="J7330" s="44" t="s">
        <v>8</v>
      </c>
      <c r="K7330" s="23" t="s">
        <v>8</v>
      </c>
      <c r="L7330" s="23" t="s">
        <v>8</v>
      </c>
      <c r="M7330" s="23" t="s">
        <v>8</v>
      </c>
    </row>
    <row r="7331" spans="1:13" s="21" customFormat="1" x14ac:dyDescent="0.25">
      <c r="A7331" s="22" t="s">
        <v>8</v>
      </c>
      <c r="B7331" s="18" t="str">
        <f>"265289"</f>
        <v>265289</v>
      </c>
      <c r="C7331" s="19" t="s">
        <v>7227</v>
      </c>
      <c r="D7331" s="19" t="s">
        <v>22753</v>
      </c>
      <c r="E7331" s="19" t="s">
        <v>31717</v>
      </c>
      <c r="F7331" s="19" t="s">
        <v>35999</v>
      </c>
      <c r="G7331" s="18" t="str">
        <f>"65807"</f>
        <v>65807</v>
      </c>
      <c r="H7331" s="19" t="s">
        <v>32455</v>
      </c>
      <c r="I7331" s="20">
        <v>17.605</v>
      </c>
      <c r="J7331" s="44" t="s">
        <v>8</v>
      </c>
      <c r="K7331" s="23" t="s">
        <v>8</v>
      </c>
      <c r="L7331" s="23" t="s">
        <v>8</v>
      </c>
      <c r="M7331" s="23" t="s">
        <v>8</v>
      </c>
    </row>
    <row r="7332" spans="1:13" s="21" customFormat="1" x14ac:dyDescent="0.25">
      <c r="A7332" s="22" t="s">
        <v>8</v>
      </c>
      <c r="B7332" s="18" t="str">
        <f>"265294"</f>
        <v>265294</v>
      </c>
      <c r="C7332" s="19" t="s">
        <v>7228</v>
      </c>
      <c r="D7332" s="19" t="s">
        <v>22754</v>
      </c>
      <c r="E7332" s="19" t="s">
        <v>30812</v>
      </c>
      <c r="F7332" s="19" t="s">
        <v>35999</v>
      </c>
      <c r="G7332" s="18" t="str">
        <f>"64633"</f>
        <v>64633</v>
      </c>
      <c r="H7332" s="19" t="s">
        <v>32334</v>
      </c>
      <c r="I7332" s="20">
        <v>18.93</v>
      </c>
      <c r="J7332" s="44" t="s">
        <v>8</v>
      </c>
      <c r="K7332" s="23" t="s">
        <v>8</v>
      </c>
      <c r="L7332" s="23" t="s">
        <v>8</v>
      </c>
      <c r="M7332" s="23" t="s">
        <v>8</v>
      </c>
    </row>
    <row r="7333" spans="1:13" s="21" customFormat="1" x14ac:dyDescent="0.25">
      <c r="A7333" s="22" t="s">
        <v>8</v>
      </c>
      <c r="B7333" s="18" t="str">
        <f>"265298"</f>
        <v>265298</v>
      </c>
      <c r="C7333" s="19" t="s">
        <v>7229</v>
      </c>
      <c r="D7333" s="19" t="s">
        <v>22755</v>
      </c>
      <c r="E7333" s="19" t="s">
        <v>33228</v>
      </c>
      <c r="F7333" s="19" t="s">
        <v>35999</v>
      </c>
      <c r="G7333" s="18" t="str">
        <f>"63141"</f>
        <v>63141</v>
      </c>
      <c r="H7333" s="19" t="s">
        <v>33228</v>
      </c>
      <c r="I7333" s="20">
        <v>20.399000000000001</v>
      </c>
      <c r="J7333" s="44" t="s">
        <v>8</v>
      </c>
      <c r="K7333" s="23" t="s">
        <v>8</v>
      </c>
      <c r="L7333" s="23" t="s">
        <v>8</v>
      </c>
      <c r="M7333" s="23" t="s">
        <v>8</v>
      </c>
    </row>
    <row r="7334" spans="1:13" s="21" customFormat="1" x14ac:dyDescent="0.25">
      <c r="A7334" s="22" t="s">
        <v>8</v>
      </c>
      <c r="B7334" s="18" t="str">
        <f>"265302"</f>
        <v>265302</v>
      </c>
      <c r="C7334" s="19" t="s">
        <v>7230</v>
      </c>
      <c r="D7334" s="19" t="s">
        <v>22756</v>
      </c>
      <c r="E7334" s="19" t="s">
        <v>32076</v>
      </c>
      <c r="F7334" s="19" t="s">
        <v>35999</v>
      </c>
      <c r="G7334" s="18" t="str">
        <f>"65202"</f>
        <v>65202</v>
      </c>
      <c r="H7334" s="19" t="s">
        <v>32513</v>
      </c>
      <c r="I7334" s="20">
        <v>17.625</v>
      </c>
      <c r="J7334" s="44" t="s">
        <v>8</v>
      </c>
      <c r="K7334" s="23" t="s">
        <v>8</v>
      </c>
      <c r="L7334" s="23" t="s">
        <v>8</v>
      </c>
      <c r="M7334" s="23" t="s">
        <v>8</v>
      </c>
    </row>
    <row r="7335" spans="1:13" s="21" customFormat="1" x14ac:dyDescent="0.25">
      <c r="A7335" s="22" t="s">
        <v>8</v>
      </c>
      <c r="B7335" s="18" t="str">
        <f>"265303"</f>
        <v>265303</v>
      </c>
      <c r="C7335" s="19" t="s">
        <v>7231</v>
      </c>
      <c r="D7335" s="19" t="s">
        <v>22757</v>
      </c>
      <c r="E7335" s="19" t="s">
        <v>32565</v>
      </c>
      <c r="F7335" s="19" t="s">
        <v>35999</v>
      </c>
      <c r="G7335" s="18" t="str">
        <f>"64114"</f>
        <v>64114</v>
      </c>
      <c r="H7335" s="19" t="s">
        <v>30816</v>
      </c>
      <c r="I7335" s="20">
        <v>18.501000000000001</v>
      </c>
      <c r="J7335" s="44" t="s">
        <v>8</v>
      </c>
      <c r="K7335" s="23" t="s">
        <v>8</v>
      </c>
      <c r="L7335" s="23" t="s">
        <v>8</v>
      </c>
      <c r="M7335" s="23" t="s">
        <v>8</v>
      </c>
    </row>
    <row r="7336" spans="1:13" s="21" customFormat="1" x14ac:dyDescent="0.25">
      <c r="A7336" s="22" t="s">
        <v>8</v>
      </c>
      <c r="B7336" s="18" t="str">
        <f>"265307"</f>
        <v>265307</v>
      </c>
      <c r="C7336" s="19" t="s">
        <v>7232</v>
      </c>
      <c r="D7336" s="19" t="s">
        <v>22758</v>
      </c>
      <c r="E7336" s="19" t="s">
        <v>33618</v>
      </c>
      <c r="F7336" s="19" t="s">
        <v>35999</v>
      </c>
      <c r="G7336" s="18" t="str">
        <f>"64870"</f>
        <v>64870</v>
      </c>
      <c r="H7336" s="19" t="s">
        <v>30854</v>
      </c>
      <c r="I7336" s="20">
        <v>17.396000000000001</v>
      </c>
      <c r="J7336" s="44" t="s">
        <v>8</v>
      </c>
      <c r="K7336" s="23" t="s">
        <v>8</v>
      </c>
      <c r="L7336" s="23" t="s">
        <v>8</v>
      </c>
      <c r="M7336" s="23" t="s">
        <v>8</v>
      </c>
    </row>
    <row r="7337" spans="1:13" s="21" customFormat="1" x14ac:dyDescent="0.25">
      <c r="A7337" s="22" t="s">
        <v>8</v>
      </c>
      <c r="B7337" s="18" t="str">
        <f>"265308"</f>
        <v>265308</v>
      </c>
      <c r="C7337" s="19" t="s">
        <v>7233</v>
      </c>
      <c r="D7337" s="19" t="s">
        <v>22759</v>
      </c>
      <c r="E7337" s="19" t="s">
        <v>32565</v>
      </c>
      <c r="F7337" s="19" t="s">
        <v>35999</v>
      </c>
      <c r="G7337" s="18" t="str">
        <f>"64155"</f>
        <v>64155</v>
      </c>
      <c r="H7337" s="19" t="s">
        <v>36030</v>
      </c>
      <c r="I7337" s="20">
        <v>19.297999999999998</v>
      </c>
      <c r="J7337" s="44" t="s">
        <v>8</v>
      </c>
      <c r="K7337" s="23" t="s">
        <v>8</v>
      </c>
      <c r="L7337" s="23" t="s">
        <v>8</v>
      </c>
      <c r="M7337" s="23" t="s">
        <v>8</v>
      </c>
    </row>
    <row r="7338" spans="1:13" s="21" customFormat="1" x14ac:dyDescent="0.25">
      <c r="A7338" s="22" t="s">
        <v>8</v>
      </c>
      <c r="B7338" s="18" t="str">
        <f>"265309"</f>
        <v>265309</v>
      </c>
      <c r="C7338" s="19" t="s">
        <v>7234</v>
      </c>
      <c r="D7338" s="19" t="s">
        <v>22760</v>
      </c>
      <c r="E7338" s="19" t="s">
        <v>33600</v>
      </c>
      <c r="F7338" s="19" t="s">
        <v>35999</v>
      </c>
      <c r="G7338" s="18" t="str">
        <f>"64804"</f>
        <v>64804</v>
      </c>
      <c r="H7338" s="19" t="s">
        <v>30854</v>
      </c>
      <c r="I7338" s="20">
        <v>19.527999999999999</v>
      </c>
      <c r="J7338" s="44" t="s">
        <v>8</v>
      </c>
      <c r="K7338" s="23" t="s">
        <v>8</v>
      </c>
      <c r="L7338" s="23" t="s">
        <v>8</v>
      </c>
      <c r="M7338" s="23" t="s">
        <v>8</v>
      </c>
    </row>
    <row r="7339" spans="1:13" s="21" customFormat="1" x14ac:dyDescent="0.25">
      <c r="A7339" s="22" t="s">
        <v>8</v>
      </c>
      <c r="B7339" s="18" t="str">
        <f>"265310"</f>
        <v>265310</v>
      </c>
      <c r="C7339" s="19" t="s">
        <v>7235</v>
      </c>
      <c r="D7339" s="19" t="s">
        <v>22761</v>
      </c>
      <c r="E7339" s="19" t="s">
        <v>33228</v>
      </c>
      <c r="F7339" s="19" t="s">
        <v>35999</v>
      </c>
      <c r="G7339" s="18" t="str">
        <f>"63128"</f>
        <v>63128</v>
      </c>
      <c r="H7339" s="19" t="s">
        <v>33228</v>
      </c>
      <c r="I7339" s="20">
        <v>23.949000000000002</v>
      </c>
      <c r="J7339" s="44" t="s">
        <v>8</v>
      </c>
      <c r="K7339" s="23" t="s">
        <v>8</v>
      </c>
      <c r="L7339" s="23" t="s">
        <v>8</v>
      </c>
      <c r="M7339" s="23" t="s">
        <v>8</v>
      </c>
    </row>
    <row r="7340" spans="1:13" s="21" customFormat="1" x14ac:dyDescent="0.25">
      <c r="A7340" s="22" t="s">
        <v>8</v>
      </c>
      <c r="B7340" s="18" t="str">
        <f>"265312"</f>
        <v>265312</v>
      </c>
      <c r="C7340" s="19" t="s">
        <v>1948</v>
      </c>
      <c r="D7340" s="19" t="s">
        <v>22762</v>
      </c>
      <c r="E7340" s="19" t="s">
        <v>31537</v>
      </c>
      <c r="F7340" s="19" t="s">
        <v>35999</v>
      </c>
      <c r="G7340" s="18" t="str">
        <f>"65655"</f>
        <v>65655</v>
      </c>
      <c r="H7340" s="19" t="s">
        <v>30897</v>
      </c>
      <c r="I7340" s="20">
        <v>18.803999999999998</v>
      </c>
      <c r="J7340" s="44" t="s">
        <v>8</v>
      </c>
      <c r="K7340" s="23" t="s">
        <v>8</v>
      </c>
      <c r="L7340" s="23" t="s">
        <v>8</v>
      </c>
      <c r="M7340" s="23" t="s">
        <v>8</v>
      </c>
    </row>
    <row r="7341" spans="1:13" s="21" customFormat="1" x14ac:dyDescent="0.25">
      <c r="A7341" s="22" t="s">
        <v>8</v>
      </c>
      <c r="B7341" s="18" t="str">
        <f>"265318"</f>
        <v>265318</v>
      </c>
      <c r="C7341" s="19" t="s">
        <v>7236</v>
      </c>
      <c r="D7341" s="19" t="s">
        <v>22763</v>
      </c>
      <c r="E7341" s="19" t="s">
        <v>33619</v>
      </c>
      <c r="F7341" s="19" t="s">
        <v>35999</v>
      </c>
      <c r="G7341" s="18" t="str">
        <f>"63043"</f>
        <v>63043</v>
      </c>
      <c r="H7341" s="19" t="s">
        <v>33228</v>
      </c>
      <c r="I7341" s="20">
        <v>21.632000000000001</v>
      </c>
      <c r="J7341" s="44" t="s">
        <v>8</v>
      </c>
      <c r="K7341" s="23" t="s">
        <v>8</v>
      </c>
      <c r="L7341" s="23" t="s">
        <v>8</v>
      </c>
      <c r="M7341" s="23" t="s">
        <v>8</v>
      </c>
    </row>
    <row r="7342" spans="1:13" s="21" customFormat="1" x14ac:dyDescent="0.25">
      <c r="A7342" s="22" t="s">
        <v>8</v>
      </c>
      <c r="B7342" s="18" t="str">
        <f>"265319"</f>
        <v>265319</v>
      </c>
      <c r="C7342" s="19" t="s">
        <v>7237</v>
      </c>
      <c r="D7342" s="19" t="s">
        <v>22764</v>
      </c>
      <c r="E7342" s="19" t="s">
        <v>33620</v>
      </c>
      <c r="F7342" s="19" t="s">
        <v>35999</v>
      </c>
      <c r="G7342" s="18" t="str">
        <f>"63385"</f>
        <v>63385</v>
      </c>
      <c r="H7342" s="19" t="s">
        <v>33589</v>
      </c>
      <c r="I7342" s="20">
        <v>16.934000000000001</v>
      </c>
      <c r="J7342" s="44" t="s">
        <v>8</v>
      </c>
      <c r="K7342" s="23" t="s">
        <v>8</v>
      </c>
      <c r="L7342" s="23" t="s">
        <v>8</v>
      </c>
      <c r="M7342" s="23" t="s">
        <v>8</v>
      </c>
    </row>
    <row r="7343" spans="1:13" s="21" customFormat="1" x14ac:dyDescent="0.25">
      <c r="A7343" s="22" t="s">
        <v>8</v>
      </c>
      <c r="B7343" s="18" t="str">
        <f>"265320"</f>
        <v>265320</v>
      </c>
      <c r="C7343" s="19" t="s">
        <v>7238</v>
      </c>
      <c r="D7343" s="19" t="s">
        <v>22765</v>
      </c>
      <c r="E7343" s="19" t="s">
        <v>33527</v>
      </c>
      <c r="F7343" s="19" t="s">
        <v>35999</v>
      </c>
      <c r="G7343" s="18" t="str">
        <f>"64836"</f>
        <v>64836</v>
      </c>
      <c r="H7343" s="19" t="s">
        <v>30854</v>
      </c>
      <c r="I7343" s="20">
        <v>17.687999999999999</v>
      </c>
      <c r="J7343" s="44" t="s">
        <v>8</v>
      </c>
      <c r="K7343" s="23" t="s">
        <v>8</v>
      </c>
      <c r="L7343" s="23" t="s">
        <v>8</v>
      </c>
      <c r="M7343" s="23" t="s">
        <v>8</v>
      </c>
    </row>
    <row r="7344" spans="1:13" s="21" customFormat="1" x14ac:dyDescent="0.25">
      <c r="A7344" s="22" t="s">
        <v>8</v>
      </c>
      <c r="B7344" s="18" t="str">
        <f>"265321"</f>
        <v>265321</v>
      </c>
      <c r="C7344" s="19" t="s">
        <v>4472</v>
      </c>
      <c r="D7344" s="19" t="s">
        <v>22766</v>
      </c>
      <c r="E7344" s="19" t="s">
        <v>33621</v>
      </c>
      <c r="F7344" s="19" t="s">
        <v>35999</v>
      </c>
      <c r="G7344" s="18" t="str">
        <f>"63366"</f>
        <v>63366</v>
      </c>
      <c r="H7344" s="19" t="s">
        <v>33589</v>
      </c>
      <c r="I7344" s="20">
        <v>18.963999999999999</v>
      </c>
      <c r="J7344" s="44" t="s">
        <v>8</v>
      </c>
      <c r="K7344" s="23" t="s">
        <v>8</v>
      </c>
      <c r="L7344" s="23" t="s">
        <v>8</v>
      </c>
      <c r="M7344" s="23" t="s">
        <v>8</v>
      </c>
    </row>
    <row r="7345" spans="1:13" s="21" customFormat="1" x14ac:dyDescent="0.25">
      <c r="A7345" s="22" t="s">
        <v>8</v>
      </c>
      <c r="B7345" s="18" t="str">
        <f>"265322"</f>
        <v>265322</v>
      </c>
      <c r="C7345" s="19" t="s">
        <v>7239</v>
      </c>
      <c r="D7345" s="19" t="s">
        <v>17789</v>
      </c>
      <c r="E7345" s="19" t="s">
        <v>33622</v>
      </c>
      <c r="F7345" s="19" t="s">
        <v>35999</v>
      </c>
      <c r="G7345" s="18" t="str">
        <f>"65714"</f>
        <v>65714</v>
      </c>
      <c r="H7345" s="19" t="s">
        <v>36234</v>
      </c>
      <c r="I7345" s="20">
        <v>18.733000000000001</v>
      </c>
      <c r="J7345" s="44" t="s">
        <v>8</v>
      </c>
      <c r="K7345" s="23" t="s">
        <v>8</v>
      </c>
      <c r="L7345" s="23" t="s">
        <v>8</v>
      </c>
      <c r="M7345" s="23" t="s">
        <v>8</v>
      </c>
    </row>
    <row r="7346" spans="1:13" s="21" customFormat="1" x14ac:dyDescent="0.25">
      <c r="A7346" s="22" t="s">
        <v>8</v>
      </c>
      <c r="B7346" s="18" t="str">
        <f>"265324"</f>
        <v>265324</v>
      </c>
      <c r="C7346" s="19" t="s">
        <v>7240</v>
      </c>
      <c r="D7346" s="19" t="s">
        <v>22767</v>
      </c>
      <c r="E7346" s="19" t="s">
        <v>32967</v>
      </c>
      <c r="F7346" s="19" t="s">
        <v>35999</v>
      </c>
      <c r="G7346" s="18" t="str">
        <f>"63010"</f>
        <v>63010</v>
      </c>
      <c r="H7346" s="19" t="s">
        <v>32391</v>
      </c>
      <c r="I7346" s="20">
        <v>21.695</v>
      </c>
      <c r="J7346" s="44" t="s">
        <v>8</v>
      </c>
      <c r="K7346" s="23" t="s">
        <v>8</v>
      </c>
      <c r="L7346" s="23" t="s">
        <v>8</v>
      </c>
      <c r="M7346" s="23" t="s">
        <v>8</v>
      </c>
    </row>
    <row r="7347" spans="1:13" s="21" customFormat="1" x14ac:dyDescent="0.25">
      <c r="A7347" s="22" t="s">
        <v>8</v>
      </c>
      <c r="B7347" s="18" t="str">
        <f>"265325"</f>
        <v>265325</v>
      </c>
      <c r="C7347" s="19" t="s">
        <v>7241</v>
      </c>
      <c r="D7347" s="19" t="s">
        <v>22768</v>
      </c>
      <c r="E7347" s="19" t="s">
        <v>33623</v>
      </c>
      <c r="F7347" s="19" t="s">
        <v>35999</v>
      </c>
      <c r="G7347" s="18" t="str">
        <f>"63033"</f>
        <v>63033</v>
      </c>
      <c r="H7347" s="19" t="s">
        <v>33228</v>
      </c>
      <c r="I7347" s="20">
        <v>18.792999999999999</v>
      </c>
      <c r="J7347" s="44" t="s">
        <v>8</v>
      </c>
      <c r="K7347" s="23" t="s">
        <v>8</v>
      </c>
      <c r="L7347" s="23" t="s">
        <v>8</v>
      </c>
      <c r="M7347" s="23" t="s">
        <v>8</v>
      </c>
    </row>
    <row r="7348" spans="1:13" s="21" customFormat="1" x14ac:dyDescent="0.25">
      <c r="A7348" s="22" t="s">
        <v>8</v>
      </c>
      <c r="B7348" s="18" t="str">
        <f>"265326"</f>
        <v>265326</v>
      </c>
      <c r="C7348" s="19" t="s">
        <v>7242</v>
      </c>
      <c r="D7348" s="19" t="s">
        <v>22769</v>
      </c>
      <c r="E7348" s="19" t="s">
        <v>33624</v>
      </c>
      <c r="F7348" s="19" t="s">
        <v>35999</v>
      </c>
      <c r="G7348" s="18" t="str">
        <f>"65738"</f>
        <v>65738</v>
      </c>
      <c r="H7348" s="19" t="s">
        <v>32455</v>
      </c>
      <c r="I7348" s="20">
        <v>19.411000000000001</v>
      </c>
      <c r="J7348" s="44" t="s">
        <v>8</v>
      </c>
      <c r="K7348" s="23" t="s">
        <v>8</v>
      </c>
      <c r="L7348" s="23" t="s">
        <v>8</v>
      </c>
      <c r="M7348" s="23" t="s">
        <v>8</v>
      </c>
    </row>
    <row r="7349" spans="1:13" s="21" customFormat="1" x14ac:dyDescent="0.25">
      <c r="A7349" s="22" t="s">
        <v>8</v>
      </c>
      <c r="B7349" s="18" t="str">
        <f>"265327"</f>
        <v>265327</v>
      </c>
      <c r="C7349" s="19" t="s">
        <v>7243</v>
      </c>
      <c r="D7349" s="19" t="s">
        <v>22770</v>
      </c>
      <c r="E7349" s="19" t="s">
        <v>33616</v>
      </c>
      <c r="F7349" s="19" t="s">
        <v>35999</v>
      </c>
      <c r="G7349" s="18" t="str">
        <f>"65401"</f>
        <v>65401</v>
      </c>
      <c r="H7349" s="19" t="s">
        <v>32722</v>
      </c>
      <c r="I7349" s="20">
        <v>23.356000000000002</v>
      </c>
      <c r="J7349" s="44" t="s">
        <v>8</v>
      </c>
      <c r="K7349" s="23" t="s">
        <v>8</v>
      </c>
      <c r="L7349" s="23" t="s">
        <v>8</v>
      </c>
      <c r="M7349" s="23" t="s">
        <v>8</v>
      </c>
    </row>
    <row r="7350" spans="1:13" s="21" customFormat="1" x14ac:dyDescent="0.25">
      <c r="A7350" s="22" t="s">
        <v>8</v>
      </c>
      <c r="B7350" s="18" t="str">
        <f>"265330"</f>
        <v>265330</v>
      </c>
      <c r="C7350" s="19" t="s">
        <v>7244</v>
      </c>
      <c r="D7350" s="19" t="s">
        <v>22771</v>
      </c>
      <c r="E7350" s="19" t="s">
        <v>33580</v>
      </c>
      <c r="F7350" s="19" t="s">
        <v>35999</v>
      </c>
      <c r="G7350" s="18" t="str">
        <f>"65270"</f>
        <v>65270</v>
      </c>
      <c r="H7350" s="19" t="s">
        <v>33068</v>
      </c>
      <c r="I7350" s="20">
        <v>18.097000000000001</v>
      </c>
      <c r="J7350" s="44" t="s">
        <v>8</v>
      </c>
      <c r="K7350" s="23" t="s">
        <v>8</v>
      </c>
      <c r="L7350" s="23" t="s">
        <v>8</v>
      </c>
      <c r="M7350" s="23" t="s">
        <v>8</v>
      </c>
    </row>
    <row r="7351" spans="1:13" s="21" customFormat="1" x14ac:dyDescent="0.25">
      <c r="A7351" s="22" t="s">
        <v>8</v>
      </c>
      <c r="B7351" s="18" t="str">
        <f>"265331"</f>
        <v>265331</v>
      </c>
      <c r="C7351" s="19" t="s">
        <v>7245</v>
      </c>
      <c r="D7351" s="19" t="s">
        <v>22772</v>
      </c>
      <c r="E7351" s="19" t="s">
        <v>33228</v>
      </c>
      <c r="F7351" s="19" t="s">
        <v>35999</v>
      </c>
      <c r="G7351" s="18" t="str">
        <f>"63128"</f>
        <v>63128</v>
      </c>
      <c r="H7351" s="19" t="s">
        <v>33228</v>
      </c>
      <c r="I7351" s="20">
        <v>20.048999999999999</v>
      </c>
      <c r="J7351" s="44" t="s">
        <v>8</v>
      </c>
      <c r="K7351" s="23" t="s">
        <v>8</v>
      </c>
      <c r="L7351" s="23" t="s">
        <v>8</v>
      </c>
      <c r="M7351" s="23" t="s">
        <v>8</v>
      </c>
    </row>
    <row r="7352" spans="1:13" s="21" customFormat="1" x14ac:dyDescent="0.25">
      <c r="A7352" s="22" t="s">
        <v>8</v>
      </c>
      <c r="B7352" s="18" t="str">
        <f>"265333"</f>
        <v>265333</v>
      </c>
      <c r="C7352" s="19" t="s">
        <v>7246</v>
      </c>
      <c r="D7352" s="19" t="s">
        <v>22773</v>
      </c>
      <c r="E7352" s="19" t="s">
        <v>33625</v>
      </c>
      <c r="F7352" s="19" t="s">
        <v>35999</v>
      </c>
      <c r="G7352" s="18" t="str">
        <f>"63351"</f>
        <v>63351</v>
      </c>
      <c r="H7352" s="19" t="s">
        <v>30833</v>
      </c>
      <c r="I7352" s="20">
        <v>18.395</v>
      </c>
      <c r="J7352" s="44" t="s">
        <v>8</v>
      </c>
      <c r="K7352" s="23" t="s">
        <v>8</v>
      </c>
      <c r="L7352" s="23" t="s">
        <v>8</v>
      </c>
      <c r="M7352" s="23" t="s">
        <v>8</v>
      </c>
    </row>
    <row r="7353" spans="1:13" s="21" customFormat="1" x14ac:dyDescent="0.25">
      <c r="A7353" s="22" t="s">
        <v>8</v>
      </c>
      <c r="B7353" s="18" t="str">
        <f>"265335"</f>
        <v>265335</v>
      </c>
      <c r="C7353" s="19" t="s">
        <v>7247</v>
      </c>
      <c r="D7353" s="19" t="s">
        <v>22774</v>
      </c>
      <c r="E7353" s="19" t="s">
        <v>33626</v>
      </c>
      <c r="F7353" s="19" t="s">
        <v>35999</v>
      </c>
      <c r="G7353" s="18" t="str">
        <f>"65793"</f>
        <v>65793</v>
      </c>
      <c r="H7353" s="19" t="s">
        <v>33230</v>
      </c>
      <c r="I7353" s="20">
        <v>19.832000000000001</v>
      </c>
      <c r="J7353" s="44" t="s">
        <v>8</v>
      </c>
      <c r="K7353" s="23" t="s">
        <v>8</v>
      </c>
      <c r="L7353" s="23" t="s">
        <v>8</v>
      </c>
      <c r="M7353" s="23" t="s">
        <v>8</v>
      </c>
    </row>
    <row r="7354" spans="1:13" s="21" customFormat="1" x14ac:dyDescent="0.25">
      <c r="A7354" s="22" t="s">
        <v>8</v>
      </c>
      <c r="B7354" s="18" t="str">
        <f>"265336"</f>
        <v>265336</v>
      </c>
      <c r="C7354" s="19" t="s">
        <v>7248</v>
      </c>
      <c r="D7354" s="19" t="s">
        <v>22775</v>
      </c>
      <c r="E7354" s="19" t="s">
        <v>33627</v>
      </c>
      <c r="F7354" s="19" t="s">
        <v>35999</v>
      </c>
      <c r="G7354" s="18" t="str">
        <f>"64506"</f>
        <v>64506</v>
      </c>
      <c r="H7354" s="19" t="s">
        <v>31819</v>
      </c>
      <c r="I7354" s="20">
        <v>19.378</v>
      </c>
      <c r="J7354" s="44" t="s">
        <v>8</v>
      </c>
      <c r="K7354" s="23" t="s">
        <v>8</v>
      </c>
      <c r="L7354" s="23" t="s">
        <v>8</v>
      </c>
      <c r="M7354" s="23" t="s">
        <v>8</v>
      </c>
    </row>
    <row r="7355" spans="1:13" s="21" customFormat="1" x14ac:dyDescent="0.25">
      <c r="A7355" s="22" t="s">
        <v>8</v>
      </c>
      <c r="B7355" s="18" t="str">
        <f>"265337"</f>
        <v>265337</v>
      </c>
      <c r="C7355" s="19" t="s">
        <v>7249</v>
      </c>
      <c r="D7355" s="19" t="s">
        <v>22776</v>
      </c>
      <c r="E7355" s="19" t="s">
        <v>33628</v>
      </c>
      <c r="F7355" s="19" t="s">
        <v>35999</v>
      </c>
      <c r="G7355" s="18" t="str">
        <f>"63069"</f>
        <v>63069</v>
      </c>
      <c r="H7355" s="19" t="s">
        <v>5</v>
      </c>
      <c r="I7355" s="20">
        <v>19.152999999999999</v>
      </c>
      <c r="J7355" s="44" t="s">
        <v>8</v>
      </c>
      <c r="K7355" s="23" t="s">
        <v>8</v>
      </c>
      <c r="L7355" s="23" t="s">
        <v>8</v>
      </c>
      <c r="M7355" s="23" t="s">
        <v>8</v>
      </c>
    </row>
    <row r="7356" spans="1:13" s="21" customFormat="1" x14ac:dyDescent="0.25">
      <c r="A7356" s="22" t="s">
        <v>8</v>
      </c>
      <c r="B7356" s="18" t="str">
        <f>"265338"</f>
        <v>265338</v>
      </c>
      <c r="C7356" s="19" t="s">
        <v>7250</v>
      </c>
      <c r="D7356" s="19" t="s">
        <v>22777</v>
      </c>
      <c r="E7356" s="19" t="s">
        <v>32311</v>
      </c>
      <c r="F7356" s="19" t="s">
        <v>35999</v>
      </c>
      <c r="G7356" s="18" t="str">
        <f>"63017"</f>
        <v>63017</v>
      </c>
      <c r="H7356" s="19" t="s">
        <v>33228</v>
      </c>
      <c r="I7356" s="20">
        <v>17.63</v>
      </c>
      <c r="J7356" s="44" t="s">
        <v>8</v>
      </c>
      <c r="K7356" s="23" t="s">
        <v>8</v>
      </c>
      <c r="L7356" s="23" t="s">
        <v>8</v>
      </c>
      <c r="M7356" s="23" t="s">
        <v>8</v>
      </c>
    </row>
    <row r="7357" spans="1:13" s="21" customFormat="1" x14ac:dyDescent="0.25">
      <c r="A7357" s="22" t="s">
        <v>8</v>
      </c>
      <c r="B7357" s="18" t="str">
        <f>"265339"</f>
        <v>265339</v>
      </c>
      <c r="C7357" s="19" t="s">
        <v>7251</v>
      </c>
      <c r="D7357" s="19" t="s">
        <v>22778</v>
      </c>
      <c r="E7357" s="19" t="s">
        <v>33629</v>
      </c>
      <c r="F7357" s="19" t="s">
        <v>35999</v>
      </c>
      <c r="G7357" s="18" t="str">
        <f>"64133"</f>
        <v>64133</v>
      </c>
      <c r="H7357" s="19" t="s">
        <v>30816</v>
      </c>
      <c r="I7357" s="20">
        <v>19.059000000000001</v>
      </c>
      <c r="J7357" s="44" t="s">
        <v>8</v>
      </c>
      <c r="K7357" s="23" t="s">
        <v>8</v>
      </c>
      <c r="L7357" s="23" t="s">
        <v>8</v>
      </c>
      <c r="M7357" s="23" t="s">
        <v>8</v>
      </c>
    </row>
    <row r="7358" spans="1:13" s="21" customFormat="1" x14ac:dyDescent="0.25">
      <c r="A7358" s="22" t="s">
        <v>8</v>
      </c>
      <c r="B7358" s="18" t="str">
        <f>"265340"</f>
        <v>265340</v>
      </c>
      <c r="C7358" s="19" t="s">
        <v>7252</v>
      </c>
      <c r="D7358" s="19" t="s">
        <v>22779</v>
      </c>
      <c r="E7358" s="19" t="s">
        <v>31976</v>
      </c>
      <c r="F7358" s="19" t="s">
        <v>35999</v>
      </c>
      <c r="G7358" s="18" t="str">
        <f>"63080"</f>
        <v>63080</v>
      </c>
      <c r="H7358" s="19" t="s">
        <v>5</v>
      </c>
      <c r="I7358" s="20">
        <v>16.387</v>
      </c>
      <c r="J7358" s="44" t="s">
        <v>8</v>
      </c>
      <c r="K7358" s="23" t="s">
        <v>8</v>
      </c>
      <c r="L7358" s="23" t="s">
        <v>8</v>
      </c>
      <c r="M7358" s="23" t="s">
        <v>8</v>
      </c>
    </row>
    <row r="7359" spans="1:13" s="21" customFormat="1" x14ac:dyDescent="0.25">
      <c r="A7359" s="22" t="s">
        <v>8</v>
      </c>
      <c r="B7359" s="18" t="str">
        <f>"265341"</f>
        <v>265341</v>
      </c>
      <c r="C7359" s="19" t="s">
        <v>7253</v>
      </c>
      <c r="D7359" s="19" t="s">
        <v>22780</v>
      </c>
      <c r="E7359" s="19" t="s">
        <v>33588</v>
      </c>
      <c r="F7359" s="19" t="s">
        <v>35999</v>
      </c>
      <c r="G7359" s="18" t="str">
        <f>"63033"</f>
        <v>63033</v>
      </c>
      <c r="H7359" s="19" t="s">
        <v>33228</v>
      </c>
      <c r="I7359" s="20">
        <v>19.64</v>
      </c>
      <c r="J7359" s="44" t="s">
        <v>8</v>
      </c>
      <c r="K7359" s="23" t="s">
        <v>8</v>
      </c>
      <c r="L7359" s="23" t="s">
        <v>8</v>
      </c>
      <c r="M7359" s="23" t="s">
        <v>8</v>
      </c>
    </row>
    <row r="7360" spans="1:13" s="21" customFormat="1" x14ac:dyDescent="0.25">
      <c r="A7360" s="22" t="s">
        <v>8</v>
      </c>
      <c r="B7360" s="18" t="str">
        <f>"265343"</f>
        <v>265343</v>
      </c>
      <c r="C7360" s="19" t="s">
        <v>7254</v>
      </c>
      <c r="D7360" s="19" t="s">
        <v>22781</v>
      </c>
      <c r="E7360" s="19" t="s">
        <v>33630</v>
      </c>
      <c r="F7360" s="19" t="s">
        <v>35999</v>
      </c>
      <c r="G7360" s="18" t="str">
        <f>"63141"</f>
        <v>63141</v>
      </c>
      <c r="H7360" s="19" t="s">
        <v>33228</v>
      </c>
      <c r="I7360" s="20">
        <v>16.018999999999998</v>
      </c>
      <c r="J7360" s="44" t="s">
        <v>8</v>
      </c>
      <c r="K7360" s="23" t="s">
        <v>8</v>
      </c>
      <c r="L7360" s="23" t="s">
        <v>8</v>
      </c>
      <c r="M7360" s="23" t="s">
        <v>8</v>
      </c>
    </row>
    <row r="7361" spans="1:13" s="21" customFormat="1" x14ac:dyDescent="0.25">
      <c r="A7361" s="22" t="s">
        <v>8</v>
      </c>
      <c r="B7361" s="18" t="str">
        <f>"265345"</f>
        <v>265345</v>
      </c>
      <c r="C7361" s="19" t="s">
        <v>7255</v>
      </c>
      <c r="D7361" s="19" t="s">
        <v>22782</v>
      </c>
      <c r="E7361" s="19" t="s">
        <v>33609</v>
      </c>
      <c r="F7361" s="19" t="s">
        <v>35999</v>
      </c>
      <c r="G7361" s="18" t="str">
        <f>"63044"</f>
        <v>63044</v>
      </c>
      <c r="H7361" s="19" t="s">
        <v>33228</v>
      </c>
      <c r="I7361" s="20">
        <v>17.46</v>
      </c>
      <c r="J7361" s="44" t="s">
        <v>8</v>
      </c>
      <c r="K7361" s="23" t="s">
        <v>8</v>
      </c>
      <c r="L7361" s="23" t="s">
        <v>8</v>
      </c>
      <c r="M7361" s="23" t="s">
        <v>8</v>
      </c>
    </row>
    <row r="7362" spans="1:13" s="21" customFormat="1" x14ac:dyDescent="0.25">
      <c r="A7362" s="22" t="s">
        <v>8</v>
      </c>
      <c r="B7362" s="18" t="str">
        <f>"265347"</f>
        <v>265347</v>
      </c>
      <c r="C7362" s="19" t="s">
        <v>7256</v>
      </c>
      <c r="D7362" s="19" t="s">
        <v>22783</v>
      </c>
      <c r="E7362" s="19" t="s">
        <v>31081</v>
      </c>
      <c r="F7362" s="19" t="s">
        <v>35999</v>
      </c>
      <c r="G7362" s="18" t="str">
        <f>"64735"</f>
        <v>64735</v>
      </c>
      <c r="H7362" s="19" t="s">
        <v>32041</v>
      </c>
      <c r="I7362" s="20">
        <v>16.704999999999998</v>
      </c>
      <c r="J7362" s="44" t="s">
        <v>8</v>
      </c>
      <c r="K7362" s="23" t="s">
        <v>8</v>
      </c>
      <c r="L7362" s="23" t="s">
        <v>8</v>
      </c>
      <c r="M7362" s="23" t="s">
        <v>8</v>
      </c>
    </row>
    <row r="7363" spans="1:13" s="21" customFormat="1" x14ac:dyDescent="0.25">
      <c r="A7363" s="22" t="s">
        <v>8</v>
      </c>
      <c r="B7363" s="18" t="str">
        <f>"265348"</f>
        <v>265348</v>
      </c>
      <c r="C7363" s="19" t="s">
        <v>7257</v>
      </c>
      <c r="D7363" s="19" t="s">
        <v>22784</v>
      </c>
      <c r="E7363" s="19" t="s">
        <v>31445</v>
      </c>
      <c r="F7363" s="19" t="s">
        <v>35999</v>
      </c>
      <c r="G7363" s="18" t="str">
        <f>"63640"</f>
        <v>63640</v>
      </c>
      <c r="H7363" s="19" t="s">
        <v>36511</v>
      </c>
      <c r="I7363" s="20">
        <v>22.582000000000001</v>
      </c>
      <c r="J7363" s="44" t="s">
        <v>8</v>
      </c>
      <c r="K7363" s="23" t="s">
        <v>8</v>
      </c>
      <c r="L7363" s="23" t="s">
        <v>8</v>
      </c>
      <c r="M7363" s="23" t="s">
        <v>8</v>
      </c>
    </row>
    <row r="7364" spans="1:13" s="21" customFormat="1" x14ac:dyDescent="0.25">
      <c r="A7364" s="22" t="s">
        <v>8</v>
      </c>
      <c r="B7364" s="18" t="str">
        <f>"265349"</f>
        <v>265349</v>
      </c>
      <c r="C7364" s="19" t="s">
        <v>7258</v>
      </c>
      <c r="D7364" s="19" t="s">
        <v>22785</v>
      </c>
      <c r="E7364" s="19" t="s">
        <v>33631</v>
      </c>
      <c r="F7364" s="19" t="s">
        <v>35999</v>
      </c>
      <c r="G7364" s="18" t="str">
        <f>"64701"</f>
        <v>64701</v>
      </c>
      <c r="H7364" s="19" t="s">
        <v>36246</v>
      </c>
      <c r="I7364" s="20">
        <v>19.978000000000002</v>
      </c>
      <c r="J7364" s="44" t="s">
        <v>8</v>
      </c>
      <c r="K7364" s="23" t="s">
        <v>8</v>
      </c>
      <c r="L7364" s="23" t="s">
        <v>8</v>
      </c>
      <c r="M7364" s="23" t="s">
        <v>8</v>
      </c>
    </row>
    <row r="7365" spans="1:13" s="21" customFormat="1" x14ac:dyDescent="0.25">
      <c r="A7365" s="22" t="s">
        <v>8</v>
      </c>
      <c r="B7365" s="18" t="str">
        <f>"265351"</f>
        <v>265351</v>
      </c>
      <c r="C7365" s="19" t="s">
        <v>7259</v>
      </c>
      <c r="D7365" s="19" t="s">
        <v>22786</v>
      </c>
      <c r="E7365" s="19" t="s">
        <v>33228</v>
      </c>
      <c r="F7365" s="19" t="s">
        <v>35999</v>
      </c>
      <c r="G7365" s="18" t="str">
        <f>"63116"</f>
        <v>63116</v>
      </c>
      <c r="H7365" s="19" t="s">
        <v>36518</v>
      </c>
      <c r="I7365" s="20">
        <v>19.314</v>
      </c>
      <c r="J7365" s="44" t="s">
        <v>8</v>
      </c>
      <c r="K7365" s="23" t="s">
        <v>8</v>
      </c>
      <c r="L7365" s="23" t="s">
        <v>8</v>
      </c>
      <c r="M7365" s="23" t="s">
        <v>8</v>
      </c>
    </row>
    <row r="7366" spans="1:13" s="21" customFormat="1" x14ac:dyDescent="0.25">
      <c r="A7366" s="22" t="s">
        <v>8</v>
      </c>
      <c r="B7366" s="18" t="str">
        <f>"265352"</f>
        <v>265352</v>
      </c>
      <c r="C7366" s="19" t="s">
        <v>7260</v>
      </c>
      <c r="D7366" s="19" t="s">
        <v>22787</v>
      </c>
      <c r="E7366" s="19" t="s">
        <v>33632</v>
      </c>
      <c r="F7366" s="19" t="s">
        <v>35999</v>
      </c>
      <c r="G7366" s="18" t="str">
        <f>"63021"</f>
        <v>63021</v>
      </c>
      <c r="H7366" s="19" t="s">
        <v>33228</v>
      </c>
      <c r="I7366" s="20">
        <v>18.646999999999998</v>
      </c>
      <c r="J7366" s="44" t="s">
        <v>8</v>
      </c>
      <c r="K7366" s="23" t="s">
        <v>8</v>
      </c>
      <c r="L7366" s="23" t="s">
        <v>8</v>
      </c>
      <c r="M7366" s="23" t="s">
        <v>8</v>
      </c>
    </row>
    <row r="7367" spans="1:13" s="21" customFormat="1" x14ac:dyDescent="0.25">
      <c r="A7367" s="22" t="s">
        <v>8</v>
      </c>
      <c r="B7367" s="18" t="str">
        <f>"265353"</f>
        <v>265353</v>
      </c>
      <c r="C7367" s="19" t="s">
        <v>7261</v>
      </c>
      <c r="D7367" s="19" t="s">
        <v>22788</v>
      </c>
      <c r="E7367" s="19" t="s">
        <v>33578</v>
      </c>
      <c r="F7367" s="19" t="s">
        <v>35999</v>
      </c>
      <c r="G7367" s="18" t="str">
        <f>"64429"</f>
        <v>64429</v>
      </c>
      <c r="H7367" s="19" t="s">
        <v>31081</v>
      </c>
      <c r="I7367" s="20">
        <v>18.805</v>
      </c>
      <c r="J7367" s="44" t="s">
        <v>8</v>
      </c>
      <c r="K7367" s="23" t="s">
        <v>8</v>
      </c>
      <c r="L7367" s="23" t="s">
        <v>8</v>
      </c>
      <c r="M7367" s="23" t="s">
        <v>8</v>
      </c>
    </row>
    <row r="7368" spans="1:13" s="21" customFormat="1" x14ac:dyDescent="0.25">
      <c r="A7368" s="22" t="s">
        <v>8</v>
      </c>
      <c r="B7368" s="18" t="str">
        <f>"265354"</f>
        <v>265354</v>
      </c>
      <c r="C7368" s="19" t="s">
        <v>7262</v>
      </c>
      <c r="D7368" s="19" t="s">
        <v>22789</v>
      </c>
      <c r="E7368" s="19" t="s">
        <v>32082</v>
      </c>
      <c r="F7368" s="19" t="s">
        <v>35999</v>
      </c>
      <c r="G7368" s="18" t="str">
        <f>"64468"</f>
        <v>64468</v>
      </c>
      <c r="H7368" s="19" t="s">
        <v>36509</v>
      </c>
      <c r="I7368" s="20">
        <v>18.684999999999999</v>
      </c>
      <c r="J7368" s="44" t="s">
        <v>8</v>
      </c>
      <c r="K7368" s="23" t="s">
        <v>8</v>
      </c>
      <c r="L7368" s="23" t="s">
        <v>8</v>
      </c>
      <c r="M7368" s="23" t="s">
        <v>8</v>
      </c>
    </row>
    <row r="7369" spans="1:13" s="21" customFormat="1" x14ac:dyDescent="0.25">
      <c r="A7369" s="22" t="s">
        <v>8</v>
      </c>
      <c r="B7369" s="18" t="str">
        <f>"265355"</f>
        <v>265355</v>
      </c>
      <c r="C7369" s="19" t="s">
        <v>7263</v>
      </c>
      <c r="D7369" s="19" t="s">
        <v>22790</v>
      </c>
      <c r="E7369" s="19" t="s">
        <v>33633</v>
      </c>
      <c r="F7369" s="19" t="s">
        <v>35999</v>
      </c>
      <c r="G7369" s="18" t="str">
        <f>"64030"</f>
        <v>64030</v>
      </c>
      <c r="H7369" s="19" t="s">
        <v>30816</v>
      </c>
      <c r="I7369" s="20">
        <v>18.972999999999999</v>
      </c>
      <c r="J7369" s="44" t="s">
        <v>8</v>
      </c>
      <c r="K7369" s="23" t="s">
        <v>8</v>
      </c>
      <c r="L7369" s="23" t="s">
        <v>8</v>
      </c>
      <c r="M7369" s="23" t="s">
        <v>8</v>
      </c>
    </row>
    <row r="7370" spans="1:13" s="21" customFormat="1" x14ac:dyDescent="0.25">
      <c r="A7370" s="22" t="s">
        <v>8</v>
      </c>
      <c r="B7370" s="18" t="str">
        <f>"265356"</f>
        <v>265356</v>
      </c>
      <c r="C7370" s="19" t="s">
        <v>7264</v>
      </c>
      <c r="D7370" s="19" t="s">
        <v>22791</v>
      </c>
      <c r="E7370" s="19" t="s">
        <v>33634</v>
      </c>
      <c r="F7370" s="19" t="s">
        <v>35999</v>
      </c>
      <c r="G7370" s="18" t="str">
        <f>"64024"</f>
        <v>64024</v>
      </c>
      <c r="H7370" s="19" t="s">
        <v>36030</v>
      </c>
      <c r="I7370" s="20">
        <v>21.238</v>
      </c>
      <c r="J7370" s="44" t="s">
        <v>8</v>
      </c>
      <c r="K7370" s="23" t="s">
        <v>8</v>
      </c>
      <c r="L7370" s="23" t="s">
        <v>8</v>
      </c>
      <c r="M7370" s="23" t="s">
        <v>8</v>
      </c>
    </row>
    <row r="7371" spans="1:13" s="21" customFormat="1" x14ac:dyDescent="0.25">
      <c r="A7371" s="22" t="s">
        <v>8</v>
      </c>
      <c r="B7371" s="18" t="str">
        <f>"265358"</f>
        <v>265358</v>
      </c>
      <c r="C7371" s="19" t="s">
        <v>7265</v>
      </c>
      <c r="D7371" s="19" t="s">
        <v>22792</v>
      </c>
      <c r="E7371" s="19" t="s">
        <v>32692</v>
      </c>
      <c r="F7371" s="19" t="s">
        <v>35999</v>
      </c>
      <c r="G7371" s="18" t="str">
        <f>"64067"</f>
        <v>64067</v>
      </c>
      <c r="H7371" s="19" t="s">
        <v>30892</v>
      </c>
      <c r="I7371" s="20">
        <v>20.527000000000001</v>
      </c>
      <c r="J7371" s="44" t="s">
        <v>8</v>
      </c>
      <c r="K7371" s="23" t="s">
        <v>8</v>
      </c>
      <c r="L7371" s="23" t="s">
        <v>8</v>
      </c>
      <c r="M7371" s="23" t="s">
        <v>8</v>
      </c>
    </row>
    <row r="7372" spans="1:13" s="21" customFormat="1" x14ac:dyDescent="0.25">
      <c r="A7372" s="22" t="s">
        <v>8</v>
      </c>
      <c r="B7372" s="18" t="str">
        <f>"265359"</f>
        <v>265359</v>
      </c>
      <c r="C7372" s="19" t="s">
        <v>3300</v>
      </c>
      <c r="D7372" s="19" t="s">
        <v>22793</v>
      </c>
      <c r="E7372" s="19" t="s">
        <v>33593</v>
      </c>
      <c r="F7372" s="19" t="s">
        <v>35999</v>
      </c>
      <c r="G7372" s="18" t="str">
        <f>"63703"</f>
        <v>63703</v>
      </c>
      <c r="H7372" s="19" t="s">
        <v>33593</v>
      </c>
      <c r="I7372" s="20">
        <v>18.125</v>
      </c>
      <c r="J7372" s="44" t="s">
        <v>8</v>
      </c>
      <c r="K7372" s="23" t="s">
        <v>8</v>
      </c>
      <c r="L7372" s="23" t="s">
        <v>8</v>
      </c>
      <c r="M7372" s="23" t="s">
        <v>8</v>
      </c>
    </row>
    <row r="7373" spans="1:13" s="21" customFormat="1" x14ac:dyDescent="0.25">
      <c r="A7373" s="22" t="s">
        <v>8</v>
      </c>
      <c r="B7373" s="18" t="str">
        <f>"265360"</f>
        <v>265360</v>
      </c>
      <c r="C7373" s="19" t="s">
        <v>7266</v>
      </c>
      <c r="D7373" s="19" t="s">
        <v>22794</v>
      </c>
      <c r="E7373" s="19" t="s">
        <v>31791</v>
      </c>
      <c r="F7373" s="19" t="s">
        <v>35999</v>
      </c>
      <c r="G7373" s="18" t="str">
        <f>"63435"</f>
        <v>63435</v>
      </c>
      <c r="H7373" s="19" t="s">
        <v>36336</v>
      </c>
      <c r="I7373" s="20">
        <v>18.812000000000001</v>
      </c>
      <c r="J7373" s="44" t="s">
        <v>8</v>
      </c>
      <c r="K7373" s="23" t="s">
        <v>8</v>
      </c>
      <c r="L7373" s="23" t="s">
        <v>8</v>
      </c>
      <c r="M7373" s="23" t="s">
        <v>8</v>
      </c>
    </row>
    <row r="7374" spans="1:13" s="21" customFormat="1" x14ac:dyDescent="0.25">
      <c r="A7374" s="22" t="s">
        <v>8</v>
      </c>
      <c r="B7374" s="18" t="str">
        <f>"265361"</f>
        <v>265361</v>
      </c>
      <c r="C7374" s="19" t="s">
        <v>7267</v>
      </c>
      <c r="D7374" s="19" t="s">
        <v>22795</v>
      </c>
      <c r="E7374" s="19" t="s">
        <v>32285</v>
      </c>
      <c r="F7374" s="19" t="s">
        <v>35999</v>
      </c>
      <c r="G7374" s="18" t="str">
        <f>"65233"</f>
        <v>65233</v>
      </c>
      <c r="H7374" s="19" t="s">
        <v>35899</v>
      </c>
      <c r="I7374" s="20">
        <v>17.736000000000001</v>
      </c>
      <c r="J7374" s="44" t="s">
        <v>8</v>
      </c>
      <c r="K7374" s="23" t="s">
        <v>8</v>
      </c>
      <c r="L7374" s="23" t="s">
        <v>8</v>
      </c>
      <c r="M7374" s="23" t="s">
        <v>8</v>
      </c>
    </row>
    <row r="7375" spans="1:13" s="21" customFormat="1" x14ac:dyDescent="0.25">
      <c r="A7375" s="22" t="s">
        <v>8</v>
      </c>
      <c r="B7375" s="18" t="str">
        <f>"265362"</f>
        <v>265362</v>
      </c>
      <c r="C7375" s="19" t="s">
        <v>7268</v>
      </c>
      <c r="D7375" s="19" t="s">
        <v>22796</v>
      </c>
      <c r="E7375" s="19" t="s">
        <v>33631</v>
      </c>
      <c r="F7375" s="19" t="s">
        <v>35999</v>
      </c>
      <c r="G7375" s="18" t="str">
        <f>"64701"</f>
        <v>64701</v>
      </c>
      <c r="H7375" s="19" t="s">
        <v>36246</v>
      </c>
      <c r="I7375" s="20">
        <v>20.292999999999999</v>
      </c>
      <c r="J7375" s="44" t="s">
        <v>8</v>
      </c>
      <c r="K7375" s="23" t="s">
        <v>8</v>
      </c>
      <c r="L7375" s="23" t="s">
        <v>8</v>
      </c>
      <c r="M7375" s="23" t="s">
        <v>8</v>
      </c>
    </row>
    <row r="7376" spans="1:13" s="21" customFormat="1" x14ac:dyDescent="0.25">
      <c r="A7376" s="22" t="s">
        <v>8</v>
      </c>
      <c r="B7376" s="18" t="str">
        <f>"265363"</f>
        <v>265363</v>
      </c>
      <c r="C7376" s="19" t="s">
        <v>7269</v>
      </c>
      <c r="D7376" s="19" t="s">
        <v>22797</v>
      </c>
      <c r="E7376" s="19" t="s">
        <v>30993</v>
      </c>
      <c r="F7376" s="19" t="s">
        <v>35999</v>
      </c>
      <c r="G7376" s="18" t="str">
        <f>"63965"</f>
        <v>63965</v>
      </c>
      <c r="H7376" s="19" t="s">
        <v>36338</v>
      </c>
      <c r="I7376" s="20">
        <v>19.584</v>
      </c>
      <c r="J7376" s="44" t="s">
        <v>8</v>
      </c>
      <c r="K7376" s="23" t="s">
        <v>8</v>
      </c>
      <c r="L7376" s="23" t="s">
        <v>8</v>
      </c>
      <c r="M7376" s="23" t="s">
        <v>8</v>
      </c>
    </row>
    <row r="7377" spans="1:13" s="21" customFormat="1" x14ac:dyDescent="0.25">
      <c r="A7377" s="22" t="s">
        <v>8</v>
      </c>
      <c r="B7377" s="18" t="str">
        <f>"265364"</f>
        <v>265364</v>
      </c>
      <c r="C7377" s="19" t="s">
        <v>7270</v>
      </c>
      <c r="D7377" s="19" t="s">
        <v>22798</v>
      </c>
      <c r="E7377" s="19" t="s">
        <v>32661</v>
      </c>
      <c r="F7377" s="19" t="s">
        <v>35999</v>
      </c>
      <c r="G7377" s="18" t="str">
        <f>"65051"</f>
        <v>65051</v>
      </c>
      <c r="H7377" s="19" t="s">
        <v>32356</v>
      </c>
      <c r="I7377" s="20">
        <v>17.907</v>
      </c>
      <c r="J7377" s="44" t="s">
        <v>8</v>
      </c>
      <c r="K7377" s="23" t="s">
        <v>8</v>
      </c>
      <c r="L7377" s="23" t="s">
        <v>8</v>
      </c>
      <c r="M7377" s="23" t="s">
        <v>8</v>
      </c>
    </row>
    <row r="7378" spans="1:13" s="21" customFormat="1" x14ac:dyDescent="0.25">
      <c r="A7378" s="22" t="s">
        <v>8</v>
      </c>
      <c r="B7378" s="18" t="str">
        <f>"265365"</f>
        <v>265365</v>
      </c>
      <c r="C7378" s="19" t="s">
        <v>7271</v>
      </c>
      <c r="D7378" s="19" t="s">
        <v>22799</v>
      </c>
      <c r="E7378" s="19" t="s">
        <v>33588</v>
      </c>
      <c r="F7378" s="19" t="s">
        <v>35999</v>
      </c>
      <c r="G7378" s="18" t="str">
        <f>"63034"</f>
        <v>63034</v>
      </c>
      <c r="H7378" s="19" t="s">
        <v>33228</v>
      </c>
      <c r="I7378" s="20">
        <v>19.754999999999999</v>
      </c>
      <c r="J7378" s="44" t="s">
        <v>8</v>
      </c>
      <c r="K7378" s="23" t="s">
        <v>8</v>
      </c>
      <c r="L7378" s="23" t="s">
        <v>8</v>
      </c>
      <c r="M7378" s="23" t="s">
        <v>8</v>
      </c>
    </row>
    <row r="7379" spans="1:13" s="21" customFormat="1" x14ac:dyDescent="0.25">
      <c r="A7379" s="22" t="s">
        <v>8</v>
      </c>
      <c r="B7379" s="18" t="str">
        <f>"265366"</f>
        <v>265366</v>
      </c>
      <c r="C7379" s="19" t="s">
        <v>7272</v>
      </c>
      <c r="D7379" s="19" t="s">
        <v>22800</v>
      </c>
      <c r="E7379" s="19" t="s">
        <v>32565</v>
      </c>
      <c r="F7379" s="19" t="s">
        <v>35999</v>
      </c>
      <c r="G7379" s="18" t="str">
        <f>"64118"</f>
        <v>64118</v>
      </c>
      <c r="H7379" s="19" t="s">
        <v>36030</v>
      </c>
      <c r="I7379" s="20">
        <v>18.401</v>
      </c>
      <c r="J7379" s="44" t="s">
        <v>8</v>
      </c>
      <c r="K7379" s="23" t="s">
        <v>8</v>
      </c>
      <c r="L7379" s="23" t="s">
        <v>8</v>
      </c>
      <c r="M7379" s="23" t="s">
        <v>8</v>
      </c>
    </row>
    <row r="7380" spans="1:13" s="21" customFormat="1" x14ac:dyDescent="0.25">
      <c r="A7380" s="22" t="s">
        <v>8</v>
      </c>
      <c r="B7380" s="18" t="str">
        <f>"265367"</f>
        <v>265367</v>
      </c>
      <c r="C7380" s="19" t="s">
        <v>7273</v>
      </c>
      <c r="D7380" s="19" t="s">
        <v>22801</v>
      </c>
      <c r="E7380" s="19" t="s">
        <v>32907</v>
      </c>
      <c r="F7380" s="19" t="s">
        <v>35999</v>
      </c>
      <c r="G7380" s="18" t="str">
        <f>"63841"</f>
        <v>63841</v>
      </c>
      <c r="H7380" s="19" t="s">
        <v>36512</v>
      </c>
      <c r="I7380" s="20">
        <v>25.649000000000001</v>
      </c>
      <c r="J7380" s="44" t="s">
        <v>8</v>
      </c>
      <c r="K7380" s="23" t="s">
        <v>8</v>
      </c>
      <c r="L7380" s="23" t="s">
        <v>8</v>
      </c>
      <c r="M7380" s="23" t="s">
        <v>8</v>
      </c>
    </row>
    <row r="7381" spans="1:13" s="21" customFormat="1" x14ac:dyDescent="0.25">
      <c r="A7381" s="22" t="s">
        <v>8</v>
      </c>
      <c r="B7381" s="18" t="str">
        <f>"265368"</f>
        <v>265368</v>
      </c>
      <c r="C7381" s="19" t="s">
        <v>7274</v>
      </c>
      <c r="D7381" s="19" t="s">
        <v>22802</v>
      </c>
      <c r="E7381" s="19" t="s">
        <v>33635</v>
      </c>
      <c r="F7381" s="19" t="s">
        <v>35999</v>
      </c>
      <c r="G7381" s="18" t="str">
        <f>"65438"</f>
        <v>65438</v>
      </c>
      <c r="H7381" s="19" t="s">
        <v>36519</v>
      </c>
      <c r="I7381" s="20">
        <v>19.375</v>
      </c>
      <c r="J7381" s="44" t="s">
        <v>8</v>
      </c>
      <c r="K7381" s="23" t="s">
        <v>8</v>
      </c>
      <c r="L7381" s="23" t="s">
        <v>8</v>
      </c>
      <c r="M7381" s="23" t="s">
        <v>8</v>
      </c>
    </row>
    <row r="7382" spans="1:13" s="21" customFormat="1" x14ac:dyDescent="0.25">
      <c r="A7382" s="22" t="s">
        <v>8</v>
      </c>
      <c r="B7382" s="18" t="str">
        <f>"265369"</f>
        <v>265369</v>
      </c>
      <c r="C7382" s="19" t="s">
        <v>7275</v>
      </c>
      <c r="D7382" s="19" t="s">
        <v>22803</v>
      </c>
      <c r="E7382" s="19" t="s">
        <v>33636</v>
      </c>
      <c r="F7382" s="19" t="s">
        <v>35999</v>
      </c>
      <c r="G7382" s="18" t="str">
        <f>"63028"</f>
        <v>63028</v>
      </c>
      <c r="H7382" s="19" t="s">
        <v>32391</v>
      </c>
      <c r="I7382" s="20">
        <v>22.614999999999998</v>
      </c>
      <c r="J7382" s="44" t="s">
        <v>8</v>
      </c>
      <c r="K7382" s="23" t="s">
        <v>8</v>
      </c>
      <c r="L7382" s="23" t="s">
        <v>8</v>
      </c>
      <c r="M7382" s="23" t="s">
        <v>8</v>
      </c>
    </row>
    <row r="7383" spans="1:13" s="21" customFormat="1" x14ac:dyDescent="0.25">
      <c r="A7383" s="22" t="s">
        <v>8</v>
      </c>
      <c r="B7383" s="18" t="str">
        <f>"265373"</f>
        <v>265373</v>
      </c>
      <c r="C7383" s="19" t="s">
        <v>7276</v>
      </c>
      <c r="D7383" s="19" t="s">
        <v>22804</v>
      </c>
      <c r="E7383" s="19" t="s">
        <v>33637</v>
      </c>
      <c r="F7383" s="19" t="s">
        <v>35999</v>
      </c>
      <c r="G7383" s="18" t="str">
        <f>"65583"</f>
        <v>65583</v>
      </c>
      <c r="H7383" s="19" t="s">
        <v>31795</v>
      </c>
      <c r="I7383" s="20">
        <v>19.279</v>
      </c>
      <c r="J7383" s="44" t="s">
        <v>8</v>
      </c>
      <c r="K7383" s="23" t="s">
        <v>8</v>
      </c>
      <c r="L7383" s="23" t="s">
        <v>8</v>
      </c>
      <c r="M7383" s="23" t="s">
        <v>8</v>
      </c>
    </row>
    <row r="7384" spans="1:13" s="21" customFormat="1" x14ac:dyDescent="0.25">
      <c r="A7384" s="22" t="s">
        <v>8</v>
      </c>
      <c r="B7384" s="18" t="str">
        <f>"265374"</f>
        <v>265374</v>
      </c>
      <c r="C7384" s="19" t="s">
        <v>4313</v>
      </c>
      <c r="D7384" s="19" t="s">
        <v>22805</v>
      </c>
      <c r="E7384" s="19" t="s">
        <v>31500</v>
      </c>
      <c r="F7384" s="19" t="s">
        <v>35999</v>
      </c>
      <c r="G7384" s="18" t="str">
        <f>"63090"</f>
        <v>63090</v>
      </c>
      <c r="H7384" s="19" t="s">
        <v>5</v>
      </c>
      <c r="I7384" s="20">
        <v>14.336</v>
      </c>
      <c r="J7384" s="44" t="s">
        <v>8</v>
      </c>
      <c r="K7384" s="23" t="s">
        <v>8</v>
      </c>
      <c r="L7384" s="23" t="s">
        <v>8</v>
      </c>
      <c r="M7384" s="23" t="s">
        <v>8</v>
      </c>
    </row>
    <row r="7385" spans="1:13" s="21" customFormat="1" x14ac:dyDescent="0.25">
      <c r="A7385" s="22" t="s">
        <v>8</v>
      </c>
      <c r="B7385" s="18" t="str">
        <f>"265377"</f>
        <v>265377</v>
      </c>
      <c r="C7385" s="19" t="s">
        <v>7277</v>
      </c>
      <c r="D7385" s="19" t="s">
        <v>22806</v>
      </c>
      <c r="E7385" s="19" t="s">
        <v>33586</v>
      </c>
      <c r="F7385" s="19" t="s">
        <v>35999</v>
      </c>
      <c r="G7385" s="18" t="str">
        <f>"64081"</f>
        <v>64081</v>
      </c>
      <c r="H7385" s="19" t="s">
        <v>30816</v>
      </c>
      <c r="I7385" s="20">
        <v>20.122</v>
      </c>
      <c r="J7385" s="44" t="s">
        <v>8</v>
      </c>
      <c r="K7385" s="23" t="s">
        <v>8</v>
      </c>
      <c r="L7385" s="23" t="s">
        <v>8</v>
      </c>
      <c r="M7385" s="23" t="s">
        <v>8</v>
      </c>
    </row>
    <row r="7386" spans="1:13" s="21" customFormat="1" x14ac:dyDescent="0.25">
      <c r="A7386" s="22" t="s">
        <v>8</v>
      </c>
      <c r="B7386" s="18" t="str">
        <f>"265378"</f>
        <v>265378</v>
      </c>
      <c r="C7386" s="19" t="s">
        <v>7278</v>
      </c>
      <c r="D7386" s="19" t="s">
        <v>22807</v>
      </c>
      <c r="E7386" s="19" t="s">
        <v>33228</v>
      </c>
      <c r="F7386" s="19" t="s">
        <v>35999</v>
      </c>
      <c r="G7386" s="18" t="str">
        <f>"63108"</f>
        <v>63108</v>
      </c>
      <c r="H7386" s="19" t="s">
        <v>36518</v>
      </c>
      <c r="I7386" s="20">
        <v>19.562999999999999</v>
      </c>
      <c r="J7386" s="44" t="s">
        <v>8</v>
      </c>
      <c r="K7386" s="23" t="s">
        <v>8</v>
      </c>
      <c r="L7386" s="23" t="s">
        <v>8</v>
      </c>
      <c r="M7386" s="23" t="s">
        <v>8</v>
      </c>
    </row>
    <row r="7387" spans="1:13" s="21" customFormat="1" x14ac:dyDescent="0.25">
      <c r="A7387" s="22" t="s">
        <v>8</v>
      </c>
      <c r="B7387" s="18" t="str">
        <f>"265379"</f>
        <v>265379</v>
      </c>
      <c r="C7387" s="19" t="s">
        <v>7279</v>
      </c>
      <c r="D7387" s="19" t="s">
        <v>22808</v>
      </c>
      <c r="E7387" s="19" t="s">
        <v>31112</v>
      </c>
      <c r="F7387" s="19" t="s">
        <v>35999</v>
      </c>
      <c r="G7387" s="18" t="str">
        <f>"64150"</f>
        <v>64150</v>
      </c>
      <c r="H7387" s="19" t="s">
        <v>36520</v>
      </c>
      <c r="I7387" s="20">
        <v>20.882999999999999</v>
      </c>
      <c r="J7387" s="44" t="s">
        <v>8</v>
      </c>
      <c r="K7387" s="23" t="s">
        <v>8</v>
      </c>
      <c r="L7387" s="23" t="s">
        <v>8</v>
      </c>
      <c r="M7387" s="23" t="s">
        <v>8</v>
      </c>
    </row>
    <row r="7388" spans="1:13" s="21" customFormat="1" x14ac:dyDescent="0.25">
      <c r="A7388" s="22" t="s">
        <v>8</v>
      </c>
      <c r="B7388" s="18" t="str">
        <f>"265381"</f>
        <v>265381</v>
      </c>
      <c r="C7388" s="19" t="s">
        <v>7280</v>
      </c>
      <c r="D7388" s="19" t="s">
        <v>22809</v>
      </c>
      <c r="E7388" s="19" t="s">
        <v>33638</v>
      </c>
      <c r="F7388" s="19" t="s">
        <v>35999</v>
      </c>
      <c r="G7388" s="18" t="str">
        <f>"65674"</f>
        <v>65674</v>
      </c>
      <c r="H7388" s="19" t="s">
        <v>36062</v>
      </c>
      <c r="I7388" s="20">
        <v>17.649000000000001</v>
      </c>
      <c r="J7388" s="44" t="s">
        <v>8</v>
      </c>
      <c r="K7388" s="23" t="s">
        <v>8</v>
      </c>
      <c r="L7388" s="23" t="s">
        <v>8</v>
      </c>
      <c r="M7388" s="23" t="s">
        <v>8</v>
      </c>
    </row>
    <row r="7389" spans="1:13" s="21" customFormat="1" x14ac:dyDescent="0.25">
      <c r="A7389" s="22" t="s">
        <v>8</v>
      </c>
      <c r="B7389" s="18" t="str">
        <f>"265382"</f>
        <v>265382</v>
      </c>
      <c r="C7389" s="19" t="s">
        <v>7281</v>
      </c>
      <c r="D7389" s="19" t="s">
        <v>22810</v>
      </c>
      <c r="E7389" s="19" t="s">
        <v>32907</v>
      </c>
      <c r="F7389" s="19" t="s">
        <v>35999</v>
      </c>
      <c r="G7389" s="18" t="str">
        <f>"63841"</f>
        <v>63841</v>
      </c>
      <c r="H7389" s="19" t="s">
        <v>36512</v>
      </c>
      <c r="I7389" s="20">
        <v>17.992999999999999</v>
      </c>
      <c r="J7389" s="44" t="s">
        <v>8</v>
      </c>
      <c r="K7389" s="23" t="s">
        <v>8</v>
      </c>
      <c r="L7389" s="23" t="s">
        <v>8</v>
      </c>
      <c r="M7389" s="23" t="s">
        <v>8</v>
      </c>
    </row>
    <row r="7390" spans="1:13" s="21" customFormat="1" x14ac:dyDescent="0.25">
      <c r="A7390" s="22" t="s">
        <v>8</v>
      </c>
      <c r="B7390" s="18" t="str">
        <f>"265383"</f>
        <v>265383</v>
      </c>
      <c r="C7390" s="19" t="s">
        <v>7282</v>
      </c>
      <c r="D7390" s="19" t="s">
        <v>22811</v>
      </c>
      <c r="E7390" s="19" t="s">
        <v>33593</v>
      </c>
      <c r="F7390" s="19" t="s">
        <v>35999</v>
      </c>
      <c r="G7390" s="18" t="str">
        <f>"63701"</f>
        <v>63701</v>
      </c>
      <c r="H7390" s="19" t="s">
        <v>33593</v>
      </c>
      <c r="I7390" s="20">
        <v>18.463999999999999</v>
      </c>
      <c r="J7390" s="44" t="s">
        <v>8</v>
      </c>
      <c r="K7390" s="23" t="s">
        <v>8</v>
      </c>
      <c r="L7390" s="23" t="s">
        <v>8</v>
      </c>
      <c r="M7390" s="23" t="s">
        <v>8</v>
      </c>
    </row>
    <row r="7391" spans="1:13" s="21" customFormat="1" x14ac:dyDescent="0.25">
      <c r="A7391" s="22" t="s">
        <v>8</v>
      </c>
      <c r="B7391" s="18" t="str">
        <f>"265384"</f>
        <v>265384</v>
      </c>
      <c r="C7391" s="19" t="s">
        <v>7283</v>
      </c>
      <c r="D7391" s="19" t="s">
        <v>22812</v>
      </c>
      <c r="E7391" s="19" t="s">
        <v>33013</v>
      </c>
      <c r="F7391" s="19" t="s">
        <v>35999</v>
      </c>
      <c r="G7391" s="18" t="str">
        <f>"63863"</f>
        <v>63863</v>
      </c>
      <c r="H7391" s="19" t="s">
        <v>36515</v>
      </c>
      <c r="I7391" s="20">
        <v>20.562000000000001</v>
      </c>
      <c r="J7391" s="44" t="s">
        <v>8</v>
      </c>
      <c r="K7391" s="23" t="s">
        <v>8</v>
      </c>
      <c r="L7391" s="23" t="s">
        <v>8</v>
      </c>
      <c r="M7391" s="23" t="s">
        <v>8</v>
      </c>
    </row>
    <row r="7392" spans="1:13" s="21" customFormat="1" x14ac:dyDescent="0.25">
      <c r="A7392" s="22" t="s">
        <v>8</v>
      </c>
      <c r="B7392" s="18" t="str">
        <f>"265385"</f>
        <v>265385</v>
      </c>
      <c r="C7392" s="19" t="s">
        <v>7284</v>
      </c>
      <c r="D7392" s="19" t="s">
        <v>22813</v>
      </c>
      <c r="E7392" s="19" t="s">
        <v>32063</v>
      </c>
      <c r="F7392" s="19" t="s">
        <v>35999</v>
      </c>
      <c r="G7392" s="18" t="str">
        <f>"65240"</f>
        <v>65240</v>
      </c>
      <c r="H7392" s="19" t="s">
        <v>32513</v>
      </c>
      <c r="I7392" s="20">
        <v>17.888999999999999</v>
      </c>
      <c r="J7392" s="44" t="s">
        <v>8</v>
      </c>
      <c r="K7392" s="23" t="s">
        <v>8</v>
      </c>
      <c r="L7392" s="23" t="s">
        <v>8</v>
      </c>
      <c r="M7392" s="23" t="s">
        <v>8</v>
      </c>
    </row>
    <row r="7393" spans="1:13" s="21" customFormat="1" x14ac:dyDescent="0.25">
      <c r="A7393" s="22" t="s">
        <v>8</v>
      </c>
      <c r="B7393" s="18" t="str">
        <f>"265387"</f>
        <v>265387</v>
      </c>
      <c r="C7393" s="19" t="s">
        <v>7285</v>
      </c>
      <c r="D7393" s="19" t="s">
        <v>22814</v>
      </c>
      <c r="E7393" s="19" t="s">
        <v>33639</v>
      </c>
      <c r="F7393" s="19" t="s">
        <v>35999</v>
      </c>
      <c r="G7393" s="18" t="str">
        <f>"63801"</f>
        <v>63801</v>
      </c>
      <c r="H7393" s="19" t="s">
        <v>36083</v>
      </c>
      <c r="I7393" s="20">
        <v>18.481999999999999</v>
      </c>
      <c r="J7393" s="44" t="s">
        <v>8</v>
      </c>
      <c r="K7393" s="23" t="s">
        <v>8</v>
      </c>
      <c r="L7393" s="23" t="s">
        <v>8</v>
      </c>
      <c r="M7393" s="23" t="s">
        <v>8</v>
      </c>
    </row>
    <row r="7394" spans="1:13" s="21" customFormat="1" x14ac:dyDescent="0.25">
      <c r="A7394" s="22" t="s">
        <v>8</v>
      </c>
      <c r="B7394" s="18" t="str">
        <f>"265388"</f>
        <v>265388</v>
      </c>
      <c r="C7394" s="19" t="s">
        <v>7286</v>
      </c>
      <c r="D7394" s="19" t="s">
        <v>22815</v>
      </c>
      <c r="E7394" s="19" t="s">
        <v>33640</v>
      </c>
      <c r="F7394" s="19" t="s">
        <v>35999</v>
      </c>
      <c r="G7394" s="18" t="str">
        <f>"63876"</f>
        <v>63876</v>
      </c>
      <c r="H7394" s="19" t="s">
        <v>36515</v>
      </c>
      <c r="I7394" s="20">
        <v>17.637</v>
      </c>
      <c r="J7394" s="44" t="s">
        <v>8</v>
      </c>
      <c r="K7394" s="23" t="s">
        <v>8</v>
      </c>
      <c r="L7394" s="23" t="s">
        <v>8</v>
      </c>
      <c r="M7394" s="23" t="s">
        <v>8</v>
      </c>
    </row>
    <row r="7395" spans="1:13" s="21" customFormat="1" x14ac:dyDescent="0.25">
      <c r="A7395" s="22" t="s">
        <v>8</v>
      </c>
      <c r="B7395" s="18" t="str">
        <f>"265389"</f>
        <v>265389</v>
      </c>
      <c r="C7395" s="19" t="s">
        <v>7287</v>
      </c>
      <c r="D7395" s="19" t="s">
        <v>22816</v>
      </c>
      <c r="E7395" s="19" t="s">
        <v>31445</v>
      </c>
      <c r="F7395" s="19" t="s">
        <v>35999</v>
      </c>
      <c r="G7395" s="18" t="str">
        <f>"63640"</f>
        <v>63640</v>
      </c>
      <c r="H7395" s="19" t="s">
        <v>36511</v>
      </c>
      <c r="I7395" s="20">
        <v>22.597999999999999</v>
      </c>
      <c r="J7395" s="44" t="s">
        <v>8</v>
      </c>
      <c r="K7395" s="23" t="s">
        <v>8</v>
      </c>
      <c r="L7395" s="23" t="s">
        <v>8</v>
      </c>
      <c r="M7395" s="23" t="s">
        <v>8</v>
      </c>
    </row>
    <row r="7396" spans="1:13" s="21" customFormat="1" x14ac:dyDescent="0.25">
      <c r="A7396" s="22" t="s">
        <v>8</v>
      </c>
      <c r="B7396" s="18" t="str">
        <f>"265390"</f>
        <v>265390</v>
      </c>
      <c r="C7396" s="19" t="s">
        <v>7288</v>
      </c>
      <c r="D7396" s="19" t="s">
        <v>22817</v>
      </c>
      <c r="E7396" s="19" t="s">
        <v>33554</v>
      </c>
      <c r="F7396" s="19" t="s">
        <v>35999</v>
      </c>
      <c r="G7396" s="18" t="str">
        <f>"63084"</f>
        <v>63084</v>
      </c>
      <c r="H7396" s="19" t="s">
        <v>5</v>
      </c>
      <c r="I7396" s="20">
        <v>18.338000000000001</v>
      </c>
      <c r="J7396" s="44" t="s">
        <v>8</v>
      </c>
      <c r="K7396" s="23" t="s">
        <v>8</v>
      </c>
      <c r="L7396" s="23" t="s">
        <v>8</v>
      </c>
      <c r="M7396" s="23" t="s">
        <v>8</v>
      </c>
    </row>
    <row r="7397" spans="1:13" s="21" customFormat="1" x14ac:dyDescent="0.25">
      <c r="A7397" s="22" t="s">
        <v>8</v>
      </c>
      <c r="B7397" s="18" t="str">
        <f>"265392"</f>
        <v>265392</v>
      </c>
      <c r="C7397" s="19" t="s">
        <v>7289</v>
      </c>
      <c r="D7397" s="19" t="s">
        <v>22818</v>
      </c>
      <c r="E7397" s="19" t="s">
        <v>33228</v>
      </c>
      <c r="F7397" s="19" t="s">
        <v>35999</v>
      </c>
      <c r="G7397" s="18" t="str">
        <f>"63112"</f>
        <v>63112</v>
      </c>
      <c r="H7397" s="19" t="s">
        <v>36518</v>
      </c>
      <c r="I7397" s="20">
        <v>19.183</v>
      </c>
      <c r="J7397" s="44" t="s">
        <v>8</v>
      </c>
      <c r="K7397" s="23" t="s">
        <v>8</v>
      </c>
      <c r="L7397" s="23" t="s">
        <v>8</v>
      </c>
      <c r="M7397" s="23" t="s">
        <v>8</v>
      </c>
    </row>
    <row r="7398" spans="1:13" s="21" customFormat="1" x14ac:dyDescent="0.25">
      <c r="A7398" s="22" t="s">
        <v>8</v>
      </c>
      <c r="B7398" s="18" t="str">
        <f>"265393"</f>
        <v>265393</v>
      </c>
      <c r="C7398" s="19" t="s">
        <v>7290</v>
      </c>
      <c r="D7398" s="19" t="s">
        <v>22819</v>
      </c>
      <c r="E7398" s="19" t="s">
        <v>33641</v>
      </c>
      <c r="F7398" s="19" t="s">
        <v>35999</v>
      </c>
      <c r="G7398" s="18" t="str">
        <f>"65616"</f>
        <v>65616</v>
      </c>
      <c r="H7398" s="19" t="s">
        <v>36521</v>
      </c>
      <c r="I7398" s="20">
        <v>15.407999999999999</v>
      </c>
      <c r="J7398" s="44" t="s">
        <v>8</v>
      </c>
      <c r="K7398" s="23" t="s">
        <v>8</v>
      </c>
      <c r="L7398" s="23" t="s">
        <v>8</v>
      </c>
      <c r="M7398" s="23" t="s">
        <v>8</v>
      </c>
    </row>
    <row r="7399" spans="1:13" s="21" customFormat="1" x14ac:dyDescent="0.25">
      <c r="A7399" s="22" t="s">
        <v>8</v>
      </c>
      <c r="B7399" s="18" t="str">
        <f>"265394"</f>
        <v>265394</v>
      </c>
      <c r="C7399" s="19" t="s">
        <v>7291</v>
      </c>
      <c r="D7399" s="19" t="s">
        <v>22820</v>
      </c>
      <c r="E7399" s="19" t="s">
        <v>31717</v>
      </c>
      <c r="F7399" s="19" t="s">
        <v>35999</v>
      </c>
      <c r="G7399" s="18" t="str">
        <f>"65802"</f>
        <v>65802</v>
      </c>
      <c r="H7399" s="19" t="s">
        <v>32455</v>
      </c>
      <c r="I7399" s="20">
        <v>16.646999999999998</v>
      </c>
      <c r="J7399" s="44" t="s">
        <v>8</v>
      </c>
      <c r="K7399" s="23" t="s">
        <v>8</v>
      </c>
      <c r="L7399" s="23" t="s">
        <v>8</v>
      </c>
      <c r="M7399" s="23" t="s">
        <v>8</v>
      </c>
    </row>
    <row r="7400" spans="1:13" s="21" customFormat="1" x14ac:dyDescent="0.25">
      <c r="A7400" s="22" t="s">
        <v>8</v>
      </c>
      <c r="B7400" s="18" t="str">
        <f>"265395"</f>
        <v>265395</v>
      </c>
      <c r="C7400" s="19" t="s">
        <v>7292</v>
      </c>
      <c r="D7400" s="19" t="s">
        <v>22821</v>
      </c>
      <c r="E7400" s="19" t="s">
        <v>33234</v>
      </c>
      <c r="F7400" s="19" t="s">
        <v>35999</v>
      </c>
      <c r="G7400" s="18" t="str">
        <f>"63026"</f>
        <v>63026</v>
      </c>
      <c r="H7400" s="19" t="s">
        <v>33228</v>
      </c>
      <c r="I7400" s="20">
        <v>17.579000000000001</v>
      </c>
      <c r="J7400" s="44" t="s">
        <v>8</v>
      </c>
      <c r="K7400" s="23" t="s">
        <v>8</v>
      </c>
      <c r="L7400" s="23" t="s">
        <v>8</v>
      </c>
      <c r="M7400" s="23" t="s">
        <v>8</v>
      </c>
    </row>
    <row r="7401" spans="1:13" s="21" customFormat="1" x14ac:dyDescent="0.25">
      <c r="A7401" s="22" t="s">
        <v>8</v>
      </c>
      <c r="B7401" s="18" t="str">
        <f>"265396"</f>
        <v>265396</v>
      </c>
      <c r="C7401" s="19" t="s">
        <v>7293</v>
      </c>
      <c r="D7401" s="19" t="s">
        <v>22822</v>
      </c>
      <c r="E7401" s="19" t="s">
        <v>33642</v>
      </c>
      <c r="F7401" s="19" t="s">
        <v>35999</v>
      </c>
      <c r="G7401" s="18" t="str">
        <f>"65018"</f>
        <v>65018</v>
      </c>
      <c r="H7401" s="19" t="s">
        <v>36522</v>
      </c>
      <c r="I7401" s="20">
        <v>18.954000000000001</v>
      </c>
      <c r="J7401" s="44" t="s">
        <v>8</v>
      </c>
      <c r="K7401" s="23" t="s">
        <v>8</v>
      </c>
      <c r="L7401" s="23" t="s">
        <v>8</v>
      </c>
      <c r="M7401" s="23" t="s">
        <v>8</v>
      </c>
    </row>
    <row r="7402" spans="1:13" s="21" customFormat="1" x14ac:dyDescent="0.25">
      <c r="A7402" s="22" t="s">
        <v>8</v>
      </c>
      <c r="B7402" s="18" t="str">
        <f>"265398"</f>
        <v>265398</v>
      </c>
      <c r="C7402" s="19" t="s">
        <v>7294</v>
      </c>
      <c r="D7402" s="19" t="s">
        <v>22823</v>
      </c>
      <c r="E7402" s="19" t="s">
        <v>32594</v>
      </c>
      <c r="F7402" s="19" t="s">
        <v>35999</v>
      </c>
      <c r="G7402" s="18" t="str">
        <f>"63384"</f>
        <v>63384</v>
      </c>
      <c r="H7402" s="19" t="s">
        <v>30833</v>
      </c>
      <c r="I7402" s="20">
        <v>19.632999999999999</v>
      </c>
      <c r="J7402" s="44" t="s">
        <v>8</v>
      </c>
      <c r="K7402" s="23" t="s">
        <v>8</v>
      </c>
      <c r="L7402" s="23" t="s">
        <v>8</v>
      </c>
      <c r="M7402" s="23" t="s">
        <v>8</v>
      </c>
    </row>
    <row r="7403" spans="1:13" s="21" customFormat="1" x14ac:dyDescent="0.25">
      <c r="A7403" s="22" t="s">
        <v>8</v>
      </c>
      <c r="B7403" s="18" t="str">
        <f>"265400"</f>
        <v>265400</v>
      </c>
      <c r="C7403" s="19" t="s">
        <v>7295</v>
      </c>
      <c r="D7403" s="19" t="s">
        <v>22824</v>
      </c>
      <c r="E7403" s="19" t="s">
        <v>33595</v>
      </c>
      <c r="F7403" s="19" t="s">
        <v>35999</v>
      </c>
      <c r="G7403" s="18" t="str">
        <f>"65775"</f>
        <v>65775</v>
      </c>
      <c r="H7403" s="19" t="s">
        <v>33230</v>
      </c>
      <c r="I7403" s="20">
        <v>20.911999999999999</v>
      </c>
      <c r="J7403" s="44" t="s">
        <v>8</v>
      </c>
      <c r="K7403" s="23" t="s">
        <v>8</v>
      </c>
      <c r="L7403" s="23" t="s">
        <v>8</v>
      </c>
      <c r="M7403" s="23" t="s">
        <v>8</v>
      </c>
    </row>
    <row r="7404" spans="1:13" s="21" customFormat="1" x14ac:dyDescent="0.25">
      <c r="A7404" s="22" t="s">
        <v>8</v>
      </c>
      <c r="B7404" s="18" t="str">
        <f>"265401"</f>
        <v>265401</v>
      </c>
      <c r="C7404" s="19" t="s">
        <v>7296</v>
      </c>
      <c r="D7404" s="19" t="s">
        <v>22825</v>
      </c>
      <c r="E7404" s="19" t="s">
        <v>33636</v>
      </c>
      <c r="F7404" s="19" t="s">
        <v>35999</v>
      </c>
      <c r="G7404" s="18" t="str">
        <f>"63028"</f>
        <v>63028</v>
      </c>
      <c r="H7404" s="19" t="s">
        <v>32391</v>
      </c>
      <c r="I7404" s="20">
        <v>18.579999999999998</v>
      </c>
      <c r="J7404" s="44" t="s">
        <v>8</v>
      </c>
      <c r="K7404" s="23" t="s">
        <v>8</v>
      </c>
      <c r="L7404" s="23" t="s">
        <v>8</v>
      </c>
      <c r="M7404" s="23" t="s">
        <v>8</v>
      </c>
    </row>
    <row r="7405" spans="1:13" s="21" customFormat="1" x14ac:dyDescent="0.25">
      <c r="A7405" s="22" t="s">
        <v>8</v>
      </c>
      <c r="B7405" s="18" t="str">
        <f>"265402"</f>
        <v>265402</v>
      </c>
      <c r="C7405" s="19" t="s">
        <v>7297</v>
      </c>
      <c r="D7405" s="19" t="s">
        <v>22826</v>
      </c>
      <c r="E7405" s="19" t="s">
        <v>33588</v>
      </c>
      <c r="F7405" s="19" t="s">
        <v>35999</v>
      </c>
      <c r="G7405" s="18" t="str">
        <f>"63031"</f>
        <v>63031</v>
      </c>
      <c r="H7405" s="19" t="s">
        <v>33228</v>
      </c>
      <c r="I7405" s="20">
        <v>18.300999999999998</v>
      </c>
      <c r="J7405" s="44" t="s">
        <v>8</v>
      </c>
      <c r="K7405" s="23" t="s">
        <v>8</v>
      </c>
      <c r="L7405" s="23" t="s">
        <v>8</v>
      </c>
      <c r="M7405" s="23" t="s">
        <v>8</v>
      </c>
    </row>
    <row r="7406" spans="1:13" s="21" customFormat="1" x14ac:dyDescent="0.25">
      <c r="A7406" s="22" t="s">
        <v>8</v>
      </c>
      <c r="B7406" s="18" t="str">
        <f>"265404"</f>
        <v>265404</v>
      </c>
      <c r="C7406" s="19" t="s">
        <v>7298</v>
      </c>
      <c r="D7406" s="19" t="s">
        <v>22827</v>
      </c>
      <c r="E7406" s="19" t="s">
        <v>32424</v>
      </c>
      <c r="F7406" s="19" t="s">
        <v>35999</v>
      </c>
      <c r="G7406" s="18" t="str">
        <f>"64052"</f>
        <v>64052</v>
      </c>
      <c r="H7406" s="19" t="s">
        <v>30816</v>
      </c>
      <c r="I7406" s="20">
        <v>19.353000000000002</v>
      </c>
      <c r="J7406" s="44" t="s">
        <v>8</v>
      </c>
      <c r="K7406" s="23" t="s">
        <v>8</v>
      </c>
      <c r="L7406" s="23" t="s">
        <v>8</v>
      </c>
      <c r="M7406" s="23" t="s">
        <v>8</v>
      </c>
    </row>
    <row r="7407" spans="1:13" s="21" customFormat="1" x14ac:dyDescent="0.25">
      <c r="A7407" s="22" t="s">
        <v>8</v>
      </c>
      <c r="B7407" s="18" t="str">
        <f>"265405"</f>
        <v>265405</v>
      </c>
      <c r="C7407" s="19" t="s">
        <v>7299</v>
      </c>
      <c r="D7407" s="19" t="s">
        <v>22828</v>
      </c>
      <c r="E7407" s="19" t="s">
        <v>32105</v>
      </c>
      <c r="F7407" s="19" t="s">
        <v>35999</v>
      </c>
      <c r="G7407" s="18" t="str">
        <f>"64628"</f>
        <v>64628</v>
      </c>
      <c r="H7407" s="19" t="s">
        <v>32661</v>
      </c>
      <c r="I7407" s="20">
        <v>17.29</v>
      </c>
      <c r="J7407" s="44" t="s">
        <v>8</v>
      </c>
      <c r="K7407" s="23" t="s">
        <v>8</v>
      </c>
      <c r="L7407" s="23" t="s">
        <v>8</v>
      </c>
      <c r="M7407" s="23" t="s">
        <v>8</v>
      </c>
    </row>
    <row r="7408" spans="1:13" s="21" customFormat="1" x14ac:dyDescent="0.25">
      <c r="A7408" s="22" t="s">
        <v>8</v>
      </c>
      <c r="B7408" s="18" t="str">
        <f>"265406"</f>
        <v>265406</v>
      </c>
      <c r="C7408" s="19" t="s">
        <v>7300</v>
      </c>
      <c r="D7408" s="19" t="s">
        <v>22829</v>
      </c>
      <c r="E7408" s="19" t="s">
        <v>33643</v>
      </c>
      <c r="F7408" s="19" t="s">
        <v>35999</v>
      </c>
      <c r="G7408" s="18" t="str">
        <f>"65711"</f>
        <v>65711</v>
      </c>
      <c r="H7408" s="19" t="s">
        <v>36290</v>
      </c>
      <c r="I7408" s="20">
        <v>19.273</v>
      </c>
      <c r="J7408" s="44" t="s">
        <v>8</v>
      </c>
      <c r="K7408" s="23" t="s">
        <v>8</v>
      </c>
      <c r="L7408" s="23" t="s">
        <v>8</v>
      </c>
      <c r="M7408" s="23" t="s">
        <v>8</v>
      </c>
    </row>
    <row r="7409" spans="1:13" s="21" customFormat="1" x14ac:dyDescent="0.25">
      <c r="A7409" s="22" t="s">
        <v>8</v>
      </c>
      <c r="B7409" s="18" t="str">
        <f>"265407"</f>
        <v>265407</v>
      </c>
      <c r="C7409" s="19" t="s">
        <v>7301</v>
      </c>
      <c r="D7409" s="19" t="s">
        <v>22830</v>
      </c>
      <c r="E7409" s="19" t="s">
        <v>33580</v>
      </c>
      <c r="F7409" s="19" t="s">
        <v>35999</v>
      </c>
      <c r="G7409" s="18" t="str">
        <f>"65270"</f>
        <v>65270</v>
      </c>
      <c r="H7409" s="19" t="s">
        <v>33068</v>
      </c>
      <c r="I7409" s="20">
        <v>20.683</v>
      </c>
      <c r="J7409" s="44" t="s">
        <v>8</v>
      </c>
      <c r="K7409" s="23" t="s">
        <v>8</v>
      </c>
      <c r="L7409" s="23" t="s">
        <v>8</v>
      </c>
      <c r="M7409" s="23" t="s">
        <v>8</v>
      </c>
    </row>
    <row r="7410" spans="1:13" s="21" customFormat="1" x14ac:dyDescent="0.25">
      <c r="A7410" s="22" t="s">
        <v>8</v>
      </c>
      <c r="B7410" s="18" t="str">
        <f>"265409"</f>
        <v>265409</v>
      </c>
      <c r="C7410" s="19" t="s">
        <v>7302</v>
      </c>
      <c r="D7410" s="19" t="s">
        <v>22831</v>
      </c>
      <c r="E7410" s="19" t="s">
        <v>33644</v>
      </c>
      <c r="F7410" s="19" t="s">
        <v>35999</v>
      </c>
      <c r="G7410" s="18" t="str">
        <f>"63848"</f>
        <v>63848</v>
      </c>
      <c r="H7410" s="19" t="s">
        <v>33604</v>
      </c>
      <c r="I7410" s="20">
        <v>19.314</v>
      </c>
      <c r="J7410" s="44" t="s">
        <v>8</v>
      </c>
      <c r="K7410" s="23" t="s">
        <v>8</v>
      </c>
      <c r="L7410" s="23" t="s">
        <v>8</v>
      </c>
      <c r="M7410" s="23" t="s">
        <v>8</v>
      </c>
    </row>
    <row r="7411" spans="1:13" s="21" customFormat="1" x14ac:dyDescent="0.25">
      <c r="A7411" s="22" t="s">
        <v>8</v>
      </c>
      <c r="B7411" s="18" t="str">
        <f>"265410"</f>
        <v>265410</v>
      </c>
      <c r="C7411" s="19" t="s">
        <v>7303</v>
      </c>
      <c r="D7411" s="19" t="s">
        <v>22832</v>
      </c>
      <c r="E7411" s="19" t="s">
        <v>33645</v>
      </c>
      <c r="F7411" s="19" t="s">
        <v>35999</v>
      </c>
      <c r="G7411" s="18" t="str">
        <f>"65708"</f>
        <v>65708</v>
      </c>
      <c r="H7411" s="19" t="s">
        <v>32158</v>
      </c>
      <c r="I7411" s="20">
        <v>17.628</v>
      </c>
      <c r="J7411" s="44" t="s">
        <v>8</v>
      </c>
      <c r="K7411" s="23" t="s">
        <v>8</v>
      </c>
      <c r="L7411" s="23" t="s">
        <v>8</v>
      </c>
      <c r="M7411" s="23" t="s">
        <v>8</v>
      </c>
    </row>
    <row r="7412" spans="1:13" s="21" customFormat="1" x14ac:dyDescent="0.25">
      <c r="A7412" s="22" t="s">
        <v>8</v>
      </c>
      <c r="B7412" s="18" t="str">
        <f>"265411"</f>
        <v>265411</v>
      </c>
      <c r="C7412" s="19" t="s">
        <v>7304</v>
      </c>
      <c r="D7412" s="19" t="s">
        <v>22833</v>
      </c>
      <c r="E7412" s="19" t="s">
        <v>31208</v>
      </c>
      <c r="F7412" s="19" t="s">
        <v>35999</v>
      </c>
      <c r="G7412" s="18" t="str">
        <f>"65672"</f>
        <v>65672</v>
      </c>
      <c r="H7412" s="19" t="s">
        <v>36521</v>
      </c>
      <c r="I7412" s="20">
        <v>17.997</v>
      </c>
      <c r="J7412" s="44" t="s">
        <v>8</v>
      </c>
      <c r="K7412" s="23" t="s">
        <v>8</v>
      </c>
      <c r="L7412" s="23" t="s">
        <v>8</v>
      </c>
      <c r="M7412" s="23" t="s">
        <v>8</v>
      </c>
    </row>
    <row r="7413" spans="1:13" s="21" customFormat="1" x14ac:dyDescent="0.25">
      <c r="A7413" s="22" t="s">
        <v>8</v>
      </c>
      <c r="B7413" s="18" t="str">
        <f>"265412"</f>
        <v>265412</v>
      </c>
      <c r="C7413" s="19" t="s">
        <v>7305</v>
      </c>
      <c r="D7413" s="19" t="s">
        <v>22834</v>
      </c>
      <c r="E7413" s="19" t="s">
        <v>30999</v>
      </c>
      <c r="F7413" s="19" t="s">
        <v>35999</v>
      </c>
      <c r="G7413" s="18" t="str">
        <f>"65548"</f>
        <v>65548</v>
      </c>
      <c r="H7413" s="19" t="s">
        <v>33230</v>
      </c>
      <c r="I7413" s="20">
        <v>18.213999999999999</v>
      </c>
      <c r="J7413" s="44" t="s">
        <v>8</v>
      </c>
      <c r="K7413" s="23" t="s">
        <v>8</v>
      </c>
      <c r="L7413" s="23" t="s">
        <v>8</v>
      </c>
      <c r="M7413" s="23" t="s">
        <v>8</v>
      </c>
    </row>
    <row r="7414" spans="1:13" s="21" customFormat="1" x14ac:dyDescent="0.25">
      <c r="A7414" s="22" t="s">
        <v>8</v>
      </c>
      <c r="B7414" s="18" t="str">
        <f>"265414"</f>
        <v>265414</v>
      </c>
      <c r="C7414" s="19" t="s">
        <v>7306</v>
      </c>
      <c r="D7414" s="19" t="s">
        <v>22835</v>
      </c>
      <c r="E7414" s="19" t="s">
        <v>32311</v>
      </c>
      <c r="F7414" s="19" t="s">
        <v>35999</v>
      </c>
      <c r="G7414" s="18" t="str">
        <f>"63017"</f>
        <v>63017</v>
      </c>
      <c r="H7414" s="19" t="s">
        <v>33228</v>
      </c>
      <c r="I7414" s="20">
        <v>17.923999999999999</v>
      </c>
      <c r="J7414" s="44" t="s">
        <v>8</v>
      </c>
      <c r="K7414" s="23" t="s">
        <v>8</v>
      </c>
      <c r="L7414" s="23" t="s">
        <v>8</v>
      </c>
      <c r="M7414" s="23" t="s">
        <v>8</v>
      </c>
    </row>
    <row r="7415" spans="1:13" s="21" customFormat="1" x14ac:dyDescent="0.25">
      <c r="A7415" s="22" t="s">
        <v>8</v>
      </c>
      <c r="B7415" s="18" t="str">
        <f>"265415"</f>
        <v>265415</v>
      </c>
      <c r="C7415" s="19" t="s">
        <v>7307</v>
      </c>
      <c r="D7415" s="19" t="s">
        <v>22836</v>
      </c>
      <c r="E7415" s="19" t="s">
        <v>31450</v>
      </c>
      <c r="F7415" s="19" t="s">
        <v>35999</v>
      </c>
      <c r="G7415" s="18" t="str">
        <f>"63068"</f>
        <v>63068</v>
      </c>
      <c r="H7415" s="19" t="s">
        <v>5</v>
      </c>
      <c r="I7415" s="20">
        <v>19.568999999999999</v>
      </c>
      <c r="J7415" s="44" t="s">
        <v>8</v>
      </c>
      <c r="K7415" s="23" t="s">
        <v>8</v>
      </c>
      <c r="L7415" s="23" t="s">
        <v>8</v>
      </c>
      <c r="M7415" s="23" t="s">
        <v>8</v>
      </c>
    </row>
    <row r="7416" spans="1:13" s="21" customFormat="1" x14ac:dyDescent="0.25">
      <c r="A7416" s="22" t="s">
        <v>8</v>
      </c>
      <c r="B7416" s="18" t="str">
        <f>"265416"</f>
        <v>265416</v>
      </c>
      <c r="C7416" s="19" t="s">
        <v>7308</v>
      </c>
      <c r="D7416" s="19" t="s">
        <v>22837</v>
      </c>
      <c r="E7416" s="19" t="s">
        <v>30890</v>
      </c>
      <c r="F7416" s="19" t="s">
        <v>35999</v>
      </c>
      <c r="G7416" s="18" t="str">
        <f>"63957"</f>
        <v>63957</v>
      </c>
      <c r="H7416" s="19" t="s">
        <v>33280</v>
      </c>
      <c r="I7416" s="20">
        <v>18.015999999999998</v>
      </c>
      <c r="J7416" s="44" t="s">
        <v>8</v>
      </c>
      <c r="K7416" s="23" t="s">
        <v>8</v>
      </c>
      <c r="L7416" s="23" t="s">
        <v>8</v>
      </c>
      <c r="M7416" s="23" t="s">
        <v>8</v>
      </c>
    </row>
    <row r="7417" spans="1:13" s="21" customFormat="1" x14ac:dyDescent="0.25">
      <c r="A7417" s="22" t="s">
        <v>8</v>
      </c>
      <c r="B7417" s="18" t="str">
        <f>"265417"</f>
        <v>265417</v>
      </c>
      <c r="C7417" s="19" t="s">
        <v>7309</v>
      </c>
      <c r="D7417" s="19" t="s">
        <v>22838</v>
      </c>
      <c r="E7417" s="19" t="s">
        <v>33228</v>
      </c>
      <c r="F7417" s="19" t="s">
        <v>35999</v>
      </c>
      <c r="G7417" s="18" t="str">
        <f>"63125"</f>
        <v>63125</v>
      </c>
      <c r="H7417" s="19" t="s">
        <v>33228</v>
      </c>
      <c r="I7417" s="20">
        <v>23.152000000000001</v>
      </c>
      <c r="J7417" s="44" t="s">
        <v>8</v>
      </c>
      <c r="K7417" s="23" t="s">
        <v>8</v>
      </c>
      <c r="L7417" s="23" t="s">
        <v>8</v>
      </c>
      <c r="M7417" s="23" t="s">
        <v>8</v>
      </c>
    </row>
    <row r="7418" spans="1:13" s="21" customFormat="1" x14ac:dyDescent="0.25">
      <c r="A7418" s="22" t="s">
        <v>8</v>
      </c>
      <c r="B7418" s="18" t="str">
        <f>"265418"</f>
        <v>265418</v>
      </c>
      <c r="C7418" s="19" t="s">
        <v>7310</v>
      </c>
      <c r="D7418" s="19" t="s">
        <v>22839</v>
      </c>
      <c r="E7418" s="19" t="s">
        <v>32123</v>
      </c>
      <c r="F7418" s="19" t="s">
        <v>35999</v>
      </c>
      <c r="G7418" s="18" t="str">
        <f>"65459"</f>
        <v>65459</v>
      </c>
      <c r="H7418" s="19" t="s">
        <v>31795</v>
      </c>
      <c r="I7418" s="20">
        <v>18.974</v>
      </c>
      <c r="J7418" s="44" t="s">
        <v>8</v>
      </c>
      <c r="K7418" s="23" t="s">
        <v>8</v>
      </c>
      <c r="L7418" s="23" t="s">
        <v>8</v>
      </c>
      <c r="M7418" s="23" t="s">
        <v>8</v>
      </c>
    </row>
    <row r="7419" spans="1:13" s="21" customFormat="1" x14ac:dyDescent="0.25">
      <c r="A7419" s="22" t="s">
        <v>8</v>
      </c>
      <c r="B7419" s="18" t="str">
        <f>"265419"</f>
        <v>265419</v>
      </c>
      <c r="C7419" s="19" t="s">
        <v>7311</v>
      </c>
      <c r="D7419" s="19" t="s">
        <v>22840</v>
      </c>
      <c r="E7419" s="19" t="s">
        <v>32684</v>
      </c>
      <c r="F7419" s="19" t="s">
        <v>35999</v>
      </c>
      <c r="G7419" s="18" t="str">
        <f>"63334"</f>
        <v>63334</v>
      </c>
      <c r="H7419" s="19" t="s">
        <v>36033</v>
      </c>
      <c r="I7419" s="20">
        <v>21.931999999999999</v>
      </c>
      <c r="J7419" s="44" t="s">
        <v>8</v>
      </c>
      <c r="K7419" s="23" t="s">
        <v>8</v>
      </c>
      <c r="L7419" s="23" t="s">
        <v>8</v>
      </c>
      <c r="M7419" s="23" t="s">
        <v>8</v>
      </c>
    </row>
    <row r="7420" spans="1:13" s="21" customFormat="1" x14ac:dyDescent="0.25">
      <c r="A7420" s="22" t="s">
        <v>8</v>
      </c>
      <c r="B7420" s="18" t="str">
        <f>"265420"</f>
        <v>265420</v>
      </c>
      <c r="C7420" s="19" t="s">
        <v>7312</v>
      </c>
      <c r="D7420" s="19" t="s">
        <v>22841</v>
      </c>
      <c r="E7420" s="19" t="s">
        <v>32500</v>
      </c>
      <c r="F7420" s="19" t="s">
        <v>35999</v>
      </c>
      <c r="G7420" s="18" t="str">
        <f>"64096"</f>
        <v>64096</v>
      </c>
      <c r="H7420" s="19" t="s">
        <v>30892</v>
      </c>
      <c r="I7420" s="20">
        <v>18.809999999999999</v>
      </c>
      <c r="J7420" s="44" t="s">
        <v>8</v>
      </c>
      <c r="K7420" s="23" t="s">
        <v>8</v>
      </c>
      <c r="L7420" s="23" t="s">
        <v>8</v>
      </c>
      <c r="M7420" s="23" t="s">
        <v>8</v>
      </c>
    </row>
    <row r="7421" spans="1:13" s="21" customFormat="1" x14ac:dyDescent="0.25">
      <c r="A7421" s="22" t="s">
        <v>8</v>
      </c>
      <c r="B7421" s="18" t="str">
        <f>"265423"</f>
        <v>265423</v>
      </c>
      <c r="C7421" s="19" t="s">
        <v>7313</v>
      </c>
      <c r="D7421" s="19" t="s">
        <v>22842</v>
      </c>
      <c r="E7421" s="19" t="s">
        <v>33646</v>
      </c>
      <c r="F7421" s="19" t="s">
        <v>35999</v>
      </c>
      <c r="G7421" s="18" t="str">
        <f>"63436"</f>
        <v>63436</v>
      </c>
      <c r="H7421" s="19" t="s">
        <v>35849</v>
      </c>
      <c r="I7421" s="20">
        <v>17.594000000000001</v>
      </c>
      <c r="J7421" s="44" t="s">
        <v>8</v>
      </c>
      <c r="K7421" s="23" t="s">
        <v>8</v>
      </c>
      <c r="L7421" s="23" t="s">
        <v>8</v>
      </c>
      <c r="M7421" s="23" t="s">
        <v>8</v>
      </c>
    </row>
    <row r="7422" spans="1:13" s="21" customFormat="1" x14ac:dyDescent="0.25">
      <c r="A7422" s="22" t="s">
        <v>8</v>
      </c>
      <c r="B7422" s="18" t="str">
        <f>"265425"</f>
        <v>265425</v>
      </c>
      <c r="C7422" s="19" t="s">
        <v>7314</v>
      </c>
      <c r="D7422" s="19" t="s">
        <v>22843</v>
      </c>
      <c r="E7422" s="19" t="s">
        <v>33629</v>
      </c>
      <c r="F7422" s="19" t="s">
        <v>35999</v>
      </c>
      <c r="G7422" s="18" t="str">
        <f>"64138"</f>
        <v>64138</v>
      </c>
      <c r="H7422" s="19" t="s">
        <v>30816</v>
      </c>
      <c r="I7422" s="20">
        <v>19.974</v>
      </c>
      <c r="J7422" s="44" t="s">
        <v>8</v>
      </c>
      <c r="K7422" s="23" t="s">
        <v>8</v>
      </c>
      <c r="L7422" s="23" t="s">
        <v>8</v>
      </c>
      <c r="M7422" s="23" t="s">
        <v>8</v>
      </c>
    </row>
    <row r="7423" spans="1:13" s="21" customFormat="1" x14ac:dyDescent="0.25">
      <c r="A7423" s="22" t="s">
        <v>8</v>
      </c>
      <c r="B7423" s="18" t="str">
        <f>"265427"</f>
        <v>265427</v>
      </c>
      <c r="C7423" s="19" t="s">
        <v>7315</v>
      </c>
      <c r="D7423" s="19" t="s">
        <v>22844</v>
      </c>
      <c r="E7423" s="19" t="s">
        <v>33228</v>
      </c>
      <c r="F7423" s="19" t="s">
        <v>35999</v>
      </c>
      <c r="G7423" s="18" t="str">
        <f>"63139"</f>
        <v>63139</v>
      </c>
      <c r="H7423" s="19" t="s">
        <v>36518</v>
      </c>
      <c r="I7423" s="20">
        <v>19.649999999999999</v>
      </c>
      <c r="J7423" s="44" t="s">
        <v>8</v>
      </c>
      <c r="K7423" s="23" t="s">
        <v>8</v>
      </c>
      <c r="L7423" s="23" t="s">
        <v>8</v>
      </c>
      <c r="M7423" s="23" t="s">
        <v>8</v>
      </c>
    </row>
    <row r="7424" spans="1:13" s="21" customFormat="1" x14ac:dyDescent="0.25">
      <c r="A7424" s="22" t="s">
        <v>8</v>
      </c>
      <c r="B7424" s="18" t="str">
        <f>"265428"</f>
        <v>265428</v>
      </c>
      <c r="C7424" s="19" t="s">
        <v>7316</v>
      </c>
      <c r="D7424" s="19" t="s">
        <v>22845</v>
      </c>
      <c r="E7424" s="19" t="s">
        <v>32035</v>
      </c>
      <c r="F7424" s="19" t="s">
        <v>35999</v>
      </c>
      <c r="G7424" s="18" t="str">
        <f>"65536"</f>
        <v>65536</v>
      </c>
      <c r="H7424" s="19" t="s">
        <v>36513</v>
      </c>
      <c r="I7424" s="20">
        <v>21.193000000000001</v>
      </c>
      <c r="J7424" s="44" t="s">
        <v>8</v>
      </c>
      <c r="K7424" s="23" t="s">
        <v>8</v>
      </c>
      <c r="L7424" s="23" t="s">
        <v>8</v>
      </c>
      <c r="M7424" s="23" t="s">
        <v>8</v>
      </c>
    </row>
    <row r="7425" spans="1:13" s="21" customFormat="1" x14ac:dyDescent="0.25">
      <c r="A7425" s="22" t="s">
        <v>8</v>
      </c>
      <c r="B7425" s="18" t="str">
        <f>"265429"</f>
        <v>265429</v>
      </c>
      <c r="C7425" s="19" t="s">
        <v>7317</v>
      </c>
      <c r="D7425" s="19" t="s">
        <v>22846</v>
      </c>
      <c r="E7425" s="19" t="s">
        <v>33599</v>
      </c>
      <c r="F7425" s="19" t="s">
        <v>35999</v>
      </c>
      <c r="G7425" s="18" t="str">
        <f>"65065"</f>
        <v>65065</v>
      </c>
      <c r="H7425" s="19" t="s">
        <v>30910</v>
      </c>
      <c r="I7425" s="20">
        <v>18.385999999999999</v>
      </c>
      <c r="J7425" s="44" t="s">
        <v>8</v>
      </c>
      <c r="K7425" s="23" t="s">
        <v>8</v>
      </c>
      <c r="L7425" s="23" t="s">
        <v>8</v>
      </c>
      <c r="M7425" s="23" t="s">
        <v>8</v>
      </c>
    </row>
    <row r="7426" spans="1:13" s="21" customFormat="1" x14ac:dyDescent="0.25">
      <c r="A7426" s="22" t="s">
        <v>8</v>
      </c>
      <c r="B7426" s="18" t="str">
        <f>"265430"</f>
        <v>265430</v>
      </c>
      <c r="C7426" s="19" t="s">
        <v>7318</v>
      </c>
      <c r="D7426" s="19" t="s">
        <v>22847</v>
      </c>
      <c r="E7426" s="19" t="s">
        <v>33647</v>
      </c>
      <c r="F7426" s="19" t="s">
        <v>35999</v>
      </c>
      <c r="G7426" s="18" t="str">
        <f>"63016"</f>
        <v>63016</v>
      </c>
      <c r="H7426" s="19" t="s">
        <v>32391</v>
      </c>
      <c r="I7426" s="20">
        <v>21.504999999999999</v>
      </c>
      <c r="J7426" s="44" t="s">
        <v>8</v>
      </c>
      <c r="K7426" s="23" t="s">
        <v>8</v>
      </c>
      <c r="L7426" s="23" t="s">
        <v>8</v>
      </c>
      <c r="M7426" s="23" t="s">
        <v>8</v>
      </c>
    </row>
    <row r="7427" spans="1:13" s="21" customFormat="1" x14ac:dyDescent="0.25">
      <c r="A7427" s="22" t="s">
        <v>8</v>
      </c>
      <c r="B7427" s="18" t="str">
        <f>"265431"</f>
        <v>265431</v>
      </c>
      <c r="C7427" s="19" t="s">
        <v>7319</v>
      </c>
      <c r="D7427" s="19" t="s">
        <v>22848</v>
      </c>
      <c r="E7427" s="19" t="s">
        <v>33648</v>
      </c>
      <c r="F7427" s="19" t="s">
        <v>35999</v>
      </c>
      <c r="G7427" s="18" t="str">
        <f>"64763"</f>
        <v>64763</v>
      </c>
      <c r="H7427" s="19" t="s">
        <v>33662</v>
      </c>
      <c r="I7427" s="20">
        <v>20.355</v>
      </c>
      <c r="J7427" s="44" t="s">
        <v>8</v>
      </c>
      <c r="K7427" s="23" t="s">
        <v>8</v>
      </c>
      <c r="L7427" s="23" t="s">
        <v>8</v>
      </c>
      <c r="M7427" s="23" t="s">
        <v>8</v>
      </c>
    </row>
    <row r="7428" spans="1:13" s="21" customFormat="1" x14ac:dyDescent="0.25">
      <c r="A7428" s="22" t="s">
        <v>8</v>
      </c>
      <c r="B7428" s="18" t="str">
        <f>"265433"</f>
        <v>265433</v>
      </c>
      <c r="C7428" s="19" t="s">
        <v>7320</v>
      </c>
      <c r="D7428" s="19" t="s">
        <v>22849</v>
      </c>
      <c r="E7428" s="19" t="s">
        <v>30815</v>
      </c>
      <c r="F7428" s="19" t="s">
        <v>35999</v>
      </c>
      <c r="G7428" s="18" t="str">
        <f>"63379"</f>
        <v>63379</v>
      </c>
      <c r="H7428" s="19" t="s">
        <v>31995</v>
      </c>
      <c r="I7428" s="20">
        <v>18.977</v>
      </c>
      <c r="J7428" s="44" t="s">
        <v>8</v>
      </c>
      <c r="K7428" s="23" t="s">
        <v>8</v>
      </c>
      <c r="L7428" s="23" t="s">
        <v>8</v>
      </c>
      <c r="M7428" s="23" t="s">
        <v>8</v>
      </c>
    </row>
    <row r="7429" spans="1:13" s="21" customFormat="1" x14ac:dyDescent="0.25">
      <c r="A7429" s="22" t="s">
        <v>8</v>
      </c>
      <c r="B7429" s="18" t="str">
        <f>"265434"</f>
        <v>265434</v>
      </c>
      <c r="C7429" s="19" t="s">
        <v>7321</v>
      </c>
      <c r="D7429" s="19" t="s">
        <v>22850</v>
      </c>
      <c r="E7429" s="19" t="s">
        <v>33649</v>
      </c>
      <c r="F7429" s="19" t="s">
        <v>35999</v>
      </c>
      <c r="G7429" s="18" t="str">
        <f>"65059"</f>
        <v>65059</v>
      </c>
      <c r="H7429" s="19" t="s">
        <v>31529</v>
      </c>
      <c r="I7429" s="20">
        <v>18.809000000000001</v>
      </c>
      <c r="J7429" s="44" t="s">
        <v>8</v>
      </c>
      <c r="K7429" s="23" t="s">
        <v>8</v>
      </c>
      <c r="L7429" s="23" t="s">
        <v>8</v>
      </c>
      <c r="M7429" s="23" t="s">
        <v>8</v>
      </c>
    </row>
    <row r="7430" spans="1:13" s="21" customFormat="1" x14ac:dyDescent="0.25">
      <c r="A7430" s="22" t="s">
        <v>8</v>
      </c>
      <c r="B7430" s="18" t="str">
        <f>"265437"</f>
        <v>265437</v>
      </c>
      <c r="C7430" s="19" t="s">
        <v>7322</v>
      </c>
      <c r="D7430" s="19" t="s">
        <v>22851</v>
      </c>
      <c r="E7430" s="19" t="s">
        <v>32284</v>
      </c>
      <c r="F7430" s="19" t="s">
        <v>35999</v>
      </c>
      <c r="G7430" s="18" t="str">
        <f>"64068"</f>
        <v>64068</v>
      </c>
      <c r="H7430" s="19" t="s">
        <v>36030</v>
      </c>
      <c r="I7430" s="20">
        <v>20.707000000000001</v>
      </c>
      <c r="J7430" s="44" t="s">
        <v>8</v>
      </c>
      <c r="K7430" s="23" t="s">
        <v>8</v>
      </c>
      <c r="L7430" s="23" t="s">
        <v>8</v>
      </c>
      <c r="M7430" s="23" t="s">
        <v>8</v>
      </c>
    </row>
    <row r="7431" spans="1:13" s="21" customFormat="1" x14ac:dyDescent="0.25">
      <c r="A7431" s="22" t="s">
        <v>8</v>
      </c>
      <c r="B7431" s="18" t="str">
        <f>"265438"</f>
        <v>265438</v>
      </c>
      <c r="C7431" s="19" t="s">
        <v>7323</v>
      </c>
      <c r="D7431" s="19" t="s">
        <v>22852</v>
      </c>
      <c r="E7431" s="19" t="s">
        <v>30816</v>
      </c>
      <c r="F7431" s="19" t="s">
        <v>35999</v>
      </c>
      <c r="G7431" s="18" t="str">
        <f>"63755"</f>
        <v>63755</v>
      </c>
      <c r="H7431" s="19" t="s">
        <v>33593</v>
      </c>
      <c r="I7431" s="20">
        <v>19.334</v>
      </c>
      <c r="J7431" s="44" t="s">
        <v>8</v>
      </c>
      <c r="K7431" s="23" t="s">
        <v>8</v>
      </c>
      <c r="L7431" s="23" t="s">
        <v>8</v>
      </c>
      <c r="M7431" s="23" t="s">
        <v>8</v>
      </c>
    </row>
    <row r="7432" spans="1:13" s="21" customFormat="1" x14ac:dyDescent="0.25">
      <c r="A7432" s="22" t="s">
        <v>8</v>
      </c>
      <c r="B7432" s="18" t="str">
        <f>"265439"</f>
        <v>265439</v>
      </c>
      <c r="C7432" s="19" t="s">
        <v>7324</v>
      </c>
      <c r="D7432" s="19" t="s">
        <v>22853</v>
      </c>
      <c r="E7432" s="19" t="s">
        <v>33228</v>
      </c>
      <c r="F7432" s="19" t="s">
        <v>35999</v>
      </c>
      <c r="G7432" s="18" t="str">
        <f>"63105"</f>
        <v>63105</v>
      </c>
      <c r="H7432" s="19" t="s">
        <v>33228</v>
      </c>
      <c r="I7432" s="20">
        <v>25.978999999999999</v>
      </c>
      <c r="J7432" s="44" t="s">
        <v>8</v>
      </c>
      <c r="K7432" s="23" t="s">
        <v>8</v>
      </c>
      <c r="L7432" s="23" t="s">
        <v>8</v>
      </c>
      <c r="M7432" s="23" t="s">
        <v>8</v>
      </c>
    </row>
    <row r="7433" spans="1:13" s="21" customFormat="1" x14ac:dyDescent="0.25">
      <c r="A7433" s="22" t="s">
        <v>8</v>
      </c>
      <c r="B7433" s="18" t="str">
        <f>"265440"</f>
        <v>265440</v>
      </c>
      <c r="C7433" s="19" t="s">
        <v>7325</v>
      </c>
      <c r="D7433" s="19" t="s">
        <v>22854</v>
      </c>
      <c r="E7433" s="19" t="s">
        <v>33650</v>
      </c>
      <c r="F7433" s="19" t="s">
        <v>35999</v>
      </c>
      <c r="G7433" s="18" t="str">
        <f>"63037"</f>
        <v>63037</v>
      </c>
      <c r="H7433" s="19" t="s">
        <v>5</v>
      </c>
      <c r="I7433" s="20">
        <v>18.213000000000001</v>
      </c>
      <c r="J7433" s="44" t="s">
        <v>8</v>
      </c>
      <c r="K7433" s="23" t="s">
        <v>8</v>
      </c>
      <c r="L7433" s="23" t="s">
        <v>8</v>
      </c>
      <c r="M7433" s="23" t="s">
        <v>8</v>
      </c>
    </row>
    <row r="7434" spans="1:13" s="21" customFormat="1" x14ac:dyDescent="0.25">
      <c r="A7434" s="22" t="s">
        <v>8</v>
      </c>
      <c r="B7434" s="18" t="str">
        <f>"265442"</f>
        <v>265442</v>
      </c>
      <c r="C7434" s="19" t="s">
        <v>7326</v>
      </c>
      <c r="D7434" s="19" t="s">
        <v>22855</v>
      </c>
      <c r="E7434" s="19" t="s">
        <v>33602</v>
      </c>
      <c r="F7434" s="19" t="s">
        <v>35999</v>
      </c>
      <c r="G7434" s="18" t="str">
        <f>"63901"</f>
        <v>63901</v>
      </c>
      <c r="H7434" s="19" t="s">
        <v>30876</v>
      </c>
      <c r="I7434" s="20">
        <v>20.143000000000001</v>
      </c>
      <c r="J7434" s="44" t="s">
        <v>8</v>
      </c>
      <c r="K7434" s="23" t="s">
        <v>8</v>
      </c>
      <c r="L7434" s="23" t="s">
        <v>8</v>
      </c>
      <c r="M7434" s="23" t="s">
        <v>8</v>
      </c>
    </row>
    <row r="7435" spans="1:13" s="21" customFormat="1" x14ac:dyDescent="0.25">
      <c r="A7435" s="22" t="s">
        <v>8</v>
      </c>
      <c r="B7435" s="18" t="str">
        <f>"265443"</f>
        <v>265443</v>
      </c>
      <c r="C7435" s="19" t="s">
        <v>7327</v>
      </c>
      <c r="D7435" s="19" t="s">
        <v>22856</v>
      </c>
      <c r="E7435" s="19" t="s">
        <v>33651</v>
      </c>
      <c r="F7435" s="19" t="s">
        <v>35999</v>
      </c>
      <c r="G7435" s="18" t="str">
        <f>"64424"</f>
        <v>64424</v>
      </c>
      <c r="H7435" s="19" t="s">
        <v>31020</v>
      </c>
      <c r="I7435" s="20">
        <v>20.239999999999998</v>
      </c>
      <c r="J7435" s="44" t="s">
        <v>8</v>
      </c>
      <c r="K7435" s="23" t="s">
        <v>8</v>
      </c>
      <c r="L7435" s="23" t="s">
        <v>8</v>
      </c>
      <c r="M7435" s="23" t="s">
        <v>8</v>
      </c>
    </row>
    <row r="7436" spans="1:13" s="21" customFormat="1" x14ac:dyDescent="0.25">
      <c r="A7436" s="22" t="s">
        <v>8</v>
      </c>
      <c r="B7436" s="18" t="str">
        <f>"265444"</f>
        <v>265444</v>
      </c>
      <c r="C7436" s="19" t="s">
        <v>7328</v>
      </c>
      <c r="D7436" s="19" t="s">
        <v>22857</v>
      </c>
      <c r="E7436" s="19" t="s">
        <v>33629</v>
      </c>
      <c r="F7436" s="19" t="s">
        <v>35999</v>
      </c>
      <c r="G7436" s="18" t="str">
        <f>"64138"</f>
        <v>64138</v>
      </c>
      <c r="H7436" s="19" t="s">
        <v>30816</v>
      </c>
      <c r="I7436" s="20">
        <v>18.552</v>
      </c>
      <c r="J7436" s="44" t="s">
        <v>8</v>
      </c>
      <c r="K7436" s="23" t="s">
        <v>8</v>
      </c>
      <c r="L7436" s="23" t="s">
        <v>8</v>
      </c>
      <c r="M7436" s="23" t="s">
        <v>8</v>
      </c>
    </row>
    <row r="7437" spans="1:13" s="21" customFormat="1" x14ac:dyDescent="0.25">
      <c r="A7437" s="22" t="s">
        <v>8</v>
      </c>
      <c r="B7437" s="18" t="str">
        <f>"265446"</f>
        <v>265446</v>
      </c>
      <c r="C7437" s="19" t="s">
        <v>7329</v>
      </c>
      <c r="D7437" s="19" t="s">
        <v>22858</v>
      </c>
      <c r="E7437" s="19" t="s">
        <v>33652</v>
      </c>
      <c r="F7437" s="19" t="s">
        <v>35999</v>
      </c>
      <c r="G7437" s="18" t="str">
        <f>"64744"</f>
        <v>64744</v>
      </c>
      <c r="H7437" s="19" t="s">
        <v>36284</v>
      </c>
      <c r="I7437" s="20">
        <v>18.11</v>
      </c>
      <c r="J7437" s="44" t="s">
        <v>8</v>
      </c>
      <c r="K7437" s="23" t="s">
        <v>8</v>
      </c>
      <c r="L7437" s="23" t="s">
        <v>8</v>
      </c>
      <c r="M7437" s="23" t="s">
        <v>8</v>
      </c>
    </row>
    <row r="7438" spans="1:13" s="21" customFormat="1" x14ac:dyDescent="0.25">
      <c r="A7438" s="22" t="s">
        <v>8</v>
      </c>
      <c r="B7438" s="18" t="str">
        <f>"265447"</f>
        <v>265447</v>
      </c>
      <c r="C7438" s="19" t="s">
        <v>7330</v>
      </c>
      <c r="D7438" s="19" t="s">
        <v>22859</v>
      </c>
      <c r="E7438" s="19" t="s">
        <v>32202</v>
      </c>
      <c r="F7438" s="19" t="s">
        <v>35999</v>
      </c>
      <c r="G7438" s="18" t="str">
        <f>"64831"</f>
        <v>64831</v>
      </c>
      <c r="H7438" s="19" t="s">
        <v>36523</v>
      </c>
      <c r="I7438" s="20">
        <v>17.847999999999999</v>
      </c>
      <c r="J7438" s="44" t="s">
        <v>8</v>
      </c>
      <c r="K7438" s="23" t="s">
        <v>8</v>
      </c>
      <c r="L7438" s="23" t="s">
        <v>8</v>
      </c>
      <c r="M7438" s="23" t="s">
        <v>8</v>
      </c>
    </row>
    <row r="7439" spans="1:13" s="21" customFormat="1" x14ac:dyDescent="0.25">
      <c r="A7439" s="22" t="s">
        <v>8</v>
      </c>
      <c r="B7439" s="18" t="str">
        <f>"265450"</f>
        <v>265450</v>
      </c>
      <c r="C7439" s="19" t="s">
        <v>7331</v>
      </c>
      <c r="D7439" s="19" t="s">
        <v>22860</v>
      </c>
      <c r="E7439" s="19" t="s">
        <v>33602</v>
      </c>
      <c r="F7439" s="19" t="s">
        <v>35999</v>
      </c>
      <c r="G7439" s="18" t="str">
        <f>"63901"</f>
        <v>63901</v>
      </c>
      <c r="H7439" s="19" t="s">
        <v>30876</v>
      </c>
      <c r="I7439" s="20">
        <v>22.847000000000001</v>
      </c>
      <c r="J7439" s="44" t="s">
        <v>8</v>
      </c>
      <c r="K7439" s="23" t="s">
        <v>8</v>
      </c>
      <c r="L7439" s="23" t="s">
        <v>8</v>
      </c>
      <c r="M7439" s="23" t="s">
        <v>8</v>
      </c>
    </row>
    <row r="7440" spans="1:13" s="21" customFormat="1" x14ac:dyDescent="0.25">
      <c r="A7440" s="22" t="s">
        <v>8</v>
      </c>
      <c r="B7440" s="18" t="str">
        <f>"265451"</f>
        <v>265451</v>
      </c>
      <c r="C7440" s="19" t="s">
        <v>7332</v>
      </c>
      <c r="D7440" s="19" t="s">
        <v>22861</v>
      </c>
      <c r="E7440" s="19" t="s">
        <v>31416</v>
      </c>
      <c r="F7440" s="19" t="s">
        <v>35999</v>
      </c>
      <c r="G7440" s="18" t="str">
        <f>"63825"</f>
        <v>63825</v>
      </c>
      <c r="H7440" s="19" t="s">
        <v>36512</v>
      </c>
      <c r="I7440" s="20">
        <v>19.335999999999999</v>
      </c>
      <c r="J7440" s="44" t="s">
        <v>8</v>
      </c>
      <c r="K7440" s="23" t="s">
        <v>8</v>
      </c>
      <c r="L7440" s="23" t="s">
        <v>8</v>
      </c>
      <c r="M7440" s="23" t="s">
        <v>8</v>
      </c>
    </row>
    <row r="7441" spans="1:13" s="21" customFormat="1" x14ac:dyDescent="0.25">
      <c r="A7441" s="22" t="s">
        <v>8</v>
      </c>
      <c r="B7441" s="18" t="str">
        <f>"265452"</f>
        <v>265452</v>
      </c>
      <c r="C7441" s="19" t="s">
        <v>7333</v>
      </c>
      <c r="D7441" s="19" t="s">
        <v>22862</v>
      </c>
      <c r="E7441" s="19" t="s">
        <v>32023</v>
      </c>
      <c r="F7441" s="19" t="s">
        <v>35999</v>
      </c>
      <c r="G7441" s="18" t="str">
        <f>"65712"</f>
        <v>65712</v>
      </c>
      <c r="H7441" s="19" t="s">
        <v>32568</v>
      </c>
      <c r="I7441" s="20">
        <v>19.129000000000001</v>
      </c>
      <c r="J7441" s="44" t="s">
        <v>8</v>
      </c>
      <c r="K7441" s="23" t="s">
        <v>8</v>
      </c>
      <c r="L7441" s="23" t="s">
        <v>8</v>
      </c>
      <c r="M7441" s="23" t="s">
        <v>8</v>
      </c>
    </row>
    <row r="7442" spans="1:13" s="21" customFormat="1" x14ac:dyDescent="0.25">
      <c r="A7442" s="22" t="s">
        <v>8</v>
      </c>
      <c r="B7442" s="18" t="str">
        <f>"265454"</f>
        <v>265454</v>
      </c>
      <c r="C7442" s="19" t="s">
        <v>7334</v>
      </c>
      <c r="D7442" s="19" t="s">
        <v>22863</v>
      </c>
      <c r="E7442" s="19" t="s">
        <v>33653</v>
      </c>
      <c r="F7442" s="19" t="s">
        <v>35999</v>
      </c>
      <c r="G7442" s="18" t="str">
        <f>"64089"</f>
        <v>64089</v>
      </c>
      <c r="H7442" s="19" t="s">
        <v>36030</v>
      </c>
      <c r="I7442" s="20">
        <v>21.707999999999998</v>
      </c>
      <c r="J7442" s="44" t="s">
        <v>8</v>
      </c>
      <c r="K7442" s="23" t="s">
        <v>8</v>
      </c>
      <c r="L7442" s="23" t="s">
        <v>8</v>
      </c>
      <c r="M7442" s="23" t="s">
        <v>8</v>
      </c>
    </row>
    <row r="7443" spans="1:13" s="21" customFormat="1" x14ac:dyDescent="0.25">
      <c r="A7443" s="22" t="s">
        <v>8</v>
      </c>
      <c r="B7443" s="18" t="str">
        <f>"265455"</f>
        <v>265455</v>
      </c>
      <c r="C7443" s="19" t="s">
        <v>7335</v>
      </c>
      <c r="D7443" s="19" t="s">
        <v>22864</v>
      </c>
      <c r="E7443" s="19" t="s">
        <v>33654</v>
      </c>
      <c r="F7443" s="19" t="s">
        <v>35999</v>
      </c>
      <c r="G7443" s="18" t="str">
        <f>"65781"</f>
        <v>65781</v>
      </c>
      <c r="H7443" s="19" t="s">
        <v>32455</v>
      </c>
      <c r="I7443" s="20">
        <v>19.727</v>
      </c>
      <c r="J7443" s="44" t="s">
        <v>8</v>
      </c>
      <c r="K7443" s="23" t="s">
        <v>8</v>
      </c>
      <c r="L7443" s="23" t="s">
        <v>8</v>
      </c>
      <c r="M7443" s="23" t="s">
        <v>8</v>
      </c>
    </row>
    <row r="7444" spans="1:13" s="21" customFormat="1" x14ac:dyDescent="0.25">
      <c r="A7444" s="22" t="s">
        <v>8</v>
      </c>
      <c r="B7444" s="18" t="str">
        <f>"265456"</f>
        <v>265456</v>
      </c>
      <c r="C7444" s="19" t="s">
        <v>7336</v>
      </c>
      <c r="D7444" s="19" t="s">
        <v>22865</v>
      </c>
      <c r="E7444" s="19" t="s">
        <v>32424</v>
      </c>
      <c r="F7444" s="19" t="s">
        <v>35999</v>
      </c>
      <c r="G7444" s="18" t="str">
        <f>"64057"</f>
        <v>64057</v>
      </c>
      <c r="H7444" s="19" t="s">
        <v>30816</v>
      </c>
      <c r="I7444" s="20">
        <v>20.327000000000002</v>
      </c>
      <c r="J7444" s="44" t="s">
        <v>8</v>
      </c>
      <c r="K7444" s="23" t="s">
        <v>8</v>
      </c>
      <c r="L7444" s="23" t="s">
        <v>8</v>
      </c>
      <c r="M7444" s="23" t="s">
        <v>8</v>
      </c>
    </row>
    <row r="7445" spans="1:13" s="21" customFormat="1" x14ac:dyDescent="0.25">
      <c r="A7445" s="22" t="s">
        <v>8</v>
      </c>
      <c r="B7445" s="18" t="str">
        <f>"265457"</f>
        <v>265457</v>
      </c>
      <c r="C7445" s="19" t="s">
        <v>7337</v>
      </c>
      <c r="D7445" s="19" t="s">
        <v>22866</v>
      </c>
      <c r="E7445" s="19" t="s">
        <v>33228</v>
      </c>
      <c r="F7445" s="19" t="s">
        <v>35999</v>
      </c>
      <c r="G7445" s="18" t="str">
        <f>"63146"</f>
        <v>63146</v>
      </c>
      <c r="H7445" s="19" t="s">
        <v>33228</v>
      </c>
      <c r="I7445" s="20">
        <v>20.858000000000001</v>
      </c>
      <c r="J7445" s="44" t="s">
        <v>8</v>
      </c>
      <c r="K7445" s="23" t="s">
        <v>8</v>
      </c>
      <c r="L7445" s="23" t="s">
        <v>8</v>
      </c>
      <c r="M7445" s="23" t="s">
        <v>8</v>
      </c>
    </row>
    <row r="7446" spans="1:13" s="21" customFormat="1" x14ac:dyDescent="0.25">
      <c r="A7446" s="22" t="s">
        <v>8</v>
      </c>
      <c r="B7446" s="18" t="str">
        <f>"265460"</f>
        <v>265460</v>
      </c>
      <c r="C7446" s="19" t="s">
        <v>7338</v>
      </c>
      <c r="D7446" s="19" t="s">
        <v>22867</v>
      </c>
      <c r="E7446" s="19" t="s">
        <v>33655</v>
      </c>
      <c r="F7446" s="19" t="s">
        <v>35999</v>
      </c>
      <c r="G7446" s="18" t="str">
        <f>"65625"</f>
        <v>65625</v>
      </c>
      <c r="H7446" s="19" t="s">
        <v>32158</v>
      </c>
      <c r="I7446" s="20">
        <v>20.315999999999999</v>
      </c>
      <c r="J7446" s="44" t="s">
        <v>8</v>
      </c>
      <c r="K7446" s="23" t="s">
        <v>8</v>
      </c>
      <c r="L7446" s="23" t="s">
        <v>8</v>
      </c>
      <c r="M7446" s="23" t="s">
        <v>8</v>
      </c>
    </row>
    <row r="7447" spans="1:13" s="21" customFormat="1" x14ac:dyDescent="0.25">
      <c r="A7447" s="22" t="s">
        <v>8</v>
      </c>
      <c r="B7447" s="18" t="str">
        <f>"265462"</f>
        <v>265462</v>
      </c>
      <c r="C7447" s="19" t="s">
        <v>7339</v>
      </c>
      <c r="D7447" s="19" t="s">
        <v>22868</v>
      </c>
      <c r="E7447" s="19" t="s">
        <v>33587</v>
      </c>
      <c r="F7447" s="19" t="s">
        <v>35999</v>
      </c>
      <c r="G7447" s="18" t="str">
        <f>"63401"</f>
        <v>63401</v>
      </c>
      <c r="H7447" s="19" t="s">
        <v>30850</v>
      </c>
      <c r="I7447" s="20">
        <v>15.978</v>
      </c>
      <c r="J7447" s="44" t="s">
        <v>8</v>
      </c>
      <c r="K7447" s="23" t="s">
        <v>8</v>
      </c>
      <c r="L7447" s="23" t="s">
        <v>8</v>
      </c>
      <c r="M7447" s="23" t="s">
        <v>8</v>
      </c>
    </row>
    <row r="7448" spans="1:13" s="21" customFormat="1" x14ac:dyDescent="0.25">
      <c r="A7448" s="22" t="s">
        <v>8</v>
      </c>
      <c r="B7448" s="18" t="str">
        <f>"265463"</f>
        <v>265463</v>
      </c>
      <c r="C7448" s="19" t="s">
        <v>7340</v>
      </c>
      <c r="D7448" s="19" t="s">
        <v>22869</v>
      </c>
      <c r="E7448" s="19" t="s">
        <v>32565</v>
      </c>
      <c r="F7448" s="19" t="s">
        <v>35999</v>
      </c>
      <c r="G7448" s="18" t="str">
        <f>"64123"</f>
        <v>64123</v>
      </c>
      <c r="H7448" s="19" t="s">
        <v>30816</v>
      </c>
      <c r="I7448" s="20">
        <v>20.266999999999999</v>
      </c>
      <c r="J7448" s="44" t="s">
        <v>8</v>
      </c>
      <c r="K7448" s="23" t="s">
        <v>8</v>
      </c>
      <c r="L7448" s="23" t="s">
        <v>8</v>
      </c>
      <c r="M7448" s="23" t="s">
        <v>8</v>
      </c>
    </row>
    <row r="7449" spans="1:13" s="21" customFormat="1" x14ac:dyDescent="0.25">
      <c r="A7449" s="22" t="s">
        <v>8</v>
      </c>
      <c r="B7449" s="18" t="str">
        <f>"265464"</f>
        <v>265464</v>
      </c>
      <c r="C7449" s="19" t="s">
        <v>7341</v>
      </c>
      <c r="D7449" s="19" t="s">
        <v>22870</v>
      </c>
      <c r="E7449" s="19" t="s">
        <v>30897</v>
      </c>
      <c r="F7449" s="19" t="s">
        <v>35999</v>
      </c>
      <c r="G7449" s="18" t="str">
        <f>"65721"</f>
        <v>65721</v>
      </c>
      <c r="H7449" s="19" t="s">
        <v>36234</v>
      </c>
      <c r="I7449" s="20">
        <v>18.856000000000002</v>
      </c>
      <c r="J7449" s="44" t="s">
        <v>8</v>
      </c>
      <c r="K7449" s="23" t="s">
        <v>8</v>
      </c>
      <c r="L7449" s="23" t="s">
        <v>8</v>
      </c>
      <c r="M7449" s="23" t="s">
        <v>8</v>
      </c>
    </row>
    <row r="7450" spans="1:13" s="21" customFormat="1" x14ac:dyDescent="0.25">
      <c r="A7450" s="22" t="s">
        <v>8</v>
      </c>
      <c r="B7450" s="18" t="str">
        <f>"265466"</f>
        <v>265466</v>
      </c>
      <c r="C7450" s="19" t="s">
        <v>7342</v>
      </c>
      <c r="D7450" s="19" t="s">
        <v>22871</v>
      </c>
      <c r="E7450" s="19" t="s">
        <v>31110</v>
      </c>
      <c r="F7450" s="19" t="s">
        <v>35999</v>
      </c>
      <c r="G7450" s="18" t="str">
        <f>"65785"</f>
        <v>65785</v>
      </c>
      <c r="H7450" s="19" t="s">
        <v>36284</v>
      </c>
      <c r="I7450" s="20">
        <v>18.059999999999999</v>
      </c>
      <c r="J7450" s="44" t="s">
        <v>8</v>
      </c>
      <c r="K7450" s="23" t="s">
        <v>8</v>
      </c>
      <c r="L7450" s="23" t="s">
        <v>8</v>
      </c>
      <c r="M7450" s="23" t="s">
        <v>8</v>
      </c>
    </row>
    <row r="7451" spans="1:13" s="21" customFormat="1" x14ac:dyDescent="0.25">
      <c r="A7451" s="22" t="s">
        <v>8</v>
      </c>
      <c r="B7451" s="18" t="str">
        <f>"265468"</f>
        <v>265468</v>
      </c>
      <c r="C7451" s="19" t="s">
        <v>7343</v>
      </c>
      <c r="D7451" s="19" t="s">
        <v>22872</v>
      </c>
      <c r="E7451" s="19" t="s">
        <v>31471</v>
      </c>
      <c r="F7451" s="19" t="s">
        <v>35999</v>
      </c>
      <c r="G7451" s="18" t="str">
        <f>"64844"</f>
        <v>64844</v>
      </c>
      <c r="H7451" s="19" t="s">
        <v>32101</v>
      </c>
      <c r="I7451" s="20">
        <v>17.565000000000001</v>
      </c>
      <c r="J7451" s="44" t="s">
        <v>8</v>
      </c>
      <c r="K7451" s="23" t="s">
        <v>8</v>
      </c>
      <c r="L7451" s="23" t="s">
        <v>8</v>
      </c>
      <c r="M7451" s="23" t="s">
        <v>8</v>
      </c>
    </row>
    <row r="7452" spans="1:13" s="21" customFormat="1" x14ac:dyDescent="0.25">
      <c r="A7452" s="22" t="s">
        <v>8</v>
      </c>
      <c r="B7452" s="18" t="str">
        <f>"265469"</f>
        <v>265469</v>
      </c>
      <c r="C7452" s="19" t="s">
        <v>7344</v>
      </c>
      <c r="D7452" s="19" t="s">
        <v>22873</v>
      </c>
      <c r="E7452" s="19" t="s">
        <v>33587</v>
      </c>
      <c r="F7452" s="19" t="s">
        <v>35999</v>
      </c>
      <c r="G7452" s="18" t="str">
        <f>"63401"</f>
        <v>63401</v>
      </c>
      <c r="H7452" s="19" t="s">
        <v>30850</v>
      </c>
      <c r="I7452" s="20">
        <v>19.986999999999998</v>
      </c>
      <c r="J7452" s="44" t="s">
        <v>8</v>
      </c>
      <c r="K7452" s="23" t="s">
        <v>8</v>
      </c>
      <c r="L7452" s="23" t="s">
        <v>8</v>
      </c>
      <c r="M7452" s="23" t="s">
        <v>8</v>
      </c>
    </row>
    <row r="7453" spans="1:13" s="21" customFormat="1" x14ac:dyDescent="0.25">
      <c r="A7453" s="22" t="s">
        <v>8</v>
      </c>
      <c r="B7453" s="18" t="str">
        <f>"265470"</f>
        <v>265470</v>
      </c>
      <c r="C7453" s="19" t="s">
        <v>7345</v>
      </c>
      <c r="D7453" s="19" t="s">
        <v>22874</v>
      </c>
      <c r="E7453" s="19" t="s">
        <v>33493</v>
      </c>
      <c r="F7453" s="19" t="s">
        <v>35999</v>
      </c>
      <c r="G7453" s="18" t="str">
        <f>"65483"</f>
        <v>65483</v>
      </c>
      <c r="H7453" s="19" t="s">
        <v>36507</v>
      </c>
      <c r="I7453" s="20">
        <v>17.946000000000002</v>
      </c>
      <c r="J7453" s="44" t="s">
        <v>8</v>
      </c>
      <c r="K7453" s="23" t="s">
        <v>8</v>
      </c>
      <c r="L7453" s="23" t="s">
        <v>8</v>
      </c>
      <c r="M7453" s="23" t="s">
        <v>8</v>
      </c>
    </row>
    <row r="7454" spans="1:13" s="21" customFormat="1" x14ac:dyDescent="0.25">
      <c r="A7454" s="22" t="s">
        <v>8</v>
      </c>
      <c r="B7454" s="18" t="str">
        <f>"265471"</f>
        <v>265471</v>
      </c>
      <c r="C7454" s="19" t="s">
        <v>7346</v>
      </c>
      <c r="D7454" s="19" t="s">
        <v>22875</v>
      </c>
      <c r="E7454" s="19" t="s">
        <v>33453</v>
      </c>
      <c r="F7454" s="19" t="s">
        <v>35999</v>
      </c>
      <c r="G7454" s="18" t="str">
        <f>"65622"</f>
        <v>65622</v>
      </c>
      <c r="H7454" s="19" t="s">
        <v>31723</v>
      </c>
      <c r="I7454" s="20">
        <v>17.452000000000002</v>
      </c>
      <c r="J7454" s="44" t="s">
        <v>8</v>
      </c>
      <c r="K7454" s="23" t="s">
        <v>8</v>
      </c>
      <c r="L7454" s="23" t="s">
        <v>8</v>
      </c>
      <c r="M7454" s="23" t="s">
        <v>8</v>
      </c>
    </row>
    <row r="7455" spans="1:13" s="21" customFormat="1" x14ac:dyDescent="0.25">
      <c r="A7455" s="22" t="s">
        <v>8</v>
      </c>
      <c r="B7455" s="18" t="str">
        <f>"265472"</f>
        <v>265472</v>
      </c>
      <c r="C7455" s="19" t="s">
        <v>7347</v>
      </c>
      <c r="D7455" s="19" t="s">
        <v>22876</v>
      </c>
      <c r="E7455" s="19" t="s">
        <v>33656</v>
      </c>
      <c r="F7455" s="19" t="s">
        <v>35999</v>
      </c>
      <c r="G7455" s="18" t="str">
        <f>"63638"</f>
        <v>63638</v>
      </c>
      <c r="H7455" s="19" t="s">
        <v>36524</v>
      </c>
      <c r="I7455" s="20">
        <v>19.271999999999998</v>
      </c>
      <c r="J7455" s="44" t="s">
        <v>8</v>
      </c>
      <c r="K7455" s="23" t="s">
        <v>8</v>
      </c>
      <c r="L7455" s="23" t="s">
        <v>8</v>
      </c>
      <c r="M7455" s="23" t="s">
        <v>8</v>
      </c>
    </row>
    <row r="7456" spans="1:13" s="21" customFormat="1" x14ac:dyDescent="0.25">
      <c r="A7456" s="22" t="s">
        <v>8</v>
      </c>
      <c r="B7456" s="18" t="str">
        <f>"265473"</f>
        <v>265473</v>
      </c>
      <c r="C7456" s="19" t="s">
        <v>7348</v>
      </c>
      <c r="D7456" s="19" t="s">
        <v>22877</v>
      </c>
      <c r="E7456" s="19" t="s">
        <v>31717</v>
      </c>
      <c r="F7456" s="19" t="s">
        <v>35999</v>
      </c>
      <c r="G7456" s="18" t="str">
        <f>"65809"</f>
        <v>65809</v>
      </c>
      <c r="H7456" s="19" t="s">
        <v>32455</v>
      </c>
      <c r="I7456" s="20">
        <v>17.388000000000002</v>
      </c>
      <c r="J7456" s="44" t="s">
        <v>8</v>
      </c>
      <c r="K7456" s="23" t="s">
        <v>8</v>
      </c>
      <c r="L7456" s="23" t="s">
        <v>8</v>
      </c>
      <c r="M7456" s="23" t="s">
        <v>8</v>
      </c>
    </row>
    <row r="7457" spans="1:13" s="21" customFormat="1" x14ac:dyDescent="0.25">
      <c r="A7457" s="22" t="s">
        <v>8</v>
      </c>
      <c r="B7457" s="18" t="str">
        <f>"265474"</f>
        <v>265474</v>
      </c>
      <c r="C7457" s="19" t="s">
        <v>7349</v>
      </c>
      <c r="D7457" s="19" t="s">
        <v>22878</v>
      </c>
      <c r="E7457" s="19" t="s">
        <v>32120</v>
      </c>
      <c r="F7457" s="19" t="s">
        <v>35999</v>
      </c>
      <c r="G7457" s="18" t="str">
        <f>"63452"</f>
        <v>63452</v>
      </c>
      <c r="H7457" s="19" t="s">
        <v>36336</v>
      </c>
      <c r="I7457" s="20">
        <v>16.739999999999998</v>
      </c>
      <c r="J7457" s="44" t="s">
        <v>8</v>
      </c>
      <c r="K7457" s="23" t="s">
        <v>8</v>
      </c>
      <c r="L7457" s="23" t="s">
        <v>8</v>
      </c>
      <c r="M7457" s="23" t="s">
        <v>8</v>
      </c>
    </row>
    <row r="7458" spans="1:13" s="21" customFormat="1" x14ac:dyDescent="0.25">
      <c r="A7458" s="22" t="s">
        <v>8</v>
      </c>
      <c r="B7458" s="18" t="str">
        <f>"265475"</f>
        <v>265475</v>
      </c>
      <c r="C7458" s="19" t="s">
        <v>7350</v>
      </c>
      <c r="D7458" s="19" t="s">
        <v>22879</v>
      </c>
      <c r="E7458" s="19" t="s">
        <v>31717</v>
      </c>
      <c r="F7458" s="19" t="s">
        <v>35999</v>
      </c>
      <c r="G7458" s="18" t="str">
        <f>"65803"</f>
        <v>65803</v>
      </c>
      <c r="H7458" s="19" t="s">
        <v>32455</v>
      </c>
      <c r="I7458" s="20">
        <v>17.222999999999999</v>
      </c>
      <c r="J7458" s="44" t="s">
        <v>8</v>
      </c>
      <c r="K7458" s="23" t="s">
        <v>8</v>
      </c>
      <c r="L7458" s="23" t="s">
        <v>8</v>
      </c>
      <c r="M7458" s="23" t="s">
        <v>8</v>
      </c>
    </row>
    <row r="7459" spans="1:13" s="21" customFormat="1" x14ac:dyDescent="0.25">
      <c r="A7459" s="22" t="s">
        <v>8</v>
      </c>
      <c r="B7459" s="18" t="str">
        <f>"265476"</f>
        <v>265476</v>
      </c>
      <c r="C7459" s="19" t="s">
        <v>7351</v>
      </c>
      <c r="D7459" s="19" t="s">
        <v>22880</v>
      </c>
      <c r="E7459" s="19" t="s">
        <v>33657</v>
      </c>
      <c r="F7459" s="19" t="s">
        <v>35999</v>
      </c>
      <c r="G7459" s="18" t="str">
        <f>"64083"</f>
        <v>64083</v>
      </c>
      <c r="H7459" s="19" t="s">
        <v>36246</v>
      </c>
      <c r="I7459" s="20">
        <v>21.866</v>
      </c>
      <c r="J7459" s="44" t="s">
        <v>8</v>
      </c>
      <c r="K7459" s="23" t="s">
        <v>8</v>
      </c>
      <c r="L7459" s="23" t="s">
        <v>8</v>
      </c>
      <c r="M7459" s="23" t="s">
        <v>8</v>
      </c>
    </row>
    <row r="7460" spans="1:13" s="21" customFormat="1" x14ac:dyDescent="0.25">
      <c r="A7460" s="22" t="s">
        <v>8</v>
      </c>
      <c r="B7460" s="18" t="str">
        <f>"265477"</f>
        <v>265477</v>
      </c>
      <c r="C7460" s="19" t="s">
        <v>7352</v>
      </c>
      <c r="D7460" s="19" t="s">
        <v>22881</v>
      </c>
      <c r="E7460" s="19" t="s">
        <v>31717</v>
      </c>
      <c r="F7460" s="19" t="s">
        <v>35999</v>
      </c>
      <c r="G7460" s="18" t="str">
        <f>"65802"</f>
        <v>65802</v>
      </c>
      <c r="H7460" s="19" t="s">
        <v>32455</v>
      </c>
      <c r="I7460" s="20">
        <v>16.372</v>
      </c>
      <c r="J7460" s="44" t="s">
        <v>8</v>
      </c>
      <c r="K7460" s="23" t="s">
        <v>8</v>
      </c>
      <c r="L7460" s="23" t="s">
        <v>8</v>
      </c>
      <c r="M7460" s="23" t="s">
        <v>8</v>
      </c>
    </row>
    <row r="7461" spans="1:13" s="21" customFormat="1" x14ac:dyDescent="0.25">
      <c r="A7461" s="22" t="s">
        <v>8</v>
      </c>
      <c r="B7461" s="18" t="str">
        <f>"265479"</f>
        <v>265479</v>
      </c>
      <c r="C7461" s="19" t="s">
        <v>7353</v>
      </c>
      <c r="D7461" s="19" t="s">
        <v>22882</v>
      </c>
      <c r="E7461" s="19" t="s">
        <v>33639</v>
      </c>
      <c r="F7461" s="19" t="s">
        <v>35999</v>
      </c>
      <c r="G7461" s="18" t="str">
        <f>"63801"</f>
        <v>63801</v>
      </c>
      <c r="H7461" s="19" t="s">
        <v>36083</v>
      </c>
      <c r="I7461" s="20">
        <v>18.013000000000002</v>
      </c>
      <c r="J7461" s="44" t="s">
        <v>8</v>
      </c>
      <c r="K7461" s="23" t="s">
        <v>8</v>
      </c>
      <c r="L7461" s="23" t="s">
        <v>8</v>
      </c>
      <c r="M7461" s="23" t="s">
        <v>8</v>
      </c>
    </row>
    <row r="7462" spans="1:13" s="21" customFormat="1" x14ac:dyDescent="0.25">
      <c r="A7462" s="22" t="s">
        <v>8</v>
      </c>
      <c r="B7462" s="18" t="str">
        <f>"265480"</f>
        <v>265480</v>
      </c>
      <c r="C7462" s="19" t="s">
        <v>7354</v>
      </c>
      <c r="D7462" s="19" t="s">
        <v>22883</v>
      </c>
      <c r="E7462" s="19" t="s">
        <v>31927</v>
      </c>
      <c r="F7462" s="19" t="s">
        <v>35999</v>
      </c>
      <c r="G7462" s="18" t="str">
        <f>"64601"</f>
        <v>64601</v>
      </c>
      <c r="H7462" s="19" t="s">
        <v>33740</v>
      </c>
      <c r="I7462" s="20">
        <v>19.783000000000001</v>
      </c>
      <c r="J7462" s="44" t="s">
        <v>8</v>
      </c>
      <c r="K7462" s="23" t="s">
        <v>8</v>
      </c>
      <c r="L7462" s="23" t="s">
        <v>8</v>
      </c>
      <c r="M7462" s="23" t="s">
        <v>8</v>
      </c>
    </row>
    <row r="7463" spans="1:13" s="21" customFormat="1" x14ac:dyDescent="0.25">
      <c r="A7463" s="22" t="s">
        <v>8</v>
      </c>
      <c r="B7463" s="18" t="str">
        <f>"265481"</f>
        <v>265481</v>
      </c>
      <c r="C7463" s="19" t="s">
        <v>7355</v>
      </c>
      <c r="D7463" s="19" t="s">
        <v>22884</v>
      </c>
      <c r="E7463" s="19" t="s">
        <v>33658</v>
      </c>
      <c r="F7463" s="19" t="s">
        <v>35999</v>
      </c>
      <c r="G7463" s="18" t="str">
        <f>"65265"</f>
        <v>65265</v>
      </c>
      <c r="H7463" s="19" t="s">
        <v>36525</v>
      </c>
      <c r="I7463" s="20">
        <v>18.332999999999998</v>
      </c>
      <c r="J7463" s="44" t="s">
        <v>8</v>
      </c>
      <c r="K7463" s="23" t="s">
        <v>8</v>
      </c>
      <c r="L7463" s="23" t="s">
        <v>8</v>
      </c>
      <c r="M7463" s="23" t="s">
        <v>8</v>
      </c>
    </row>
    <row r="7464" spans="1:13" s="21" customFormat="1" x14ac:dyDescent="0.25">
      <c r="A7464" s="22" t="s">
        <v>8</v>
      </c>
      <c r="B7464" s="18" t="str">
        <f>"265482"</f>
        <v>265482</v>
      </c>
      <c r="C7464" s="19" t="s">
        <v>7356</v>
      </c>
      <c r="D7464" s="19" t="s">
        <v>22885</v>
      </c>
      <c r="E7464" s="19" t="s">
        <v>33603</v>
      </c>
      <c r="F7464" s="19" t="s">
        <v>35999</v>
      </c>
      <c r="G7464" s="18" t="str">
        <f>"65109"</f>
        <v>65109</v>
      </c>
      <c r="H7464" s="19" t="s">
        <v>36516</v>
      </c>
      <c r="I7464" s="20">
        <v>17.393000000000001</v>
      </c>
      <c r="J7464" s="44" t="s">
        <v>8</v>
      </c>
      <c r="K7464" s="23" t="s">
        <v>8</v>
      </c>
      <c r="L7464" s="23" t="s">
        <v>8</v>
      </c>
      <c r="M7464" s="23" t="s">
        <v>8</v>
      </c>
    </row>
    <row r="7465" spans="1:13" s="21" customFormat="1" x14ac:dyDescent="0.25">
      <c r="A7465" s="22" t="s">
        <v>8</v>
      </c>
      <c r="B7465" s="18" t="str">
        <f>"265485"</f>
        <v>265485</v>
      </c>
      <c r="C7465" s="19" t="s">
        <v>7357</v>
      </c>
      <c r="D7465" s="19" t="s">
        <v>22886</v>
      </c>
      <c r="E7465" s="19" t="s">
        <v>33659</v>
      </c>
      <c r="F7465" s="19" t="s">
        <v>35999</v>
      </c>
      <c r="G7465" s="18" t="str">
        <f>"63445"</f>
        <v>63445</v>
      </c>
      <c r="H7465" s="19" t="s">
        <v>33967</v>
      </c>
      <c r="I7465" s="20">
        <v>21.265000000000001</v>
      </c>
      <c r="J7465" s="44" t="s">
        <v>8</v>
      </c>
      <c r="K7465" s="23" t="s">
        <v>8</v>
      </c>
      <c r="L7465" s="23" t="s">
        <v>8</v>
      </c>
      <c r="M7465" s="23" t="s">
        <v>8</v>
      </c>
    </row>
    <row r="7466" spans="1:13" s="21" customFormat="1" x14ac:dyDescent="0.25">
      <c r="A7466" s="22" t="s">
        <v>8</v>
      </c>
      <c r="B7466" s="18" t="str">
        <f>"265486"</f>
        <v>265486</v>
      </c>
      <c r="C7466" s="19" t="s">
        <v>7358</v>
      </c>
      <c r="D7466" s="19" t="s">
        <v>22887</v>
      </c>
      <c r="E7466" s="19" t="s">
        <v>33619</v>
      </c>
      <c r="F7466" s="19" t="s">
        <v>35999</v>
      </c>
      <c r="G7466" s="18" t="str">
        <f>"63043"</f>
        <v>63043</v>
      </c>
      <c r="H7466" s="19" t="s">
        <v>33228</v>
      </c>
      <c r="I7466" s="20">
        <v>20.260000000000002</v>
      </c>
      <c r="J7466" s="44" t="s">
        <v>8</v>
      </c>
      <c r="K7466" s="23" t="s">
        <v>8</v>
      </c>
      <c r="L7466" s="23" t="s">
        <v>8</v>
      </c>
      <c r="M7466" s="23" t="s">
        <v>8</v>
      </c>
    </row>
    <row r="7467" spans="1:13" s="21" customFormat="1" x14ac:dyDescent="0.25">
      <c r="A7467" s="22" t="s">
        <v>8</v>
      </c>
      <c r="B7467" s="18" t="str">
        <f>"265489"</f>
        <v>265489</v>
      </c>
      <c r="C7467" s="19" t="s">
        <v>7359</v>
      </c>
      <c r="D7467" s="19" t="s">
        <v>22888</v>
      </c>
      <c r="E7467" s="19" t="s">
        <v>33660</v>
      </c>
      <c r="F7467" s="19" t="s">
        <v>35999</v>
      </c>
      <c r="G7467" s="18" t="str">
        <f>"63670"</f>
        <v>63670</v>
      </c>
      <c r="H7467" s="19" t="s">
        <v>33660</v>
      </c>
      <c r="I7467" s="20">
        <v>20.175999999999998</v>
      </c>
      <c r="J7467" s="44" t="s">
        <v>8</v>
      </c>
      <c r="K7467" s="23" t="s">
        <v>8</v>
      </c>
      <c r="L7467" s="23" t="s">
        <v>8</v>
      </c>
      <c r="M7467" s="23" t="s">
        <v>8</v>
      </c>
    </row>
    <row r="7468" spans="1:13" s="21" customFormat="1" x14ac:dyDescent="0.25">
      <c r="A7468" s="22" t="s">
        <v>8</v>
      </c>
      <c r="B7468" s="18" t="str">
        <f>"265490"</f>
        <v>265490</v>
      </c>
      <c r="C7468" s="19" t="s">
        <v>7360</v>
      </c>
      <c r="D7468" s="19" t="s">
        <v>22889</v>
      </c>
      <c r="E7468" s="19" t="s">
        <v>32284</v>
      </c>
      <c r="F7468" s="19" t="s">
        <v>35999</v>
      </c>
      <c r="G7468" s="18" t="str">
        <f>"64068"</f>
        <v>64068</v>
      </c>
      <c r="H7468" s="19" t="s">
        <v>36030</v>
      </c>
      <c r="I7468" s="20">
        <v>23.465</v>
      </c>
      <c r="J7468" s="44" t="s">
        <v>8</v>
      </c>
      <c r="K7468" s="23" t="s">
        <v>8</v>
      </c>
      <c r="L7468" s="23" t="s">
        <v>8</v>
      </c>
      <c r="M7468" s="23" t="s">
        <v>8</v>
      </c>
    </row>
    <row r="7469" spans="1:13" s="21" customFormat="1" x14ac:dyDescent="0.25">
      <c r="A7469" s="22" t="s">
        <v>8</v>
      </c>
      <c r="B7469" s="18" t="str">
        <f>"265491"</f>
        <v>265491</v>
      </c>
      <c r="C7469" s="19" t="s">
        <v>7361</v>
      </c>
      <c r="D7469" s="19" t="s">
        <v>22890</v>
      </c>
      <c r="E7469" s="19" t="s">
        <v>32641</v>
      </c>
      <c r="F7469" s="19" t="s">
        <v>35999</v>
      </c>
      <c r="G7469" s="18" t="str">
        <f>"64865"</f>
        <v>64865</v>
      </c>
      <c r="H7469" s="19" t="s">
        <v>32101</v>
      </c>
      <c r="I7469" s="20">
        <v>19.507999999999999</v>
      </c>
      <c r="J7469" s="44" t="s">
        <v>8</v>
      </c>
      <c r="K7469" s="23" t="s">
        <v>8</v>
      </c>
      <c r="L7469" s="23" t="s">
        <v>8</v>
      </c>
      <c r="M7469" s="23" t="s">
        <v>8</v>
      </c>
    </row>
    <row r="7470" spans="1:13" s="21" customFormat="1" x14ac:dyDescent="0.25">
      <c r="A7470" s="22" t="s">
        <v>8</v>
      </c>
      <c r="B7470" s="18" t="str">
        <f>"265492"</f>
        <v>265492</v>
      </c>
      <c r="C7470" s="19" t="s">
        <v>7362</v>
      </c>
      <c r="D7470" s="19" t="s">
        <v>22891</v>
      </c>
      <c r="E7470" s="19" t="s">
        <v>33661</v>
      </c>
      <c r="F7470" s="19" t="s">
        <v>35999</v>
      </c>
      <c r="G7470" s="18" t="str">
        <f>"63740"</f>
        <v>63740</v>
      </c>
      <c r="H7470" s="19" t="s">
        <v>36083</v>
      </c>
      <c r="I7470" s="20">
        <v>17.677</v>
      </c>
      <c r="J7470" s="44" t="s">
        <v>8</v>
      </c>
      <c r="K7470" s="23" t="s">
        <v>8</v>
      </c>
      <c r="L7470" s="23" t="s">
        <v>8</v>
      </c>
      <c r="M7470" s="23" t="s">
        <v>8</v>
      </c>
    </row>
    <row r="7471" spans="1:13" s="21" customFormat="1" x14ac:dyDescent="0.25">
      <c r="A7471" s="22" t="s">
        <v>8</v>
      </c>
      <c r="B7471" s="18" t="str">
        <f>"265493"</f>
        <v>265493</v>
      </c>
      <c r="C7471" s="19" t="s">
        <v>7363</v>
      </c>
      <c r="D7471" s="19" t="s">
        <v>22892</v>
      </c>
      <c r="E7471" s="19" t="s">
        <v>32459</v>
      </c>
      <c r="F7471" s="19" t="s">
        <v>35999</v>
      </c>
      <c r="G7471" s="18" t="str">
        <f>"64772"</f>
        <v>64772</v>
      </c>
      <c r="H7471" s="19" t="s">
        <v>30903</v>
      </c>
      <c r="I7471" s="20">
        <v>19.207000000000001</v>
      </c>
      <c r="J7471" s="44" t="s">
        <v>8</v>
      </c>
      <c r="K7471" s="23" t="s">
        <v>8</v>
      </c>
      <c r="L7471" s="23" t="s">
        <v>8</v>
      </c>
      <c r="M7471" s="23" t="s">
        <v>8</v>
      </c>
    </row>
    <row r="7472" spans="1:13" s="21" customFormat="1" x14ac:dyDescent="0.25">
      <c r="A7472" s="22" t="s">
        <v>8</v>
      </c>
      <c r="B7472" s="18" t="str">
        <f>"265494"</f>
        <v>265494</v>
      </c>
      <c r="C7472" s="19" t="s">
        <v>7364</v>
      </c>
      <c r="D7472" s="19" t="s">
        <v>22893</v>
      </c>
      <c r="E7472" s="19" t="s">
        <v>31481</v>
      </c>
      <c r="F7472" s="19" t="s">
        <v>35999</v>
      </c>
      <c r="G7472" s="18" t="str">
        <f>"65704"</f>
        <v>65704</v>
      </c>
      <c r="H7472" s="19" t="s">
        <v>36290</v>
      </c>
      <c r="I7472" s="20">
        <v>19.652000000000001</v>
      </c>
      <c r="J7472" s="44" t="s">
        <v>8</v>
      </c>
      <c r="K7472" s="23" t="s">
        <v>8</v>
      </c>
      <c r="L7472" s="23" t="s">
        <v>8</v>
      </c>
      <c r="M7472" s="23" t="s">
        <v>8</v>
      </c>
    </row>
    <row r="7473" spans="1:13" s="21" customFormat="1" x14ac:dyDescent="0.25">
      <c r="A7473" s="22" t="s">
        <v>8</v>
      </c>
      <c r="B7473" s="18" t="str">
        <f>"265495"</f>
        <v>265495</v>
      </c>
      <c r="C7473" s="19" t="s">
        <v>7365</v>
      </c>
      <c r="D7473" s="19" t="s">
        <v>22894</v>
      </c>
      <c r="E7473" s="19" t="s">
        <v>33662</v>
      </c>
      <c r="F7473" s="19" t="s">
        <v>35999</v>
      </c>
      <c r="G7473" s="18" t="str">
        <f>"63077"</f>
        <v>63077</v>
      </c>
      <c r="H7473" s="19" t="s">
        <v>5</v>
      </c>
      <c r="I7473" s="20">
        <v>21.111000000000001</v>
      </c>
      <c r="J7473" s="44" t="s">
        <v>8</v>
      </c>
      <c r="K7473" s="23" t="s">
        <v>8</v>
      </c>
      <c r="L7473" s="23" t="s">
        <v>8</v>
      </c>
      <c r="M7473" s="23" t="s">
        <v>8</v>
      </c>
    </row>
    <row r="7474" spans="1:13" s="21" customFormat="1" x14ac:dyDescent="0.25">
      <c r="A7474" s="22" t="s">
        <v>8</v>
      </c>
      <c r="B7474" s="18" t="str">
        <f>"265496"</f>
        <v>265496</v>
      </c>
      <c r="C7474" s="19" t="s">
        <v>7366</v>
      </c>
      <c r="D7474" s="19" t="s">
        <v>22895</v>
      </c>
      <c r="E7474" s="19" t="s">
        <v>33663</v>
      </c>
      <c r="F7474" s="19" t="s">
        <v>35999</v>
      </c>
      <c r="G7474" s="18" t="str">
        <f>"63960"</f>
        <v>63960</v>
      </c>
      <c r="H7474" s="19" t="s">
        <v>36512</v>
      </c>
      <c r="I7474" s="20">
        <v>18.66</v>
      </c>
      <c r="J7474" s="44" t="s">
        <v>8</v>
      </c>
      <c r="K7474" s="23" t="s">
        <v>8</v>
      </c>
      <c r="L7474" s="23" t="s">
        <v>8</v>
      </c>
      <c r="M7474" s="23" t="s">
        <v>8</v>
      </c>
    </row>
    <row r="7475" spans="1:13" s="21" customFormat="1" x14ac:dyDescent="0.25">
      <c r="A7475" s="22" t="s">
        <v>8</v>
      </c>
      <c r="B7475" s="18" t="str">
        <f>"265498"</f>
        <v>265498</v>
      </c>
      <c r="C7475" s="19" t="s">
        <v>7367</v>
      </c>
      <c r="D7475" s="19" t="s">
        <v>22896</v>
      </c>
      <c r="E7475" s="19" t="s">
        <v>32076</v>
      </c>
      <c r="F7475" s="19" t="s">
        <v>35999</v>
      </c>
      <c r="G7475" s="18" t="str">
        <f>"65201"</f>
        <v>65201</v>
      </c>
      <c r="H7475" s="19" t="s">
        <v>32513</v>
      </c>
      <c r="I7475" s="20">
        <v>19.643000000000001</v>
      </c>
      <c r="J7475" s="44" t="s">
        <v>8</v>
      </c>
      <c r="K7475" s="23" t="s">
        <v>8</v>
      </c>
      <c r="L7475" s="23" t="s">
        <v>8</v>
      </c>
      <c r="M7475" s="23" t="s">
        <v>8</v>
      </c>
    </row>
    <row r="7476" spans="1:13" s="21" customFormat="1" x14ac:dyDescent="0.25">
      <c r="A7476" s="22" t="s">
        <v>8</v>
      </c>
      <c r="B7476" s="18" t="str">
        <f>"265500"</f>
        <v>265500</v>
      </c>
      <c r="C7476" s="19" t="s">
        <v>7368</v>
      </c>
      <c r="D7476" s="19" t="s">
        <v>22897</v>
      </c>
      <c r="E7476" s="19" t="s">
        <v>33228</v>
      </c>
      <c r="F7476" s="19" t="s">
        <v>35999</v>
      </c>
      <c r="G7476" s="18" t="str">
        <f>"63108"</f>
        <v>63108</v>
      </c>
      <c r="H7476" s="19" t="s">
        <v>36518</v>
      </c>
      <c r="I7476" s="20">
        <v>19.684999999999999</v>
      </c>
      <c r="J7476" s="44" t="s">
        <v>8</v>
      </c>
      <c r="K7476" s="23" t="s">
        <v>8</v>
      </c>
      <c r="L7476" s="23" t="s">
        <v>8</v>
      </c>
      <c r="M7476" s="23" t="s">
        <v>8</v>
      </c>
    </row>
    <row r="7477" spans="1:13" s="21" customFormat="1" x14ac:dyDescent="0.25">
      <c r="A7477" s="22" t="s">
        <v>8</v>
      </c>
      <c r="B7477" s="18" t="str">
        <f>"265501"</f>
        <v>265501</v>
      </c>
      <c r="C7477" s="19" t="s">
        <v>7369</v>
      </c>
      <c r="D7477" s="19" t="s">
        <v>22898</v>
      </c>
      <c r="E7477" s="19" t="s">
        <v>33664</v>
      </c>
      <c r="F7477" s="19" t="s">
        <v>35999</v>
      </c>
      <c r="G7477" s="18" t="str">
        <f>"64076"</f>
        <v>64076</v>
      </c>
      <c r="H7477" s="19" t="s">
        <v>30892</v>
      </c>
      <c r="I7477" s="20">
        <v>21.152000000000001</v>
      </c>
      <c r="J7477" s="44" t="s">
        <v>8</v>
      </c>
      <c r="K7477" s="23" t="s">
        <v>8</v>
      </c>
      <c r="L7477" s="23" t="s">
        <v>8</v>
      </c>
      <c r="M7477" s="23" t="s">
        <v>8</v>
      </c>
    </row>
    <row r="7478" spans="1:13" s="21" customFormat="1" x14ac:dyDescent="0.25">
      <c r="A7478" s="22" t="s">
        <v>8</v>
      </c>
      <c r="B7478" s="18" t="str">
        <f>"265503"</f>
        <v>265503</v>
      </c>
      <c r="C7478" s="19" t="s">
        <v>7370</v>
      </c>
      <c r="D7478" s="19" t="s">
        <v>22899</v>
      </c>
      <c r="E7478" s="19" t="s">
        <v>33593</v>
      </c>
      <c r="F7478" s="19" t="s">
        <v>35999</v>
      </c>
      <c r="G7478" s="18" t="str">
        <f>"63701"</f>
        <v>63701</v>
      </c>
      <c r="H7478" s="19" t="s">
        <v>33593</v>
      </c>
      <c r="I7478" s="20">
        <v>17.681000000000001</v>
      </c>
      <c r="J7478" s="44" t="s">
        <v>8</v>
      </c>
      <c r="K7478" s="23" t="s">
        <v>8</v>
      </c>
      <c r="L7478" s="23" t="s">
        <v>8</v>
      </c>
      <c r="M7478" s="23" t="s">
        <v>8</v>
      </c>
    </row>
    <row r="7479" spans="1:13" s="21" customFormat="1" x14ac:dyDescent="0.25">
      <c r="A7479" s="22" t="s">
        <v>8</v>
      </c>
      <c r="B7479" s="18" t="str">
        <f>"265504"</f>
        <v>265504</v>
      </c>
      <c r="C7479" s="19" t="s">
        <v>7371</v>
      </c>
      <c r="D7479" s="19" t="s">
        <v>22900</v>
      </c>
      <c r="E7479" s="19" t="s">
        <v>33665</v>
      </c>
      <c r="F7479" s="19" t="s">
        <v>35999</v>
      </c>
      <c r="G7479" s="18" t="str">
        <f>"63935"</f>
        <v>63935</v>
      </c>
      <c r="H7479" s="19" t="s">
        <v>33524</v>
      </c>
      <c r="I7479" s="20">
        <v>26.521000000000001</v>
      </c>
      <c r="J7479" s="44" t="s">
        <v>8</v>
      </c>
      <c r="K7479" s="23" t="s">
        <v>8</v>
      </c>
      <c r="L7479" s="23" t="s">
        <v>8</v>
      </c>
      <c r="M7479" s="23" t="s">
        <v>8</v>
      </c>
    </row>
    <row r="7480" spans="1:13" s="21" customFormat="1" x14ac:dyDescent="0.25">
      <c r="A7480" s="22" t="s">
        <v>8</v>
      </c>
      <c r="B7480" s="18" t="str">
        <f>"265506"</f>
        <v>265506</v>
      </c>
      <c r="C7480" s="19" t="s">
        <v>7372</v>
      </c>
      <c r="D7480" s="19" t="s">
        <v>22901</v>
      </c>
      <c r="E7480" s="19" t="s">
        <v>33666</v>
      </c>
      <c r="F7480" s="19" t="s">
        <v>35999</v>
      </c>
      <c r="G7480" s="18" t="str">
        <f>"64489"</f>
        <v>64489</v>
      </c>
      <c r="H7480" s="19" t="s">
        <v>36526</v>
      </c>
      <c r="I7480" s="20">
        <v>19.920999999999999</v>
      </c>
      <c r="J7480" s="44" t="s">
        <v>8</v>
      </c>
      <c r="K7480" s="23" t="s">
        <v>8</v>
      </c>
      <c r="L7480" s="23" t="s">
        <v>8</v>
      </c>
      <c r="M7480" s="23" t="s">
        <v>8</v>
      </c>
    </row>
    <row r="7481" spans="1:13" s="21" customFormat="1" x14ac:dyDescent="0.25">
      <c r="A7481" s="22" t="s">
        <v>8</v>
      </c>
      <c r="B7481" s="18" t="str">
        <f>"265508"</f>
        <v>265508</v>
      </c>
      <c r="C7481" s="19" t="s">
        <v>7373</v>
      </c>
      <c r="D7481" s="19" t="s">
        <v>22902</v>
      </c>
      <c r="E7481" s="19" t="s">
        <v>31063</v>
      </c>
      <c r="F7481" s="19" t="s">
        <v>35999</v>
      </c>
      <c r="G7481" s="18" t="str">
        <f>"65340"</f>
        <v>65340</v>
      </c>
      <c r="H7481" s="19" t="s">
        <v>33206</v>
      </c>
      <c r="I7481" s="20">
        <v>19.739999999999998</v>
      </c>
      <c r="J7481" s="44" t="s">
        <v>8</v>
      </c>
      <c r="K7481" s="23" t="s">
        <v>8</v>
      </c>
      <c r="L7481" s="23" t="s">
        <v>8</v>
      </c>
      <c r="M7481" s="23" t="s">
        <v>8</v>
      </c>
    </row>
    <row r="7482" spans="1:13" s="21" customFormat="1" x14ac:dyDescent="0.25">
      <c r="A7482" s="22" t="s">
        <v>8</v>
      </c>
      <c r="B7482" s="18" t="str">
        <f>"265509"</f>
        <v>265509</v>
      </c>
      <c r="C7482" s="19" t="s">
        <v>7374</v>
      </c>
      <c r="D7482" s="19" t="s">
        <v>22903</v>
      </c>
      <c r="E7482" s="19" t="s">
        <v>32967</v>
      </c>
      <c r="F7482" s="19" t="s">
        <v>35999</v>
      </c>
      <c r="G7482" s="18" t="str">
        <f>"63010"</f>
        <v>63010</v>
      </c>
      <c r="H7482" s="19" t="s">
        <v>32391</v>
      </c>
      <c r="I7482" s="20">
        <v>20.454000000000001</v>
      </c>
      <c r="J7482" s="44" t="s">
        <v>8</v>
      </c>
      <c r="K7482" s="23" t="s">
        <v>8</v>
      </c>
      <c r="L7482" s="23" t="s">
        <v>8</v>
      </c>
      <c r="M7482" s="23" t="s">
        <v>8</v>
      </c>
    </row>
    <row r="7483" spans="1:13" s="21" customFormat="1" x14ac:dyDescent="0.25">
      <c r="A7483" s="22" t="s">
        <v>8</v>
      </c>
      <c r="B7483" s="18" t="str">
        <f>"265510"</f>
        <v>265510</v>
      </c>
      <c r="C7483" s="19" t="s">
        <v>7375</v>
      </c>
      <c r="D7483" s="19" t="s">
        <v>22904</v>
      </c>
      <c r="E7483" s="19" t="s">
        <v>33629</v>
      </c>
      <c r="F7483" s="19" t="s">
        <v>35999</v>
      </c>
      <c r="G7483" s="18" t="str">
        <f>"64133"</f>
        <v>64133</v>
      </c>
      <c r="H7483" s="19" t="s">
        <v>30816</v>
      </c>
      <c r="I7483" s="20">
        <v>21.056999999999999</v>
      </c>
      <c r="J7483" s="44" t="s">
        <v>8</v>
      </c>
      <c r="K7483" s="23" t="s">
        <v>8</v>
      </c>
      <c r="L7483" s="23" t="s">
        <v>8</v>
      </c>
      <c r="M7483" s="23" t="s">
        <v>8</v>
      </c>
    </row>
    <row r="7484" spans="1:13" s="21" customFormat="1" x14ac:dyDescent="0.25">
      <c r="A7484" s="22" t="s">
        <v>8</v>
      </c>
      <c r="B7484" s="18" t="str">
        <f>"265512"</f>
        <v>265512</v>
      </c>
      <c r="C7484" s="19" t="s">
        <v>7376</v>
      </c>
      <c r="D7484" s="19" t="s">
        <v>22905</v>
      </c>
      <c r="E7484" s="19" t="s">
        <v>33586</v>
      </c>
      <c r="F7484" s="19" t="s">
        <v>35999</v>
      </c>
      <c r="G7484" s="18" t="str">
        <f>"64081"</f>
        <v>64081</v>
      </c>
      <c r="H7484" s="19" t="s">
        <v>30816</v>
      </c>
      <c r="I7484" s="20">
        <v>21.748000000000001</v>
      </c>
      <c r="J7484" s="44" t="s">
        <v>8</v>
      </c>
      <c r="K7484" s="23" t="s">
        <v>8</v>
      </c>
      <c r="L7484" s="23" t="s">
        <v>8</v>
      </c>
      <c r="M7484" s="23" t="s">
        <v>8</v>
      </c>
    </row>
    <row r="7485" spans="1:13" s="21" customFormat="1" x14ac:dyDescent="0.25">
      <c r="A7485" s="22" t="s">
        <v>8</v>
      </c>
      <c r="B7485" s="18" t="str">
        <f>"265513"</f>
        <v>265513</v>
      </c>
      <c r="C7485" s="19" t="s">
        <v>7377</v>
      </c>
      <c r="D7485" s="19" t="s">
        <v>22906</v>
      </c>
      <c r="E7485" s="19" t="s">
        <v>33631</v>
      </c>
      <c r="F7485" s="19" t="s">
        <v>35999</v>
      </c>
      <c r="G7485" s="18" t="str">
        <f>"64701"</f>
        <v>64701</v>
      </c>
      <c r="H7485" s="19" t="s">
        <v>36246</v>
      </c>
      <c r="I7485" s="20">
        <v>19.527999999999999</v>
      </c>
      <c r="J7485" s="44" t="s">
        <v>8</v>
      </c>
      <c r="K7485" s="23" t="s">
        <v>8</v>
      </c>
      <c r="L7485" s="23" t="s">
        <v>8</v>
      </c>
      <c r="M7485" s="23" t="s">
        <v>8</v>
      </c>
    </row>
    <row r="7486" spans="1:13" s="21" customFormat="1" x14ac:dyDescent="0.25">
      <c r="A7486" s="22" t="s">
        <v>8</v>
      </c>
      <c r="B7486" s="18" t="str">
        <f>"265514"</f>
        <v>265514</v>
      </c>
      <c r="C7486" s="19" t="s">
        <v>7378</v>
      </c>
      <c r="D7486" s="19" t="s">
        <v>22907</v>
      </c>
      <c r="E7486" s="19" t="s">
        <v>33667</v>
      </c>
      <c r="F7486" s="19" t="s">
        <v>35999</v>
      </c>
      <c r="G7486" s="18" t="str">
        <f>"63645"</f>
        <v>63645</v>
      </c>
      <c r="H7486" s="19" t="s">
        <v>30899</v>
      </c>
      <c r="I7486" s="20">
        <v>21.407</v>
      </c>
      <c r="J7486" s="44" t="s">
        <v>8</v>
      </c>
      <c r="K7486" s="23" t="s">
        <v>8</v>
      </c>
      <c r="L7486" s="23" t="s">
        <v>8</v>
      </c>
      <c r="M7486" s="23" t="s">
        <v>8</v>
      </c>
    </row>
    <row r="7487" spans="1:13" s="21" customFormat="1" x14ac:dyDescent="0.25">
      <c r="A7487" s="22" t="s">
        <v>8</v>
      </c>
      <c r="B7487" s="18" t="str">
        <f>"265516"</f>
        <v>265516</v>
      </c>
      <c r="C7487" s="19" t="s">
        <v>7379</v>
      </c>
      <c r="D7487" s="19" t="s">
        <v>22908</v>
      </c>
      <c r="E7487" s="19" t="s">
        <v>33668</v>
      </c>
      <c r="F7487" s="19" t="s">
        <v>35999</v>
      </c>
      <c r="G7487" s="18" t="str">
        <f>"63664"</f>
        <v>63664</v>
      </c>
      <c r="H7487" s="19" t="s">
        <v>31500</v>
      </c>
      <c r="I7487" s="20">
        <v>19.861000000000001</v>
      </c>
      <c r="J7487" s="44" t="s">
        <v>8</v>
      </c>
      <c r="K7487" s="23" t="s">
        <v>8</v>
      </c>
      <c r="L7487" s="23" t="s">
        <v>8</v>
      </c>
      <c r="M7487" s="23" t="s">
        <v>8</v>
      </c>
    </row>
    <row r="7488" spans="1:13" s="21" customFormat="1" x14ac:dyDescent="0.25">
      <c r="A7488" s="22" t="s">
        <v>8</v>
      </c>
      <c r="B7488" s="18" t="str">
        <f>"265517"</f>
        <v>265517</v>
      </c>
      <c r="C7488" s="19" t="s">
        <v>7380</v>
      </c>
      <c r="D7488" s="19" t="s">
        <v>22909</v>
      </c>
      <c r="E7488" s="19" t="s">
        <v>30805</v>
      </c>
      <c r="F7488" s="19" t="s">
        <v>35999</v>
      </c>
      <c r="G7488" s="18" t="str">
        <f>"65248"</f>
        <v>65248</v>
      </c>
      <c r="H7488" s="19" t="s">
        <v>32644</v>
      </c>
      <c r="I7488" s="20">
        <v>18.062000000000001</v>
      </c>
      <c r="J7488" s="44" t="s">
        <v>8</v>
      </c>
      <c r="K7488" s="23" t="s">
        <v>8</v>
      </c>
      <c r="L7488" s="23" t="s">
        <v>8</v>
      </c>
      <c r="M7488" s="23" t="s">
        <v>8</v>
      </c>
    </row>
    <row r="7489" spans="1:13" s="21" customFormat="1" x14ac:dyDescent="0.25">
      <c r="A7489" s="22" t="s">
        <v>8</v>
      </c>
      <c r="B7489" s="18" t="str">
        <f>"265518"</f>
        <v>265518</v>
      </c>
      <c r="C7489" s="19" t="s">
        <v>7381</v>
      </c>
      <c r="D7489" s="19" t="s">
        <v>22910</v>
      </c>
      <c r="E7489" s="19" t="s">
        <v>33589</v>
      </c>
      <c r="F7489" s="19" t="s">
        <v>35999</v>
      </c>
      <c r="G7489" s="18" t="str">
        <f>"63301"</f>
        <v>63301</v>
      </c>
      <c r="H7489" s="19" t="s">
        <v>33589</v>
      </c>
      <c r="I7489" s="20">
        <v>20.062999999999999</v>
      </c>
      <c r="J7489" s="44" t="s">
        <v>8</v>
      </c>
      <c r="K7489" s="23" t="s">
        <v>8</v>
      </c>
      <c r="L7489" s="23" t="s">
        <v>8</v>
      </c>
      <c r="M7489" s="23" t="s">
        <v>8</v>
      </c>
    </row>
    <row r="7490" spans="1:13" s="21" customFormat="1" x14ac:dyDescent="0.25">
      <c r="A7490" s="22" t="s">
        <v>8</v>
      </c>
      <c r="B7490" s="18" t="str">
        <f>"265519"</f>
        <v>265519</v>
      </c>
      <c r="C7490" s="19" t="s">
        <v>7382</v>
      </c>
      <c r="D7490" s="19" t="s">
        <v>22911</v>
      </c>
      <c r="E7490" s="19" t="s">
        <v>33582</v>
      </c>
      <c r="F7490" s="19" t="s">
        <v>35999</v>
      </c>
      <c r="G7490" s="18" t="str">
        <f>"65613"</f>
        <v>65613</v>
      </c>
      <c r="H7490" s="19" t="s">
        <v>36062</v>
      </c>
      <c r="I7490" s="20">
        <v>20.728000000000002</v>
      </c>
      <c r="J7490" s="44" t="s">
        <v>8</v>
      </c>
      <c r="K7490" s="23" t="s">
        <v>8</v>
      </c>
      <c r="L7490" s="23" t="s">
        <v>8</v>
      </c>
      <c r="M7490" s="23" t="s">
        <v>8</v>
      </c>
    </row>
    <row r="7491" spans="1:13" s="21" customFormat="1" x14ac:dyDescent="0.25">
      <c r="A7491" s="22" t="s">
        <v>8</v>
      </c>
      <c r="B7491" s="18" t="str">
        <f>"265520"</f>
        <v>265520</v>
      </c>
      <c r="C7491" s="19" t="s">
        <v>7383</v>
      </c>
      <c r="D7491" s="19" t="s">
        <v>22912</v>
      </c>
      <c r="E7491" s="19" t="s">
        <v>33669</v>
      </c>
      <c r="F7491" s="19" t="s">
        <v>35999</v>
      </c>
      <c r="G7491" s="18" t="str">
        <f>"65706"</f>
        <v>65706</v>
      </c>
      <c r="H7491" s="19" t="s">
        <v>33048</v>
      </c>
      <c r="I7491" s="20">
        <v>21.036999999999999</v>
      </c>
      <c r="J7491" s="44" t="s">
        <v>8</v>
      </c>
      <c r="K7491" s="23" t="s">
        <v>8</v>
      </c>
      <c r="L7491" s="23" t="s">
        <v>8</v>
      </c>
      <c r="M7491" s="23" t="s">
        <v>8</v>
      </c>
    </row>
    <row r="7492" spans="1:13" s="21" customFormat="1" x14ac:dyDescent="0.25">
      <c r="A7492" s="22" t="s">
        <v>8</v>
      </c>
      <c r="B7492" s="18" t="str">
        <f>"265521"</f>
        <v>265521</v>
      </c>
      <c r="C7492" s="19" t="s">
        <v>7384</v>
      </c>
      <c r="D7492" s="19" t="s">
        <v>22913</v>
      </c>
      <c r="E7492" s="19" t="s">
        <v>31038</v>
      </c>
      <c r="F7492" s="19" t="s">
        <v>35999</v>
      </c>
      <c r="G7492" s="18" t="str">
        <f>"65560"</f>
        <v>65560</v>
      </c>
      <c r="H7492" s="19" t="s">
        <v>36527</v>
      </c>
      <c r="I7492" s="20">
        <v>20.242000000000001</v>
      </c>
      <c r="J7492" s="44" t="s">
        <v>8</v>
      </c>
      <c r="K7492" s="23" t="s">
        <v>8</v>
      </c>
      <c r="L7492" s="23" t="s">
        <v>8</v>
      </c>
      <c r="M7492" s="23" t="s">
        <v>8</v>
      </c>
    </row>
    <row r="7493" spans="1:13" s="21" customFormat="1" x14ac:dyDescent="0.25">
      <c r="A7493" s="22" t="s">
        <v>8</v>
      </c>
      <c r="B7493" s="18" t="str">
        <f>"265522"</f>
        <v>265522</v>
      </c>
      <c r="C7493" s="19" t="s">
        <v>7385</v>
      </c>
      <c r="D7493" s="19" t="s">
        <v>22914</v>
      </c>
      <c r="E7493" s="19" t="s">
        <v>32285</v>
      </c>
      <c r="F7493" s="19" t="s">
        <v>35999</v>
      </c>
      <c r="G7493" s="18" t="str">
        <f>"65233"</f>
        <v>65233</v>
      </c>
      <c r="H7493" s="19" t="s">
        <v>35899</v>
      </c>
      <c r="I7493" s="20">
        <v>18.986000000000001</v>
      </c>
      <c r="J7493" s="44" t="s">
        <v>8</v>
      </c>
      <c r="K7493" s="23" t="s">
        <v>8</v>
      </c>
      <c r="L7493" s="23" t="s">
        <v>8</v>
      </c>
      <c r="M7493" s="23" t="s">
        <v>8</v>
      </c>
    </row>
    <row r="7494" spans="1:13" s="21" customFormat="1" x14ac:dyDescent="0.25">
      <c r="A7494" s="22" t="s">
        <v>8</v>
      </c>
      <c r="B7494" s="18" t="str">
        <f>"265523"</f>
        <v>265523</v>
      </c>
      <c r="C7494" s="19" t="s">
        <v>7386</v>
      </c>
      <c r="D7494" s="19" t="s">
        <v>22915</v>
      </c>
      <c r="E7494" s="19" t="s">
        <v>33619</v>
      </c>
      <c r="F7494" s="19" t="s">
        <v>35999</v>
      </c>
      <c r="G7494" s="18" t="str">
        <f>"63043"</f>
        <v>63043</v>
      </c>
      <c r="H7494" s="19" t="s">
        <v>33228</v>
      </c>
      <c r="I7494" s="20">
        <v>21.83</v>
      </c>
      <c r="J7494" s="44" t="s">
        <v>8</v>
      </c>
      <c r="K7494" s="23" t="s">
        <v>8</v>
      </c>
      <c r="L7494" s="23" t="s">
        <v>8</v>
      </c>
      <c r="M7494" s="23" t="s">
        <v>8</v>
      </c>
    </row>
    <row r="7495" spans="1:13" s="21" customFormat="1" x14ac:dyDescent="0.25">
      <c r="A7495" s="22" t="s">
        <v>8</v>
      </c>
      <c r="B7495" s="18" t="str">
        <f>"265524"</f>
        <v>265524</v>
      </c>
      <c r="C7495" s="19" t="s">
        <v>7387</v>
      </c>
      <c r="D7495" s="19" t="s">
        <v>22916</v>
      </c>
      <c r="E7495" s="19" t="s">
        <v>33228</v>
      </c>
      <c r="F7495" s="19" t="s">
        <v>35999</v>
      </c>
      <c r="G7495" s="18" t="str">
        <f>"63113"</f>
        <v>63113</v>
      </c>
      <c r="H7495" s="19" t="s">
        <v>36518</v>
      </c>
      <c r="I7495" s="20">
        <v>19.788</v>
      </c>
      <c r="J7495" s="44" t="s">
        <v>8</v>
      </c>
      <c r="K7495" s="23" t="s">
        <v>8</v>
      </c>
      <c r="L7495" s="23" t="s">
        <v>8</v>
      </c>
      <c r="M7495" s="23" t="s">
        <v>8</v>
      </c>
    </row>
    <row r="7496" spans="1:13" s="21" customFormat="1" x14ac:dyDescent="0.25">
      <c r="A7496" s="22" t="s">
        <v>8</v>
      </c>
      <c r="B7496" s="18" t="str">
        <f>"265526"</f>
        <v>265526</v>
      </c>
      <c r="C7496" s="19" t="s">
        <v>7388</v>
      </c>
      <c r="D7496" s="19" t="s">
        <v>22917</v>
      </c>
      <c r="E7496" s="19" t="s">
        <v>31440</v>
      </c>
      <c r="F7496" s="19" t="s">
        <v>35999</v>
      </c>
      <c r="G7496" s="18" t="str">
        <f>"65281"</f>
        <v>65281</v>
      </c>
      <c r="H7496" s="19" t="s">
        <v>32425</v>
      </c>
      <c r="I7496" s="20">
        <v>18.765999999999998</v>
      </c>
      <c r="J7496" s="44" t="s">
        <v>8</v>
      </c>
      <c r="K7496" s="23" t="s">
        <v>8</v>
      </c>
      <c r="L7496" s="23" t="s">
        <v>8</v>
      </c>
      <c r="M7496" s="23" t="s">
        <v>8</v>
      </c>
    </row>
    <row r="7497" spans="1:13" s="21" customFormat="1" x14ac:dyDescent="0.25">
      <c r="A7497" s="22" t="s">
        <v>8</v>
      </c>
      <c r="B7497" s="18" t="str">
        <f>"265528"</f>
        <v>265528</v>
      </c>
      <c r="C7497" s="19" t="s">
        <v>7389</v>
      </c>
      <c r="D7497" s="19" t="s">
        <v>22918</v>
      </c>
      <c r="E7497" s="19" t="s">
        <v>33670</v>
      </c>
      <c r="F7497" s="19" t="s">
        <v>35999</v>
      </c>
      <c r="G7497" s="18" t="str">
        <f>"65084"</f>
        <v>65084</v>
      </c>
      <c r="H7497" s="19" t="s">
        <v>33505</v>
      </c>
      <c r="I7497" s="20">
        <v>17.774000000000001</v>
      </c>
      <c r="J7497" s="44" t="s">
        <v>8</v>
      </c>
      <c r="K7497" s="23" t="s">
        <v>8</v>
      </c>
      <c r="L7497" s="23" t="s">
        <v>8</v>
      </c>
      <c r="M7497" s="23" t="s">
        <v>8</v>
      </c>
    </row>
    <row r="7498" spans="1:13" s="21" customFormat="1" x14ac:dyDescent="0.25">
      <c r="A7498" s="22" t="s">
        <v>8</v>
      </c>
      <c r="B7498" s="18" t="str">
        <f>"265529"</f>
        <v>265529</v>
      </c>
      <c r="C7498" s="19" t="s">
        <v>7390</v>
      </c>
      <c r="D7498" s="19" t="s">
        <v>22919</v>
      </c>
      <c r="E7498" s="19" t="s">
        <v>33671</v>
      </c>
      <c r="F7498" s="19" t="s">
        <v>35999</v>
      </c>
      <c r="G7498" s="18" t="str">
        <f>"63135"</f>
        <v>63135</v>
      </c>
      <c r="H7498" s="19" t="s">
        <v>33228</v>
      </c>
      <c r="I7498" s="20">
        <v>23.077999999999999</v>
      </c>
      <c r="J7498" s="44" t="s">
        <v>8</v>
      </c>
      <c r="K7498" s="23" t="s">
        <v>8</v>
      </c>
      <c r="L7498" s="23" t="s">
        <v>8</v>
      </c>
      <c r="M7498" s="23" t="s">
        <v>8</v>
      </c>
    </row>
    <row r="7499" spans="1:13" s="21" customFormat="1" x14ac:dyDescent="0.25">
      <c r="A7499" s="22" t="s">
        <v>8</v>
      </c>
      <c r="B7499" s="18" t="str">
        <f>"265530"</f>
        <v>265530</v>
      </c>
      <c r="C7499" s="19" t="s">
        <v>7391</v>
      </c>
      <c r="D7499" s="19" t="s">
        <v>22920</v>
      </c>
      <c r="E7499" s="19" t="s">
        <v>33603</v>
      </c>
      <c r="F7499" s="19" t="s">
        <v>35999</v>
      </c>
      <c r="G7499" s="18" t="str">
        <f>"65110"</f>
        <v>65110</v>
      </c>
      <c r="H7499" s="19" t="s">
        <v>36516</v>
      </c>
      <c r="I7499" s="20">
        <v>23.283000000000001</v>
      </c>
      <c r="J7499" s="44" t="s">
        <v>8</v>
      </c>
      <c r="K7499" s="23" t="s">
        <v>8</v>
      </c>
      <c r="L7499" s="23" t="s">
        <v>8</v>
      </c>
      <c r="M7499" s="23" t="s">
        <v>8</v>
      </c>
    </row>
    <row r="7500" spans="1:13" s="21" customFormat="1" x14ac:dyDescent="0.25">
      <c r="A7500" s="22" t="s">
        <v>8</v>
      </c>
      <c r="B7500" s="18" t="str">
        <f>"265531"</f>
        <v>265531</v>
      </c>
      <c r="C7500" s="19" t="s">
        <v>7392</v>
      </c>
      <c r="D7500" s="19" t="s">
        <v>22921</v>
      </c>
      <c r="E7500" s="19" t="s">
        <v>33597</v>
      </c>
      <c r="F7500" s="19" t="s">
        <v>35999</v>
      </c>
      <c r="G7500" s="18" t="str">
        <f>"63857"</f>
        <v>63857</v>
      </c>
      <c r="H7500" s="19" t="s">
        <v>36515</v>
      </c>
      <c r="I7500" s="20">
        <v>18.571000000000002</v>
      </c>
      <c r="J7500" s="44" t="s">
        <v>8</v>
      </c>
      <c r="K7500" s="23" t="s">
        <v>8</v>
      </c>
      <c r="L7500" s="23" t="s">
        <v>8</v>
      </c>
      <c r="M7500" s="23" t="s">
        <v>8</v>
      </c>
    </row>
    <row r="7501" spans="1:13" s="21" customFormat="1" x14ac:dyDescent="0.25">
      <c r="A7501" s="22" t="s">
        <v>8</v>
      </c>
      <c r="B7501" s="18" t="str">
        <f>"265532"</f>
        <v>265532</v>
      </c>
      <c r="C7501" s="19" t="s">
        <v>7393</v>
      </c>
      <c r="D7501" s="19" t="s">
        <v>22922</v>
      </c>
      <c r="E7501" s="19" t="s">
        <v>32565</v>
      </c>
      <c r="F7501" s="19" t="s">
        <v>35999</v>
      </c>
      <c r="G7501" s="18" t="str">
        <f>"64130"</f>
        <v>64130</v>
      </c>
      <c r="H7501" s="19" t="s">
        <v>30816</v>
      </c>
      <c r="I7501" s="20">
        <v>18.928999999999998</v>
      </c>
      <c r="J7501" s="44" t="s">
        <v>8</v>
      </c>
      <c r="K7501" s="23" t="s">
        <v>8</v>
      </c>
      <c r="L7501" s="23" t="s">
        <v>8</v>
      </c>
      <c r="M7501" s="23" t="s">
        <v>8</v>
      </c>
    </row>
    <row r="7502" spans="1:13" s="21" customFormat="1" x14ac:dyDescent="0.25">
      <c r="A7502" s="22" t="s">
        <v>8</v>
      </c>
      <c r="B7502" s="18" t="str">
        <f>"265534"</f>
        <v>265534</v>
      </c>
      <c r="C7502" s="19" t="s">
        <v>4361</v>
      </c>
      <c r="D7502" s="19" t="s">
        <v>22923</v>
      </c>
      <c r="E7502" s="19" t="s">
        <v>33228</v>
      </c>
      <c r="F7502" s="19" t="s">
        <v>35999</v>
      </c>
      <c r="G7502" s="18" t="str">
        <f>"63134"</f>
        <v>63134</v>
      </c>
      <c r="H7502" s="19" t="s">
        <v>33228</v>
      </c>
      <c r="I7502" s="20">
        <v>18.125</v>
      </c>
      <c r="J7502" s="44" t="s">
        <v>8</v>
      </c>
      <c r="K7502" s="23" t="s">
        <v>8</v>
      </c>
      <c r="L7502" s="23" t="s">
        <v>8</v>
      </c>
      <c r="M7502" s="23" t="s">
        <v>8</v>
      </c>
    </row>
    <row r="7503" spans="1:13" s="21" customFormat="1" x14ac:dyDescent="0.25">
      <c r="A7503" s="22" t="s">
        <v>8</v>
      </c>
      <c r="B7503" s="18" t="str">
        <f>"265535"</f>
        <v>265535</v>
      </c>
      <c r="C7503" s="19" t="s">
        <v>7394</v>
      </c>
      <c r="D7503" s="19" t="s">
        <v>22924</v>
      </c>
      <c r="E7503" s="19" t="s">
        <v>32695</v>
      </c>
      <c r="F7503" s="19" t="s">
        <v>35999</v>
      </c>
      <c r="G7503" s="18" t="str">
        <f>"65254"</f>
        <v>65254</v>
      </c>
      <c r="H7503" s="19" t="s">
        <v>32644</v>
      </c>
      <c r="I7503" s="20">
        <v>16.762</v>
      </c>
      <c r="J7503" s="44" t="s">
        <v>8</v>
      </c>
      <c r="K7503" s="23" t="s">
        <v>8</v>
      </c>
      <c r="L7503" s="23" t="s">
        <v>8</v>
      </c>
      <c r="M7503" s="23" t="s">
        <v>8</v>
      </c>
    </row>
    <row r="7504" spans="1:13" s="21" customFormat="1" x14ac:dyDescent="0.25">
      <c r="A7504" s="22" t="s">
        <v>8</v>
      </c>
      <c r="B7504" s="18" t="str">
        <f>"265536"</f>
        <v>265536</v>
      </c>
      <c r="C7504" s="19" t="s">
        <v>7395</v>
      </c>
      <c r="D7504" s="19" t="s">
        <v>22925</v>
      </c>
      <c r="E7504" s="19" t="s">
        <v>33580</v>
      </c>
      <c r="F7504" s="19" t="s">
        <v>35999</v>
      </c>
      <c r="G7504" s="18" t="str">
        <f>"65270"</f>
        <v>65270</v>
      </c>
      <c r="H7504" s="19" t="s">
        <v>33068</v>
      </c>
      <c r="I7504" s="20">
        <v>22.687999999999999</v>
      </c>
      <c r="J7504" s="44" t="s">
        <v>8</v>
      </c>
      <c r="K7504" s="23" t="s">
        <v>8</v>
      </c>
      <c r="L7504" s="23" t="s">
        <v>8</v>
      </c>
      <c r="M7504" s="23" t="s">
        <v>8</v>
      </c>
    </row>
    <row r="7505" spans="1:13" s="21" customFormat="1" x14ac:dyDescent="0.25">
      <c r="A7505" s="22" t="s">
        <v>8</v>
      </c>
      <c r="B7505" s="18" t="str">
        <f>"265537"</f>
        <v>265537</v>
      </c>
      <c r="C7505" s="19" t="s">
        <v>7396</v>
      </c>
      <c r="D7505" s="19" t="s">
        <v>22926</v>
      </c>
      <c r="E7505" s="19" t="s">
        <v>33672</v>
      </c>
      <c r="F7505" s="19" t="s">
        <v>35999</v>
      </c>
      <c r="G7505" s="18" t="str">
        <f>"64491"</f>
        <v>64491</v>
      </c>
      <c r="H7505" s="19" t="s">
        <v>32566</v>
      </c>
      <c r="I7505" s="20">
        <v>19.513000000000002</v>
      </c>
      <c r="J7505" s="44" t="s">
        <v>8</v>
      </c>
      <c r="K7505" s="23" t="s">
        <v>8</v>
      </c>
      <c r="L7505" s="23" t="s">
        <v>8</v>
      </c>
      <c r="M7505" s="23" t="s">
        <v>8</v>
      </c>
    </row>
    <row r="7506" spans="1:13" s="21" customFormat="1" x14ac:dyDescent="0.25">
      <c r="A7506" s="22" t="s">
        <v>8</v>
      </c>
      <c r="B7506" s="18" t="str">
        <f>"265538"</f>
        <v>265538</v>
      </c>
      <c r="C7506" s="19" t="s">
        <v>7397</v>
      </c>
      <c r="D7506" s="19" t="s">
        <v>22927</v>
      </c>
      <c r="E7506" s="19" t="s">
        <v>33655</v>
      </c>
      <c r="F7506" s="19" t="s">
        <v>35999</v>
      </c>
      <c r="G7506" s="18" t="str">
        <f>"65625"</f>
        <v>65625</v>
      </c>
      <c r="H7506" s="19" t="s">
        <v>32158</v>
      </c>
      <c r="I7506" s="20">
        <v>19.873000000000001</v>
      </c>
      <c r="J7506" s="44" t="s">
        <v>8</v>
      </c>
      <c r="K7506" s="23" t="s">
        <v>8</v>
      </c>
      <c r="L7506" s="23" t="s">
        <v>8</v>
      </c>
      <c r="M7506" s="23" t="s">
        <v>8</v>
      </c>
    </row>
    <row r="7507" spans="1:13" s="21" customFormat="1" x14ac:dyDescent="0.25">
      <c r="A7507" s="22" t="s">
        <v>8</v>
      </c>
      <c r="B7507" s="18" t="str">
        <f>"265539"</f>
        <v>265539</v>
      </c>
      <c r="C7507" s="19" t="s">
        <v>7398</v>
      </c>
      <c r="D7507" s="19" t="s">
        <v>22928</v>
      </c>
      <c r="E7507" s="19" t="s">
        <v>31643</v>
      </c>
      <c r="F7507" s="19" t="s">
        <v>35999</v>
      </c>
      <c r="G7507" s="18" t="str">
        <f>"63021"</f>
        <v>63021</v>
      </c>
      <c r="H7507" s="19" t="s">
        <v>33228</v>
      </c>
      <c r="I7507" s="20">
        <v>17.382000000000001</v>
      </c>
      <c r="J7507" s="44" t="s">
        <v>8</v>
      </c>
      <c r="K7507" s="23" t="s">
        <v>8</v>
      </c>
      <c r="L7507" s="23" t="s">
        <v>8</v>
      </c>
      <c r="M7507" s="23" t="s">
        <v>8</v>
      </c>
    </row>
    <row r="7508" spans="1:13" s="21" customFormat="1" x14ac:dyDescent="0.25">
      <c r="A7508" s="22" t="s">
        <v>8</v>
      </c>
      <c r="B7508" s="18" t="str">
        <f>"265545"</f>
        <v>265545</v>
      </c>
      <c r="C7508" s="19" t="s">
        <v>7399</v>
      </c>
      <c r="D7508" s="19" t="s">
        <v>22929</v>
      </c>
      <c r="E7508" s="19" t="s">
        <v>33582</v>
      </c>
      <c r="F7508" s="19" t="s">
        <v>35999</v>
      </c>
      <c r="G7508" s="18" t="str">
        <f>"65613"</f>
        <v>65613</v>
      </c>
      <c r="H7508" s="19" t="s">
        <v>36062</v>
      </c>
      <c r="I7508" s="20">
        <v>17.341000000000001</v>
      </c>
      <c r="J7508" s="44" t="s">
        <v>8</v>
      </c>
      <c r="K7508" s="23" t="s">
        <v>8</v>
      </c>
      <c r="L7508" s="23" t="s">
        <v>8</v>
      </c>
      <c r="M7508" s="23" t="s">
        <v>8</v>
      </c>
    </row>
    <row r="7509" spans="1:13" s="21" customFormat="1" x14ac:dyDescent="0.25">
      <c r="A7509" s="22" t="s">
        <v>8</v>
      </c>
      <c r="B7509" s="18" t="str">
        <f>"265546"</f>
        <v>265546</v>
      </c>
      <c r="C7509" s="19" t="s">
        <v>7400</v>
      </c>
      <c r="D7509" s="19" t="s">
        <v>22930</v>
      </c>
      <c r="E7509" s="19" t="s">
        <v>32282</v>
      </c>
      <c r="F7509" s="19" t="s">
        <v>35999</v>
      </c>
      <c r="G7509" s="18" t="str">
        <f>"65066"</f>
        <v>65066</v>
      </c>
      <c r="H7509" s="19" t="s">
        <v>36528</v>
      </c>
      <c r="I7509" s="20">
        <v>19.861999999999998</v>
      </c>
      <c r="J7509" s="44" t="s">
        <v>8</v>
      </c>
      <c r="K7509" s="23" t="s">
        <v>8</v>
      </c>
      <c r="L7509" s="23" t="s">
        <v>8</v>
      </c>
      <c r="M7509" s="23" t="s">
        <v>8</v>
      </c>
    </row>
    <row r="7510" spans="1:13" s="21" customFormat="1" x14ac:dyDescent="0.25">
      <c r="A7510" s="22" t="s">
        <v>8</v>
      </c>
      <c r="B7510" s="18" t="str">
        <f>"265547"</f>
        <v>265547</v>
      </c>
      <c r="C7510" s="19" t="s">
        <v>7401</v>
      </c>
      <c r="D7510" s="19" t="s">
        <v>22931</v>
      </c>
      <c r="E7510" s="19" t="s">
        <v>30817</v>
      </c>
      <c r="F7510" s="19" t="s">
        <v>35999</v>
      </c>
      <c r="G7510" s="18" t="str">
        <f>"63944"</f>
        <v>63944</v>
      </c>
      <c r="H7510" s="19" t="s">
        <v>33280</v>
      </c>
      <c r="I7510" s="20">
        <v>22.335000000000001</v>
      </c>
      <c r="J7510" s="44" t="s">
        <v>8</v>
      </c>
      <c r="K7510" s="23" t="s">
        <v>8</v>
      </c>
      <c r="L7510" s="23" t="s">
        <v>8</v>
      </c>
      <c r="M7510" s="23" t="s">
        <v>8</v>
      </c>
    </row>
    <row r="7511" spans="1:13" s="21" customFormat="1" x14ac:dyDescent="0.25">
      <c r="A7511" s="22" t="s">
        <v>8</v>
      </c>
      <c r="B7511" s="18" t="str">
        <f>"265548"</f>
        <v>265548</v>
      </c>
      <c r="C7511" s="19" t="s">
        <v>7402</v>
      </c>
      <c r="D7511" s="19" t="s">
        <v>22932</v>
      </c>
      <c r="E7511" s="19" t="s">
        <v>33639</v>
      </c>
      <c r="F7511" s="19" t="s">
        <v>35999</v>
      </c>
      <c r="G7511" s="18" t="str">
        <f>"63801"</f>
        <v>63801</v>
      </c>
      <c r="H7511" s="19" t="s">
        <v>36083</v>
      </c>
      <c r="I7511" s="20">
        <v>19.047999999999998</v>
      </c>
      <c r="J7511" s="44" t="s">
        <v>8</v>
      </c>
      <c r="K7511" s="23" t="s">
        <v>8</v>
      </c>
      <c r="L7511" s="23" t="s">
        <v>8</v>
      </c>
      <c r="M7511" s="23" t="s">
        <v>8</v>
      </c>
    </row>
    <row r="7512" spans="1:13" s="21" customFormat="1" x14ac:dyDescent="0.25">
      <c r="A7512" s="22" t="s">
        <v>8</v>
      </c>
      <c r="B7512" s="18" t="str">
        <f>"265549"</f>
        <v>265549</v>
      </c>
      <c r="C7512" s="19" t="s">
        <v>7403</v>
      </c>
      <c r="D7512" s="19" t="s">
        <v>22933</v>
      </c>
      <c r="E7512" s="19" t="s">
        <v>33673</v>
      </c>
      <c r="F7512" s="19" t="s">
        <v>35999</v>
      </c>
      <c r="G7512" s="18" t="str">
        <f>"63873"</f>
        <v>63873</v>
      </c>
      <c r="H7512" s="19" t="s">
        <v>33604</v>
      </c>
      <c r="I7512" s="20">
        <v>20.652999999999999</v>
      </c>
      <c r="J7512" s="44" t="s">
        <v>8</v>
      </c>
      <c r="K7512" s="23" t="s">
        <v>8</v>
      </c>
      <c r="L7512" s="23" t="s">
        <v>8</v>
      </c>
      <c r="M7512" s="23" t="s">
        <v>8</v>
      </c>
    </row>
    <row r="7513" spans="1:13" s="21" customFormat="1" x14ac:dyDescent="0.25">
      <c r="A7513" s="22" t="s">
        <v>8</v>
      </c>
      <c r="B7513" s="18" t="str">
        <f>"265550"</f>
        <v>265550</v>
      </c>
      <c r="C7513" s="19" t="s">
        <v>7404</v>
      </c>
      <c r="D7513" s="19" t="s">
        <v>22934</v>
      </c>
      <c r="E7513" s="19" t="s">
        <v>33674</v>
      </c>
      <c r="F7513" s="19" t="s">
        <v>35999</v>
      </c>
      <c r="G7513" s="18" t="str">
        <f>"63730"</f>
        <v>63730</v>
      </c>
      <c r="H7513" s="19" t="s">
        <v>36512</v>
      </c>
      <c r="I7513" s="20">
        <v>19.861999999999998</v>
      </c>
      <c r="J7513" s="44" t="s">
        <v>8</v>
      </c>
      <c r="K7513" s="23" t="s">
        <v>8</v>
      </c>
      <c r="L7513" s="23" t="s">
        <v>8</v>
      </c>
      <c r="M7513" s="23" t="s">
        <v>8</v>
      </c>
    </row>
    <row r="7514" spans="1:13" s="21" customFormat="1" x14ac:dyDescent="0.25">
      <c r="A7514" s="22" t="s">
        <v>8</v>
      </c>
      <c r="B7514" s="18" t="str">
        <f>"265551"</f>
        <v>265551</v>
      </c>
      <c r="C7514" s="19" t="s">
        <v>7405</v>
      </c>
      <c r="D7514" s="19" t="s">
        <v>22935</v>
      </c>
      <c r="E7514" s="19" t="s">
        <v>33675</v>
      </c>
      <c r="F7514" s="19" t="s">
        <v>35999</v>
      </c>
      <c r="G7514" s="18" t="str">
        <f>"63845"</f>
        <v>63845</v>
      </c>
      <c r="H7514" s="19" t="s">
        <v>36081</v>
      </c>
      <c r="I7514" s="20">
        <v>18.488</v>
      </c>
      <c r="J7514" s="44" t="s">
        <v>8</v>
      </c>
      <c r="K7514" s="23" t="s">
        <v>8</v>
      </c>
      <c r="L7514" s="23" t="s">
        <v>8</v>
      </c>
      <c r="M7514" s="23" t="s">
        <v>8</v>
      </c>
    </row>
    <row r="7515" spans="1:13" s="21" customFormat="1" x14ac:dyDescent="0.25">
      <c r="A7515" s="22" t="s">
        <v>8</v>
      </c>
      <c r="B7515" s="18" t="str">
        <f>"265552"</f>
        <v>265552</v>
      </c>
      <c r="C7515" s="19" t="s">
        <v>7406</v>
      </c>
      <c r="D7515" s="19" t="s">
        <v>22936</v>
      </c>
      <c r="E7515" s="19" t="s">
        <v>32907</v>
      </c>
      <c r="F7515" s="19" t="s">
        <v>35999</v>
      </c>
      <c r="G7515" s="18" t="str">
        <f>"63841"</f>
        <v>63841</v>
      </c>
      <c r="H7515" s="19" t="s">
        <v>36512</v>
      </c>
      <c r="I7515" s="20">
        <v>18.619</v>
      </c>
      <c r="J7515" s="44" t="s">
        <v>8</v>
      </c>
      <c r="K7515" s="23" t="s">
        <v>8</v>
      </c>
      <c r="L7515" s="23" t="s">
        <v>8</v>
      </c>
      <c r="M7515" s="23" t="s">
        <v>8</v>
      </c>
    </row>
    <row r="7516" spans="1:13" s="21" customFormat="1" x14ac:dyDescent="0.25">
      <c r="A7516" s="22" t="s">
        <v>8</v>
      </c>
      <c r="B7516" s="18" t="str">
        <f>"265553"</f>
        <v>265553</v>
      </c>
      <c r="C7516" s="19" t="s">
        <v>7407</v>
      </c>
      <c r="D7516" s="19" t="s">
        <v>22937</v>
      </c>
      <c r="E7516" s="19" t="s">
        <v>33676</v>
      </c>
      <c r="F7516" s="19" t="s">
        <v>35999</v>
      </c>
      <c r="G7516" s="18" t="str">
        <f>"63764"</f>
        <v>63764</v>
      </c>
      <c r="H7516" s="19" t="s">
        <v>36529</v>
      </c>
      <c r="I7516" s="20">
        <v>18.581</v>
      </c>
      <c r="J7516" s="44" t="s">
        <v>8</v>
      </c>
      <c r="K7516" s="23" t="s">
        <v>8</v>
      </c>
      <c r="L7516" s="23" t="s">
        <v>8</v>
      </c>
      <c r="M7516" s="23" t="s">
        <v>8</v>
      </c>
    </row>
    <row r="7517" spans="1:13" s="21" customFormat="1" x14ac:dyDescent="0.25">
      <c r="A7517" s="22" t="s">
        <v>8</v>
      </c>
      <c r="B7517" s="18" t="str">
        <f>"265554"</f>
        <v>265554</v>
      </c>
      <c r="C7517" s="19" t="s">
        <v>7408</v>
      </c>
      <c r="D7517" s="19" t="s">
        <v>22938</v>
      </c>
      <c r="E7517" s="19" t="s">
        <v>31976</v>
      </c>
      <c r="F7517" s="19" t="s">
        <v>35999</v>
      </c>
      <c r="G7517" s="18" t="str">
        <f>"63080"</f>
        <v>63080</v>
      </c>
      <c r="H7517" s="19" t="s">
        <v>5</v>
      </c>
      <c r="I7517" s="20">
        <v>18.510000000000002</v>
      </c>
      <c r="J7517" s="44" t="s">
        <v>8</v>
      </c>
      <c r="K7517" s="23" t="s">
        <v>8</v>
      </c>
      <c r="L7517" s="23" t="s">
        <v>8</v>
      </c>
      <c r="M7517" s="23" t="s">
        <v>8</v>
      </c>
    </row>
    <row r="7518" spans="1:13" s="21" customFormat="1" x14ac:dyDescent="0.25">
      <c r="A7518" s="22" t="s">
        <v>8</v>
      </c>
      <c r="B7518" s="18" t="str">
        <f>"265555"</f>
        <v>265555</v>
      </c>
      <c r="C7518" s="19" t="s">
        <v>7409</v>
      </c>
      <c r="D7518" s="19" t="s">
        <v>22939</v>
      </c>
      <c r="E7518" s="19" t="s">
        <v>33677</v>
      </c>
      <c r="F7518" s="19" t="s">
        <v>35999</v>
      </c>
      <c r="G7518" s="18" t="str">
        <f>"65026"</f>
        <v>65026</v>
      </c>
      <c r="H7518" s="19" t="s">
        <v>35139</v>
      </c>
      <c r="I7518" s="20">
        <v>17.957999999999998</v>
      </c>
      <c r="J7518" s="44" t="s">
        <v>8</v>
      </c>
      <c r="K7518" s="23" t="s">
        <v>8</v>
      </c>
      <c r="L7518" s="23" t="s">
        <v>8</v>
      </c>
      <c r="M7518" s="23" t="s">
        <v>8</v>
      </c>
    </row>
    <row r="7519" spans="1:13" s="21" customFormat="1" x14ac:dyDescent="0.25">
      <c r="A7519" s="22" t="s">
        <v>8</v>
      </c>
      <c r="B7519" s="18" t="str">
        <f>"265556"</f>
        <v>265556</v>
      </c>
      <c r="C7519" s="19" t="s">
        <v>7410</v>
      </c>
      <c r="D7519" s="19" t="s">
        <v>22940</v>
      </c>
      <c r="E7519" s="19" t="s">
        <v>33602</v>
      </c>
      <c r="F7519" s="19" t="s">
        <v>35999</v>
      </c>
      <c r="G7519" s="18" t="str">
        <f>"63902"</f>
        <v>63902</v>
      </c>
      <c r="H7519" s="19" t="s">
        <v>30876</v>
      </c>
      <c r="I7519" s="20">
        <v>24.52</v>
      </c>
      <c r="J7519" s="44" t="s">
        <v>8</v>
      </c>
      <c r="K7519" s="23" t="s">
        <v>8</v>
      </c>
      <c r="L7519" s="23" t="s">
        <v>8</v>
      </c>
      <c r="M7519" s="23" t="s">
        <v>8</v>
      </c>
    </row>
    <row r="7520" spans="1:13" s="21" customFormat="1" x14ac:dyDescent="0.25">
      <c r="A7520" s="22" t="s">
        <v>8</v>
      </c>
      <c r="B7520" s="18" t="str">
        <f>"265557"</f>
        <v>265557</v>
      </c>
      <c r="C7520" s="19" t="s">
        <v>7411</v>
      </c>
      <c r="D7520" s="19" t="s">
        <v>22941</v>
      </c>
      <c r="E7520" s="19" t="s">
        <v>33639</v>
      </c>
      <c r="F7520" s="19" t="s">
        <v>35999</v>
      </c>
      <c r="G7520" s="18" t="str">
        <f>"63801"</f>
        <v>63801</v>
      </c>
      <c r="H7520" s="19" t="s">
        <v>36083</v>
      </c>
      <c r="I7520" s="20">
        <v>18.004000000000001</v>
      </c>
      <c r="J7520" s="44" t="s">
        <v>8</v>
      </c>
      <c r="K7520" s="23" t="s">
        <v>8</v>
      </c>
      <c r="L7520" s="23" t="s">
        <v>8</v>
      </c>
      <c r="M7520" s="23" t="s">
        <v>8</v>
      </c>
    </row>
    <row r="7521" spans="1:13" s="21" customFormat="1" x14ac:dyDescent="0.25">
      <c r="A7521" s="22" t="s">
        <v>8</v>
      </c>
      <c r="B7521" s="18" t="str">
        <f>"265558"</f>
        <v>265558</v>
      </c>
      <c r="C7521" s="19" t="s">
        <v>7412</v>
      </c>
      <c r="D7521" s="19" t="s">
        <v>16320</v>
      </c>
      <c r="E7521" s="19" t="s">
        <v>32459</v>
      </c>
      <c r="F7521" s="19" t="s">
        <v>35999</v>
      </c>
      <c r="G7521" s="18" t="str">
        <f>"64772"</f>
        <v>64772</v>
      </c>
      <c r="H7521" s="19" t="s">
        <v>30903</v>
      </c>
      <c r="I7521" s="20">
        <v>19.074999999999999</v>
      </c>
      <c r="J7521" s="44" t="s">
        <v>8</v>
      </c>
      <c r="K7521" s="23" t="s">
        <v>8</v>
      </c>
      <c r="L7521" s="23" t="s">
        <v>8</v>
      </c>
      <c r="M7521" s="23" t="s">
        <v>8</v>
      </c>
    </row>
    <row r="7522" spans="1:13" s="21" customFormat="1" x14ac:dyDescent="0.25">
      <c r="A7522" s="22" t="s">
        <v>8</v>
      </c>
      <c r="B7522" s="18" t="str">
        <f>"265559"</f>
        <v>265559</v>
      </c>
      <c r="C7522" s="19" t="s">
        <v>7413</v>
      </c>
      <c r="D7522" s="19" t="s">
        <v>22942</v>
      </c>
      <c r="E7522" s="19" t="s">
        <v>31717</v>
      </c>
      <c r="F7522" s="19" t="s">
        <v>35999</v>
      </c>
      <c r="G7522" s="18" t="str">
        <f>"65807"</f>
        <v>65807</v>
      </c>
      <c r="H7522" s="19" t="s">
        <v>32455</v>
      </c>
      <c r="I7522" s="20">
        <v>18.367999999999999</v>
      </c>
      <c r="J7522" s="44" t="s">
        <v>8</v>
      </c>
      <c r="K7522" s="23" t="s">
        <v>8</v>
      </c>
      <c r="L7522" s="23" t="s">
        <v>8</v>
      </c>
      <c r="M7522" s="23" t="s">
        <v>8</v>
      </c>
    </row>
    <row r="7523" spans="1:13" s="21" customFormat="1" x14ac:dyDescent="0.25">
      <c r="A7523" s="22" t="s">
        <v>8</v>
      </c>
      <c r="B7523" s="18" t="str">
        <f>"265564"</f>
        <v>265564</v>
      </c>
      <c r="C7523" s="19" t="s">
        <v>7414</v>
      </c>
      <c r="D7523" s="19" t="s">
        <v>22943</v>
      </c>
      <c r="E7523" s="19" t="s">
        <v>30876</v>
      </c>
      <c r="F7523" s="19" t="s">
        <v>35999</v>
      </c>
      <c r="G7523" s="18" t="str">
        <f>"64730"</f>
        <v>64730</v>
      </c>
      <c r="H7523" s="19" t="s">
        <v>36508</v>
      </c>
      <c r="I7523" s="20">
        <v>20.154</v>
      </c>
      <c r="J7523" s="44" t="s">
        <v>8</v>
      </c>
      <c r="K7523" s="23" t="s">
        <v>8</v>
      </c>
      <c r="L7523" s="23" t="s">
        <v>8</v>
      </c>
      <c r="M7523" s="23" t="s">
        <v>8</v>
      </c>
    </row>
    <row r="7524" spans="1:13" s="21" customFormat="1" x14ac:dyDescent="0.25">
      <c r="A7524" s="22" t="s">
        <v>8</v>
      </c>
      <c r="B7524" s="18" t="str">
        <f>"265565"</f>
        <v>265565</v>
      </c>
      <c r="C7524" s="19" t="s">
        <v>7415</v>
      </c>
      <c r="D7524" s="19" t="s">
        <v>22944</v>
      </c>
      <c r="E7524" s="19" t="s">
        <v>31115</v>
      </c>
      <c r="F7524" s="19" t="s">
        <v>35999</v>
      </c>
      <c r="G7524" s="18" t="str">
        <f>"64080"</f>
        <v>64080</v>
      </c>
      <c r="H7524" s="19" t="s">
        <v>36246</v>
      </c>
      <c r="I7524" s="20">
        <v>21.902000000000001</v>
      </c>
      <c r="J7524" s="44" t="s">
        <v>8</v>
      </c>
      <c r="K7524" s="23" t="s">
        <v>8</v>
      </c>
      <c r="L7524" s="23" t="s">
        <v>8</v>
      </c>
      <c r="M7524" s="23" t="s">
        <v>8</v>
      </c>
    </row>
    <row r="7525" spans="1:13" s="21" customFormat="1" x14ac:dyDescent="0.25">
      <c r="A7525" s="22" t="s">
        <v>8</v>
      </c>
      <c r="B7525" s="18" t="str">
        <f>"265566"</f>
        <v>265566</v>
      </c>
      <c r="C7525" s="19" t="s">
        <v>7416</v>
      </c>
      <c r="D7525" s="19" t="s">
        <v>22945</v>
      </c>
      <c r="E7525" s="19" t="s">
        <v>32201</v>
      </c>
      <c r="F7525" s="19" t="s">
        <v>35999</v>
      </c>
      <c r="G7525" s="18" t="str">
        <f>"65355"</f>
        <v>65355</v>
      </c>
      <c r="H7525" s="19" t="s">
        <v>31024</v>
      </c>
      <c r="I7525" s="20">
        <v>19.988</v>
      </c>
      <c r="J7525" s="44" t="s">
        <v>8</v>
      </c>
      <c r="K7525" s="23" t="s">
        <v>8</v>
      </c>
      <c r="L7525" s="23" t="s">
        <v>8</v>
      </c>
      <c r="M7525" s="23" t="s">
        <v>8</v>
      </c>
    </row>
    <row r="7526" spans="1:13" s="21" customFormat="1" x14ac:dyDescent="0.25">
      <c r="A7526" s="22" t="s">
        <v>8</v>
      </c>
      <c r="B7526" s="18" t="str">
        <f>"265571"</f>
        <v>265571</v>
      </c>
      <c r="C7526" s="19" t="s">
        <v>7417</v>
      </c>
      <c r="D7526" s="19" t="s">
        <v>22946</v>
      </c>
      <c r="E7526" s="19" t="s">
        <v>33678</v>
      </c>
      <c r="F7526" s="19" t="s">
        <v>35999</v>
      </c>
      <c r="G7526" s="18" t="str">
        <f>"65604"</f>
        <v>65604</v>
      </c>
      <c r="H7526" s="19" t="s">
        <v>32455</v>
      </c>
      <c r="I7526" s="20">
        <v>17.263999999999999</v>
      </c>
      <c r="J7526" s="44" t="s">
        <v>8</v>
      </c>
      <c r="K7526" s="23" t="s">
        <v>8</v>
      </c>
      <c r="L7526" s="23" t="s">
        <v>8</v>
      </c>
      <c r="M7526" s="23" t="s">
        <v>8</v>
      </c>
    </row>
    <row r="7527" spans="1:13" s="21" customFormat="1" x14ac:dyDescent="0.25">
      <c r="A7527" s="22" t="s">
        <v>8</v>
      </c>
      <c r="B7527" s="18" t="str">
        <f>"265572"</f>
        <v>265572</v>
      </c>
      <c r="C7527" s="19" t="s">
        <v>7418</v>
      </c>
      <c r="D7527" s="19" t="s">
        <v>22947</v>
      </c>
      <c r="E7527" s="19" t="s">
        <v>32220</v>
      </c>
      <c r="F7527" s="19" t="s">
        <v>35999</v>
      </c>
      <c r="G7527" s="18" t="str">
        <f>"65661"</f>
        <v>65661</v>
      </c>
      <c r="H7527" s="19" t="s">
        <v>36189</v>
      </c>
      <c r="I7527" s="20">
        <v>18.687000000000001</v>
      </c>
      <c r="J7527" s="44" t="s">
        <v>8</v>
      </c>
      <c r="K7527" s="23" t="s">
        <v>8</v>
      </c>
      <c r="L7527" s="23" t="s">
        <v>8</v>
      </c>
      <c r="M7527" s="23" t="s">
        <v>8</v>
      </c>
    </row>
    <row r="7528" spans="1:13" s="21" customFormat="1" x14ac:dyDescent="0.25">
      <c r="A7528" s="22" t="s">
        <v>8</v>
      </c>
      <c r="B7528" s="18" t="str">
        <f>"265573"</f>
        <v>265573</v>
      </c>
      <c r="C7528" s="19" t="s">
        <v>7419</v>
      </c>
      <c r="D7528" s="19" t="s">
        <v>22948</v>
      </c>
      <c r="E7528" s="19" t="s">
        <v>33638</v>
      </c>
      <c r="F7528" s="19" t="s">
        <v>35999</v>
      </c>
      <c r="G7528" s="18" t="str">
        <f>"65674"</f>
        <v>65674</v>
      </c>
      <c r="H7528" s="19" t="s">
        <v>36062</v>
      </c>
      <c r="I7528" s="20">
        <v>20.847000000000001</v>
      </c>
      <c r="J7528" s="44" t="s">
        <v>8</v>
      </c>
      <c r="K7528" s="23" t="s">
        <v>8</v>
      </c>
      <c r="L7528" s="23" t="s">
        <v>8</v>
      </c>
      <c r="M7528" s="23" t="s">
        <v>8</v>
      </c>
    </row>
    <row r="7529" spans="1:13" s="21" customFormat="1" x14ac:dyDescent="0.25">
      <c r="A7529" s="22" t="s">
        <v>8</v>
      </c>
      <c r="B7529" s="18" t="str">
        <f>"265574"</f>
        <v>265574</v>
      </c>
      <c r="C7529" s="19" t="s">
        <v>7420</v>
      </c>
      <c r="D7529" s="19" t="s">
        <v>22949</v>
      </c>
      <c r="E7529" s="19" t="s">
        <v>33679</v>
      </c>
      <c r="F7529" s="19" t="s">
        <v>35999</v>
      </c>
      <c r="G7529" s="18" t="str">
        <f>"63456"</f>
        <v>63456</v>
      </c>
      <c r="H7529" s="19" t="s">
        <v>31711</v>
      </c>
      <c r="I7529" s="20">
        <v>18.135999999999999</v>
      </c>
      <c r="J7529" s="44" t="s">
        <v>8</v>
      </c>
      <c r="K7529" s="23" t="s">
        <v>8</v>
      </c>
      <c r="L7529" s="23" t="s">
        <v>8</v>
      </c>
      <c r="M7529" s="23" t="s">
        <v>8</v>
      </c>
    </row>
    <row r="7530" spans="1:13" s="21" customFormat="1" x14ac:dyDescent="0.25">
      <c r="A7530" s="22" t="s">
        <v>8</v>
      </c>
      <c r="B7530" s="18" t="str">
        <f>"265577"</f>
        <v>265577</v>
      </c>
      <c r="C7530" s="19" t="s">
        <v>7421</v>
      </c>
      <c r="D7530" s="19" t="s">
        <v>22950</v>
      </c>
      <c r="E7530" s="19" t="s">
        <v>33669</v>
      </c>
      <c r="F7530" s="19" t="s">
        <v>35999</v>
      </c>
      <c r="G7530" s="18" t="str">
        <f>"65706"</f>
        <v>65706</v>
      </c>
      <c r="H7530" s="19" t="s">
        <v>33048</v>
      </c>
      <c r="I7530" s="20">
        <v>21.276</v>
      </c>
      <c r="J7530" s="44" t="s">
        <v>8</v>
      </c>
      <c r="K7530" s="23" t="s">
        <v>8</v>
      </c>
      <c r="L7530" s="23" t="s">
        <v>8</v>
      </c>
      <c r="M7530" s="23" t="s">
        <v>8</v>
      </c>
    </row>
    <row r="7531" spans="1:13" s="21" customFormat="1" x14ac:dyDescent="0.25">
      <c r="A7531" s="22" t="s">
        <v>8</v>
      </c>
      <c r="B7531" s="18" t="str">
        <f>"265578"</f>
        <v>265578</v>
      </c>
      <c r="C7531" s="19" t="s">
        <v>7422</v>
      </c>
      <c r="D7531" s="19" t="s">
        <v>22951</v>
      </c>
      <c r="E7531" s="19" t="s">
        <v>33228</v>
      </c>
      <c r="F7531" s="19" t="s">
        <v>35999</v>
      </c>
      <c r="G7531" s="18" t="str">
        <f>"63133"</f>
        <v>63133</v>
      </c>
      <c r="H7531" s="19" t="s">
        <v>33228</v>
      </c>
      <c r="I7531" s="20">
        <v>18.881</v>
      </c>
      <c r="J7531" s="44" t="s">
        <v>8</v>
      </c>
      <c r="K7531" s="23" t="s">
        <v>8</v>
      </c>
      <c r="L7531" s="23" t="s">
        <v>8</v>
      </c>
      <c r="M7531" s="23" t="s">
        <v>8</v>
      </c>
    </row>
    <row r="7532" spans="1:13" s="21" customFormat="1" x14ac:dyDescent="0.25">
      <c r="A7532" s="22" t="s">
        <v>8</v>
      </c>
      <c r="B7532" s="18" t="str">
        <f>"265579"</f>
        <v>265579</v>
      </c>
      <c r="C7532" s="19" t="s">
        <v>7423</v>
      </c>
      <c r="D7532" s="19" t="s">
        <v>22952</v>
      </c>
      <c r="E7532" s="19" t="s">
        <v>32424</v>
      </c>
      <c r="F7532" s="19" t="s">
        <v>35999</v>
      </c>
      <c r="G7532" s="18" t="str">
        <f>"64057"</f>
        <v>64057</v>
      </c>
      <c r="H7532" s="19" t="s">
        <v>30816</v>
      </c>
      <c r="I7532" s="20">
        <v>21.576000000000001</v>
      </c>
      <c r="J7532" s="44" t="s">
        <v>8</v>
      </c>
      <c r="K7532" s="23" t="s">
        <v>8</v>
      </c>
      <c r="L7532" s="23" t="s">
        <v>8</v>
      </c>
      <c r="M7532" s="23" t="s">
        <v>8</v>
      </c>
    </row>
    <row r="7533" spans="1:13" s="21" customFormat="1" x14ac:dyDescent="0.25">
      <c r="A7533" s="22" t="s">
        <v>8</v>
      </c>
      <c r="B7533" s="18" t="str">
        <f>"265580"</f>
        <v>265580</v>
      </c>
      <c r="C7533" s="19" t="s">
        <v>7424</v>
      </c>
      <c r="D7533" s="19" t="s">
        <v>22953</v>
      </c>
      <c r="E7533" s="19" t="s">
        <v>33616</v>
      </c>
      <c r="F7533" s="19" t="s">
        <v>35999</v>
      </c>
      <c r="G7533" s="18" t="str">
        <f>"65401"</f>
        <v>65401</v>
      </c>
      <c r="H7533" s="19" t="s">
        <v>32722</v>
      </c>
      <c r="I7533" s="20">
        <v>17.504999999999999</v>
      </c>
      <c r="J7533" s="44" t="s">
        <v>8</v>
      </c>
      <c r="K7533" s="23" t="s">
        <v>8</v>
      </c>
      <c r="L7533" s="23" t="s">
        <v>8</v>
      </c>
      <c r="M7533" s="23" t="s">
        <v>8</v>
      </c>
    </row>
    <row r="7534" spans="1:13" s="21" customFormat="1" x14ac:dyDescent="0.25">
      <c r="A7534" s="22" t="s">
        <v>8</v>
      </c>
      <c r="B7534" s="18" t="str">
        <f>"265581"</f>
        <v>265581</v>
      </c>
      <c r="C7534" s="19" t="s">
        <v>7425</v>
      </c>
      <c r="D7534" s="19" t="s">
        <v>22954</v>
      </c>
      <c r="E7534" s="19" t="s">
        <v>32194</v>
      </c>
      <c r="F7534" s="19" t="s">
        <v>35999</v>
      </c>
      <c r="G7534" s="18" t="str">
        <f>"65251"</f>
        <v>65251</v>
      </c>
      <c r="H7534" s="19" t="s">
        <v>31529</v>
      </c>
      <c r="I7534" s="20">
        <v>19.751999999999999</v>
      </c>
      <c r="J7534" s="44" t="s">
        <v>8</v>
      </c>
      <c r="K7534" s="23" t="s">
        <v>8</v>
      </c>
      <c r="L7534" s="23" t="s">
        <v>8</v>
      </c>
      <c r="M7534" s="23" t="s">
        <v>8</v>
      </c>
    </row>
    <row r="7535" spans="1:13" s="21" customFormat="1" x14ac:dyDescent="0.25">
      <c r="A7535" s="22" t="s">
        <v>8</v>
      </c>
      <c r="B7535" s="18" t="str">
        <f>"265582"</f>
        <v>265582</v>
      </c>
      <c r="C7535" s="19" t="s">
        <v>7426</v>
      </c>
      <c r="D7535" s="19" t="s">
        <v>22955</v>
      </c>
      <c r="E7535" s="19" t="s">
        <v>33680</v>
      </c>
      <c r="F7535" s="19" t="s">
        <v>35999</v>
      </c>
      <c r="G7535" s="18" t="str">
        <f>"65566"</f>
        <v>65566</v>
      </c>
      <c r="H7535" s="19" t="s">
        <v>36438</v>
      </c>
      <c r="I7535" s="20">
        <v>19.777000000000001</v>
      </c>
      <c r="J7535" s="44" t="s">
        <v>8</v>
      </c>
      <c r="K7535" s="23" t="s">
        <v>8</v>
      </c>
      <c r="L7535" s="23" t="s">
        <v>8</v>
      </c>
      <c r="M7535" s="23" t="s">
        <v>8</v>
      </c>
    </row>
    <row r="7536" spans="1:13" s="21" customFormat="1" x14ac:dyDescent="0.25">
      <c r="A7536" s="22" t="s">
        <v>8</v>
      </c>
      <c r="B7536" s="18" t="str">
        <f>"265583"</f>
        <v>265583</v>
      </c>
      <c r="C7536" s="19" t="s">
        <v>7427</v>
      </c>
      <c r="D7536" s="19" t="s">
        <v>22956</v>
      </c>
      <c r="E7536" s="19" t="s">
        <v>31445</v>
      </c>
      <c r="F7536" s="19" t="s">
        <v>35999</v>
      </c>
      <c r="G7536" s="18" t="str">
        <f>"63640"</f>
        <v>63640</v>
      </c>
      <c r="H7536" s="19" t="s">
        <v>36511</v>
      </c>
      <c r="I7536" s="20">
        <v>19.908000000000001</v>
      </c>
      <c r="J7536" s="44" t="s">
        <v>8</v>
      </c>
      <c r="K7536" s="23" t="s">
        <v>8</v>
      </c>
      <c r="L7536" s="23" t="s">
        <v>8</v>
      </c>
      <c r="M7536" s="23" t="s">
        <v>8</v>
      </c>
    </row>
    <row r="7537" spans="1:13" s="21" customFormat="1" x14ac:dyDescent="0.25">
      <c r="A7537" s="22" t="s">
        <v>8</v>
      </c>
      <c r="B7537" s="18" t="str">
        <f>"265585"</f>
        <v>265585</v>
      </c>
      <c r="C7537" s="19" t="s">
        <v>7428</v>
      </c>
      <c r="D7537" s="19" t="s">
        <v>22957</v>
      </c>
      <c r="E7537" s="19" t="s">
        <v>33228</v>
      </c>
      <c r="F7537" s="19" t="s">
        <v>35999</v>
      </c>
      <c r="G7537" s="18" t="str">
        <f>"63147"</f>
        <v>63147</v>
      </c>
      <c r="H7537" s="19" t="s">
        <v>36518</v>
      </c>
      <c r="I7537" s="20">
        <v>20.832000000000001</v>
      </c>
      <c r="J7537" s="44" t="s">
        <v>8</v>
      </c>
      <c r="K7537" s="23" t="s">
        <v>8</v>
      </c>
      <c r="L7537" s="23" t="s">
        <v>8</v>
      </c>
      <c r="M7537" s="23" t="s">
        <v>8</v>
      </c>
    </row>
    <row r="7538" spans="1:13" s="21" customFormat="1" x14ac:dyDescent="0.25">
      <c r="A7538" s="22" t="s">
        <v>8</v>
      </c>
      <c r="B7538" s="18" t="str">
        <f>"265586"</f>
        <v>265586</v>
      </c>
      <c r="C7538" s="19" t="s">
        <v>7429</v>
      </c>
      <c r="D7538" s="19" t="s">
        <v>22958</v>
      </c>
      <c r="E7538" s="19" t="s">
        <v>33228</v>
      </c>
      <c r="F7538" s="19" t="s">
        <v>35999</v>
      </c>
      <c r="G7538" s="18" t="str">
        <f>"63136"</f>
        <v>63136</v>
      </c>
      <c r="H7538" s="19" t="s">
        <v>33228</v>
      </c>
      <c r="I7538" s="20">
        <v>20.367000000000001</v>
      </c>
      <c r="J7538" s="44" t="s">
        <v>8</v>
      </c>
      <c r="K7538" s="23" t="s">
        <v>8</v>
      </c>
      <c r="L7538" s="23" t="s">
        <v>8</v>
      </c>
      <c r="M7538" s="23" t="s">
        <v>8</v>
      </c>
    </row>
    <row r="7539" spans="1:13" s="21" customFormat="1" x14ac:dyDescent="0.25">
      <c r="A7539" s="22" t="s">
        <v>8</v>
      </c>
      <c r="B7539" s="18" t="str">
        <f>"265589"</f>
        <v>265589</v>
      </c>
      <c r="C7539" s="19" t="s">
        <v>7430</v>
      </c>
      <c r="D7539" s="19" t="s">
        <v>22959</v>
      </c>
      <c r="E7539" s="19" t="s">
        <v>33681</v>
      </c>
      <c r="F7539" s="19" t="s">
        <v>35999</v>
      </c>
      <c r="G7539" s="18" t="str">
        <f>"63376"</f>
        <v>63376</v>
      </c>
      <c r="H7539" s="19" t="s">
        <v>33589</v>
      </c>
      <c r="I7539" s="20">
        <v>18.399000000000001</v>
      </c>
      <c r="J7539" s="44" t="s">
        <v>8</v>
      </c>
      <c r="K7539" s="23" t="s">
        <v>8</v>
      </c>
      <c r="L7539" s="23" t="s">
        <v>8</v>
      </c>
      <c r="M7539" s="23" t="s">
        <v>8</v>
      </c>
    </row>
    <row r="7540" spans="1:13" s="21" customFormat="1" x14ac:dyDescent="0.25">
      <c r="A7540" s="22" t="s">
        <v>8</v>
      </c>
      <c r="B7540" s="18" t="str">
        <f>"265590"</f>
        <v>265590</v>
      </c>
      <c r="C7540" s="19" t="s">
        <v>7431</v>
      </c>
      <c r="D7540" s="19" t="s">
        <v>22960</v>
      </c>
      <c r="E7540" s="19" t="s">
        <v>31050</v>
      </c>
      <c r="F7540" s="19" t="s">
        <v>35999</v>
      </c>
      <c r="G7540" s="18" t="str">
        <f>"65275"</f>
        <v>65275</v>
      </c>
      <c r="H7540" s="19" t="s">
        <v>31711</v>
      </c>
      <c r="I7540" s="20">
        <v>18.847999999999999</v>
      </c>
      <c r="J7540" s="44" t="s">
        <v>8</v>
      </c>
      <c r="K7540" s="23" t="s">
        <v>8</v>
      </c>
      <c r="L7540" s="23" t="s">
        <v>8</v>
      </c>
      <c r="M7540" s="23" t="s">
        <v>8</v>
      </c>
    </row>
    <row r="7541" spans="1:13" s="21" customFormat="1" x14ac:dyDescent="0.25">
      <c r="A7541" s="22" t="s">
        <v>8</v>
      </c>
      <c r="B7541" s="18" t="str">
        <f>"265591"</f>
        <v>265591</v>
      </c>
      <c r="C7541" s="19" t="s">
        <v>7432</v>
      </c>
      <c r="D7541" s="19" t="s">
        <v>22961</v>
      </c>
      <c r="E7541" s="19" t="s">
        <v>32082</v>
      </c>
      <c r="F7541" s="19" t="s">
        <v>35999</v>
      </c>
      <c r="G7541" s="18" t="str">
        <f>"64468"</f>
        <v>64468</v>
      </c>
      <c r="H7541" s="19" t="s">
        <v>36509</v>
      </c>
      <c r="I7541" s="20">
        <v>19.14</v>
      </c>
      <c r="J7541" s="44" t="s">
        <v>8</v>
      </c>
      <c r="K7541" s="23" t="s">
        <v>8</v>
      </c>
      <c r="L7541" s="23" t="s">
        <v>8</v>
      </c>
      <c r="M7541" s="23" t="s">
        <v>8</v>
      </c>
    </row>
    <row r="7542" spans="1:13" s="21" customFormat="1" x14ac:dyDescent="0.25">
      <c r="A7542" s="22" t="s">
        <v>8</v>
      </c>
      <c r="B7542" s="18" t="str">
        <f>"265593"</f>
        <v>265593</v>
      </c>
      <c r="C7542" s="19" t="s">
        <v>7433</v>
      </c>
      <c r="D7542" s="19" t="s">
        <v>22962</v>
      </c>
      <c r="E7542" s="19" t="s">
        <v>33682</v>
      </c>
      <c r="F7542" s="19" t="s">
        <v>35999</v>
      </c>
      <c r="G7542" s="18" t="str">
        <f>"65667"</f>
        <v>65667</v>
      </c>
      <c r="H7542" s="19" t="s">
        <v>36290</v>
      </c>
      <c r="I7542" s="20">
        <v>18.803999999999998</v>
      </c>
      <c r="J7542" s="44" t="s">
        <v>8</v>
      </c>
      <c r="K7542" s="23" t="s">
        <v>8</v>
      </c>
      <c r="L7542" s="23" t="s">
        <v>8</v>
      </c>
      <c r="M7542" s="23" t="s">
        <v>8</v>
      </c>
    </row>
    <row r="7543" spans="1:13" s="21" customFormat="1" x14ac:dyDescent="0.25">
      <c r="A7543" s="22" t="s">
        <v>8</v>
      </c>
      <c r="B7543" s="18" t="str">
        <f>"265594"</f>
        <v>265594</v>
      </c>
      <c r="C7543" s="19" t="s">
        <v>7434</v>
      </c>
      <c r="D7543" s="19" t="s">
        <v>22963</v>
      </c>
      <c r="E7543" s="19" t="s">
        <v>33683</v>
      </c>
      <c r="F7543" s="19" t="s">
        <v>35999</v>
      </c>
      <c r="G7543" s="18" t="str">
        <f>"65705"</f>
        <v>65705</v>
      </c>
      <c r="H7543" s="19" t="s">
        <v>32568</v>
      </c>
      <c r="I7543" s="20">
        <v>19.689</v>
      </c>
      <c r="J7543" s="44" t="s">
        <v>8</v>
      </c>
      <c r="K7543" s="23" t="s">
        <v>8</v>
      </c>
      <c r="L7543" s="23" t="s">
        <v>8</v>
      </c>
      <c r="M7543" s="23" t="s">
        <v>8</v>
      </c>
    </row>
    <row r="7544" spans="1:13" s="21" customFormat="1" x14ac:dyDescent="0.25">
      <c r="A7544" s="22" t="s">
        <v>8</v>
      </c>
      <c r="B7544" s="18" t="str">
        <f>"265595"</f>
        <v>265595</v>
      </c>
      <c r="C7544" s="19" t="s">
        <v>7435</v>
      </c>
      <c r="D7544" s="19" t="s">
        <v>22964</v>
      </c>
      <c r="E7544" s="19" t="s">
        <v>33684</v>
      </c>
      <c r="F7544" s="19" t="s">
        <v>35999</v>
      </c>
      <c r="G7544" s="18" t="str">
        <f>"64014"</f>
        <v>64014</v>
      </c>
      <c r="H7544" s="19" t="s">
        <v>30816</v>
      </c>
      <c r="I7544" s="20">
        <v>20.681000000000001</v>
      </c>
      <c r="J7544" s="44" t="s">
        <v>8</v>
      </c>
      <c r="K7544" s="23" t="s">
        <v>8</v>
      </c>
      <c r="L7544" s="23" t="s">
        <v>8</v>
      </c>
      <c r="M7544" s="23" t="s">
        <v>8</v>
      </c>
    </row>
    <row r="7545" spans="1:13" s="21" customFormat="1" x14ac:dyDescent="0.25">
      <c r="A7545" s="22" t="s">
        <v>8</v>
      </c>
      <c r="B7545" s="18" t="str">
        <f>"265597"</f>
        <v>265597</v>
      </c>
      <c r="C7545" s="19" t="s">
        <v>7436</v>
      </c>
      <c r="D7545" s="19" t="s">
        <v>22965</v>
      </c>
      <c r="E7545" s="19" t="s">
        <v>32565</v>
      </c>
      <c r="F7545" s="19" t="s">
        <v>35999</v>
      </c>
      <c r="G7545" s="18" t="str">
        <f>"64137"</f>
        <v>64137</v>
      </c>
      <c r="H7545" s="19" t="s">
        <v>30816</v>
      </c>
      <c r="I7545" s="20">
        <v>20.248999999999999</v>
      </c>
      <c r="J7545" s="44" t="s">
        <v>8</v>
      </c>
      <c r="K7545" s="23" t="s">
        <v>8</v>
      </c>
      <c r="L7545" s="23" t="s">
        <v>8</v>
      </c>
      <c r="M7545" s="23" t="s">
        <v>8</v>
      </c>
    </row>
    <row r="7546" spans="1:13" s="21" customFormat="1" x14ac:dyDescent="0.25">
      <c r="A7546" s="22" t="s">
        <v>8</v>
      </c>
      <c r="B7546" s="18" t="str">
        <f>"265598"</f>
        <v>265598</v>
      </c>
      <c r="C7546" s="19" t="s">
        <v>7437</v>
      </c>
      <c r="D7546" s="19" t="s">
        <v>22966</v>
      </c>
      <c r="E7546" s="19" t="s">
        <v>31794</v>
      </c>
      <c r="F7546" s="19" t="s">
        <v>35999</v>
      </c>
      <c r="G7546" s="18" t="str">
        <f>"65236"</f>
        <v>65236</v>
      </c>
      <c r="H7546" s="19" t="s">
        <v>32425</v>
      </c>
      <c r="I7546" s="20">
        <v>19.379000000000001</v>
      </c>
      <c r="J7546" s="44" t="s">
        <v>8</v>
      </c>
      <c r="K7546" s="23" t="s">
        <v>8</v>
      </c>
      <c r="L7546" s="23" t="s">
        <v>8</v>
      </c>
      <c r="M7546" s="23" t="s">
        <v>8</v>
      </c>
    </row>
    <row r="7547" spans="1:13" s="21" customFormat="1" x14ac:dyDescent="0.25">
      <c r="A7547" s="22" t="s">
        <v>8</v>
      </c>
      <c r="B7547" s="18" t="str">
        <f>"265599"</f>
        <v>265599</v>
      </c>
      <c r="C7547" s="19" t="s">
        <v>7438</v>
      </c>
      <c r="D7547" s="19" t="s">
        <v>22967</v>
      </c>
      <c r="E7547" s="19" t="s">
        <v>32544</v>
      </c>
      <c r="F7547" s="19" t="s">
        <v>35999</v>
      </c>
      <c r="G7547" s="18" t="str">
        <f>"63437"</f>
        <v>63437</v>
      </c>
      <c r="H7547" s="19" t="s">
        <v>33565</v>
      </c>
      <c r="I7547" s="20">
        <v>19.038</v>
      </c>
      <c r="J7547" s="44" t="s">
        <v>8</v>
      </c>
      <c r="K7547" s="23" t="s">
        <v>8</v>
      </c>
      <c r="L7547" s="23" t="s">
        <v>8</v>
      </c>
      <c r="M7547" s="23" t="s">
        <v>8</v>
      </c>
    </row>
    <row r="7548" spans="1:13" s="21" customFormat="1" x14ac:dyDescent="0.25">
      <c r="A7548" s="22" t="s">
        <v>8</v>
      </c>
      <c r="B7548" s="18" t="str">
        <f>"265600"</f>
        <v>265600</v>
      </c>
      <c r="C7548" s="19" t="s">
        <v>7439</v>
      </c>
      <c r="D7548" s="19" t="s">
        <v>22968</v>
      </c>
      <c r="E7548" s="19" t="s">
        <v>33685</v>
      </c>
      <c r="F7548" s="19" t="s">
        <v>35999</v>
      </c>
      <c r="G7548" s="18" t="str">
        <f>"63119"</f>
        <v>63119</v>
      </c>
      <c r="H7548" s="19" t="s">
        <v>33228</v>
      </c>
      <c r="I7548" s="20">
        <v>19.382000000000001</v>
      </c>
      <c r="J7548" s="44" t="s">
        <v>8</v>
      </c>
      <c r="K7548" s="23" t="s">
        <v>8</v>
      </c>
      <c r="L7548" s="23" t="s">
        <v>8</v>
      </c>
      <c r="M7548" s="23" t="s">
        <v>8</v>
      </c>
    </row>
    <row r="7549" spans="1:13" s="21" customFormat="1" x14ac:dyDescent="0.25">
      <c r="A7549" s="22" t="s">
        <v>8</v>
      </c>
      <c r="B7549" s="18" t="str">
        <f>"265605"</f>
        <v>265605</v>
      </c>
      <c r="C7549" s="19" t="s">
        <v>7440</v>
      </c>
      <c r="D7549" s="19" t="s">
        <v>22969</v>
      </c>
      <c r="E7549" s="19" t="s">
        <v>31754</v>
      </c>
      <c r="F7549" s="19" t="s">
        <v>35999</v>
      </c>
      <c r="G7549" s="18" t="str">
        <f>"65653"</f>
        <v>65653</v>
      </c>
      <c r="H7549" s="19" t="s">
        <v>36521</v>
      </c>
      <c r="I7549" s="20">
        <v>16.885999999999999</v>
      </c>
      <c r="J7549" s="44" t="s">
        <v>8</v>
      </c>
      <c r="K7549" s="23" t="s">
        <v>8</v>
      </c>
      <c r="L7549" s="23" t="s">
        <v>8</v>
      </c>
      <c r="M7549" s="23" t="s">
        <v>8</v>
      </c>
    </row>
    <row r="7550" spans="1:13" s="21" customFormat="1" x14ac:dyDescent="0.25">
      <c r="A7550" s="22" t="s">
        <v>8</v>
      </c>
      <c r="B7550" s="18" t="str">
        <f>"265606"</f>
        <v>265606</v>
      </c>
      <c r="C7550" s="19" t="s">
        <v>7441</v>
      </c>
      <c r="D7550" s="19" t="s">
        <v>22970</v>
      </c>
      <c r="E7550" s="19" t="s">
        <v>33686</v>
      </c>
      <c r="F7550" s="19" t="s">
        <v>35999</v>
      </c>
      <c r="G7550" s="18" t="str">
        <f>"65351"</f>
        <v>65351</v>
      </c>
      <c r="H7550" s="19" t="s">
        <v>33206</v>
      </c>
      <c r="I7550" s="20">
        <v>20.271000000000001</v>
      </c>
      <c r="J7550" s="44" t="s">
        <v>8</v>
      </c>
      <c r="K7550" s="23" t="s">
        <v>8</v>
      </c>
      <c r="L7550" s="23" t="s">
        <v>8</v>
      </c>
      <c r="M7550" s="23" t="s">
        <v>8</v>
      </c>
    </row>
    <row r="7551" spans="1:13" s="21" customFormat="1" x14ac:dyDescent="0.25">
      <c r="A7551" s="22" t="s">
        <v>8</v>
      </c>
      <c r="B7551" s="18" t="str">
        <f>"265607"</f>
        <v>265607</v>
      </c>
      <c r="C7551" s="19" t="s">
        <v>7442</v>
      </c>
      <c r="D7551" s="19" t="s">
        <v>22971</v>
      </c>
      <c r="E7551" s="19" t="s">
        <v>33588</v>
      </c>
      <c r="F7551" s="19" t="s">
        <v>35999</v>
      </c>
      <c r="G7551" s="18" t="str">
        <f>"63031"</f>
        <v>63031</v>
      </c>
      <c r="H7551" s="19" t="s">
        <v>33228</v>
      </c>
      <c r="I7551" s="20">
        <v>19.579999999999998</v>
      </c>
      <c r="J7551" s="44" t="s">
        <v>8</v>
      </c>
      <c r="K7551" s="23" t="s">
        <v>8</v>
      </c>
      <c r="L7551" s="23" t="s">
        <v>8</v>
      </c>
      <c r="M7551" s="23" t="s">
        <v>8</v>
      </c>
    </row>
    <row r="7552" spans="1:13" s="21" customFormat="1" x14ac:dyDescent="0.25">
      <c r="A7552" s="22" t="s">
        <v>8</v>
      </c>
      <c r="B7552" s="18" t="str">
        <f>"265608"</f>
        <v>265608</v>
      </c>
      <c r="C7552" s="19" t="s">
        <v>2786</v>
      </c>
      <c r="D7552" s="19" t="s">
        <v>22972</v>
      </c>
      <c r="E7552" s="19" t="s">
        <v>31477</v>
      </c>
      <c r="F7552" s="19" t="s">
        <v>35999</v>
      </c>
      <c r="G7552" s="18" t="str">
        <f>"65746"</f>
        <v>65746</v>
      </c>
      <c r="H7552" s="19" t="s">
        <v>33048</v>
      </c>
      <c r="I7552" s="20">
        <v>18.937000000000001</v>
      </c>
      <c r="J7552" s="44" t="s">
        <v>8</v>
      </c>
      <c r="K7552" s="23" t="s">
        <v>8</v>
      </c>
      <c r="L7552" s="23" t="s">
        <v>8</v>
      </c>
      <c r="M7552" s="23" t="s">
        <v>8</v>
      </c>
    </row>
    <row r="7553" spans="1:13" s="21" customFormat="1" x14ac:dyDescent="0.25">
      <c r="A7553" s="22" t="s">
        <v>8</v>
      </c>
      <c r="B7553" s="18" t="str">
        <f>"265609"</f>
        <v>265609</v>
      </c>
      <c r="C7553" s="19" t="s">
        <v>7443</v>
      </c>
      <c r="D7553" s="19" t="s">
        <v>22973</v>
      </c>
      <c r="E7553" s="19" t="s">
        <v>33013</v>
      </c>
      <c r="F7553" s="19" t="s">
        <v>35999</v>
      </c>
      <c r="G7553" s="18" t="str">
        <f>"63863"</f>
        <v>63863</v>
      </c>
      <c r="H7553" s="19" t="s">
        <v>36515</v>
      </c>
      <c r="I7553" s="20">
        <v>20.34</v>
      </c>
      <c r="J7553" s="44" t="s">
        <v>8</v>
      </c>
      <c r="K7553" s="23" t="s">
        <v>8</v>
      </c>
      <c r="L7553" s="23" t="s">
        <v>8</v>
      </c>
      <c r="M7553" s="23" t="s">
        <v>8</v>
      </c>
    </row>
    <row r="7554" spans="1:13" s="21" customFormat="1" x14ac:dyDescent="0.25">
      <c r="A7554" s="22" t="s">
        <v>8</v>
      </c>
      <c r="B7554" s="18" t="str">
        <f>"265610"</f>
        <v>265610</v>
      </c>
      <c r="C7554" s="19" t="s">
        <v>7444</v>
      </c>
      <c r="D7554" s="19" t="s">
        <v>22974</v>
      </c>
      <c r="E7554" s="19" t="s">
        <v>33228</v>
      </c>
      <c r="F7554" s="19" t="s">
        <v>35999</v>
      </c>
      <c r="G7554" s="18" t="str">
        <f>"63103"</f>
        <v>63103</v>
      </c>
      <c r="H7554" s="19" t="s">
        <v>36518</v>
      </c>
      <c r="I7554" s="20">
        <v>19.893999999999998</v>
      </c>
      <c r="J7554" s="44" t="s">
        <v>8</v>
      </c>
      <c r="K7554" s="23" t="s">
        <v>8</v>
      </c>
      <c r="L7554" s="23" t="s">
        <v>8</v>
      </c>
      <c r="M7554" s="23" t="s">
        <v>8</v>
      </c>
    </row>
    <row r="7555" spans="1:13" s="21" customFormat="1" x14ac:dyDescent="0.25">
      <c r="A7555" s="22" t="s">
        <v>8</v>
      </c>
      <c r="B7555" s="18" t="str">
        <f>"265611"</f>
        <v>265611</v>
      </c>
      <c r="C7555" s="19" t="s">
        <v>7445</v>
      </c>
      <c r="D7555" s="19" t="s">
        <v>22975</v>
      </c>
      <c r="E7555" s="19" t="s">
        <v>33687</v>
      </c>
      <c r="F7555" s="19" t="s">
        <v>35999</v>
      </c>
      <c r="G7555" s="18" t="str">
        <f>"63377"</f>
        <v>63377</v>
      </c>
      <c r="H7555" s="19" t="s">
        <v>31995</v>
      </c>
      <c r="I7555" s="20">
        <v>18.934000000000001</v>
      </c>
      <c r="J7555" s="44" t="s">
        <v>8</v>
      </c>
      <c r="K7555" s="23" t="s">
        <v>8</v>
      </c>
      <c r="L7555" s="23" t="s">
        <v>8</v>
      </c>
      <c r="M7555" s="23" t="s">
        <v>8</v>
      </c>
    </row>
    <row r="7556" spans="1:13" s="21" customFormat="1" x14ac:dyDescent="0.25">
      <c r="A7556" s="22" t="s">
        <v>8</v>
      </c>
      <c r="B7556" s="18" t="str">
        <f>"265614"</f>
        <v>265614</v>
      </c>
      <c r="C7556" s="19" t="s">
        <v>7446</v>
      </c>
      <c r="D7556" s="19" t="s">
        <v>22976</v>
      </c>
      <c r="E7556" s="19" t="s">
        <v>33639</v>
      </c>
      <c r="F7556" s="19" t="s">
        <v>35999</v>
      </c>
      <c r="G7556" s="18" t="str">
        <f>"63801"</f>
        <v>63801</v>
      </c>
      <c r="H7556" s="19" t="s">
        <v>36083</v>
      </c>
      <c r="I7556" s="20">
        <v>19.574000000000002</v>
      </c>
      <c r="J7556" s="44" t="s">
        <v>8</v>
      </c>
      <c r="K7556" s="23" t="s">
        <v>8</v>
      </c>
      <c r="L7556" s="23" t="s">
        <v>8</v>
      </c>
      <c r="M7556" s="23" t="s">
        <v>8</v>
      </c>
    </row>
    <row r="7557" spans="1:13" s="21" customFormat="1" x14ac:dyDescent="0.25">
      <c r="A7557" s="22" t="s">
        <v>8</v>
      </c>
      <c r="B7557" s="18" t="str">
        <f>"265617"</f>
        <v>265617</v>
      </c>
      <c r="C7557" s="19" t="s">
        <v>7447</v>
      </c>
      <c r="D7557" s="19" t="s">
        <v>22977</v>
      </c>
      <c r="E7557" s="19" t="s">
        <v>33600</v>
      </c>
      <c r="F7557" s="19" t="s">
        <v>35999</v>
      </c>
      <c r="G7557" s="18" t="str">
        <f>"64801"</f>
        <v>64801</v>
      </c>
      <c r="H7557" s="19" t="s">
        <v>30854</v>
      </c>
      <c r="I7557" s="20">
        <v>22.335999999999999</v>
      </c>
      <c r="J7557" s="44" t="s">
        <v>8</v>
      </c>
      <c r="K7557" s="23" t="s">
        <v>8</v>
      </c>
      <c r="L7557" s="23" t="s">
        <v>8</v>
      </c>
      <c r="M7557" s="23" t="s">
        <v>8</v>
      </c>
    </row>
    <row r="7558" spans="1:13" s="21" customFormat="1" x14ac:dyDescent="0.25">
      <c r="A7558" s="22" t="s">
        <v>8</v>
      </c>
      <c r="B7558" s="18" t="str">
        <f>"265618"</f>
        <v>265618</v>
      </c>
      <c r="C7558" s="19" t="s">
        <v>7448</v>
      </c>
      <c r="D7558" s="19" t="s">
        <v>22978</v>
      </c>
      <c r="E7558" s="19" t="s">
        <v>32076</v>
      </c>
      <c r="F7558" s="19" t="s">
        <v>35999</v>
      </c>
      <c r="G7558" s="18" t="str">
        <f>"65203"</f>
        <v>65203</v>
      </c>
      <c r="H7558" s="19" t="s">
        <v>32513</v>
      </c>
      <c r="I7558" s="20">
        <v>20.843</v>
      </c>
      <c r="J7558" s="44" t="s">
        <v>8</v>
      </c>
      <c r="K7558" s="23" t="s">
        <v>8</v>
      </c>
      <c r="L7558" s="23" t="s">
        <v>8</v>
      </c>
      <c r="M7558" s="23" t="s">
        <v>8</v>
      </c>
    </row>
    <row r="7559" spans="1:13" s="21" customFormat="1" x14ac:dyDescent="0.25">
      <c r="A7559" s="22" t="s">
        <v>8</v>
      </c>
      <c r="B7559" s="18" t="str">
        <f>"265620"</f>
        <v>265620</v>
      </c>
      <c r="C7559" s="19" t="s">
        <v>7449</v>
      </c>
      <c r="D7559" s="19" t="s">
        <v>22979</v>
      </c>
      <c r="E7559" s="19" t="s">
        <v>32653</v>
      </c>
      <c r="F7559" s="19" t="s">
        <v>35999</v>
      </c>
      <c r="G7559" s="18" t="str">
        <f>"63020"</f>
        <v>63020</v>
      </c>
      <c r="H7559" s="19" t="s">
        <v>32391</v>
      </c>
      <c r="I7559" s="20">
        <v>19.187999999999999</v>
      </c>
      <c r="J7559" s="44" t="s">
        <v>8</v>
      </c>
      <c r="K7559" s="23" t="s">
        <v>8</v>
      </c>
      <c r="L7559" s="23" t="s">
        <v>8</v>
      </c>
      <c r="M7559" s="23" t="s">
        <v>8</v>
      </c>
    </row>
    <row r="7560" spans="1:13" s="21" customFormat="1" x14ac:dyDescent="0.25">
      <c r="A7560" s="22" t="s">
        <v>8</v>
      </c>
      <c r="B7560" s="18" t="str">
        <f>"265621"</f>
        <v>265621</v>
      </c>
      <c r="C7560" s="19" t="s">
        <v>7450</v>
      </c>
      <c r="D7560" s="19" t="s">
        <v>22980</v>
      </c>
      <c r="E7560" s="19" t="s">
        <v>31927</v>
      </c>
      <c r="F7560" s="19" t="s">
        <v>35999</v>
      </c>
      <c r="G7560" s="18" t="str">
        <f>"64601"</f>
        <v>64601</v>
      </c>
      <c r="H7560" s="19" t="s">
        <v>33740</v>
      </c>
      <c r="I7560" s="20">
        <v>18.346</v>
      </c>
      <c r="J7560" s="44" t="s">
        <v>8</v>
      </c>
      <c r="K7560" s="23" t="s">
        <v>8</v>
      </c>
      <c r="L7560" s="23" t="s">
        <v>8</v>
      </c>
      <c r="M7560" s="23" t="s">
        <v>8</v>
      </c>
    </row>
    <row r="7561" spans="1:13" s="21" customFormat="1" x14ac:dyDescent="0.25">
      <c r="A7561" s="22" t="s">
        <v>8</v>
      </c>
      <c r="B7561" s="18" t="str">
        <f>"265625"</f>
        <v>265625</v>
      </c>
      <c r="C7561" s="19" t="s">
        <v>7451</v>
      </c>
      <c r="D7561" s="19" t="s">
        <v>22981</v>
      </c>
      <c r="E7561" s="19" t="s">
        <v>33688</v>
      </c>
      <c r="F7561" s="19" t="s">
        <v>35999</v>
      </c>
      <c r="G7561" s="18" t="str">
        <f>"63363"</f>
        <v>63363</v>
      </c>
      <c r="H7561" s="19" t="s">
        <v>30833</v>
      </c>
      <c r="I7561" s="20">
        <v>19.314</v>
      </c>
      <c r="J7561" s="44" t="s">
        <v>8</v>
      </c>
      <c r="K7561" s="23" t="s">
        <v>8</v>
      </c>
      <c r="L7561" s="23" t="s">
        <v>8</v>
      </c>
      <c r="M7561" s="23" t="s">
        <v>8</v>
      </c>
    </row>
    <row r="7562" spans="1:13" s="21" customFormat="1" x14ac:dyDescent="0.25">
      <c r="A7562" s="22" t="s">
        <v>8</v>
      </c>
      <c r="B7562" s="18" t="str">
        <f>"265627"</f>
        <v>265627</v>
      </c>
      <c r="C7562" s="19" t="s">
        <v>7452</v>
      </c>
      <c r="D7562" s="19" t="s">
        <v>22982</v>
      </c>
      <c r="E7562" s="19" t="s">
        <v>32311</v>
      </c>
      <c r="F7562" s="19" t="s">
        <v>35999</v>
      </c>
      <c r="G7562" s="18" t="str">
        <f>"63017"</f>
        <v>63017</v>
      </c>
      <c r="H7562" s="19" t="s">
        <v>33228</v>
      </c>
      <c r="I7562" s="20">
        <v>19.515999999999998</v>
      </c>
      <c r="J7562" s="44" t="s">
        <v>8</v>
      </c>
      <c r="K7562" s="23" t="s">
        <v>8</v>
      </c>
      <c r="L7562" s="23" t="s">
        <v>8</v>
      </c>
      <c r="M7562" s="23" t="s">
        <v>8</v>
      </c>
    </row>
    <row r="7563" spans="1:13" s="21" customFormat="1" x14ac:dyDescent="0.25">
      <c r="A7563" s="22" t="s">
        <v>8</v>
      </c>
      <c r="B7563" s="18" t="str">
        <f>"265629"</f>
        <v>265629</v>
      </c>
      <c r="C7563" s="19" t="s">
        <v>7453</v>
      </c>
      <c r="D7563" s="19" t="s">
        <v>22983</v>
      </c>
      <c r="E7563" s="19" t="s">
        <v>32013</v>
      </c>
      <c r="F7563" s="19" t="s">
        <v>35999</v>
      </c>
      <c r="G7563" s="18" t="str">
        <f>"64473"</f>
        <v>64473</v>
      </c>
      <c r="H7563" s="19" t="s">
        <v>33214</v>
      </c>
      <c r="I7563" s="20">
        <v>19.172000000000001</v>
      </c>
      <c r="J7563" s="44" t="s">
        <v>8</v>
      </c>
      <c r="K7563" s="23" t="s">
        <v>8</v>
      </c>
      <c r="L7563" s="23" t="s">
        <v>8</v>
      </c>
      <c r="M7563" s="23" t="s">
        <v>8</v>
      </c>
    </row>
    <row r="7564" spans="1:13" s="21" customFormat="1" x14ac:dyDescent="0.25">
      <c r="A7564" s="22" t="s">
        <v>8</v>
      </c>
      <c r="B7564" s="18" t="str">
        <f>"265632"</f>
        <v>265632</v>
      </c>
      <c r="C7564" s="19" t="s">
        <v>7454</v>
      </c>
      <c r="D7564" s="19" t="s">
        <v>22984</v>
      </c>
      <c r="E7564" s="19" t="s">
        <v>33689</v>
      </c>
      <c r="F7564" s="19" t="s">
        <v>35999</v>
      </c>
      <c r="G7564" s="18" t="str">
        <f>"65542"</f>
        <v>65542</v>
      </c>
      <c r="H7564" s="19" t="s">
        <v>36507</v>
      </c>
      <c r="I7564" s="20">
        <v>17.091000000000001</v>
      </c>
      <c r="J7564" s="44" t="s">
        <v>8</v>
      </c>
      <c r="K7564" s="23" t="s">
        <v>8</v>
      </c>
      <c r="L7564" s="23" t="s">
        <v>8</v>
      </c>
      <c r="M7564" s="23" t="s">
        <v>8</v>
      </c>
    </row>
    <row r="7565" spans="1:13" s="21" customFormat="1" x14ac:dyDescent="0.25">
      <c r="A7565" s="22" t="s">
        <v>8</v>
      </c>
      <c r="B7565" s="18" t="str">
        <f>"265633"</f>
        <v>265633</v>
      </c>
      <c r="C7565" s="19" t="s">
        <v>7455</v>
      </c>
      <c r="D7565" s="19" t="s">
        <v>22985</v>
      </c>
      <c r="E7565" s="19" t="s">
        <v>33578</v>
      </c>
      <c r="F7565" s="19" t="s">
        <v>35999</v>
      </c>
      <c r="G7565" s="18" t="str">
        <f>"64429"</f>
        <v>64429</v>
      </c>
      <c r="H7565" s="19" t="s">
        <v>31081</v>
      </c>
      <c r="I7565" s="20">
        <v>22.006</v>
      </c>
      <c r="J7565" s="44" t="s">
        <v>8</v>
      </c>
      <c r="K7565" s="23" t="s">
        <v>8</v>
      </c>
      <c r="L7565" s="23" t="s">
        <v>8</v>
      </c>
      <c r="M7565" s="23" t="s">
        <v>8</v>
      </c>
    </row>
    <row r="7566" spans="1:13" s="21" customFormat="1" x14ac:dyDescent="0.25">
      <c r="A7566" s="22" t="s">
        <v>8</v>
      </c>
      <c r="B7566" s="18" t="str">
        <f>"265634"</f>
        <v>265634</v>
      </c>
      <c r="C7566" s="19" t="s">
        <v>7456</v>
      </c>
      <c r="D7566" s="19" t="s">
        <v>22986</v>
      </c>
      <c r="E7566" s="19" t="s">
        <v>33645</v>
      </c>
      <c r="F7566" s="19" t="s">
        <v>35999</v>
      </c>
      <c r="G7566" s="18" t="str">
        <f>"65708"</f>
        <v>65708</v>
      </c>
      <c r="H7566" s="19" t="s">
        <v>32158</v>
      </c>
      <c r="I7566" s="20">
        <v>17.975000000000001</v>
      </c>
      <c r="J7566" s="44" t="s">
        <v>8</v>
      </c>
      <c r="K7566" s="23" t="s">
        <v>8</v>
      </c>
      <c r="L7566" s="23" t="s">
        <v>8</v>
      </c>
      <c r="M7566" s="23" t="s">
        <v>8</v>
      </c>
    </row>
    <row r="7567" spans="1:13" s="21" customFormat="1" x14ac:dyDescent="0.25">
      <c r="A7567" s="22" t="s">
        <v>8</v>
      </c>
      <c r="B7567" s="18" t="str">
        <f>"265636"</f>
        <v>265636</v>
      </c>
      <c r="C7567" s="19" t="s">
        <v>7457</v>
      </c>
      <c r="D7567" s="19" t="s">
        <v>22987</v>
      </c>
      <c r="E7567" s="19" t="s">
        <v>33228</v>
      </c>
      <c r="F7567" s="19" t="s">
        <v>35999</v>
      </c>
      <c r="G7567" s="18" t="str">
        <f>"63129"</f>
        <v>63129</v>
      </c>
      <c r="H7567" s="19" t="s">
        <v>33228</v>
      </c>
      <c r="I7567" s="20">
        <v>19.016999999999999</v>
      </c>
      <c r="J7567" s="44" t="s">
        <v>8</v>
      </c>
      <c r="K7567" s="23" t="s">
        <v>8</v>
      </c>
      <c r="L7567" s="23" t="s">
        <v>8</v>
      </c>
      <c r="M7567" s="23" t="s">
        <v>8</v>
      </c>
    </row>
    <row r="7568" spans="1:13" s="21" customFormat="1" x14ac:dyDescent="0.25">
      <c r="A7568" s="22" t="s">
        <v>8</v>
      </c>
      <c r="B7568" s="18" t="str">
        <f>"265637"</f>
        <v>265637</v>
      </c>
      <c r="C7568" s="19" t="s">
        <v>7458</v>
      </c>
      <c r="D7568" s="19" t="s">
        <v>22988</v>
      </c>
      <c r="E7568" s="19" t="s">
        <v>32565</v>
      </c>
      <c r="F7568" s="19" t="s">
        <v>35999</v>
      </c>
      <c r="G7568" s="18" t="str">
        <f>"64145"</f>
        <v>64145</v>
      </c>
      <c r="H7568" s="19" t="s">
        <v>30816</v>
      </c>
      <c r="I7568" s="20">
        <v>18.738</v>
      </c>
      <c r="J7568" s="44" t="s">
        <v>8</v>
      </c>
      <c r="K7568" s="23" t="s">
        <v>8</v>
      </c>
      <c r="L7568" s="23" t="s">
        <v>8</v>
      </c>
      <c r="M7568" s="23" t="s">
        <v>8</v>
      </c>
    </row>
    <row r="7569" spans="1:13" s="21" customFormat="1" x14ac:dyDescent="0.25">
      <c r="A7569" s="22" t="s">
        <v>8</v>
      </c>
      <c r="B7569" s="18" t="str">
        <f>"265638"</f>
        <v>265638</v>
      </c>
      <c r="C7569" s="19" t="s">
        <v>7459</v>
      </c>
      <c r="D7569" s="19" t="s">
        <v>22989</v>
      </c>
      <c r="E7569" s="19" t="s">
        <v>32122</v>
      </c>
      <c r="F7569" s="19" t="s">
        <v>35999</v>
      </c>
      <c r="G7569" s="18" t="str">
        <f>"63382"</f>
        <v>63382</v>
      </c>
      <c r="H7569" s="19" t="s">
        <v>36525</v>
      </c>
      <c r="I7569" s="20">
        <v>18.379000000000001</v>
      </c>
      <c r="J7569" s="44" t="s">
        <v>8</v>
      </c>
      <c r="K7569" s="23" t="s">
        <v>8</v>
      </c>
      <c r="L7569" s="23" t="s">
        <v>8</v>
      </c>
      <c r="M7569" s="23" t="s">
        <v>8</v>
      </c>
    </row>
    <row r="7570" spans="1:13" s="21" customFormat="1" x14ac:dyDescent="0.25">
      <c r="A7570" s="22" t="s">
        <v>8</v>
      </c>
      <c r="B7570" s="18" t="str">
        <f>"265639"</f>
        <v>265639</v>
      </c>
      <c r="C7570" s="19" t="s">
        <v>7460</v>
      </c>
      <c r="D7570" s="19" t="s">
        <v>22990</v>
      </c>
      <c r="E7570" s="19" t="s">
        <v>32076</v>
      </c>
      <c r="F7570" s="19" t="s">
        <v>35999</v>
      </c>
      <c r="G7570" s="18" t="str">
        <f>"65201"</f>
        <v>65201</v>
      </c>
      <c r="H7570" s="19" t="s">
        <v>32513</v>
      </c>
      <c r="I7570" s="20">
        <v>21.611000000000001</v>
      </c>
      <c r="J7570" s="44" t="s">
        <v>8</v>
      </c>
      <c r="K7570" s="23" t="s">
        <v>8</v>
      </c>
      <c r="L7570" s="23" t="s">
        <v>8</v>
      </c>
      <c r="M7570" s="23" t="s">
        <v>8</v>
      </c>
    </row>
    <row r="7571" spans="1:13" s="21" customFormat="1" x14ac:dyDescent="0.25">
      <c r="A7571" s="22" t="s">
        <v>8</v>
      </c>
      <c r="B7571" s="18" t="str">
        <f>"265643"</f>
        <v>265643</v>
      </c>
      <c r="C7571" s="19" t="s">
        <v>7461</v>
      </c>
      <c r="D7571" s="19" t="s">
        <v>22991</v>
      </c>
      <c r="E7571" s="19" t="s">
        <v>32082</v>
      </c>
      <c r="F7571" s="19" t="s">
        <v>35999</v>
      </c>
      <c r="G7571" s="18" t="str">
        <f>"64468"</f>
        <v>64468</v>
      </c>
      <c r="H7571" s="19" t="s">
        <v>36509</v>
      </c>
      <c r="I7571" s="20">
        <v>19.120999999999999</v>
      </c>
      <c r="J7571" s="44" t="s">
        <v>8</v>
      </c>
      <c r="K7571" s="23" t="s">
        <v>8</v>
      </c>
      <c r="L7571" s="23" t="s">
        <v>8</v>
      </c>
      <c r="M7571" s="23" t="s">
        <v>8</v>
      </c>
    </row>
    <row r="7572" spans="1:13" s="21" customFormat="1" x14ac:dyDescent="0.25">
      <c r="A7572" s="22" t="s">
        <v>8</v>
      </c>
      <c r="B7572" s="18" t="str">
        <f>"265644"</f>
        <v>265644</v>
      </c>
      <c r="C7572" s="19" t="s">
        <v>7462</v>
      </c>
      <c r="D7572" s="19" t="s">
        <v>22992</v>
      </c>
      <c r="E7572" s="19" t="s">
        <v>32105</v>
      </c>
      <c r="F7572" s="19" t="s">
        <v>35999</v>
      </c>
      <c r="G7572" s="18" t="str">
        <f>"64628"</f>
        <v>64628</v>
      </c>
      <c r="H7572" s="19" t="s">
        <v>32661</v>
      </c>
      <c r="I7572" s="20">
        <v>16.863</v>
      </c>
      <c r="J7572" s="44" t="s">
        <v>8</v>
      </c>
      <c r="K7572" s="23" t="s">
        <v>8</v>
      </c>
      <c r="L7572" s="23" t="s">
        <v>8</v>
      </c>
      <c r="M7572" s="23" t="s">
        <v>8</v>
      </c>
    </row>
    <row r="7573" spans="1:13" s="21" customFormat="1" x14ac:dyDescent="0.25">
      <c r="A7573" s="22" t="s">
        <v>8</v>
      </c>
      <c r="B7573" s="18" t="str">
        <f>"265645"</f>
        <v>265645</v>
      </c>
      <c r="C7573" s="19" t="s">
        <v>7463</v>
      </c>
      <c r="D7573" s="19" t="s">
        <v>22993</v>
      </c>
      <c r="E7573" s="19" t="s">
        <v>33581</v>
      </c>
      <c r="F7573" s="19" t="s">
        <v>35999</v>
      </c>
      <c r="G7573" s="18" t="str">
        <f>"64093"</f>
        <v>64093</v>
      </c>
      <c r="H7573" s="19" t="s">
        <v>36072</v>
      </c>
      <c r="I7573" s="20">
        <v>18.346</v>
      </c>
      <c r="J7573" s="44" t="s">
        <v>8</v>
      </c>
      <c r="K7573" s="23" t="s">
        <v>8</v>
      </c>
      <c r="L7573" s="23" t="s">
        <v>8</v>
      </c>
      <c r="M7573" s="23" t="s">
        <v>8</v>
      </c>
    </row>
    <row r="7574" spans="1:13" s="21" customFormat="1" x14ac:dyDescent="0.25">
      <c r="A7574" s="22" t="s">
        <v>8</v>
      </c>
      <c r="B7574" s="18" t="str">
        <f>"265646"</f>
        <v>265646</v>
      </c>
      <c r="C7574" s="19" t="s">
        <v>7464</v>
      </c>
      <c r="D7574" s="19" t="s">
        <v>22994</v>
      </c>
      <c r="E7574" s="19" t="s">
        <v>33690</v>
      </c>
      <c r="F7574" s="19" t="s">
        <v>35999</v>
      </c>
      <c r="G7574" s="18" t="str">
        <f>"63447"</f>
        <v>63447</v>
      </c>
      <c r="H7574" s="19" t="s">
        <v>36336</v>
      </c>
      <c r="I7574" s="20">
        <v>18.398</v>
      </c>
      <c r="J7574" s="44" t="s">
        <v>8</v>
      </c>
      <c r="K7574" s="23" t="s">
        <v>8</v>
      </c>
      <c r="L7574" s="23" t="s">
        <v>8</v>
      </c>
      <c r="M7574" s="23" t="s">
        <v>8</v>
      </c>
    </row>
    <row r="7575" spans="1:13" s="21" customFormat="1" x14ac:dyDescent="0.25">
      <c r="A7575" s="22" t="s">
        <v>8</v>
      </c>
      <c r="B7575" s="18" t="str">
        <f>"265647"</f>
        <v>265647</v>
      </c>
      <c r="C7575" s="19" t="s">
        <v>7465</v>
      </c>
      <c r="D7575" s="19" t="s">
        <v>22995</v>
      </c>
      <c r="E7575" s="19" t="s">
        <v>33631</v>
      </c>
      <c r="F7575" s="19" t="s">
        <v>35999</v>
      </c>
      <c r="G7575" s="18" t="str">
        <f>"64701"</f>
        <v>64701</v>
      </c>
      <c r="H7575" s="19" t="s">
        <v>36246</v>
      </c>
      <c r="I7575" s="20">
        <v>19.763000000000002</v>
      </c>
      <c r="J7575" s="44" t="s">
        <v>8</v>
      </c>
      <c r="K7575" s="23" t="s">
        <v>8</v>
      </c>
      <c r="L7575" s="23" t="s">
        <v>8</v>
      </c>
      <c r="M7575" s="23" t="s">
        <v>8</v>
      </c>
    </row>
    <row r="7576" spans="1:13" s="21" customFormat="1" x14ac:dyDescent="0.25">
      <c r="A7576" s="22" t="s">
        <v>8</v>
      </c>
      <c r="B7576" s="18" t="str">
        <f>"265648"</f>
        <v>265648</v>
      </c>
      <c r="C7576" s="19" t="s">
        <v>7466</v>
      </c>
      <c r="D7576" s="19" t="s">
        <v>22996</v>
      </c>
      <c r="E7576" s="19" t="s">
        <v>33642</v>
      </c>
      <c r="F7576" s="19" t="s">
        <v>35999</v>
      </c>
      <c r="G7576" s="18" t="str">
        <f>"65018"</f>
        <v>65018</v>
      </c>
      <c r="H7576" s="19" t="s">
        <v>36522</v>
      </c>
      <c r="I7576" s="20">
        <v>18.039000000000001</v>
      </c>
      <c r="J7576" s="44" t="s">
        <v>8</v>
      </c>
      <c r="K7576" s="23" t="s">
        <v>8</v>
      </c>
      <c r="L7576" s="23" t="s">
        <v>8</v>
      </c>
      <c r="M7576" s="23" t="s">
        <v>8</v>
      </c>
    </row>
    <row r="7577" spans="1:13" s="21" customFormat="1" x14ac:dyDescent="0.25">
      <c r="A7577" s="22" t="s">
        <v>8</v>
      </c>
      <c r="B7577" s="18" t="str">
        <f>"265649"</f>
        <v>265649</v>
      </c>
      <c r="C7577" s="19" t="s">
        <v>7467</v>
      </c>
      <c r="D7577" s="19" t="s">
        <v>22997</v>
      </c>
      <c r="E7577" s="19" t="s">
        <v>33691</v>
      </c>
      <c r="F7577" s="19" t="s">
        <v>35999</v>
      </c>
      <c r="G7577" s="18" t="str">
        <f>"64862"</f>
        <v>64862</v>
      </c>
      <c r="H7577" s="19" t="s">
        <v>30854</v>
      </c>
      <c r="I7577" s="20">
        <v>18.077999999999999</v>
      </c>
      <c r="J7577" s="44" t="s">
        <v>8</v>
      </c>
      <c r="K7577" s="23" t="s">
        <v>8</v>
      </c>
      <c r="L7577" s="23" t="s">
        <v>8</v>
      </c>
      <c r="M7577" s="23" t="s">
        <v>8</v>
      </c>
    </row>
    <row r="7578" spans="1:13" s="21" customFormat="1" x14ac:dyDescent="0.25">
      <c r="A7578" s="22" t="s">
        <v>8</v>
      </c>
      <c r="B7578" s="18" t="str">
        <f>"265651"</f>
        <v>265651</v>
      </c>
      <c r="C7578" s="19" t="s">
        <v>7468</v>
      </c>
      <c r="D7578" s="19" t="s">
        <v>22998</v>
      </c>
      <c r="E7578" s="19" t="s">
        <v>33692</v>
      </c>
      <c r="F7578" s="19" t="s">
        <v>35999</v>
      </c>
      <c r="G7578" s="18" t="str">
        <f>"65041"</f>
        <v>65041</v>
      </c>
      <c r="H7578" s="19" t="s">
        <v>36528</v>
      </c>
      <c r="I7578" s="20">
        <v>18.044</v>
      </c>
      <c r="J7578" s="44" t="s">
        <v>8</v>
      </c>
      <c r="K7578" s="23" t="s">
        <v>8</v>
      </c>
      <c r="L7578" s="23" t="s">
        <v>8</v>
      </c>
      <c r="M7578" s="23" t="s">
        <v>8</v>
      </c>
    </row>
    <row r="7579" spans="1:13" s="21" customFormat="1" x14ac:dyDescent="0.25">
      <c r="A7579" s="22" t="s">
        <v>8</v>
      </c>
      <c r="B7579" s="18" t="str">
        <f>"265652"</f>
        <v>265652</v>
      </c>
      <c r="C7579" s="19" t="s">
        <v>7469</v>
      </c>
      <c r="D7579" s="19" t="s">
        <v>22999</v>
      </c>
      <c r="E7579" s="19" t="s">
        <v>32192</v>
      </c>
      <c r="F7579" s="19" t="s">
        <v>35999</v>
      </c>
      <c r="G7579" s="18" t="str">
        <f>"65453"</f>
        <v>65453</v>
      </c>
      <c r="H7579" s="19" t="s">
        <v>31759</v>
      </c>
      <c r="I7579" s="20">
        <v>18.797999999999998</v>
      </c>
      <c r="J7579" s="44" t="s">
        <v>8</v>
      </c>
      <c r="K7579" s="23" t="s">
        <v>8</v>
      </c>
      <c r="L7579" s="23" t="s">
        <v>8</v>
      </c>
      <c r="M7579" s="23" t="s">
        <v>8</v>
      </c>
    </row>
    <row r="7580" spans="1:13" s="21" customFormat="1" x14ac:dyDescent="0.25">
      <c r="A7580" s="22" t="s">
        <v>8</v>
      </c>
      <c r="B7580" s="18" t="str">
        <f>"265654"</f>
        <v>265654</v>
      </c>
      <c r="C7580" s="19" t="s">
        <v>7470</v>
      </c>
      <c r="D7580" s="19" t="s">
        <v>23000</v>
      </c>
      <c r="E7580" s="19" t="s">
        <v>33636</v>
      </c>
      <c r="F7580" s="19" t="s">
        <v>35999</v>
      </c>
      <c r="G7580" s="18" t="str">
        <f>"63028"</f>
        <v>63028</v>
      </c>
      <c r="H7580" s="19" t="s">
        <v>32391</v>
      </c>
      <c r="I7580" s="20">
        <v>18.375</v>
      </c>
      <c r="J7580" s="44" t="s">
        <v>8</v>
      </c>
      <c r="K7580" s="23" t="s">
        <v>8</v>
      </c>
      <c r="L7580" s="23" t="s">
        <v>8</v>
      </c>
      <c r="M7580" s="23" t="s">
        <v>8</v>
      </c>
    </row>
    <row r="7581" spans="1:13" s="21" customFormat="1" x14ac:dyDescent="0.25">
      <c r="A7581" s="22" t="s">
        <v>8</v>
      </c>
      <c r="B7581" s="18" t="str">
        <f>"265655"</f>
        <v>265655</v>
      </c>
      <c r="C7581" s="19" t="s">
        <v>7471</v>
      </c>
      <c r="D7581" s="19" t="s">
        <v>23001</v>
      </c>
      <c r="E7581" s="19" t="s">
        <v>33693</v>
      </c>
      <c r="F7581" s="19" t="s">
        <v>35999</v>
      </c>
      <c r="G7581" s="18" t="str">
        <f>"65078"</f>
        <v>65078</v>
      </c>
      <c r="H7581" s="19" t="s">
        <v>33505</v>
      </c>
      <c r="I7581" s="20">
        <v>16.823</v>
      </c>
      <c r="J7581" s="44" t="s">
        <v>8</v>
      </c>
      <c r="K7581" s="23" t="s">
        <v>8</v>
      </c>
      <c r="L7581" s="23" t="s">
        <v>8</v>
      </c>
      <c r="M7581" s="23" t="s">
        <v>8</v>
      </c>
    </row>
    <row r="7582" spans="1:13" s="21" customFormat="1" x14ac:dyDescent="0.25">
      <c r="A7582" s="22" t="s">
        <v>8</v>
      </c>
      <c r="B7582" s="18" t="str">
        <f>"265656"</f>
        <v>265656</v>
      </c>
      <c r="C7582" s="19" t="s">
        <v>7472</v>
      </c>
      <c r="D7582" s="19" t="s">
        <v>23002</v>
      </c>
      <c r="E7582" s="19" t="s">
        <v>33694</v>
      </c>
      <c r="F7582" s="19" t="s">
        <v>35999</v>
      </c>
      <c r="G7582" s="18" t="str">
        <f>"65757"</f>
        <v>65757</v>
      </c>
      <c r="H7582" s="19" t="s">
        <v>32455</v>
      </c>
      <c r="I7582" s="20">
        <v>18.181999999999999</v>
      </c>
      <c r="J7582" s="44" t="s">
        <v>8</v>
      </c>
      <c r="K7582" s="23" t="s">
        <v>8</v>
      </c>
      <c r="L7582" s="23" t="s">
        <v>8</v>
      </c>
      <c r="M7582" s="23" t="s">
        <v>8</v>
      </c>
    </row>
    <row r="7583" spans="1:13" s="21" customFormat="1" x14ac:dyDescent="0.25">
      <c r="A7583" s="22" t="s">
        <v>8</v>
      </c>
      <c r="B7583" s="18" t="str">
        <f>"265657"</f>
        <v>265657</v>
      </c>
      <c r="C7583" s="19" t="s">
        <v>7473</v>
      </c>
      <c r="D7583" s="19" t="s">
        <v>23003</v>
      </c>
      <c r="E7583" s="19" t="s">
        <v>33627</v>
      </c>
      <c r="F7583" s="19" t="s">
        <v>35999</v>
      </c>
      <c r="G7583" s="18" t="str">
        <f>"64506"</f>
        <v>64506</v>
      </c>
      <c r="H7583" s="19" t="s">
        <v>31819</v>
      </c>
      <c r="I7583" s="20">
        <v>17.992999999999999</v>
      </c>
      <c r="J7583" s="44" t="s">
        <v>8</v>
      </c>
      <c r="K7583" s="23" t="s">
        <v>8</v>
      </c>
      <c r="L7583" s="23" t="s">
        <v>8</v>
      </c>
      <c r="M7583" s="23" t="s">
        <v>8</v>
      </c>
    </row>
    <row r="7584" spans="1:13" s="21" customFormat="1" x14ac:dyDescent="0.25">
      <c r="A7584" s="22" t="s">
        <v>8</v>
      </c>
      <c r="B7584" s="18" t="str">
        <f>"265661"</f>
        <v>265661</v>
      </c>
      <c r="C7584" s="19" t="s">
        <v>7474</v>
      </c>
      <c r="D7584" s="19" t="s">
        <v>23004</v>
      </c>
      <c r="E7584" s="19" t="s">
        <v>33527</v>
      </c>
      <c r="F7584" s="19" t="s">
        <v>35999</v>
      </c>
      <c r="G7584" s="18" t="str">
        <f>"64836"</f>
        <v>64836</v>
      </c>
      <c r="H7584" s="19" t="s">
        <v>30854</v>
      </c>
      <c r="I7584" s="20">
        <v>18.677</v>
      </c>
      <c r="J7584" s="44" t="s">
        <v>8</v>
      </c>
      <c r="K7584" s="23" t="s">
        <v>8</v>
      </c>
      <c r="L7584" s="23" t="s">
        <v>8</v>
      </c>
      <c r="M7584" s="23" t="s">
        <v>8</v>
      </c>
    </row>
    <row r="7585" spans="1:13" s="21" customFormat="1" x14ac:dyDescent="0.25">
      <c r="A7585" s="22" t="s">
        <v>8</v>
      </c>
      <c r="B7585" s="18" t="str">
        <f>"265663"</f>
        <v>265663</v>
      </c>
      <c r="C7585" s="19" t="s">
        <v>7475</v>
      </c>
      <c r="D7585" s="19" t="s">
        <v>23005</v>
      </c>
      <c r="E7585" s="19" t="s">
        <v>32194</v>
      </c>
      <c r="F7585" s="19" t="s">
        <v>35999</v>
      </c>
      <c r="G7585" s="18" t="str">
        <f>"65251"</f>
        <v>65251</v>
      </c>
      <c r="H7585" s="19" t="s">
        <v>31529</v>
      </c>
      <c r="I7585" s="20">
        <v>21.908999999999999</v>
      </c>
      <c r="J7585" s="44" t="s">
        <v>8</v>
      </c>
      <c r="K7585" s="23" t="s">
        <v>8</v>
      </c>
      <c r="L7585" s="23" t="s">
        <v>8</v>
      </c>
      <c r="M7585" s="23" t="s">
        <v>8</v>
      </c>
    </row>
    <row r="7586" spans="1:13" s="21" customFormat="1" x14ac:dyDescent="0.25">
      <c r="A7586" s="22" t="s">
        <v>8</v>
      </c>
      <c r="B7586" s="18" t="str">
        <f>"265664"</f>
        <v>265664</v>
      </c>
      <c r="C7586" s="19" t="s">
        <v>7476</v>
      </c>
      <c r="D7586" s="19" t="s">
        <v>23006</v>
      </c>
      <c r="E7586" s="19" t="s">
        <v>31717</v>
      </c>
      <c r="F7586" s="19" t="s">
        <v>35999</v>
      </c>
      <c r="G7586" s="18" t="str">
        <f>"65809"</f>
        <v>65809</v>
      </c>
      <c r="H7586" s="19" t="s">
        <v>32455</v>
      </c>
      <c r="I7586" s="20">
        <v>17.326000000000001</v>
      </c>
      <c r="J7586" s="44" t="s">
        <v>8</v>
      </c>
      <c r="K7586" s="23" t="s">
        <v>8</v>
      </c>
      <c r="L7586" s="23" t="s">
        <v>8</v>
      </c>
      <c r="M7586" s="23" t="s">
        <v>8</v>
      </c>
    </row>
    <row r="7587" spans="1:13" s="21" customFormat="1" x14ac:dyDescent="0.25">
      <c r="A7587" s="22" t="s">
        <v>8</v>
      </c>
      <c r="B7587" s="18" t="str">
        <f>"265665"</f>
        <v>265665</v>
      </c>
      <c r="C7587" s="19" t="s">
        <v>7477</v>
      </c>
      <c r="D7587" s="19" t="s">
        <v>23007</v>
      </c>
      <c r="E7587" s="19" t="s">
        <v>30804</v>
      </c>
      <c r="F7587" s="19" t="s">
        <v>35999</v>
      </c>
      <c r="G7587" s="18" t="str">
        <f>"64644"</f>
        <v>64644</v>
      </c>
      <c r="H7587" s="19" t="s">
        <v>31876</v>
      </c>
      <c r="I7587" s="20">
        <v>18.013999999999999</v>
      </c>
      <c r="J7587" s="44" t="s">
        <v>8</v>
      </c>
      <c r="K7587" s="23" t="s">
        <v>8</v>
      </c>
      <c r="L7587" s="23" t="s">
        <v>8</v>
      </c>
      <c r="M7587" s="23" t="s">
        <v>8</v>
      </c>
    </row>
    <row r="7588" spans="1:13" s="21" customFormat="1" x14ac:dyDescent="0.25">
      <c r="A7588" s="22" t="s">
        <v>8</v>
      </c>
      <c r="B7588" s="18" t="str">
        <f>"265666"</f>
        <v>265666</v>
      </c>
      <c r="C7588" s="19" t="s">
        <v>7478</v>
      </c>
      <c r="D7588" s="19" t="s">
        <v>23008</v>
      </c>
      <c r="E7588" s="19" t="s">
        <v>33695</v>
      </c>
      <c r="F7588" s="19" t="s">
        <v>35999</v>
      </c>
      <c r="G7588" s="18" t="str">
        <f>"64062"</f>
        <v>64062</v>
      </c>
      <c r="H7588" s="19" t="s">
        <v>36530</v>
      </c>
      <c r="I7588" s="20">
        <v>20.036000000000001</v>
      </c>
      <c r="J7588" s="44" t="s">
        <v>8</v>
      </c>
      <c r="K7588" s="23" t="s">
        <v>8</v>
      </c>
      <c r="L7588" s="23" t="s">
        <v>8</v>
      </c>
      <c r="M7588" s="23" t="s">
        <v>8</v>
      </c>
    </row>
    <row r="7589" spans="1:13" s="21" customFormat="1" x14ac:dyDescent="0.25">
      <c r="A7589" s="22" t="s">
        <v>8</v>
      </c>
      <c r="B7589" s="18" t="str">
        <f>"265667"</f>
        <v>265667</v>
      </c>
      <c r="C7589" s="19" t="s">
        <v>7479</v>
      </c>
      <c r="D7589" s="19" t="s">
        <v>23009</v>
      </c>
      <c r="E7589" s="19" t="s">
        <v>33696</v>
      </c>
      <c r="F7589" s="19" t="s">
        <v>35999</v>
      </c>
      <c r="G7589" s="18" t="str">
        <f>"64037"</f>
        <v>64037</v>
      </c>
      <c r="H7589" s="19" t="s">
        <v>30892</v>
      </c>
      <c r="I7589" s="20">
        <v>19.651</v>
      </c>
      <c r="J7589" s="44" t="s">
        <v>8</v>
      </c>
      <c r="K7589" s="23" t="s">
        <v>8</v>
      </c>
      <c r="L7589" s="23" t="s">
        <v>8</v>
      </c>
      <c r="M7589" s="23" t="s">
        <v>8</v>
      </c>
    </row>
    <row r="7590" spans="1:13" s="21" customFormat="1" x14ac:dyDescent="0.25">
      <c r="A7590" s="22" t="s">
        <v>8</v>
      </c>
      <c r="B7590" s="18" t="str">
        <f>"265668"</f>
        <v>265668</v>
      </c>
      <c r="C7590" s="19" t="s">
        <v>7480</v>
      </c>
      <c r="D7590" s="19" t="s">
        <v>23010</v>
      </c>
      <c r="E7590" s="19" t="s">
        <v>33228</v>
      </c>
      <c r="F7590" s="19" t="s">
        <v>35999</v>
      </c>
      <c r="G7590" s="18" t="str">
        <f>"63111"</f>
        <v>63111</v>
      </c>
      <c r="H7590" s="19" t="s">
        <v>36518</v>
      </c>
      <c r="I7590" s="20">
        <v>16.803999999999998</v>
      </c>
      <c r="J7590" s="44" t="s">
        <v>8</v>
      </c>
      <c r="K7590" s="23" t="s">
        <v>8</v>
      </c>
      <c r="L7590" s="23" t="s">
        <v>8</v>
      </c>
      <c r="M7590" s="23" t="s">
        <v>8</v>
      </c>
    </row>
    <row r="7591" spans="1:13" s="21" customFormat="1" x14ac:dyDescent="0.25">
      <c r="A7591" s="22" t="s">
        <v>8</v>
      </c>
      <c r="B7591" s="18" t="str">
        <f>"265669"</f>
        <v>265669</v>
      </c>
      <c r="C7591" s="19" t="s">
        <v>7481</v>
      </c>
      <c r="D7591" s="19" t="s">
        <v>23011</v>
      </c>
      <c r="E7591" s="19" t="s">
        <v>33581</v>
      </c>
      <c r="F7591" s="19" t="s">
        <v>35999</v>
      </c>
      <c r="G7591" s="18" t="str">
        <f>"64093"</f>
        <v>64093</v>
      </c>
      <c r="H7591" s="19" t="s">
        <v>36072</v>
      </c>
      <c r="I7591" s="20">
        <v>17.632999999999999</v>
      </c>
      <c r="J7591" s="44" t="s">
        <v>8</v>
      </c>
      <c r="K7591" s="23" t="s">
        <v>8</v>
      </c>
      <c r="L7591" s="23" t="s">
        <v>8</v>
      </c>
      <c r="M7591" s="23" t="s">
        <v>8</v>
      </c>
    </row>
    <row r="7592" spans="1:13" s="21" customFormat="1" x14ac:dyDescent="0.25">
      <c r="A7592" s="22" t="s">
        <v>8</v>
      </c>
      <c r="B7592" s="18" t="str">
        <f>"265670"</f>
        <v>265670</v>
      </c>
      <c r="C7592" s="19" t="s">
        <v>7482</v>
      </c>
      <c r="D7592" s="19" t="s">
        <v>23012</v>
      </c>
      <c r="E7592" s="19" t="s">
        <v>32282</v>
      </c>
      <c r="F7592" s="19" t="s">
        <v>35999</v>
      </c>
      <c r="G7592" s="18" t="str">
        <f>"65066"</f>
        <v>65066</v>
      </c>
      <c r="H7592" s="19" t="s">
        <v>36528</v>
      </c>
      <c r="I7592" s="20">
        <v>18.914000000000001</v>
      </c>
      <c r="J7592" s="44" t="s">
        <v>8</v>
      </c>
      <c r="K7592" s="23" t="s">
        <v>8</v>
      </c>
      <c r="L7592" s="23" t="s">
        <v>8</v>
      </c>
      <c r="M7592" s="23" t="s">
        <v>8</v>
      </c>
    </row>
    <row r="7593" spans="1:13" s="21" customFormat="1" x14ac:dyDescent="0.25">
      <c r="A7593" s="22" t="s">
        <v>8</v>
      </c>
      <c r="B7593" s="18" t="str">
        <f>"265672"</f>
        <v>265672</v>
      </c>
      <c r="C7593" s="19" t="s">
        <v>7483</v>
      </c>
      <c r="D7593" s="19" t="s">
        <v>23013</v>
      </c>
      <c r="E7593" s="19" t="s">
        <v>33228</v>
      </c>
      <c r="F7593" s="19" t="s">
        <v>35999</v>
      </c>
      <c r="G7593" s="18" t="str">
        <f>"63118"</f>
        <v>63118</v>
      </c>
      <c r="H7593" s="19" t="s">
        <v>36518</v>
      </c>
      <c r="I7593" s="20">
        <v>18.414999999999999</v>
      </c>
      <c r="J7593" s="44" t="s">
        <v>8</v>
      </c>
      <c r="K7593" s="23" t="s">
        <v>8</v>
      </c>
      <c r="L7593" s="23" t="s">
        <v>8</v>
      </c>
      <c r="M7593" s="23" t="s">
        <v>8</v>
      </c>
    </row>
    <row r="7594" spans="1:13" s="21" customFormat="1" x14ac:dyDescent="0.25">
      <c r="A7594" s="22" t="s">
        <v>8</v>
      </c>
      <c r="B7594" s="18" t="str">
        <f>"265673"</f>
        <v>265673</v>
      </c>
      <c r="C7594" s="19" t="s">
        <v>7484</v>
      </c>
      <c r="D7594" s="19" t="s">
        <v>23014</v>
      </c>
      <c r="E7594" s="19" t="s">
        <v>33697</v>
      </c>
      <c r="F7594" s="19" t="s">
        <v>35999</v>
      </c>
      <c r="G7594" s="18" t="str">
        <f>"65565"</f>
        <v>65565</v>
      </c>
      <c r="H7594" s="19" t="s">
        <v>31759</v>
      </c>
      <c r="I7594" s="20">
        <v>21.213999999999999</v>
      </c>
      <c r="J7594" s="44" t="s">
        <v>8</v>
      </c>
      <c r="K7594" s="23" t="s">
        <v>8</v>
      </c>
      <c r="L7594" s="23" t="s">
        <v>8</v>
      </c>
      <c r="M7594" s="23" t="s">
        <v>8</v>
      </c>
    </row>
    <row r="7595" spans="1:13" s="21" customFormat="1" x14ac:dyDescent="0.25">
      <c r="A7595" s="22" t="s">
        <v>8</v>
      </c>
      <c r="B7595" s="18" t="str">
        <f>"265674"</f>
        <v>265674</v>
      </c>
      <c r="C7595" s="19" t="s">
        <v>7485</v>
      </c>
      <c r="D7595" s="19" t="s">
        <v>23015</v>
      </c>
      <c r="E7595" s="19" t="s">
        <v>31445</v>
      </c>
      <c r="F7595" s="19" t="s">
        <v>35999</v>
      </c>
      <c r="G7595" s="18" t="str">
        <f>"63640"</f>
        <v>63640</v>
      </c>
      <c r="H7595" s="19" t="s">
        <v>36511</v>
      </c>
      <c r="I7595" s="20">
        <v>20.210999999999999</v>
      </c>
      <c r="J7595" s="44" t="s">
        <v>8</v>
      </c>
      <c r="K7595" s="23" t="s">
        <v>8</v>
      </c>
      <c r="L7595" s="23" t="s">
        <v>8</v>
      </c>
      <c r="M7595" s="23" t="s">
        <v>8</v>
      </c>
    </row>
    <row r="7596" spans="1:13" s="21" customFormat="1" x14ac:dyDescent="0.25">
      <c r="A7596" s="22" t="s">
        <v>8</v>
      </c>
      <c r="B7596" s="18" t="str">
        <f>"265676"</f>
        <v>265676</v>
      </c>
      <c r="C7596" s="19" t="s">
        <v>7486</v>
      </c>
      <c r="D7596" s="19" t="s">
        <v>23016</v>
      </c>
      <c r="E7596" s="19" t="s">
        <v>33698</v>
      </c>
      <c r="F7596" s="19" t="s">
        <v>35999</v>
      </c>
      <c r="G7596" s="18" t="str">
        <f>"65075"</f>
        <v>65075</v>
      </c>
      <c r="H7596" s="19" t="s">
        <v>35139</v>
      </c>
      <c r="I7596" s="20">
        <v>18.800999999999998</v>
      </c>
      <c r="J7596" s="44" t="s">
        <v>8</v>
      </c>
      <c r="K7596" s="23" t="s">
        <v>8</v>
      </c>
      <c r="L7596" s="23" t="s">
        <v>8</v>
      </c>
      <c r="M7596" s="23" t="s">
        <v>8</v>
      </c>
    </row>
    <row r="7597" spans="1:13" s="21" customFormat="1" x14ac:dyDescent="0.25">
      <c r="A7597" s="22" t="s">
        <v>8</v>
      </c>
      <c r="B7597" s="18" t="str">
        <f>"265677"</f>
        <v>265677</v>
      </c>
      <c r="C7597" s="19" t="s">
        <v>7487</v>
      </c>
      <c r="D7597" s="19" t="s">
        <v>23017</v>
      </c>
      <c r="E7597" s="19" t="s">
        <v>33699</v>
      </c>
      <c r="F7597" s="19" t="s">
        <v>35999</v>
      </c>
      <c r="G7597" s="18" t="str">
        <f>"63933"</f>
        <v>63933</v>
      </c>
      <c r="H7597" s="19" t="s">
        <v>36515</v>
      </c>
      <c r="I7597" s="20">
        <v>20.004999999999999</v>
      </c>
      <c r="J7597" s="44" t="s">
        <v>8</v>
      </c>
      <c r="K7597" s="23" t="s">
        <v>8</v>
      </c>
      <c r="L7597" s="23" t="s">
        <v>8</v>
      </c>
      <c r="M7597" s="23" t="s">
        <v>8</v>
      </c>
    </row>
    <row r="7598" spans="1:13" s="21" customFormat="1" x14ac:dyDescent="0.25">
      <c r="A7598" s="22" t="s">
        <v>8</v>
      </c>
      <c r="B7598" s="18" t="str">
        <f>"265678"</f>
        <v>265678</v>
      </c>
      <c r="C7598" s="19" t="s">
        <v>7488</v>
      </c>
      <c r="D7598" s="19" t="s">
        <v>23018</v>
      </c>
      <c r="E7598" s="19" t="s">
        <v>33700</v>
      </c>
      <c r="F7598" s="19" t="s">
        <v>35999</v>
      </c>
      <c r="G7598" s="18" t="str">
        <f>"63823"</f>
        <v>63823</v>
      </c>
      <c r="H7598" s="19" t="s">
        <v>36081</v>
      </c>
      <c r="I7598" s="20">
        <v>20.547000000000001</v>
      </c>
      <c r="J7598" s="44" t="s">
        <v>8</v>
      </c>
      <c r="K7598" s="23" t="s">
        <v>8</v>
      </c>
      <c r="L7598" s="23" t="s">
        <v>8</v>
      </c>
      <c r="M7598" s="23" t="s">
        <v>8</v>
      </c>
    </row>
    <row r="7599" spans="1:13" s="21" customFormat="1" x14ac:dyDescent="0.25">
      <c r="A7599" s="22" t="s">
        <v>8</v>
      </c>
      <c r="B7599" s="18" t="str">
        <f>"265679"</f>
        <v>265679</v>
      </c>
      <c r="C7599" s="19" t="s">
        <v>7489</v>
      </c>
      <c r="D7599" s="19" t="s">
        <v>23019</v>
      </c>
      <c r="E7599" s="19" t="s">
        <v>32284</v>
      </c>
      <c r="F7599" s="19" t="s">
        <v>35999</v>
      </c>
      <c r="G7599" s="18" t="str">
        <f>"64068"</f>
        <v>64068</v>
      </c>
      <c r="H7599" s="19" t="s">
        <v>36030</v>
      </c>
      <c r="I7599" s="20">
        <v>18.338999999999999</v>
      </c>
      <c r="J7599" s="44" t="s">
        <v>8</v>
      </c>
      <c r="K7599" s="23" t="s">
        <v>8</v>
      </c>
      <c r="L7599" s="23" t="s">
        <v>8</v>
      </c>
      <c r="M7599" s="23" t="s">
        <v>8</v>
      </c>
    </row>
    <row r="7600" spans="1:13" s="21" customFormat="1" x14ac:dyDescent="0.25">
      <c r="A7600" s="22" t="s">
        <v>8</v>
      </c>
      <c r="B7600" s="18" t="str">
        <f>"265681"</f>
        <v>265681</v>
      </c>
      <c r="C7600" s="19" t="s">
        <v>7490</v>
      </c>
      <c r="D7600" s="19" t="s">
        <v>23020</v>
      </c>
      <c r="E7600" s="19" t="s">
        <v>33668</v>
      </c>
      <c r="F7600" s="19" t="s">
        <v>35999</v>
      </c>
      <c r="G7600" s="18" t="str">
        <f>"63664"</f>
        <v>63664</v>
      </c>
      <c r="H7600" s="19" t="s">
        <v>31500</v>
      </c>
      <c r="I7600" s="20">
        <v>19.331</v>
      </c>
      <c r="J7600" s="44" t="s">
        <v>8</v>
      </c>
      <c r="K7600" s="23" t="s">
        <v>8</v>
      </c>
      <c r="L7600" s="23" t="s">
        <v>8</v>
      </c>
      <c r="M7600" s="23" t="s">
        <v>8</v>
      </c>
    </row>
    <row r="7601" spans="1:13" s="21" customFormat="1" x14ac:dyDescent="0.25">
      <c r="A7601" s="22" t="s">
        <v>8</v>
      </c>
      <c r="B7601" s="18" t="str">
        <f>"265682"</f>
        <v>265682</v>
      </c>
      <c r="C7601" s="19" t="s">
        <v>7491</v>
      </c>
      <c r="D7601" s="19" t="s">
        <v>23021</v>
      </c>
      <c r="E7601" s="19" t="s">
        <v>32424</v>
      </c>
      <c r="F7601" s="19" t="s">
        <v>35999</v>
      </c>
      <c r="G7601" s="18" t="str">
        <f>"64055"</f>
        <v>64055</v>
      </c>
      <c r="H7601" s="19" t="s">
        <v>30816</v>
      </c>
      <c r="I7601" s="20">
        <v>18.131</v>
      </c>
      <c r="J7601" s="44" t="s">
        <v>8</v>
      </c>
      <c r="K7601" s="23" t="s">
        <v>8</v>
      </c>
      <c r="L7601" s="23" t="s">
        <v>8</v>
      </c>
      <c r="M7601" s="23" t="s">
        <v>8</v>
      </c>
    </row>
    <row r="7602" spans="1:13" s="21" customFormat="1" x14ac:dyDescent="0.25">
      <c r="A7602" s="22" t="s">
        <v>8</v>
      </c>
      <c r="B7602" s="18" t="str">
        <f>"265683"</f>
        <v>265683</v>
      </c>
      <c r="C7602" s="19" t="s">
        <v>7492</v>
      </c>
      <c r="D7602" s="19" t="s">
        <v>23022</v>
      </c>
      <c r="E7602" s="19" t="s">
        <v>31367</v>
      </c>
      <c r="F7602" s="19" t="s">
        <v>35999</v>
      </c>
      <c r="G7602" s="18" t="str">
        <f>"65360"</f>
        <v>65360</v>
      </c>
      <c r="H7602" s="19" t="s">
        <v>32041</v>
      </c>
      <c r="I7602" s="20">
        <v>23.346</v>
      </c>
      <c r="J7602" s="44" t="s">
        <v>8</v>
      </c>
      <c r="K7602" s="23" t="s">
        <v>8</v>
      </c>
      <c r="L7602" s="23" t="s">
        <v>8</v>
      </c>
      <c r="M7602" s="23" t="s">
        <v>8</v>
      </c>
    </row>
    <row r="7603" spans="1:13" s="21" customFormat="1" x14ac:dyDescent="0.25">
      <c r="A7603" s="22" t="s">
        <v>8</v>
      </c>
      <c r="B7603" s="18" t="str">
        <f>"265688"</f>
        <v>265688</v>
      </c>
      <c r="C7603" s="19" t="s">
        <v>7493</v>
      </c>
      <c r="D7603" s="19" t="s">
        <v>23023</v>
      </c>
      <c r="E7603" s="19" t="s">
        <v>31063</v>
      </c>
      <c r="F7603" s="19" t="s">
        <v>35999</v>
      </c>
      <c r="G7603" s="18" t="str">
        <f>"65340"</f>
        <v>65340</v>
      </c>
      <c r="H7603" s="19" t="s">
        <v>33206</v>
      </c>
      <c r="I7603" s="20">
        <v>23.439</v>
      </c>
      <c r="J7603" s="44" t="s">
        <v>8</v>
      </c>
      <c r="K7603" s="23" t="s">
        <v>8</v>
      </c>
      <c r="L7603" s="23" t="s">
        <v>8</v>
      </c>
      <c r="M7603" s="23" t="s">
        <v>8</v>
      </c>
    </row>
    <row r="7604" spans="1:13" s="21" customFormat="1" x14ac:dyDescent="0.25">
      <c r="A7604" s="22" t="s">
        <v>8</v>
      </c>
      <c r="B7604" s="18" t="str">
        <f>"265690"</f>
        <v>265690</v>
      </c>
      <c r="C7604" s="19" t="s">
        <v>7494</v>
      </c>
      <c r="D7604" s="19" t="s">
        <v>23024</v>
      </c>
      <c r="E7604" s="19" t="s">
        <v>33587</v>
      </c>
      <c r="F7604" s="19" t="s">
        <v>35999</v>
      </c>
      <c r="G7604" s="18" t="str">
        <f>"63401"</f>
        <v>63401</v>
      </c>
      <c r="H7604" s="19" t="s">
        <v>30850</v>
      </c>
      <c r="I7604" s="20">
        <v>19.54</v>
      </c>
      <c r="J7604" s="44" t="s">
        <v>8</v>
      </c>
      <c r="K7604" s="23" t="s">
        <v>8</v>
      </c>
      <c r="L7604" s="23" t="s">
        <v>8</v>
      </c>
      <c r="M7604" s="23" t="s">
        <v>8</v>
      </c>
    </row>
    <row r="7605" spans="1:13" s="21" customFormat="1" x14ac:dyDescent="0.25">
      <c r="A7605" s="22" t="s">
        <v>8</v>
      </c>
      <c r="B7605" s="18" t="str">
        <f>"265693"</f>
        <v>265693</v>
      </c>
      <c r="C7605" s="19" t="s">
        <v>7495</v>
      </c>
      <c r="D7605" s="19" t="s">
        <v>23025</v>
      </c>
      <c r="E7605" s="19" t="s">
        <v>32424</v>
      </c>
      <c r="F7605" s="19" t="s">
        <v>35999</v>
      </c>
      <c r="G7605" s="18" t="str">
        <f>"64057"</f>
        <v>64057</v>
      </c>
      <c r="H7605" s="19" t="s">
        <v>30816</v>
      </c>
      <c r="I7605" s="20">
        <v>16.933</v>
      </c>
      <c r="J7605" s="44" t="s">
        <v>8</v>
      </c>
      <c r="K7605" s="23" t="s">
        <v>8</v>
      </c>
      <c r="L7605" s="23" t="s">
        <v>8</v>
      </c>
      <c r="M7605" s="23" t="s">
        <v>8</v>
      </c>
    </row>
    <row r="7606" spans="1:13" s="21" customFormat="1" x14ac:dyDescent="0.25">
      <c r="A7606" s="22" t="s">
        <v>8</v>
      </c>
      <c r="B7606" s="18" t="str">
        <f>"265694"</f>
        <v>265694</v>
      </c>
      <c r="C7606" s="19" t="s">
        <v>7496</v>
      </c>
      <c r="D7606" s="19" t="s">
        <v>23026</v>
      </c>
      <c r="E7606" s="19" t="s">
        <v>33701</v>
      </c>
      <c r="F7606" s="19" t="s">
        <v>35999</v>
      </c>
      <c r="G7606" s="18" t="str">
        <f>"63468"</f>
        <v>63468</v>
      </c>
      <c r="H7606" s="19" t="s">
        <v>33565</v>
      </c>
      <c r="I7606" s="20">
        <v>17.192</v>
      </c>
      <c r="J7606" s="44" t="s">
        <v>8</v>
      </c>
      <c r="K7606" s="23" t="s">
        <v>8</v>
      </c>
      <c r="L7606" s="23" t="s">
        <v>8</v>
      </c>
      <c r="M7606" s="23" t="s">
        <v>8</v>
      </c>
    </row>
    <row r="7607" spans="1:13" s="21" customFormat="1" x14ac:dyDescent="0.25">
      <c r="A7607" s="22" t="s">
        <v>8</v>
      </c>
      <c r="B7607" s="18" t="str">
        <f>"265696"</f>
        <v>265696</v>
      </c>
      <c r="C7607" s="19" t="s">
        <v>7497</v>
      </c>
      <c r="D7607" s="19" t="s">
        <v>23027</v>
      </c>
      <c r="E7607" s="19" t="s">
        <v>33702</v>
      </c>
      <c r="F7607" s="19" t="s">
        <v>35999</v>
      </c>
      <c r="G7607" s="18" t="str">
        <f>"64079"</f>
        <v>64079</v>
      </c>
      <c r="H7607" s="19" t="s">
        <v>36520</v>
      </c>
      <c r="I7607" s="20">
        <v>18.68</v>
      </c>
      <c r="J7607" s="44" t="s">
        <v>8</v>
      </c>
      <c r="K7607" s="23" t="s">
        <v>8</v>
      </c>
      <c r="L7607" s="23" t="s">
        <v>8</v>
      </c>
      <c r="M7607" s="23" t="s">
        <v>8</v>
      </c>
    </row>
    <row r="7608" spans="1:13" s="21" customFormat="1" x14ac:dyDescent="0.25">
      <c r="A7608" s="22" t="s">
        <v>8</v>
      </c>
      <c r="B7608" s="18" t="str">
        <f>"265697"</f>
        <v>265697</v>
      </c>
      <c r="C7608" s="19" t="s">
        <v>7498</v>
      </c>
      <c r="D7608" s="19" t="s">
        <v>23028</v>
      </c>
      <c r="E7608" s="19" t="s">
        <v>32565</v>
      </c>
      <c r="F7608" s="19" t="s">
        <v>35999</v>
      </c>
      <c r="G7608" s="18" t="str">
        <f>"64154"</f>
        <v>64154</v>
      </c>
      <c r="H7608" s="19" t="s">
        <v>36520</v>
      </c>
      <c r="I7608" s="20">
        <v>20.619</v>
      </c>
      <c r="J7608" s="44" t="s">
        <v>8</v>
      </c>
      <c r="K7608" s="23" t="s">
        <v>8</v>
      </c>
      <c r="L7608" s="23" t="s">
        <v>8</v>
      </c>
      <c r="M7608" s="23" t="s">
        <v>8</v>
      </c>
    </row>
    <row r="7609" spans="1:13" s="21" customFormat="1" x14ac:dyDescent="0.25">
      <c r="A7609" s="22" t="s">
        <v>8</v>
      </c>
      <c r="B7609" s="18" t="str">
        <f>"265698"</f>
        <v>265698</v>
      </c>
      <c r="C7609" s="19" t="s">
        <v>7499</v>
      </c>
      <c r="D7609" s="19" t="s">
        <v>23029</v>
      </c>
      <c r="E7609" s="19" t="s">
        <v>33703</v>
      </c>
      <c r="F7609" s="19" t="s">
        <v>35999</v>
      </c>
      <c r="G7609" s="18" t="str">
        <f>"64477"</f>
        <v>64477</v>
      </c>
      <c r="H7609" s="19" t="s">
        <v>31081</v>
      </c>
      <c r="I7609" s="20">
        <v>20.675000000000001</v>
      </c>
      <c r="J7609" s="44" t="s">
        <v>8</v>
      </c>
      <c r="K7609" s="23" t="s">
        <v>8</v>
      </c>
      <c r="L7609" s="23" t="s">
        <v>8</v>
      </c>
      <c r="M7609" s="23" t="s">
        <v>8</v>
      </c>
    </row>
    <row r="7610" spans="1:13" s="21" customFormat="1" x14ac:dyDescent="0.25">
      <c r="A7610" s="22" t="s">
        <v>8</v>
      </c>
      <c r="B7610" s="18" t="str">
        <f>"265699"</f>
        <v>265699</v>
      </c>
      <c r="C7610" s="19" t="s">
        <v>7500</v>
      </c>
      <c r="D7610" s="19" t="s">
        <v>23030</v>
      </c>
      <c r="E7610" s="19" t="s">
        <v>33228</v>
      </c>
      <c r="F7610" s="19" t="s">
        <v>35999</v>
      </c>
      <c r="G7610" s="18" t="str">
        <f>"63110"</f>
        <v>63110</v>
      </c>
      <c r="H7610" s="19" t="s">
        <v>36518</v>
      </c>
      <c r="I7610" s="20">
        <v>23.832999999999998</v>
      </c>
      <c r="J7610" s="44" t="s">
        <v>8</v>
      </c>
      <c r="K7610" s="23" t="s">
        <v>8</v>
      </c>
      <c r="L7610" s="23" t="s">
        <v>8</v>
      </c>
      <c r="M7610" s="23" t="s">
        <v>8</v>
      </c>
    </row>
    <row r="7611" spans="1:13" s="21" customFormat="1" x14ac:dyDescent="0.25">
      <c r="A7611" s="22" t="s">
        <v>8</v>
      </c>
      <c r="B7611" s="18" t="str">
        <f>"265700"</f>
        <v>265700</v>
      </c>
      <c r="C7611" s="19" t="s">
        <v>7501</v>
      </c>
      <c r="D7611" s="19" t="s">
        <v>23031</v>
      </c>
      <c r="E7611" s="19" t="s">
        <v>33586</v>
      </c>
      <c r="F7611" s="19" t="s">
        <v>35999</v>
      </c>
      <c r="G7611" s="18" t="str">
        <f>"64064"</f>
        <v>64064</v>
      </c>
      <c r="H7611" s="19" t="s">
        <v>30816</v>
      </c>
      <c r="I7611" s="20">
        <v>18.298999999999999</v>
      </c>
      <c r="J7611" s="44" t="s">
        <v>8</v>
      </c>
      <c r="K7611" s="23" t="s">
        <v>8</v>
      </c>
      <c r="L7611" s="23" t="s">
        <v>8</v>
      </c>
      <c r="M7611" s="23" t="s">
        <v>8</v>
      </c>
    </row>
    <row r="7612" spans="1:13" s="21" customFormat="1" x14ac:dyDescent="0.25">
      <c r="A7612" s="22" t="s">
        <v>8</v>
      </c>
      <c r="B7612" s="18" t="str">
        <f>"265701"</f>
        <v>265701</v>
      </c>
      <c r="C7612" s="19" t="s">
        <v>7502</v>
      </c>
      <c r="D7612" s="19" t="s">
        <v>23032</v>
      </c>
      <c r="E7612" s="19" t="s">
        <v>33704</v>
      </c>
      <c r="F7612" s="19" t="s">
        <v>35999</v>
      </c>
      <c r="G7612" s="18" t="str">
        <f>"63628"</f>
        <v>63628</v>
      </c>
      <c r="H7612" s="19" t="s">
        <v>36511</v>
      </c>
      <c r="I7612" s="20">
        <v>17.265000000000001</v>
      </c>
      <c r="J7612" s="44" t="s">
        <v>8</v>
      </c>
      <c r="K7612" s="23" t="s">
        <v>8</v>
      </c>
      <c r="L7612" s="23" t="s">
        <v>8</v>
      </c>
      <c r="M7612" s="23" t="s">
        <v>8</v>
      </c>
    </row>
    <row r="7613" spans="1:13" s="21" customFormat="1" x14ac:dyDescent="0.25">
      <c r="A7613" s="22" t="s">
        <v>8</v>
      </c>
      <c r="B7613" s="18" t="str">
        <f>"265702"</f>
        <v>265702</v>
      </c>
      <c r="C7613" s="19" t="s">
        <v>7503</v>
      </c>
      <c r="D7613" s="19" t="s">
        <v>23033</v>
      </c>
      <c r="E7613" s="19" t="s">
        <v>30815</v>
      </c>
      <c r="F7613" s="19" t="s">
        <v>35999</v>
      </c>
      <c r="G7613" s="18" t="str">
        <f>"63379"</f>
        <v>63379</v>
      </c>
      <c r="H7613" s="19" t="s">
        <v>31995</v>
      </c>
      <c r="I7613" s="20">
        <v>18.867999999999999</v>
      </c>
      <c r="J7613" s="44" t="s">
        <v>8</v>
      </c>
      <c r="K7613" s="23" t="s">
        <v>8</v>
      </c>
      <c r="L7613" s="23" t="s">
        <v>8</v>
      </c>
      <c r="M7613" s="23" t="s">
        <v>8</v>
      </c>
    </row>
    <row r="7614" spans="1:13" s="21" customFormat="1" x14ac:dyDescent="0.25">
      <c r="A7614" s="22" t="s">
        <v>8</v>
      </c>
      <c r="B7614" s="18" t="str">
        <f>"265703"</f>
        <v>265703</v>
      </c>
      <c r="C7614" s="19" t="s">
        <v>7504</v>
      </c>
      <c r="D7614" s="19" t="s">
        <v>23034</v>
      </c>
      <c r="E7614" s="19" t="s">
        <v>33228</v>
      </c>
      <c r="F7614" s="19" t="s">
        <v>35999</v>
      </c>
      <c r="G7614" s="18" t="str">
        <f>"63123"</f>
        <v>63123</v>
      </c>
      <c r="H7614" s="19" t="s">
        <v>33228</v>
      </c>
      <c r="I7614" s="20">
        <v>21.792999999999999</v>
      </c>
      <c r="J7614" s="44" t="s">
        <v>8</v>
      </c>
      <c r="K7614" s="23" t="s">
        <v>8</v>
      </c>
      <c r="L7614" s="23" t="s">
        <v>8</v>
      </c>
      <c r="M7614" s="23" t="s">
        <v>8</v>
      </c>
    </row>
    <row r="7615" spans="1:13" s="21" customFormat="1" x14ac:dyDescent="0.25">
      <c r="A7615" s="22" t="s">
        <v>8</v>
      </c>
      <c r="B7615" s="18" t="str">
        <f>"265704"</f>
        <v>265704</v>
      </c>
      <c r="C7615" s="19" t="s">
        <v>7505</v>
      </c>
      <c r="D7615" s="19" t="s">
        <v>23035</v>
      </c>
      <c r="E7615" s="19" t="s">
        <v>31037</v>
      </c>
      <c r="F7615" s="19" t="s">
        <v>35999</v>
      </c>
      <c r="G7615" s="18" t="str">
        <f>"63775"</f>
        <v>63775</v>
      </c>
      <c r="H7615" s="19" t="s">
        <v>31503</v>
      </c>
      <c r="I7615" s="20">
        <v>21.46</v>
      </c>
      <c r="J7615" s="44" t="s">
        <v>8</v>
      </c>
      <c r="K7615" s="23" t="s">
        <v>8</v>
      </c>
      <c r="L7615" s="23" t="s">
        <v>8</v>
      </c>
      <c r="M7615" s="23" t="s">
        <v>8</v>
      </c>
    </row>
    <row r="7616" spans="1:13" s="21" customFormat="1" x14ac:dyDescent="0.25">
      <c r="A7616" s="22" t="s">
        <v>8</v>
      </c>
      <c r="B7616" s="18" t="str">
        <f>"265705"</f>
        <v>265705</v>
      </c>
      <c r="C7616" s="19" t="s">
        <v>7506</v>
      </c>
      <c r="D7616" s="19" t="s">
        <v>23036</v>
      </c>
      <c r="E7616" s="19" t="s">
        <v>33705</v>
      </c>
      <c r="F7616" s="19" t="s">
        <v>35999</v>
      </c>
      <c r="G7616" s="18" t="str">
        <f>"65682"</f>
        <v>65682</v>
      </c>
      <c r="H7616" s="19" t="s">
        <v>36189</v>
      </c>
      <c r="I7616" s="20">
        <v>20.881</v>
      </c>
      <c r="J7616" s="44" t="s">
        <v>8</v>
      </c>
      <c r="K7616" s="23" t="s">
        <v>8</v>
      </c>
      <c r="L7616" s="23" t="s">
        <v>8</v>
      </c>
      <c r="M7616" s="23" t="s">
        <v>8</v>
      </c>
    </row>
    <row r="7617" spans="1:13" s="21" customFormat="1" x14ac:dyDescent="0.25">
      <c r="A7617" s="22" t="s">
        <v>8</v>
      </c>
      <c r="B7617" s="18" t="str">
        <f>"265706"</f>
        <v>265706</v>
      </c>
      <c r="C7617" s="19" t="s">
        <v>7507</v>
      </c>
      <c r="D7617" s="19" t="s">
        <v>23037</v>
      </c>
      <c r="E7617" s="19" t="s">
        <v>30812</v>
      </c>
      <c r="F7617" s="19" t="s">
        <v>35999</v>
      </c>
      <c r="G7617" s="18" t="str">
        <f>"64633"</f>
        <v>64633</v>
      </c>
      <c r="H7617" s="19" t="s">
        <v>32334</v>
      </c>
      <c r="I7617" s="20">
        <v>19.231999999999999</v>
      </c>
      <c r="J7617" s="44" t="s">
        <v>8</v>
      </c>
      <c r="K7617" s="23" t="s">
        <v>8</v>
      </c>
      <c r="L7617" s="23" t="s">
        <v>8</v>
      </c>
      <c r="M7617" s="23" t="s">
        <v>8</v>
      </c>
    </row>
    <row r="7618" spans="1:13" s="21" customFormat="1" x14ac:dyDescent="0.25">
      <c r="A7618" s="22" t="s">
        <v>8</v>
      </c>
      <c r="B7618" s="18" t="str">
        <f>"265707"</f>
        <v>265707</v>
      </c>
      <c r="C7618" s="19" t="s">
        <v>7508</v>
      </c>
      <c r="D7618" s="19" t="s">
        <v>23038</v>
      </c>
      <c r="E7618" s="19" t="s">
        <v>30809</v>
      </c>
      <c r="F7618" s="19" t="s">
        <v>35999</v>
      </c>
      <c r="G7618" s="18" t="str">
        <f>"65010"</f>
        <v>65010</v>
      </c>
      <c r="H7618" s="19" t="s">
        <v>32513</v>
      </c>
      <c r="I7618" s="20">
        <v>20.071000000000002</v>
      </c>
      <c r="J7618" s="44" t="s">
        <v>8</v>
      </c>
      <c r="K7618" s="23" t="s">
        <v>8</v>
      </c>
      <c r="L7618" s="23" t="s">
        <v>8</v>
      </c>
      <c r="M7618" s="23" t="s">
        <v>8</v>
      </c>
    </row>
    <row r="7619" spans="1:13" s="21" customFormat="1" x14ac:dyDescent="0.25">
      <c r="A7619" s="22" t="s">
        <v>8</v>
      </c>
      <c r="B7619" s="18" t="str">
        <f>"265708"</f>
        <v>265708</v>
      </c>
      <c r="C7619" s="19" t="s">
        <v>7509</v>
      </c>
      <c r="D7619" s="19" t="s">
        <v>23039</v>
      </c>
      <c r="E7619" s="19" t="s">
        <v>31178</v>
      </c>
      <c r="F7619" s="19" t="s">
        <v>35999</v>
      </c>
      <c r="G7619" s="18" t="str">
        <f>"64085"</f>
        <v>64085</v>
      </c>
      <c r="H7619" s="19" t="s">
        <v>36530</v>
      </c>
      <c r="I7619" s="20">
        <v>16.186</v>
      </c>
      <c r="J7619" s="44" t="s">
        <v>8</v>
      </c>
      <c r="K7619" s="23" t="s">
        <v>8</v>
      </c>
      <c r="L7619" s="23" t="s">
        <v>8</v>
      </c>
      <c r="M7619" s="23" t="s">
        <v>8</v>
      </c>
    </row>
    <row r="7620" spans="1:13" s="21" customFormat="1" x14ac:dyDescent="0.25">
      <c r="A7620" s="22" t="s">
        <v>8</v>
      </c>
      <c r="B7620" s="18" t="str">
        <f>"265709"</f>
        <v>265709</v>
      </c>
      <c r="C7620" s="19" t="s">
        <v>7510</v>
      </c>
      <c r="D7620" s="19" t="s">
        <v>23040</v>
      </c>
      <c r="E7620" s="19" t="s">
        <v>33228</v>
      </c>
      <c r="F7620" s="19" t="s">
        <v>35999</v>
      </c>
      <c r="G7620" s="18" t="str">
        <f>"63137"</f>
        <v>63137</v>
      </c>
      <c r="H7620" s="19" t="s">
        <v>33228</v>
      </c>
      <c r="I7620" s="20">
        <v>18.486000000000001</v>
      </c>
      <c r="J7620" s="44" t="s">
        <v>8</v>
      </c>
      <c r="K7620" s="23" t="s">
        <v>8</v>
      </c>
      <c r="L7620" s="23" t="s">
        <v>8</v>
      </c>
      <c r="M7620" s="23" t="s">
        <v>8</v>
      </c>
    </row>
    <row r="7621" spans="1:13" s="21" customFormat="1" x14ac:dyDescent="0.25">
      <c r="A7621" s="22" t="s">
        <v>8</v>
      </c>
      <c r="B7621" s="18" t="str">
        <f>"265710"</f>
        <v>265710</v>
      </c>
      <c r="C7621" s="19" t="s">
        <v>7511</v>
      </c>
      <c r="D7621" s="19" t="s">
        <v>23041</v>
      </c>
      <c r="E7621" s="19" t="s">
        <v>32775</v>
      </c>
      <c r="F7621" s="19" t="s">
        <v>35999</v>
      </c>
      <c r="G7621" s="18" t="str">
        <f>"64075"</f>
        <v>64075</v>
      </c>
      <c r="H7621" s="19" t="s">
        <v>30816</v>
      </c>
      <c r="I7621" s="20">
        <v>20.187000000000001</v>
      </c>
      <c r="J7621" s="44" t="s">
        <v>8</v>
      </c>
      <c r="K7621" s="23" t="s">
        <v>8</v>
      </c>
      <c r="L7621" s="23" t="s">
        <v>8</v>
      </c>
      <c r="M7621" s="23" t="s">
        <v>8</v>
      </c>
    </row>
    <row r="7622" spans="1:13" s="21" customFormat="1" x14ac:dyDescent="0.25">
      <c r="A7622" s="22" t="s">
        <v>8</v>
      </c>
      <c r="B7622" s="18" t="str">
        <f>"265711"</f>
        <v>265711</v>
      </c>
      <c r="C7622" s="19" t="s">
        <v>7512</v>
      </c>
      <c r="D7622" s="19" t="s">
        <v>23042</v>
      </c>
      <c r="E7622" s="19" t="s">
        <v>33234</v>
      </c>
      <c r="F7622" s="19" t="s">
        <v>35999</v>
      </c>
      <c r="G7622" s="18" t="str">
        <f>"63026"</f>
        <v>63026</v>
      </c>
      <c r="H7622" s="19" t="s">
        <v>33228</v>
      </c>
      <c r="I7622" s="20">
        <v>19.954000000000001</v>
      </c>
      <c r="J7622" s="44" t="s">
        <v>8</v>
      </c>
      <c r="K7622" s="23" t="s">
        <v>8</v>
      </c>
      <c r="L7622" s="23" t="s">
        <v>8</v>
      </c>
      <c r="M7622" s="23" t="s">
        <v>8</v>
      </c>
    </row>
    <row r="7623" spans="1:13" s="21" customFormat="1" x14ac:dyDescent="0.25">
      <c r="A7623" s="22" t="s">
        <v>8</v>
      </c>
      <c r="B7623" s="18" t="str">
        <f>"265712"</f>
        <v>265712</v>
      </c>
      <c r="C7623" s="19" t="s">
        <v>7513</v>
      </c>
      <c r="D7623" s="19" t="s">
        <v>23043</v>
      </c>
      <c r="E7623" s="19" t="s">
        <v>33228</v>
      </c>
      <c r="F7623" s="19" t="s">
        <v>35999</v>
      </c>
      <c r="G7623" s="18" t="str">
        <f>"63136"</f>
        <v>63136</v>
      </c>
      <c r="H7623" s="19" t="s">
        <v>33228</v>
      </c>
      <c r="I7623" s="20">
        <v>20.338000000000001</v>
      </c>
      <c r="J7623" s="44" t="s">
        <v>8</v>
      </c>
      <c r="K7623" s="23" t="s">
        <v>8</v>
      </c>
      <c r="L7623" s="23" t="s">
        <v>8</v>
      </c>
      <c r="M7623" s="23" t="s">
        <v>8</v>
      </c>
    </row>
    <row r="7624" spans="1:13" s="21" customFormat="1" x14ac:dyDescent="0.25">
      <c r="A7624" s="22" t="s">
        <v>8</v>
      </c>
      <c r="B7624" s="18" t="str">
        <f>"265713"</f>
        <v>265713</v>
      </c>
      <c r="C7624" s="19" t="s">
        <v>7514</v>
      </c>
      <c r="D7624" s="19" t="s">
        <v>23044</v>
      </c>
      <c r="E7624" s="19" t="s">
        <v>30828</v>
      </c>
      <c r="F7624" s="19" t="s">
        <v>35999</v>
      </c>
      <c r="G7624" s="18" t="str">
        <f>"65082"</f>
        <v>65082</v>
      </c>
      <c r="H7624" s="19" t="s">
        <v>35139</v>
      </c>
      <c r="I7624" s="20">
        <v>19.498000000000001</v>
      </c>
      <c r="J7624" s="44" t="s">
        <v>8</v>
      </c>
      <c r="K7624" s="23" t="s">
        <v>8</v>
      </c>
      <c r="L7624" s="23" t="s">
        <v>8</v>
      </c>
      <c r="M7624" s="23" t="s">
        <v>8</v>
      </c>
    </row>
    <row r="7625" spans="1:13" s="21" customFormat="1" x14ac:dyDescent="0.25">
      <c r="A7625" s="22" t="s">
        <v>8</v>
      </c>
      <c r="B7625" s="18" t="str">
        <f>"265714"</f>
        <v>265714</v>
      </c>
      <c r="C7625" s="19" t="s">
        <v>7515</v>
      </c>
      <c r="D7625" s="19" t="s">
        <v>23045</v>
      </c>
      <c r="E7625" s="19" t="s">
        <v>32653</v>
      </c>
      <c r="F7625" s="19" t="s">
        <v>35999</v>
      </c>
      <c r="G7625" s="18" t="str">
        <f>"63020"</f>
        <v>63020</v>
      </c>
      <c r="H7625" s="19" t="s">
        <v>32391</v>
      </c>
      <c r="I7625" s="20">
        <v>19.405999999999999</v>
      </c>
      <c r="J7625" s="44" t="s">
        <v>8</v>
      </c>
      <c r="K7625" s="23" t="s">
        <v>8</v>
      </c>
      <c r="L7625" s="23" t="s">
        <v>8</v>
      </c>
      <c r="M7625" s="23" t="s">
        <v>8</v>
      </c>
    </row>
    <row r="7626" spans="1:13" s="21" customFormat="1" x14ac:dyDescent="0.25">
      <c r="A7626" s="22" t="s">
        <v>8</v>
      </c>
      <c r="B7626" s="18" t="str">
        <f>"265715"</f>
        <v>265715</v>
      </c>
      <c r="C7626" s="19" t="s">
        <v>7516</v>
      </c>
      <c r="D7626" s="19" t="s">
        <v>23046</v>
      </c>
      <c r="E7626" s="19" t="s">
        <v>31591</v>
      </c>
      <c r="F7626" s="19" t="s">
        <v>35999</v>
      </c>
      <c r="G7626" s="18" t="str">
        <f>"64683"</f>
        <v>64683</v>
      </c>
      <c r="H7626" s="19" t="s">
        <v>35400</v>
      </c>
      <c r="I7626" s="20">
        <v>17.638999999999999</v>
      </c>
      <c r="J7626" s="44" t="s">
        <v>8</v>
      </c>
      <c r="K7626" s="23" t="s">
        <v>8</v>
      </c>
      <c r="L7626" s="23" t="s">
        <v>8</v>
      </c>
      <c r="M7626" s="23" t="s">
        <v>8</v>
      </c>
    </row>
    <row r="7627" spans="1:13" s="21" customFormat="1" x14ac:dyDescent="0.25">
      <c r="A7627" s="22" t="s">
        <v>8</v>
      </c>
      <c r="B7627" s="18" t="str">
        <f>"265716"</f>
        <v>265716</v>
      </c>
      <c r="C7627" s="19" t="s">
        <v>7517</v>
      </c>
      <c r="D7627" s="19" t="s">
        <v>23047</v>
      </c>
      <c r="E7627" s="19" t="s">
        <v>30816</v>
      </c>
      <c r="F7627" s="19" t="s">
        <v>35999</v>
      </c>
      <c r="G7627" s="18" t="str">
        <f>"63755"</f>
        <v>63755</v>
      </c>
      <c r="H7627" s="19" t="s">
        <v>33593</v>
      </c>
      <c r="I7627" s="20">
        <v>18.867999999999999</v>
      </c>
      <c r="J7627" s="44" t="s">
        <v>8</v>
      </c>
      <c r="K7627" s="23" t="s">
        <v>8</v>
      </c>
      <c r="L7627" s="23" t="s">
        <v>8</v>
      </c>
      <c r="M7627" s="23" t="s">
        <v>8</v>
      </c>
    </row>
    <row r="7628" spans="1:13" s="21" customFormat="1" x14ac:dyDescent="0.25">
      <c r="A7628" s="22" t="s">
        <v>8</v>
      </c>
      <c r="B7628" s="18" t="str">
        <f>"265717"</f>
        <v>265717</v>
      </c>
      <c r="C7628" s="19" t="s">
        <v>7518</v>
      </c>
      <c r="D7628" s="19" t="s">
        <v>23048</v>
      </c>
      <c r="E7628" s="19" t="s">
        <v>33228</v>
      </c>
      <c r="F7628" s="19" t="s">
        <v>35999</v>
      </c>
      <c r="G7628" s="18" t="str">
        <f>"63113"</f>
        <v>63113</v>
      </c>
      <c r="H7628" s="19" t="s">
        <v>36518</v>
      </c>
      <c r="I7628" s="20">
        <v>18.731000000000002</v>
      </c>
      <c r="J7628" s="44" t="s">
        <v>8</v>
      </c>
      <c r="K7628" s="23" t="s">
        <v>8</v>
      </c>
      <c r="L7628" s="23" t="s">
        <v>8</v>
      </c>
      <c r="M7628" s="23" t="s">
        <v>8</v>
      </c>
    </row>
    <row r="7629" spans="1:13" s="21" customFormat="1" x14ac:dyDescent="0.25">
      <c r="A7629" s="22" t="s">
        <v>8</v>
      </c>
      <c r="B7629" s="18" t="str">
        <f>"265718"</f>
        <v>265718</v>
      </c>
      <c r="C7629" s="19" t="s">
        <v>5335</v>
      </c>
      <c r="D7629" s="19" t="s">
        <v>23049</v>
      </c>
      <c r="E7629" s="19" t="s">
        <v>33706</v>
      </c>
      <c r="F7629" s="19" t="s">
        <v>35999</v>
      </c>
      <c r="G7629" s="18" t="str">
        <f>"64624"</f>
        <v>64624</v>
      </c>
      <c r="H7629" s="19" t="s">
        <v>31876</v>
      </c>
      <c r="I7629" s="20">
        <v>18.969000000000001</v>
      </c>
      <c r="J7629" s="44" t="s">
        <v>8</v>
      </c>
      <c r="K7629" s="23" t="s">
        <v>8</v>
      </c>
      <c r="L7629" s="23" t="s">
        <v>8</v>
      </c>
      <c r="M7629" s="23" t="s">
        <v>8</v>
      </c>
    </row>
    <row r="7630" spans="1:13" s="21" customFormat="1" x14ac:dyDescent="0.25">
      <c r="A7630" s="22" t="s">
        <v>8</v>
      </c>
      <c r="B7630" s="18" t="str">
        <f>"265719"</f>
        <v>265719</v>
      </c>
      <c r="C7630" s="19" t="s">
        <v>7519</v>
      </c>
      <c r="D7630" s="19" t="s">
        <v>23050</v>
      </c>
      <c r="E7630" s="19" t="s">
        <v>33707</v>
      </c>
      <c r="F7630" s="19" t="s">
        <v>35999</v>
      </c>
      <c r="G7630" s="18" t="str">
        <f>"63121"</f>
        <v>63121</v>
      </c>
      <c r="H7630" s="19" t="s">
        <v>33228</v>
      </c>
      <c r="I7630" s="20">
        <v>18.763000000000002</v>
      </c>
      <c r="J7630" s="44" t="s">
        <v>8</v>
      </c>
      <c r="K7630" s="23" t="s">
        <v>8</v>
      </c>
      <c r="L7630" s="23" t="s">
        <v>8</v>
      </c>
      <c r="M7630" s="23" t="s">
        <v>8</v>
      </c>
    </row>
    <row r="7631" spans="1:13" s="21" customFormat="1" x14ac:dyDescent="0.25">
      <c r="A7631" s="22" t="s">
        <v>8</v>
      </c>
      <c r="B7631" s="18" t="str">
        <f>"265720"</f>
        <v>265720</v>
      </c>
      <c r="C7631" s="19" t="s">
        <v>7520</v>
      </c>
      <c r="D7631" s="19" t="s">
        <v>23051</v>
      </c>
      <c r="E7631" s="19" t="s">
        <v>33228</v>
      </c>
      <c r="F7631" s="19" t="s">
        <v>35999</v>
      </c>
      <c r="G7631" s="18" t="str">
        <f>"63146"</f>
        <v>63146</v>
      </c>
      <c r="H7631" s="19" t="s">
        <v>33228</v>
      </c>
      <c r="I7631" s="20">
        <v>19.2</v>
      </c>
      <c r="J7631" s="44" t="s">
        <v>8</v>
      </c>
      <c r="K7631" s="23" t="s">
        <v>8</v>
      </c>
      <c r="L7631" s="23" t="s">
        <v>8</v>
      </c>
      <c r="M7631" s="23" t="s">
        <v>8</v>
      </c>
    </row>
    <row r="7632" spans="1:13" s="21" customFormat="1" x14ac:dyDescent="0.25">
      <c r="A7632" s="22" t="s">
        <v>8</v>
      </c>
      <c r="B7632" s="18" t="str">
        <f>"265721"</f>
        <v>265721</v>
      </c>
      <c r="C7632" s="19" t="s">
        <v>7521</v>
      </c>
      <c r="D7632" s="19" t="s">
        <v>23052</v>
      </c>
      <c r="E7632" s="19" t="s">
        <v>32565</v>
      </c>
      <c r="F7632" s="19" t="s">
        <v>35999</v>
      </c>
      <c r="G7632" s="18" t="str">
        <f>"64132"</f>
        <v>64132</v>
      </c>
      <c r="H7632" s="19" t="s">
        <v>30816</v>
      </c>
      <c r="I7632" s="20">
        <v>20.317</v>
      </c>
      <c r="J7632" s="44" t="s">
        <v>8</v>
      </c>
      <c r="K7632" s="23" t="s">
        <v>8</v>
      </c>
      <c r="L7632" s="23" t="s">
        <v>8</v>
      </c>
      <c r="M7632" s="23" t="s">
        <v>8</v>
      </c>
    </row>
    <row r="7633" spans="1:13" s="21" customFormat="1" x14ac:dyDescent="0.25">
      <c r="A7633" s="22" t="s">
        <v>8</v>
      </c>
      <c r="B7633" s="18" t="str">
        <f>"265725"</f>
        <v>265725</v>
      </c>
      <c r="C7633" s="19" t="s">
        <v>7522</v>
      </c>
      <c r="D7633" s="19" t="s">
        <v>23053</v>
      </c>
      <c r="E7633" s="19" t="s">
        <v>33594</v>
      </c>
      <c r="F7633" s="19" t="s">
        <v>35999</v>
      </c>
      <c r="G7633" s="18" t="str">
        <f>"65301"</f>
        <v>65301</v>
      </c>
      <c r="H7633" s="19" t="s">
        <v>36514</v>
      </c>
      <c r="I7633" s="20">
        <v>19.957000000000001</v>
      </c>
      <c r="J7633" s="44" t="s">
        <v>8</v>
      </c>
      <c r="K7633" s="23" t="s">
        <v>8</v>
      </c>
      <c r="L7633" s="23" t="s">
        <v>8</v>
      </c>
      <c r="M7633" s="23" t="s">
        <v>8</v>
      </c>
    </row>
    <row r="7634" spans="1:13" s="21" customFormat="1" x14ac:dyDescent="0.25">
      <c r="A7634" s="22" t="s">
        <v>8</v>
      </c>
      <c r="B7634" s="18" t="str">
        <f>"265727"</f>
        <v>265727</v>
      </c>
      <c r="C7634" s="19" t="s">
        <v>7523</v>
      </c>
      <c r="D7634" s="19" t="s">
        <v>23054</v>
      </c>
      <c r="E7634" s="19" t="s">
        <v>32424</v>
      </c>
      <c r="F7634" s="19" t="s">
        <v>35999</v>
      </c>
      <c r="G7634" s="18" t="str">
        <f>"64050"</f>
        <v>64050</v>
      </c>
      <c r="H7634" s="19" t="s">
        <v>30816</v>
      </c>
      <c r="I7634" s="20">
        <v>22.535</v>
      </c>
      <c r="J7634" s="44" t="s">
        <v>8</v>
      </c>
      <c r="K7634" s="23" t="s">
        <v>8</v>
      </c>
      <c r="L7634" s="23" t="s">
        <v>8</v>
      </c>
      <c r="M7634" s="23" t="s">
        <v>8</v>
      </c>
    </row>
    <row r="7635" spans="1:13" s="21" customFormat="1" x14ac:dyDescent="0.25">
      <c r="A7635" s="22" t="s">
        <v>8</v>
      </c>
      <c r="B7635" s="18" t="str">
        <f>"265728"</f>
        <v>265728</v>
      </c>
      <c r="C7635" s="19" t="s">
        <v>7524</v>
      </c>
      <c r="D7635" s="19" t="s">
        <v>23055</v>
      </c>
      <c r="E7635" s="19" t="s">
        <v>31095</v>
      </c>
      <c r="F7635" s="19" t="s">
        <v>35999</v>
      </c>
      <c r="G7635" s="18" t="str">
        <f>"64463"</f>
        <v>64463</v>
      </c>
      <c r="H7635" s="19" t="s">
        <v>36526</v>
      </c>
      <c r="I7635" s="20">
        <v>17.436</v>
      </c>
      <c r="J7635" s="44" t="s">
        <v>8</v>
      </c>
      <c r="K7635" s="23" t="s">
        <v>8</v>
      </c>
      <c r="L7635" s="23" t="s">
        <v>8</v>
      </c>
      <c r="M7635" s="23" t="s">
        <v>8</v>
      </c>
    </row>
    <row r="7636" spans="1:13" s="21" customFormat="1" x14ac:dyDescent="0.25">
      <c r="A7636" s="22" t="s">
        <v>8</v>
      </c>
      <c r="B7636" s="18" t="str">
        <f>"265729"</f>
        <v>265729</v>
      </c>
      <c r="C7636" s="19" t="s">
        <v>7525</v>
      </c>
      <c r="D7636" s="19" t="s">
        <v>23056</v>
      </c>
      <c r="E7636" s="19" t="s">
        <v>33708</v>
      </c>
      <c r="F7636" s="19" t="s">
        <v>35999</v>
      </c>
      <c r="G7636" s="18" t="str">
        <f>"64640"</f>
        <v>64640</v>
      </c>
      <c r="H7636" s="19" t="s">
        <v>36258</v>
      </c>
      <c r="I7636" s="20">
        <v>19.23</v>
      </c>
      <c r="J7636" s="44" t="s">
        <v>8</v>
      </c>
      <c r="K7636" s="23" t="s">
        <v>8</v>
      </c>
      <c r="L7636" s="23" t="s">
        <v>8</v>
      </c>
      <c r="M7636" s="23" t="s">
        <v>8</v>
      </c>
    </row>
    <row r="7637" spans="1:13" s="21" customFormat="1" x14ac:dyDescent="0.25">
      <c r="A7637" s="22" t="s">
        <v>8</v>
      </c>
      <c r="B7637" s="18" t="str">
        <f>"265730"</f>
        <v>265730</v>
      </c>
      <c r="C7637" s="19" t="s">
        <v>7526</v>
      </c>
      <c r="D7637" s="19" t="s">
        <v>23057</v>
      </c>
      <c r="E7637" s="19" t="s">
        <v>31591</v>
      </c>
      <c r="F7637" s="19" t="s">
        <v>35999</v>
      </c>
      <c r="G7637" s="18" t="str">
        <f>"64683"</f>
        <v>64683</v>
      </c>
      <c r="H7637" s="19" t="s">
        <v>35400</v>
      </c>
      <c r="I7637" s="20">
        <v>18.567</v>
      </c>
      <c r="J7637" s="44" t="s">
        <v>8</v>
      </c>
      <c r="K7637" s="23" t="s">
        <v>8</v>
      </c>
      <c r="L7637" s="23" t="s">
        <v>8</v>
      </c>
      <c r="M7637" s="23" t="s">
        <v>8</v>
      </c>
    </row>
    <row r="7638" spans="1:13" s="21" customFormat="1" x14ac:dyDescent="0.25">
      <c r="A7638" s="22" t="s">
        <v>8</v>
      </c>
      <c r="B7638" s="18" t="str">
        <f>"265731"</f>
        <v>265731</v>
      </c>
      <c r="C7638" s="19" t="s">
        <v>7527</v>
      </c>
      <c r="D7638" s="19" t="s">
        <v>23058</v>
      </c>
      <c r="E7638" s="19" t="s">
        <v>31717</v>
      </c>
      <c r="F7638" s="19" t="s">
        <v>35999</v>
      </c>
      <c r="G7638" s="18" t="str">
        <f>"65807"</f>
        <v>65807</v>
      </c>
      <c r="H7638" s="19" t="s">
        <v>32455</v>
      </c>
      <c r="I7638" s="20">
        <v>16.776</v>
      </c>
      <c r="J7638" s="44" t="s">
        <v>8</v>
      </c>
      <c r="K7638" s="23" t="s">
        <v>8</v>
      </c>
      <c r="L7638" s="23" t="s">
        <v>8</v>
      </c>
      <c r="M7638" s="23" t="s">
        <v>8</v>
      </c>
    </row>
    <row r="7639" spans="1:13" s="21" customFormat="1" x14ac:dyDescent="0.25">
      <c r="A7639" s="22" t="s">
        <v>8</v>
      </c>
      <c r="B7639" s="18" t="str">
        <f>"265732"</f>
        <v>265732</v>
      </c>
      <c r="C7639" s="19" t="s">
        <v>7528</v>
      </c>
      <c r="D7639" s="19" t="s">
        <v>23059</v>
      </c>
      <c r="E7639" s="19" t="s">
        <v>33709</v>
      </c>
      <c r="F7639" s="19" t="s">
        <v>35999</v>
      </c>
      <c r="G7639" s="18" t="str">
        <f>"63114"</f>
        <v>63114</v>
      </c>
      <c r="H7639" s="19" t="s">
        <v>33228</v>
      </c>
      <c r="I7639" s="20">
        <v>20.201000000000001</v>
      </c>
      <c r="J7639" s="44" t="s">
        <v>8</v>
      </c>
      <c r="K7639" s="23" t="s">
        <v>8</v>
      </c>
      <c r="L7639" s="23" t="s">
        <v>8</v>
      </c>
      <c r="M7639" s="23" t="s">
        <v>8</v>
      </c>
    </row>
    <row r="7640" spans="1:13" s="21" customFormat="1" x14ac:dyDescent="0.25">
      <c r="A7640" s="22" t="s">
        <v>8</v>
      </c>
      <c r="B7640" s="18" t="str">
        <f>"265733"</f>
        <v>265733</v>
      </c>
      <c r="C7640" s="19" t="s">
        <v>7529</v>
      </c>
      <c r="D7640" s="19" t="s">
        <v>23060</v>
      </c>
      <c r="E7640" s="19" t="s">
        <v>33228</v>
      </c>
      <c r="F7640" s="19" t="s">
        <v>35999</v>
      </c>
      <c r="G7640" s="18" t="str">
        <f>"63114"</f>
        <v>63114</v>
      </c>
      <c r="H7640" s="19" t="s">
        <v>33228</v>
      </c>
      <c r="I7640" s="20">
        <v>17.466000000000001</v>
      </c>
      <c r="J7640" s="44" t="s">
        <v>8</v>
      </c>
      <c r="K7640" s="23" t="s">
        <v>8</v>
      </c>
      <c r="L7640" s="23" t="s">
        <v>8</v>
      </c>
      <c r="M7640" s="23" t="s">
        <v>8</v>
      </c>
    </row>
    <row r="7641" spans="1:13" s="21" customFormat="1" x14ac:dyDescent="0.25">
      <c r="A7641" s="22" t="s">
        <v>8</v>
      </c>
      <c r="B7641" s="18" t="str">
        <f>"265734"</f>
        <v>265734</v>
      </c>
      <c r="C7641" s="19" t="s">
        <v>7530</v>
      </c>
      <c r="D7641" s="19" t="s">
        <v>23061</v>
      </c>
      <c r="E7641" s="19" t="s">
        <v>33710</v>
      </c>
      <c r="F7641" s="19" t="s">
        <v>35999</v>
      </c>
      <c r="G7641" s="18" t="str">
        <f>"63601"</f>
        <v>63601</v>
      </c>
      <c r="H7641" s="19" t="s">
        <v>36511</v>
      </c>
      <c r="I7641" s="20">
        <v>23.094000000000001</v>
      </c>
      <c r="J7641" s="44" t="s">
        <v>8</v>
      </c>
      <c r="K7641" s="23" t="s">
        <v>8</v>
      </c>
      <c r="L7641" s="23" t="s">
        <v>8</v>
      </c>
      <c r="M7641" s="23" t="s">
        <v>8</v>
      </c>
    </row>
    <row r="7642" spans="1:13" s="21" customFormat="1" x14ac:dyDescent="0.25">
      <c r="A7642" s="22" t="s">
        <v>8</v>
      </c>
      <c r="B7642" s="18" t="str">
        <f>"265735"</f>
        <v>265735</v>
      </c>
      <c r="C7642" s="19" t="s">
        <v>7531</v>
      </c>
      <c r="D7642" s="19" t="s">
        <v>23062</v>
      </c>
      <c r="E7642" s="19" t="s">
        <v>33228</v>
      </c>
      <c r="F7642" s="19" t="s">
        <v>35999</v>
      </c>
      <c r="G7642" s="18" t="str">
        <f>"63138"</f>
        <v>63138</v>
      </c>
      <c r="H7642" s="19" t="s">
        <v>33228</v>
      </c>
      <c r="I7642" s="20">
        <v>20.597000000000001</v>
      </c>
      <c r="J7642" s="44" t="s">
        <v>8</v>
      </c>
      <c r="K7642" s="23" t="s">
        <v>8</v>
      </c>
      <c r="L7642" s="23" t="s">
        <v>8</v>
      </c>
      <c r="M7642" s="23" t="s">
        <v>8</v>
      </c>
    </row>
    <row r="7643" spans="1:13" s="21" customFormat="1" x14ac:dyDescent="0.25">
      <c r="A7643" s="22" t="s">
        <v>8</v>
      </c>
      <c r="B7643" s="18" t="str">
        <f>"265736"</f>
        <v>265736</v>
      </c>
      <c r="C7643" s="19" t="s">
        <v>7532</v>
      </c>
      <c r="D7643" s="19" t="s">
        <v>23063</v>
      </c>
      <c r="E7643" s="19" t="s">
        <v>33228</v>
      </c>
      <c r="F7643" s="19" t="s">
        <v>35999</v>
      </c>
      <c r="G7643" s="18" t="str">
        <f>"63130"</f>
        <v>63130</v>
      </c>
      <c r="H7643" s="19" t="s">
        <v>33228</v>
      </c>
      <c r="I7643" s="20">
        <v>19.187000000000001</v>
      </c>
      <c r="J7643" s="44" t="s">
        <v>8</v>
      </c>
      <c r="K7643" s="23" t="s">
        <v>8</v>
      </c>
      <c r="L7643" s="23" t="s">
        <v>8</v>
      </c>
      <c r="M7643" s="23" t="s">
        <v>8</v>
      </c>
    </row>
    <row r="7644" spans="1:13" s="21" customFormat="1" x14ac:dyDescent="0.25">
      <c r="A7644" s="22" t="s">
        <v>8</v>
      </c>
      <c r="B7644" s="18" t="str">
        <f>"265737"</f>
        <v>265737</v>
      </c>
      <c r="C7644" s="19" t="s">
        <v>7533</v>
      </c>
      <c r="D7644" s="19" t="s">
        <v>23064</v>
      </c>
      <c r="E7644" s="19" t="s">
        <v>33711</v>
      </c>
      <c r="F7644" s="19" t="s">
        <v>35999</v>
      </c>
      <c r="G7644" s="18" t="str">
        <f>"65038"</f>
        <v>65038</v>
      </c>
      <c r="H7644" s="19" t="s">
        <v>33505</v>
      </c>
      <c r="I7644" s="20">
        <v>15.561</v>
      </c>
      <c r="J7644" s="44" t="s">
        <v>8</v>
      </c>
      <c r="K7644" s="23" t="s">
        <v>8</v>
      </c>
      <c r="L7644" s="23" t="s">
        <v>8</v>
      </c>
      <c r="M7644" s="23" t="s">
        <v>8</v>
      </c>
    </row>
    <row r="7645" spans="1:13" s="21" customFormat="1" x14ac:dyDescent="0.25">
      <c r="A7645" s="22" t="s">
        <v>8</v>
      </c>
      <c r="B7645" s="18" t="str">
        <f>"265738"</f>
        <v>265738</v>
      </c>
      <c r="C7645" s="19" t="s">
        <v>7534</v>
      </c>
      <c r="D7645" s="19" t="s">
        <v>23065</v>
      </c>
      <c r="E7645" s="19" t="s">
        <v>32285</v>
      </c>
      <c r="F7645" s="19" t="s">
        <v>35999</v>
      </c>
      <c r="G7645" s="18" t="str">
        <f>"65233"</f>
        <v>65233</v>
      </c>
      <c r="H7645" s="19" t="s">
        <v>35899</v>
      </c>
      <c r="I7645" s="20">
        <v>18.896999999999998</v>
      </c>
      <c r="J7645" s="44" t="s">
        <v>8</v>
      </c>
      <c r="K7645" s="23" t="s">
        <v>8</v>
      </c>
      <c r="L7645" s="23" t="s">
        <v>8</v>
      </c>
      <c r="M7645" s="23" t="s">
        <v>8</v>
      </c>
    </row>
    <row r="7646" spans="1:13" s="21" customFormat="1" x14ac:dyDescent="0.25">
      <c r="A7646" s="22" t="s">
        <v>8</v>
      </c>
      <c r="B7646" s="18" t="str">
        <f>"265739"</f>
        <v>265739</v>
      </c>
      <c r="C7646" s="19" t="s">
        <v>7535</v>
      </c>
      <c r="D7646" s="19" t="s">
        <v>23066</v>
      </c>
      <c r="E7646" s="19" t="s">
        <v>33000</v>
      </c>
      <c r="F7646" s="19" t="s">
        <v>35999</v>
      </c>
      <c r="G7646" s="18" t="str">
        <f>"64040"</f>
        <v>64040</v>
      </c>
      <c r="H7646" s="19" t="s">
        <v>36072</v>
      </c>
      <c r="I7646" s="20">
        <v>18.280999999999999</v>
      </c>
      <c r="J7646" s="44" t="s">
        <v>8</v>
      </c>
      <c r="K7646" s="23" t="s">
        <v>8</v>
      </c>
      <c r="L7646" s="23" t="s">
        <v>8</v>
      </c>
      <c r="M7646" s="23" t="s">
        <v>8</v>
      </c>
    </row>
    <row r="7647" spans="1:13" s="21" customFormat="1" x14ac:dyDescent="0.25">
      <c r="A7647" s="22" t="s">
        <v>8</v>
      </c>
      <c r="B7647" s="18" t="str">
        <f>"265740"</f>
        <v>265740</v>
      </c>
      <c r="C7647" s="19" t="s">
        <v>7536</v>
      </c>
      <c r="D7647" s="19" t="s">
        <v>23067</v>
      </c>
      <c r="E7647" s="19" t="s">
        <v>33712</v>
      </c>
      <c r="F7647" s="19" t="s">
        <v>35999</v>
      </c>
      <c r="G7647" s="18" t="str">
        <f>"63353"</f>
        <v>63353</v>
      </c>
      <c r="H7647" s="19" t="s">
        <v>36033</v>
      </c>
      <c r="I7647" s="20">
        <v>20.893999999999998</v>
      </c>
      <c r="J7647" s="44" t="s">
        <v>8</v>
      </c>
      <c r="K7647" s="23" t="s">
        <v>8</v>
      </c>
      <c r="L7647" s="23" t="s">
        <v>8</v>
      </c>
      <c r="M7647" s="23" t="s">
        <v>8</v>
      </c>
    </row>
    <row r="7648" spans="1:13" s="21" customFormat="1" x14ac:dyDescent="0.25">
      <c r="A7648" s="22" t="s">
        <v>8</v>
      </c>
      <c r="B7648" s="18" t="str">
        <f>"265742"</f>
        <v>265742</v>
      </c>
      <c r="C7648" s="19" t="s">
        <v>7537</v>
      </c>
      <c r="D7648" s="19" t="s">
        <v>23068</v>
      </c>
      <c r="E7648" s="19" t="s">
        <v>33703</v>
      </c>
      <c r="F7648" s="19" t="s">
        <v>35999</v>
      </c>
      <c r="G7648" s="18" t="str">
        <f>"64477"</f>
        <v>64477</v>
      </c>
      <c r="H7648" s="19" t="s">
        <v>31081</v>
      </c>
      <c r="I7648" s="20">
        <v>20.417999999999999</v>
      </c>
      <c r="J7648" s="44" t="s">
        <v>8</v>
      </c>
      <c r="K7648" s="23" t="s">
        <v>8</v>
      </c>
      <c r="L7648" s="23" t="s">
        <v>8</v>
      </c>
      <c r="M7648" s="23" t="s">
        <v>8</v>
      </c>
    </row>
    <row r="7649" spans="1:13" s="21" customFormat="1" x14ac:dyDescent="0.25">
      <c r="A7649" s="22" t="s">
        <v>8</v>
      </c>
      <c r="B7649" s="18" t="str">
        <f>"265743"</f>
        <v>265743</v>
      </c>
      <c r="C7649" s="19" t="s">
        <v>7538</v>
      </c>
      <c r="D7649" s="19" t="s">
        <v>23069</v>
      </c>
      <c r="E7649" s="19" t="s">
        <v>33660</v>
      </c>
      <c r="F7649" s="19" t="s">
        <v>35999</v>
      </c>
      <c r="G7649" s="18" t="str">
        <f>"63670"</f>
        <v>63670</v>
      </c>
      <c r="H7649" s="19" t="s">
        <v>33660</v>
      </c>
      <c r="I7649" s="20">
        <v>19.206</v>
      </c>
      <c r="J7649" s="44" t="s">
        <v>8</v>
      </c>
      <c r="K7649" s="23" t="s">
        <v>8</v>
      </c>
      <c r="L7649" s="23" t="s">
        <v>8</v>
      </c>
      <c r="M7649" s="23" t="s">
        <v>8</v>
      </c>
    </row>
    <row r="7650" spans="1:13" s="21" customFormat="1" x14ac:dyDescent="0.25">
      <c r="A7650" s="22" t="s">
        <v>8</v>
      </c>
      <c r="B7650" s="18" t="str">
        <f>"265744"</f>
        <v>265744</v>
      </c>
      <c r="C7650" s="19" t="s">
        <v>7539</v>
      </c>
      <c r="D7650" s="19" t="s">
        <v>23070</v>
      </c>
      <c r="E7650" s="19" t="s">
        <v>33713</v>
      </c>
      <c r="F7650" s="19" t="s">
        <v>35999</v>
      </c>
      <c r="G7650" s="18" t="str">
        <f>"64482"</f>
        <v>64482</v>
      </c>
      <c r="H7650" s="19" t="s">
        <v>32566</v>
      </c>
      <c r="I7650" s="20">
        <v>16.721</v>
      </c>
      <c r="J7650" s="44" t="s">
        <v>8</v>
      </c>
      <c r="K7650" s="23" t="s">
        <v>8</v>
      </c>
      <c r="L7650" s="23" t="s">
        <v>8</v>
      </c>
      <c r="M7650" s="23" t="s">
        <v>8</v>
      </c>
    </row>
    <row r="7651" spans="1:13" s="21" customFormat="1" x14ac:dyDescent="0.25">
      <c r="A7651" s="22" t="s">
        <v>8</v>
      </c>
      <c r="B7651" s="18" t="str">
        <f>"265745"</f>
        <v>265745</v>
      </c>
      <c r="C7651" s="19" t="s">
        <v>3324</v>
      </c>
      <c r="D7651" s="19" t="s">
        <v>23071</v>
      </c>
      <c r="E7651" s="19" t="s">
        <v>32676</v>
      </c>
      <c r="F7651" s="19" t="s">
        <v>35999</v>
      </c>
      <c r="G7651" s="18" t="str">
        <f>"64469"</f>
        <v>64469</v>
      </c>
      <c r="H7651" s="19" t="s">
        <v>31954</v>
      </c>
      <c r="I7651" s="20">
        <v>19.62</v>
      </c>
      <c r="J7651" s="44" t="s">
        <v>8</v>
      </c>
      <c r="K7651" s="23" t="s">
        <v>8</v>
      </c>
      <c r="L7651" s="23" t="s">
        <v>8</v>
      </c>
      <c r="M7651" s="23" t="s">
        <v>8</v>
      </c>
    </row>
    <row r="7652" spans="1:13" s="21" customFormat="1" x14ac:dyDescent="0.25">
      <c r="A7652" s="22" t="s">
        <v>8</v>
      </c>
      <c r="B7652" s="18" t="str">
        <f>"265746"</f>
        <v>265746</v>
      </c>
      <c r="C7652" s="19" t="s">
        <v>7540</v>
      </c>
      <c r="D7652" s="19" t="s">
        <v>23072</v>
      </c>
      <c r="E7652" s="19" t="s">
        <v>33714</v>
      </c>
      <c r="F7652" s="19" t="s">
        <v>35999</v>
      </c>
      <c r="G7652" s="18" t="str">
        <f>"64470"</f>
        <v>64470</v>
      </c>
      <c r="H7652" s="19" t="s">
        <v>33214</v>
      </c>
      <c r="I7652" s="20">
        <v>18.138999999999999</v>
      </c>
      <c r="J7652" s="44" t="s">
        <v>8</v>
      </c>
      <c r="K7652" s="23" t="s">
        <v>8</v>
      </c>
      <c r="L7652" s="23" t="s">
        <v>8</v>
      </c>
      <c r="M7652" s="23" t="s">
        <v>8</v>
      </c>
    </row>
    <row r="7653" spans="1:13" s="21" customFormat="1" x14ac:dyDescent="0.25">
      <c r="A7653" s="22" t="s">
        <v>8</v>
      </c>
      <c r="B7653" s="18" t="str">
        <f>"265747"</f>
        <v>265747</v>
      </c>
      <c r="C7653" s="19" t="s">
        <v>7541</v>
      </c>
      <c r="D7653" s="19" t="s">
        <v>23073</v>
      </c>
      <c r="E7653" s="19" t="s">
        <v>33593</v>
      </c>
      <c r="F7653" s="19" t="s">
        <v>35999</v>
      </c>
      <c r="G7653" s="18" t="str">
        <f>"63701"</f>
        <v>63701</v>
      </c>
      <c r="H7653" s="19" t="s">
        <v>33593</v>
      </c>
      <c r="I7653" s="20">
        <v>16.933</v>
      </c>
      <c r="J7653" s="44" t="s">
        <v>8</v>
      </c>
      <c r="K7653" s="23" t="s">
        <v>8</v>
      </c>
      <c r="L7653" s="23" t="s">
        <v>8</v>
      </c>
      <c r="M7653" s="23" t="s">
        <v>8</v>
      </c>
    </row>
    <row r="7654" spans="1:13" s="21" customFormat="1" x14ac:dyDescent="0.25">
      <c r="A7654" s="22" t="s">
        <v>8</v>
      </c>
      <c r="B7654" s="18" t="str">
        <f>"265748"</f>
        <v>265748</v>
      </c>
      <c r="C7654" s="19" t="s">
        <v>7542</v>
      </c>
      <c r="D7654" s="19" t="s">
        <v>23074</v>
      </c>
      <c r="E7654" s="19" t="s">
        <v>32295</v>
      </c>
      <c r="F7654" s="19" t="s">
        <v>35999</v>
      </c>
      <c r="G7654" s="18" t="str">
        <f>"65081"</f>
        <v>65081</v>
      </c>
      <c r="H7654" s="19" t="s">
        <v>36522</v>
      </c>
      <c r="I7654" s="20">
        <v>18.010999999999999</v>
      </c>
      <c r="J7654" s="44" t="s">
        <v>8</v>
      </c>
      <c r="K7654" s="23" t="s">
        <v>8</v>
      </c>
      <c r="L7654" s="23" t="s">
        <v>8</v>
      </c>
      <c r="M7654" s="23" t="s">
        <v>8</v>
      </c>
    </row>
    <row r="7655" spans="1:13" s="21" customFormat="1" x14ac:dyDescent="0.25">
      <c r="A7655" s="22" t="s">
        <v>8</v>
      </c>
      <c r="B7655" s="18" t="str">
        <f>"265749"</f>
        <v>265749</v>
      </c>
      <c r="C7655" s="19" t="s">
        <v>3660</v>
      </c>
      <c r="D7655" s="19" t="s">
        <v>23075</v>
      </c>
      <c r="E7655" s="19" t="s">
        <v>31717</v>
      </c>
      <c r="F7655" s="19" t="s">
        <v>35999</v>
      </c>
      <c r="G7655" s="18" t="str">
        <f>"65803"</f>
        <v>65803</v>
      </c>
      <c r="H7655" s="19" t="s">
        <v>32455</v>
      </c>
      <c r="I7655" s="20">
        <v>18.209</v>
      </c>
      <c r="J7655" s="44" t="s">
        <v>8</v>
      </c>
      <c r="K7655" s="23" t="s">
        <v>8</v>
      </c>
      <c r="L7655" s="23" t="s">
        <v>8</v>
      </c>
      <c r="M7655" s="23" t="s">
        <v>8</v>
      </c>
    </row>
    <row r="7656" spans="1:13" s="21" customFormat="1" x14ac:dyDescent="0.25">
      <c r="A7656" s="22" t="s">
        <v>8</v>
      </c>
      <c r="B7656" s="18" t="str">
        <f>"265750"</f>
        <v>265750</v>
      </c>
      <c r="C7656" s="19" t="s">
        <v>7543</v>
      </c>
      <c r="D7656" s="19" t="s">
        <v>23076</v>
      </c>
      <c r="E7656" s="19" t="s">
        <v>33636</v>
      </c>
      <c r="F7656" s="19" t="s">
        <v>35999</v>
      </c>
      <c r="G7656" s="18" t="str">
        <f>"63028"</f>
        <v>63028</v>
      </c>
      <c r="H7656" s="19" t="s">
        <v>32391</v>
      </c>
      <c r="I7656" s="20">
        <v>24.155000000000001</v>
      </c>
      <c r="J7656" s="44" t="s">
        <v>8</v>
      </c>
      <c r="K7656" s="23" t="s">
        <v>8</v>
      </c>
      <c r="L7656" s="23" t="s">
        <v>8</v>
      </c>
      <c r="M7656" s="23" t="s">
        <v>8</v>
      </c>
    </row>
    <row r="7657" spans="1:13" s="21" customFormat="1" x14ac:dyDescent="0.25">
      <c r="A7657" s="22" t="s">
        <v>8</v>
      </c>
      <c r="B7657" s="18" t="str">
        <f>"265751"</f>
        <v>265751</v>
      </c>
      <c r="C7657" s="19" t="s">
        <v>7544</v>
      </c>
      <c r="D7657" s="19" t="s">
        <v>23077</v>
      </c>
      <c r="E7657" s="19" t="s">
        <v>33228</v>
      </c>
      <c r="F7657" s="19" t="s">
        <v>35999</v>
      </c>
      <c r="G7657" s="18" t="str">
        <f>"63111"</f>
        <v>63111</v>
      </c>
      <c r="H7657" s="19" t="s">
        <v>36518</v>
      </c>
      <c r="I7657" s="20">
        <v>19.016999999999999</v>
      </c>
      <c r="J7657" s="44" t="s">
        <v>8</v>
      </c>
      <c r="K7657" s="23" t="s">
        <v>8</v>
      </c>
      <c r="L7657" s="23" t="s">
        <v>8</v>
      </c>
      <c r="M7657" s="23" t="s">
        <v>8</v>
      </c>
    </row>
    <row r="7658" spans="1:13" s="21" customFormat="1" x14ac:dyDescent="0.25">
      <c r="A7658" s="22" t="s">
        <v>8</v>
      </c>
      <c r="B7658" s="18" t="str">
        <f>"265752"</f>
        <v>265752</v>
      </c>
      <c r="C7658" s="19" t="s">
        <v>7545</v>
      </c>
      <c r="D7658" s="19" t="s">
        <v>23078</v>
      </c>
      <c r="E7658" s="19" t="s">
        <v>32023</v>
      </c>
      <c r="F7658" s="19" t="s">
        <v>35999</v>
      </c>
      <c r="G7658" s="18" t="str">
        <f>"65712"</f>
        <v>65712</v>
      </c>
      <c r="H7658" s="19" t="s">
        <v>32568</v>
      </c>
      <c r="I7658" s="20">
        <v>19.169</v>
      </c>
      <c r="J7658" s="44" t="s">
        <v>8</v>
      </c>
      <c r="K7658" s="23" t="s">
        <v>8</v>
      </c>
      <c r="L7658" s="23" t="s">
        <v>8</v>
      </c>
      <c r="M7658" s="23" t="s">
        <v>8</v>
      </c>
    </row>
    <row r="7659" spans="1:13" s="21" customFormat="1" x14ac:dyDescent="0.25">
      <c r="A7659" s="22" t="s">
        <v>8</v>
      </c>
      <c r="B7659" s="18" t="str">
        <f>"265753"</f>
        <v>265753</v>
      </c>
      <c r="C7659" s="19" t="s">
        <v>7546</v>
      </c>
      <c r="D7659" s="19" t="s">
        <v>23079</v>
      </c>
      <c r="E7659" s="19" t="s">
        <v>30897</v>
      </c>
      <c r="F7659" s="19" t="s">
        <v>35999</v>
      </c>
      <c r="G7659" s="18" t="str">
        <f>"65721"</f>
        <v>65721</v>
      </c>
      <c r="H7659" s="19" t="s">
        <v>36234</v>
      </c>
      <c r="I7659" s="20">
        <v>18.164999999999999</v>
      </c>
      <c r="J7659" s="44" t="s">
        <v>8</v>
      </c>
      <c r="K7659" s="23" t="s">
        <v>8</v>
      </c>
      <c r="L7659" s="23" t="s">
        <v>8</v>
      </c>
      <c r="M7659" s="23" t="s">
        <v>8</v>
      </c>
    </row>
    <row r="7660" spans="1:13" s="21" customFormat="1" x14ac:dyDescent="0.25">
      <c r="A7660" s="22" t="s">
        <v>8</v>
      </c>
      <c r="B7660" s="18" t="str">
        <f>"265754"</f>
        <v>265754</v>
      </c>
      <c r="C7660" s="19" t="s">
        <v>7547</v>
      </c>
      <c r="D7660" s="19" t="s">
        <v>23080</v>
      </c>
      <c r="E7660" s="19" t="s">
        <v>33627</v>
      </c>
      <c r="F7660" s="19" t="s">
        <v>35999</v>
      </c>
      <c r="G7660" s="18" t="str">
        <f>"64505"</f>
        <v>64505</v>
      </c>
      <c r="H7660" s="19" t="s">
        <v>31819</v>
      </c>
      <c r="I7660" s="20">
        <v>17.449000000000002</v>
      </c>
      <c r="J7660" s="44" t="s">
        <v>8</v>
      </c>
      <c r="K7660" s="23" t="s">
        <v>8</v>
      </c>
      <c r="L7660" s="23" t="s">
        <v>8</v>
      </c>
      <c r="M7660" s="23" t="s">
        <v>8</v>
      </c>
    </row>
    <row r="7661" spans="1:13" s="21" customFormat="1" x14ac:dyDescent="0.25">
      <c r="A7661" s="22" t="s">
        <v>8</v>
      </c>
      <c r="B7661" s="18" t="str">
        <f>"265755"</f>
        <v>265755</v>
      </c>
      <c r="C7661" s="19" t="s">
        <v>7548</v>
      </c>
      <c r="D7661" s="19" t="s">
        <v>23081</v>
      </c>
      <c r="E7661" s="19" t="s">
        <v>31785</v>
      </c>
      <c r="F7661" s="19" t="s">
        <v>35999</v>
      </c>
      <c r="G7661" s="18" t="str">
        <f>"65556"</f>
        <v>65556</v>
      </c>
      <c r="H7661" s="19" t="s">
        <v>31795</v>
      </c>
      <c r="I7661" s="20">
        <v>19.244</v>
      </c>
      <c r="J7661" s="44" t="s">
        <v>8</v>
      </c>
      <c r="K7661" s="23" t="s">
        <v>8</v>
      </c>
      <c r="L7661" s="23" t="s">
        <v>8</v>
      </c>
      <c r="M7661" s="23" t="s">
        <v>8</v>
      </c>
    </row>
    <row r="7662" spans="1:13" s="21" customFormat="1" x14ac:dyDescent="0.25">
      <c r="A7662" s="22" t="s">
        <v>8</v>
      </c>
      <c r="B7662" s="18" t="str">
        <f>"265756"</f>
        <v>265756</v>
      </c>
      <c r="C7662" s="19" t="s">
        <v>7549</v>
      </c>
      <c r="D7662" s="19" t="s">
        <v>23082</v>
      </c>
      <c r="E7662" s="19" t="s">
        <v>33228</v>
      </c>
      <c r="F7662" s="19" t="s">
        <v>35999</v>
      </c>
      <c r="G7662" s="18" t="str">
        <f>"63129"</f>
        <v>63129</v>
      </c>
      <c r="H7662" s="19" t="s">
        <v>33228</v>
      </c>
      <c r="I7662" s="20">
        <v>18.378</v>
      </c>
      <c r="J7662" s="44" t="s">
        <v>8</v>
      </c>
      <c r="K7662" s="23" t="s">
        <v>8</v>
      </c>
      <c r="L7662" s="23" t="s">
        <v>8</v>
      </c>
      <c r="M7662" s="23" t="s">
        <v>8</v>
      </c>
    </row>
    <row r="7663" spans="1:13" s="21" customFormat="1" x14ac:dyDescent="0.25">
      <c r="A7663" s="22" t="s">
        <v>8</v>
      </c>
      <c r="B7663" s="18" t="str">
        <f>"265757"</f>
        <v>265757</v>
      </c>
      <c r="C7663" s="19" t="s">
        <v>7550</v>
      </c>
      <c r="D7663" s="19" t="s">
        <v>23083</v>
      </c>
      <c r="E7663" s="19" t="s">
        <v>33588</v>
      </c>
      <c r="F7663" s="19" t="s">
        <v>35999</v>
      </c>
      <c r="G7663" s="18" t="str">
        <f>"63031"</f>
        <v>63031</v>
      </c>
      <c r="H7663" s="19" t="s">
        <v>33228</v>
      </c>
      <c r="I7663" s="20">
        <v>21.335000000000001</v>
      </c>
      <c r="J7663" s="44" t="s">
        <v>8</v>
      </c>
      <c r="K7663" s="23" t="s">
        <v>8</v>
      </c>
      <c r="L7663" s="23" t="s">
        <v>8</v>
      </c>
      <c r="M7663" s="23" t="s">
        <v>8</v>
      </c>
    </row>
    <row r="7664" spans="1:13" s="21" customFormat="1" x14ac:dyDescent="0.25">
      <c r="A7664" s="22" t="s">
        <v>8</v>
      </c>
      <c r="B7664" s="18" t="str">
        <f>"265758"</f>
        <v>265758</v>
      </c>
      <c r="C7664" s="19" t="s">
        <v>7551</v>
      </c>
      <c r="D7664" s="19" t="s">
        <v>23084</v>
      </c>
      <c r="E7664" s="19" t="s">
        <v>32565</v>
      </c>
      <c r="F7664" s="19" t="s">
        <v>35999</v>
      </c>
      <c r="G7664" s="18" t="str">
        <f>"64131"</f>
        <v>64131</v>
      </c>
      <c r="H7664" s="19" t="s">
        <v>30816</v>
      </c>
      <c r="I7664" s="20">
        <v>17.170999999999999</v>
      </c>
      <c r="J7664" s="44" t="s">
        <v>8</v>
      </c>
      <c r="K7664" s="23" t="s">
        <v>8</v>
      </c>
      <c r="L7664" s="23" t="s">
        <v>8</v>
      </c>
      <c r="M7664" s="23" t="s">
        <v>8</v>
      </c>
    </row>
    <row r="7665" spans="1:13" s="21" customFormat="1" x14ac:dyDescent="0.25">
      <c r="A7665" s="22" t="s">
        <v>8</v>
      </c>
      <c r="B7665" s="18" t="str">
        <f>"265759"</f>
        <v>265759</v>
      </c>
      <c r="C7665" s="19" t="s">
        <v>7552</v>
      </c>
      <c r="D7665" s="19" t="s">
        <v>23085</v>
      </c>
      <c r="E7665" s="19" t="s">
        <v>33684</v>
      </c>
      <c r="F7665" s="19" t="s">
        <v>35999</v>
      </c>
      <c r="G7665" s="18" t="str">
        <f>"64014"</f>
        <v>64014</v>
      </c>
      <c r="H7665" s="19" t="s">
        <v>30816</v>
      </c>
      <c r="I7665" s="20">
        <v>21.609000000000002</v>
      </c>
      <c r="J7665" s="44" t="s">
        <v>8</v>
      </c>
      <c r="K7665" s="23" t="s">
        <v>8</v>
      </c>
      <c r="L7665" s="23" t="s">
        <v>8</v>
      </c>
      <c r="M7665" s="23" t="s">
        <v>8</v>
      </c>
    </row>
    <row r="7666" spans="1:13" s="21" customFormat="1" x14ac:dyDescent="0.25">
      <c r="A7666" s="22" t="s">
        <v>8</v>
      </c>
      <c r="B7666" s="18" t="str">
        <f>"265760"</f>
        <v>265760</v>
      </c>
      <c r="C7666" s="19" t="s">
        <v>7553</v>
      </c>
      <c r="D7666" s="19" t="s">
        <v>23086</v>
      </c>
      <c r="E7666" s="19" t="s">
        <v>32194</v>
      </c>
      <c r="F7666" s="19" t="s">
        <v>35999</v>
      </c>
      <c r="G7666" s="18" t="str">
        <f>"65251"</f>
        <v>65251</v>
      </c>
      <c r="H7666" s="19" t="s">
        <v>31529</v>
      </c>
      <c r="I7666" s="20">
        <v>22.849</v>
      </c>
      <c r="J7666" s="44" t="s">
        <v>8</v>
      </c>
      <c r="K7666" s="23" t="s">
        <v>8</v>
      </c>
      <c r="L7666" s="23" t="s">
        <v>8</v>
      </c>
      <c r="M7666" s="23" t="s">
        <v>8</v>
      </c>
    </row>
    <row r="7667" spans="1:13" s="21" customFormat="1" x14ac:dyDescent="0.25">
      <c r="A7667" s="22" t="s">
        <v>8</v>
      </c>
      <c r="B7667" s="18" t="str">
        <f>"265761"</f>
        <v>265761</v>
      </c>
      <c r="C7667" s="19" t="s">
        <v>7554</v>
      </c>
      <c r="D7667" s="19" t="s">
        <v>23087</v>
      </c>
      <c r="E7667" s="19" t="s">
        <v>31995</v>
      </c>
      <c r="F7667" s="19" t="s">
        <v>35999</v>
      </c>
      <c r="G7667" s="18" t="str">
        <f>"65338"</f>
        <v>65338</v>
      </c>
      <c r="H7667" s="19" t="s">
        <v>31024</v>
      </c>
      <c r="I7667" s="20">
        <v>18.791</v>
      </c>
      <c r="J7667" s="44" t="s">
        <v>8</v>
      </c>
      <c r="K7667" s="23" t="s">
        <v>8</v>
      </c>
      <c r="L7667" s="23" t="s">
        <v>8</v>
      </c>
      <c r="M7667" s="23" t="s">
        <v>8</v>
      </c>
    </row>
    <row r="7668" spans="1:13" s="21" customFormat="1" x14ac:dyDescent="0.25">
      <c r="A7668" s="22" t="s">
        <v>8</v>
      </c>
      <c r="B7668" s="18" t="str">
        <f>"265762"</f>
        <v>265762</v>
      </c>
      <c r="C7668" s="19" t="s">
        <v>7555</v>
      </c>
      <c r="D7668" s="19" t="s">
        <v>23088</v>
      </c>
      <c r="E7668" s="19" t="s">
        <v>33627</v>
      </c>
      <c r="F7668" s="19" t="s">
        <v>35999</v>
      </c>
      <c r="G7668" s="18" t="str">
        <f>"64506"</f>
        <v>64506</v>
      </c>
      <c r="H7668" s="19" t="s">
        <v>31819</v>
      </c>
      <c r="I7668" s="20">
        <v>21.532</v>
      </c>
      <c r="J7668" s="44" t="s">
        <v>8</v>
      </c>
      <c r="K7668" s="23" t="s">
        <v>8</v>
      </c>
      <c r="L7668" s="23" t="s">
        <v>8</v>
      </c>
      <c r="M7668" s="23" t="s">
        <v>8</v>
      </c>
    </row>
    <row r="7669" spans="1:13" s="21" customFormat="1" x14ac:dyDescent="0.25">
      <c r="A7669" s="22" t="s">
        <v>8</v>
      </c>
      <c r="B7669" s="18" t="str">
        <f>"265763"</f>
        <v>265763</v>
      </c>
      <c r="C7669" s="19" t="s">
        <v>7556</v>
      </c>
      <c r="D7669" s="19" t="s">
        <v>23089</v>
      </c>
      <c r="E7669" s="19" t="s">
        <v>33715</v>
      </c>
      <c r="F7669" s="19" t="s">
        <v>35999</v>
      </c>
      <c r="G7669" s="18" t="str">
        <f>"63537"</f>
        <v>63537</v>
      </c>
      <c r="H7669" s="19" t="s">
        <v>32252</v>
      </c>
      <c r="I7669" s="20">
        <v>18.484000000000002</v>
      </c>
      <c r="J7669" s="44" t="s">
        <v>8</v>
      </c>
      <c r="K7669" s="23" t="s">
        <v>8</v>
      </c>
      <c r="L7669" s="23" t="s">
        <v>8</v>
      </c>
      <c r="M7669" s="23" t="s">
        <v>8</v>
      </c>
    </row>
    <row r="7670" spans="1:13" s="21" customFormat="1" x14ac:dyDescent="0.25">
      <c r="A7670" s="22" t="s">
        <v>8</v>
      </c>
      <c r="B7670" s="18" t="str">
        <f>"265764"</f>
        <v>265764</v>
      </c>
      <c r="C7670" s="19" t="s">
        <v>7557</v>
      </c>
      <c r="D7670" s="19" t="s">
        <v>23090</v>
      </c>
      <c r="E7670" s="19" t="s">
        <v>33228</v>
      </c>
      <c r="F7670" s="19" t="s">
        <v>35999</v>
      </c>
      <c r="G7670" s="18" t="str">
        <f>"63122"</f>
        <v>63122</v>
      </c>
      <c r="H7670" s="19" t="s">
        <v>33228</v>
      </c>
      <c r="I7670" s="20">
        <v>21.472000000000001</v>
      </c>
      <c r="J7670" s="44" t="s">
        <v>8</v>
      </c>
      <c r="K7670" s="23" t="s">
        <v>8</v>
      </c>
      <c r="L7670" s="23" t="s">
        <v>8</v>
      </c>
      <c r="M7670" s="23" t="s">
        <v>8</v>
      </c>
    </row>
    <row r="7671" spans="1:13" s="21" customFormat="1" x14ac:dyDescent="0.25">
      <c r="A7671" s="22" t="s">
        <v>8</v>
      </c>
      <c r="B7671" s="18" t="str">
        <f>"265765"</f>
        <v>265765</v>
      </c>
      <c r="C7671" s="19" t="s">
        <v>7558</v>
      </c>
      <c r="D7671" s="19" t="s">
        <v>23091</v>
      </c>
      <c r="E7671" s="19" t="s">
        <v>32640</v>
      </c>
      <c r="F7671" s="19" t="s">
        <v>35999</v>
      </c>
      <c r="G7671" s="18" t="str">
        <f>"64020"</f>
        <v>64020</v>
      </c>
      <c r="H7671" s="19" t="s">
        <v>30892</v>
      </c>
      <c r="I7671" s="20">
        <v>19.713999999999999</v>
      </c>
      <c r="J7671" s="44" t="s">
        <v>8</v>
      </c>
      <c r="K7671" s="23" t="s">
        <v>8</v>
      </c>
      <c r="L7671" s="23" t="s">
        <v>8</v>
      </c>
      <c r="M7671" s="23" t="s">
        <v>8</v>
      </c>
    </row>
    <row r="7672" spans="1:13" s="21" customFormat="1" x14ac:dyDescent="0.25">
      <c r="A7672" s="22" t="s">
        <v>8</v>
      </c>
      <c r="B7672" s="18" t="str">
        <f>"265766"</f>
        <v>265766</v>
      </c>
      <c r="C7672" s="19" t="s">
        <v>7559</v>
      </c>
      <c r="D7672" s="19" t="s">
        <v>23092</v>
      </c>
      <c r="E7672" s="19" t="s">
        <v>33574</v>
      </c>
      <c r="F7672" s="19" t="s">
        <v>35999</v>
      </c>
      <c r="G7672" s="18" t="str">
        <f>"63021"</f>
        <v>63021</v>
      </c>
      <c r="H7672" s="19" t="s">
        <v>33228</v>
      </c>
      <c r="I7672" s="20">
        <v>19.001999999999999</v>
      </c>
      <c r="J7672" s="44" t="s">
        <v>8</v>
      </c>
      <c r="K7672" s="23" t="s">
        <v>8</v>
      </c>
      <c r="L7672" s="23" t="s">
        <v>8</v>
      </c>
      <c r="M7672" s="23" t="s">
        <v>8</v>
      </c>
    </row>
    <row r="7673" spans="1:13" s="21" customFormat="1" x14ac:dyDescent="0.25">
      <c r="A7673" s="22" t="s">
        <v>8</v>
      </c>
      <c r="B7673" s="18" t="str">
        <f>"265767"</f>
        <v>265767</v>
      </c>
      <c r="C7673" s="19" t="s">
        <v>7560</v>
      </c>
      <c r="D7673" s="19" t="s">
        <v>23093</v>
      </c>
      <c r="E7673" s="19" t="s">
        <v>33589</v>
      </c>
      <c r="F7673" s="19" t="s">
        <v>35999</v>
      </c>
      <c r="G7673" s="18" t="str">
        <f>"63304"</f>
        <v>63304</v>
      </c>
      <c r="H7673" s="19" t="s">
        <v>33589</v>
      </c>
      <c r="I7673" s="20">
        <v>22.2</v>
      </c>
      <c r="J7673" s="44" t="s">
        <v>8</v>
      </c>
      <c r="K7673" s="23" t="s">
        <v>8</v>
      </c>
      <c r="L7673" s="23" t="s">
        <v>8</v>
      </c>
      <c r="M7673" s="23" t="s">
        <v>8</v>
      </c>
    </row>
    <row r="7674" spans="1:13" s="21" customFormat="1" x14ac:dyDescent="0.25">
      <c r="A7674" s="22" t="s">
        <v>8</v>
      </c>
      <c r="B7674" s="18" t="str">
        <f>"265768"</f>
        <v>265768</v>
      </c>
      <c r="C7674" s="19" t="s">
        <v>7561</v>
      </c>
      <c r="D7674" s="19" t="s">
        <v>23094</v>
      </c>
      <c r="E7674" s="19" t="s">
        <v>32565</v>
      </c>
      <c r="F7674" s="19" t="s">
        <v>35999</v>
      </c>
      <c r="G7674" s="18" t="str">
        <f>"64111"</f>
        <v>64111</v>
      </c>
      <c r="H7674" s="19" t="s">
        <v>30816</v>
      </c>
      <c r="I7674" s="20">
        <v>17.292000000000002</v>
      </c>
      <c r="J7674" s="44" t="s">
        <v>8</v>
      </c>
      <c r="K7674" s="23" t="s">
        <v>8</v>
      </c>
      <c r="L7674" s="23" t="s">
        <v>8</v>
      </c>
      <c r="M7674" s="23" t="s">
        <v>8</v>
      </c>
    </row>
    <row r="7675" spans="1:13" s="21" customFormat="1" x14ac:dyDescent="0.25">
      <c r="A7675" s="22" t="s">
        <v>8</v>
      </c>
      <c r="B7675" s="18" t="str">
        <f>"265769"</f>
        <v>265769</v>
      </c>
      <c r="C7675" s="19" t="s">
        <v>7562</v>
      </c>
      <c r="D7675" s="19" t="s">
        <v>23095</v>
      </c>
      <c r="E7675" s="19" t="s">
        <v>32565</v>
      </c>
      <c r="F7675" s="19" t="s">
        <v>35999</v>
      </c>
      <c r="G7675" s="18" t="str">
        <f>"64111"</f>
        <v>64111</v>
      </c>
      <c r="H7675" s="19" t="s">
        <v>30816</v>
      </c>
      <c r="I7675" s="20">
        <v>19.010999999999999</v>
      </c>
      <c r="J7675" s="44" t="s">
        <v>8</v>
      </c>
      <c r="K7675" s="23" t="s">
        <v>8</v>
      </c>
      <c r="L7675" s="23" t="s">
        <v>8</v>
      </c>
      <c r="M7675" s="23" t="s">
        <v>8</v>
      </c>
    </row>
    <row r="7676" spans="1:13" s="21" customFormat="1" x14ac:dyDescent="0.25">
      <c r="A7676" s="22" t="s">
        <v>8</v>
      </c>
      <c r="B7676" s="18" t="str">
        <f>"265770"</f>
        <v>265770</v>
      </c>
      <c r="C7676" s="19" t="s">
        <v>7563</v>
      </c>
      <c r="D7676" s="19" t="s">
        <v>23096</v>
      </c>
      <c r="E7676" s="19" t="s">
        <v>33716</v>
      </c>
      <c r="F7676" s="19" t="s">
        <v>35999</v>
      </c>
      <c r="G7676" s="18" t="str">
        <f>"65325"</f>
        <v>65325</v>
      </c>
      <c r="H7676" s="19" t="s">
        <v>31024</v>
      </c>
      <c r="I7676" s="20">
        <v>19.361000000000001</v>
      </c>
      <c r="J7676" s="44" t="s">
        <v>8</v>
      </c>
      <c r="K7676" s="23" t="s">
        <v>8</v>
      </c>
      <c r="L7676" s="23" t="s">
        <v>8</v>
      </c>
      <c r="M7676" s="23" t="s">
        <v>8</v>
      </c>
    </row>
    <row r="7677" spans="1:13" s="21" customFormat="1" x14ac:dyDescent="0.25">
      <c r="A7677" s="22" t="s">
        <v>8</v>
      </c>
      <c r="B7677" s="18" t="str">
        <f>"265771"</f>
        <v>265771</v>
      </c>
      <c r="C7677" s="19" t="s">
        <v>7564</v>
      </c>
      <c r="D7677" s="19" t="s">
        <v>23097</v>
      </c>
      <c r="E7677" s="19" t="s">
        <v>33717</v>
      </c>
      <c r="F7677" s="19" t="s">
        <v>35999</v>
      </c>
      <c r="G7677" s="18" t="str">
        <f>"63830"</f>
        <v>63830</v>
      </c>
      <c r="H7677" s="19" t="s">
        <v>36510</v>
      </c>
      <c r="I7677" s="20">
        <v>18.337</v>
      </c>
      <c r="J7677" s="44" t="s">
        <v>8</v>
      </c>
      <c r="K7677" s="23" t="s">
        <v>8</v>
      </c>
      <c r="L7677" s="23" t="s">
        <v>8</v>
      </c>
      <c r="M7677" s="23" t="s">
        <v>8</v>
      </c>
    </row>
    <row r="7678" spans="1:13" s="21" customFormat="1" x14ac:dyDescent="0.25">
      <c r="A7678" s="22" t="s">
        <v>8</v>
      </c>
      <c r="B7678" s="18" t="str">
        <f>"265772"</f>
        <v>265772</v>
      </c>
      <c r="C7678" s="19" t="s">
        <v>7565</v>
      </c>
      <c r="D7678" s="19" t="s">
        <v>23098</v>
      </c>
      <c r="E7678" s="19" t="s">
        <v>32653</v>
      </c>
      <c r="F7678" s="19" t="s">
        <v>35999</v>
      </c>
      <c r="G7678" s="18" t="str">
        <f>"63020"</f>
        <v>63020</v>
      </c>
      <c r="H7678" s="19" t="s">
        <v>32391</v>
      </c>
      <c r="I7678" s="20">
        <v>17.928999999999998</v>
      </c>
      <c r="J7678" s="44" t="s">
        <v>8</v>
      </c>
      <c r="K7678" s="23" t="s">
        <v>8</v>
      </c>
      <c r="L7678" s="23" t="s">
        <v>8</v>
      </c>
      <c r="M7678" s="23" t="s">
        <v>8</v>
      </c>
    </row>
    <row r="7679" spans="1:13" s="21" customFormat="1" x14ac:dyDescent="0.25">
      <c r="A7679" s="22" t="s">
        <v>8</v>
      </c>
      <c r="B7679" s="18" t="str">
        <f>"265773"</f>
        <v>265773</v>
      </c>
      <c r="C7679" s="19" t="s">
        <v>7566</v>
      </c>
      <c r="D7679" s="19" t="s">
        <v>23099</v>
      </c>
      <c r="E7679" s="19" t="s">
        <v>33718</v>
      </c>
      <c r="F7679" s="19" t="s">
        <v>35999</v>
      </c>
      <c r="G7679" s="18" t="str">
        <f>"64456"</f>
        <v>64456</v>
      </c>
      <c r="H7679" s="19" t="s">
        <v>36201</v>
      </c>
      <c r="I7679" s="20">
        <v>18.88</v>
      </c>
      <c r="J7679" s="44" t="s">
        <v>8</v>
      </c>
      <c r="K7679" s="23" t="s">
        <v>8</v>
      </c>
      <c r="L7679" s="23" t="s">
        <v>8</v>
      </c>
      <c r="M7679" s="23" t="s">
        <v>8</v>
      </c>
    </row>
    <row r="7680" spans="1:13" s="21" customFormat="1" x14ac:dyDescent="0.25">
      <c r="A7680" s="22" t="s">
        <v>8</v>
      </c>
      <c r="B7680" s="18" t="str">
        <f>"265774"</f>
        <v>265774</v>
      </c>
      <c r="C7680" s="19" t="s">
        <v>7567</v>
      </c>
      <c r="D7680" s="19" t="s">
        <v>23100</v>
      </c>
      <c r="E7680" s="19" t="s">
        <v>33719</v>
      </c>
      <c r="F7680" s="19" t="s">
        <v>35999</v>
      </c>
      <c r="G7680" s="18" t="str">
        <f>"63867"</f>
        <v>63867</v>
      </c>
      <c r="H7680" s="19" t="s">
        <v>33604</v>
      </c>
      <c r="I7680" s="20">
        <v>19.562999999999999</v>
      </c>
      <c r="J7680" s="44" t="s">
        <v>8</v>
      </c>
      <c r="K7680" s="23" t="s">
        <v>8</v>
      </c>
      <c r="L7680" s="23" t="s">
        <v>8</v>
      </c>
      <c r="M7680" s="23" t="s">
        <v>8</v>
      </c>
    </row>
    <row r="7681" spans="1:13" s="21" customFormat="1" x14ac:dyDescent="0.25">
      <c r="A7681" s="22" t="s">
        <v>8</v>
      </c>
      <c r="B7681" s="18" t="str">
        <f>"265775"</f>
        <v>265775</v>
      </c>
      <c r="C7681" s="19" t="s">
        <v>7568</v>
      </c>
      <c r="D7681" s="19" t="s">
        <v>23101</v>
      </c>
      <c r="E7681" s="19" t="s">
        <v>33228</v>
      </c>
      <c r="F7681" s="19" t="s">
        <v>35999</v>
      </c>
      <c r="G7681" s="18" t="str">
        <f>"63125"</f>
        <v>63125</v>
      </c>
      <c r="H7681" s="19" t="s">
        <v>33228</v>
      </c>
      <c r="I7681" s="20">
        <v>19.553000000000001</v>
      </c>
      <c r="J7681" s="44" t="s">
        <v>8</v>
      </c>
      <c r="K7681" s="23" t="s">
        <v>8</v>
      </c>
      <c r="L7681" s="23" t="s">
        <v>8</v>
      </c>
      <c r="M7681" s="23" t="s">
        <v>8</v>
      </c>
    </row>
    <row r="7682" spans="1:13" s="21" customFormat="1" x14ac:dyDescent="0.25">
      <c r="A7682" s="22" t="s">
        <v>8</v>
      </c>
      <c r="B7682" s="18" t="str">
        <f>"265776"</f>
        <v>265776</v>
      </c>
      <c r="C7682" s="19" t="s">
        <v>7569</v>
      </c>
      <c r="D7682" s="19" t="s">
        <v>23102</v>
      </c>
      <c r="E7682" s="19" t="s">
        <v>33228</v>
      </c>
      <c r="F7682" s="19" t="s">
        <v>35999</v>
      </c>
      <c r="G7682" s="18" t="str">
        <f>"63138"</f>
        <v>63138</v>
      </c>
      <c r="H7682" s="19" t="s">
        <v>33228</v>
      </c>
      <c r="I7682" s="20">
        <v>17.96</v>
      </c>
      <c r="J7682" s="44" t="s">
        <v>8</v>
      </c>
      <c r="K7682" s="23" t="s">
        <v>8</v>
      </c>
      <c r="L7682" s="23" t="s">
        <v>8</v>
      </c>
      <c r="M7682" s="23" t="s">
        <v>8</v>
      </c>
    </row>
    <row r="7683" spans="1:13" s="21" customFormat="1" x14ac:dyDescent="0.25">
      <c r="A7683" s="22" t="s">
        <v>8</v>
      </c>
      <c r="B7683" s="18" t="str">
        <f>"265777"</f>
        <v>265777</v>
      </c>
      <c r="C7683" s="19" t="s">
        <v>7570</v>
      </c>
      <c r="D7683" s="19" t="s">
        <v>23103</v>
      </c>
      <c r="E7683" s="19" t="s">
        <v>33720</v>
      </c>
      <c r="F7683" s="19" t="s">
        <v>35999</v>
      </c>
      <c r="G7683" s="18" t="str">
        <f>"65085"</f>
        <v>65085</v>
      </c>
      <c r="H7683" s="19" t="s">
        <v>32356</v>
      </c>
      <c r="I7683" s="20">
        <v>18.684000000000001</v>
      </c>
      <c r="J7683" s="44" t="s">
        <v>8</v>
      </c>
      <c r="K7683" s="23" t="s">
        <v>8</v>
      </c>
      <c r="L7683" s="23" t="s">
        <v>8</v>
      </c>
      <c r="M7683" s="23" t="s">
        <v>8</v>
      </c>
    </row>
    <row r="7684" spans="1:13" s="21" customFormat="1" x14ac:dyDescent="0.25">
      <c r="A7684" s="22" t="s">
        <v>8</v>
      </c>
      <c r="B7684" s="18" t="str">
        <f>"265778"</f>
        <v>265778</v>
      </c>
      <c r="C7684" s="19" t="s">
        <v>7571</v>
      </c>
      <c r="D7684" s="19" t="s">
        <v>23104</v>
      </c>
      <c r="E7684" s="19" t="s">
        <v>32076</v>
      </c>
      <c r="F7684" s="19" t="s">
        <v>35999</v>
      </c>
      <c r="G7684" s="18" t="str">
        <f>"65201"</f>
        <v>65201</v>
      </c>
      <c r="H7684" s="19" t="s">
        <v>32513</v>
      </c>
      <c r="I7684" s="20">
        <v>20.149999999999999</v>
      </c>
      <c r="J7684" s="44" t="s">
        <v>8</v>
      </c>
      <c r="K7684" s="23" t="s">
        <v>8</v>
      </c>
      <c r="L7684" s="23" t="s">
        <v>8</v>
      </c>
      <c r="M7684" s="23" t="s">
        <v>8</v>
      </c>
    </row>
    <row r="7685" spans="1:13" s="21" customFormat="1" x14ac:dyDescent="0.25">
      <c r="A7685" s="22" t="s">
        <v>8</v>
      </c>
      <c r="B7685" s="18" t="str">
        <f>"265779"</f>
        <v>265779</v>
      </c>
      <c r="C7685" s="19" t="s">
        <v>7572</v>
      </c>
      <c r="D7685" s="19" t="s">
        <v>23105</v>
      </c>
      <c r="E7685" s="19" t="s">
        <v>33599</v>
      </c>
      <c r="F7685" s="19" t="s">
        <v>35999</v>
      </c>
      <c r="G7685" s="18" t="str">
        <f>"65065"</f>
        <v>65065</v>
      </c>
      <c r="H7685" s="19" t="s">
        <v>30910</v>
      </c>
      <c r="I7685" s="20">
        <v>18.053000000000001</v>
      </c>
      <c r="J7685" s="44" t="s">
        <v>8</v>
      </c>
      <c r="K7685" s="23" t="s">
        <v>8</v>
      </c>
      <c r="L7685" s="23" t="s">
        <v>8</v>
      </c>
      <c r="M7685" s="23" t="s">
        <v>8</v>
      </c>
    </row>
    <row r="7686" spans="1:13" s="21" customFormat="1" x14ac:dyDescent="0.25">
      <c r="A7686" s="22" t="s">
        <v>8</v>
      </c>
      <c r="B7686" s="18" t="str">
        <f>"265780"</f>
        <v>265780</v>
      </c>
      <c r="C7686" s="19" t="s">
        <v>7573</v>
      </c>
      <c r="D7686" s="19" t="s">
        <v>23106</v>
      </c>
      <c r="E7686" s="19" t="s">
        <v>31844</v>
      </c>
      <c r="F7686" s="19" t="s">
        <v>35999</v>
      </c>
      <c r="G7686" s="18" t="str">
        <f>"64720"</f>
        <v>64720</v>
      </c>
      <c r="H7686" s="19" t="s">
        <v>36508</v>
      </c>
      <c r="I7686" s="20">
        <v>18.027000000000001</v>
      </c>
      <c r="J7686" s="44" t="s">
        <v>8</v>
      </c>
      <c r="K7686" s="23" t="s">
        <v>8</v>
      </c>
      <c r="L7686" s="23" t="s">
        <v>8</v>
      </c>
      <c r="M7686" s="23" t="s">
        <v>8</v>
      </c>
    </row>
    <row r="7687" spans="1:13" s="21" customFormat="1" x14ac:dyDescent="0.25">
      <c r="A7687" s="22" t="s">
        <v>8</v>
      </c>
      <c r="B7687" s="18" t="str">
        <f>"265781"</f>
        <v>265781</v>
      </c>
      <c r="C7687" s="19" t="s">
        <v>7574</v>
      </c>
      <c r="D7687" s="19" t="s">
        <v>23107</v>
      </c>
      <c r="E7687" s="19" t="s">
        <v>32684</v>
      </c>
      <c r="F7687" s="19" t="s">
        <v>35999</v>
      </c>
      <c r="G7687" s="18" t="str">
        <f>"63334"</f>
        <v>63334</v>
      </c>
      <c r="H7687" s="19" t="s">
        <v>36033</v>
      </c>
      <c r="I7687" s="20">
        <v>18.399999999999999</v>
      </c>
      <c r="J7687" s="44" t="s">
        <v>8</v>
      </c>
      <c r="K7687" s="23" t="s">
        <v>8</v>
      </c>
      <c r="L7687" s="23" t="s">
        <v>8</v>
      </c>
      <c r="M7687" s="23" t="s">
        <v>8</v>
      </c>
    </row>
    <row r="7688" spans="1:13" s="21" customFormat="1" x14ac:dyDescent="0.25">
      <c r="A7688" s="22" t="s">
        <v>8</v>
      </c>
      <c r="B7688" s="18" t="str">
        <f>"265782"</f>
        <v>265782</v>
      </c>
      <c r="C7688" s="19" t="s">
        <v>7575</v>
      </c>
      <c r="D7688" s="19" t="s">
        <v>23108</v>
      </c>
      <c r="E7688" s="19" t="s">
        <v>33721</v>
      </c>
      <c r="F7688" s="19" t="s">
        <v>35999</v>
      </c>
      <c r="G7688" s="18" t="str">
        <f>"64012"</f>
        <v>64012</v>
      </c>
      <c r="H7688" s="19" t="s">
        <v>36246</v>
      </c>
      <c r="I7688" s="20">
        <v>20.34</v>
      </c>
      <c r="J7688" s="44" t="s">
        <v>8</v>
      </c>
      <c r="K7688" s="23" t="s">
        <v>8</v>
      </c>
      <c r="L7688" s="23" t="s">
        <v>8</v>
      </c>
      <c r="M7688" s="23" t="s">
        <v>8</v>
      </c>
    </row>
    <row r="7689" spans="1:13" s="21" customFormat="1" x14ac:dyDescent="0.25">
      <c r="A7689" s="22" t="s">
        <v>8</v>
      </c>
      <c r="B7689" s="18" t="str">
        <f>"265783"</f>
        <v>265783</v>
      </c>
      <c r="C7689" s="19" t="s">
        <v>7576</v>
      </c>
      <c r="D7689" s="19" t="s">
        <v>23109</v>
      </c>
      <c r="E7689" s="19" t="s">
        <v>33589</v>
      </c>
      <c r="F7689" s="19" t="s">
        <v>35999</v>
      </c>
      <c r="G7689" s="18" t="str">
        <f>"63301"</f>
        <v>63301</v>
      </c>
      <c r="H7689" s="19" t="s">
        <v>33589</v>
      </c>
      <c r="I7689" s="20">
        <v>24.896000000000001</v>
      </c>
      <c r="J7689" s="44" t="s">
        <v>8</v>
      </c>
      <c r="K7689" s="23" t="s">
        <v>8</v>
      </c>
      <c r="L7689" s="23" t="s">
        <v>8</v>
      </c>
      <c r="M7689" s="23" t="s">
        <v>8</v>
      </c>
    </row>
    <row r="7690" spans="1:13" s="21" customFormat="1" x14ac:dyDescent="0.25">
      <c r="A7690" s="22" t="s">
        <v>8</v>
      </c>
      <c r="B7690" s="18" t="str">
        <f>"265784"</f>
        <v>265784</v>
      </c>
      <c r="C7690" s="19" t="s">
        <v>7577</v>
      </c>
      <c r="D7690" s="19" t="s">
        <v>23110</v>
      </c>
      <c r="E7690" s="19" t="s">
        <v>33627</v>
      </c>
      <c r="F7690" s="19" t="s">
        <v>35999</v>
      </c>
      <c r="G7690" s="18" t="str">
        <f>"64506"</f>
        <v>64506</v>
      </c>
      <c r="H7690" s="19" t="s">
        <v>31819</v>
      </c>
      <c r="I7690" s="20">
        <v>17.62</v>
      </c>
      <c r="J7690" s="44" t="s">
        <v>8</v>
      </c>
      <c r="K7690" s="23" t="s">
        <v>8</v>
      </c>
      <c r="L7690" s="23" t="s">
        <v>8</v>
      </c>
      <c r="M7690" s="23" t="s">
        <v>8</v>
      </c>
    </row>
    <row r="7691" spans="1:13" s="21" customFormat="1" x14ac:dyDescent="0.25">
      <c r="A7691" s="22" t="s">
        <v>8</v>
      </c>
      <c r="B7691" s="18" t="str">
        <f>"265785"</f>
        <v>265785</v>
      </c>
      <c r="C7691" s="19" t="s">
        <v>7578</v>
      </c>
      <c r="D7691" s="19" t="s">
        <v>23111</v>
      </c>
      <c r="E7691" s="19" t="s">
        <v>31927</v>
      </c>
      <c r="F7691" s="19" t="s">
        <v>35999</v>
      </c>
      <c r="G7691" s="18" t="str">
        <f>"64601"</f>
        <v>64601</v>
      </c>
      <c r="H7691" s="19" t="s">
        <v>33740</v>
      </c>
      <c r="I7691" s="20">
        <v>18.835000000000001</v>
      </c>
      <c r="J7691" s="44" t="s">
        <v>8</v>
      </c>
      <c r="K7691" s="23" t="s">
        <v>8</v>
      </c>
      <c r="L7691" s="23" t="s">
        <v>8</v>
      </c>
      <c r="M7691" s="23" t="s">
        <v>8</v>
      </c>
    </row>
    <row r="7692" spans="1:13" s="21" customFormat="1" x14ac:dyDescent="0.25">
      <c r="A7692" s="22" t="s">
        <v>8</v>
      </c>
      <c r="B7692" s="18" t="str">
        <f>"265786"</f>
        <v>265786</v>
      </c>
      <c r="C7692" s="19" t="s">
        <v>7579</v>
      </c>
      <c r="D7692" s="19" t="s">
        <v>23112</v>
      </c>
      <c r="E7692" s="19" t="s">
        <v>32424</v>
      </c>
      <c r="F7692" s="19" t="s">
        <v>35999</v>
      </c>
      <c r="G7692" s="18" t="str">
        <f>"64050"</f>
        <v>64050</v>
      </c>
      <c r="H7692" s="19" t="s">
        <v>30816</v>
      </c>
      <c r="I7692" s="20">
        <v>22.277999999999999</v>
      </c>
      <c r="J7692" s="44" t="s">
        <v>8</v>
      </c>
      <c r="K7692" s="23" t="s">
        <v>8</v>
      </c>
      <c r="L7692" s="23" t="s">
        <v>8</v>
      </c>
      <c r="M7692" s="23" t="s">
        <v>8</v>
      </c>
    </row>
    <row r="7693" spans="1:13" s="21" customFormat="1" x14ac:dyDescent="0.25">
      <c r="A7693" s="22" t="s">
        <v>8</v>
      </c>
      <c r="B7693" s="18" t="str">
        <f>"265787"</f>
        <v>265787</v>
      </c>
      <c r="C7693" s="19" t="s">
        <v>7580</v>
      </c>
      <c r="D7693" s="19" t="s">
        <v>23113</v>
      </c>
      <c r="E7693" s="19" t="s">
        <v>31719</v>
      </c>
      <c r="F7693" s="19" t="s">
        <v>35999</v>
      </c>
      <c r="G7693" s="18" t="str">
        <f>"64485"</f>
        <v>64485</v>
      </c>
      <c r="H7693" s="19" t="s">
        <v>36531</v>
      </c>
      <c r="I7693" s="20">
        <v>18.231000000000002</v>
      </c>
      <c r="J7693" s="44" t="s">
        <v>8</v>
      </c>
      <c r="K7693" s="23" t="s">
        <v>8</v>
      </c>
      <c r="L7693" s="23" t="s">
        <v>8</v>
      </c>
      <c r="M7693" s="23" t="s">
        <v>8</v>
      </c>
    </row>
    <row r="7694" spans="1:13" s="21" customFormat="1" x14ac:dyDescent="0.25">
      <c r="A7694" s="22" t="s">
        <v>8</v>
      </c>
      <c r="B7694" s="18" t="str">
        <f>"265788"</f>
        <v>265788</v>
      </c>
      <c r="C7694" s="19" t="s">
        <v>7581</v>
      </c>
      <c r="D7694" s="19" t="s">
        <v>23114</v>
      </c>
      <c r="E7694" s="19" t="s">
        <v>33722</v>
      </c>
      <c r="F7694" s="19" t="s">
        <v>35999</v>
      </c>
      <c r="G7694" s="18" t="str">
        <f>"63555"</f>
        <v>63555</v>
      </c>
      <c r="H7694" s="19" t="s">
        <v>35122</v>
      </c>
      <c r="I7694" s="20">
        <v>18.123999999999999</v>
      </c>
      <c r="J7694" s="44" t="s">
        <v>8</v>
      </c>
      <c r="K7694" s="23" t="s">
        <v>8</v>
      </c>
      <c r="L7694" s="23" t="s">
        <v>8</v>
      </c>
      <c r="M7694" s="23" t="s">
        <v>8</v>
      </c>
    </row>
    <row r="7695" spans="1:13" s="21" customFormat="1" x14ac:dyDescent="0.25">
      <c r="A7695" s="22" t="s">
        <v>8</v>
      </c>
      <c r="B7695" s="18" t="str">
        <f>"265791"</f>
        <v>265791</v>
      </c>
      <c r="C7695" s="19" t="s">
        <v>7582</v>
      </c>
      <c r="D7695" s="19" t="s">
        <v>23115</v>
      </c>
      <c r="E7695" s="19" t="s">
        <v>32311</v>
      </c>
      <c r="F7695" s="19" t="s">
        <v>35999</v>
      </c>
      <c r="G7695" s="18" t="str">
        <f>"63017"</f>
        <v>63017</v>
      </c>
      <c r="H7695" s="19" t="s">
        <v>33228</v>
      </c>
      <c r="I7695" s="20">
        <v>21.125</v>
      </c>
      <c r="J7695" s="44" t="s">
        <v>8</v>
      </c>
      <c r="K7695" s="23" t="s">
        <v>8</v>
      </c>
      <c r="L7695" s="23" t="s">
        <v>8</v>
      </c>
      <c r="M7695" s="23" t="s">
        <v>8</v>
      </c>
    </row>
    <row r="7696" spans="1:13" s="21" customFormat="1" x14ac:dyDescent="0.25">
      <c r="A7696" s="22" t="s">
        <v>8</v>
      </c>
      <c r="B7696" s="18" t="str">
        <f>"265792"</f>
        <v>265792</v>
      </c>
      <c r="C7696" s="19" t="s">
        <v>7583</v>
      </c>
      <c r="D7696" s="19" t="s">
        <v>23116</v>
      </c>
      <c r="E7696" s="19" t="s">
        <v>33621</v>
      </c>
      <c r="F7696" s="19" t="s">
        <v>35999</v>
      </c>
      <c r="G7696" s="18" t="str">
        <f>"63368"</f>
        <v>63368</v>
      </c>
      <c r="H7696" s="19" t="s">
        <v>33589</v>
      </c>
      <c r="I7696" s="20">
        <v>23.66</v>
      </c>
      <c r="J7696" s="44" t="s">
        <v>8</v>
      </c>
      <c r="K7696" s="23" t="s">
        <v>8</v>
      </c>
      <c r="L7696" s="23" t="s">
        <v>8</v>
      </c>
      <c r="M7696" s="23" t="s">
        <v>8</v>
      </c>
    </row>
    <row r="7697" spans="1:13" s="21" customFormat="1" x14ac:dyDescent="0.25">
      <c r="A7697" s="22" t="s">
        <v>8</v>
      </c>
      <c r="B7697" s="18" t="str">
        <f>"265793"</f>
        <v>265793</v>
      </c>
      <c r="C7697" s="19" t="s">
        <v>7584</v>
      </c>
      <c r="D7697" s="19" t="s">
        <v>23117</v>
      </c>
      <c r="E7697" s="19" t="s">
        <v>33723</v>
      </c>
      <c r="F7697" s="19" t="s">
        <v>35999</v>
      </c>
      <c r="G7697" s="18" t="str">
        <f>"63549"</f>
        <v>63549</v>
      </c>
      <c r="H7697" s="19" t="s">
        <v>31733</v>
      </c>
      <c r="I7697" s="20">
        <v>19.233000000000001</v>
      </c>
      <c r="J7697" s="44" t="s">
        <v>8</v>
      </c>
      <c r="K7697" s="23" t="s">
        <v>8</v>
      </c>
      <c r="L7697" s="23" t="s">
        <v>8</v>
      </c>
      <c r="M7697" s="23" t="s">
        <v>8</v>
      </c>
    </row>
    <row r="7698" spans="1:13" s="21" customFormat="1" x14ac:dyDescent="0.25">
      <c r="A7698" s="22" t="s">
        <v>8</v>
      </c>
      <c r="B7698" s="18" t="str">
        <f>"265795"</f>
        <v>265795</v>
      </c>
      <c r="C7698" s="19" t="s">
        <v>7585</v>
      </c>
      <c r="D7698" s="19" t="s">
        <v>23118</v>
      </c>
      <c r="E7698" s="19" t="s">
        <v>32565</v>
      </c>
      <c r="F7698" s="19" t="s">
        <v>35999</v>
      </c>
      <c r="G7698" s="18" t="str">
        <f>"64114"</f>
        <v>64114</v>
      </c>
      <c r="H7698" s="19" t="s">
        <v>30816</v>
      </c>
      <c r="I7698" s="20">
        <v>19.895</v>
      </c>
      <c r="J7698" s="44" t="s">
        <v>8</v>
      </c>
      <c r="K7698" s="23" t="s">
        <v>8</v>
      </c>
      <c r="L7698" s="23" t="s">
        <v>8</v>
      </c>
      <c r="M7698" s="23" t="s">
        <v>8</v>
      </c>
    </row>
    <row r="7699" spans="1:13" s="21" customFormat="1" x14ac:dyDescent="0.25">
      <c r="A7699" s="22" t="s">
        <v>8</v>
      </c>
      <c r="B7699" s="18" t="str">
        <f>"265796"</f>
        <v>265796</v>
      </c>
      <c r="C7699" s="19" t="s">
        <v>7586</v>
      </c>
      <c r="D7699" s="19" t="s">
        <v>23119</v>
      </c>
      <c r="E7699" s="19" t="s">
        <v>31998</v>
      </c>
      <c r="F7699" s="19" t="s">
        <v>35999</v>
      </c>
      <c r="G7699" s="18" t="str">
        <f>"64673"</f>
        <v>64673</v>
      </c>
      <c r="H7699" s="19" t="s">
        <v>34991</v>
      </c>
      <c r="I7699" s="20">
        <v>17.716999999999999</v>
      </c>
      <c r="J7699" s="44" t="s">
        <v>8</v>
      </c>
      <c r="K7699" s="23" t="s">
        <v>8</v>
      </c>
      <c r="L7699" s="23" t="s">
        <v>8</v>
      </c>
      <c r="M7699" s="23" t="s">
        <v>8</v>
      </c>
    </row>
    <row r="7700" spans="1:13" s="21" customFormat="1" x14ac:dyDescent="0.25">
      <c r="A7700" s="22" t="s">
        <v>8</v>
      </c>
      <c r="B7700" s="18" t="str">
        <f>"265797"</f>
        <v>265797</v>
      </c>
      <c r="C7700" s="19" t="s">
        <v>7587</v>
      </c>
      <c r="D7700" s="19" t="s">
        <v>23120</v>
      </c>
      <c r="E7700" s="19" t="s">
        <v>33581</v>
      </c>
      <c r="F7700" s="19" t="s">
        <v>35999</v>
      </c>
      <c r="G7700" s="18" t="str">
        <f>"64093"</f>
        <v>64093</v>
      </c>
      <c r="H7700" s="19" t="s">
        <v>36072</v>
      </c>
      <c r="I7700" s="20">
        <v>20.199000000000002</v>
      </c>
      <c r="J7700" s="44" t="s">
        <v>8</v>
      </c>
      <c r="K7700" s="23" t="s">
        <v>8</v>
      </c>
      <c r="L7700" s="23" t="s">
        <v>8</v>
      </c>
      <c r="M7700" s="23" t="s">
        <v>8</v>
      </c>
    </row>
    <row r="7701" spans="1:13" s="21" customFormat="1" x14ac:dyDescent="0.25">
      <c r="A7701" s="22" t="s">
        <v>8</v>
      </c>
      <c r="B7701" s="18" t="str">
        <f>"265798"</f>
        <v>265798</v>
      </c>
      <c r="C7701" s="19" t="s">
        <v>7588</v>
      </c>
      <c r="D7701" s="19" t="s">
        <v>23121</v>
      </c>
      <c r="E7701" s="19" t="s">
        <v>31445</v>
      </c>
      <c r="F7701" s="19" t="s">
        <v>35999</v>
      </c>
      <c r="G7701" s="18" t="str">
        <f>"63640"</f>
        <v>63640</v>
      </c>
      <c r="H7701" s="19" t="s">
        <v>36511</v>
      </c>
      <c r="I7701" s="20">
        <v>20.312999999999999</v>
      </c>
      <c r="J7701" s="44" t="s">
        <v>8</v>
      </c>
      <c r="K7701" s="23" t="s">
        <v>8</v>
      </c>
      <c r="L7701" s="23" t="s">
        <v>8</v>
      </c>
      <c r="M7701" s="23" t="s">
        <v>8</v>
      </c>
    </row>
    <row r="7702" spans="1:13" s="21" customFormat="1" x14ac:dyDescent="0.25">
      <c r="A7702" s="22" t="s">
        <v>8</v>
      </c>
      <c r="B7702" s="18" t="str">
        <f>"265799"</f>
        <v>265799</v>
      </c>
      <c r="C7702" s="19" t="s">
        <v>7589</v>
      </c>
      <c r="D7702" s="19" t="s">
        <v>23122</v>
      </c>
      <c r="E7702" s="19" t="s">
        <v>31717</v>
      </c>
      <c r="F7702" s="19" t="s">
        <v>35999</v>
      </c>
      <c r="G7702" s="18" t="str">
        <f>"65810"</f>
        <v>65810</v>
      </c>
      <c r="H7702" s="19" t="s">
        <v>32455</v>
      </c>
      <c r="I7702" s="20">
        <v>18.704999999999998</v>
      </c>
      <c r="J7702" s="44" t="s">
        <v>8</v>
      </c>
      <c r="K7702" s="23" t="s">
        <v>8</v>
      </c>
      <c r="L7702" s="23" t="s">
        <v>8</v>
      </c>
      <c r="M7702" s="23" t="s">
        <v>8</v>
      </c>
    </row>
    <row r="7703" spans="1:13" s="21" customFormat="1" x14ac:dyDescent="0.25">
      <c r="A7703" s="22" t="s">
        <v>8</v>
      </c>
      <c r="B7703" s="18" t="str">
        <f>"265800"</f>
        <v>265800</v>
      </c>
      <c r="C7703" s="19" t="s">
        <v>7590</v>
      </c>
      <c r="D7703" s="19" t="s">
        <v>23123</v>
      </c>
      <c r="E7703" s="19" t="s">
        <v>33724</v>
      </c>
      <c r="F7703" s="19" t="s">
        <v>35999</v>
      </c>
      <c r="G7703" s="18" t="str">
        <f>"64454"</f>
        <v>64454</v>
      </c>
      <c r="H7703" s="19" t="s">
        <v>31081</v>
      </c>
      <c r="I7703" s="20">
        <v>18.143999999999998</v>
      </c>
      <c r="J7703" s="44" t="s">
        <v>8</v>
      </c>
      <c r="K7703" s="23" t="s">
        <v>8</v>
      </c>
      <c r="L7703" s="23" t="s">
        <v>8</v>
      </c>
      <c r="M7703" s="23" t="s">
        <v>8</v>
      </c>
    </row>
    <row r="7704" spans="1:13" s="21" customFormat="1" x14ac:dyDescent="0.25">
      <c r="A7704" s="22" t="s">
        <v>8</v>
      </c>
      <c r="B7704" s="18" t="str">
        <f>"265801"</f>
        <v>265801</v>
      </c>
      <c r="C7704" s="19" t="s">
        <v>7591</v>
      </c>
      <c r="D7704" s="19" t="s">
        <v>23124</v>
      </c>
      <c r="E7704" s="19" t="s">
        <v>33725</v>
      </c>
      <c r="F7704" s="19" t="s">
        <v>35999</v>
      </c>
      <c r="G7704" s="18" t="str">
        <f>"65276"</f>
        <v>65276</v>
      </c>
      <c r="H7704" s="19" t="s">
        <v>35899</v>
      </c>
      <c r="I7704" s="20">
        <v>17.54</v>
      </c>
      <c r="J7704" s="44" t="s">
        <v>8</v>
      </c>
      <c r="K7704" s="23" t="s">
        <v>8</v>
      </c>
      <c r="L7704" s="23" t="s">
        <v>8</v>
      </c>
      <c r="M7704" s="23" t="s">
        <v>8</v>
      </c>
    </row>
    <row r="7705" spans="1:13" s="21" customFormat="1" x14ac:dyDescent="0.25">
      <c r="A7705" s="22" t="s">
        <v>8</v>
      </c>
      <c r="B7705" s="18" t="str">
        <f>"265802"</f>
        <v>265802</v>
      </c>
      <c r="C7705" s="19" t="s">
        <v>7592</v>
      </c>
      <c r="D7705" s="19" t="s">
        <v>23125</v>
      </c>
      <c r="E7705" s="19" t="s">
        <v>32565</v>
      </c>
      <c r="F7705" s="19" t="s">
        <v>35999</v>
      </c>
      <c r="G7705" s="18" t="str">
        <f>"64114"</f>
        <v>64114</v>
      </c>
      <c r="H7705" s="19" t="s">
        <v>30816</v>
      </c>
      <c r="I7705" s="20">
        <v>19.533000000000001</v>
      </c>
      <c r="J7705" s="44" t="s">
        <v>8</v>
      </c>
      <c r="K7705" s="23" t="s">
        <v>8</v>
      </c>
      <c r="L7705" s="23" t="s">
        <v>8</v>
      </c>
      <c r="M7705" s="23" t="s">
        <v>8</v>
      </c>
    </row>
    <row r="7706" spans="1:13" s="21" customFormat="1" x14ac:dyDescent="0.25">
      <c r="A7706" s="22" t="s">
        <v>8</v>
      </c>
      <c r="B7706" s="18" t="str">
        <f>"265803"</f>
        <v>265803</v>
      </c>
      <c r="C7706" s="19" t="s">
        <v>7593</v>
      </c>
      <c r="D7706" s="19" t="s">
        <v>23126</v>
      </c>
      <c r="E7706" s="19" t="s">
        <v>33657</v>
      </c>
      <c r="F7706" s="19" t="s">
        <v>35999</v>
      </c>
      <c r="G7706" s="18" t="str">
        <f>"64083"</f>
        <v>64083</v>
      </c>
      <c r="H7706" s="19" t="s">
        <v>36246</v>
      </c>
      <c r="I7706" s="20">
        <v>18.457000000000001</v>
      </c>
      <c r="J7706" s="44" t="s">
        <v>8</v>
      </c>
      <c r="K7706" s="23" t="s">
        <v>8</v>
      </c>
      <c r="L7706" s="23" t="s">
        <v>8</v>
      </c>
      <c r="M7706" s="23" t="s">
        <v>8</v>
      </c>
    </row>
    <row r="7707" spans="1:13" s="21" customFormat="1" x14ac:dyDescent="0.25">
      <c r="A7707" s="22" t="s">
        <v>8</v>
      </c>
      <c r="B7707" s="18" t="str">
        <f>"265804"</f>
        <v>265804</v>
      </c>
      <c r="C7707" s="19" t="s">
        <v>7594</v>
      </c>
      <c r="D7707" s="19" t="s">
        <v>23127</v>
      </c>
      <c r="E7707" s="19" t="s">
        <v>31717</v>
      </c>
      <c r="F7707" s="19" t="s">
        <v>35999</v>
      </c>
      <c r="G7707" s="18" t="str">
        <f>"65807"</f>
        <v>65807</v>
      </c>
      <c r="H7707" s="19" t="s">
        <v>32455</v>
      </c>
      <c r="I7707" s="20">
        <v>18.864000000000001</v>
      </c>
      <c r="J7707" s="44" t="s">
        <v>8</v>
      </c>
      <c r="K7707" s="23" t="s">
        <v>8</v>
      </c>
      <c r="L7707" s="23" t="s">
        <v>8</v>
      </c>
      <c r="M7707" s="23" t="s">
        <v>8</v>
      </c>
    </row>
    <row r="7708" spans="1:13" s="21" customFormat="1" x14ac:dyDescent="0.25">
      <c r="A7708" s="22" t="s">
        <v>8</v>
      </c>
      <c r="B7708" s="18" t="str">
        <f>"265805"</f>
        <v>265805</v>
      </c>
      <c r="C7708" s="19" t="s">
        <v>7595</v>
      </c>
      <c r="D7708" s="19" t="s">
        <v>23128</v>
      </c>
      <c r="E7708" s="19" t="s">
        <v>33632</v>
      </c>
      <c r="F7708" s="19" t="s">
        <v>35999</v>
      </c>
      <c r="G7708" s="18" t="str">
        <f>"63021"</f>
        <v>63021</v>
      </c>
      <c r="H7708" s="19" t="s">
        <v>33228</v>
      </c>
      <c r="I7708" s="20">
        <v>16.829999999999998</v>
      </c>
      <c r="J7708" s="44" t="s">
        <v>8</v>
      </c>
      <c r="K7708" s="23" t="s">
        <v>8</v>
      </c>
      <c r="L7708" s="23" t="s">
        <v>8</v>
      </c>
      <c r="M7708" s="23" t="s">
        <v>8</v>
      </c>
    </row>
    <row r="7709" spans="1:13" s="21" customFormat="1" x14ac:dyDescent="0.25">
      <c r="A7709" s="22" t="s">
        <v>8</v>
      </c>
      <c r="B7709" s="18" t="str">
        <f>"265807"</f>
        <v>265807</v>
      </c>
      <c r="C7709" s="19" t="s">
        <v>7596</v>
      </c>
      <c r="D7709" s="19" t="s">
        <v>23129</v>
      </c>
      <c r="E7709" s="19" t="s">
        <v>33651</v>
      </c>
      <c r="F7709" s="19" t="s">
        <v>35999</v>
      </c>
      <c r="G7709" s="18" t="str">
        <f>"64424"</f>
        <v>64424</v>
      </c>
      <c r="H7709" s="19" t="s">
        <v>31020</v>
      </c>
      <c r="I7709" s="20">
        <v>19.777000000000001</v>
      </c>
      <c r="J7709" s="44" t="s">
        <v>8</v>
      </c>
      <c r="K7709" s="23" t="s">
        <v>8</v>
      </c>
      <c r="L7709" s="23" t="s">
        <v>8</v>
      </c>
      <c r="M7709" s="23" t="s">
        <v>8</v>
      </c>
    </row>
    <row r="7710" spans="1:13" s="21" customFormat="1" x14ac:dyDescent="0.25">
      <c r="A7710" s="22" t="s">
        <v>8</v>
      </c>
      <c r="B7710" s="18" t="str">
        <f>"265808"</f>
        <v>265808</v>
      </c>
      <c r="C7710" s="19" t="s">
        <v>7597</v>
      </c>
      <c r="D7710" s="19" t="s">
        <v>23130</v>
      </c>
      <c r="E7710" s="19" t="s">
        <v>33590</v>
      </c>
      <c r="F7710" s="19" t="s">
        <v>35999</v>
      </c>
      <c r="G7710" s="18" t="str">
        <f>"63088"</f>
        <v>63088</v>
      </c>
      <c r="H7710" s="19" t="s">
        <v>33228</v>
      </c>
      <c r="I7710" s="20">
        <v>17.765999999999998</v>
      </c>
      <c r="J7710" s="44" t="s">
        <v>8</v>
      </c>
      <c r="K7710" s="23" t="s">
        <v>8</v>
      </c>
      <c r="L7710" s="23" t="s">
        <v>8</v>
      </c>
      <c r="M7710" s="23" t="s">
        <v>8</v>
      </c>
    </row>
    <row r="7711" spans="1:13" s="21" customFormat="1" x14ac:dyDescent="0.25">
      <c r="A7711" s="22" t="s">
        <v>8</v>
      </c>
      <c r="B7711" s="18" t="str">
        <f>"265810"</f>
        <v>265810</v>
      </c>
      <c r="C7711" s="19" t="s">
        <v>7598</v>
      </c>
      <c r="D7711" s="19" t="s">
        <v>23131</v>
      </c>
      <c r="E7711" s="19" t="s">
        <v>33603</v>
      </c>
      <c r="F7711" s="19" t="s">
        <v>35999</v>
      </c>
      <c r="G7711" s="18" t="str">
        <f>"65101"</f>
        <v>65101</v>
      </c>
      <c r="H7711" s="19" t="s">
        <v>36516</v>
      </c>
      <c r="I7711" s="20">
        <v>19.087</v>
      </c>
      <c r="J7711" s="44" t="s">
        <v>8</v>
      </c>
      <c r="K7711" s="23" t="s">
        <v>8</v>
      </c>
      <c r="L7711" s="23" t="s">
        <v>8</v>
      </c>
      <c r="M7711" s="23" t="s">
        <v>8</v>
      </c>
    </row>
    <row r="7712" spans="1:13" s="21" customFormat="1" x14ac:dyDescent="0.25">
      <c r="A7712" s="22" t="s">
        <v>8</v>
      </c>
      <c r="B7712" s="18" t="str">
        <f>"265813"</f>
        <v>265813</v>
      </c>
      <c r="C7712" s="19" t="s">
        <v>7599</v>
      </c>
      <c r="D7712" s="19" t="s">
        <v>23132</v>
      </c>
      <c r="E7712" s="19" t="s">
        <v>31927</v>
      </c>
      <c r="F7712" s="19" t="s">
        <v>35999</v>
      </c>
      <c r="G7712" s="18" t="str">
        <f>"64601"</f>
        <v>64601</v>
      </c>
      <c r="H7712" s="19" t="s">
        <v>33740</v>
      </c>
      <c r="I7712" s="20">
        <v>20.016999999999999</v>
      </c>
      <c r="J7712" s="44" t="s">
        <v>8</v>
      </c>
      <c r="K7712" s="23" t="s">
        <v>8</v>
      </c>
      <c r="L7712" s="23" t="s">
        <v>8</v>
      </c>
      <c r="M7712" s="23" t="s">
        <v>8</v>
      </c>
    </row>
    <row r="7713" spans="1:13" s="21" customFormat="1" x14ac:dyDescent="0.25">
      <c r="A7713" s="22" t="s">
        <v>8</v>
      </c>
      <c r="B7713" s="18" t="str">
        <f>"265814"</f>
        <v>265814</v>
      </c>
      <c r="C7713" s="19" t="s">
        <v>7600</v>
      </c>
      <c r="D7713" s="19" t="s">
        <v>23133</v>
      </c>
      <c r="E7713" s="19" t="s">
        <v>31717</v>
      </c>
      <c r="F7713" s="19" t="s">
        <v>35999</v>
      </c>
      <c r="G7713" s="18" t="str">
        <f>"65807"</f>
        <v>65807</v>
      </c>
      <c r="H7713" s="19" t="s">
        <v>32455</v>
      </c>
      <c r="I7713" s="20">
        <v>18.687000000000001</v>
      </c>
      <c r="J7713" s="44" t="s">
        <v>8</v>
      </c>
      <c r="K7713" s="23" t="s">
        <v>8</v>
      </c>
      <c r="L7713" s="23" t="s">
        <v>8</v>
      </c>
      <c r="M7713" s="23" t="s">
        <v>8</v>
      </c>
    </row>
    <row r="7714" spans="1:13" s="21" customFormat="1" x14ac:dyDescent="0.25">
      <c r="A7714" s="22" t="s">
        <v>8</v>
      </c>
      <c r="B7714" s="18" t="str">
        <f>"265816"</f>
        <v>265816</v>
      </c>
      <c r="C7714" s="19" t="s">
        <v>7601</v>
      </c>
      <c r="D7714" s="19" t="s">
        <v>23134</v>
      </c>
      <c r="E7714" s="19" t="s">
        <v>33726</v>
      </c>
      <c r="F7714" s="19" t="s">
        <v>35999</v>
      </c>
      <c r="G7714" s="18" t="str">
        <f>"63561"</f>
        <v>63561</v>
      </c>
      <c r="H7714" s="19" t="s">
        <v>33783</v>
      </c>
      <c r="I7714" s="20">
        <v>19.084</v>
      </c>
      <c r="J7714" s="44" t="s">
        <v>8</v>
      </c>
      <c r="K7714" s="23" t="s">
        <v>8</v>
      </c>
      <c r="L7714" s="23" t="s">
        <v>8</v>
      </c>
      <c r="M7714" s="23" t="s">
        <v>8</v>
      </c>
    </row>
    <row r="7715" spans="1:13" s="21" customFormat="1" x14ac:dyDescent="0.25">
      <c r="A7715" s="22" t="s">
        <v>8</v>
      </c>
      <c r="B7715" s="18" t="str">
        <f>"265817"</f>
        <v>265817</v>
      </c>
      <c r="C7715" s="19" t="s">
        <v>7602</v>
      </c>
      <c r="D7715" s="19" t="s">
        <v>23135</v>
      </c>
      <c r="E7715" s="19" t="s">
        <v>33228</v>
      </c>
      <c r="F7715" s="19" t="s">
        <v>35999</v>
      </c>
      <c r="G7715" s="18" t="str">
        <f>"63106"</f>
        <v>63106</v>
      </c>
      <c r="H7715" s="19" t="s">
        <v>36518</v>
      </c>
      <c r="I7715" s="20">
        <v>18.446999999999999</v>
      </c>
      <c r="J7715" s="44" t="s">
        <v>8</v>
      </c>
      <c r="K7715" s="23" t="s">
        <v>8</v>
      </c>
      <c r="L7715" s="23" t="s">
        <v>8</v>
      </c>
      <c r="M7715" s="23" t="s">
        <v>8</v>
      </c>
    </row>
    <row r="7716" spans="1:13" s="21" customFormat="1" x14ac:dyDescent="0.25">
      <c r="A7716" s="22" t="s">
        <v>8</v>
      </c>
      <c r="B7716" s="18" t="str">
        <f>"265819"</f>
        <v>265819</v>
      </c>
      <c r="C7716" s="19" t="s">
        <v>7603</v>
      </c>
      <c r="D7716" s="19" t="s">
        <v>23136</v>
      </c>
      <c r="E7716" s="19" t="s">
        <v>33603</v>
      </c>
      <c r="F7716" s="19" t="s">
        <v>35999</v>
      </c>
      <c r="G7716" s="18" t="str">
        <f>"65109"</f>
        <v>65109</v>
      </c>
      <c r="H7716" s="19" t="s">
        <v>36516</v>
      </c>
      <c r="I7716" s="20">
        <v>21.451000000000001</v>
      </c>
      <c r="J7716" s="44" t="s">
        <v>8</v>
      </c>
      <c r="K7716" s="23" t="s">
        <v>8</v>
      </c>
      <c r="L7716" s="23" t="s">
        <v>8</v>
      </c>
      <c r="M7716" s="23" t="s">
        <v>8</v>
      </c>
    </row>
    <row r="7717" spans="1:13" s="21" customFormat="1" x14ac:dyDescent="0.25">
      <c r="A7717" s="22" t="s">
        <v>8</v>
      </c>
      <c r="B7717" s="18" t="str">
        <f>"265820"</f>
        <v>265820</v>
      </c>
      <c r="C7717" s="19" t="s">
        <v>7604</v>
      </c>
      <c r="D7717" s="19" t="s">
        <v>23137</v>
      </c>
      <c r="E7717" s="19" t="s">
        <v>32424</v>
      </c>
      <c r="F7717" s="19" t="s">
        <v>35999</v>
      </c>
      <c r="G7717" s="18" t="str">
        <f>"64057"</f>
        <v>64057</v>
      </c>
      <c r="H7717" s="19" t="s">
        <v>30816</v>
      </c>
      <c r="I7717" s="20">
        <v>26.888999999999999</v>
      </c>
      <c r="J7717" s="44" t="s">
        <v>8</v>
      </c>
      <c r="K7717" s="23" t="s">
        <v>8</v>
      </c>
      <c r="L7717" s="23" t="s">
        <v>8</v>
      </c>
      <c r="M7717" s="23" t="s">
        <v>8</v>
      </c>
    </row>
    <row r="7718" spans="1:13" s="21" customFormat="1" x14ac:dyDescent="0.25">
      <c r="A7718" s="22" t="s">
        <v>8</v>
      </c>
      <c r="B7718" s="18" t="str">
        <f>"265821"</f>
        <v>265821</v>
      </c>
      <c r="C7718" s="19" t="s">
        <v>7605</v>
      </c>
      <c r="D7718" s="19" t="s">
        <v>23138</v>
      </c>
      <c r="E7718" s="19" t="s">
        <v>33634</v>
      </c>
      <c r="F7718" s="19" t="s">
        <v>35999</v>
      </c>
      <c r="G7718" s="18" t="str">
        <f>"64024"</f>
        <v>64024</v>
      </c>
      <c r="H7718" s="19" t="s">
        <v>36030</v>
      </c>
      <c r="I7718" s="20">
        <v>20.568999999999999</v>
      </c>
      <c r="J7718" s="44" t="s">
        <v>8</v>
      </c>
      <c r="K7718" s="23" t="s">
        <v>8</v>
      </c>
      <c r="L7718" s="23" t="s">
        <v>8</v>
      </c>
      <c r="M7718" s="23" t="s">
        <v>8</v>
      </c>
    </row>
    <row r="7719" spans="1:13" s="21" customFormat="1" x14ac:dyDescent="0.25">
      <c r="A7719" s="22" t="s">
        <v>8</v>
      </c>
      <c r="B7719" s="18" t="str">
        <f>"265822"</f>
        <v>265822</v>
      </c>
      <c r="C7719" s="19" t="s">
        <v>7606</v>
      </c>
      <c r="D7719" s="19" t="s">
        <v>23139</v>
      </c>
      <c r="E7719" s="19" t="s">
        <v>32565</v>
      </c>
      <c r="F7719" s="19" t="s">
        <v>35999</v>
      </c>
      <c r="G7719" s="18" t="str">
        <f>"64131"</f>
        <v>64131</v>
      </c>
      <c r="H7719" s="19" t="s">
        <v>30816</v>
      </c>
      <c r="I7719" s="20">
        <v>17.251000000000001</v>
      </c>
      <c r="J7719" s="44" t="s">
        <v>8</v>
      </c>
      <c r="K7719" s="23" t="s">
        <v>8</v>
      </c>
      <c r="L7719" s="23" t="s">
        <v>8</v>
      </c>
      <c r="M7719" s="23" t="s">
        <v>8</v>
      </c>
    </row>
    <row r="7720" spans="1:13" s="21" customFormat="1" x14ac:dyDescent="0.25">
      <c r="A7720" s="22" t="s">
        <v>8</v>
      </c>
      <c r="B7720" s="18" t="str">
        <f>"265823"</f>
        <v>265823</v>
      </c>
      <c r="C7720" s="19" t="s">
        <v>7607</v>
      </c>
      <c r="D7720" s="19" t="s">
        <v>23140</v>
      </c>
      <c r="E7720" s="19" t="s">
        <v>33588</v>
      </c>
      <c r="F7720" s="19" t="s">
        <v>35999</v>
      </c>
      <c r="G7720" s="18" t="str">
        <f>"63033"</f>
        <v>63033</v>
      </c>
      <c r="H7720" s="19" t="s">
        <v>33228</v>
      </c>
      <c r="I7720" s="20">
        <v>20.838000000000001</v>
      </c>
      <c r="J7720" s="44" t="s">
        <v>8</v>
      </c>
      <c r="K7720" s="23" t="s">
        <v>8</v>
      </c>
      <c r="L7720" s="23" t="s">
        <v>8</v>
      </c>
      <c r="M7720" s="23" t="s">
        <v>8</v>
      </c>
    </row>
    <row r="7721" spans="1:13" s="21" customFormat="1" x14ac:dyDescent="0.25">
      <c r="A7721" s="22" t="s">
        <v>8</v>
      </c>
      <c r="B7721" s="18" t="str">
        <f>"265824"</f>
        <v>265824</v>
      </c>
      <c r="C7721" s="19" t="s">
        <v>7608</v>
      </c>
      <c r="D7721" s="19" t="s">
        <v>23141</v>
      </c>
      <c r="E7721" s="19" t="s">
        <v>33681</v>
      </c>
      <c r="F7721" s="19" t="s">
        <v>35999</v>
      </c>
      <c r="G7721" s="18" t="str">
        <f>"63376"</f>
        <v>63376</v>
      </c>
      <c r="H7721" s="19" t="s">
        <v>33589</v>
      </c>
      <c r="I7721" s="20">
        <v>16.992999999999999</v>
      </c>
      <c r="J7721" s="44" t="s">
        <v>8</v>
      </c>
      <c r="K7721" s="23" t="s">
        <v>8</v>
      </c>
      <c r="L7721" s="23" t="s">
        <v>8</v>
      </c>
      <c r="M7721" s="23" t="s">
        <v>8</v>
      </c>
    </row>
    <row r="7722" spans="1:13" s="21" customFormat="1" x14ac:dyDescent="0.25">
      <c r="A7722" s="22" t="s">
        <v>8</v>
      </c>
      <c r="B7722" s="18" t="str">
        <f>"265825"</f>
        <v>265825</v>
      </c>
      <c r="C7722" s="19" t="s">
        <v>7609</v>
      </c>
      <c r="D7722" s="19" t="s">
        <v>23142</v>
      </c>
      <c r="E7722" s="19" t="s">
        <v>33727</v>
      </c>
      <c r="F7722" s="19" t="s">
        <v>35999</v>
      </c>
      <c r="G7722" s="18" t="str">
        <f>"63343"</f>
        <v>63343</v>
      </c>
      <c r="H7722" s="19" t="s">
        <v>31995</v>
      </c>
      <c r="I7722" s="20">
        <v>17.013999999999999</v>
      </c>
      <c r="J7722" s="44" t="s">
        <v>8</v>
      </c>
      <c r="K7722" s="23" t="s">
        <v>8</v>
      </c>
      <c r="L7722" s="23" t="s">
        <v>8</v>
      </c>
      <c r="M7722" s="23" t="s">
        <v>8</v>
      </c>
    </row>
    <row r="7723" spans="1:13" s="21" customFormat="1" x14ac:dyDescent="0.25">
      <c r="A7723" s="22" t="s">
        <v>8</v>
      </c>
      <c r="B7723" s="18" t="str">
        <f>"265826"</f>
        <v>265826</v>
      </c>
      <c r="C7723" s="19" t="s">
        <v>7610</v>
      </c>
      <c r="D7723" s="19" t="s">
        <v>23143</v>
      </c>
      <c r="E7723" s="19" t="s">
        <v>33728</v>
      </c>
      <c r="F7723" s="19" t="s">
        <v>35999</v>
      </c>
      <c r="G7723" s="18" t="str">
        <f>"63565"</f>
        <v>63565</v>
      </c>
      <c r="H7723" s="19" t="s">
        <v>31482</v>
      </c>
      <c r="I7723" s="20">
        <v>18.696999999999999</v>
      </c>
      <c r="J7723" s="44" t="s">
        <v>8</v>
      </c>
      <c r="K7723" s="23" t="s">
        <v>8</v>
      </c>
      <c r="L7723" s="23" t="s">
        <v>8</v>
      </c>
      <c r="M7723" s="23" t="s">
        <v>8</v>
      </c>
    </row>
    <row r="7724" spans="1:13" s="21" customFormat="1" x14ac:dyDescent="0.25">
      <c r="A7724" s="22" t="s">
        <v>8</v>
      </c>
      <c r="B7724" s="18" t="str">
        <f>"265827"</f>
        <v>265827</v>
      </c>
      <c r="C7724" s="19" t="s">
        <v>7611</v>
      </c>
      <c r="D7724" s="19" t="s">
        <v>23144</v>
      </c>
      <c r="E7724" s="19" t="s">
        <v>33627</v>
      </c>
      <c r="F7724" s="19" t="s">
        <v>35999</v>
      </c>
      <c r="G7724" s="18" t="str">
        <f>"64507"</f>
        <v>64507</v>
      </c>
      <c r="H7724" s="19" t="s">
        <v>31819</v>
      </c>
      <c r="I7724" s="20">
        <v>18.347000000000001</v>
      </c>
      <c r="J7724" s="44" t="s">
        <v>8</v>
      </c>
      <c r="K7724" s="23" t="s">
        <v>8</v>
      </c>
      <c r="L7724" s="23" t="s">
        <v>8</v>
      </c>
      <c r="M7724" s="23" t="s">
        <v>8</v>
      </c>
    </row>
    <row r="7725" spans="1:13" s="21" customFormat="1" x14ac:dyDescent="0.25">
      <c r="A7725" s="22" t="s">
        <v>8</v>
      </c>
      <c r="B7725" s="18" t="str">
        <f>"265828"</f>
        <v>265828</v>
      </c>
      <c r="C7725" s="19" t="s">
        <v>7612</v>
      </c>
      <c r="D7725" s="19" t="s">
        <v>23145</v>
      </c>
      <c r="E7725" s="19" t="s">
        <v>33228</v>
      </c>
      <c r="F7725" s="19" t="s">
        <v>35999</v>
      </c>
      <c r="G7725" s="18" t="str">
        <f>"63116"</f>
        <v>63116</v>
      </c>
      <c r="H7725" s="19" t="s">
        <v>36518</v>
      </c>
      <c r="I7725" s="20">
        <v>18.27</v>
      </c>
      <c r="J7725" s="44" t="s">
        <v>8</v>
      </c>
      <c r="K7725" s="23" t="s">
        <v>8</v>
      </c>
      <c r="L7725" s="23" t="s">
        <v>8</v>
      </c>
      <c r="M7725" s="23" t="s">
        <v>8</v>
      </c>
    </row>
    <row r="7726" spans="1:13" s="21" customFormat="1" x14ac:dyDescent="0.25">
      <c r="A7726" s="22" t="s">
        <v>8</v>
      </c>
      <c r="B7726" s="18" t="str">
        <f>"265829"</f>
        <v>265829</v>
      </c>
      <c r="C7726" s="19" t="s">
        <v>7613</v>
      </c>
      <c r="D7726" s="19" t="s">
        <v>23146</v>
      </c>
      <c r="E7726" s="19" t="s">
        <v>31037</v>
      </c>
      <c r="F7726" s="19" t="s">
        <v>35999</v>
      </c>
      <c r="G7726" s="18" t="str">
        <f>"63775"</f>
        <v>63775</v>
      </c>
      <c r="H7726" s="19" t="s">
        <v>31503</v>
      </c>
      <c r="I7726" s="20">
        <v>18.863</v>
      </c>
      <c r="J7726" s="44" t="s">
        <v>8</v>
      </c>
      <c r="K7726" s="23" t="s">
        <v>8</v>
      </c>
      <c r="L7726" s="23" t="s">
        <v>8</v>
      </c>
      <c r="M7726" s="23" t="s">
        <v>8</v>
      </c>
    </row>
    <row r="7727" spans="1:13" s="21" customFormat="1" x14ac:dyDescent="0.25">
      <c r="A7727" s="22" t="s">
        <v>8</v>
      </c>
      <c r="B7727" s="18" t="str">
        <f>"265830"</f>
        <v>265830</v>
      </c>
      <c r="C7727" s="19" t="s">
        <v>7614</v>
      </c>
      <c r="D7727" s="19" t="s">
        <v>23147</v>
      </c>
      <c r="E7727" s="19" t="s">
        <v>32565</v>
      </c>
      <c r="F7727" s="19" t="s">
        <v>35999</v>
      </c>
      <c r="G7727" s="18" t="str">
        <f>"64145"</f>
        <v>64145</v>
      </c>
      <c r="H7727" s="19" t="s">
        <v>30816</v>
      </c>
      <c r="I7727" s="20">
        <v>19.579000000000001</v>
      </c>
      <c r="J7727" s="44" t="s">
        <v>8</v>
      </c>
      <c r="K7727" s="23" t="s">
        <v>8</v>
      </c>
      <c r="L7727" s="23" t="s">
        <v>8</v>
      </c>
      <c r="M7727" s="23" t="s">
        <v>8</v>
      </c>
    </row>
    <row r="7728" spans="1:13" s="21" customFormat="1" x14ac:dyDescent="0.25">
      <c r="A7728" s="22" t="s">
        <v>8</v>
      </c>
      <c r="B7728" s="18" t="str">
        <f>"265831"</f>
        <v>265831</v>
      </c>
      <c r="C7728" s="19" t="s">
        <v>7615</v>
      </c>
      <c r="D7728" s="19" t="s">
        <v>23148</v>
      </c>
      <c r="E7728" s="19" t="s">
        <v>33729</v>
      </c>
      <c r="F7728" s="19" t="s">
        <v>35999</v>
      </c>
      <c r="G7728" s="18" t="str">
        <f>"63130"</f>
        <v>63130</v>
      </c>
      <c r="H7728" s="19" t="s">
        <v>33228</v>
      </c>
      <c r="I7728" s="20">
        <v>18.913</v>
      </c>
      <c r="J7728" s="44" t="s">
        <v>8</v>
      </c>
      <c r="K7728" s="23" t="s">
        <v>8</v>
      </c>
      <c r="L7728" s="23" t="s">
        <v>8</v>
      </c>
      <c r="M7728" s="23" t="s">
        <v>8</v>
      </c>
    </row>
    <row r="7729" spans="1:13" s="21" customFormat="1" x14ac:dyDescent="0.25">
      <c r="A7729" s="22" t="s">
        <v>8</v>
      </c>
      <c r="B7729" s="18" t="str">
        <f>"265832"</f>
        <v>265832</v>
      </c>
      <c r="C7729" s="19" t="s">
        <v>7616</v>
      </c>
      <c r="D7729" s="19" t="s">
        <v>22815</v>
      </c>
      <c r="E7729" s="19" t="s">
        <v>33640</v>
      </c>
      <c r="F7729" s="19" t="s">
        <v>35999</v>
      </c>
      <c r="G7729" s="18" t="str">
        <f>"63876"</f>
        <v>63876</v>
      </c>
      <c r="H7729" s="19" t="s">
        <v>36515</v>
      </c>
      <c r="I7729" s="20">
        <v>17.651</v>
      </c>
      <c r="J7729" s="44" t="s">
        <v>8</v>
      </c>
      <c r="K7729" s="23" t="s">
        <v>8</v>
      </c>
      <c r="L7729" s="23" t="s">
        <v>8</v>
      </c>
      <c r="M7729" s="23" t="s">
        <v>8</v>
      </c>
    </row>
    <row r="7730" spans="1:13" s="21" customFormat="1" x14ac:dyDescent="0.25">
      <c r="A7730" s="22" t="s">
        <v>8</v>
      </c>
      <c r="B7730" s="18" t="str">
        <f>"265833"</f>
        <v>265833</v>
      </c>
      <c r="C7730" s="19" t="s">
        <v>7617</v>
      </c>
      <c r="D7730" s="19" t="s">
        <v>23149</v>
      </c>
      <c r="E7730" s="19" t="s">
        <v>33730</v>
      </c>
      <c r="F7730" s="19" t="s">
        <v>35999</v>
      </c>
      <c r="G7730" s="18" t="str">
        <f>"63122"</f>
        <v>63122</v>
      </c>
      <c r="H7730" s="19" t="s">
        <v>33228</v>
      </c>
      <c r="I7730" s="20">
        <v>18.45</v>
      </c>
      <c r="J7730" s="44" t="s">
        <v>8</v>
      </c>
      <c r="K7730" s="23" t="s">
        <v>8</v>
      </c>
      <c r="L7730" s="23" t="s">
        <v>8</v>
      </c>
      <c r="M7730" s="23" t="s">
        <v>8</v>
      </c>
    </row>
    <row r="7731" spans="1:13" s="21" customFormat="1" x14ac:dyDescent="0.25">
      <c r="A7731" s="22" t="s">
        <v>8</v>
      </c>
      <c r="B7731" s="18" t="str">
        <f>"265834"</f>
        <v>265834</v>
      </c>
      <c r="C7731" s="19" t="s">
        <v>7618</v>
      </c>
      <c r="D7731" s="19" t="s">
        <v>23150</v>
      </c>
      <c r="E7731" s="19" t="s">
        <v>33731</v>
      </c>
      <c r="F7731" s="19" t="s">
        <v>35999</v>
      </c>
      <c r="G7731" s="18" t="str">
        <f>"63131"</f>
        <v>63131</v>
      </c>
      <c r="H7731" s="19" t="s">
        <v>33228</v>
      </c>
      <c r="I7731" s="20">
        <v>20.449000000000002</v>
      </c>
      <c r="J7731" s="44" t="s">
        <v>8</v>
      </c>
      <c r="K7731" s="23" t="s">
        <v>8</v>
      </c>
      <c r="L7731" s="23" t="s">
        <v>8</v>
      </c>
      <c r="M7731" s="23" t="s">
        <v>8</v>
      </c>
    </row>
    <row r="7732" spans="1:13" s="21" customFormat="1" x14ac:dyDescent="0.25">
      <c r="A7732" s="22" t="s">
        <v>8</v>
      </c>
      <c r="B7732" s="18" t="str">
        <f>"265835"</f>
        <v>265835</v>
      </c>
      <c r="C7732" s="19" t="s">
        <v>7619</v>
      </c>
      <c r="D7732" s="19" t="s">
        <v>23151</v>
      </c>
      <c r="E7732" s="19" t="s">
        <v>31717</v>
      </c>
      <c r="F7732" s="19" t="s">
        <v>35999</v>
      </c>
      <c r="G7732" s="18" t="str">
        <f>"65802"</f>
        <v>65802</v>
      </c>
      <c r="H7732" s="19" t="s">
        <v>32455</v>
      </c>
      <c r="I7732" s="20">
        <v>19.797000000000001</v>
      </c>
      <c r="J7732" s="44" t="s">
        <v>8</v>
      </c>
      <c r="K7732" s="23" t="s">
        <v>8</v>
      </c>
      <c r="L7732" s="23" t="s">
        <v>8</v>
      </c>
      <c r="M7732" s="23" t="s">
        <v>8</v>
      </c>
    </row>
    <row r="7733" spans="1:13" s="21" customFormat="1" x14ac:dyDescent="0.25">
      <c r="A7733" s="22" t="s">
        <v>8</v>
      </c>
      <c r="B7733" s="18" t="str">
        <f>"265836"</f>
        <v>265836</v>
      </c>
      <c r="C7733" s="19" t="s">
        <v>7620</v>
      </c>
      <c r="D7733" s="19" t="s">
        <v>23152</v>
      </c>
      <c r="E7733" s="19" t="s">
        <v>32082</v>
      </c>
      <c r="F7733" s="19" t="s">
        <v>35999</v>
      </c>
      <c r="G7733" s="18" t="str">
        <f>"64468"</f>
        <v>64468</v>
      </c>
      <c r="H7733" s="19" t="s">
        <v>36509</v>
      </c>
      <c r="I7733" s="20">
        <v>18.760000000000002</v>
      </c>
      <c r="J7733" s="44" t="s">
        <v>8</v>
      </c>
      <c r="K7733" s="23" t="s">
        <v>8</v>
      </c>
      <c r="L7733" s="23" t="s">
        <v>8</v>
      </c>
      <c r="M7733" s="23" t="s">
        <v>8</v>
      </c>
    </row>
    <row r="7734" spans="1:13" s="21" customFormat="1" x14ac:dyDescent="0.25">
      <c r="A7734" s="22" t="s">
        <v>8</v>
      </c>
      <c r="B7734" s="18" t="str">
        <f>"265837"</f>
        <v>265837</v>
      </c>
      <c r="C7734" s="19" t="s">
        <v>7621</v>
      </c>
      <c r="D7734" s="19" t="s">
        <v>23153</v>
      </c>
      <c r="E7734" s="19" t="s">
        <v>33603</v>
      </c>
      <c r="F7734" s="19" t="s">
        <v>35999</v>
      </c>
      <c r="G7734" s="18" t="str">
        <f>"65109"</f>
        <v>65109</v>
      </c>
      <c r="H7734" s="19" t="s">
        <v>36516</v>
      </c>
      <c r="I7734" s="20">
        <v>18.562999999999999</v>
      </c>
      <c r="J7734" s="44" t="s">
        <v>8</v>
      </c>
      <c r="K7734" s="23" t="s">
        <v>8</v>
      </c>
      <c r="L7734" s="23" t="s">
        <v>8</v>
      </c>
      <c r="M7734" s="23" t="s">
        <v>8</v>
      </c>
    </row>
    <row r="7735" spans="1:13" s="21" customFormat="1" x14ac:dyDescent="0.25">
      <c r="A7735" s="22" t="s">
        <v>8</v>
      </c>
      <c r="B7735" s="18" t="str">
        <f>"265838"</f>
        <v>265838</v>
      </c>
      <c r="C7735" s="19" t="s">
        <v>7622</v>
      </c>
      <c r="D7735" s="19" t="s">
        <v>23154</v>
      </c>
      <c r="E7735" s="19" t="s">
        <v>33588</v>
      </c>
      <c r="F7735" s="19" t="s">
        <v>35999</v>
      </c>
      <c r="G7735" s="18" t="str">
        <f>"63033"</f>
        <v>63033</v>
      </c>
      <c r="H7735" s="19" t="s">
        <v>33228</v>
      </c>
      <c r="I7735" s="20">
        <v>16.998000000000001</v>
      </c>
      <c r="J7735" s="44" t="s">
        <v>8</v>
      </c>
      <c r="K7735" s="23" t="s">
        <v>8</v>
      </c>
      <c r="L7735" s="23" t="s">
        <v>8</v>
      </c>
      <c r="M7735" s="23" t="s">
        <v>8</v>
      </c>
    </row>
    <row r="7736" spans="1:13" s="21" customFormat="1" x14ac:dyDescent="0.25">
      <c r="A7736" s="22" t="s">
        <v>8</v>
      </c>
      <c r="B7736" s="18" t="str">
        <f>"265839"</f>
        <v>265839</v>
      </c>
      <c r="C7736" s="19" t="s">
        <v>7623</v>
      </c>
      <c r="D7736" s="19" t="s">
        <v>23155</v>
      </c>
      <c r="E7736" s="19" t="s">
        <v>33621</v>
      </c>
      <c r="F7736" s="19" t="s">
        <v>35999</v>
      </c>
      <c r="G7736" s="18" t="str">
        <f>"63366"</f>
        <v>63366</v>
      </c>
      <c r="H7736" s="19" t="s">
        <v>33589</v>
      </c>
      <c r="I7736" s="20">
        <v>20.068999999999999</v>
      </c>
      <c r="J7736" s="44" t="s">
        <v>8</v>
      </c>
      <c r="K7736" s="23" t="s">
        <v>8</v>
      </c>
      <c r="L7736" s="23" t="s">
        <v>8</v>
      </c>
      <c r="M7736" s="23" t="s">
        <v>8</v>
      </c>
    </row>
    <row r="7737" spans="1:13" s="21" customFormat="1" x14ac:dyDescent="0.25">
      <c r="A7737" s="22" t="s">
        <v>8</v>
      </c>
      <c r="B7737" s="18" t="str">
        <f>"265840"</f>
        <v>265840</v>
      </c>
      <c r="C7737" s="19" t="s">
        <v>7624</v>
      </c>
      <c r="D7737" s="19" t="s">
        <v>23156</v>
      </c>
      <c r="E7737" s="19" t="s">
        <v>32076</v>
      </c>
      <c r="F7737" s="19" t="s">
        <v>35999</v>
      </c>
      <c r="G7737" s="18" t="str">
        <f>"65201"</f>
        <v>65201</v>
      </c>
      <c r="H7737" s="19" t="s">
        <v>32513</v>
      </c>
      <c r="I7737" s="20">
        <v>17.661000000000001</v>
      </c>
      <c r="J7737" s="44" t="s">
        <v>8</v>
      </c>
      <c r="K7737" s="23" t="s">
        <v>8</v>
      </c>
      <c r="L7737" s="23" t="s">
        <v>8</v>
      </c>
      <c r="M7737" s="23" t="s">
        <v>8</v>
      </c>
    </row>
    <row r="7738" spans="1:13" s="21" customFormat="1" x14ac:dyDescent="0.25">
      <c r="A7738" s="22" t="s">
        <v>8</v>
      </c>
      <c r="B7738" s="18" t="str">
        <f>"265841"</f>
        <v>265841</v>
      </c>
      <c r="C7738" s="19" t="s">
        <v>7625</v>
      </c>
      <c r="D7738" s="19" t="s">
        <v>23157</v>
      </c>
      <c r="E7738" s="19" t="s">
        <v>33730</v>
      </c>
      <c r="F7738" s="19" t="s">
        <v>35999</v>
      </c>
      <c r="G7738" s="18" t="str">
        <f>"63122"</f>
        <v>63122</v>
      </c>
      <c r="H7738" s="19" t="s">
        <v>33228</v>
      </c>
      <c r="I7738" s="20">
        <v>19.673999999999999</v>
      </c>
      <c r="J7738" s="44" t="s">
        <v>8</v>
      </c>
      <c r="K7738" s="23" t="s">
        <v>8</v>
      </c>
      <c r="L7738" s="23" t="s">
        <v>8</v>
      </c>
      <c r="M7738" s="23" t="s">
        <v>8</v>
      </c>
    </row>
    <row r="7739" spans="1:13" s="21" customFormat="1" x14ac:dyDescent="0.25">
      <c r="A7739" s="22" t="s">
        <v>8</v>
      </c>
      <c r="B7739" s="18" t="str">
        <f>"265842"</f>
        <v>265842</v>
      </c>
      <c r="C7739" s="19" t="s">
        <v>7626</v>
      </c>
      <c r="D7739" s="19" t="s">
        <v>23158</v>
      </c>
      <c r="E7739" s="19" t="s">
        <v>33609</v>
      </c>
      <c r="F7739" s="19" t="s">
        <v>35999</v>
      </c>
      <c r="G7739" s="18" t="str">
        <f>"63044"</f>
        <v>63044</v>
      </c>
      <c r="H7739" s="19" t="s">
        <v>33228</v>
      </c>
      <c r="I7739" s="20">
        <v>18.722999999999999</v>
      </c>
      <c r="J7739" s="44" t="s">
        <v>8</v>
      </c>
      <c r="K7739" s="23" t="s">
        <v>8</v>
      </c>
      <c r="L7739" s="23" t="s">
        <v>8</v>
      </c>
      <c r="M7739" s="23" t="s">
        <v>8</v>
      </c>
    </row>
    <row r="7740" spans="1:13" s="21" customFormat="1" x14ac:dyDescent="0.25">
      <c r="A7740" s="22" t="s">
        <v>8</v>
      </c>
      <c r="B7740" s="18" t="str">
        <f>"265843"</f>
        <v>265843</v>
      </c>
      <c r="C7740" s="19" t="s">
        <v>7627</v>
      </c>
      <c r="D7740" s="19" t="s">
        <v>23159</v>
      </c>
      <c r="E7740" s="19" t="s">
        <v>33732</v>
      </c>
      <c r="F7740" s="19" t="s">
        <v>35999</v>
      </c>
      <c r="G7740" s="18" t="str">
        <f>"64724"</f>
        <v>64724</v>
      </c>
      <c r="H7740" s="19" t="s">
        <v>33662</v>
      </c>
      <c r="I7740" s="20">
        <v>19.297999999999998</v>
      </c>
      <c r="J7740" s="44" t="s">
        <v>8</v>
      </c>
      <c r="K7740" s="23" t="s">
        <v>8</v>
      </c>
      <c r="L7740" s="23" t="s">
        <v>8</v>
      </c>
      <c r="M7740" s="23" t="s">
        <v>8</v>
      </c>
    </row>
    <row r="7741" spans="1:13" s="21" customFormat="1" x14ac:dyDescent="0.25">
      <c r="A7741" s="22" t="s">
        <v>8</v>
      </c>
      <c r="B7741" s="18" t="str">
        <f>"265844"</f>
        <v>265844</v>
      </c>
      <c r="C7741" s="19" t="s">
        <v>7628</v>
      </c>
      <c r="D7741" s="19" t="s">
        <v>23160</v>
      </c>
      <c r="E7741" s="19" t="s">
        <v>33616</v>
      </c>
      <c r="F7741" s="19" t="s">
        <v>35999</v>
      </c>
      <c r="G7741" s="18" t="str">
        <f>"65401"</f>
        <v>65401</v>
      </c>
      <c r="H7741" s="19" t="s">
        <v>32722</v>
      </c>
      <c r="I7741" s="20">
        <v>19.663</v>
      </c>
      <c r="J7741" s="44" t="s">
        <v>8</v>
      </c>
      <c r="K7741" s="23" t="s">
        <v>8</v>
      </c>
      <c r="L7741" s="23" t="s">
        <v>8</v>
      </c>
      <c r="M7741" s="23" t="s">
        <v>8</v>
      </c>
    </row>
    <row r="7742" spans="1:13" s="21" customFormat="1" x14ac:dyDescent="0.25">
      <c r="A7742" s="22" t="s">
        <v>8</v>
      </c>
      <c r="B7742" s="18" t="str">
        <f>"265845"</f>
        <v>265845</v>
      </c>
      <c r="C7742" s="19" t="s">
        <v>7629</v>
      </c>
      <c r="D7742" s="19" t="s">
        <v>23161</v>
      </c>
      <c r="E7742" s="19" t="s">
        <v>32565</v>
      </c>
      <c r="F7742" s="19" t="s">
        <v>35999</v>
      </c>
      <c r="G7742" s="18" t="str">
        <f>"64139"</f>
        <v>64139</v>
      </c>
      <c r="H7742" s="19" t="s">
        <v>30816</v>
      </c>
      <c r="I7742" s="20">
        <v>18.445</v>
      </c>
      <c r="J7742" s="44" t="s">
        <v>8</v>
      </c>
      <c r="K7742" s="23" t="s">
        <v>8</v>
      </c>
      <c r="L7742" s="23" t="s">
        <v>8</v>
      </c>
      <c r="M7742" s="23" t="s">
        <v>8</v>
      </c>
    </row>
    <row r="7743" spans="1:13" s="21" customFormat="1" x14ac:dyDescent="0.25">
      <c r="A7743" s="22" t="s">
        <v>8</v>
      </c>
      <c r="B7743" s="18" t="str">
        <f>"265846"</f>
        <v>265846</v>
      </c>
      <c r="C7743" s="19" t="s">
        <v>7630</v>
      </c>
      <c r="D7743" s="19" t="s">
        <v>23162</v>
      </c>
      <c r="E7743" s="19" t="s">
        <v>31719</v>
      </c>
      <c r="F7743" s="19" t="s">
        <v>35999</v>
      </c>
      <c r="G7743" s="18" t="str">
        <f>"64485"</f>
        <v>64485</v>
      </c>
      <c r="H7743" s="19" t="s">
        <v>36531</v>
      </c>
      <c r="I7743" s="20">
        <v>18.306999999999999</v>
      </c>
      <c r="J7743" s="44" t="s">
        <v>8</v>
      </c>
      <c r="K7743" s="23" t="s">
        <v>8</v>
      </c>
      <c r="L7743" s="23" t="s">
        <v>8</v>
      </c>
      <c r="M7743" s="23" t="s">
        <v>8</v>
      </c>
    </row>
    <row r="7744" spans="1:13" s="21" customFormat="1" x14ac:dyDescent="0.25">
      <c r="A7744" s="22" t="s">
        <v>8</v>
      </c>
      <c r="B7744" s="18" t="str">
        <f>"265847"</f>
        <v>265847</v>
      </c>
      <c r="C7744" s="19" t="s">
        <v>7631</v>
      </c>
      <c r="D7744" s="19" t="s">
        <v>23163</v>
      </c>
      <c r="E7744" s="19" t="s">
        <v>33624</v>
      </c>
      <c r="F7744" s="19" t="s">
        <v>35999</v>
      </c>
      <c r="G7744" s="18" t="str">
        <f>"65738"</f>
        <v>65738</v>
      </c>
      <c r="H7744" s="19" t="s">
        <v>32455</v>
      </c>
      <c r="I7744" s="20">
        <v>20.321000000000002</v>
      </c>
      <c r="J7744" s="44" t="s">
        <v>8</v>
      </c>
      <c r="K7744" s="23" t="s">
        <v>8</v>
      </c>
      <c r="L7744" s="23" t="s">
        <v>8</v>
      </c>
      <c r="M7744" s="23" t="s">
        <v>8</v>
      </c>
    </row>
    <row r="7745" spans="1:13" s="21" customFormat="1" x14ac:dyDescent="0.25">
      <c r="A7745" s="22" t="s">
        <v>8</v>
      </c>
      <c r="B7745" s="18" t="str">
        <f>"265848"</f>
        <v>265848</v>
      </c>
      <c r="C7745" s="19" t="s">
        <v>7632</v>
      </c>
      <c r="D7745" s="19" t="s">
        <v>23164</v>
      </c>
      <c r="E7745" s="19" t="s">
        <v>33600</v>
      </c>
      <c r="F7745" s="19" t="s">
        <v>35999</v>
      </c>
      <c r="G7745" s="18" t="str">
        <f>"64804"</f>
        <v>64804</v>
      </c>
      <c r="H7745" s="19" t="s">
        <v>30854</v>
      </c>
      <c r="I7745" s="20">
        <v>18.684999999999999</v>
      </c>
      <c r="J7745" s="44" t="s">
        <v>8</v>
      </c>
      <c r="K7745" s="23" t="s">
        <v>8</v>
      </c>
      <c r="L7745" s="23" t="s">
        <v>8</v>
      </c>
      <c r="M7745" s="23" t="s">
        <v>8</v>
      </c>
    </row>
    <row r="7746" spans="1:13" s="21" customFormat="1" x14ac:dyDescent="0.25">
      <c r="A7746" s="22" t="s">
        <v>8</v>
      </c>
      <c r="B7746" s="18" t="str">
        <f>"265849"</f>
        <v>265849</v>
      </c>
      <c r="C7746" s="19" t="s">
        <v>7633</v>
      </c>
      <c r="D7746" s="19" t="s">
        <v>23165</v>
      </c>
      <c r="E7746" s="19" t="s">
        <v>33228</v>
      </c>
      <c r="F7746" s="19" t="s">
        <v>35999</v>
      </c>
      <c r="G7746" s="18" t="str">
        <f>"63124"</f>
        <v>63124</v>
      </c>
      <c r="H7746" s="19" t="s">
        <v>33228</v>
      </c>
      <c r="I7746" s="20">
        <v>16.533999999999999</v>
      </c>
      <c r="J7746" s="44" t="s">
        <v>8</v>
      </c>
      <c r="K7746" s="23" t="s">
        <v>8</v>
      </c>
      <c r="L7746" s="23" t="s">
        <v>8</v>
      </c>
      <c r="M7746" s="23" t="s">
        <v>8</v>
      </c>
    </row>
    <row r="7747" spans="1:13" s="21" customFormat="1" x14ac:dyDescent="0.25">
      <c r="A7747" s="22" t="s">
        <v>8</v>
      </c>
      <c r="B7747" s="18" t="str">
        <f>"265850"</f>
        <v>265850</v>
      </c>
      <c r="C7747" s="19" t="s">
        <v>7634</v>
      </c>
      <c r="D7747" s="19" t="s">
        <v>23166</v>
      </c>
      <c r="E7747" s="19" t="s">
        <v>32565</v>
      </c>
      <c r="F7747" s="19" t="s">
        <v>35999</v>
      </c>
      <c r="G7747" s="18" t="str">
        <f>"64139"</f>
        <v>64139</v>
      </c>
      <c r="H7747" s="19" t="s">
        <v>30816</v>
      </c>
      <c r="I7747" s="20">
        <v>18.423999999999999</v>
      </c>
      <c r="J7747" s="44" t="s">
        <v>8</v>
      </c>
      <c r="K7747" s="23" t="s">
        <v>8</v>
      </c>
      <c r="L7747" s="23" t="s">
        <v>8</v>
      </c>
      <c r="M7747" s="23" t="s">
        <v>8</v>
      </c>
    </row>
    <row r="7748" spans="1:13" s="21" customFormat="1" x14ac:dyDescent="0.25">
      <c r="A7748" s="22" t="s">
        <v>8</v>
      </c>
      <c r="B7748" s="18" t="str">
        <f>"265851"</f>
        <v>265851</v>
      </c>
      <c r="C7748" s="19" t="s">
        <v>7635</v>
      </c>
      <c r="D7748" s="19" t="s">
        <v>23167</v>
      </c>
      <c r="E7748" s="19" t="s">
        <v>33616</v>
      </c>
      <c r="F7748" s="19" t="s">
        <v>35999</v>
      </c>
      <c r="G7748" s="18" t="str">
        <f>"65401"</f>
        <v>65401</v>
      </c>
      <c r="H7748" s="19" t="s">
        <v>32722</v>
      </c>
      <c r="I7748" s="20">
        <v>19.878</v>
      </c>
      <c r="J7748" s="44" t="s">
        <v>8</v>
      </c>
      <c r="K7748" s="23" t="s">
        <v>8</v>
      </c>
      <c r="L7748" s="23" t="s">
        <v>8</v>
      </c>
      <c r="M7748" s="23" t="s">
        <v>8</v>
      </c>
    </row>
    <row r="7749" spans="1:13" s="21" customFormat="1" x14ac:dyDescent="0.25">
      <c r="A7749" s="22" t="s">
        <v>8</v>
      </c>
      <c r="B7749" s="18" t="str">
        <f>"265852"</f>
        <v>265852</v>
      </c>
      <c r="C7749" s="19" t="s">
        <v>7636</v>
      </c>
      <c r="D7749" s="19" t="s">
        <v>23168</v>
      </c>
      <c r="E7749" s="19" t="s">
        <v>33627</v>
      </c>
      <c r="F7749" s="19" t="s">
        <v>35999</v>
      </c>
      <c r="G7749" s="18" t="str">
        <f>"64501"</f>
        <v>64501</v>
      </c>
      <c r="H7749" s="19" t="s">
        <v>31819</v>
      </c>
      <c r="I7749" s="20">
        <v>19.003</v>
      </c>
      <c r="J7749" s="44" t="s">
        <v>8</v>
      </c>
      <c r="K7749" s="23" t="s">
        <v>8</v>
      </c>
      <c r="L7749" s="23" t="s">
        <v>8</v>
      </c>
      <c r="M7749" s="23" t="s">
        <v>8</v>
      </c>
    </row>
    <row r="7750" spans="1:13" s="21" customFormat="1" x14ac:dyDescent="0.25">
      <c r="A7750" s="22" t="s">
        <v>8</v>
      </c>
      <c r="B7750" s="18" t="str">
        <f>"265853"</f>
        <v>265853</v>
      </c>
      <c r="C7750" s="19" t="s">
        <v>7637</v>
      </c>
      <c r="D7750" s="19" t="s">
        <v>23169</v>
      </c>
      <c r="E7750" s="19" t="s">
        <v>33600</v>
      </c>
      <c r="F7750" s="19" t="s">
        <v>35999</v>
      </c>
      <c r="G7750" s="18" t="str">
        <f>"64804"</f>
        <v>64804</v>
      </c>
      <c r="H7750" s="19" t="s">
        <v>30854</v>
      </c>
      <c r="I7750" s="20">
        <v>18.881</v>
      </c>
      <c r="J7750" s="44" t="s">
        <v>8</v>
      </c>
      <c r="K7750" s="23" t="s">
        <v>8</v>
      </c>
      <c r="L7750" s="23" t="s">
        <v>8</v>
      </c>
      <c r="M7750" s="23" t="s">
        <v>8</v>
      </c>
    </row>
    <row r="7751" spans="1:13" s="21" customFormat="1" x14ac:dyDescent="0.25">
      <c r="A7751" s="22" t="s">
        <v>8</v>
      </c>
      <c r="B7751" s="18" t="s">
        <v>15291</v>
      </c>
      <c r="C7751" s="19" t="s">
        <v>7638</v>
      </c>
      <c r="D7751" s="19" t="s">
        <v>23170</v>
      </c>
      <c r="E7751" s="19" t="s">
        <v>31030</v>
      </c>
      <c r="F7751" s="19" t="s">
        <v>36000</v>
      </c>
      <c r="G7751" s="18" t="str">
        <f>"59601"</f>
        <v>59601</v>
      </c>
      <c r="H7751" s="19" t="s">
        <v>36532</v>
      </c>
      <c r="I7751" s="20">
        <v>18.824000000000002</v>
      </c>
      <c r="J7751" s="44" t="s">
        <v>8</v>
      </c>
      <c r="K7751" s="23" t="s">
        <v>8</v>
      </c>
      <c r="L7751" s="23" t="s">
        <v>8</v>
      </c>
      <c r="M7751" s="23" t="s">
        <v>8</v>
      </c>
    </row>
    <row r="7752" spans="1:13" s="21" customFormat="1" x14ac:dyDescent="0.25">
      <c r="A7752" s="22" t="s">
        <v>8</v>
      </c>
      <c r="B7752" s="18" t="s">
        <v>15292</v>
      </c>
      <c r="C7752" s="19" t="s">
        <v>7639</v>
      </c>
      <c r="D7752" s="19" t="s">
        <v>23171</v>
      </c>
      <c r="E7752" s="19" t="s">
        <v>33733</v>
      </c>
      <c r="F7752" s="19" t="s">
        <v>36000</v>
      </c>
      <c r="G7752" s="18" t="str">
        <f>"59501"</f>
        <v>59501</v>
      </c>
      <c r="H7752" s="19" t="s">
        <v>36533</v>
      </c>
      <c r="I7752" s="20">
        <v>19.149000000000001</v>
      </c>
      <c r="J7752" s="44" t="s">
        <v>8</v>
      </c>
      <c r="K7752" s="23" t="s">
        <v>8</v>
      </c>
      <c r="L7752" s="23" t="s">
        <v>8</v>
      </c>
      <c r="M7752" s="23" t="s">
        <v>8</v>
      </c>
    </row>
    <row r="7753" spans="1:13" s="21" customFormat="1" x14ac:dyDescent="0.25">
      <c r="A7753" s="22" t="s">
        <v>8</v>
      </c>
      <c r="B7753" s="18" t="str">
        <f>"275012"</f>
        <v>275012</v>
      </c>
      <c r="C7753" s="19" t="s">
        <v>7640</v>
      </c>
      <c r="D7753" s="19" t="s">
        <v>23172</v>
      </c>
      <c r="E7753" s="19" t="s">
        <v>33734</v>
      </c>
      <c r="F7753" s="19" t="s">
        <v>36000</v>
      </c>
      <c r="G7753" s="18" t="str">
        <f>"59405"</f>
        <v>59405</v>
      </c>
      <c r="H7753" s="19" t="s">
        <v>32539</v>
      </c>
      <c r="I7753" s="20">
        <v>14.077999999999999</v>
      </c>
      <c r="J7753" s="44" t="s">
        <v>8</v>
      </c>
      <c r="K7753" s="23" t="s">
        <v>8</v>
      </c>
      <c r="L7753" s="23" t="s">
        <v>8</v>
      </c>
      <c r="M7753" s="23" t="s">
        <v>8</v>
      </c>
    </row>
    <row r="7754" spans="1:13" s="21" customFormat="1" x14ac:dyDescent="0.25">
      <c r="A7754" s="22" t="s">
        <v>8</v>
      </c>
      <c r="B7754" s="18" t="str">
        <f>"275020"</f>
        <v>275020</v>
      </c>
      <c r="C7754" s="19" t="s">
        <v>7641</v>
      </c>
      <c r="D7754" s="19" t="s">
        <v>23173</v>
      </c>
      <c r="E7754" s="19" t="s">
        <v>33735</v>
      </c>
      <c r="F7754" s="19" t="s">
        <v>36000</v>
      </c>
      <c r="G7754" s="18" t="str">
        <f>"59102"</f>
        <v>59102</v>
      </c>
      <c r="H7754" s="19" t="s">
        <v>36534</v>
      </c>
      <c r="I7754" s="20">
        <v>14.355</v>
      </c>
      <c r="J7754" s="44" t="s">
        <v>8</v>
      </c>
      <c r="K7754" s="23" t="s">
        <v>8</v>
      </c>
      <c r="L7754" s="23" t="s">
        <v>8</v>
      </c>
      <c r="M7754" s="23" t="s">
        <v>8</v>
      </c>
    </row>
    <row r="7755" spans="1:13" s="21" customFormat="1" x14ac:dyDescent="0.25">
      <c r="A7755" s="22" t="s">
        <v>8</v>
      </c>
      <c r="B7755" s="18" t="str">
        <f>"275021"</f>
        <v>275021</v>
      </c>
      <c r="C7755" s="19" t="s">
        <v>7642</v>
      </c>
      <c r="D7755" s="19" t="s">
        <v>23174</v>
      </c>
      <c r="E7755" s="19" t="s">
        <v>32120</v>
      </c>
      <c r="F7755" s="19" t="s">
        <v>36000</v>
      </c>
      <c r="G7755" s="18" t="str">
        <f>"59457"</f>
        <v>59457</v>
      </c>
      <c r="H7755" s="19" t="s">
        <v>36535</v>
      </c>
      <c r="I7755" s="20">
        <v>17.786000000000001</v>
      </c>
      <c r="J7755" s="44" t="s">
        <v>8</v>
      </c>
      <c r="K7755" s="23" t="s">
        <v>8</v>
      </c>
      <c r="L7755" s="23" t="s">
        <v>8</v>
      </c>
      <c r="M7755" s="23" t="s">
        <v>8</v>
      </c>
    </row>
    <row r="7756" spans="1:13" s="21" customFormat="1" x14ac:dyDescent="0.25">
      <c r="A7756" s="22" t="s">
        <v>8</v>
      </c>
      <c r="B7756" s="18" t="str">
        <f>"275024"</f>
        <v>275024</v>
      </c>
      <c r="C7756" s="19" t="s">
        <v>7643</v>
      </c>
      <c r="D7756" s="19" t="s">
        <v>23175</v>
      </c>
      <c r="E7756" s="19" t="s">
        <v>33735</v>
      </c>
      <c r="F7756" s="19" t="s">
        <v>36000</v>
      </c>
      <c r="G7756" s="18" t="str">
        <f>"59102"</f>
        <v>59102</v>
      </c>
      <c r="H7756" s="19" t="s">
        <v>36534</v>
      </c>
      <c r="I7756" s="20">
        <v>15.548999999999999</v>
      </c>
      <c r="J7756" s="44" t="s">
        <v>8</v>
      </c>
      <c r="K7756" s="23" t="s">
        <v>8</v>
      </c>
      <c r="L7756" s="23" t="s">
        <v>8</v>
      </c>
      <c r="M7756" s="23" t="s">
        <v>8</v>
      </c>
    </row>
    <row r="7757" spans="1:13" s="21" customFormat="1" x14ac:dyDescent="0.25">
      <c r="A7757" s="22" t="s">
        <v>8</v>
      </c>
      <c r="B7757" s="18" t="str">
        <f>"275025"</f>
        <v>275025</v>
      </c>
      <c r="C7757" s="19" t="s">
        <v>7644</v>
      </c>
      <c r="D7757" s="19" t="s">
        <v>23176</v>
      </c>
      <c r="E7757" s="19" t="s">
        <v>33736</v>
      </c>
      <c r="F7757" s="19" t="s">
        <v>36000</v>
      </c>
      <c r="G7757" s="18" t="str">
        <f>"59901"</f>
        <v>59901</v>
      </c>
      <c r="H7757" s="19" t="s">
        <v>36536</v>
      </c>
      <c r="I7757" s="20">
        <v>16.337</v>
      </c>
      <c r="J7757" s="44" t="s">
        <v>8</v>
      </c>
      <c r="K7757" s="23" t="s">
        <v>8</v>
      </c>
      <c r="L7757" s="23" t="s">
        <v>8</v>
      </c>
      <c r="M7757" s="23" t="s">
        <v>8</v>
      </c>
    </row>
    <row r="7758" spans="1:13" s="21" customFormat="1" x14ac:dyDescent="0.25">
      <c r="A7758" s="22" t="s">
        <v>8</v>
      </c>
      <c r="B7758" s="18" t="str">
        <f>"275026"</f>
        <v>275026</v>
      </c>
      <c r="C7758" s="19" t="s">
        <v>7645</v>
      </c>
      <c r="D7758" s="19" t="s">
        <v>23177</v>
      </c>
      <c r="E7758" s="19" t="s">
        <v>33734</v>
      </c>
      <c r="F7758" s="19" t="s">
        <v>36000</v>
      </c>
      <c r="G7758" s="18" t="str">
        <f>"59405"</f>
        <v>59405</v>
      </c>
      <c r="H7758" s="19" t="s">
        <v>32539</v>
      </c>
      <c r="I7758" s="20">
        <v>18.712</v>
      </c>
      <c r="J7758" s="44" t="s">
        <v>8</v>
      </c>
      <c r="K7758" s="23" t="s">
        <v>8</v>
      </c>
      <c r="L7758" s="23" t="s">
        <v>8</v>
      </c>
      <c r="M7758" s="23" t="s">
        <v>8</v>
      </c>
    </row>
    <row r="7759" spans="1:13" s="21" customFormat="1" x14ac:dyDescent="0.25">
      <c r="A7759" s="22" t="s">
        <v>8</v>
      </c>
      <c r="B7759" s="18" t="str">
        <f>"275027"</f>
        <v>275027</v>
      </c>
      <c r="C7759" s="19" t="s">
        <v>7646</v>
      </c>
      <c r="D7759" s="19" t="s">
        <v>23178</v>
      </c>
      <c r="E7759" s="19" t="s">
        <v>33737</v>
      </c>
      <c r="F7759" s="19" t="s">
        <v>36000</v>
      </c>
      <c r="G7759" s="18" t="str">
        <f>"59803"</f>
        <v>59803</v>
      </c>
      <c r="H7759" s="19" t="s">
        <v>33737</v>
      </c>
      <c r="I7759" s="20">
        <v>18.282</v>
      </c>
      <c r="J7759" s="44" t="s">
        <v>8</v>
      </c>
      <c r="K7759" s="23" t="s">
        <v>8</v>
      </c>
      <c r="L7759" s="23" t="s">
        <v>8</v>
      </c>
      <c r="M7759" s="23" t="s">
        <v>8</v>
      </c>
    </row>
    <row r="7760" spans="1:13" s="21" customFormat="1" x14ac:dyDescent="0.25">
      <c r="A7760" s="22" t="s">
        <v>8</v>
      </c>
      <c r="B7760" s="18" t="str">
        <f>"275029"</f>
        <v>275029</v>
      </c>
      <c r="C7760" s="19" t="s">
        <v>7647</v>
      </c>
      <c r="D7760" s="19" t="s">
        <v>23179</v>
      </c>
      <c r="E7760" s="19" t="s">
        <v>33735</v>
      </c>
      <c r="F7760" s="19" t="s">
        <v>36000</v>
      </c>
      <c r="G7760" s="18" t="str">
        <f>"59102"</f>
        <v>59102</v>
      </c>
      <c r="H7760" s="19" t="s">
        <v>36534</v>
      </c>
      <c r="I7760" s="20">
        <v>16.754999999999999</v>
      </c>
      <c r="J7760" s="44" t="s">
        <v>8</v>
      </c>
      <c r="K7760" s="23" t="s">
        <v>8</v>
      </c>
      <c r="L7760" s="23" t="s">
        <v>8</v>
      </c>
      <c r="M7760" s="23" t="s">
        <v>8</v>
      </c>
    </row>
    <row r="7761" spans="1:13" s="21" customFormat="1" x14ac:dyDescent="0.25">
      <c r="A7761" s="22" t="s">
        <v>8</v>
      </c>
      <c r="B7761" s="18" t="str">
        <f>"275030"</f>
        <v>275030</v>
      </c>
      <c r="C7761" s="19" t="s">
        <v>7648</v>
      </c>
      <c r="D7761" s="19" t="s">
        <v>23180</v>
      </c>
      <c r="E7761" s="19" t="s">
        <v>33734</v>
      </c>
      <c r="F7761" s="19" t="s">
        <v>36000</v>
      </c>
      <c r="G7761" s="18" t="str">
        <f>"59405"</f>
        <v>59405</v>
      </c>
      <c r="H7761" s="19" t="s">
        <v>32539</v>
      </c>
      <c r="I7761" s="20">
        <v>15.895</v>
      </c>
      <c r="J7761" s="44" t="s">
        <v>8</v>
      </c>
      <c r="K7761" s="23" t="s">
        <v>8</v>
      </c>
      <c r="L7761" s="23" t="s">
        <v>8</v>
      </c>
      <c r="M7761" s="23" t="s">
        <v>8</v>
      </c>
    </row>
    <row r="7762" spans="1:13" s="21" customFormat="1" x14ac:dyDescent="0.25">
      <c r="A7762" s="22" t="s">
        <v>8</v>
      </c>
      <c r="B7762" s="18" t="str">
        <f>"275035"</f>
        <v>275035</v>
      </c>
      <c r="C7762" s="19" t="s">
        <v>7649</v>
      </c>
      <c r="D7762" s="19" t="s">
        <v>23181</v>
      </c>
      <c r="E7762" s="19" t="s">
        <v>33737</v>
      </c>
      <c r="F7762" s="19" t="s">
        <v>36000</v>
      </c>
      <c r="G7762" s="18" t="str">
        <f>"59802"</f>
        <v>59802</v>
      </c>
      <c r="H7762" s="19" t="s">
        <v>33737</v>
      </c>
      <c r="I7762" s="20">
        <v>16.795000000000002</v>
      </c>
      <c r="J7762" s="44" t="s">
        <v>8</v>
      </c>
      <c r="K7762" s="23" t="s">
        <v>8</v>
      </c>
      <c r="L7762" s="23" t="s">
        <v>8</v>
      </c>
      <c r="M7762" s="23" t="s">
        <v>8</v>
      </c>
    </row>
    <row r="7763" spans="1:13" s="21" customFormat="1" x14ac:dyDescent="0.25">
      <c r="A7763" s="22" t="s">
        <v>8</v>
      </c>
      <c r="B7763" s="18" t="str">
        <f>"275039"</f>
        <v>275039</v>
      </c>
      <c r="C7763" s="19" t="s">
        <v>7650</v>
      </c>
      <c r="D7763" s="19" t="s">
        <v>23182</v>
      </c>
      <c r="E7763" s="19" t="s">
        <v>33738</v>
      </c>
      <c r="F7763" s="19" t="s">
        <v>36000</v>
      </c>
      <c r="G7763" s="18" t="str">
        <f>"59715"</f>
        <v>59715</v>
      </c>
      <c r="H7763" s="19" t="s">
        <v>33708</v>
      </c>
      <c r="I7763" s="20">
        <v>16.324000000000002</v>
      </c>
      <c r="J7763" s="44" t="s">
        <v>8</v>
      </c>
      <c r="K7763" s="23" t="s">
        <v>8</v>
      </c>
      <c r="L7763" s="23" t="s">
        <v>8</v>
      </c>
      <c r="M7763" s="23" t="s">
        <v>8</v>
      </c>
    </row>
    <row r="7764" spans="1:13" s="21" customFormat="1" x14ac:dyDescent="0.25">
      <c r="A7764" s="22" t="s">
        <v>8</v>
      </c>
      <c r="B7764" s="18" t="str">
        <f>"275040"</f>
        <v>275040</v>
      </c>
      <c r="C7764" s="19" t="s">
        <v>7651</v>
      </c>
      <c r="D7764" s="19" t="s">
        <v>23183</v>
      </c>
      <c r="E7764" s="19" t="s">
        <v>33739</v>
      </c>
      <c r="F7764" s="19" t="s">
        <v>36000</v>
      </c>
      <c r="G7764" s="18" t="str">
        <f>"59923"</f>
        <v>59923</v>
      </c>
      <c r="H7764" s="19" t="s">
        <v>31995</v>
      </c>
      <c r="I7764" s="20">
        <v>17.385999999999999</v>
      </c>
      <c r="J7764" s="44" t="s">
        <v>8</v>
      </c>
      <c r="K7764" s="23" t="s">
        <v>8</v>
      </c>
      <c r="L7764" s="23" t="s">
        <v>8</v>
      </c>
      <c r="M7764" s="23" t="s">
        <v>8</v>
      </c>
    </row>
    <row r="7765" spans="1:13" s="21" customFormat="1" x14ac:dyDescent="0.25">
      <c r="A7765" s="22" t="s">
        <v>8</v>
      </c>
      <c r="B7765" s="18" t="str">
        <f>"275043"</f>
        <v>275043</v>
      </c>
      <c r="C7765" s="19" t="s">
        <v>7652</v>
      </c>
      <c r="D7765" s="19" t="s">
        <v>23184</v>
      </c>
      <c r="E7765" s="19" t="s">
        <v>33737</v>
      </c>
      <c r="F7765" s="19" t="s">
        <v>36000</v>
      </c>
      <c r="G7765" s="18" t="str">
        <f>"59804"</f>
        <v>59804</v>
      </c>
      <c r="H7765" s="19" t="s">
        <v>33737</v>
      </c>
      <c r="I7765" s="20">
        <v>15.25</v>
      </c>
      <c r="J7765" s="44" t="s">
        <v>8</v>
      </c>
      <c r="K7765" s="23" t="s">
        <v>8</v>
      </c>
      <c r="L7765" s="23" t="s">
        <v>8</v>
      </c>
      <c r="M7765" s="23" t="s">
        <v>8</v>
      </c>
    </row>
    <row r="7766" spans="1:13" s="21" customFormat="1" x14ac:dyDescent="0.25">
      <c r="A7766" s="22" t="s">
        <v>8</v>
      </c>
      <c r="B7766" s="18" t="str">
        <f>"275044"</f>
        <v>275044</v>
      </c>
      <c r="C7766" s="19" t="s">
        <v>7653</v>
      </c>
      <c r="D7766" s="19" t="s">
        <v>23185</v>
      </c>
      <c r="E7766" s="19" t="s">
        <v>31030</v>
      </c>
      <c r="F7766" s="19" t="s">
        <v>36000</v>
      </c>
      <c r="G7766" s="18" t="str">
        <f>"59601"</f>
        <v>59601</v>
      </c>
      <c r="H7766" s="19" t="s">
        <v>36532</v>
      </c>
      <c r="I7766" s="20">
        <v>16.864000000000001</v>
      </c>
      <c r="J7766" s="44" t="s">
        <v>8</v>
      </c>
      <c r="K7766" s="23" t="s">
        <v>8</v>
      </c>
      <c r="L7766" s="23" t="s">
        <v>8</v>
      </c>
      <c r="M7766" s="23" t="s">
        <v>8</v>
      </c>
    </row>
    <row r="7767" spans="1:13" s="21" customFormat="1" x14ac:dyDescent="0.25">
      <c r="A7767" s="22" t="s">
        <v>8</v>
      </c>
      <c r="B7767" s="18" t="str">
        <f>"275047"</f>
        <v>275047</v>
      </c>
      <c r="C7767" s="19" t="s">
        <v>7654</v>
      </c>
      <c r="D7767" s="19" t="s">
        <v>23186</v>
      </c>
      <c r="E7767" s="19" t="s">
        <v>33740</v>
      </c>
      <c r="F7767" s="19" t="s">
        <v>36000</v>
      </c>
      <c r="G7767" s="18" t="str">
        <f>"59047"</f>
        <v>59047</v>
      </c>
      <c r="H7767" s="19" t="s">
        <v>36537</v>
      </c>
      <c r="I7767" s="20">
        <v>18.067</v>
      </c>
      <c r="J7767" s="44" t="s">
        <v>8</v>
      </c>
      <c r="K7767" s="23" t="s">
        <v>8</v>
      </c>
      <c r="L7767" s="23" t="s">
        <v>8</v>
      </c>
      <c r="M7767" s="23" t="s">
        <v>8</v>
      </c>
    </row>
    <row r="7768" spans="1:13" s="21" customFormat="1" x14ac:dyDescent="0.25">
      <c r="A7768" s="22" t="s">
        <v>8</v>
      </c>
      <c r="B7768" s="18" t="str">
        <f>"275049"</f>
        <v>275049</v>
      </c>
      <c r="C7768" s="19" t="s">
        <v>7655</v>
      </c>
      <c r="D7768" s="19" t="s">
        <v>23187</v>
      </c>
      <c r="E7768" s="19" t="s">
        <v>33741</v>
      </c>
      <c r="F7768" s="19" t="s">
        <v>36000</v>
      </c>
      <c r="G7768" s="18" t="str">
        <f>"59860"</f>
        <v>59860</v>
      </c>
      <c r="H7768" s="19" t="s">
        <v>36096</v>
      </c>
      <c r="I7768" s="20">
        <v>18.327000000000002</v>
      </c>
      <c r="J7768" s="44" t="s">
        <v>8</v>
      </c>
      <c r="K7768" s="23" t="s">
        <v>8</v>
      </c>
      <c r="L7768" s="23" t="s">
        <v>8</v>
      </c>
      <c r="M7768" s="23" t="s">
        <v>8</v>
      </c>
    </row>
    <row r="7769" spans="1:13" s="21" customFormat="1" x14ac:dyDescent="0.25">
      <c r="A7769" s="22" t="s">
        <v>8</v>
      </c>
      <c r="B7769" s="18" t="str">
        <f>"275053"</f>
        <v>275053</v>
      </c>
      <c r="C7769" s="19" t="s">
        <v>7656</v>
      </c>
      <c r="D7769" s="19" t="s">
        <v>23188</v>
      </c>
      <c r="E7769" s="19" t="s">
        <v>33742</v>
      </c>
      <c r="F7769" s="19" t="s">
        <v>36000</v>
      </c>
      <c r="G7769" s="18" t="str">
        <f>"59068"</f>
        <v>59068</v>
      </c>
      <c r="H7769" s="19" t="s">
        <v>36538</v>
      </c>
      <c r="I7769" s="20">
        <v>19.366</v>
      </c>
      <c r="J7769" s="44" t="s">
        <v>8</v>
      </c>
      <c r="K7769" s="23" t="s">
        <v>8</v>
      </c>
      <c r="L7769" s="23" t="s">
        <v>8</v>
      </c>
      <c r="M7769" s="23" t="s">
        <v>8</v>
      </c>
    </row>
    <row r="7770" spans="1:13" s="21" customFormat="1" x14ac:dyDescent="0.25">
      <c r="A7770" s="22" t="s">
        <v>8</v>
      </c>
      <c r="B7770" s="18" t="str">
        <f>"275056"</f>
        <v>275056</v>
      </c>
      <c r="C7770" s="19" t="s">
        <v>7657</v>
      </c>
      <c r="D7770" s="19" t="s">
        <v>23189</v>
      </c>
      <c r="E7770" s="19" t="s">
        <v>33743</v>
      </c>
      <c r="F7770" s="19" t="s">
        <v>36000</v>
      </c>
      <c r="G7770" s="18" t="str">
        <f>"59634"</f>
        <v>59634</v>
      </c>
      <c r="H7770" s="19" t="s">
        <v>32391</v>
      </c>
      <c r="I7770" s="20">
        <v>18.972999999999999</v>
      </c>
      <c r="J7770" s="44" t="s">
        <v>8</v>
      </c>
      <c r="K7770" s="23" t="s">
        <v>8</v>
      </c>
      <c r="L7770" s="23" t="s">
        <v>8</v>
      </c>
      <c r="M7770" s="23" t="s">
        <v>8</v>
      </c>
    </row>
    <row r="7771" spans="1:13" s="21" customFormat="1" x14ac:dyDescent="0.25">
      <c r="A7771" s="22" t="s">
        <v>8</v>
      </c>
      <c r="B7771" s="18" t="str">
        <f>"275060"</f>
        <v>275060</v>
      </c>
      <c r="C7771" s="19" t="s">
        <v>7658</v>
      </c>
      <c r="D7771" s="19" t="s">
        <v>23190</v>
      </c>
      <c r="E7771" s="19" t="s">
        <v>33744</v>
      </c>
      <c r="F7771" s="19" t="s">
        <v>36000</v>
      </c>
      <c r="G7771" s="18" t="str">
        <f>"59701"</f>
        <v>59701</v>
      </c>
      <c r="H7771" s="19" t="s">
        <v>36539</v>
      </c>
      <c r="I7771" s="20">
        <v>18.413</v>
      </c>
      <c r="J7771" s="44" t="s">
        <v>8</v>
      </c>
      <c r="K7771" s="23" t="s">
        <v>8</v>
      </c>
      <c r="L7771" s="23" t="s">
        <v>8</v>
      </c>
      <c r="M7771" s="23" t="s">
        <v>8</v>
      </c>
    </row>
    <row r="7772" spans="1:13" s="21" customFormat="1" x14ac:dyDescent="0.25">
      <c r="A7772" s="22" t="s">
        <v>8</v>
      </c>
      <c r="B7772" s="18" t="str">
        <f>"275062"</f>
        <v>275062</v>
      </c>
      <c r="C7772" s="19" t="s">
        <v>7659</v>
      </c>
      <c r="D7772" s="19" t="s">
        <v>23191</v>
      </c>
      <c r="E7772" s="19" t="s">
        <v>33745</v>
      </c>
      <c r="F7772" s="19" t="s">
        <v>36000</v>
      </c>
      <c r="G7772" s="18" t="str">
        <f>"59442"</f>
        <v>59442</v>
      </c>
      <c r="H7772" s="19" t="s">
        <v>34674</v>
      </c>
      <c r="I7772" s="20">
        <v>19.300999999999998</v>
      </c>
      <c r="J7772" s="44" t="s">
        <v>8</v>
      </c>
      <c r="K7772" s="23" t="s">
        <v>8</v>
      </c>
      <c r="L7772" s="23" t="s">
        <v>8</v>
      </c>
      <c r="M7772" s="23" t="s">
        <v>8</v>
      </c>
    </row>
    <row r="7773" spans="1:13" s="21" customFormat="1" x14ac:dyDescent="0.25">
      <c r="A7773" s="22" t="s">
        <v>8</v>
      </c>
      <c r="B7773" s="18" t="str">
        <f>"275064"</f>
        <v>275064</v>
      </c>
      <c r="C7773" s="19" t="s">
        <v>7660</v>
      </c>
      <c r="D7773" s="19" t="s">
        <v>23192</v>
      </c>
      <c r="E7773" s="19" t="s">
        <v>32120</v>
      </c>
      <c r="F7773" s="19" t="s">
        <v>36000</v>
      </c>
      <c r="G7773" s="18" t="str">
        <f>"59457"</f>
        <v>59457</v>
      </c>
      <c r="H7773" s="19" t="s">
        <v>36535</v>
      </c>
      <c r="I7773" s="20">
        <v>18.963999999999999</v>
      </c>
      <c r="J7773" s="44" t="s">
        <v>8</v>
      </c>
      <c r="K7773" s="23" t="s">
        <v>8</v>
      </c>
      <c r="L7773" s="23" t="s">
        <v>8</v>
      </c>
      <c r="M7773" s="23" t="s">
        <v>8</v>
      </c>
    </row>
    <row r="7774" spans="1:13" s="21" customFormat="1" x14ac:dyDescent="0.25">
      <c r="A7774" s="22" t="s">
        <v>8</v>
      </c>
      <c r="B7774" s="18" t="str">
        <f>"275065"</f>
        <v>275065</v>
      </c>
      <c r="C7774" s="19" t="s">
        <v>7661</v>
      </c>
      <c r="D7774" s="19" t="s">
        <v>23193</v>
      </c>
      <c r="E7774" s="19" t="s">
        <v>33746</v>
      </c>
      <c r="F7774" s="19" t="s">
        <v>36000</v>
      </c>
      <c r="G7774" s="18" t="str">
        <f>"59711"</f>
        <v>59711</v>
      </c>
      <c r="H7774" s="19" t="s">
        <v>7698</v>
      </c>
      <c r="I7774" s="20">
        <v>18.048999999999999</v>
      </c>
      <c r="J7774" s="44" t="s">
        <v>8</v>
      </c>
      <c r="K7774" s="23" t="s">
        <v>8</v>
      </c>
      <c r="L7774" s="23" t="s">
        <v>8</v>
      </c>
      <c r="M7774" s="23" t="s">
        <v>8</v>
      </c>
    </row>
    <row r="7775" spans="1:13" s="21" customFormat="1" x14ac:dyDescent="0.25">
      <c r="A7775" s="22" t="s">
        <v>8</v>
      </c>
      <c r="B7775" s="18" t="str">
        <f>"275066"</f>
        <v>275066</v>
      </c>
      <c r="C7775" s="19" t="s">
        <v>7662</v>
      </c>
      <c r="D7775" s="19" t="s">
        <v>23194</v>
      </c>
      <c r="E7775" s="19" t="s">
        <v>33738</v>
      </c>
      <c r="F7775" s="19" t="s">
        <v>36000</v>
      </c>
      <c r="G7775" s="18" t="str">
        <f>"59715"</f>
        <v>59715</v>
      </c>
      <c r="H7775" s="19" t="s">
        <v>33708</v>
      </c>
      <c r="I7775" s="20">
        <v>18.919</v>
      </c>
      <c r="J7775" s="44" t="s">
        <v>8</v>
      </c>
      <c r="K7775" s="23" t="s">
        <v>8</v>
      </c>
      <c r="L7775" s="23" t="s">
        <v>8</v>
      </c>
      <c r="M7775" s="23" t="s">
        <v>8</v>
      </c>
    </row>
    <row r="7776" spans="1:13" s="21" customFormat="1" x14ac:dyDescent="0.25">
      <c r="A7776" s="22" t="s">
        <v>8</v>
      </c>
      <c r="B7776" s="18" t="str">
        <f>"275067"</f>
        <v>275067</v>
      </c>
      <c r="C7776" s="19" t="s">
        <v>7663</v>
      </c>
      <c r="D7776" s="19" t="s">
        <v>23195</v>
      </c>
      <c r="E7776" s="19" t="s">
        <v>33747</v>
      </c>
      <c r="F7776" s="19" t="s">
        <v>36000</v>
      </c>
      <c r="G7776" s="18" t="str">
        <f>"59330"</f>
        <v>59330</v>
      </c>
      <c r="H7776" s="19" t="s">
        <v>31786</v>
      </c>
      <c r="I7776" s="20">
        <v>18.853999999999999</v>
      </c>
      <c r="J7776" s="44" t="s">
        <v>8</v>
      </c>
      <c r="K7776" s="23" t="s">
        <v>8</v>
      </c>
      <c r="L7776" s="23" t="s">
        <v>8</v>
      </c>
      <c r="M7776" s="23" t="s">
        <v>8</v>
      </c>
    </row>
    <row r="7777" spans="1:13" s="21" customFormat="1" x14ac:dyDescent="0.25">
      <c r="A7777" s="22" t="s">
        <v>8</v>
      </c>
      <c r="B7777" s="18" t="str">
        <f>"275069"</f>
        <v>275069</v>
      </c>
      <c r="C7777" s="19" t="s">
        <v>7664</v>
      </c>
      <c r="D7777" s="19" t="s">
        <v>23196</v>
      </c>
      <c r="E7777" s="19" t="s">
        <v>30990</v>
      </c>
      <c r="F7777" s="19" t="s">
        <v>36000</v>
      </c>
      <c r="G7777" s="18" t="str">
        <f>"59845"</f>
        <v>59845</v>
      </c>
      <c r="H7777" s="19" t="s">
        <v>36540</v>
      </c>
      <c r="I7777" s="20">
        <v>19.123999999999999</v>
      </c>
      <c r="J7777" s="44" t="s">
        <v>8</v>
      </c>
      <c r="K7777" s="23" t="s">
        <v>8</v>
      </c>
      <c r="L7777" s="23" t="s">
        <v>8</v>
      </c>
      <c r="M7777" s="23" t="s">
        <v>8</v>
      </c>
    </row>
    <row r="7778" spans="1:13" s="21" customFormat="1" x14ac:dyDescent="0.25">
      <c r="A7778" s="22" t="s">
        <v>8</v>
      </c>
      <c r="B7778" s="18" t="str">
        <f>"275070"</f>
        <v>275070</v>
      </c>
      <c r="C7778" s="19" t="s">
        <v>7665</v>
      </c>
      <c r="D7778" s="19" t="s">
        <v>23197</v>
      </c>
      <c r="E7778" s="19" t="s">
        <v>33748</v>
      </c>
      <c r="F7778" s="19" t="s">
        <v>36000</v>
      </c>
      <c r="G7778" s="18" t="str">
        <f>"59254"</f>
        <v>59254</v>
      </c>
      <c r="H7778" s="19" t="s">
        <v>31039</v>
      </c>
      <c r="I7778" s="20">
        <v>18.905000000000001</v>
      </c>
      <c r="J7778" s="44" t="s">
        <v>8</v>
      </c>
      <c r="K7778" s="23" t="s">
        <v>8</v>
      </c>
      <c r="L7778" s="23" t="s">
        <v>8</v>
      </c>
      <c r="M7778" s="23" t="s">
        <v>8</v>
      </c>
    </row>
    <row r="7779" spans="1:13" s="21" customFormat="1" x14ac:dyDescent="0.25">
      <c r="A7779" s="22" t="s">
        <v>8</v>
      </c>
      <c r="B7779" s="18" t="str">
        <f>"275073"</f>
        <v>275073</v>
      </c>
      <c r="C7779" s="19" t="s">
        <v>4390</v>
      </c>
      <c r="D7779" s="19" t="s">
        <v>23198</v>
      </c>
      <c r="E7779" s="19" t="s">
        <v>33749</v>
      </c>
      <c r="F7779" s="19" t="s">
        <v>36000</v>
      </c>
      <c r="G7779" s="18" t="str">
        <f>"59201"</f>
        <v>59201</v>
      </c>
      <c r="H7779" s="19" t="s">
        <v>35329</v>
      </c>
      <c r="I7779" s="20">
        <v>19.183</v>
      </c>
      <c r="J7779" s="44" t="s">
        <v>8</v>
      </c>
      <c r="K7779" s="23" t="s">
        <v>8</v>
      </c>
      <c r="L7779" s="23" t="s">
        <v>8</v>
      </c>
      <c r="M7779" s="23" t="s">
        <v>8</v>
      </c>
    </row>
    <row r="7780" spans="1:13" s="21" customFormat="1" x14ac:dyDescent="0.25">
      <c r="A7780" s="22" t="s">
        <v>8</v>
      </c>
      <c r="B7780" s="18" t="str">
        <f>"275079"</f>
        <v>275079</v>
      </c>
      <c r="C7780" s="19" t="s">
        <v>7666</v>
      </c>
      <c r="D7780" s="19" t="s">
        <v>23199</v>
      </c>
      <c r="E7780" s="19" t="s">
        <v>33750</v>
      </c>
      <c r="F7780" s="19" t="s">
        <v>36000</v>
      </c>
      <c r="G7780" s="18" t="str">
        <f>"59353"</f>
        <v>59353</v>
      </c>
      <c r="H7780" s="19" t="s">
        <v>33750</v>
      </c>
      <c r="I7780" s="20">
        <v>19.901</v>
      </c>
      <c r="J7780" s="44" t="s">
        <v>8</v>
      </c>
      <c r="K7780" s="23" t="s">
        <v>8</v>
      </c>
      <c r="L7780" s="23" t="s">
        <v>8</v>
      </c>
      <c r="M7780" s="23" t="s">
        <v>8</v>
      </c>
    </row>
    <row r="7781" spans="1:13" s="21" customFormat="1" x14ac:dyDescent="0.25">
      <c r="A7781" s="22" t="s">
        <v>8</v>
      </c>
      <c r="B7781" s="18" t="str">
        <f>"275080"</f>
        <v>275080</v>
      </c>
      <c r="C7781" s="19" t="s">
        <v>7667</v>
      </c>
      <c r="D7781" s="19" t="s">
        <v>23200</v>
      </c>
      <c r="E7781" s="19" t="s">
        <v>31030</v>
      </c>
      <c r="F7781" s="19" t="s">
        <v>36000</v>
      </c>
      <c r="G7781" s="18" t="str">
        <f>"59601"</f>
        <v>59601</v>
      </c>
      <c r="H7781" s="19" t="s">
        <v>36532</v>
      </c>
      <c r="I7781" s="20">
        <v>18.305</v>
      </c>
      <c r="J7781" s="44" t="s">
        <v>8</v>
      </c>
      <c r="K7781" s="23" t="s">
        <v>8</v>
      </c>
      <c r="L7781" s="23" t="s">
        <v>8</v>
      </c>
      <c r="M7781" s="23" t="s">
        <v>8</v>
      </c>
    </row>
    <row r="7782" spans="1:13" s="21" customFormat="1" x14ac:dyDescent="0.25">
      <c r="A7782" s="22" t="s">
        <v>8</v>
      </c>
      <c r="B7782" s="18" t="str">
        <f>"275081"</f>
        <v>275081</v>
      </c>
      <c r="C7782" s="19" t="s">
        <v>7668</v>
      </c>
      <c r="D7782" s="19" t="s">
        <v>23201</v>
      </c>
      <c r="E7782" s="19" t="s">
        <v>33751</v>
      </c>
      <c r="F7782" s="19" t="s">
        <v>36000</v>
      </c>
      <c r="G7782" s="18" t="str">
        <f>"59301"</f>
        <v>59301</v>
      </c>
      <c r="H7782" s="19" t="s">
        <v>35098</v>
      </c>
      <c r="I7782" s="20">
        <v>18.064</v>
      </c>
      <c r="J7782" s="44" t="s">
        <v>8</v>
      </c>
      <c r="K7782" s="23" t="s">
        <v>8</v>
      </c>
      <c r="L7782" s="23" t="s">
        <v>8</v>
      </c>
      <c r="M7782" s="23" t="s">
        <v>8</v>
      </c>
    </row>
    <row r="7783" spans="1:13" s="21" customFormat="1" x14ac:dyDescent="0.25">
      <c r="A7783" s="22" t="s">
        <v>8</v>
      </c>
      <c r="B7783" s="18" t="str">
        <f>"275082"</f>
        <v>275082</v>
      </c>
      <c r="C7783" s="19" t="s">
        <v>7669</v>
      </c>
      <c r="D7783" s="19" t="s">
        <v>23202</v>
      </c>
      <c r="E7783" s="19" t="s">
        <v>33752</v>
      </c>
      <c r="F7783" s="19" t="s">
        <v>36000</v>
      </c>
      <c r="G7783" s="18" t="str">
        <f>"59337"</f>
        <v>59337</v>
      </c>
      <c r="H7783" s="19" t="s">
        <v>36111</v>
      </c>
      <c r="I7783" s="20">
        <v>18.864000000000001</v>
      </c>
      <c r="J7783" s="44" t="s">
        <v>8</v>
      </c>
      <c r="K7783" s="23" t="s">
        <v>8</v>
      </c>
      <c r="L7783" s="23" t="s">
        <v>8</v>
      </c>
      <c r="M7783" s="23" t="s">
        <v>8</v>
      </c>
    </row>
    <row r="7784" spans="1:13" s="21" customFormat="1" x14ac:dyDescent="0.25">
      <c r="A7784" s="22" t="s">
        <v>8</v>
      </c>
      <c r="B7784" s="18" t="str">
        <f>"275084"</f>
        <v>275084</v>
      </c>
      <c r="C7784" s="19" t="s">
        <v>7670</v>
      </c>
      <c r="D7784" s="19" t="s">
        <v>23203</v>
      </c>
      <c r="E7784" s="19" t="s">
        <v>31100</v>
      </c>
      <c r="F7784" s="19" t="s">
        <v>36000</v>
      </c>
      <c r="G7784" s="18" t="str">
        <f>"59917"</f>
        <v>59917</v>
      </c>
      <c r="H7784" s="19" t="s">
        <v>31995</v>
      </c>
      <c r="I7784" s="20">
        <v>17.577000000000002</v>
      </c>
      <c r="J7784" s="44" t="s">
        <v>8</v>
      </c>
      <c r="K7784" s="23" t="s">
        <v>8</v>
      </c>
      <c r="L7784" s="23" t="s">
        <v>8</v>
      </c>
      <c r="M7784" s="23" t="s">
        <v>8</v>
      </c>
    </row>
    <row r="7785" spans="1:13" s="21" customFormat="1" x14ac:dyDescent="0.25">
      <c r="A7785" s="22" t="s">
        <v>8</v>
      </c>
      <c r="B7785" s="18" t="str">
        <f>"275087"</f>
        <v>275087</v>
      </c>
      <c r="C7785" s="19" t="s">
        <v>7671</v>
      </c>
      <c r="D7785" s="19" t="s">
        <v>23204</v>
      </c>
      <c r="E7785" s="19" t="s">
        <v>33753</v>
      </c>
      <c r="F7785" s="19" t="s">
        <v>36000</v>
      </c>
      <c r="G7785" s="18" t="str">
        <f>"59317"</f>
        <v>59317</v>
      </c>
      <c r="H7785" s="19" t="s">
        <v>36541</v>
      </c>
      <c r="I7785" s="20">
        <v>18.638000000000002</v>
      </c>
      <c r="J7785" s="44" t="s">
        <v>8</v>
      </c>
      <c r="K7785" s="23" t="s">
        <v>8</v>
      </c>
      <c r="L7785" s="23" t="s">
        <v>8</v>
      </c>
      <c r="M7785" s="23" t="s">
        <v>8</v>
      </c>
    </row>
    <row r="7786" spans="1:13" s="21" customFormat="1" x14ac:dyDescent="0.25">
      <c r="A7786" s="22" t="s">
        <v>8</v>
      </c>
      <c r="B7786" s="18" t="str">
        <f>"275090"</f>
        <v>275090</v>
      </c>
      <c r="C7786" s="19" t="s">
        <v>7672</v>
      </c>
      <c r="D7786" s="19" t="s">
        <v>23205</v>
      </c>
      <c r="E7786" s="19" t="s">
        <v>31715</v>
      </c>
      <c r="F7786" s="19" t="s">
        <v>36000</v>
      </c>
      <c r="G7786" s="18" t="str">
        <f>"59019"</f>
        <v>59019</v>
      </c>
      <c r="H7786" s="19" t="s">
        <v>33337</v>
      </c>
      <c r="I7786" s="20">
        <v>18.074000000000002</v>
      </c>
      <c r="J7786" s="44" t="s">
        <v>8</v>
      </c>
      <c r="K7786" s="23" t="s">
        <v>8</v>
      </c>
      <c r="L7786" s="23" t="s">
        <v>8</v>
      </c>
      <c r="M7786" s="23" t="s">
        <v>8</v>
      </c>
    </row>
    <row r="7787" spans="1:13" s="21" customFormat="1" x14ac:dyDescent="0.25">
      <c r="A7787" s="22" t="s">
        <v>8</v>
      </c>
      <c r="B7787" s="18" t="str">
        <f>"275091"</f>
        <v>275091</v>
      </c>
      <c r="C7787" s="19" t="s">
        <v>7673</v>
      </c>
      <c r="D7787" s="19" t="s">
        <v>23206</v>
      </c>
      <c r="E7787" s="19" t="s">
        <v>32695</v>
      </c>
      <c r="F7787" s="19" t="s">
        <v>36000</v>
      </c>
      <c r="G7787" s="18" t="str">
        <f>"59230"</f>
        <v>59230</v>
      </c>
      <c r="H7787" s="19" t="s">
        <v>30836</v>
      </c>
      <c r="I7787" s="20">
        <v>17.106999999999999</v>
      </c>
      <c r="J7787" s="44" t="s">
        <v>8</v>
      </c>
      <c r="K7787" s="23" t="s">
        <v>8</v>
      </c>
      <c r="L7787" s="23" t="s">
        <v>8</v>
      </c>
      <c r="M7787" s="23" t="s">
        <v>8</v>
      </c>
    </row>
    <row r="7788" spans="1:13" s="21" customFormat="1" x14ac:dyDescent="0.25">
      <c r="A7788" s="22" t="s">
        <v>8</v>
      </c>
      <c r="B7788" s="18" t="str">
        <f>"275094"</f>
        <v>275094</v>
      </c>
      <c r="C7788" s="19" t="s">
        <v>7674</v>
      </c>
      <c r="D7788" s="19" t="s">
        <v>23207</v>
      </c>
      <c r="E7788" s="19" t="s">
        <v>33474</v>
      </c>
      <c r="F7788" s="19" t="s">
        <v>36000</v>
      </c>
      <c r="G7788" s="18" t="str">
        <f>"59911"</f>
        <v>59911</v>
      </c>
      <c r="H7788" s="19" t="s">
        <v>36536</v>
      </c>
      <c r="I7788" s="20">
        <v>16.904</v>
      </c>
      <c r="J7788" s="44" t="s">
        <v>8</v>
      </c>
      <c r="K7788" s="23" t="s">
        <v>8</v>
      </c>
      <c r="L7788" s="23" t="s">
        <v>8</v>
      </c>
      <c r="M7788" s="23" t="s">
        <v>8</v>
      </c>
    </row>
    <row r="7789" spans="1:13" s="21" customFormat="1" x14ac:dyDescent="0.25">
      <c r="A7789" s="22" t="s">
        <v>8</v>
      </c>
      <c r="B7789" s="18" t="str">
        <f>"275096"</f>
        <v>275096</v>
      </c>
      <c r="C7789" s="19" t="s">
        <v>7675</v>
      </c>
      <c r="D7789" s="19" t="s">
        <v>23208</v>
      </c>
      <c r="E7789" s="19" t="s">
        <v>33735</v>
      </c>
      <c r="F7789" s="19" t="s">
        <v>36000</v>
      </c>
      <c r="G7789" s="18" t="str">
        <f>"59101"</f>
        <v>59101</v>
      </c>
      <c r="H7789" s="19" t="s">
        <v>36534</v>
      </c>
      <c r="I7789" s="20">
        <v>19.457999999999998</v>
      </c>
      <c r="J7789" s="44" t="s">
        <v>8</v>
      </c>
      <c r="K7789" s="23" t="s">
        <v>8</v>
      </c>
      <c r="L7789" s="23" t="s">
        <v>8</v>
      </c>
      <c r="M7789" s="23" t="s">
        <v>8</v>
      </c>
    </row>
    <row r="7790" spans="1:13" s="21" customFormat="1" x14ac:dyDescent="0.25">
      <c r="A7790" s="22" t="s">
        <v>8</v>
      </c>
      <c r="B7790" s="18" t="str">
        <f>"275100"</f>
        <v>275100</v>
      </c>
      <c r="C7790" s="19" t="s">
        <v>7676</v>
      </c>
      <c r="D7790" s="19" t="s">
        <v>23209</v>
      </c>
      <c r="E7790" s="19" t="s">
        <v>33754</v>
      </c>
      <c r="F7790" s="19" t="s">
        <v>36000</v>
      </c>
      <c r="G7790" s="18" t="str">
        <f>"59912"</f>
        <v>59912</v>
      </c>
      <c r="H7790" s="19" t="s">
        <v>36536</v>
      </c>
      <c r="I7790" s="20">
        <v>18.754000000000001</v>
      </c>
      <c r="J7790" s="44" t="s">
        <v>8</v>
      </c>
      <c r="K7790" s="23" t="s">
        <v>8</v>
      </c>
      <c r="L7790" s="23" t="s">
        <v>8</v>
      </c>
      <c r="M7790" s="23" t="s">
        <v>8</v>
      </c>
    </row>
    <row r="7791" spans="1:13" s="21" customFormat="1" x14ac:dyDescent="0.25">
      <c r="A7791" s="22" t="s">
        <v>8</v>
      </c>
      <c r="B7791" s="18" t="str">
        <f>"275101"</f>
        <v>275101</v>
      </c>
      <c r="C7791" s="19" t="s">
        <v>7677</v>
      </c>
      <c r="D7791" s="19" t="s">
        <v>23210</v>
      </c>
      <c r="E7791" s="19" t="s">
        <v>30804</v>
      </c>
      <c r="F7791" s="19" t="s">
        <v>36000</v>
      </c>
      <c r="G7791" s="18" t="str">
        <f>"59840"</f>
        <v>59840</v>
      </c>
      <c r="H7791" s="19" t="s">
        <v>36542</v>
      </c>
      <c r="I7791" s="20">
        <v>18.233000000000001</v>
      </c>
      <c r="J7791" s="44" t="s">
        <v>8</v>
      </c>
      <c r="K7791" s="23" t="s">
        <v>8</v>
      </c>
      <c r="L7791" s="23" t="s">
        <v>8</v>
      </c>
      <c r="M7791" s="23" t="s">
        <v>8</v>
      </c>
    </row>
    <row r="7792" spans="1:13" s="21" customFormat="1" x14ac:dyDescent="0.25">
      <c r="A7792" s="22" t="s">
        <v>8</v>
      </c>
      <c r="B7792" s="18" t="str">
        <f>"275103"</f>
        <v>275103</v>
      </c>
      <c r="C7792" s="19" t="s">
        <v>7678</v>
      </c>
      <c r="D7792" s="19" t="s">
        <v>23211</v>
      </c>
      <c r="E7792" s="19" t="s">
        <v>33744</v>
      </c>
      <c r="F7792" s="19" t="s">
        <v>36000</v>
      </c>
      <c r="G7792" s="18" t="str">
        <f>"59701"</f>
        <v>59701</v>
      </c>
      <c r="H7792" s="19" t="s">
        <v>36539</v>
      </c>
      <c r="I7792" s="20">
        <v>15.823</v>
      </c>
      <c r="J7792" s="44" t="s">
        <v>8</v>
      </c>
      <c r="K7792" s="23" t="s">
        <v>8</v>
      </c>
      <c r="L7792" s="23" t="s">
        <v>8</v>
      </c>
      <c r="M7792" s="23" t="s">
        <v>8</v>
      </c>
    </row>
    <row r="7793" spans="1:13" s="21" customFormat="1" x14ac:dyDescent="0.25">
      <c r="A7793" s="22" t="s">
        <v>8</v>
      </c>
      <c r="B7793" s="18" t="str">
        <f>"275104"</f>
        <v>275104</v>
      </c>
      <c r="C7793" s="19" t="s">
        <v>7679</v>
      </c>
      <c r="D7793" s="19" t="s">
        <v>23212</v>
      </c>
      <c r="E7793" s="19" t="s">
        <v>33755</v>
      </c>
      <c r="F7793" s="19" t="s">
        <v>36000</v>
      </c>
      <c r="G7793" s="18" t="str">
        <f>"59427"</f>
        <v>59427</v>
      </c>
      <c r="H7793" s="19" t="s">
        <v>36543</v>
      </c>
      <c r="I7793" s="20">
        <v>17.811</v>
      </c>
      <c r="J7793" s="44" t="s">
        <v>8</v>
      </c>
      <c r="K7793" s="23" t="s">
        <v>8</v>
      </c>
      <c r="L7793" s="23" t="s">
        <v>8</v>
      </c>
      <c r="M7793" s="23" t="s">
        <v>8</v>
      </c>
    </row>
    <row r="7794" spans="1:13" s="21" customFormat="1" x14ac:dyDescent="0.25">
      <c r="A7794" s="22" t="s">
        <v>8</v>
      </c>
      <c r="B7794" s="18" t="str">
        <f>"275105"</f>
        <v>275105</v>
      </c>
      <c r="C7794" s="19" t="s">
        <v>7680</v>
      </c>
      <c r="D7794" s="19" t="s">
        <v>23213</v>
      </c>
      <c r="E7794" s="19" t="s">
        <v>33756</v>
      </c>
      <c r="F7794" s="19" t="s">
        <v>36000</v>
      </c>
      <c r="G7794" s="18" t="str">
        <f>"59324"</f>
        <v>59324</v>
      </c>
      <c r="H7794" s="19" t="s">
        <v>36338</v>
      </c>
      <c r="I7794" s="20">
        <v>18.885000000000002</v>
      </c>
      <c r="J7794" s="44" t="s">
        <v>8</v>
      </c>
      <c r="K7794" s="23" t="s">
        <v>8</v>
      </c>
      <c r="L7794" s="23" t="s">
        <v>8</v>
      </c>
      <c r="M7794" s="23" t="s">
        <v>8</v>
      </c>
    </row>
    <row r="7795" spans="1:13" s="21" customFormat="1" x14ac:dyDescent="0.25">
      <c r="A7795" s="22" t="s">
        <v>8</v>
      </c>
      <c r="B7795" s="18" t="str">
        <f>"275106"</f>
        <v>275106</v>
      </c>
      <c r="C7795" s="19" t="s">
        <v>7681</v>
      </c>
      <c r="D7795" s="19" t="s">
        <v>23214</v>
      </c>
      <c r="E7795" s="19" t="s">
        <v>33751</v>
      </c>
      <c r="F7795" s="19" t="s">
        <v>36000</v>
      </c>
      <c r="G7795" s="18" t="str">
        <f>"59301"</f>
        <v>59301</v>
      </c>
      <c r="H7795" s="19" t="s">
        <v>35098</v>
      </c>
      <c r="I7795" s="20">
        <v>18.841999999999999</v>
      </c>
      <c r="J7795" s="44" t="s">
        <v>8</v>
      </c>
      <c r="K7795" s="23" t="s">
        <v>8</v>
      </c>
      <c r="L7795" s="23" t="s">
        <v>8</v>
      </c>
      <c r="M7795" s="23" t="s">
        <v>8</v>
      </c>
    </row>
    <row r="7796" spans="1:13" s="21" customFormat="1" x14ac:dyDescent="0.25">
      <c r="A7796" s="22" t="s">
        <v>8</v>
      </c>
      <c r="B7796" s="18" t="str">
        <f>"275109"</f>
        <v>275109</v>
      </c>
      <c r="C7796" s="19" t="s">
        <v>7682</v>
      </c>
      <c r="D7796" s="19" t="s">
        <v>23215</v>
      </c>
      <c r="E7796" s="19" t="s">
        <v>33736</v>
      </c>
      <c r="F7796" s="19" t="s">
        <v>36000</v>
      </c>
      <c r="G7796" s="18" t="str">
        <f>"59901"</f>
        <v>59901</v>
      </c>
      <c r="H7796" s="19" t="s">
        <v>36536</v>
      </c>
      <c r="I7796" s="20">
        <v>12.468</v>
      </c>
      <c r="J7796" s="44" t="s">
        <v>8</v>
      </c>
      <c r="K7796" s="23" t="s">
        <v>8</v>
      </c>
      <c r="L7796" s="23" t="s">
        <v>8</v>
      </c>
      <c r="M7796" s="23" t="s">
        <v>8</v>
      </c>
    </row>
    <row r="7797" spans="1:13" s="21" customFormat="1" x14ac:dyDescent="0.25">
      <c r="A7797" s="22" t="s">
        <v>8</v>
      </c>
      <c r="B7797" s="18" t="str">
        <f>"275111"</f>
        <v>275111</v>
      </c>
      <c r="C7797" s="19" t="s">
        <v>7683</v>
      </c>
      <c r="D7797" s="19" t="s">
        <v>23216</v>
      </c>
      <c r="E7797" s="19" t="s">
        <v>32957</v>
      </c>
      <c r="F7797" s="19" t="s">
        <v>36000</v>
      </c>
      <c r="G7797" s="18" t="str">
        <f>"59044"</f>
        <v>59044</v>
      </c>
      <c r="H7797" s="19" t="s">
        <v>36534</v>
      </c>
      <c r="I7797" s="20">
        <v>18.814</v>
      </c>
      <c r="J7797" s="44" t="s">
        <v>8</v>
      </c>
      <c r="K7797" s="23" t="s">
        <v>8</v>
      </c>
      <c r="L7797" s="23" t="s">
        <v>8</v>
      </c>
      <c r="M7797" s="23" t="s">
        <v>8</v>
      </c>
    </row>
    <row r="7798" spans="1:13" s="21" customFormat="1" x14ac:dyDescent="0.25">
      <c r="A7798" s="22" t="s">
        <v>8</v>
      </c>
      <c r="B7798" s="18" t="str">
        <f>"275112"</f>
        <v>275112</v>
      </c>
      <c r="C7798" s="19" t="s">
        <v>7684</v>
      </c>
      <c r="D7798" s="19" t="s">
        <v>23217</v>
      </c>
      <c r="E7798" s="19" t="s">
        <v>33733</v>
      </c>
      <c r="F7798" s="19" t="s">
        <v>36000</v>
      </c>
      <c r="G7798" s="18" t="str">
        <f>"59501"</f>
        <v>59501</v>
      </c>
      <c r="H7798" s="19" t="s">
        <v>36533</v>
      </c>
      <c r="I7798" s="20">
        <v>17.792999999999999</v>
      </c>
      <c r="J7798" s="44" t="s">
        <v>8</v>
      </c>
      <c r="K7798" s="23" t="s">
        <v>8</v>
      </c>
      <c r="L7798" s="23" t="s">
        <v>8</v>
      </c>
      <c r="M7798" s="23" t="s">
        <v>8</v>
      </c>
    </row>
    <row r="7799" spans="1:13" s="21" customFormat="1" x14ac:dyDescent="0.25">
      <c r="A7799" s="22" t="s">
        <v>8</v>
      </c>
      <c r="B7799" s="18" t="str">
        <f>"275114"</f>
        <v>275114</v>
      </c>
      <c r="C7799" s="19" t="s">
        <v>7685</v>
      </c>
      <c r="D7799" s="19" t="s">
        <v>23218</v>
      </c>
      <c r="E7799" s="19" t="s">
        <v>31030</v>
      </c>
      <c r="F7799" s="19" t="s">
        <v>36000</v>
      </c>
      <c r="G7799" s="18" t="str">
        <f>"59601"</f>
        <v>59601</v>
      </c>
      <c r="H7799" s="19" t="s">
        <v>36532</v>
      </c>
      <c r="I7799" s="20">
        <v>17.245999999999999</v>
      </c>
      <c r="J7799" s="44" t="s">
        <v>8</v>
      </c>
      <c r="K7799" s="23" t="s">
        <v>8</v>
      </c>
      <c r="L7799" s="23" t="s">
        <v>8</v>
      </c>
      <c r="M7799" s="23" t="s">
        <v>8</v>
      </c>
    </row>
    <row r="7800" spans="1:13" s="21" customFormat="1" x14ac:dyDescent="0.25">
      <c r="A7800" s="22" t="s">
        <v>8</v>
      </c>
      <c r="B7800" s="18" t="str">
        <f>"275115"</f>
        <v>275115</v>
      </c>
      <c r="C7800" s="19" t="s">
        <v>7686</v>
      </c>
      <c r="D7800" s="19" t="s">
        <v>23219</v>
      </c>
      <c r="E7800" s="19" t="s">
        <v>33738</v>
      </c>
      <c r="F7800" s="19" t="s">
        <v>36000</v>
      </c>
      <c r="G7800" s="18" t="str">
        <f>"59715"</f>
        <v>59715</v>
      </c>
      <c r="H7800" s="19" t="s">
        <v>33708</v>
      </c>
      <c r="I7800" s="20">
        <v>18.411000000000001</v>
      </c>
      <c r="J7800" s="44" t="s">
        <v>8</v>
      </c>
      <c r="K7800" s="23" t="s">
        <v>8</v>
      </c>
      <c r="L7800" s="23" t="s">
        <v>8</v>
      </c>
      <c r="M7800" s="23" t="s">
        <v>8</v>
      </c>
    </row>
    <row r="7801" spans="1:13" s="21" customFormat="1" x14ac:dyDescent="0.25">
      <c r="A7801" s="22" t="s">
        <v>8</v>
      </c>
      <c r="B7801" s="18" t="str">
        <f>"275119"</f>
        <v>275119</v>
      </c>
      <c r="C7801" s="19" t="s">
        <v>7687</v>
      </c>
      <c r="D7801" s="19" t="s">
        <v>23220</v>
      </c>
      <c r="E7801" s="19" t="s">
        <v>32406</v>
      </c>
      <c r="F7801" s="19" t="s">
        <v>36000</v>
      </c>
      <c r="G7801" s="18" t="str">
        <f>"59425"</f>
        <v>59425</v>
      </c>
      <c r="H7801" s="19" t="s">
        <v>36544</v>
      </c>
      <c r="I7801" s="20">
        <v>18.920999999999999</v>
      </c>
      <c r="J7801" s="44" t="s">
        <v>8</v>
      </c>
      <c r="K7801" s="23" t="s">
        <v>8</v>
      </c>
      <c r="L7801" s="23" t="s">
        <v>8</v>
      </c>
      <c r="M7801" s="23" t="s">
        <v>8</v>
      </c>
    </row>
    <row r="7802" spans="1:13" s="21" customFormat="1" x14ac:dyDescent="0.25">
      <c r="A7802" s="22" t="s">
        <v>8</v>
      </c>
      <c r="B7802" s="18" t="str">
        <f>"275120"</f>
        <v>275120</v>
      </c>
      <c r="C7802" s="19" t="s">
        <v>7688</v>
      </c>
      <c r="D7802" s="19" t="s">
        <v>23221</v>
      </c>
      <c r="E7802" s="19" t="s">
        <v>33735</v>
      </c>
      <c r="F7802" s="19" t="s">
        <v>36000</v>
      </c>
      <c r="G7802" s="18" t="str">
        <f>"59101"</f>
        <v>59101</v>
      </c>
      <c r="H7802" s="19" t="s">
        <v>36534</v>
      </c>
      <c r="I7802" s="20">
        <v>16.010000000000002</v>
      </c>
      <c r="J7802" s="44" t="s">
        <v>8</v>
      </c>
      <c r="K7802" s="23" t="s">
        <v>8</v>
      </c>
      <c r="L7802" s="23" t="s">
        <v>8</v>
      </c>
      <c r="M7802" s="23" t="s">
        <v>8</v>
      </c>
    </row>
    <row r="7803" spans="1:13" s="21" customFormat="1" x14ac:dyDescent="0.25">
      <c r="A7803" s="22" t="s">
        <v>8</v>
      </c>
      <c r="B7803" s="18" t="str">
        <f>"275121"</f>
        <v>275121</v>
      </c>
      <c r="C7803" s="19" t="s">
        <v>7689</v>
      </c>
      <c r="D7803" s="19" t="s">
        <v>23222</v>
      </c>
      <c r="E7803" s="19" t="s">
        <v>32515</v>
      </c>
      <c r="F7803" s="19" t="s">
        <v>36000</v>
      </c>
      <c r="G7803" s="18" t="str">
        <f>"59270"</f>
        <v>59270</v>
      </c>
      <c r="H7803" s="19" t="s">
        <v>31785</v>
      </c>
      <c r="I7803" s="20">
        <v>19.175000000000001</v>
      </c>
      <c r="J7803" s="44" t="s">
        <v>8</v>
      </c>
      <c r="K7803" s="23" t="s">
        <v>8</v>
      </c>
      <c r="L7803" s="23" t="s">
        <v>8</v>
      </c>
      <c r="M7803" s="23" t="s">
        <v>8</v>
      </c>
    </row>
    <row r="7804" spans="1:13" s="21" customFormat="1" x14ac:dyDescent="0.25">
      <c r="A7804" s="22" t="s">
        <v>8</v>
      </c>
      <c r="B7804" s="18" t="str">
        <f>"275122"</f>
        <v>275122</v>
      </c>
      <c r="C7804" s="19" t="s">
        <v>7690</v>
      </c>
      <c r="D7804" s="19" t="s">
        <v>23223</v>
      </c>
      <c r="E7804" s="19" t="s">
        <v>33744</v>
      </c>
      <c r="F7804" s="19" t="s">
        <v>36000</v>
      </c>
      <c r="G7804" s="18" t="str">
        <f>"59701"</f>
        <v>59701</v>
      </c>
      <c r="H7804" s="19" t="s">
        <v>36539</v>
      </c>
      <c r="I7804" s="20">
        <v>17.187999999999999</v>
      </c>
      <c r="J7804" s="44" t="s">
        <v>8</v>
      </c>
      <c r="K7804" s="23" t="s">
        <v>8</v>
      </c>
      <c r="L7804" s="23" t="s">
        <v>8</v>
      </c>
      <c r="M7804" s="23" t="s">
        <v>8</v>
      </c>
    </row>
    <row r="7805" spans="1:13" s="21" customFormat="1" x14ac:dyDescent="0.25">
      <c r="A7805" s="22" t="s">
        <v>8</v>
      </c>
      <c r="B7805" s="18" t="str">
        <f>"275123"</f>
        <v>275123</v>
      </c>
      <c r="C7805" s="19" t="s">
        <v>7691</v>
      </c>
      <c r="D7805" s="19" t="s">
        <v>23224</v>
      </c>
      <c r="E7805" s="19" t="s">
        <v>33735</v>
      </c>
      <c r="F7805" s="19" t="s">
        <v>36000</v>
      </c>
      <c r="G7805" s="18" t="str">
        <f>"59105"</f>
        <v>59105</v>
      </c>
      <c r="H7805" s="19" t="s">
        <v>36534</v>
      </c>
      <c r="I7805" s="20">
        <v>15.972</v>
      </c>
      <c r="J7805" s="44" t="s">
        <v>8</v>
      </c>
      <c r="K7805" s="23" t="s">
        <v>8</v>
      </c>
      <c r="L7805" s="23" t="s">
        <v>8</v>
      </c>
      <c r="M7805" s="23" t="s">
        <v>8</v>
      </c>
    </row>
    <row r="7806" spans="1:13" s="21" customFormat="1" x14ac:dyDescent="0.25">
      <c r="A7806" s="22" t="s">
        <v>8</v>
      </c>
      <c r="B7806" s="18" t="str">
        <f>"275124"</f>
        <v>275124</v>
      </c>
      <c r="C7806" s="19" t="s">
        <v>7692</v>
      </c>
      <c r="D7806" s="19" t="s">
        <v>23225</v>
      </c>
      <c r="E7806" s="19" t="s">
        <v>33757</v>
      </c>
      <c r="F7806" s="19" t="s">
        <v>36000</v>
      </c>
      <c r="G7806" s="18" t="str">
        <f>"59725"</f>
        <v>59725</v>
      </c>
      <c r="H7806" s="19" t="s">
        <v>36545</v>
      </c>
      <c r="I7806" s="20">
        <v>18.181000000000001</v>
      </c>
      <c r="J7806" s="44" t="s">
        <v>8</v>
      </c>
      <c r="K7806" s="23" t="s">
        <v>8</v>
      </c>
      <c r="L7806" s="23" t="s">
        <v>8</v>
      </c>
      <c r="M7806" s="23" t="s">
        <v>8</v>
      </c>
    </row>
    <row r="7807" spans="1:13" s="21" customFormat="1" x14ac:dyDescent="0.25">
      <c r="A7807" s="22" t="s">
        <v>8</v>
      </c>
      <c r="B7807" s="18" t="str">
        <f>"275125"</f>
        <v>275125</v>
      </c>
      <c r="C7807" s="19" t="s">
        <v>7693</v>
      </c>
      <c r="D7807" s="19" t="s">
        <v>23226</v>
      </c>
      <c r="E7807" s="19" t="s">
        <v>33188</v>
      </c>
      <c r="F7807" s="19" t="s">
        <v>36000</v>
      </c>
      <c r="G7807" s="18" t="str">
        <f>"59870"</f>
        <v>59870</v>
      </c>
      <c r="H7807" s="19" t="s">
        <v>36542</v>
      </c>
      <c r="I7807" s="20">
        <v>19.105</v>
      </c>
      <c r="J7807" s="44" t="s">
        <v>8</v>
      </c>
      <c r="K7807" s="23" t="s">
        <v>8</v>
      </c>
      <c r="L7807" s="23" t="s">
        <v>8</v>
      </c>
      <c r="M7807" s="23" t="s">
        <v>8</v>
      </c>
    </row>
    <row r="7808" spans="1:13" s="21" customFormat="1" x14ac:dyDescent="0.25">
      <c r="A7808" s="22" t="s">
        <v>8</v>
      </c>
      <c r="B7808" s="18" t="str">
        <f>"275126"</f>
        <v>275126</v>
      </c>
      <c r="C7808" s="19" t="s">
        <v>2552</v>
      </c>
      <c r="D7808" s="19" t="s">
        <v>23227</v>
      </c>
      <c r="E7808" s="19" t="s">
        <v>33737</v>
      </c>
      <c r="F7808" s="19" t="s">
        <v>36000</v>
      </c>
      <c r="G7808" s="18" t="str">
        <f>"59802"</f>
        <v>59802</v>
      </c>
      <c r="H7808" s="19" t="s">
        <v>33737</v>
      </c>
      <c r="I7808" s="20">
        <v>16.402999999999999</v>
      </c>
      <c r="J7808" s="44" t="s">
        <v>8</v>
      </c>
      <c r="K7808" s="23" t="s">
        <v>8</v>
      </c>
      <c r="L7808" s="23" t="s">
        <v>8</v>
      </c>
      <c r="M7808" s="23" t="s">
        <v>8</v>
      </c>
    </row>
    <row r="7809" spans="1:13" s="21" customFormat="1" x14ac:dyDescent="0.25">
      <c r="A7809" s="22" t="s">
        <v>8</v>
      </c>
      <c r="B7809" s="18" t="str">
        <f>"275127"</f>
        <v>275127</v>
      </c>
      <c r="C7809" s="19" t="s">
        <v>7694</v>
      </c>
      <c r="D7809" s="19" t="s">
        <v>23228</v>
      </c>
      <c r="E7809" s="19" t="s">
        <v>33758</v>
      </c>
      <c r="F7809" s="19" t="s">
        <v>36000</v>
      </c>
      <c r="G7809" s="18" t="str">
        <f>"59523"</f>
        <v>59523</v>
      </c>
      <c r="H7809" s="19" t="s">
        <v>35482</v>
      </c>
      <c r="I7809" s="20">
        <v>18.068999999999999</v>
      </c>
      <c r="J7809" s="44" t="s">
        <v>8</v>
      </c>
      <c r="K7809" s="23" t="s">
        <v>8</v>
      </c>
      <c r="L7809" s="23" t="s">
        <v>8</v>
      </c>
      <c r="M7809" s="23" t="s">
        <v>8</v>
      </c>
    </row>
    <row r="7810" spans="1:13" s="21" customFormat="1" x14ac:dyDescent="0.25">
      <c r="A7810" s="22" t="s">
        <v>8</v>
      </c>
      <c r="B7810" s="18" t="str">
        <f>"275129"</f>
        <v>275129</v>
      </c>
      <c r="C7810" s="19" t="s">
        <v>7695</v>
      </c>
      <c r="D7810" s="19" t="s">
        <v>23229</v>
      </c>
      <c r="E7810" s="19" t="s">
        <v>33736</v>
      </c>
      <c r="F7810" s="19" t="s">
        <v>36000</v>
      </c>
      <c r="G7810" s="18" t="str">
        <f>"59901"</f>
        <v>59901</v>
      </c>
      <c r="H7810" s="19" t="s">
        <v>36536</v>
      </c>
      <c r="I7810" s="20">
        <v>18.236000000000001</v>
      </c>
      <c r="J7810" s="44" t="s">
        <v>8</v>
      </c>
      <c r="K7810" s="23" t="s">
        <v>8</v>
      </c>
      <c r="L7810" s="23" t="s">
        <v>8</v>
      </c>
      <c r="M7810" s="23" t="s">
        <v>8</v>
      </c>
    </row>
    <row r="7811" spans="1:13" s="21" customFormat="1" x14ac:dyDescent="0.25">
      <c r="A7811" s="22" t="s">
        <v>8</v>
      </c>
      <c r="B7811" s="18" t="str">
        <f>"275131"</f>
        <v>275131</v>
      </c>
      <c r="C7811" s="19" t="s">
        <v>7696</v>
      </c>
      <c r="D7811" s="19" t="s">
        <v>23230</v>
      </c>
      <c r="E7811" s="19" t="s">
        <v>33759</v>
      </c>
      <c r="F7811" s="19" t="s">
        <v>36000</v>
      </c>
      <c r="G7811" s="18" t="str">
        <f>"59538"</f>
        <v>59538</v>
      </c>
      <c r="H7811" s="19" t="s">
        <v>35674</v>
      </c>
      <c r="I7811" s="20">
        <v>18.905000000000001</v>
      </c>
      <c r="J7811" s="44" t="s">
        <v>8</v>
      </c>
      <c r="K7811" s="23" t="s">
        <v>8</v>
      </c>
      <c r="L7811" s="23" t="s">
        <v>8</v>
      </c>
      <c r="M7811" s="23" t="s">
        <v>8</v>
      </c>
    </row>
    <row r="7812" spans="1:13" s="21" customFormat="1" x14ac:dyDescent="0.25">
      <c r="A7812" s="22" t="s">
        <v>8</v>
      </c>
      <c r="B7812" s="18" t="str">
        <f>"275132"</f>
        <v>275132</v>
      </c>
      <c r="C7812" s="19" t="s">
        <v>7697</v>
      </c>
      <c r="D7812" s="19" t="s">
        <v>23231</v>
      </c>
      <c r="E7812" s="19" t="s">
        <v>33760</v>
      </c>
      <c r="F7812" s="19" t="s">
        <v>36000</v>
      </c>
      <c r="G7812" s="18" t="str">
        <f>"59937"</f>
        <v>59937</v>
      </c>
      <c r="H7812" s="19" t="s">
        <v>36536</v>
      </c>
      <c r="I7812" s="20">
        <v>18.73</v>
      </c>
      <c r="J7812" s="44" t="s">
        <v>8</v>
      </c>
      <c r="K7812" s="23" t="s">
        <v>8</v>
      </c>
      <c r="L7812" s="23" t="s">
        <v>8</v>
      </c>
      <c r="M7812" s="23" t="s">
        <v>8</v>
      </c>
    </row>
    <row r="7813" spans="1:13" s="21" customFormat="1" x14ac:dyDescent="0.25">
      <c r="A7813" s="22" t="s">
        <v>8</v>
      </c>
      <c r="B7813" s="18" t="str">
        <f>"275134"</f>
        <v>275134</v>
      </c>
      <c r="C7813" s="19" t="s">
        <v>7698</v>
      </c>
      <c r="D7813" s="19" t="s">
        <v>23232</v>
      </c>
      <c r="E7813" s="19" t="s">
        <v>7698</v>
      </c>
      <c r="F7813" s="19" t="s">
        <v>36000</v>
      </c>
      <c r="G7813" s="18" t="str">
        <f>"59722"</f>
        <v>59722</v>
      </c>
      <c r="H7813" s="19" t="s">
        <v>36346</v>
      </c>
      <c r="I7813" s="20">
        <v>17.97</v>
      </c>
      <c r="J7813" s="44" t="s">
        <v>8</v>
      </c>
      <c r="K7813" s="23" t="s">
        <v>8</v>
      </c>
      <c r="L7813" s="23" t="s">
        <v>8</v>
      </c>
      <c r="M7813" s="23" t="s">
        <v>8</v>
      </c>
    </row>
    <row r="7814" spans="1:13" s="21" customFormat="1" x14ac:dyDescent="0.25">
      <c r="A7814" s="22" t="s">
        <v>8</v>
      </c>
      <c r="B7814" s="18" t="str">
        <f>"275135"</f>
        <v>275135</v>
      </c>
      <c r="C7814" s="19" t="s">
        <v>7699</v>
      </c>
      <c r="D7814" s="19" t="s">
        <v>23233</v>
      </c>
      <c r="E7814" s="19" t="s">
        <v>30804</v>
      </c>
      <c r="F7814" s="19" t="s">
        <v>36000</v>
      </c>
      <c r="G7814" s="18" t="str">
        <f>"59840"</f>
        <v>59840</v>
      </c>
      <c r="H7814" s="19" t="s">
        <v>36542</v>
      </c>
      <c r="I7814" s="20">
        <v>18.065000000000001</v>
      </c>
      <c r="J7814" s="44" t="s">
        <v>8</v>
      </c>
      <c r="K7814" s="23" t="s">
        <v>8</v>
      </c>
      <c r="L7814" s="23" t="s">
        <v>8</v>
      </c>
      <c r="M7814" s="23" t="s">
        <v>8</v>
      </c>
    </row>
    <row r="7815" spans="1:13" s="21" customFormat="1" x14ac:dyDescent="0.25">
      <c r="A7815" s="22" t="s">
        <v>8</v>
      </c>
      <c r="B7815" s="18" t="str">
        <f>"275136"</f>
        <v>275136</v>
      </c>
      <c r="C7815" s="19" t="s">
        <v>7700</v>
      </c>
      <c r="D7815" s="19" t="s">
        <v>23234</v>
      </c>
      <c r="E7815" s="19" t="s">
        <v>33761</v>
      </c>
      <c r="F7815" s="19" t="s">
        <v>36000</v>
      </c>
      <c r="G7815" s="18" t="str">
        <f>"59729"</f>
        <v>59729</v>
      </c>
      <c r="H7815" s="19" t="s">
        <v>30899</v>
      </c>
      <c r="I7815" s="20">
        <v>18.635999999999999</v>
      </c>
      <c r="J7815" s="44" t="s">
        <v>8</v>
      </c>
      <c r="K7815" s="23" t="s">
        <v>8</v>
      </c>
      <c r="L7815" s="23" t="s">
        <v>8</v>
      </c>
      <c r="M7815" s="23" t="s">
        <v>8</v>
      </c>
    </row>
    <row r="7816" spans="1:13" s="21" customFormat="1" x14ac:dyDescent="0.25">
      <c r="A7816" s="22" t="s">
        <v>8</v>
      </c>
      <c r="B7816" s="18" t="str">
        <f>"275140"</f>
        <v>275140</v>
      </c>
      <c r="C7816" s="19" t="s">
        <v>7701</v>
      </c>
      <c r="D7816" s="19" t="s">
        <v>23235</v>
      </c>
      <c r="E7816" s="19" t="s">
        <v>33735</v>
      </c>
      <c r="F7816" s="19" t="s">
        <v>36000</v>
      </c>
      <c r="G7816" s="18" t="str">
        <f>"59102"</f>
        <v>59102</v>
      </c>
      <c r="H7816" s="19" t="s">
        <v>36534</v>
      </c>
      <c r="I7816" s="20">
        <v>17.741</v>
      </c>
      <c r="J7816" s="44" t="s">
        <v>8</v>
      </c>
      <c r="K7816" s="23" t="s">
        <v>8</v>
      </c>
      <c r="L7816" s="23" t="s">
        <v>8</v>
      </c>
      <c r="M7816" s="23" t="s">
        <v>8</v>
      </c>
    </row>
    <row r="7817" spans="1:13" s="21" customFormat="1" x14ac:dyDescent="0.25">
      <c r="A7817" s="22" t="s">
        <v>8</v>
      </c>
      <c r="B7817" s="18" t="str">
        <f>"275144"</f>
        <v>275144</v>
      </c>
      <c r="C7817" s="19" t="s">
        <v>7702</v>
      </c>
      <c r="D7817" s="19" t="s">
        <v>23236</v>
      </c>
      <c r="E7817" s="19" t="s">
        <v>33747</v>
      </c>
      <c r="F7817" s="19" t="s">
        <v>36000</v>
      </c>
      <c r="G7817" s="18" t="str">
        <f>"59330"</f>
        <v>59330</v>
      </c>
      <c r="H7817" s="19" t="s">
        <v>31786</v>
      </c>
      <c r="I7817" s="20">
        <v>18.984000000000002</v>
      </c>
      <c r="J7817" s="44" t="s">
        <v>8</v>
      </c>
      <c r="K7817" s="23" t="s">
        <v>8</v>
      </c>
      <c r="L7817" s="23" t="s">
        <v>8</v>
      </c>
      <c r="M7817" s="23" t="s">
        <v>8</v>
      </c>
    </row>
    <row r="7818" spans="1:13" s="21" customFormat="1" x14ac:dyDescent="0.25">
      <c r="A7818" s="22" t="s">
        <v>8</v>
      </c>
      <c r="B7818" s="18" t="str">
        <f>"275147"</f>
        <v>275147</v>
      </c>
      <c r="C7818" s="19" t="s">
        <v>7703</v>
      </c>
      <c r="D7818" s="19" t="s">
        <v>23237</v>
      </c>
      <c r="E7818" s="19" t="s">
        <v>31039</v>
      </c>
      <c r="F7818" s="19" t="s">
        <v>36000</v>
      </c>
      <c r="G7818" s="18" t="str">
        <f>"59749"</f>
        <v>59749</v>
      </c>
      <c r="H7818" s="19" t="s">
        <v>30899</v>
      </c>
      <c r="I7818" s="20">
        <v>19.337</v>
      </c>
      <c r="J7818" s="44" t="s">
        <v>8</v>
      </c>
      <c r="K7818" s="23" t="s">
        <v>8</v>
      </c>
      <c r="L7818" s="23" t="s">
        <v>8</v>
      </c>
      <c r="M7818" s="23" t="s">
        <v>8</v>
      </c>
    </row>
    <row r="7819" spans="1:13" s="21" customFormat="1" x14ac:dyDescent="0.25">
      <c r="A7819" s="22" t="s">
        <v>8</v>
      </c>
      <c r="B7819" s="18" t="str">
        <f>"275152"</f>
        <v>275152</v>
      </c>
      <c r="C7819" s="19" t="s">
        <v>7704</v>
      </c>
      <c r="D7819" s="19" t="s">
        <v>23238</v>
      </c>
      <c r="E7819" s="19" t="s">
        <v>33735</v>
      </c>
      <c r="F7819" s="19" t="s">
        <v>36000</v>
      </c>
      <c r="G7819" s="18" t="str">
        <f>"59107"</f>
        <v>59107</v>
      </c>
      <c r="H7819" s="19" t="s">
        <v>36534</v>
      </c>
      <c r="I7819" s="20">
        <v>17.212</v>
      </c>
      <c r="J7819" s="44" t="s">
        <v>8</v>
      </c>
      <c r="K7819" s="23" t="s">
        <v>8</v>
      </c>
      <c r="L7819" s="23" t="s">
        <v>8</v>
      </c>
      <c r="M7819" s="23" t="s">
        <v>8</v>
      </c>
    </row>
    <row r="7820" spans="1:13" s="21" customFormat="1" x14ac:dyDescent="0.25">
      <c r="A7820" s="22" t="s">
        <v>8</v>
      </c>
      <c r="B7820" s="18" t="s">
        <v>15293</v>
      </c>
      <c r="C7820" s="19" t="s">
        <v>7705</v>
      </c>
      <c r="D7820" s="19" t="s">
        <v>23239</v>
      </c>
      <c r="E7820" s="19" t="s">
        <v>31715</v>
      </c>
      <c r="F7820" s="19" t="s">
        <v>36001</v>
      </c>
      <c r="G7820" s="18" t="str">
        <f>"68601"</f>
        <v>68601</v>
      </c>
      <c r="H7820" s="19" t="s">
        <v>36520</v>
      </c>
      <c r="I7820" s="20">
        <v>16.699000000000002</v>
      </c>
      <c r="J7820" s="44" t="s">
        <v>8</v>
      </c>
      <c r="K7820" s="23" t="s">
        <v>8</v>
      </c>
      <c r="L7820" s="23" t="s">
        <v>8</v>
      </c>
      <c r="M7820" s="23" t="s">
        <v>8</v>
      </c>
    </row>
    <row r="7821" spans="1:13" s="21" customFormat="1" x14ac:dyDescent="0.25">
      <c r="A7821" s="22" t="s">
        <v>8</v>
      </c>
      <c r="B7821" s="18" t="str">
        <f>"285002"</f>
        <v>285002</v>
      </c>
      <c r="C7821" s="19" t="s">
        <v>7706</v>
      </c>
      <c r="D7821" s="19" t="s">
        <v>23240</v>
      </c>
      <c r="E7821" s="19" t="s">
        <v>31995</v>
      </c>
      <c r="F7821" s="19" t="s">
        <v>36001</v>
      </c>
      <c r="G7821" s="18" t="str">
        <f>"68502"</f>
        <v>68502</v>
      </c>
      <c r="H7821" s="19" t="s">
        <v>31184</v>
      </c>
      <c r="I7821" s="20">
        <v>18.192</v>
      </c>
      <c r="J7821" s="44" t="s">
        <v>8</v>
      </c>
      <c r="K7821" s="23" t="s">
        <v>8</v>
      </c>
      <c r="L7821" s="23" t="s">
        <v>8</v>
      </c>
      <c r="M7821" s="23" t="s">
        <v>8</v>
      </c>
    </row>
    <row r="7822" spans="1:13" s="21" customFormat="1" x14ac:dyDescent="0.25">
      <c r="A7822" s="22" t="s">
        <v>8</v>
      </c>
      <c r="B7822" s="18" t="str">
        <f>"285004"</f>
        <v>285004</v>
      </c>
      <c r="C7822" s="19" t="s">
        <v>7707</v>
      </c>
      <c r="D7822" s="19" t="s">
        <v>23241</v>
      </c>
      <c r="E7822" s="19" t="s">
        <v>31995</v>
      </c>
      <c r="F7822" s="19" t="s">
        <v>36001</v>
      </c>
      <c r="G7822" s="18" t="str">
        <f>"68506"</f>
        <v>68506</v>
      </c>
      <c r="H7822" s="19" t="s">
        <v>31184</v>
      </c>
      <c r="I7822" s="20">
        <v>16.507000000000001</v>
      </c>
      <c r="J7822" s="44" t="s">
        <v>8</v>
      </c>
      <c r="K7822" s="23" t="s">
        <v>8</v>
      </c>
      <c r="L7822" s="23" t="s">
        <v>8</v>
      </c>
      <c r="M7822" s="23" t="s">
        <v>8</v>
      </c>
    </row>
    <row r="7823" spans="1:13" s="21" customFormat="1" x14ac:dyDescent="0.25">
      <c r="A7823" s="22" t="s">
        <v>8</v>
      </c>
      <c r="B7823" s="18" t="str">
        <f>"285019"</f>
        <v>285019</v>
      </c>
      <c r="C7823" s="19" t="s">
        <v>7708</v>
      </c>
      <c r="D7823" s="19" t="s">
        <v>23242</v>
      </c>
      <c r="E7823" s="19" t="s">
        <v>33762</v>
      </c>
      <c r="F7823" s="19" t="s">
        <v>36001</v>
      </c>
      <c r="G7823" s="18" t="str">
        <f>"68105"</f>
        <v>68105</v>
      </c>
      <c r="H7823" s="19" t="s">
        <v>30966</v>
      </c>
      <c r="I7823" s="20">
        <v>15.224</v>
      </c>
      <c r="J7823" s="44" t="s">
        <v>8</v>
      </c>
      <c r="K7823" s="23" t="s">
        <v>8</v>
      </c>
      <c r="L7823" s="23" t="s">
        <v>8</v>
      </c>
      <c r="M7823" s="23" t="s">
        <v>8</v>
      </c>
    </row>
    <row r="7824" spans="1:13" s="21" customFormat="1" x14ac:dyDescent="0.25">
      <c r="A7824" s="22" t="s">
        <v>8</v>
      </c>
      <c r="B7824" s="18" t="str">
        <f>"285036"</f>
        <v>285036</v>
      </c>
      <c r="C7824" s="19" t="s">
        <v>7709</v>
      </c>
      <c r="D7824" s="19" t="s">
        <v>23243</v>
      </c>
      <c r="E7824" s="19" t="s">
        <v>31995</v>
      </c>
      <c r="F7824" s="19" t="s">
        <v>36001</v>
      </c>
      <c r="G7824" s="18" t="str">
        <f>"68510"</f>
        <v>68510</v>
      </c>
      <c r="H7824" s="19" t="s">
        <v>31184</v>
      </c>
      <c r="I7824" s="20">
        <v>18.242999999999999</v>
      </c>
      <c r="J7824" s="44" t="s">
        <v>8</v>
      </c>
      <c r="K7824" s="23" t="s">
        <v>8</v>
      </c>
      <c r="L7824" s="23" t="s">
        <v>8</v>
      </c>
      <c r="M7824" s="23" t="s">
        <v>8</v>
      </c>
    </row>
    <row r="7825" spans="1:13" s="21" customFormat="1" x14ac:dyDescent="0.25">
      <c r="A7825" s="22" t="s">
        <v>8</v>
      </c>
      <c r="B7825" s="18" t="str">
        <f>"285049"</f>
        <v>285049</v>
      </c>
      <c r="C7825" s="19" t="s">
        <v>7710</v>
      </c>
      <c r="D7825" s="19" t="s">
        <v>23244</v>
      </c>
      <c r="E7825" s="19" t="s">
        <v>31995</v>
      </c>
      <c r="F7825" s="19" t="s">
        <v>36001</v>
      </c>
      <c r="G7825" s="18" t="str">
        <f>"68516"</f>
        <v>68516</v>
      </c>
      <c r="H7825" s="19" t="s">
        <v>31184</v>
      </c>
      <c r="I7825" s="20">
        <v>16.675999999999998</v>
      </c>
      <c r="J7825" s="44" t="s">
        <v>8</v>
      </c>
      <c r="K7825" s="23" t="s">
        <v>8</v>
      </c>
      <c r="L7825" s="23" t="s">
        <v>8</v>
      </c>
      <c r="M7825" s="23" t="s">
        <v>8</v>
      </c>
    </row>
    <row r="7826" spans="1:13" s="21" customFormat="1" x14ac:dyDescent="0.25">
      <c r="A7826" s="22" t="s">
        <v>8</v>
      </c>
      <c r="B7826" s="18" t="str">
        <f>"285054"</f>
        <v>285054</v>
      </c>
      <c r="C7826" s="19" t="s">
        <v>7711</v>
      </c>
      <c r="D7826" s="19" t="s">
        <v>23245</v>
      </c>
      <c r="E7826" s="19" t="s">
        <v>33762</v>
      </c>
      <c r="F7826" s="19" t="s">
        <v>36001</v>
      </c>
      <c r="G7826" s="18" t="str">
        <f>"68144"</f>
        <v>68144</v>
      </c>
      <c r="H7826" s="19" t="s">
        <v>30966</v>
      </c>
      <c r="I7826" s="20">
        <v>19.402000000000001</v>
      </c>
      <c r="J7826" s="44" t="s">
        <v>8</v>
      </c>
      <c r="K7826" s="23" t="s">
        <v>8</v>
      </c>
      <c r="L7826" s="23" t="s">
        <v>8</v>
      </c>
      <c r="M7826" s="23" t="s">
        <v>8</v>
      </c>
    </row>
    <row r="7827" spans="1:13" s="21" customFormat="1" x14ac:dyDescent="0.25">
      <c r="A7827" s="22" t="s">
        <v>8</v>
      </c>
      <c r="B7827" s="18" t="str">
        <f>"285055"</f>
        <v>285055</v>
      </c>
      <c r="C7827" s="19" t="s">
        <v>7712</v>
      </c>
      <c r="D7827" s="19" t="s">
        <v>23246</v>
      </c>
      <c r="E7827" s="19" t="s">
        <v>33763</v>
      </c>
      <c r="F7827" s="19" t="s">
        <v>36001</v>
      </c>
      <c r="G7827" s="18" t="str">
        <f>"68355"</f>
        <v>68355</v>
      </c>
      <c r="H7827" s="19" t="s">
        <v>35806</v>
      </c>
      <c r="I7827" s="20">
        <v>18.771000000000001</v>
      </c>
      <c r="J7827" s="44" t="s">
        <v>8</v>
      </c>
      <c r="K7827" s="23" t="s">
        <v>8</v>
      </c>
      <c r="L7827" s="23" t="s">
        <v>8</v>
      </c>
      <c r="M7827" s="23" t="s">
        <v>8</v>
      </c>
    </row>
    <row r="7828" spans="1:13" s="21" customFormat="1" x14ac:dyDescent="0.25">
      <c r="A7828" s="22" t="s">
        <v>8</v>
      </c>
      <c r="B7828" s="18" t="str">
        <f>"285057"</f>
        <v>285057</v>
      </c>
      <c r="C7828" s="19" t="s">
        <v>7713</v>
      </c>
      <c r="D7828" s="19" t="s">
        <v>23247</v>
      </c>
      <c r="E7828" s="19" t="s">
        <v>31995</v>
      </c>
      <c r="F7828" s="19" t="s">
        <v>36001</v>
      </c>
      <c r="G7828" s="18" t="str">
        <f>"68510"</f>
        <v>68510</v>
      </c>
      <c r="H7828" s="19" t="s">
        <v>31184</v>
      </c>
      <c r="I7828" s="20">
        <v>16.154</v>
      </c>
      <c r="J7828" s="44" t="s">
        <v>8</v>
      </c>
      <c r="K7828" s="23" t="s">
        <v>8</v>
      </c>
      <c r="L7828" s="23" t="s">
        <v>8</v>
      </c>
      <c r="M7828" s="23" t="s">
        <v>8</v>
      </c>
    </row>
    <row r="7829" spans="1:13" s="21" customFormat="1" x14ac:dyDescent="0.25">
      <c r="A7829" s="22" t="s">
        <v>8</v>
      </c>
      <c r="B7829" s="18" t="str">
        <f>"285058"</f>
        <v>285058</v>
      </c>
      <c r="C7829" s="19" t="s">
        <v>7714</v>
      </c>
      <c r="D7829" s="19" t="s">
        <v>23248</v>
      </c>
      <c r="E7829" s="19" t="s">
        <v>33762</v>
      </c>
      <c r="F7829" s="19" t="s">
        <v>36001</v>
      </c>
      <c r="G7829" s="18" t="str">
        <f>"68124"</f>
        <v>68124</v>
      </c>
      <c r="H7829" s="19" t="s">
        <v>30966</v>
      </c>
      <c r="I7829" s="20">
        <v>19.529</v>
      </c>
      <c r="J7829" s="44" t="s">
        <v>8</v>
      </c>
      <c r="K7829" s="23" t="s">
        <v>8</v>
      </c>
      <c r="L7829" s="23" t="s">
        <v>8</v>
      </c>
      <c r="M7829" s="23" t="s">
        <v>8</v>
      </c>
    </row>
    <row r="7830" spans="1:13" s="21" customFormat="1" x14ac:dyDescent="0.25">
      <c r="A7830" s="22" t="s">
        <v>8</v>
      </c>
      <c r="B7830" s="18" t="str">
        <f>"285059"</f>
        <v>285059</v>
      </c>
      <c r="C7830" s="19" t="s">
        <v>7715</v>
      </c>
      <c r="D7830" s="19" t="s">
        <v>23249</v>
      </c>
      <c r="E7830" s="19" t="s">
        <v>33762</v>
      </c>
      <c r="F7830" s="19" t="s">
        <v>36001</v>
      </c>
      <c r="G7830" s="18" t="str">
        <f>"68154"</f>
        <v>68154</v>
      </c>
      <c r="H7830" s="19" t="s">
        <v>30966</v>
      </c>
      <c r="I7830" s="20">
        <v>20.061</v>
      </c>
      <c r="J7830" s="44" t="s">
        <v>8</v>
      </c>
      <c r="K7830" s="23" t="s">
        <v>8</v>
      </c>
      <c r="L7830" s="23" t="s">
        <v>8</v>
      </c>
      <c r="M7830" s="23" t="s">
        <v>8</v>
      </c>
    </row>
    <row r="7831" spans="1:13" s="21" customFormat="1" x14ac:dyDescent="0.25">
      <c r="A7831" s="22" t="s">
        <v>8</v>
      </c>
      <c r="B7831" s="18" t="str">
        <f>"285062"</f>
        <v>285062</v>
      </c>
      <c r="C7831" s="19" t="s">
        <v>7716</v>
      </c>
      <c r="D7831" s="19" t="s">
        <v>23250</v>
      </c>
      <c r="E7831" s="19" t="s">
        <v>33764</v>
      </c>
      <c r="F7831" s="19" t="s">
        <v>36001</v>
      </c>
      <c r="G7831" s="18" t="str">
        <f>"68666"</f>
        <v>68666</v>
      </c>
      <c r="H7831" s="19" t="s">
        <v>36062</v>
      </c>
      <c r="I7831" s="20">
        <v>18.634</v>
      </c>
      <c r="J7831" s="44" t="s">
        <v>8</v>
      </c>
      <c r="K7831" s="23" t="s">
        <v>8</v>
      </c>
      <c r="L7831" s="23" t="s">
        <v>8</v>
      </c>
      <c r="M7831" s="23" t="s">
        <v>8</v>
      </c>
    </row>
    <row r="7832" spans="1:13" s="21" customFormat="1" x14ac:dyDescent="0.25">
      <c r="A7832" s="22" t="s">
        <v>8</v>
      </c>
      <c r="B7832" s="18" t="str">
        <f>"285063"</f>
        <v>285063</v>
      </c>
      <c r="C7832" s="19" t="s">
        <v>7717</v>
      </c>
      <c r="D7832" s="19" t="s">
        <v>23251</v>
      </c>
      <c r="E7832" s="19" t="s">
        <v>33765</v>
      </c>
      <c r="F7832" s="19" t="s">
        <v>36001</v>
      </c>
      <c r="G7832" s="18" t="str">
        <f>"69301"</f>
        <v>69301</v>
      </c>
      <c r="H7832" s="19" t="s">
        <v>36546</v>
      </c>
      <c r="I7832" s="20">
        <v>19.21</v>
      </c>
      <c r="J7832" s="44" t="s">
        <v>8</v>
      </c>
      <c r="K7832" s="23" t="s">
        <v>8</v>
      </c>
      <c r="L7832" s="23" t="s">
        <v>8</v>
      </c>
      <c r="M7832" s="23" t="s">
        <v>8</v>
      </c>
    </row>
    <row r="7833" spans="1:13" s="21" customFormat="1" x14ac:dyDescent="0.25">
      <c r="A7833" s="22" t="s">
        <v>8</v>
      </c>
      <c r="B7833" s="18" t="str">
        <f>"285065"</f>
        <v>285065</v>
      </c>
      <c r="C7833" s="19" t="s">
        <v>7718</v>
      </c>
      <c r="D7833" s="19" t="s">
        <v>23252</v>
      </c>
      <c r="E7833" s="19" t="s">
        <v>33467</v>
      </c>
      <c r="F7833" s="19" t="s">
        <v>36001</v>
      </c>
      <c r="G7833" s="18" t="str">
        <f>"68301"</f>
        <v>68301</v>
      </c>
      <c r="H7833" s="19" t="s">
        <v>36547</v>
      </c>
      <c r="I7833" s="20">
        <v>17.667000000000002</v>
      </c>
      <c r="J7833" s="44" t="s">
        <v>8</v>
      </c>
      <c r="K7833" s="23" t="s">
        <v>8</v>
      </c>
      <c r="L7833" s="23" t="s">
        <v>8</v>
      </c>
      <c r="M7833" s="23" t="s">
        <v>8</v>
      </c>
    </row>
    <row r="7834" spans="1:13" s="21" customFormat="1" x14ac:dyDescent="0.25">
      <c r="A7834" s="22" t="s">
        <v>8</v>
      </c>
      <c r="B7834" s="18" t="str">
        <f>"285066"</f>
        <v>285066</v>
      </c>
      <c r="C7834" s="19" t="s">
        <v>7719</v>
      </c>
      <c r="D7834" s="19" t="s">
        <v>23253</v>
      </c>
      <c r="E7834" s="19" t="s">
        <v>31995</v>
      </c>
      <c r="F7834" s="19" t="s">
        <v>36001</v>
      </c>
      <c r="G7834" s="18" t="str">
        <f>"68506"</f>
        <v>68506</v>
      </c>
      <c r="H7834" s="19" t="s">
        <v>31184</v>
      </c>
      <c r="I7834" s="20">
        <v>18.663</v>
      </c>
      <c r="J7834" s="44" t="s">
        <v>8</v>
      </c>
      <c r="K7834" s="23" t="s">
        <v>8</v>
      </c>
      <c r="L7834" s="23" t="s">
        <v>8</v>
      </c>
      <c r="M7834" s="23" t="s">
        <v>8</v>
      </c>
    </row>
    <row r="7835" spans="1:13" s="21" customFormat="1" x14ac:dyDescent="0.25">
      <c r="A7835" s="22" t="s">
        <v>8</v>
      </c>
      <c r="B7835" s="18" t="str">
        <f>"285067"</f>
        <v>285067</v>
      </c>
      <c r="C7835" s="19" t="s">
        <v>7720</v>
      </c>
      <c r="D7835" s="19" t="s">
        <v>23254</v>
      </c>
      <c r="E7835" s="19" t="s">
        <v>33766</v>
      </c>
      <c r="F7835" s="19" t="s">
        <v>36001</v>
      </c>
      <c r="G7835" s="18" t="str">
        <f>"68949"</f>
        <v>68949</v>
      </c>
      <c r="H7835" s="19" t="s">
        <v>32722</v>
      </c>
      <c r="I7835" s="20">
        <v>19.222999999999999</v>
      </c>
      <c r="J7835" s="44" t="s">
        <v>8</v>
      </c>
      <c r="K7835" s="23" t="s">
        <v>8</v>
      </c>
      <c r="L7835" s="23" t="s">
        <v>8</v>
      </c>
      <c r="M7835" s="23" t="s">
        <v>8</v>
      </c>
    </row>
    <row r="7836" spans="1:13" s="21" customFormat="1" x14ac:dyDescent="0.25">
      <c r="A7836" s="22" t="s">
        <v>8</v>
      </c>
      <c r="B7836" s="18" t="str">
        <f>"285071"</f>
        <v>285071</v>
      </c>
      <c r="C7836" s="19" t="s">
        <v>7721</v>
      </c>
      <c r="D7836" s="19" t="s">
        <v>23255</v>
      </c>
      <c r="E7836" s="19" t="s">
        <v>33767</v>
      </c>
      <c r="F7836" s="19" t="s">
        <v>36001</v>
      </c>
      <c r="G7836" s="18" t="str">
        <f>"69341"</f>
        <v>69341</v>
      </c>
      <c r="H7836" s="19" t="s">
        <v>36548</v>
      </c>
      <c r="I7836" s="20">
        <v>16.074999999999999</v>
      </c>
      <c r="J7836" s="44" t="s">
        <v>8</v>
      </c>
      <c r="K7836" s="23" t="s">
        <v>8</v>
      </c>
      <c r="L7836" s="23" t="s">
        <v>8</v>
      </c>
      <c r="M7836" s="23" t="s">
        <v>8</v>
      </c>
    </row>
    <row r="7837" spans="1:13" s="21" customFormat="1" x14ac:dyDescent="0.25">
      <c r="A7837" s="22" t="s">
        <v>8</v>
      </c>
      <c r="B7837" s="18" t="str">
        <f>"285072"</f>
        <v>285072</v>
      </c>
      <c r="C7837" s="19" t="s">
        <v>7722</v>
      </c>
      <c r="D7837" s="19" t="s">
        <v>23256</v>
      </c>
      <c r="E7837" s="19" t="s">
        <v>33150</v>
      </c>
      <c r="F7837" s="19" t="s">
        <v>36001</v>
      </c>
      <c r="G7837" s="18" t="str">
        <f>"68901"</f>
        <v>68901</v>
      </c>
      <c r="H7837" s="19" t="s">
        <v>33467</v>
      </c>
      <c r="I7837" s="20">
        <v>15.215999999999999</v>
      </c>
      <c r="J7837" s="44" t="s">
        <v>8</v>
      </c>
      <c r="K7837" s="23" t="s">
        <v>8</v>
      </c>
      <c r="L7837" s="23" t="s">
        <v>8</v>
      </c>
      <c r="M7837" s="23" t="s">
        <v>8</v>
      </c>
    </row>
    <row r="7838" spans="1:13" s="21" customFormat="1" x14ac:dyDescent="0.25">
      <c r="A7838" s="22" t="s">
        <v>8</v>
      </c>
      <c r="B7838" s="18" t="str">
        <f>"285073"</f>
        <v>285073</v>
      </c>
      <c r="C7838" s="19" t="s">
        <v>7723</v>
      </c>
      <c r="D7838" s="19" t="s">
        <v>23257</v>
      </c>
      <c r="E7838" s="19" t="s">
        <v>33768</v>
      </c>
      <c r="F7838" s="19" t="s">
        <v>36001</v>
      </c>
      <c r="G7838" s="18" t="str">
        <f>"68727"</f>
        <v>68727</v>
      </c>
      <c r="H7838" s="19" t="s">
        <v>36284</v>
      </c>
      <c r="I7838" s="20">
        <v>18.048999999999999</v>
      </c>
      <c r="J7838" s="44" t="s">
        <v>8</v>
      </c>
      <c r="K7838" s="23" t="s">
        <v>8</v>
      </c>
      <c r="L7838" s="23" t="s">
        <v>8</v>
      </c>
      <c r="M7838" s="23" t="s">
        <v>8</v>
      </c>
    </row>
    <row r="7839" spans="1:13" s="21" customFormat="1" x14ac:dyDescent="0.25">
      <c r="A7839" s="22" t="s">
        <v>8</v>
      </c>
      <c r="B7839" s="18" t="str">
        <f>"285074"</f>
        <v>285074</v>
      </c>
      <c r="C7839" s="19" t="s">
        <v>7724</v>
      </c>
      <c r="D7839" s="19" t="s">
        <v>23258</v>
      </c>
      <c r="E7839" s="19" t="s">
        <v>33769</v>
      </c>
      <c r="F7839" s="19" t="s">
        <v>36001</v>
      </c>
      <c r="G7839" s="18" t="str">
        <f>"68632"</f>
        <v>68632</v>
      </c>
      <c r="H7839" s="19" t="s">
        <v>30876</v>
      </c>
      <c r="I7839" s="20">
        <v>18.155000000000001</v>
      </c>
      <c r="J7839" s="44" t="s">
        <v>8</v>
      </c>
      <c r="K7839" s="23" t="s">
        <v>8</v>
      </c>
      <c r="L7839" s="23" t="s">
        <v>8</v>
      </c>
      <c r="M7839" s="23" t="s">
        <v>8</v>
      </c>
    </row>
    <row r="7840" spans="1:13" s="21" customFormat="1" x14ac:dyDescent="0.25">
      <c r="A7840" s="22" t="s">
        <v>8</v>
      </c>
      <c r="B7840" s="18" t="str">
        <f>"285076"</f>
        <v>285076</v>
      </c>
      <c r="C7840" s="19" t="s">
        <v>7725</v>
      </c>
      <c r="D7840" s="19" t="s">
        <v>23259</v>
      </c>
      <c r="E7840" s="19" t="s">
        <v>33770</v>
      </c>
      <c r="F7840" s="19" t="s">
        <v>36001</v>
      </c>
      <c r="G7840" s="18" t="str">
        <f>"68776"</f>
        <v>68776</v>
      </c>
      <c r="H7840" s="19" t="s">
        <v>36456</v>
      </c>
      <c r="I7840" s="20">
        <v>18.068000000000001</v>
      </c>
      <c r="J7840" s="44" t="s">
        <v>8</v>
      </c>
      <c r="K7840" s="23" t="s">
        <v>8</v>
      </c>
      <c r="L7840" s="23" t="s">
        <v>8</v>
      </c>
      <c r="M7840" s="23" t="s">
        <v>8</v>
      </c>
    </row>
    <row r="7841" spans="1:13" s="21" customFormat="1" x14ac:dyDescent="0.25">
      <c r="A7841" s="22" t="s">
        <v>8</v>
      </c>
      <c r="B7841" s="18" t="str">
        <f>"285078"</f>
        <v>285078</v>
      </c>
      <c r="C7841" s="19" t="s">
        <v>7726</v>
      </c>
      <c r="D7841" s="19" t="s">
        <v>23260</v>
      </c>
      <c r="E7841" s="19" t="s">
        <v>33762</v>
      </c>
      <c r="F7841" s="19" t="s">
        <v>36001</v>
      </c>
      <c r="G7841" s="18" t="str">
        <f>"68108"</f>
        <v>68108</v>
      </c>
      <c r="H7841" s="19" t="s">
        <v>30966</v>
      </c>
      <c r="I7841" s="20">
        <v>15.893000000000001</v>
      </c>
      <c r="J7841" s="44" t="s">
        <v>8</v>
      </c>
      <c r="K7841" s="23" t="s">
        <v>8</v>
      </c>
      <c r="L7841" s="23" t="s">
        <v>8</v>
      </c>
      <c r="M7841" s="23" t="s">
        <v>8</v>
      </c>
    </row>
    <row r="7842" spans="1:13" s="21" customFormat="1" x14ac:dyDescent="0.25">
      <c r="A7842" s="22" t="s">
        <v>8</v>
      </c>
      <c r="B7842" s="18" t="str">
        <f>"285080"</f>
        <v>285080</v>
      </c>
      <c r="C7842" s="19" t="s">
        <v>7727</v>
      </c>
      <c r="D7842" s="19" t="s">
        <v>23261</v>
      </c>
      <c r="E7842" s="19" t="s">
        <v>33771</v>
      </c>
      <c r="F7842" s="19" t="s">
        <v>36001</v>
      </c>
      <c r="G7842" s="18" t="str">
        <f>"69001"</f>
        <v>69001</v>
      </c>
      <c r="H7842" s="19" t="s">
        <v>36549</v>
      </c>
      <c r="I7842" s="20">
        <v>21.504000000000001</v>
      </c>
      <c r="J7842" s="44" t="s">
        <v>8</v>
      </c>
      <c r="K7842" s="23" t="s">
        <v>8</v>
      </c>
      <c r="L7842" s="23" t="s">
        <v>8</v>
      </c>
      <c r="M7842" s="23" t="s">
        <v>8</v>
      </c>
    </row>
    <row r="7843" spans="1:13" s="21" customFormat="1" x14ac:dyDescent="0.25">
      <c r="A7843" s="22" t="s">
        <v>8</v>
      </c>
      <c r="B7843" s="18" t="str">
        <f>"285081"</f>
        <v>285081</v>
      </c>
      <c r="C7843" s="19" t="s">
        <v>7728</v>
      </c>
      <c r="D7843" s="19" t="s">
        <v>23262</v>
      </c>
      <c r="E7843" s="19" t="s">
        <v>33772</v>
      </c>
      <c r="F7843" s="19" t="s">
        <v>36001</v>
      </c>
      <c r="G7843" s="18" t="str">
        <f>"68803"</f>
        <v>68803</v>
      </c>
      <c r="H7843" s="19" t="s">
        <v>36156</v>
      </c>
      <c r="I7843" s="20">
        <v>19.724</v>
      </c>
      <c r="J7843" s="44" t="s">
        <v>8</v>
      </c>
      <c r="K7843" s="23" t="s">
        <v>8</v>
      </c>
      <c r="L7843" s="23" t="s">
        <v>8</v>
      </c>
      <c r="M7843" s="23" t="s">
        <v>8</v>
      </c>
    </row>
    <row r="7844" spans="1:13" s="21" customFormat="1" x14ac:dyDescent="0.25">
      <c r="A7844" s="22" t="s">
        <v>8</v>
      </c>
      <c r="B7844" s="18" t="str">
        <f>"285082"</f>
        <v>285082</v>
      </c>
      <c r="C7844" s="19" t="s">
        <v>7729</v>
      </c>
      <c r="D7844" s="19" t="s">
        <v>23263</v>
      </c>
      <c r="E7844" s="19" t="s">
        <v>33770</v>
      </c>
      <c r="F7844" s="19" t="s">
        <v>36001</v>
      </c>
      <c r="G7844" s="18" t="str">
        <f>"68776"</f>
        <v>68776</v>
      </c>
      <c r="H7844" s="19" t="s">
        <v>36456</v>
      </c>
      <c r="I7844" s="20">
        <v>18.939</v>
      </c>
      <c r="J7844" s="44" t="s">
        <v>8</v>
      </c>
      <c r="K7844" s="23" t="s">
        <v>8</v>
      </c>
      <c r="L7844" s="23" t="s">
        <v>8</v>
      </c>
      <c r="M7844" s="23" t="s">
        <v>8</v>
      </c>
    </row>
    <row r="7845" spans="1:13" s="21" customFormat="1" x14ac:dyDescent="0.25">
      <c r="A7845" s="22" t="s">
        <v>8</v>
      </c>
      <c r="B7845" s="18" t="str">
        <f>"285083"</f>
        <v>285083</v>
      </c>
      <c r="C7845" s="19" t="s">
        <v>7730</v>
      </c>
      <c r="D7845" s="19" t="s">
        <v>23264</v>
      </c>
      <c r="E7845" s="19" t="s">
        <v>33773</v>
      </c>
      <c r="F7845" s="19" t="s">
        <v>36001</v>
      </c>
      <c r="G7845" s="18" t="str">
        <f>"69101"</f>
        <v>69101</v>
      </c>
      <c r="H7845" s="19" t="s">
        <v>31995</v>
      </c>
      <c r="I7845" s="20">
        <v>16.440999999999999</v>
      </c>
      <c r="J7845" s="44" t="s">
        <v>8</v>
      </c>
      <c r="K7845" s="23" t="s">
        <v>8</v>
      </c>
      <c r="L7845" s="23" t="s">
        <v>8</v>
      </c>
      <c r="M7845" s="23" t="s">
        <v>8</v>
      </c>
    </row>
    <row r="7846" spans="1:13" s="21" customFormat="1" x14ac:dyDescent="0.25">
      <c r="A7846" s="22" t="s">
        <v>8</v>
      </c>
      <c r="B7846" s="18" t="str">
        <f>"285084"</f>
        <v>285084</v>
      </c>
      <c r="C7846" s="19" t="s">
        <v>7731</v>
      </c>
      <c r="D7846" s="19" t="s">
        <v>23265</v>
      </c>
      <c r="E7846" s="19" t="s">
        <v>33774</v>
      </c>
      <c r="F7846" s="19" t="s">
        <v>36001</v>
      </c>
      <c r="G7846" s="18" t="str">
        <f>"68848"</f>
        <v>68848</v>
      </c>
      <c r="H7846" s="19" t="s">
        <v>33453</v>
      </c>
      <c r="I7846" s="20">
        <v>13.638999999999999</v>
      </c>
      <c r="J7846" s="44" t="s">
        <v>8</v>
      </c>
      <c r="K7846" s="23" t="s">
        <v>8</v>
      </c>
      <c r="L7846" s="23" t="s">
        <v>8</v>
      </c>
      <c r="M7846" s="23" t="s">
        <v>8</v>
      </c>
    </row>
    <row r="7847" spans="1:13" s="21" customFormat="1" x14ac:dyDescent="0.25">
      <c r="A7847" s="22" t="s">
        <v>8</v>
      </c>
      <c r="B7847" s="18" t="str">
        <f>"285085"</f>
        <v>285085</v>
      </c>
      <c r="C7847" s="19" t="s">
        <v>7732</v>
      </c>
      <c r="D7847" s="19" t="s">
        <v>23266</v>
      </c>
      <c r="E7847" s="19" t="s">
        <v>33762</v>
      </c>
      <c r="F7847" s="19" t="s">
        <v>36001</v>
      </c>
      <c r="G7847" s="18" t="str">
        <f>"68152"</f>
        <v>68152</v>
      </c>
      <c r="H7847" s="19" t="s">
        <v>30966</v>
      </c>
      <c r="I7847" s="20">
        <v>19.279</v>
      </c>
      <c r="J7847" s="44" t="s">
        <v>8</v>
      </c>
      <c r="K7847" s="23" t="s">
        <v>8</v>
      </c>
      <c r="L7847" s="23" t="s">
        <v>8</v>
      </c>
      <c r="M7847" s="23" t="s">
        <v>8</v>
      </c>
    </row>
    <row r="7848" spans="1:13" s="21" customFormat="1" x14ac:dyDescent="0.25">
      <c r="A7848" s="22" t="s">
        <v>8</v>
      </c>
      <c r="B7848" s="18" t="str">
        <f>"285087"</f>
        <v>285087</v>
      </c>
      <c r="C7848" s="19" t="s">
        <v>7733</v>
      </c>
      <c r="D7848" s="19" t="s">
        <v>23267</v>
      </c>
      <c r="E7848" s="19" t="s">
        <v>33772</v>
      </c>
      <c r="F7848" s="19" t="s">
        <v>36001</v>
      </c>
      <c r="G7848" s="18" t="str">
        <f>"68803"</f>
        <v>68803</v>
      </c>
      <c r="H7848" s="19" t="s">
        <v>36156</v>
      </c>
      <c r="I7848" s="20">
        <v>16.402000000000001</v>
      </c>
      <c r="J7848" s="44" t="s">
        <v>8</v>
      </c>
      <c r="K7848" s="23" t="s">
        <v>8</v>
      </c>
      <c r="L7848" s="23" t="s">
        <v>8</v>
      </c>
      <c r="M7848" s="23" t="s">
        <v>8</v>
      </c>
    </row>
    <row r="7849" spans="1:13" s="21" customFormat="1" x14ac:dyDescent="0.25">
      <c r="A7849" s="22" t="s">
        <v>8</v>
      </c>
      <c r="B7849" s="18" t="str">
        <f>"285088"</f>
        <v>285088</v>
      </c>
      <c r="C7849" s="19" t="s">
        <v>7734</v>
      </c>
      <c r="D7849" s="19" t="s">
        <v>23268</v>
      </c>
      <c r="E7849" s="19" t="s">
        <v>33775</v>
      </c>
      <c r="F7849" s="19" t="s">
        <v>36001</v>
      </c>
      <c r="G7849" s="18" t="str">
        <f>"68739"</f>
        <v>68739</v>
      </c>
      <c r="H7849" s="19" t="s">
        <v>36284</v>
      </c>
      <c r="I7849" s="20">
        <v>17.231999999999999</v>
      </c>
      <c r="J7849" s="44" t="s">
        <v>8</v>
      </c>
      <c r="K7849" s="23" t="s">
        <v>8</v>
      </c>
      <c r="L7849" s="23" t="s">
        <v>8</v>
      </c>
      <c r="M7849" s="23" t="s">
        <v>8</v>
      </c>
    </row>
    <row r="7850" spans="1:13" s="21" customFormat="1" x14ac:dyDescent="0.25">
      <c r="A7850" s="22" t="s">
        <v>8</v>
      </c>
      <c r="B7850" s="18" t="str">
        <f>"285089"</f>
        <v>285089</v>
      </c>
      <c r="C7850" s="19" t="s">
        <v>7735</v>
      </c>
      <c r="D7850" s="19" t="s">
        <v>23269</v>
      </c>
      <c r="E7850" s="19" t="s">
        <v>33776</v>
      </c>
      <c r="F7850" s="19" t="s">
        <v>36001</v>
      </c>
      <c r="G7850" s="18" t="str">
        <f>"68702"</f>
        <v>68702</v>
      </c>
      <c r="H7850" s="19" t="s">
        <v>30899</v>
      </c>
      <c r="I7850" s="20">
        <v>18.837</v>
      </c>
      <c r="J7850" s="44" t="s">
        <v>8</v>
      </c>
      <c r="K7850" s="23" t="s">
        <v>8</v>
      </c>
      <c r="L7850" s="23" t="s">
        <v>8</v>
      </c>
      <c r="M7850" s="23" t="s">
        <v>8</v>
      </c>
    </row>
    <row r="7851" spans="1:13" s="21" customFormat="1" x14ac:dyDescent="0.25">
      <c r="A7851" s="22" t="s">
        <v>8</v>
      </c>
      <c r="B7851" s="18" t="str">
        <f>"285090"</f>
        <v>285090</v>
      </c>
      <c r="C7851" s="19" t="s">
        <v>7736</v>
      </c>
      <c r="D7851" s="19" t="s">
        <v>23270</v>
      </c>
      <c r="E7851" s="19" t="s">
        <v>31757</v>
      </c>
      <c r="F7851" s="19" t="s">
        <v>36001</v>
      </c>
      <c r="G7851" s="18" t="str">
        <f>"68038"</f>
        <v>68038</v>
      </c>
      <c r="H7851" s="19" t="s">
        <v>36550</v>
      </c>
      <c r="I7851" s="20">
        <v>18.611999999999998</v>
      </c>
      <c r="J7851" s="44" t="s">
        <v>8</v>
      </c>
      <c r="K7851" s="23" t="s">
        <v>8</v>
      </c>
      <c r="L7851" s="23" t="s">
        <v>8</v>
      </c>
      <c r="M7851" s="23" t="s">
        <v>8</v>
      </c>
    </row>
    <row r="7852" spans="1:13" s="21" customFormat="1" x14ac:dyDescent="0.25">
      <c r="A7852" s="22" t="s">
        <v>8</v>
      </c>
      <c r="B7852" s="18" t="str">
        <f>"285091"</f>
        <v>285091</v>
      </c>
      <c r="C7852" s="19" t="s">
        <v>7737</v>
      </c>
      <c r="D7852" s="19" t="s">
        <v>23271</v>
      </c>
      <c r="E7852" s="19" t="s">
        <v>33777</v>
      </c>
      <c r="F7852" s="19" t="s">
        <v>36001</v>
      </c>
      <c r="G7852" s="18" t="str">
        <f>"69153"</f>
        <v>69153</v>
      </c>
      <c r="H7852" s="19" t="s">
        <v>36551</v>
      </c>
      <c r="I7852" s="20">
        <v>16.914000000000001</v>
      </c>
      <c r="J7852" s="44" t="s">
        <v>8</v>
      </c>
      <c r="K7852" s="23" t="s">
        <v>8</v>
      </c>
      <c r="L7852" s="23" t="s">
        <v>8</v>
      </c>
      <c r="M7852" s="23" t="s">
        <v>8</v>
      </c>
    </row>
    <row r="7853" spans="1:13" s="21" customFormat="1" x14ac:dyDescent="0.25">
      <c r="A7853" s="22" t="s">
        <v>8</v>
      </c>
      <c r="B7853" s="18" t="str">
        <f>"285092"</f>
        <v>285092</v>
      </c>
      <c r="C7853" s="19" t="s">
        <v>7738</v>
      </c>
      <c r="D7853" s="19" t="s">
        <v>23272</v>
      </c>
      <c r="E7853" s="19" t="s">
        <v>31715</v>
      </c>
      <c r="F7853" s="19" t="s">
        <v>36001</v>
      </c>
      <c r="G7853" s="18" t="str">
        <f>"68602"</f>
        <v>68602</v>
      </c>
      <c r="H7853" s="19" t="s">
        <v>36520</v>
      </c>
      <c r="I7853" s="20">
        <v>20.713000000000001</v>
      </c>
      <c r="J7853" s="44" t="s">
        <v>8</v>
      </c>
      <c r="K7853" s="23" t="s">
        <v>8</v>
      </c>
      <c r="L7853" s="23" t="s">
        <v>8</v>
      </c>
      <c r="M7853" s="23" t="s">
        <v>8</v>
      </c>
    </row>
    <row r="7854" spans="1:13" s="21" customFormat="1" x14ac:dyDescent="0.25">
      <c r="A7854" s="22" t="s">
        <v>8</v>
      </c>
      <c r="B7854" s="18" t="str">
        <f>"285093"</f>
        <v>285093</v>
      </c>
      <c r="C7854" s="19" t="s">
        <v>7739</v>
      </c>
      <c r="D7854" s="19" t="s">
        <v>23273</v>
      </c>
      <c r="E7854" s="19" t="s">
        <v>33778</v>
      </c>
      <c r="F7854" s="19" t="s">
        <v>36001</v>
      </c>
      <c r="G7854" s="18" t="str">
        <f>"69130"</f>
        <v>69130</v>
      </c>
      <c r="H7854" s="19" t="s">
        <v>31786</v>
      </c>
      <c r="I7854" s="20">
        <v>19.122</v>
      </c>
      <c r="J7854" s="44" t="s">
        <v>8</v>
      </c>
      <c r="K7854" s="23" t="s">
        <v>8</v>
      </c>
      <c r="L7854" s="23" t="s">
        <v>8</v>
      </c>
      <c r="M7854" s="23" t="s">
        <v>8</v>
      </c>
    </row>
    <row r="7855" spans="1:13" s="21" customFormat="1" x14ac:dyDescent="0.25">
      <c r="A7855" s="22" t="s">
        <v>8</v>
      </c>
      <c r="B7855" s="18" t="str">
        <f>"285094"</f>
        <v>285094</v>
      </c>
      <c r="C7855" s="19" t="s">
        <v>7740</v>
      </c>
      <c r="D7855" s="19" t="s">
        <v>23274</v>
      </c>
      <c r="E7855" s="19" t="s">
        <v>33773</v>
      </c>
      <c r="F7855" s="19" t="s">
        <v>36001</v>
      </c>
      <c r="G7855" s="18" t="str">
        <f>"69101"</f>
        <v>69101</v>
      </c>
      <c r="H7855" s="19" t="s">
        <v>31995</v>
      </c>
      <c r="I7855" s="20">
        <v>21.587</v>
      </c>
      <c r="J7855" s="44" t="s">
        <v>8</v>
      </c>
      <c r="K7855" s="23" t="s">
        <v>8</v>
      </c>
      <c r="L7855" s="23" t="s">
        <v>8</v>
      </c>
      <c r="M7855" s="23" t="s">
        <v>8</v>
      </c>
    </row>
    <row r="7856" spans="1:13" s="21" customFormat="1" x14ac:dyDescent="0.25">
      <c r="A7856" s="22" t="s">
        <v>8</v>
      </c>
      <c r="B7856" s="18" t="str">
        <f>"285095"</f>
        <v>285095</v>
      </c>
      <c r="C7856" s="19" t="s">
        <v>7741</v>
      </c>
      <c r="D7856" s="19" t="s">
        <v>23275</v>
      </c>
      <c r="E7856" s="19" t="s">
        <v>33779</v>
      </c>
      <c r="F7856" s="19" t="s">
        <v>36001</v>
      </c>
      <c r="G7856" s="18" t="str">
        <f>"69361"</f>
        <v>69361</v>
      </c>
      <c r="H7856" s="19" t="s">
        <v>36548</v>
      </c>
      <c r="I7856" s="20">
        <v>17.920000000000002</v>
      </c>
      <c r="J7856" s="44" t="s">
        <v>8</v>
      </c>
      <c r="K7856" s="23" t="s">
        <v>8</v>
      </c>
      <c r="L7856" s="23" t="s">
        <v>8</v>
      </c>
      <c r="M7856" s="23" t="s">
        <v>8</v>
      </c>
    </row>
    <row r="7857" spans="1:13" s="21" customFormat="1" x14ac:dyDescent="0.25">
      <c r="A7857" s="22" t="s">
        <v>8</v>
      </c>
      <c r="B7857" s="18" t="str">
        <f>"285096"</f>
        <v>285096</v>
      </c>
      <c r="C7857" s="19" t="s">
        <v>6670</v>
      </c>
      <c r="D7857" s="19" t="s">
        <v>23276</v>
      </c>
      <c r="E7857" s="19" t="s">
        <v>5</v>
      </c>
      <c r="F7857" s="19" t="s">
        <v>36001</v>
      </c>
      <c r="G7857" s="18" t="str">
        <f>"68939"</f>
        <v>68939</v>
      </c>
      <c r="H7857" s="19" t="s">
        <v>5</v>
      </c>
      <c r="I7857" s="20">
        <v>18.658000000000001</v>
      </c>
      <c r="J7857" s="44" t="s">
        <v>8</v>
      </c>
      <c r="K7857" s="23" t="s">
        <v>8</v>
      </c>
      <c r="L7857" s="23" t="s">
        <v>8</v>
      </c>
      <c r="M7857" s="23" t="s">
        <v>8</v>
      </c>
    </row>
    <row r="7858" spans="1:13" s="21" customFormat="1" x14ac:dyDescent="0.25">
      <c r="A7858" s="22" t="s">
        <v>8</v>
      </c>
      <c r="B7858" s="18" t="str">
        <f>"285097"</f>
        <v>285097</v>
      </c>
      <c r="C7858" s="19" t="s">
        <v>7742</v>
      </c>
      <c r="D7858" s="19" t="s">
        <v>23277</v>
      </c>
      <c r="E7858" s="19" t="s">
        <v>33762</v>
      </c>
      <c r="F7858" s="19" t="s">
        <v>36001</v>
      </c>
      <c r="G7858" s="18" t="str">
        <f>"68106"</f>
        <v>68106</v>
      </c>
      <c r="H7858" s="19" t="s">
        <v>30966</v>
      </c>
      <c r="I7858" s="20">
        <v>22.582000000000001</v>
      </c>
      <c r="J7858" s="44" t="s">
        <v>8</v>
      </c>
      <c r="K7858" s="23" t="s">
        <v>8</v>
      </c>
      <c r="L7858" s="23" t="s">
        <v>8</v>
      </c>
      <c r="M7858" s="23" t="s">
        <v>8</v>
      </c>
    </row>
    <row r="7859" spans="1:13" s="21" customFormat="1" x14ac:dyDescent="0.25">
      <c r="A7859" s="22" t="s">
        <v>8</v>
      </c>
      <c r="B7859" s="18" t="str">
        <f>"285098"</f>
        <v>285098</v>
      </c>
      <c r="C7859" s="19" t="s">
        <v>7743</v>
      </c>
      <c r="D7859" s="19" t="s">
        <v>23278</v>
      </c>
      <c r="E7859" s="19" t="s">
        <v>33762</v>
      </c>
      <c r="F7859" s="19" t="s">
        <v>36001</v>
      </c>
      <c r="G7859" s="18" t="str">
        <f>"68137"</f>
        <v>68137</v>
      </c>
      <c r="H7859" s="19" t="s">
        <v>30966</v>
      </c>
      <c r="I7859" s="20">
        <v>18.562999999999999</v>
      </c>
      <c r="J7859" s="44" t="s">
        <v>8</v>
      </c>
      <c r="K7859" s="23" t="s">
        <v>8</v>
      </c>
      <c r="L7859" s="23" t="s">
        <v>8</v>
      </c>
      <c r="M7859" s="23" t="s">
        <v>8</v>
      </c>
    </row>
    <row r="7860" spans="1:13" s="21" customFormat="1" x14ac:dyDescent="0.25">
      <c r="A7860" s="22" t="s">
        <v>8</v>
      </c>
      <c r="B7860" s="18" t="str">
        <f>"285101"</f>
        <v>285101</v>
      </c>
      <c r="C7860" s="19" t="s">
        <v>7744</v>
      </c>
      <c r="D7860" s="19" t="s">
        <v>23279</v>
      </c>
      <c r="E7860" s="19" t="s">
        <v>33776</v>
      </c>
      <c r="F7860" s="19" t="s">
        <v>36001</v>
      </c>
      <c r="G7860" s="18" t="str">
        <f>"68701"</f>
        <v>68701</v>
      </c>
      <c r="H7860" s="19" t="s">
        <v>30899</v>
      </c>
      <c r="I7860" s="20">
        <v>23.222999999999999</v>
      </c>
      <c r="J7860" s="44" t="s">
        <v>8</v>
      </c>
      <c r="K7860" s="23" t="s">
        <v>8</v>
      </c>
      <c r="L7860" s="23" t="s">
        <v>8</v>
      </c>
      <c r="M7860" s="23" t="s">
        <v>8</v>
      </c>
    </row>
    <row r="7861" spans="1:13" s="21" customFormat="1" x14ac:dyDescent="0.25">
      <c r="A7861" s="22" t="s">
        <v>8</v>
      </c>
      <c r="B7861" s="18" t="str">
        <f>"285102"</f>
        <v>285102</v>
      </c>
      <c r="C7861" s="19" t="s">
        <v>7745</v>
      </c>
      <c r="D7861" s="19" t="s">
        <v>23280</v>
      </c>
      <c r="E7861" s="19" t="s">
        <v>32438</v>
      </c>
      <c r="F7861" s="19" t="s">
        <v>36001</v>
      </c>
      <c r="G7861" s="18" t="str">
        <f>"68779"</f>
        <v>68779</v>
      </c>
      <c r="H7861" s="19" t="s">
        <v>32438</v>
      </c>
      <c r="I7861" s="20">
        <v>17.82</v>
      </c>
      <c r="J7861" s="44" t="s">
        <v>8</v>
      </c>
      <c r="K7861" s="23" t="s">
        <v>8</v>
      </c>
      <c r="L7861" s="23" t="s">
        <v>8</v>
      </c>
      <c r="M7861" s="23" t="s">
        <v>8</v>
      </c>
    </row>
    <row r="7862" spans="1:13" s="21" customFormat="1" x14ac:dyDescent="0.25">
      <c r="A7862" s="22" t="s">
        <v>8</v>
      </c>
      <c r="B7862" s="18" t="str">
        <f>"285103"</f>
        <v>285103</v>
      </c>
      <c r="C7862" s="19" t="s">
        <v>7746</v>
      </c>
      <c r="D7862" s="19" t="s">
        <v>23281</v>
      </c>
      <c r="E7862" s="19" t="s">
        <v>31175</v>
      </c>
      <c r="F7862" s="19" t="s">
        <v>36001</v>
      </c>
      <c r="G7862" s="18" t="str">
        <f>"68025"</f>
        <v>68025</v>
      </c>
      <c r="H7862" s="19" t="s">
        <v>33824</v>
      </c>
      <c r="I7862" s="20">
        <v>18.446999999999999</v>
      </c>
      <c r="J7862" s="44" t="s">
        <v>8</v>
      </c>
      <c r="K7862" s="23" t="s">
        <v>8</v>
      </c>
      <c r="L7862" s="23" t="s">
        <v>8</v>
      </c>
      <c r="M7862" s="23" t="s">
        <v>8</v>
      </c>
    </row>
    <row r="7863" spans="1:13" s="21" customFormat="1" x14ac:dyDescent="0.25">
      <c r="A7863" s="22" t="s">
        <v>8</v>
      </c>
      <c r="B7863" s="18" t="str">
        <f>"285104"</f>
        <v>285104</v>
      </c>
      <c r="C7863" s="19" t="s">
        <v>7747</v>
      </c>
      <c r="D7863" s="19" t="s">
        <v>23282</v>
      </c>
      <c r="E7863" s="19" t="s">
        <v>33780</v>
      </c>
      <c r="F7863" s="19" t="s">
        <v>36001</v>
      </c>
      <c r="G7863" s="18" t="str">
        <f>"68048"</f>
        <v>68048</v>
      </c>
      <c r="H7863" s="19" t="s">
        <v>36246</v>
      </c>
      <c r="I7863" s="20">
        <v>18.294</v>
      </c>
      <c r="J7863" s="44" t="s">
        <v>8</v>
      </c>
      <c r="K7863" s="23" t="s">
        <v>8</v>
      </c>
      <c r="L7863" s="23" t="s">
        <v>8</v>
      </c>
      <c r="M7863" s="23" t="s">
        <v>8</v>
      </c>
    </row>
    <row r="7864" spans="1:13" s="21" customFormat="1" x14ac:dyDescent="0.25">
      <c r="A7864" s="22" t="s">
        <v>8</v>
      </c>
      <c r="B7864" s="18" t="str">
        <f>"285105"</f>
        <v>285105</v>
      </c>
      <c r="C7864" s="19" t="s">
        <v>7748</v>
      </c>
      <c r="D7864" s="19" t="s">
        <v>23283</v>
      </c>
      <c r="E7864" s="19" t="s">
        <v>33772</v>
      </c>
      <c r="F7864" s="19" t="s">
        <v>36001</v>
      </c>
      <c r="G7864" s="18" t="str">
        <f>"68803"</f>
        <v>68803</v>
      </c>
      <c r="H7864" s="19" t="s">
        <v>36156</v>
      </c>
      <c r="I7864" s="20">
        <v>19.847000000000001</v>
      </c>
      <c r="J7864" s="44" t="s">
        <v>8</v>
      </c>
      <c r="K7864" s="23" t="s">
        <v>8</v>
      </c>
      <c r="L7864" s="23" t="s">
        <v>8</v>
      </c>
      <c r="M7864" s="23" t="s">
        <v>8</v>
      </c>
    </row>
    <row r="7865" spans="1:13" s="21" customFormat="1" x14ac:dyDescent="0.25">
      <c r="A7865" s="22" t="s">
        <v>8</v>
      </c>
      <c r="B7865" s="18" t="str">
        <f>"285106"</f>
        <v>285106</v>
      </c>
      <c r="C7865" s="19" t="s">
        <v>7749</v>
      </c>
      <c r="D7865" s="19" t="s">
        <v>23284</v>
      </c>
      <c r="E7865" s="19" t="s">
        <v>33772</v>
      </c>
      <c r="F7865" s="19" t="s">
        <v>36001</v>
      </c>
      <c r="G7865" s="18" t="str">
        <f>"68801"</f>
        <v>68801</v>
      </c>
      <c r="H7865" s="19" t="s">
        <v>36156</v>
      </c>
      <c r="I7865" s="20">
        <v>18.440000000000001</v>
      </c>
      <c r="J7865" s="44" t="s">
        <v>8</v>
      </c>
      <c r="K7865" s="23" t="s">
        <v>8</v>
      </c>
      <c r="L7865" s="23" t="s">
        <v>8</v>
      </c>
      <c r="M7865" s="23" t="s">
        <v>8</v>
      </c>
    </row>
    <row r="7866" spans="1:13" s="21" customFormat="1" x14ac:dyDescent="0.25">
      <c r="A7866" s="22" t="s">
        <v>8</v>
      </c>
      <c r="B7866" s="18" t="str">
        <f>"285107"</f>
        <v>285107</v>
      </c>
      <c r="C7866" s="19" t="s">
        <v>7750</v>
      </c>
      <c r="D7866" s="19" t="s">
        <v>23285</v>
      </c>
      <c r="E7866" s="19" t="s">
        <v>33762</v>
      </c>
      <c r="F7866" s="19" t="s">
        <v>36001</v>
      </c>
      <c r="G7866" s="18" t="str">
        <f>"68104"</f>
        <v>68104</v>
      </c>
      <c r="H7866" s="19" t="s">
        <v>30966</v>
      </c>
      <c r="I7866" s="20">
        <v>18.477</v>
      </c>
      <c r="J7866" s="44" t="s">
        <v>8</v>
      </c>
      <c r="K7866" s="23" t="s">
        <v>8</v>
      </c>
      <c r="L7866" s="23" t="s">
        <v>8</v>
      </c>
      <c r="M7866" s="23" t="s">
        <v>8</v>
      </c>
    </row>
    <row r="7867" spans="1:13" s="21" customFormat="1" x14ac:dyDescent="0.25">
      <c r="A7867" s="22" t="s">
        <v>8</v>
      </c>
      <c r="B7867" s="18" t="str">
        <f>"285108"</f>
        <v>285108</v>
      </c>
      <c r="C7867" s="19" t="s">
        <v>7751</v>
      </c>
      <c r="D7867" s="19" t="s">
        <v>23286</v>
      </c>
      <c r="E7867" s="19" t="s">
        <v>33781</v>
      </c>
      <c r="F7867" s="19" t="s">
        <v>36001</v>
      </c>
      <c r="G7867" s="18" t="str">
        <f>"68763"</f>
        <v>68763</v>
      </c>
      <c r="H7867" s="19" t="s">
        <v>33214</v>
      </c>
      <c r="I7867" s="20">
        <v>19.420000000000002</v>
      </c>
      <c r="J7867" s="44" t="s">
        <v>8</v>
      </c>
      <c r="K7867" s="23" t="s">
        <v>8</v>
      </c>
      <c r="L7867" s="23" t="s">
        <v>8</v>
      </c>
      <c r="M7867" s="23" t="s">
        <v>8</v>
      </c>
    </row>
    <row r="7868" spans="1:13" s="21" customFormat="1" x14ac:dyDescent="0.25">
      <c r="A7868" s="22" t="s">
        <v>8</v>
      </c>
      <c r="B7868" s="18" t="str">
        <f>"285109"</f>
        <v>285109</v>
      </c>
      <c r="C7868" s="19" t="s">
        <v>7752</v>
      </c>
      <c r="D7868" s="19" t="s">
        <v>23287</v>
      </c>
      <c r="E7868" s="19" t="s">
        <v>33782</v>
      </c>
      <c r="F7868" s="19" t="s">
        <v>36001</v>
      </c>
      <c r="G7868" s="18" t="str">
        <f>"68410"</f>
        <v>68410</v>
      </c>
      <c r="H7868" s="19" t="s">
        <v>36552</v>
      </c>
      <c r="I7868" s="20">
        <v>18.37</v>
      </c>
      <c r="J7868" s="44" t="s">
        <v>8</v>
      </c>
      <c r="K7868" s="23" t="s">
        <v>8</v>
      </c>
      <c r="L7868" s="23" t="s">
        <v>8</v>
      </c>
      <c r="M7868" s="23" t="s">
        <v>8</v>
      </c>
    </row>
    <row r="7869" spans="1:13" s="21" customFormat="1" x14ac:dyDescent="0.25">
      <c r="A7869" s="22" t="s">
        <v>8</v>
      </c>
      <c r="B7869" s="18" t="str">
        <f>"285110"</f>
        <v>285110</v>
      </c>
      <c r="C7869" s="19" t="s">
        <v>7753</v>
      </c>
      <c r="D7869" s="19" t="s">
        <v>23288</v>
      </c>
      <c r="E7869" s="19" t="s">
        <v>33783</v>
      </c>
      <c r="F7869" s="19" t="s">
        <v>36001</v>
      </c>
      <c r="G7869" s="18" t="str">
        <f>"68661"</f>
        <v>68661</v>
      </c>
      <c r="H7869" s="19" t="s">
        <v>32141</v>
      </c>
      <c r="I7869" s="20">
        <v>18.974</v>
      </c>
      <c r="J7869" s="44" t="s">
        <v>8</v>
      </c>
      <c r="K7869" s="23" t="s">
        <v>8</v>
      </c>
      <c r="L7869" s="23" t="s">
        <v>8</v>
      </c>
      <c r="M7869" s="23" t="s">
        <v>8</v>
      </c>
    </row>
    <row r="7870" spans="1:13" s="21" customFormat="1" x14ac:dyDescent="0.25">
      <c r="A7870" s="22" t="s">
        <v>8</v>
      </c>
      <c r="B7870" s="18" t="str">
        <f>"285111"</f>
        <v>285111</v>
      </c>
      <c r="C7870" s="19" t="s">
        <v>7754</v>
      </c>
      <c r="D7870" s="19" t="s">
        <v>23289</v>
      </c>
      <c r="E7870" s="19" t="s">
        <v>33784</v>
      </c>
      <c r="F7870" s="19" t="s">
        <v>36001</v>
      </c>
      <c r="G7870" s="18" t="str">
        <f>"68786"</f>
        <v>68786</v>
      </c>
      <c r="H7870" s="19" t="s">
        <v>32252</v>
      </c>
      <c r="I7870" s="20">
        <v>18.631</v>
      </c>
      <c r="J7870" s="44" t="s">
        <v>8</v>
      </c>
      <c r="K7870" s="23" t="s">
        <v>8</v>
      </c>
      <c r="L7870" s="23" t="s">
        <v>8</v>
      </c>
      <c r="M7870" s="23" t="s">
        <v>8</v>
      </c>
    </row>
    <row r="7871" spans="1:13" s="21" customFormat="1" x14ac:dyDescent="0.25">
      <c r="A7871" s="22" t="s">
        <v>8</v>
      </c>
      <c r="B7871" s="18" t="str">
        <f>"285112"</f>
        <v>285112</v>
      </c>
      <c r="C7871" s="19" t="s">
        <v>7755</v>
      </c>
      <c r="D7871" s="19" t="s">
        <v>23290</v>
      </c>
      <c r="E7871" s="19" t="s">
        <v>30926</v>
      </c>
      <c r="F7871" s="19" t="s">
        <v>36001</v>
      </c>
      <c r="G7871" s="18" t="str">
        <f>"68305"</f>
        <v>68305</v>
      </c>
      <c r="H7871" s="19" t="s">
        <v>36303</v>
      </c>
      <c r="I7871" s="20">
        <v>17.57</v>
      </c>
      <c r="J7871" s="44" t="s">
        <v>8</v>
      </c>
      <c r="K7871" s="23" t="s">
        <v>8</v>
      </c>
      <c r="L7871" s="23" t="s">
        <v>8</v>
      </c>
      <c r="M7871" s="23" t="s">
        <v>8</v>
      </c>
    </row>
    <row r="7872" spans="1:13" s="21" customFormat="1" x14ac:dyDescent="0.25">
      <c r="A7872" s="22" t="s">
        <v>8</v>
      </c>
      <c r="B7872" s="18" t="str">
        <f>"285113"</f>
        <v>285113</v>
      </c>
      <c r="C7872" s="19" t="s">
        <v>7756</v>
      </c>
      <c r="D7872" s="19" t="s">
        <v>23291</v>
      </c>
      <c r="E7872" s="19" t="s">
        <v>32515</v>
      </c>
      <c r="F7872" s="19" t="s">
        <v>36001</v>
      </c>
      <c r="G7872" s="18" t="str">
        <f>"69162"</f>
        <v>69162</v>
      </c>
      <c r="H7872" s="19" t="s">
        <v>35701</v>
      </c>
      <c r="I7872" s="20">
        <v>19.972999999999999</v>
      </c>
      <c r="J7872" s="44" t="s">
        <v>8</v>
      </c>
      <c r="K7872" s="23" t="s">
        <v>8</v>
      </c>
      <c r="L7872" s="23" t="s">
        <v>8</v>
      </c>
      <c r="M7872" s="23" t="s">
        <v>8</v>
      </c>
    </row>
    <row r="7873" spans="1:13" s="21" customFormat="1" x14ac:dyDescent="0.25">
      <c r="A7873" s="22" t="s">
        <v>8</v>
      </c>
      <c r="B7873" s="18" t="str">
        <f>"285114"</f>
        <v>285114</v>
      </c>
      <c r="C7873" s="19" t="s">
        <v>7757</v>
      </c>
      <c r="D7873" s="19" t="s">
        <v>23292</v>
      </c>
      <c r="E7873" s="19" t="s">
        <v>33763</v>
      </c>
      <c r="F7873" s="19" t="s">
        <v>36001</v>
      </c>
      <c r="G7873" s="18" t="str">
        <f>"68355"</f>
        <v>68355</v>
      </c>
      <c r="H7873" s="19" t="s">
        <v>35806</v>
      </c>
      <c r="I7873" s="20">
        <v>20.187999999999999</v>
      </c>
      <c r="J7873" s="44" t="s">
        <v>8</v>
      </c>
      <c r="K7873" s="23" t="s">
        <v>8</v>
      </c>
      <c r="L7873" s="23" t="s">
        <v>8</v>
      </c>
      <c r="M7873" s="23" t="s">
        <v>8</v>
      </c>
    </row>
    <row r="7874" spans="1:13" s="21" customFormat="1" x14ac:dyDescent="0.25">
      <c r="A7874" s="22" t="s">
        <v>8</v>
      </c>
      <c r="B7874" s="18" t="str">
        <f>"285115"</f>
        <v>285115</v>
      </c>
      <c r="C7874" s="19" t="s">
        <v>7758</v>
      </c>
      <c r="D7874" s="19" t="s">
        <v>23293</v>
      </c>
      <c r="E7874" s="19" t="s">
        <v>31229</v>
      </c>
      <c r="F7874" s="19" t="s">
        <v>36001</v>
      </c>
      <c r="G7874" s="18" t="str">
        <f>"68638"</f>
        <v>68638</v>
      </c>
      <c r="H7874" s="19" t="s">
        <v>36553</v>
      </c>
      <c r="I7874" s="20">
        <v>17.878</v>
      </c>
      <c r="J7874" s="44" t="s">
        <v>8</v>
      </c>
      <c r="K7874" s="23" t="s">
        <v>8</v>
      </c>
      <c r="L7874" s="23" t="s">
        <v>8</v>
      </c>
      <c r="M7874" s="23" t="s">
        <v>8</v>
      </c>
    </row>
    <row r="7875" spans="1:13" s="21" customFormat="1" x14ac:dyDescent="0.25">
      <c r="A7875" s="22" t="s">
        <v>8</v>
      </c>
      <c r="B7875" s="18" t="str">
        <f>"285116"</f>
        <v>285116</v>
      </c>
      <c r="C7875" s="19" t="s">
        <v>7759</v>
      </c>
      <c r="D7875" s="19" t="s">
        <v>23294</v>
      </c>
      <c r="E7875" s="19" t="s">
        <v>33785</v>
      </c>
      <c r="F7875" s="19" t="s">
        <v>36001</v>
      </c>
      <c r="G7875" s="18" t="str">
        <f>"68629"</f>
        <v>68629</v>
      </c>
      <c r="H7875" s="19" t="s">
        <v>32141</v>
      </c>
      <c r="I7875" s="20">
        <v>20.071000000000002</v>
      </c>
      <c r="J7875" s="44" t="s">
        <v>8</v>
      </c>
      <c r="K7875" s="23" t="s">
        <v>8</v>
      </c>
      <c r="L7875" s="23" t="s">
        <v>8</v>
      </c>
      <c r="M7875" s="23" t="s">
        <v>8</v>
      </c>
    </row>
    <row r="7876" spans="1:13" s="21" customFormat="1" x14ac:dyDescent="0.25">
      <c r="A7876" s="22" t="s">
        <v>8</v>
      </c>
      <c r="B7876" s="18" t="str">
        <f>"285117"</f>
        <v>285117</v>
      </c>
      <c r="C7876" s="19" t="s">
        <v>7760</v>
      </c>
      <c r="D7876" s="19" t="s">
        <v>23295</v>
      </c>
      <c r="E7876" s="19" t="s">
        <v>30836</v>
      </c>
      <c r="F7876" s="19" t="s">
        <v>36001</v>
      </c>
      <c r="G7876" s="18" t="str">
        <f>"68064"</f>
        <v>68064</v>
      </c>
      <c r="H7876" s="19" t="s">
        <v>30966</v>
      </c>
      <c r="I7876" s="20">
        <v>18.390999999999998</v>
      </c>
      <c r="J7876" s="44" t="s">
        <v>8</v>
      </c>
      <c r="K7876" s="23" t="s">
        <v>8</v>
      </c>
      <c r="L7876" s="23" t="s">
        <v>8</v>
      </c>
      <c r="M7876" s="23" t="s">
        <v>8</v>
      </c>
    </row>
    <row r="7877" spans="1:13" s="21" customFormat="1" x14ac:dyDescent="0.25">
      <c r="A7877" s="22" t="s">
        <v>8</v>
      </c>
      <c r="B7877" s="18" t="str">
        <f>"285118"</f>
        <v>285118</v>
      </c>
      <c r="C7877" s="19" t="s">
        <v>7761</v>
      </c>
      <c r="D7877" s="19" t="s">
        <v>23296</v>
      </c>
      <c r="E7877" s="19" t="s">
        <v>33786</v>
      </c>
      <c r="F7877" s="19" t="s">
        <v>36001</v>
      </c>
      <c r="G7877" s="18" t="str">
        <f>"68061"</f>
        <v>68061</v>
      </c>
      <c r="H7877" s="19" t="s">
        <v>36550</v>
      </c>
      <c r="I7877" s="20">
        <v>18.433</v>
      </c>
      <c r="J7877" s="44" t="s">
        <v>8</v>
      </c>
      <c r="K7877" s="23" t="s">
        <v>8</v>
      </c>
      <c r="L7877" s="23" t="s">
        <v>8</v>
      </c>
      <c r="M7877" s="23" t="s">
        <v>8</v>
      </c>
    </row>
    <row r="7878" spans="1:13" s="21" customFormat="1" x14ac:dyDescent="0.25">
      <c r="A7878" s="22" t="s">
        <v>8</v>
      </c>
      <c r="B7878" s="18" t="str">
        <f>"285119"</f>
        <v>285119</v>
      </c>
      <c r="C7878" s="19" t="s">
        <v>7762</v>
      </c>
      <c r="D7878" s="19" t="s">
        <v>23297</v>
      </c>
      <c r="E7878" s="19" t="s">
        <v>31175</v>
      </c>
      <c r="F7878" s="19" t="s">
        <v>36001</v>
      </c>
      <c r="G7878" s="18" t="str">
        <f>"68025"</f>
        <v>68025</v>
      </c>
      <c r="H7878" s="19" t="s">
        <v>33824</v>
      </c>
      <c r="I7878" s="20">
        <v>15.795</v>
      </c>
      <c r="J7878" s="44" t="s">
        <v>8</v>
      </c>
      <c r="K7878" s="23" t="s">
        <v>8</v>
      </c>
      <c r="L7878" s="23" t="s">
        <v>8</v>
      </c>
      <c r="M7878" s="23" t="s">
        <v>8</v>
      </c>
    </row>
    <row r="7879" spans="1:13" s="21" customFormat="1" x14ac:dyDescent="0.25">
      <c r="A7879" s="22" t="s">
        <v>8</v>
      </c>
      <c r="B7879" s="18" t="str">
        <f>"285120"</f>
        <v>285120</v>
      </c>
      <c r="C7879" s="19" t="s">
        <v>7763</v>
      </c>
      <c r="D7879" s="19" t="s">
        <v>23298</v>
      </c>
      <c r="E7879" s="19" t="s">
        <v>33787</v>
      </c>
      <c r="F7879" s="19" t="s">
        <v>36001</v>
      </c>
      <c r="G7879" s="18" t="str">
        <f>"68822"</f>
        <v>68822</v>
      </c>
      <c r="H7879" s="19" t="s">
        <v>35098</v>
      </c>
      <c r="I7879" s="20">
        <v>21.023</v>
      </c>
      <c r="J7879" s="44" t="s">
        <v>8</v>
      </c>
      <c r="K7879" s="23" t="s">
        <v>8</v>
      </c>
      <c r="L7879" s="23" t="s">
        <v>8</v>
      </c>
      <c r="M7879" s="23" t="s">
        <v>8</v>
      </c>
    </row>
    <row r="7880" spans="1:13" s="21" customFormat="1" x14ac:dyDescent="0.25">
      <c r="A7880" s="22" t="s">
        <v>8</v>
      </c>
      <c r="B7880" s="18" t="str">
        <f>"285124"</f>
        <v>285124</v>
      </c>
      <c r="C7880" s="19" t="s">
        <v>7764</v>
      </c>
      <c r="D7880" s="19" t="s">
        <v>23299</v>
      </c>
      <c r="E7880" s="19" t="s">
        <v>33788</v>
      </c>
      <c r="F7880" s="19" t="s">
        <v>36001</v>
      </c>
      <c r="G7880" s="18" t="str">
        <f>"68756"</f>
        <v>68756</v>
      </c>
      <c r="H7880" s="19" t="s">
        <v>36554</v>
      </c>
      <c r="I7880" s="20">
        <v>18.71</v>
      </c>
      <c r="J7880" s="44" t="s">
        <v>8</v>
      </c>
      <c r="K7880" s="23" t="s">
        <v>8</v>
      </c>
      <c r="L7880" s="23" t="s">
        <v>8</v>
      </c>
      <c r="M7880" s="23" t="s">
        <v>8</v>
      </c>
    </row>
    <row r="7881" spans="1:13" s="21" customFormat="1" x14ac:dyDescent="0.25">
      <c r="A7881" s="22" t="s">
        <v>8</v>
      </c>
      <c r="B7881" s="18" t="str">
        <f>"285126"</f>
        <v>285126</v>
      </c>
      <c r="C7881" s="19" t="s">
        <v>7765</v>
      </c>
      <c r="D7881" s="19" t="s">
        <v>23300</v>
      </c>
      <c r="E7881" s="19" t="s">
        <v>33782</v>
      </c>
      <c r="F7881" s="19" t="s">
        <v>36001</v>
      </c>
      <c r="G7881" s="18" t="str">
        <f>"68410"</f>
        <v>68410</v>
      </c>
      <c r="H7881" s="19" t="s">
        <v>36552</v>
      </c>
      <c r="I7881" s="20">
        <v>18.806999999999999</v>
      </c>
      <c r="J7881" s="44" t="s">
        <v>8</v>
      </c>
      <c r="K7881" s="23" t="s">
        <v>8</v>
      </c>
      <c r="L7881" s="23" t="s">
        <v>8</v>
      </c>
      <c r="M7881" s="23" t="s">
        <v>8</v>
      </c>
    </row>
    <row r="7882" spans="1:13" s="21" customFormat="1" x14ac:dyDescent="0.25">
      <c r="A7882" s="22" t="s">
        <v>8</v>
      </c>
      <c r="B7882" s="18" t="str">
        <f>"285127"</f>
        <v>285127</v>
      </c>
      <c r="C7882" s="19" t="s">
        <v>7766</v>
      </c>
      <c r="D7882" s="19" t="s">
        <v>23301</v>
      </c>
      <c r="E7882" s="19" t="s">
        <v>33762</v>
      </c>
      <c r="F7882" s="19" t="s">
        <v>36001</v>
      </c>
      <c r="G7882" s="18" t="str">
        <f>"68114"</f>
        <v>68114</v>
      </c>
      <c r="H7882" s="19" t="s">
        <v>30966</v>
      </c>
      <c r="I7882" s="20">
        <v>19.628</v>
      </c>
      <c r="J7882" s="44" t="s">
        <v>8</v>
      </c>
      <c r="K7882" s="23" t="s">
        <v>8</v>
      </c>
      <c r="L7882" s="23" t="s">
        <v>8</v>
      </c>
      <c r="M7882" s="23" t="s">
        <v>8</v>
      </c>
    </row>
    <row r="7883" spans="1:13" s="21" customFormat="1" x14ac:dyDescent="0.25">
      <c r="A7883" s="22" t="s">
        <v>8</v>
      </c>
      <c r="B7883" s="18" t="str">
        <f>"285130"</f>
        <v>285130</v>
      </c>
      <c r="C7883" s="19" t="s">
        <v>7767</v>
      </c>
      <c r="D7883" s="19" t="s">
        <v>23302</v>
      </c>
      <c r="E7883" s="19" t="s">
        <v>33789</v>
      </c>
      <c r="F7883" s="19" t="s">
        <v>36001</v>
      </c>
      <c r="G7883" s="18" t="str">
        <f>"68310"</f>
        <v>68310</v>
      </c>
      <c r="H7883" s="19" t="s">
        <v>36547</v>
      </c>
      <c r="I7883" s="20">
        <v>17.666</v>
      </c>
      <c r="J7883" s="44" t="s">
        <v>8</v>
      </c>
      <c r="K7883" s="23" t="s">
        <v>8</v>
      </c>
      <c r="L7883" s="23" t="s">
        <v>8</v>
      </c>
      <c r="M7883" s="23" t="s">
        <v>8</v>
      </c>
    </row>
    <row r="7884" spans="1:13" s="21" customFormat="1" x14ac:dyDescent="0.25">
      <c r="A7884" s="22" t="s">
        <v>8</v>
      </c>
      <c r="B7884" s="18" t="str">
        <f>"285131"</f>
        <v>285131</v>
      </c>
      <c r="C7884" s="19" t="s">
        <v>7768</v>
      </c>
      <c r="D7884" s="19" t="s">
        <v>23303</v>
      </c>
      <c r="E7884" s="19" t="s">
        <v>30834</v>
      </c>
      <c r="F7884" s="19" t="s">
        <v>36001</v>
      </c>
      <c r="G7884" s="18" t="str">
        <f>"68467"</f>
        <v>68467</v>
      </c>
      <c r="H7884" s="19" t="s">
        <v>30834</v>
      </c>
      <c r="I7884" s="20">
        <v>16.614999999999998</v>
      </c>
      <c r="J7884" s="44" t="s">
        <v>8</v>
      </c>
      <c r="K7884" s="23" t="s">
        <v>8</v>
      </c>
      <c r="L7884" s="23" t="s">
        <v>8</v>
      </c>
      <c r="M7884" s="23" t="s">
        <v>8</v>
      </c>
    </row>
    <row r="7885" spans="1:13" s="21" customFormat="1" x14ac:dyDescent="0.25">
      <c r="A7885" s="22" t="s">
        <v>8</v>
      </c>
      <c r="B7885" s="18" t="str">
        <f>"285132"</f>
        <v>285132</v>
      </c>
      <c r="C7885" s="19" t="s">
        <v>7769</v>
      </c>
      <c r="D7885" s="19" t="s">
        <v>23304</v>
      </c>
      <c r="E7885" s="19" t="s">
        <v>31405</v>
      </c>
      <c r="F7885" s="19" t="s">
        <v>36001</v>
      </c>
      <c r="G7885" s="18" t="str">
        <f>"68405"</f>
        <v>68405</v>
      </c>
      <c r="H7885" s="19" t="s">
        <v>33835</v>
      </c>
      <c r="I7885" s="20">
        <v>18.951000000000001</v>
      </c>
      <c r="J7885" s="44" t="s">
        <v>8</v>
      </c>
      <c r="K7885" s="23" t="s">
        <v>8</v>
      </c>
      <c r="L7885" s="23" t="s">
        <v>8</v>
      </c>
      <c r="M7885" s="23" t="s">
        <v>8</v>
      </c>
    </row>
    <row r="7886" spans="1:13" s="21" customFormat="1" x14ac:dyDescent="0.25">
      <c r="A7886" s="22" t="s">
        <v>8</v>
      </c>
      <c r="B7886" s="18" t="str">
        <f>"285133"</f>
        <v>285133</v>
      </c>
      <c r="C7886" s="19" t="s">
        <v>7770</v>
      </c>
      <c r="D7886" s="19" t="s">
        <v>23305</v>
      </c>
      <c r="E7886" s="19" t="s">
        <v>31892</v>
      </c>
      <c r="F7886" s="19" t="s">
        <v>36001</v>
      </c>
      <c r="G7886" s="18" t="str">
        <f>"68005"</f>
        <v>68005</v>
      </c>
      <c r="H7886" s="19" t="s">
        <v>36555</v>
      </c>
      <c r="I7886" s="20">
        <v>19.155999999999999</v>
      </c>
      <c r="J7886" s="44" t="s">
        <v>8</v>
      </c>
      <c r="K7886" s="23" t="s">
        <v>8</v>
      </c>
      <c r="L7886" s="23" t="s">
        <v>8</v>
      </c>
      <c r="M7886" s="23" t="s">
        <v>8</v>
      </c>
    </row>
    <row r="7887" spans="1:13" s="21" customFormat="1" x14ac:dyDescent="0.25">
      <c r="A7887" s="22" t="s">
        <v>8</v>
      </c>
      <c r="B7887" s="18" t="str">
        <f>"285134"</f>
        <v>285134</v>
      </c>
      <c r="C7887" s="19" t="s">
        <v>7771</v>
      </c>
      <c r="D7887" s="19" t="s">
        <v>23306</v>
      </c>
      <c r="E7887" s="19" t="s">
        <v>33790</v>
      </c>
      <c r="F7887" s="19" t="s">
        <v>36001</v>
      </c>
      <c r="G7887" s="18" t="str">
        <f>"68022"</f>
        <v>68022</v>
      </c>
      <c r="H7887" s="19" t="s">
        <v>30966</v>
      </c>
      <c r="I7887" s="20">
        <v>18.106000000000002</v>
      </c>
      <c r="J7887" s="44" t="s">
        <v>8</v>
      </c>
      <c r="K7887" s="23" t="s">
        <v>8</v>
      </c>
      <c r="L7887" s="23" t="s">
        <v>8</v>
      </c>
      <c r="M7887" s="23" t="s">
        <v>8</v>
      </c>
    </row>
    <row r="7888" spans="1:13" s="21" customFormat="1" x14ac:dyDescent="0.25">
      <c r="A7888" s="22" t="s">
        <v>8</v>
      </c>
      <c r="B7888" s="18" t="str">
        <f>"285135"</f>
        <v>285135</v>
      </c>
      <c r="C7888" s="19" t="s">
        <v>7772</v>
      </c>
      <c r="D7888" s="19" t="s">
        <v>23307</v>
      </c>
      <c r="E7888" s="19" t="s">
        <v>33280</v>
      </c>
      <c r="F7888" s="19" t="s">
        <v>36001</v>
      </c>
      <c r="G7888" s="18" t="str">
        <f>"68787"</f>
        <v>68787</v>
      </c>
      <c r="H7888" s="19" t="s">
        <v>33280</v>
      </c>
      <c r="I7888" s="20">
        <v>17.399999999999999</v>
      </c>
      <c r="J7888" s="44" t="s">
        <v>8</v>
      </c>
      <c r="K7888" s="23" t="s">
        <v>8</v>
      </c>
      <c r="L7888" s="23" t="s">
        <v>8</v>
      </c>
      <c r="M7888" s="23" t="s">
        <v>8</v>
      </c>
    </row>
    <row r="7889" spans="1:13" s="21" customFormat="1" x14ac:dyDescent="0.25">
      <c r="A7889" s="22" t="s">
        <v>8</v>
      </c>
      <c r="B7889" s="18" t="str">
        <f>"285137"</f>
        <v>285137</v>
      </c>
      <c r="C7889" s="19" t="s">
        <v>7773</v>
      </c>
      <c r="D7889" s="19" t="s">
        <v>23308</v>
      </c>
      <c r="E7889" s="19" t="s">
        <v>33762</v>
      </c>
      <c r="F7889" s="19" t="s">
        <v>36001</v>
      </c>
      <c r="G7889" s="18" t="str">
        <f>"68104"</f>
        <v>68104</v>
      </c>
      <c r="H7889" s="19" t="s">
        <v>30966</v>
      </c>
      <c r="I7889" s="20">
        <v>17.946000000000002</v>
      </c>
      <c r="J7889" s="44" t="s">
        <v>8</v>
      </c>
      <c r="K7889" s="23" t="s">
        <v>8</v>
      </c>
      <c r="L7889" s="23" t="s">
        <v>8</v>
      </c>
      <c r="M7889" s="23" t="s">
        <v>8</v>
      </c>
    </row>
    <row r="7890" spans="1:13" s="21" customFormat="1" x14ac:dyDescent="0.25">
      <c r="A7890" s="22" t="s">
        <v>8</v>
      </c>
      <c r="B7890" s="18" t="str">
        <f>"285138"</f>
        <v>285138</v>
      </c>
      <c r="C7890" s="19" t="s">
        <v>7774</v>
      </c>
      <c r="D7890" s="19" t="s">
        <v>23309</v>
      </c>
      <c r="E7890" s="19" t="s">
        <v>32305</v>
      </c>
      <c r="F7890" s="19" t="s">
        <v>36001</v>
      </c>
      <c r="G7890" s="18" t="str">
        <f>"68446"</f>
        <v>68446</v>
      </c>
      <c r="H7890" s="19" t="s">
        <v>36552</v>
      </c>
      <c r="I7890" s="20">
        <v>17.442</v>
      </c>
      <c r="J7890" s="44" t="s">
        <v>8</v>
      </c>
      <c r="K7890" s="23" t="s">
        <v>8</v>
      </c>
      <c r="L7890" s="23" t="s">
        <v>8</v>
      </c>
      <c r="M7890" s="23" t="s">
        <v>8</v>
      </c>
    </row>
    <row r="7891" spans="1:13" s="21" customFormat="1" x14ac:dyDescent="0.25">
      <c r="A7891" s="22" t="s">
        <v>8</v>
      </c>
      <c r="B7891" s="18" t="str">
        <f>"285139"</f>
        <v>285139</v>
      </c>
      <c r="C7891" s="19" t="s">
        <v>7775</v>
      </c>
      <c r="D7891" s="19" t="s">
        <v>23310</v>
      </c>
      <c r="E7891" s="19" t="s">
        <v>33791</v>
      </c>
      <c r="F7891" s="19" t="s">
        <v>36001</v>
      </c>
      <c r="G7891" s="18" t="str">
        <f>"68767"</f>
        <v>68767</v>
      </c>
      <c r="H7891" s="19" t="s">
        <v>33791</v>
      </c>
      <c r="I7891" s="20">
        <v>20.199000000000002</v>
      </c>
      <c r="J7891" s="44" t="s">
        <v>8</v>
      </c>
      <c r="K7891" s="23" t="s">
        <v>8</v>
      </c>
      <c r="L7891" s="23" t="s">
        <v>8</v>
      </c>
      <c r="M7891" s="23" t="s">
        <v>8</v>
      </c>
    </row>
    <row r="7892" spans="1:13" s="21" customFormat="1" x14ac:dyDescent="0.25">
      <c r="A7892" s="22" t="s">
        <v>8</v>
      </c>
      <c r="B7892" s="18" t="str">
        <f>"285140"</f>
        <v>285140</v>
      </c>
      <c r="C7892" s="19" t="s">
        <v>7776</v>
      </c>
      <c r="D7892" s="19" t="s">
        <v>23311</v>
      </c>
      <c r="E7892" s="19" t="s">
        <v>30809</v>
      </c>
      <c r="F7892" s="19" t="s">
        <v>36001</v>
      </c>
      <c r="G7892" s="18" t="str">
        <f>"68003"</f>
        <v>68003</v>
      </c>
      <c r="H7892" s="19" t="s">
        <v>36556</v>
      </c>
      <c r="I7892" s="20">
        <v>17.795999999999999</v>
      </c>
      <c r="J7892" s="44" t="s">
        <v>8</v>
      </c>
      <c r="K7892" s="23" t="s">
        <v>8</v>
      </c>
      <c r="L7892" s="23" t="s">
        <v>8</v>
      </c>
      <c r="M7892" s="23" t="s">
        <v>8</v>
      </c>
    </row>
    <row r="7893" spans="1:13" s="21" customFormat="1" x14ac:dyDescent="0.25">
      <c r="A7893" s="22" t="s">
        <v>8</v>
      </c>
      <c r="B7893" s="18" t="str">
        <f>"285141"</f>
        <v>285141</v>
      </c>
      <c r="C7893" s="19" t="s">
        <v>4412</v>
      </c>
      <c r="D7893" s="19" t="s">
        <v>23312</v>
      </c>
      <c r="E7893" s="19" t="s">
        <v>32509</v>
      </c>
      <c r="F7893" s="19" t="s">
        <v>36001</v>
      </c>
      <c r="G7893" s="18" t="str">
        <f>"69165"</f>
        <v>69165</v>
      </c>
      <c r="H7893" s="19" t="s">
        <v>31995</v>
      </c>
      <c r="I7893" s="20">
        <v>19.77</v>
      </c>
      <c r="J7893" s="44" t="s">
        <v>8</v>
      </c>
      <c r="K7893" s="23" t="s">
        <v>8</v>
      </c>
      <c r="L7893" s="23" t="s">
        <v>8</v>
      </c>
      <c r="M7893" s="23" t="s">
        <v>8</v>
      </c>
    </row>
    <row r="7894" spans="1:13" s="21" customFormat="1" x14ac:dyDescent="0.25">
      <c r="A7894" s="22" t="s">
        <v>8</v>
      </c>
      <c r="B7894" s="18" t="str">
        <f>"285142"</f>
        <v>285142</v>
      </c>
      <c r="C7894" s="19" t="s">
        <v>7777</v>
      </c>
      <c r="D7894" s="19" t="s">
        <v>23313</v>
      </c>
      <c r="E7894" s="19" t="s">
        <v>33792</v>
      </c>
      <c r="F7894" s="19" t="s">
        <v>36001</v>
      </c>
      <c r="G7894" s="18" t="str">
        <f>"69210"</f>
        <v>69210</v>
      </c>
      <c r="H7894" s="19" t="s">
        <v>36244</v>
      </c>
      <c r="I7894" s="20">
        <v>19.37</v>
      </c>
      <c r="J7894" s="44" t="s">
        <v>8</v>
      </c>
      <c r="K7894" s="23" t="s">
        <v>8</v>
      </c>
      <c r="L7894" s="23" t="s">
        <v>8</v>
      </c>
      <c r="M7894" s="23" t="s">
        <v>8</v>
      </c>
    </row>
    <row r="7895" spans="1:13" s="21" customFormat="1" x14ac:dyDescent="0.25">
      <c r="A7895" s="22" t="s">
        <v>8</v>
      </c>
      <c r="B7895" s="18" t="str">
        <f>"285143"</f>
        <v>285143</v>
      </c>
      <c r="C7895" s="19" t="s">
        <v>7778</v>
      </c>
      <c r="D7895" s="19" t="s">
        <v>23314</v>
      </c>
      <c r="E7895" s="19" t="s">
        <v>32500</v>
      </c>
      <c r="F7895" s="19" t="s">
        <v>36001</v>
      </c>
      <c r="G7895" s="18" t="str">
        <f>"68462"</f>
        <v>68462</v>
      </c>
      <c r="H7895" s="19" t="s">
        <v>31184</v>
      </c>
      <c r="I7895" s="20">
        <v>19.547000000000001</v>
      </c>
      <c r="J7895" s="44" t="s">
        <v>8</v>
      </c>
      <c r="K7895" s="23" t="s">
        <v>8</v>
      </c>
      <c r="L7895" s="23" t="s">
        <v>8</v>
      </c>
      <c r="M7895" s="23" t="s">
        <v>8</v>
      </c>
    </row>
    <row r="7896" spans="1:13" s="21" customFormat="1" x14ac:dyDescent="0.25">
      <c r="A7896" s="22" t="s">
        <v>8</v>
      </c>
      <c r="B7896" s="18" t="str">
        <f>"285144"</f>
        <v>285144</v>
      </c>
      <c r="C7896" s="19" t="s">
        <v>7779</v>
      </c>
      <c r="D7896" s="19" t="s">
        <v>23315</v>
      </c>
      <c r="E7896" s="19" t="s">
        <v>33793</v>
      </c>
      <c r="F7896" s="19" t="s">
        <v>36001</v>
      </c>
      <c r="G7896" s="18" t="str">
        <f>"68930"</f>
        <v>68930</v>
      </c>
      <c r="H7896" s="19" t="s">
        <v>33048</v>
      </c>
      <c r="I7896" s="20">
        <v>18.074000000000002</v>
      </c>
      <c r="J7896" s="44" t="s">
        <v>8</v>
      </c>
      <c r="K7896" s="23" t="s">
        <v>8</v>
      </c>
      <c r="L7896" s="23" t="s">
        <v>8</v>
      </c>
      <c r="M7896" s="23" t="s">
        <v>8</v>
      </c>
    </row>
    <row r="7897" spans="1:13" s="21" customFormat="1" x14ac:dyDescent="0.25">
      <c r="A7897" s="22" t="s">
        <v>8</v>
      </c>
      <c r="B7897" s="18" t="str">
        <f>"285146"</f>
        <v>285146</v>
      </c>
      <c r="C7897" s="19" t="s">
        <v>7780</v>
      </c>
      <c r="D7897" s="19" t="s">
        <v>23316</v>
      </c>
      <c r="E7897" s="19" t="s">
        <v>32789</v>
      </c>
      <c r="F7897" s="19" t="s">
        <v>36001</v>
      </c>
      <c r="G7897" s="18" t="str">
        <f>"68028"</f>
        <v>68028</v>
      </c>
      <c r="H7897" s="19" t="s">
        <v>36555</v>
      </c>
      <c r="I7897" s="20">
        <v>19.364999999999998</v>
      </c>
      <c r="J7897" s="44" t="s">
        <v>8</v>
      </c>
      <c r="K7897" s="23" t="s">
        <v>8</v>
      </c>
      <c r="L7897" s="23" t="s">
        <v>8</v>
      </c>
      <c r="M7897" s="23" t="s">
        <v>8</v>
      </c>
    </row>
    <row r="7898" spans="1:13" s="21" customFormat="1" x14ac:dyDescent="0.25">
      <c r="A7898" s="22" t="s">
        <v>8</v>
      </c>
      <c r="B7898" s="18" t="str">
        <f>"285147"</f>
        <v>285147</v>
      </c>
      <c r="C7898" s="19" t="s">
        <v>7781</v>
      </c>
      <c r="D7898" s="19" t="s">
        <v>23317</v>
      </c>
      <c r="E7898" s="19" t="s">
        <v>33794</v>
      </c>
      <c r="F7898" s="19" t="s">
        <v>36001</v>
      </c>
      <c r="G7898" s="18" t="str">
        <f>"68826"</f>
        <v>68826</v>
      </c>
      <c r="H7898" s="19" t="s">
        <v>36557</v>
      </c>
      <c r="I7898" s="20">
        <v>20.771000000000001</v>
      </c>
      <c r="J7898" s="44" t="s">
        <v>8</v>
      </c>
      <c r="K7898" s="23" t="s">
        <v>8</v>
      </c>
      <c r="L7898" s="23" t="s">
        <v>8</v>
      </c>
      <c r="M7898" s="23" t="s">
        <v>8</v>
      </c>
    </row>
    <row r="7899" spans="1:13" s="21" customFormat="1" x14ac:dyDescent="0.25">
      <c r="A7899" s="22" t="s">
        <v>8</v>
      </c>
      <c r="B7899" s="18" t="str">
        <f>"285148"</f>
        <v>285148</v>
      </c>
      <c r="C7899" s="19" t="s">
        <v>6667</v>
      </c>
      <c r="D7899" s="19" t="s">
        <v>23318</v>
      </c>
      <c r="E7899" s="19" t="s">
        <v>33795</v>
      </c>
      <c r="F7899" s="19" t="s">
        <v>36001</v>
      </c>
      <c r="G7899" s="18" t="str">
        <f>"68008"</f>
        <v>68008</v>
      </c>
      <c r="H7899" s="19" t="s">
        <v>31500</v>
      </c>
      <c r="I7899" s="20">
        <v>18.158000000000001</v>
      </c>
      <c r="J7899" s="44" t="s">
        <v>8</v>
      </c>
      <c r="K7899" s="23" t="s">
        <v>8</v>
      </c>
      <c r="L7899" s="23" t="s">
        <v>8</v>
      </c>
      <c r="M7899" s="23" t="s">
        <v>8</v>
      </c>
    </row>
    <row r="7900" spans="1:13" s="21" customFormat="1" x14ac:dyDescent="0.25">
      <c r="A7900" s="22" t="s">
        <v>8</v>
      </c>
      <c r="B7900" s="18" t="str">
        <f>"285149"</f>
        <v>285149</v>
      </c>
      <c r="C7900" s="19" t="s">
        <v>7782</v>
      </c>
      <c r="D7900" s="19" t="s">
        <v>23319</v>
      </c>
      <c r="E7900" s="19" t="s">
        <v>33762</v>
      </c>
      <c r="F7900" s="19" t="s">
        <v>36001</v>
      </c>
      <c r="G7900" s="18" t="str">
        <f>"68104"</f>
        <v>68104</v>
      </c>
      <c r="H7900" s="19" t="s">
        <v>30966</v>
      </c>
      <c r="I7900" s="20">
        <v>19.71</v>
      </c>
      <c r="J7900" s="44" t="s">
        <v>8</v>
      </c>
      <c r="K7900" s="23" t="s">
        <v>8</v>
      </c>
      <c r="L7900" s="23" t="s">
        <v>8</v>
      </c>
      <c r="M7900" s="23" t="s">
        <v>8</v>
      </c>
    </row>
    <row r="7901" spans="1:13" s="21" customFormat="1" x14ac:dyDescent="0.25">
      <c r="A7901" s="22" t="s">
        <v>8</v>
      </c>
      <c r="B7901" s="18" t="str">
        <f>"285150"</f>
        <v>285150</v>
      </c>
      <c r="C7901" s="19" t="s">
        <v>7783</v>
      </c>
      <c r="D7901" s="19" t="s">
        <v>23320</v>
      </c>
      <c r="E7901" s="19" t="s">
        <v>33796</v>
      </c>
      <c r="F7901" s="19" t="s">
        <v>36001</v>
      </c>
      <c r="G7901" s="18" t="str">
        <f>"69337"</f>
        <v>69337</v>
      </c>
      <c r="H7901" s="19" t="s">
        <v>36558</v>
      </c>
      <c r="I7901" s="20">
        <v>17.238</v>
      </c>
      <c r="J7901" s="44" t="s">
        <v>8</v>
      </c>
      <c r="K7901" s="23" t="s">
        <v>8</v>
      </c>
      <c r="L7901" s="23" t="s">
        <v>8</v>
      </c>
      <c r="M7901" s="23" t="s">
        <v>8</v>
      </c>
    </row>
    <row r="7902" spans="1:13" s="21" customFormat="1" x14ac:dyDescent="0.25">
      <c r="A7902" s="22" t="s">
        <v>8</v>
      </c>
      <c r="B7902" s="18" t="str">
        <f>"285151"</f>
        <v>285151</v>
      </c>
      <c r="C7902" s="19" t="s">
        <v>7784</v>
      </c>
      <c r="D7902" s="19" t="s">
        <v>23321</v>
      </c>
      <c r="E7902" s="19" t="s">
        <v>32850</v>
      </c>
      <c r="F7902" s="19" t="s">
        <v>36001</v>
      </c>
      <c r="G7902" s="18" t="str">
        <f>"68791"</f>
        <v>68791</v>
      </c>
      <c r="H7902" s="19" t="s">
        <v>36559</v>
      </c>
      <c r="I7902" s="20">
        <v>18.132999999999999</v>
      </c>
      <c r="J7902" s="44" t="s">
        <v>8</v>
      </c>
      <c r="K7902" s="23" t="s">
        <v>8</v>
      </c>
      <c r="L7902" s="23" t="s">
        <v>8</v>
      </c>
      <c r="M7902" s="23" t="s">
        <v>8</v>
      </c>
    </row>
    <row r="7903" spans="1:13" s="21" customFormat="1" x14ac:dyDescent="0.25">
      <c r="A7903" s="22" t="s">
        <v>8</v>
      </c>
      <c r="B7903" s="18" t="str">
        <f>"285152"</f>
        <v>285152</v>
      </c>
      <c r="C7903" s="19" t="s">
        <v>7785</v>
      </c>
      <c r="D7903" s="19" t="s">
        <v>23322</v>
      </c>
      <c r="E7903" s="19" t="s">
        <v>31715</v>
      </c>
      <c r="F7903" s="19" t="s">
        <v>36001</v>
      </c>
      <c r="G7903" s="18" t="str">
        <f>"68601"</f>
        <v>68601</v>
      </c>
      <c r="H7903" s="19" t="s">
        <v>36520</v>
      </c>
      <c r="I7903" s="20">
        <v>18.25</v>
      </c>
      <c r="J7903" s="44" t="s">
        <v>8</v>
      </c>
      <c r="K7903" s="23" t="s">
        <v>8</v>
      </c>
      <c r="L7903" s="23" t="s">
        <v>8</v>
      </c>
      <c r="M7903" s="23" t="s">
        <v>8</v>
      </c>
    </row>
    <row r="7904" spans="1:13" s="21" customFormat="1" x14ac:dyDescent="0.25">
      <c r="A7904" s="22" t="s">
        <v>8</v>
      </c>
      <c r="B7904" s="18" t="str">
        <f>"285153"</f>
        <v>285153</v>
      </c>
      <c r="C7904" s="19" t="s">
        <v>7786</v>
      </c>
      <c r="D7904" s="19" t="s">
        <v>23323</v>
      </c>
      <c r="E7904" s="19" t="s">
        <v>33797</v>
      </c>
      <c r="F7904" s="19" t="s">
        <v>36001</v>
      </c>
      <c r="G7904" s="18" t="str">
        <f>"68935"</f>
        <v>68935</v>
      </c>
      <c r="H7904" s="19" t="s">
        <v>36030</v>
      </c>
      <c r="I7904" s="20">
        <v>18.931999999999999</v>
      </c>
      <c r="J7904" s="44" t="s">
        <v>8</v>
      </c>
      <c r="K7904" s="23" t="s">
        <v>8</v>
      </c>
      <c r="L7904" s="23" t="s">
        <v>8</v>
      </c>
      <c r="M7904" s="23" t="s">
        <v>8</v>
      </c>
    </row>
    <row r="7905" spans="1:13" s="21" customFormat="1" x14ac:dyDescent="0.25">
      <c r="A7905" s="22" t="s">
        <v>8</v>
      </c>
      <c r="B7905" s="18" t="str">
        <f>"285156"</f>
        <v>285156</v>
      </c>
      <c r="C7905" s="19" t="s">
        <v>7787</v>
      </c>
      <c r="D7905" s="19" t="s">
        <v>23324</v>
      </c>
      <c r="E7905" s="19" t="s">
        <v>31416</v>
      </c>
      <c r="F7905" s="19" t="s">
        <v>36001</v>
      </c>
      <c r="G7905" s="18" t="str">
        <f>"68718"</f>
        <v>68718</v>
      </c>
      <c r="H7905" s="19" t="s">
        <v>32252</v>
      </c>
      <c r="I7905" s="20">
        <v>18.018000000000001</v>
      </c>
      <c r="J7905" s="44" t="s">
        <v>8</v>
      </c>
      <c r="K7905" s="23" t="s">
        <v>8</v>
      </c>
      <c r="L7905" s="23" t="s">
        <v>8</v>
      </c>
      <c r="M7905" s="23" t="s">
        <v>8</v>
      </c>
    </row>
    <row r="7906" spans="1:13" s="21" customFormat="1" x14ac:dyDescent="0.25">
      <c r="A7906" s="22" t="s">
        <v>8</v>
      </c>
      <c r="B7906" s="18" t="str">
        <f>"285157"</f>
        <v>285157</v>
      </c>
      <c r="C7906" s="19" t="s">
        <v>7788</v>
      </c>
      <c r="D7906" s="19" t="s">
        <v>23325</v>
      </c>
      <c r="E7906" s="19" t="s">
        <v>33798</v>
      </c>
      <c r="F7906" s="19" t="s">
        <v>36001</v>
      </c>
      <c r="G7906" s="18" t="str">
        <f>"68420"</f>
        <v>68420</v>
      </c>
      <c r="H7906" s="19" t="s">
        <v>34701</v>
      </c>
      <c r="I7906" s="20">
        <v>18.131</v>
      </c>
      <c r="J7906" s="44" t="s">
        <v>8</v>
      </c>
      <c r="K7906" s="23" t="s">
        <v>8</v>
      </c>
      <c r="L7906" s="23" t="s">
        <v>8</v>
      </c>
      <c r="M7906" s="23" t="s">
        <v>8</v>
      </c>
    </row>
    <row r="7907" spans="1:13" s="21" customFormat="1" x14ac:dyDescent="0.25">
      <c r="A7907" s="22" t="s">
        <v>8</v>
      </c>
      <c r="B7907" s="18" t="str">
        <f>"285158"</f>
        <v>285158</v>
      </c>
      <c r="C7907" s="19" t="s">
        <v>7789</v>
      </c>
      <c r="D7907" s="19" t="s">
        <v>23326</v>
      </c>
      <c r="E7907" s="19" t="s">
        <v>32540</v>
      </c>
      <c r="F7907" s="19" t="s">
        <v>36001</v>
      </c>
      <c r="G7907" s="18" t="str">
        <f>"68788"</f>
        <v>68788</v>
      </c>
      <c r="H7907" s="19" t="s">
        <v>36559</v>
      </c>
      <c r="I7907" s="20">
        <v>17.861999999999998</v>
      </c>
      <c r="J7907" s="44" t="s">
        <v>8</v>
      </c>
      <c r="K7907" s="23" t="s">
        <v>8</v>
      </c>
      <c r="L7907" s="23" t="s">
        <v>8</v>
      </c>
      <c r="M7907" s="23" t="s">
        <v>8</v>
      </c>
    </row>
    <row r="7908" spans="1:13" s="21" customFormat="1" x14ac:dyDescent="0.25">
      <c r="A7908" s="22" t="s">
        <v>8</v>
      </c>
      <c r="B7908" s="18" t="str">
        <f>"285159"</f>
        <v>285159</v>
      </c>
      <c r="C7908" s="19" t="s">
        <v>7790</v>
      </c>
      <c r="D7908" s="19" t="s">
        <v>23327</v>
      </c>
      <c r="E7908" s="19" t="s">
        <v>32692</v>
      </c>
      <c r="F7908" s="19" t="s">
        <v>36001</v>
      </c>
      <c r="G7908" s="18" t="str">
        <f>"68850"</f>
        <v>68850</v>
      </c>
      <c r="H7908" s="19" t="s">
        <v>31786</v>
      </c>
      <c r="I7908" s="20">
        <v>18.103000000000002</v>
      </c>
      <c r="J7908" s="44" t="s">
        <v>8</v>
      </c>
      <c r="K7908" s="23" t="s">
        <v>8</v>
      </c>
      <c r="L7908" s="23" t="s">
        <v>8</v>
      </c>
      <c r="M7908" s="23" t="s">
        <v>8</v>
      </c>
    </row>
    <row r="7909" spans="1:13" s="21" customFormat="1" x14ac:dyDescent="0.25">
      <c r="A7909" s="22" t="s">
        <v>8</v>
      </c>
      <c r="B7909" s="18" t="str">
        <f>"285160"</f>
        <v>285160</v>
      </c>
      <c r="C7909" s="19" t="s">
        <v>7791</v>
      </c>
      <c r="D7909" s="19" t="s">
        <v>23328</v>
      </c>
      <c r="E7909" s="19" t="s">
        <v>33776</v>
      </c>
      <c r="F7909" s="19" t="s">
        <v>36001</v>
      </c>
      <c r="G7909" s="18" t="str">
        <f>"68701"</f>
        <v>68701</v>
      </c>
      <c r="H7909" s="19" t="s">
        <v>30899</v>
      </c>
      <c r="I7909" s="20">
        <v>17.420999999999999</v>
      </c>
      <c r="J7909" s="44" t="s">
        <v>8</v>
      </c>
      <c r="K7909" s="23" t="s">
        <v>8</v>
      </c>
      <c r="L7909" s="23" t="s">
        <v>8</v>
      </c>
      <c r="M7909" s="23" t="s">
        <v>8</v>
      </c>
    </row>
    <row r="7910" spans="1:13" s="21" customFormat="1" x14ac:dyDescent="0.25">
      <c r="A7910" s="22" t="s">
        <v>8</v>
      </c>
      <c r="B7910" s="18" t="str">
        <f>"285161"</f>
        <v>285161</v>
      </c>
      <c r="C7910" s="19" t="s">
        <v>7792</v>
      </c>
      <c r="D7910" s="19" t="s">
        <v>23329</v>
      </c>
      <c r="E7910" s="19" t="s">
        <v>33304</v>
      </c>
      <c r="F7910" s="19" t="s">
        <v>36001</v>
      </c>
      <c r="G7910" s="18" t="str">
        <f>"68456"</f>
        <v>68456</v>
      </c>
      <c r="H7910" s="19" t="s">
        <v>33835</v>
      </c>
      <c r="I7910" s="20">
        <v>18.385999999999999</v>
      </c>
      <c r="J7910" s="44" t="s">
        <v>8</v>
      </c>
      <c r="K7910" s="23" t="s">
        <v>8</v>
      </c>
      <c r="L7910" s="23" t="s">
        <v>8</v>
      </c>
      <c r="M7910" s="23" t="s">
        <v>8</v>
      </c>
    </row>
    <row r="7911" spans="1:13" s="21" customFormat="1" x14ac:dyDescent="0.25">
      <c r="A7911" s="22" t="s">
        <v>8</v>
      </c>
      <c r="B7911" s="18" t="str">
        <f>"285163"</f>
        <v>285163</v>
      </c>
      <c r="C7911" s="19" t="s">
        <v>7793</v>
      </c>
      <c r="D7911" s="19" t="s">
        <v>23330</v>
      </c>
      <c r="E7911" s="19" t="s">
        <v>33799</v>
      </c>
      <c r="F7911" s="19" t="s">
        <v>36001</v>
      </c>
      <c r="G7911" s="18" t="str">
        <f>"69138"</f>
        <v>69138</v>
      </c>
      <c r="H7911" s="19" t="s">
        <v>31786</v>
      </c>
      <c r="I7911" s="20">
        <v>17.882000000000001</v>
      </c>
      <c r="J7911" s="44" t="s">
        <v>8</v>
      </c>
      <c r="K7911" s="23" t="s">
        <v>8</v>
      </c>
      <c r="L7911" s="23" t="s">
        <v>8</v>
      </c>
      <c r="M7911" s="23" t="s">
        <v>8</v>
      </c>
    </row>
    <row r="7912" spans="1:13" s="21" customFormat="1" x14ac:dyDescent="0.25">
      <c r="A7912" s="22" t="s">
        <v>8</v>
      </c>
      <c r="B7912" s="18" t="str">
        <f>"285164"</f>
        <v>285164</v>
      </c>
      <c r="C7912" s="19" t="s">
        <v>7794</v>
      </c>
      <c r="D7912" s="19" t="s">
        <v>23331</v>
      </c>
      <c r="E7912" s="19" t="s">
        <v>31995</v>
      </c>
      <c r="F7912" s="19" t="s">
        <v>36001</v>
      </c>
      <c r="G7912" s="18" t="str">
        <f>"68506"</f>
        <v>68506</v>
      </c>
      <c r="H7912" s="19" t="s">
        <v>31184</v>
      </c>
      <c r="I7912" s="20">
        <v>17.257999999999999</v>
      </c>
      <c r="J7912" s="44" t="s">
        <v>8</v>
      </c>
      <c r="K7912" s="23" t="s">
        <v>8</v>
      </c>
      <c r="L7912" s="23" t="s">
        <v>8</v>
      </c>
      <c r="M7912" s="23" t="s">
        <v>8</v>
      </c>
    </row>
    <row r="7913" spans="1:13" s="21" customFormat="1" x14ac:dyDescent="0.25">
      <c r="A7913" s="22" t="s">
        <v>8</v>
      </c>
      <c r="B7913" s="18" t="str">
        <f>"285165"</f>
        <v>285165</v>
      </c>
      <c r="C7913" s="19" t="s">
        <v>7795</v>
      </c>
      <c r="D7913" s="19" t="s">
        <v>23332</v>
      </c>
      <c r="E7913" s="19" t="s">
        <v>33773</v>
      </c>
      <c r="F7913" s="19" t="s">
        <v>36001</v>
      </c>
      <c r="G7913" s="18" t="str">
        <f>"69101"</f>
        <v>69101</v>
      </c>
      <c r="H7913" s="19" t="s">
        <v>31995</v>
      </c>
      <c r="I7913" s="20">
        <v>21.196999999999999</v>
      </c>
      <c r="J7913" s="44" t="s">
        <v>8</v>
      </c>
      <c r="K7913" s="23" t="s">
        <v>8</v>
      </c>
      <c r="L7913" s="23" t="s">
        <v>8</v>
      </c>
      <c r="M7913" s="23" t="s">
        <v>8</v>
      </c>
    </row>
    <row r="7914" spans="1:13" s="21" customFormat="1" x14ac:dyDescent="0.25">
      <c r="A7914" s="22" t="s">
        <v>8</v>
      </c>
      <c r="B7914" s="18" t="str">
        <f>"285166"</f>
        <v>285166</v>
      </c>
      <c r="C7914" s="19" t="s">
        <v>7796</v>
      </c>
      <c r="D7914" s="19" t="s">
        <v>23333</v>
      </c>
      <c r="E7914" s="19" t="s">
        <v>33800</v>
      </c>
      <c r="F7914" s="19" t="s">
        <v>36001</v>
      </c>
      <c r="G7914" s="18" t="str">
        <f>"68956"</f>
        <v>68956</v>
      </c>
      <c r="H7914" s="19" t="s">
        <v>33467</v>
      </c>
      <c r="I7914" s="20">
        <v>17.893000000000001</v>
      </c>
      <c r="J7914" s="44" t="s">
        <v>8</v>
      </c>
      <c r="K7914" s="23" t="s">
        <v>8</v>
      </c>
      <c r="L7914" s="23" t="s">
        <v>8</v>
      </c>
      <c r="M7914" s="23" t="s">
        <v>8</v>
      </c>
    </row>
    <row r="7915" spans="1:13" s="21" customFormat="1" x14ac:dyDescent="0.25">
      <c r="A7915" s="22" t="s">
        <v>8</v>
      </c>
      <c r="B7915" s="18" t="str">
        <f>"285167"</f>
        <v>285167</v>
      </c>
      <c r="C7915" s="19" t="s">
        <v>7797</v>
      </c>
      <c r="D7915" s="19" t="s">
        <v>23334</v>
      </c>
      <c r="E7915" s="19" t="s">
        <v>33150</v>
      </c>
      <c r="F7915" s="19" t="s">
        <v>36001</v>
      </c>
      <c r="G7915" s="18" t="str">
        <f>"68901"</f>
        <v>68901</v>
      </c>
      <c r="H7915" s="19" t="s">
        <v>33467</v>
      </c>
      <c r="I7915" s="20">
        <v>20.994</v>
      </c>
      <c r="J7915" s="44" t="s">
        <v>8</v>
      </c>
      <c r="K7915" s="23" t="s">
        <v>8</v>
      </c>
      <c r="L7915" s="23" t="s">
        <v>8</v>
      </c>
      <c r="M7915" s="23" t="s">
        <v>8</v>
      </c>
    </row>
    <row r="7916" spans="1:13" s="21" customFormat="1" x14ac:dyDescent="0.25">
      <c r="A7916" s="22" t="s">
        <v>8</v>
      </c>
      <c r="B7916" s="18" t="str">
        <f>"285170"</f>
        <v>285170</v>
      </c>
      <c r="C7916" s="19" t="s">
        <v>7798</v>
      </c>
      <c r="D7916" s="19" t="s">
        <v>23335</v>
      </c>
      <c r="E7916" s="19" t="s">
        <v>32046</v>
      </c>
      <c r="F7916" s="19" t="s">
        <v>36001</v>
      </c>
      <c r="G7916" s="18" t="str">
        <f>"68333"</f>
        <v>68333</v>
      </c>
      <c r="H7916" s="19" t="s">
        <v>33206</v>
      </c>
      <c r="I7916" s="20">
        <v>16.247</v>
      </c>
      <c r="J7916" s="44" t="s">
        <v>8</v>
      </c>
      <c r="K7916" s="23" t="s">
        <v>8</v>
      </c>
      <c r="L7916" s="23" t="s">
        <v>8</v>
      </c>
      <c r="M7916" s="23" t="s">
        <v>8</v>
      </c>
    </row>
    <row r="7917" spans="1:13" s="21" customFormat="1" x14ac:dyDescent="0.25">
      <c r="A7917" s="22" t="s">
        <v>8</v>
      </c>
      <c r="B7917" s="18" t="str">
        <f>"285172"</f>
        <v>285172</v>
      </c>
      <c r="C7917" s="19" t="s">
        <v>7799</v>
      </c>
      <c r="D7917" s="19" t="s">
        <v>23336</v>
      </c>
      <c r="E7917" s="19" t="s">
        <v>33801</v>
      </c>
      <c r="F7917" s="19" t="s">
        <v>36001</v>
      </c>
      <c r="G7917" s="18" t="str">
        <f>"68465"</f>
        <v>68465</v>
      </c>
      <c r="H7917" s="19" t="s">
        <v>33206</v>
      </c>
      <c r="I7917" s="20">
        <v>18.771999999999998</v>
      </c>
      <c r="J7917" s="44" t="s">
        <v>8</v>
      </c>
      <c r="K7917" s="23" t="s">
        <v>8</v>
      </c>
      <c r="L7917" s="23" t="s">
        <v>8</v>
      </c>
      <c r="M7917" s="23" t="s">
        <v>8</v>
      </c>
    </row>
    <row r="7918" spans="1:13" s="21" customFormat="1" x14ac:dyDescent="0.25">
      <c r="A7918" s="22" t="s">
        <v>8</v>
      </c>
      <c r="B7918" s="18" t="str">
        <f>"285173"</f>
        <v>285173</v>
      </c>
      <c r="C7918" s="19" t="s">
        <v>7800</v>
      </c>
      <c r="D7918" s="19" t="s">
        <v>23337</v>
      </c>
      <c r="E7918" s="19" t="s">
        <v>33762</v>
      </c>
      <c r="F7918" s="19" t="s">
        <v>36001</v>
      </c>
      <c r="G7918" s="18" t="str">
        <f>"68112"</f>
        <v>68112</v>
      </c>
      <c r="H7918" s="19" t="s">
        <v>30966</v>
      </c>
      <c r="I7918" s="20">
        <v>18.41</v>
      </c>
      <c r="J7918" s="44" t="s">
        <v>8</v>
      </c>
      <c r="K7918" s="23" t="s">
        <v>8</v>
      </c>
      <c r="L7918" s="23" t="s">
        <v>8</v>
      </c>
      <c r="M7918" s="23" t="s">
        <v>8</v>
      </c>
    </row>
    <row r="7919" spans="1:13" s="21" customFormat="1" x14ac:dyDescent="0.25">
      <c r="A7919" s="22" t="s">
        <v>8</v>
      </c>
      <c r="B7919" s="18" t="str">
        <f>"285174"</f>
        <v>285174</v>
      </c>
      <c r="C7919" s="19" t="s">
        <v>7801</v>
      </c>
      <c r="D7919" s="19" t="s">
        <v>23338</v>
      </c>
      <c r="E7919" s="19" t="s">
        <v>33765</v>
      </c>
      <c r="F7919" s="19" t="s">
        <v>36001</v>
      </c>
      <c r="G7919" s="18" t="str">
        <f>"69301"</f>
        <v>69301</v>
      </c>
      <c r="H7919" s="19" t="s">
        <v>36546</v>
      </c>
      <c r="I7919" s="20">
        <v>17.393000000000001</v>
      </c>
      <c r="J7919" s="44" t="s">
        <v>8</v>
      </c>
      <c r="K7919" s="23" t="s">
        <v>8</v>
      </c>
      <c r="L7919" s="23" t="s">
        <v>8</v>
      </c>
      <c r="M7919" s="23" t="s">
        <v>8</v>
      </c>
    </row>
    <row r="7920" spans="1:13" s="21" customFormat="1" x14ac:dyDescent="0.25">
      <c r="A7920" s="22" t="s">
        <v>8</v>
      </c>
      <c r="B7920" s="18" t="str">
        <f>"285175"</f>
        <v>285175</v>
      </c>
      <c r="C7920" s="19" t="s">
        <v>7802</v>
      </c>
      <c r="D7920" s="19" t="s">
        <v>23339</v>
      </c>
      <c r="E7920" s="19" t="s">
        <v>33802</v>
      </c>
      <c r="F7920" s="19" t="s">
        <v>36001</v>
      </c>
      <c r="G7920" s="18" t="str">
        <f>"68922"</f>
        <v>68922</v>
      </c>
      <c r="H7920" s="19" t="s">
        <v>36560</v>
      </c>
      <c r="I7920" s="20">
        <v>19.071000000000002</v>
      </c>
      <c r="J7920" s="44" t="s">
        <v>8</v>
      </c>
      <c r="K7920" s="23" t="s">
        <v>8</v>
      </c>
      <c r="L7920" s="23" t="s">
        <v>8</v>
      </c>
      <c r="M7920" s="23" t="s">
        <v>8</v>
      </c>
    </row>
    <row r="7921" spans="1:13" s="21" customFormat="1" x14ac:dyDescent="0.25">
      <c r="A7921" s="22" t="s">
        <v>8</v>
      </c>
      <c r="B7921" s="18" t="str">
        <f>"285176"</f>
        <v>285176</v>
      </c>
      <c r="C7921" s="19" t="s">
        <v>7803</v>
      </c>
      <c r="D7921" s="19" t="s">
        <v>23340</v>
      </c>
      <c r="E7921" s="19" t="s">
        <v>33803</v>
      </c>
      <c r="F7921" s="19" t="s">
        <v>36001</v>
      </c>
      <c r="G7921" s="18" t="str">
        <f>"69201"</f>
        <v>69201</v>
      </c>
      <c r="H7921" s="19" t="s">
        <v>36561</v>
      </c>
      <c r="I7921" s="20">
        <v>18.702000000000002</v>
      </c>
      <c r="J7921" s="44" t="s">
        <v>8</v>
      </c>
      <c r="K7921" s="23" t="s">
        <v>8</v>
      </c>
      <c r="L7921" s="23" t="s">
        <v>8</v>
      </c>
      <c r="M7921" s="23" t="s">
        <v>8</v>
      </c>
    </row>
    <row r="7922" spans="1:13" s="21" customFormat="1" x14ac:dyDescent="0.25">
      <c r="A7922" s="22" t="s">
        <v>8</v>
      </c>
      <c r="B7922" s="18" t="str">
        <f>"285177"</f>
        <v>285177</v>
      </c>
      <c r="C7922" s="19" t="s">
        <v>7804</v>
      </c>
      <c r="D7922" s="19" t="s">
        <v>23341</v>
      </c>
      <c r="E7922" s="19" t="s">
        <v>33804</v>
      </c>
      <c r="F7922" s="19" t="s">
        <v>36001</v>
      </c>
      <c r="G7922" s="18" t="str">
        <f>"68713"</f>
        <v>68713</v>
      </c>
      <c r="H7922" s="19" t="s">
        <v>33214</v>
      </c>
      <c r="I7922" s="20">
        <v>17.25</v>
      </c>
      <c r="J7922" s="44" t="s">
        <v>8</v>
      </c>
      <c r="K7922" s="23" t="s">
        <v>8</v>
      </c>
      <c r="L7922" s="23" t="s">
        <v>8</v>
      </c>
      <c r="M7922" s="23" t="s">
        <v>8</v>
      </c>
    </row>
    <row r="7923" spans="1:13" s="21" customFormat="1" x14ac:dyDescent="0.25">
      <c r="A7923" s="22" t="s">
        <v>8</v>
      </c>
      <c r="B7923" s="18" t="str">
        <f>"285178"</f>
        <v>285178</v>
      </c>
      <c r="C7923" s="19" t="s">
        <v>1396</v>
      </c>
      <c r="D7923" s="19" t="s">
        <v>23342</v>
      </c>
      <c r="E7923" s="19" t="s">
        <v>32957</v>
      </c>
      <c r="F7923" s="19" t="s">
        <v>36001</v>
      </c>
      <c r="G7923" s="18" t="str">
        <f>"68745"</f>
        <v>68745</v>
      </c>
      <c r="H7923" s="19" t="s">
        <v>36284</v>
      </c>
      <c r="I7923" s="20">
        <v>18.841999999999999</v>
      </c>
      <c r="J7923" s="44" t="s">
        <v>8</v>
      </c>
      <c r="K7923" s="23" t="s">
        <v>8</v>
      </c>
      <c r="L7923" s="23" t="s">
        <v>8</v>
      </c>
      <c r="M7923" s="23" t="s">
        <v>8</v>
      </c>
    </row>
    <row r="7924" spans="1:13" s="21" customFormat="1" x14ac:dyDescent="0.25">
      <c r="A7924" s="22" t="s">
        <v>8</v>
      </c>
      <c r="B7924" s="18" t="str">
        <f>"285180"</f>
        <v>285180</v>
      </c>
      <c r="C7924" s="19" t="s">
        <v>7805</v>
      </c>
      <c r="D7924" s="19" t="s">
        <v>23343</v>
      </c>
      <c r="E7924" s="19" t="s">
        <v>33744</v>
      </c>
      <c r="F7924" s="19" t="s">
        <v>36001</v>
      </c>
      <c r="G7924" s="18" t="str">
        <f>"68722"</f>
        <v>68722</v>
      </c>
      <c r="H7924" s="19" t="s">
        <v>36349</v>
      </c>
      <c r="I7924" s="20">
        <v>18.422000000000001</v>
      </c>
      <c r="J7924" s="44" t="s">
        <v>8</v>
      </c>
      <c r="K7924" s="23" t="s">
        <v>8</v>
      </c>
      <c r="L7924" s="23" t="s">
        <v>8</v>
      </c>
      <c r="M7924" s="23" t="s">
        <v>8</v>
      </c>
    </row>
    <row r="7925" spans="1:13" s="21" customFormat="1" x14ac:dyDescent="0.25">
      <c r="A7925" s="22" t="s">
        <v>8</v>
      </c>
      <c r="B7925" s="18" t="str">
        <f>"285183"</f>
        <v>285183</v>
      </c>
      <c r="C7925" s="19" t="s">
        <v>7806</v>
      </c>
      <c r="D7925" s="19" t="s">
        <v>23344</v>
      </c>
      <c r="E7925" s="19" t="s">
        <v>33068</v>
      </c>
      <c r="F7925" s="19" t="s">
        <v>36001</v>
      </c>
      <c r="G7925" s="18" t="str">
        <f>"68771"</f>
        <v>68771</v>
      </c>
      <c r="H7925" s="19" t="s">
        <v>36284</v>
      </c>
      <c r="I7925" s="20">
        <v>18.712</v>
      </c>
      <c r="J7925" s="44" t="s">
        <v>8</v>
      </c>
      <c r="K7925" s="23" t="s">
        <v>8</v>
      </c>
      <c r="L7925" s="23" t="s">
        <v>8</v>
      </c>
      <c r="M7925" s="23" t="s">
        <v>8</v>
      </c>
    </row>
    <row r="7926" spans="1:13" s="21" customFormat="1" x14ac:dyDescent="0.25">
      <c r="A7926" s="22" t="s">
        <v>8</v>
      </c>
      <c r="B7926" s="18" t="str">
        <f>"285185"</f>
        <v>285185</v>
      </c>
      <c r="C7926" s="19" t="s">
        <v>7807</v>
      </c>
      <c r="D7926" s="19" t="s">
        <v>23345</v>
      </c>
      <c r="E7926" s="19" t="s">
        <v>31067</v>
      </c>
      <c r="F7926" s="19" t="s">
        <v>36001</v>
      </c>
      <c r="G7926" s="18" t="str">
        <f>"68920"</f>
        <v>68920</v>
      </c>
      <c r="H7926" s="19" t="s">
        <v>32467</v>
      </c>
      <c r="I7926" s="20">
        <v>17.704999999999998</v>
      </c>
      <c r="J7926" s="44" t="s">
        <v>8</v>
      </c>
      <c r="K7926" s="23" t="s">
        <v>8</v>
      </c>
      <c r="L7926" s="23" t="s">
        <v>8</v>
      </c>
      <c r="M7926" s="23" t="s">
        <v>8</v>
      </c>
    </row>
    <row r="7927" spans="1:13" s="21" customFormat="1" x14ac:dyDescent="0.25">
      <c r="A7927" s="22" t="s">
        <v>8</v>
      </c>
      <c r="B7927" s="18" t="str">
        <f>"285186"</f>
        <v>285186</v>
      </c>
      <c r="C7927" s="19" t="s">
        <v>7808</v>
      </c>
      <c r="D7927" s="19" t="s">
        <v>23346</v>
      </c>
      <c r="E7927" s="19" t="s">
        <v>33805</v>
      </c>
      <c r="F7927" s="19" t="s">
        <v>36001</v>
      </c>
      <c r="G7927" s="18" t="str">
        <f>"68047"</f>
        <v>68047</v>
      </c>
      <c r="H7927" s="19" t="s">
        <v>36562</v>
      </c>
      <c r="I7927" s="20">
        <v>18.303000000000001</v>
      </c>
      <c r="J7927" s="44" t="s">
        <v>8</v>
      </c>
      <c r="K7927" s="23" t="s">
        <v>8</v>
      </c>
      <c r="L7927" s="23" t="s">
        <v>8</v>
      </c>
      <c r="M7927" s="23" t="s">
        <v>8</v>
      </c>
    </row>
    <row r="7928" spans="1:13" s="21" customFormat="1" x14ac:dyDescent="0.25">
      <c r="A7928" s="22" t="s">
        <v>8</v>
      </c>
      <c r="B7928" s="18" t="str">
        <f>"285187"</f>
        <v>285187</v>
      </c>
      <c r="C7928" s="19" t="s">
        <v>7809</v>
      </c>
      <c r="D7928" s="19" t="s">
        <v>23347</v>
      </c>
      <c r="E7928" s="19" t="s">
        <v>33806</v>
      </c>
      <c r="F7928" s="19" t="s">
        <v>36001</v>
      </c>
      <c r="G7928" s="18" t="str">
        <f>"68978"</f>
        <v>68978</v>
      </c>
      <c r="H7928" s="19" t="s">
        <v>36563</v>
      </c>
      <c r="I7928" s="20">
        <v>16.739000000000001</v>
      </c>
      <c r="J7928" s="44" t="s">
        <v>8</v>
      </c>
      <c r="K7928" s="23" t="s">
        <v>8</v>
      </c>
      <c r="L7928" s="23" t="s">
        <v>8</v>
      </c>
      <c r="M7928" s="23" t="s">
        <v>8</v>
      </c>
    </row>
    <row r="7929" spans="1:13" s="21" customFormat="1" x14ac:dyDescent="0.25">
      <c r="A7929" s="22" t="s">
        <v>8</v>
      </c>
      <c r="B7929" s="18" t="str">
        <f>"285189"</f>
        <v>285189</v>
      </c>
      <c r="C7929" s="19" t="s">
        <v>7810</v>
      </c>
      <c r="D7929" s="19" t="s">
        <v>23348</v>
      </c>
      <c r="E7929" s="19" t="s">
        <v>33774</v>
      </c>
      <c r="F7929" s="19" t="s">
        <v>36001</v>
      </c>
      <c r="G7929" s="18" t="str">
        <f>"68847"</f>
        <v>68847</v>
      </c>
      <c r="H7929" s="19" t="s">
        <v>33453</v>
      </c>
      <c r="I7929" s="20">
        <v>18.722999999999999</v>
      </c>
      <c r="J7929" s="44" t="s">
        <v>8</v>
      </c>
      <c r="K7929" s="23" t="s">
        <v>8</v>
      </c>
      <c r="L7929" s="23" t="s">
        <v>8</v>
      </c>
      <c r="M7929" s="23" t="s">
        <v>8</v>
      </c>
    </row>
    <row r="7930" spans="1:13" s="21" customFormat="1" x14ac:dyDescent="0.25">
      <c r="A7930" s="22" t="s">
        <v>8</v>
      </c>
      <c r="B7930" s="18" t="str">
        <f>"285190"</f>
        <v>285190</v>
      </c>
      <c r="C7930" s="19" t="s">
        <v>7811</v>
      </c>
      <c r="D7930" s="19" t="s">
        <v>23349</v>
      </c>
      <c r="E7930" s="19" t="s">
        <v>33807</v>
      </c>
      <c r="F7930" s="19" t="s">
        <v>36001</v>
      </c>
      <c r="G7930" s="18" t="str">
        <f>"68783"</f>
        <v>68783</v>
      </c>
      <c r="H7930" s="19" t="s">
        <v>32252</v>
      </c>
      <c r="I7930" s="20">
        <v>18.971</v>
      </c>
      <c r="J7930" s="44" t="s">
        <v>8</v>
      </c>
      <c r="K7930" s="23" t="s">
        <v>8</v>
      </c>
      <c r="L7930" s="23" t="s">
        <v>8</v>
      </c>
      <c r="M7930" s="23" t="s">
        <v>8</v>
      </c>
    </row>
    <row r="7931" spans="1:13" s="21" customFormat="1" x14ac:dyDescent="0.25">
      <c r="A7931" s="22" t="s">
        <v>8</v>
      </c>
      <c r="B7931" s="18" t="str">
        <f>"285191"</f>
        <v>285191</v>
      </c>
      <c r="C7931" s="19" t="s">
        <v>7812</v>
      </c>
      <c r="D7931" s="19" t="s">
        <v>23350</v>
      </c>
      <c r="E7931" s="19" t="s">
        <v>33808</v>
      </c>
      <c r="F7931" s="19" t="s">
        <v>36001</v>
      </c>
      <c r="G7931" s="18" t="str">
        <f>"68770"</f>
        <v>68770</v>
      </c>
      <c r="H7931" s="19" t="s">
        <v>32123</v>
      </c>
      <c r="I7931" s="20">
        <v>17.465</v>
      </c>
      <c r="J7931" s="44" t="s">
        <v>8</v>
      </c>
      <c r="K7931" s="23" t="s">
        <v>8</v>
      </c>
      <c r="L7931" s="23" t="s">
        <v>8</v>
      </c>
      <c r="M7931" s="23" t="s">
        <v>8</v>
      </c>
    </row>
    <row r="7932" spans="1:13" s="21" customFormat="1" x14ac:dyDescent="0.25">
      <c r="A7932" s="22" t="s">
        <v>8</v>
      </c>
      <c r="B7932" s="18" t="str">
        <f>"285192"</f>
        <v>285192</v>
      </c>
      <c r="C7932" s="19" t="s">
        <v>7813</v>
      </c>
      <c r="D7932" s="19" t="s">
        <v>23351</v>
      </c>
      <c r="E7932" s="19" t="s">
        <v>33774</v>
      </c>
      <c r="F7932" s="19" t="s">
        <v>36001</v>
      </c>
      <c r="G7932" s="18" t="str">
        <f>"68847"</f>
        <v>68847</v>
      </c>
      <c r="H7932" s="19" t="s">
        <v>33453</v>
      </c>
      <c r="I7932" s="20">
        <v>19.109000000000002</v>
      </c>
      <c r="J7932" s="44" t="s">
        <v>8</v>
      </c>
      <c r="K7932" s="23" t="s">
        <v>8</v>
      </c>
      <c r="L7932" s="23" t="s">
        <v>8</v>
      </c>
      <c r="M7932" s="23" t="s">
        <v>8</v>
      </c>
    </row>
    <row r="7933" spans="1:13" s="21" customFormat="1" x14ac:dyDescent="0.25">
      <c r="A7933" s="22" t="s">
        <v>8</v>
      </c>
      <c r="B7933" s="18" t="str">
        <f>"285193"</f>
        <v>285193</v>
      </c>
      <c r="C7933" s="19" t="s">
        <v>7814</v>
      </c>
      <c r="D7933" s="19" t="s">
        <v>23352</v>
      </c>
      <c r="E7933" s="19" t="s">
        <v>31089</v>
      </c>
      <c r="F7933" s="19" t="s">
        <v>36001</v>
      </c>
      <c r="G7933" s="18" t="str">
        <f>"68651"</f>
        <v>68651</v>
      </c>
      <c r="H7933" s="19" t="s">
        <v>36062</v>
      </c>
      <c r="I7933" s="20">
        <v>17.969000000000001</v>
      </c>
      <c r="J7933" s="44" t="s">
        <v>8</v>
      </c>
      <c r="K7933" s="23" t="s">
        <v>8</v>
      </c>
      <c r="L7933" s="23" t="s">
        <v>8</v>
      </c>
      <c r="M7933" s="23" t="s">
        <v>8</v>
      </c>
    </row>
    <row r="7934" spans="1:13" s="21" customFormat="1" x14ac:dyDescent="0.25">
      <c r="A7934" s="22" t="s">
        <v>8</v>
      </c>
      <c r="B7934" s="18" t="str">
        <f>"285195"</f>
        <v>285195</v>
      </c>
      <c r="C7934" s="19" t="s">
        <v>7815</v>
      </c>
      <c r="D7934" s="19" t="s">
        <v>23353</v>
      </c>
      <c r="E7934" s="19" t="s">
        <v>33809</v>
      </c>
      <c r="F7934" s="19" t="s">
        <v>36001</v>
      </c>
      <c r="G7934" s="18" t="str">
        <f>"68466"</f>
        <v>68466</v>
      </c>
      <c r="H7934" s="19" t="s">
        <v>36547</v>
      </c>
      <c r="I7934" s="20">
        <v>19.125</v>
      </c>
      <c r="J7934" s="44" t="s">
        <v>8</v>
      </c>
      <c r="K7934" s="23" t="s">
        <v>8</v>
      </c>
      <c r="L7934" s="23" t="s">
        <v>8</v>
      </c>
      <c r="M7934" s="23" t="s">
        <v>8</v>
      </c>
    </row>
    <row r="7935" spans="1:13" s="21" customFormat="1" x14ac:dyDescent="0.25">
      <c r="A7935" s="22" t="s">
        <v>8</v>
      </c>
      <c r="B7935" s="18" t="str">
        <f>"285196"</f>
        <v>285196</v>
      </c>
      <c r="C7935" s="19" t="s">
        <v>7816</v>
      </c>
      <c r="D7935" s="19" t="s">
        <v>23354</v>
      </c>
      <c r="E7935" s="19" t="s">
        <v>33810</v>
      </c>
      <c r="F7935" s="19" t="s">
        <v>36001</v>
      </c>
      <c r="G7935" s="18" t="str">
        <f>"68057"</f>
        <v>68057</v>
      </c>
      <c r="H7935" s="19" t="s">
        <v>33824</v>
      </c>
      <c r="I7935" s="20">
        <v>19.731999999999999</v>
      </c>
      <c r="J7935" s="44" t="s">
        <v>8</v>
      </c>
      <c r="K7935" s="23" t="s">
        <v>8</v>
      </c>
      <c r="L7935" s="23" t="s">
        <v>8</v>
      </c>
      <c r="M7935" s="23" t="s">
        <v>8</v>
      </c>
    </row>
    <row r="7936" spans="1:13" s="21" customFormat="1" x14ac:dyDescent="0.25">
      <c r="A7936" s="22" t="s">
        <v>8</v>
      </c>
      <c r="B7936" s="18" t="str">
        <f>"285197"</f>
        <v>285197</v>
      </c>
      <c r="C7936" s="19" t="s">
        <v>7817</v>
      </c>
      <c r="D7936" s="19" t="s">
        <v>23355</v>
      </c>
      <c r="E7936" s="19" t="s">
        <v>32329</v>
      </c>
      <c r="F7936" s="19" t="s">
        <v>36001</v>
      </c>
      <c r="G7936" s="18" t="str">
        <f>"68620"</f>
        <v>68620</v>
      </c>
      <c r="H7936" s="19" t="s">
        <v>32513</v>
      </c>
      <c r="I7936" s="20">
        <v>18.161999999999999</v>
      </c>
      <c r="J7936" s="44" t="s">
        <v>8</v>
      </c>
      <c r="K7936" s="23" t="s">
        <v>8</v>
      </c>
      <c r="L7936" s="23" t="s">
        <v>8</v>
      </c>
      <c r="M7936" s="23" t="s">
        <v>8</v>
      </c>
    </row>
    <row r="7937" spans="1:13" s="21" customFormat="1" x14ac:dyDescent="0.25">
      <c r="A7937" s="22" t="s">
        <v>8</v>
      </c>
      <c r="B7937" s="18" t="str">
        <f>"285198"</f>
        <v>285198</v>
      </c>
      <c r="C7937" s="19" t="s">
        <v>7818</v>
      </c>
      <c r="D7937" s="19" t="s">
        <v>23356</v>
      </c>
      <c r="E7937" s="19" t="s">
        <v>32057</v>
      </c>
      <c r="F7937" s="19" t="s">
        <v>36001</v>
      </c>
      <c r="G7937" s="18" t="str">
        <f>"68883"</f>
        <v>68883</v>
      </c>
      <c r="H7937" s="19" t="s">
        <v>36156</v>
      </c>
      <c r="I7937" s="20">
        <v>17.605</v>
      </c>
      <c r="J7937" s="44" t="s">
        <v>8</v>
      </c>
      <c r="K7937" s="23" t="s">
        <v>8</v>
      </c>
      <c r="L7937" s="23" t="s">
        <v>8</v>
      </c>
      <c r="M7937" s="23" t="s">
        <v>8</v>
      </c>
    </row>
    <row r="7938" spans="1:13" s="21" customFormat="1" x14ac:dyDescent="0.25">
      <c r="A7938" s="22" t="s">
        <v>8</v>
      </c>
      <c r="B7938" s="18" t="str">
        <f>"285200"</f>
        <v>285200</v>
      </c>
      <c r="C7938" s="19" t="s">
        <v>7819</v>
      </c>
      <c r="D7938" s="19" t="s">
        <v>23357</v>
      </c>
      <c r="E7938" s="19" t="s">
        <v>31529</v>
      </c>
      <c r="F7938" s="19" t="s">
        <v>36001</v>
      </c>
      <c r="G7938" s="18" t="str">
        <f>"68825"</f>
        <v>68825</v>
      </c>
      <c r="H7938" s="19" t="s">
        <v>35098</v>
      </c>
      <c r="I7938" s="20">
        <v>17.792999999999999</v>
      </c>
      <c r="J7938" s="44" t="s">
        <v>8</v>
      </c>
      <c r="K7938" s="23" t="s">
        <v>8</v>
      </c>
      <c r="L7938" s="23" t="s">
        <v>8</v>
      </c>
      <c r="M7938" s="23" t="s">
        <v>8</v>
      </c>
    </row>
    <row r="7939" spans="1:13" s="21" customFormat="1" x14ac:dyDescent="0.25">
      <c r="A7939" s="22" t="s">
        <v>8</v>
      </c>
      <c r="B7939" s="18" t="str">
        <f>"285201"</f>
        <v>285201</v>
      </c>
      <c r="C7939" s="19" t="s">
        <v>7820</v>
      </c>
      <c r="D7939" s="19" t="s">
        <v>23358</v>
      </c>
      <c r="E7939" s="19" t="s">
        <v>33811</v>
      </c>
      <c r="F7939" s="19" t="s">
        <v>36001</v>
      </c>
      <c r="G7939" s="18" t="str">
        <f>"68660"</f>
        <v>68660</v>
      </c>
      <c r="H7939" s="19" t="s">
        <v>32513</v>
      </c>
      <c r="I7939" s="20">
        <v>17.367999999999999</v>
      </c>
      <c r="J7939" s="44" t="s">
        <v>8</v>
      </c>
      <c r="K7939" s="23" t="s">
        <v>8</v>
      </c>
      <c r="L7939" s="23" t="s">
        <v>8</v>
      </c>
      <c r="M7939" s="23" t="s">
        <v>8</v>
      </c>
    </row>
    <row r="7940" spans="1:13" s="21" customFormat="1" x14ac:dyDescent="0.25">
      <c r="A7940" s="22" t="s">
        <v>8</v>
      </c>
      <c r="B7940" s="18" t="str">
        <f>"285202"</f>
        <v>285202</v>
      </c>
      <c r="C7940" s="19" t="s">
        <v>7821</v>
      </c>
      <c r="D7940" s="19" t="s">
        <v>23359</v>
      </c>
      <c r="E7940" s="19" t="s">
        <v>33812</v>
      </c>
      <c r="F7940" s="19" t="s">
        <v>36001</v>
      </c>
      <c r="G7940" s="18" t="str">
        <f>"68869"</f>
        <v>68869</v>
      </c>
      <c r="H7940" s="19" t="s">
        <v>33453</v>
      </c>
      <c r="I7940" s="20">
        <v>18.593</v>
      </c>
      <c r="J7940" s="44" t="s">
        <v>8</v>
      </c>
      <c r="K7940" s="23" t="s">
        <v>8</v>
      </c>
      <c r="L7940" s="23" t="s">
        <v>8</v>
      </c>
      <c r="M7940" s="23" t="s">
        <v>8</v>
      </c>
    </row>
    <row r="7941" spans="1:13" s="21" customFormat="1" x14ac:dyDescent="0.25">
      <c r="A7941" s="22" t="s">
        <v>8</v>
      </c>
      <c r="B7941" s="18" t="str">
        <f>"285203"</f>
        <v>285203</v>
      </c>
      <c r="C7941" s="19" t="s">
        <v>7822</v>
      </c>
      <c r="D7941" s="19" t="s">
        <v>23360</v>
      </c>
      <c r="E7941" s="19" t="s">
        <v>33789</v>
      </c>
      <c r="F7941" s="19" t="s">
        <v>36001</v>
      </c>
      <c r="G7941" s="18" t="str">
        <f>"68310"</f>
        <v>68310</v>
      </c>
      <c r="H7941" s="19" t="s">
        <v>36547</v>
      </c>
      <c r="I7941" s="20">
        <v>15.786</v>
      </c>
      <c r="J7941" s="44" t="s">
        <v>8</v>
      </c>
      <c r="K7941" s="23" t="s">
        <v>8</v>
      </c>
      <c r="L7941" s="23" t="s">
        <v>8</v>
      </c>
      <c r="M7941" s="23" t="s">
        <v>8</v>
      </c>
    </row>
    <row r="7942" spans="1:13" s="21" customFormat="1" x14ac:dyDescent="0.25">
      <c r="A7942" s="22" t="s">
        <v>8</v>
      </c>
      <c r="B7942" s="18" t="str">
        <f>"285204"</f>
        <v>285204</v>
      </c>
      <c r="C7942" s="19" t="s">
        <v>7823</v>
      </c>
      <c r="D7942" s="19" t="s">
        <v>23361</v>
      </c>
      <c r="E7942" s="19" t="s">
        <v>33813</v>
      </c>
      <c r="F7942" s="19" t="s">
        <v>36001</v>
      </c>
      <c r="G7942" s="18" t="str">
        <f>"68716"</f>
        <v>68716</v>
      </c>
      <c r="H7942" s="19" t="s">
        <v>36559</v>
      </c>
      <c r="I7942" s="20">
        <v>17.975999999999999</v>
      </c>
      <c r="J7942" s="44" t="s">
        <v>8</v>
      </c>
      <c r="K7942" s="23" t="s">
        <v>8</v>
      </c>
      <c r="L7942" s="23" t="s">
        <v>8</v>
      </c>
      <c r="M7942" s="23" t="s">
        <v>8</v>
      </c>
    </row>
    <row r="7943" spans="1:13" s="21" customFormat="1" x14ac:dyDescent="0.25">
      <c r="A7943" s="22" t="s">
        <v>8</v>
      </c>
      <c r="B7943" s="18" t="str">
        <f>"285206"</f>
        <v>285206</v>
      </c>
      <c r="C7943" s="19" t="s">
        <v>7824</v>
      </c>
      <c r="D7943" s="19" t="s">
        <v>23362</v>
      </c>
      <c r="E7943" s="19" t="s">
        <v>33315</v>
      </c>
      <c r="F7943" s="19" t="s">
        <v>36001</v>
      </c>
      <c r="G7943" s="18" t="str">
        <f>"68354"</f>
        <v>68354</v>
      </c>
      <c r="H7943" s="19" t="s">
        <v>35716</v>
      </c>
      <c r="I7943" s="20">
        <v>19.291</v>
      </c>
      <c r="J7943" s="44" t="s">
        <v>8</v>
      </c>
      <c r="K7943" s="23" t="s">
        <v>8</v>
      </c>
      <c r="L7943" s="23" t="s">
        <v>8</v>
      </c>
      <c r="M7943" s="23" t="s">
        <v>8</v>
      </c>
    </row>
    <row r="7944" spans="1:13" s="21" customFormat="1" x14ac:dyDescent="0.25">
      <c r="A7944" s="22" t="s">
        <v>8</v>
      </c>
      <c r="B7944" s="18" t="str">
        <f>"285207"</f>
        <v>285207</v>
      </c>
      <c r="C7944" s="19" t="s">
        <v>7825</v>
      </c>
      <c r="D7944" s="19" t="s">
        <v>23363</v>
      </c>
      <c r="E7944" s="19" t="s">
        <v>30899</v>
      </c>
      <c r="F7944" s="19" t="s">
        <v>36001</v>
      </c>
      <c r="G7944" s="18" t="str">
        <f>"68748"</f>
        <v>68748</v>
      </c>
      <c r="H7944" s="19" t="s">
        <v>30899</v>
      </c>
      <c r="I7944" s="20">
        <v>18.018000000000001</v>
      </c>
      <c r="J7944" s="44" t="s">
        <v>8</v>
      </c>
      <c r="K7944" s="23" t="s">
        <v>8</v>
      </c>
      <c r="L7944" s="23" t="s">
        <v>8</v>
      </c>
      <c r="M7944" s="23" t="s">
        <v>8</v>
      </c>
    </row>
    <row r="7945" spans="1:13" s="21" customFormat="1" x14ac:dyDescent="0.25">
      <c r="A7945" s="22" t="s">
        <v>8</v>
      </c>
      <c r="B7945" s="18" t="str">
        <f>"285208"</f>
        <v>285208</v>
      </c>
      <c r="C7945" s="19" t="s">
        <v>7826</v>
      </c>
      <c r="D7945" s="19" t="s">
        <v>23364</v>
      </c>
      <c r="E7945" s="19" t="s">
        <v>32443</v>
      </c>
      <c r="F7945" s="19" t="s">
        <v>36001</v>
      </c>
      <c r="G7945" s="18" t="str">
        <f>"68715"</f>
        <v>68715</v>
      </c>
      <c r="H7945" s="19" t="s">
        <v>30899</v>
      </c>
      <c r="I7945" s="20">
        <v>19.672000000000001</v>
      </c>
      <c r="J7945" s="44" t="s">
        <v>8</v>
      </c>
      <c r="K7945" s="23" t="s">
        <v>8</v>
      </c>
      <c r="L7945" s="23" t="s">
        <v>8</v>
      </c>
      <c r="M7945" s="23" t="s">
        <v>8</v>
      </c>
    </row>
    <row r="7946" spans="1:13" s="21" customFormat="1" x14ac:dyDescent="0.25">
      <c r="A7946" s="22" t="s">
        <v>8</v>
      </c>
      <c r="B7946" s="18" t="str">
        <f>"285209"</f>
        <v>285209</v>
      </c>
      <c r="C7946" s="19" t="s">
        <v>7827</v>
      </c>
      <c r="D7946" s="19" t="s">
        <v>23365</v>
      </c>
      <c r="E7946" s="19" t="s">
        <v>32598</v>
      </c>
      <c r="F7946" s="19" t="s">
        <v>36001</v>
      </c>
      <c r="G7946" s="18" t="str">
        <f>"68784"</f>
        <v>68784</v>
      </c>
      <c r="H7946" s="19" t="s">
        <v>32123</v>
      </c>
      <c r="I7946" s="20">
        <v>19.794</v>
      </c>
      <c r="J7946" s="44" t="s">
        <v>8</v>
      </c>
      <c r="K7946" s="23" t="s">
        <v>8</v>
      </c>
      <c r="L7946" s="23" t="s">
        <v>8</v>
      </c>
      <c r="M7946" s="23" t="s">
        <v>8</v>
      </c>
    </row>
    <row r="7947" spans="1:13" s="21" customFormat="1" x14ac:dyDescent="0.25">
      <c r="A7947" s="22" t="s">
        <v>8</v>
      </c>
      <c r="B7947" s="18" t="str">
        <f>"285210"</f>
        <v>285210</v>
      </c>
      <c r="C7947" s="19" t="s">
        <v>7828</v>
      </c>
      <c r="D7947" s="19" t="s">
        <v>23366</v>
      </c>
      <c r="E7947" s="19" t="s">
        <v>33795</v>
      </c>
      <c r="F7947" s="19" t="s">
        <v>36001</v>
      </c>
      <c r="G7947" s="18" t="str">
        <f>"68008"</f>
        <v>68008</v>
      </c>
      <c r="H7947" s="19" t="s">
        <v>31500</v>
      </c>
      <c r="I7947" s="20">
        <v>18.808</v>
      </c>
      <c r="J7947" s="44" t="s">
        <v>8</v>
      </c>
      <c r="K7947" s="23" t="s">
        <v>8</v>
      </c>
      <c r="L7947" s="23" t="s">
        <v>8</v>
      </c>
      <c r="M7947" s="23" t="s">
        <v>8</v>
      </c>
    </row>
    <row r="7948" spans="1:13" s="21" customFormat="1" x14ac:dyDescent="0.25">
      <c r="A7948" s="22" t="s">
        <v>8</v>
      </c>
      <c r="B7948" s="18" t="str">
        <f>"285212"</f>
        <v>285212</v>
      </c>
      <c r="C7948" s="19" t="s">
        <v>7829</v>
      </c>
      <c r="D7948" s="19" t="s">
        <v>23367</v>
      </c>
      <c r="E7948" s="19" t="s">
        <v>33814</v>
      </c>
      <c r="F7948" s="19" t="s">
        <v>36001</v>
      </c>
      <c r="G7948" s="18" t="str">
        <f>"69347"</f>
        <v>69347</v>
      </c>
      <c r="H7948" s="19" t="s">
        <v>31039</v>
      </c>
      <c r="I7948" s="20">
        <v>17.488</v>
      </c>
      <c r="J7948" s="44" t="s">
        <v>8</v>
      </c>
      <c r="K7948" s="23" t="s">
        <v>8</v>
      </c>
      <c r="L7948" s="23" t="s">
        <v>8</v>
      </c>
      <c r="M7948" s="23" t="s">
        <v>8</v>
      </c>
    </row>
    <row r="7949" spans="1:13" s="21" customFormat="1" x14ac:dyDescent="0.25">
      <c r="A7949" s="22" t="s">
        <v>8</v>
      </c>
      <c r="B7949" s="18" t="str">
        <f>"285213"</f>
        <v>285213</v>
      </c>
      <c r="C7949" s="19" t="s">
        <v>7830</v>
      </c>
      <c r="D7949" s="19" t="s">
        <v>23368</v>
      </c>
      <c r="E7949" s="19" t="s">
        <v>33815</v>
      </c>
      <c r="F7949" s="19" t="s">
        <v>36001</v>
      </c>
      <c r="G7949" s="18" t="str">
        <f>"68758"</f>
        <v>68758</v>
      </c>
      <c r="H7949" s="19" t="s">
        <v>30899</v>
      </c>
      <c r="I7949" s="20">
        <v>19.227</v>
      </c>
      <c r="J7949" s="44" t="s">
        <v>8</v>
      </c>
      <c r="K7949" s="23" t="s">
        <v>8</v>
      </c>
      <c r="L7949" s="23" t="s">
        <v>8</v>
      </c>
      <c r="M7949" s="23" t="s">
        <v>8</v>
      </c>
    </row>
    <row r="7950" spans="1:13" s="21" customFormat="1" x14ac:dyDescent="0.25">
      <c r="A7950" s="22" t="s">
        <v>8</v>
      </c>
      <c r="B7950" s="18" t="str">
        <f>"285215"</f>
        <v>285215</v>
      </c>
      <c r="C7950" s="19" t="s">
        <v>7831</v>
      </c>
      <c r="D7950" s="19" t="s">
        <v>23369</v>
      </c>
      <c r="E7950" s="19" t="s">
        <v>32289</v>
      </c>
      <c r="F7950" s="19" t="s">
        <v>36001</v>
      </c>
      <c r="G7950" s="18" t="str">
        <f>"68937"</f>
        <v>68937</v>
      </c>
      <c r="H7950" s="19" t="s">
        <v>36564</v>
      </c>
      <c r="I7950" s="20">
        <v>17.736000000000001</v>
      </c>
      <c r="J7950" s="44" t="s">
        <v>8</v>
      </c>
      <c r="K7950" s="23" t="s">
        <v>8</v>
      </c>
      <c r="L7950" s="23" t="s">
        <v>8</v>
      </c>
      <c r="M7950" s="23" t="s">
        <v>8</v>
      </c>
    </row>
    <row r="7951" spans="1:13" s="21" customFormat="1" x14ac:dyDescent="0.25">
      <c r="A7951" s="22" t="s">
        <v>8</v>
      </c>
      <c r="B7951" s="18" t="str">
        <f>"285216"</f>
        <v>285216</v>
      </c>
      <c r="C7951" s="19" t="s">
        <v>7832</v>
      </c>
      <c r="D7951" s="19" t="s">
        <v>23370</v>
      </c>
      <c r="E7951" s="19" t="s">
        <v>33774</v>
      </c>
      <c r="F7951" s="19" t="s">
        <v>36001</v>
      </c>
      <c r="G7951" s="18" t="str">
        <f>"68847"</f>
        <v>68847</v>
      </c>
      <c r="H7951" s="19" t="s">
        <v>33453</v>
      </c>
      <c r="I7951" s="20">
        <v>17.738</v>
      </c>
      <c r="J7951" s="44" t="s">
        <v>8</v>
      </c>
      <c r="K7951" s="23" t="s">
        <v>8</v>
      </c>
      <c r="L7951" s="23" t="s">
        <v>8</v>
      </c>
      <c r="M7951" s="23" t="s">
        <v>8</v>
      </c>
    </row>
    <row r="7952" spans="1:13" s="21" customFormat="1" x14ac:dyDescent="0.25">
      <c r="A7952" s="22" t="s">
        <v>8</v>
      </c>
      <c r="B7952" s="18" t="str">
        <f>"285217"</f>
        <v>285217</v>
      </c>
      <c r="C7952" s="19" t="s">
        <v>7833</v>
      </c>
      <c r="D7952" s="19" t="s">
        <v>23371</v>
      </c>
      <c r="E7952" s="19" t="s">
        <v>33782</v>
      </c>
      <c r="F7952" s="19" t="s">
        <v>36001</v>
      </c>
      <c r="G7952" s="18" t="str">
        <f>"68410"</f>
        <v>68410</v>
      </c>
      <c r="H7952" s="19" t="s">
        <v>36552</v>
      </c>
      <c r="I7952" s="20">
        <v>18.808</v>
      </c>
      <c r="J7952" s="44" t="s">
        <v>8</v>
      </c>
      <c r="K7952" s="23" t="s">
        <v>8</v>
      </c>
      <c r="L7952" s="23" t="s">
        <v>8</v>
      </c>
      <c r="M7952" s="23" t="s">
        <v>8</v>
      </c>
    </row>
    <row r="7953" spans="1:13" s="21" customFormat="1" x14ac:dyDescent="0.25">
      <c r="A7953" s="22" t="s">
        <v>8</v>
      </c>
      <c r="B7953" s="18" t="str">
        <f>"285218"</f>
        <v>285218</v>
      </c>
      <c r="C7953" s="19" t="s">
        <v>7834</v>
      </c>
      <c r="D7953" s="19" t="s">
        <v>23372</v>
      </c>
      <c r="E7953" s="19" t="s">
        <v>33762</v>
      </c>
      <c r="F7953" s="19" t="s">
        <v>36001</v>
      </c>
      <c r="G7953" s="18" t="str">
        <f>"68105"</f>
        <v>68105</v>
      </c>
      <c r="H7953" s="19" t="s">
        <v>30966</v>
      </c>
      <c r="I7953" s="20">
        <v>19.792999999999999</v>
      </c>
      <c r="J7953" s="44" t="s">
        <v>8</v>
      </c>
      <c r="K7953" s="23" t="s">
        <v>8</v>
      </c>
      <c r="L7953" s="23" t="s">
        <v>8</v>
      </c>
      <c r="M7953" s="23" t="s">
        <v>8</v>
      </c>
    </row>
    <row r="7954" spans="1:13" s="21" customFormat="1" x14ac:dyDescent="0.25">
      <c r="A7954" s="22" t="s">
        <v>8</v>
      </c>
      <c r="B7954" s="18" t="str">
        <f>"285219"</f>
        <v>285219</v>
      </c>
      <c r="C7954" s="19" t="s">
        <v>7835</v>
      </c>
      <c r="D7954" s="19" t="s">
        <v>23373</v>
      </c>
      <c r="E7954" s="19" t="s">
        <v>31995</v>
      </c>
      <c r="F7954" s="19" t="s">
        <v>36001</v>
      </c>
      <c r="G7954" s="18" t="str">
        <f>"68526"</f>
        <v>68526</v>
      </c>
      <c r="H7954" s="19" t="s">
        <v>31184</v>
      </c>
      <c r="I7954" s="20">
        <v>17.908000000000001</v>
      </c>
      <c r="J7954" s="44" t="s">
        <v>8</v>
      </c>
      <c r="K7954" s="23" t="s">
        <v>8</v>
      </c>
      <c r="L7954" s="23" t="s">
        <v>8</v>
      </c>
      <c r="M7954" s="23" t="s">
        <v>8</v>
      </c>
    </row>
    <row r="7955" spans="1:13" s="21" customFormat="1" x14ac:dyDescent="0.25">
      <c r="A7955" s="22" t="s">
        <v>8</v>
      </c>
      <c r="B7955" s="18" t="str">
        <f>"285220"</f>
        <v>285220</v>
      </c>
      <c r="C7955" s="19" t="s">
        <v>7836</v>
      </c>
      <c r="D7955" s="19" t="s">
        <v>23374</v>
      </c>
      <c r="E7955" s="19" t="s">
        <v>33816</v>
      </c>
      <c r="F7955" s="19" t="s">
        <v>36001</v>
      </c>
      <c r="G7955" s="18" t="str">
        <f>"69045"</f>
        <v>69045</v>
      </c>
      <c r="H7955" s="19" t="s">
        <v>36301</v>
      </c>
      <c r="I7955" s="20">
        <v>18.402000000000001</v>
      </c>
      <c r="J7955" s="44" t="s">
        <v>8</v>
      </c>
      <c r="K7955" s="23" t="s">
        <v>8</v>
      </c>
      <c r="L7955" s="23" t="s">
        <v>8</v>
      </c>
      <c r="M7955" s="23" t="s">
        <v>8</v>
      </c>
    </row>
    <row r="7956" spans="1:13" s="21" customFormat="1" x14ac:dyDescent="0.25">
      <c r="A7956" s="22" t="s">
        <v>8</v>
      </c>
      <c r="B7956" s="18" t="str">
        <f>"285221"</f>
        <v>285221</v>
      </c>
      <c r="C7956" s="19" t="s">
        <v>7837</v>
      </c>
      <c r="D7956" s="19" t="s">
        <v>23375</v>
      </c>
      <c r="E7956" s="19" t="s">
        <v>33772</v>
      </c>
      <c r="F7956" s="19" t="s">
        <v>36001</v>
      </c>
      <c r="G7956" s="18" t="str">
        <f>"68803"</f>
        <v>68803</v>
      </c>
      <c r="H7956" s="19" t="s">
        <v>36156</v>
      </c>
      <c r="I7956" s="20">
        <v>19.154</v>
      </c>
      <c r="J7956" s="44" t="s">
        <v>8</v>
      </c>
      <c r="K7956" s="23" t="s">
        <v>8</v>
      </c>
      <c r="L7956" s="23" t="s">
        <v>8</v>
      </c>
      <c r="M7956" s="23" t="s">
        <v>8</v>
      </c>
    </row>
    <row r="7957" spans="1:13" s="21" customFormat="1" x14ac:dyDescent="0.25">
      <c r="A7957" s="22" t="s">
        <v>8</v>
      </c>
      <c r="B7957" s="18" t="str">
        <f>"285222"</f>
        <v>285222</v>
      </c>
      <c r="C7957" s="19" t="s">
        <v>7838</v>
      </c>
      <c r="D7957" s="19" t="s">
        <v>23376</v>
      </c>
      <c r="E7957" s="19" t="s">
        <v>33817</v>
      </c>
      <c r="F7957" s="19" t="s">
        <v>36001</v>
      </c>
      <c r="G7957" s="18" t="str">
        <f>"68733"</f>
        <v>68733</v>
      </c>
      <c r="H7957" s="19" t="s">
        <v>36456</v>
      </c>
      <c r="I7957" s="20">
        <v>18.010000000000002</v>
      </c>
      <c r="J7957" s="44" t="s">
        <v>8</v>
      </c>
      <c r="K7957" s="23" t="s">
        <v>8</v>
      </c>
      <c r="L7957" s="23" t="s">
        <v>8</v>
      </c>
      <c r="M7957" s="23" t="s">
        <v>8</v>
      </c>
    </row>
    <row r="7958" spans="1:13" s="21" customFormat="1" x14ac:dyDescent="0.25">
      <c r="A7958" s="22" t="s">
        <v>8</v>
      </c>
      <c r="B7958" s="18" t="str">
        <f>"285224"</f>
        <v>285224</v>
      </c>
      <c r="C7958" s="19" t="s">
        <v>7839</v>
      </c>
      <c r="D7958" s="19" t="s">
        <v>23377</v>
      </c>
      <c r="E7958" s="19" t="s">
        <v>30920</v>
      </c>
      <c r="F7958" s="19" t="s">
        <v>36001</v>
      </c>
      <c r="G7958" s="18" t="str">
        <f>"69336"</f>
        <v>69336</v>
      </c>
      <c r="H7958" s="19" t="s">
        <v>36565</v>
      </c>
      <c r="I7958" s="20">
        <v>17.391999999999999</v>
      </c>
      <c r="J7958" s="44" t="s">
        <v>8</v>
      </c>
      <c r="K7958" s="23" t="s">
        <v>8</v>
      </c>
      <c r="L7958" s="23" t="s">
        <v>8</v>
      </c>
      <c r="M7958" s="23" t="s">
        <v>8</v>
      </c>
    </row>
    <row r="7959" spans="1:13" s="21" customFormat="1" x14ac:dyDescent="0.25">
      <c r="A7959" s="22" t="s">
        <v>8</v>
      </c>
      <c r="B7959" s="18" t="str">
        <f>"285225"</f>
        <v>285225</v>
      </c>
      <c r="C7959" s="19" t="s">
        <v>7840</v>
      </c>
      <c r="D7959" s="19" t="s">
        <v>23378</v>
      </c>
      <c r="E7959" s="19" t="s">
        <v>33818</v>
      </c>
      <c r="F7959" s="19" t="s">
        <v>36001</v>
      </c>
      <c r="G7959" s="18" t="str">
        <f>"68970"</f>
        <v>68970</v>
      </c>
      <c r="H7959" s="19" t="s">
        <v>33048</v>
      </c>
      <c r="I7959" s="20">
        <v>18.445</v>
      </c>
      <c r="J7959" s="44" t="s">
        <v>8</v>
      </c>
      <c r="K7959" s="23" t="s">
        <v>8</v>
      </c>
      <c r="L7959" s="23" t="s">
        <v>8</v>
      </c>
      <c r="M7959" s="23" t="s">
        <v>8</v>
      </c>
    </row>
    <row r="7960" spans="1:13" s="21" customFormat="1" x14ac:dyDescent="0.25">
      <c r="A7960" s="22" t="s">
        <v>8</v>
      </c>
      <c r="B7960" s="18" t="str">
        <f>"285226"</f>
        <v>285226</v>
      </c>
      <c r="C7960" s="19" t="s">
        <v>7841</v>
      </c>
      <c r="D7960" s="19" t="s">
        <v>23379</v>
      </c>
      <c r="E7960" s="19" t="s">
        <v>33819</v>
      </c>
      <c r="F7960" s="19" t="s">
        <v>36001</v>
      </c>
      <c r="G7960" s="18" t="str">
        <f>"68873"</f>
        <v>68873</v>
      </c>
      <c r="H7960" s="19" t="s">
        <v>32644</v>
      </c>
      <c r="I7960" s="20">
        <v>18.812000000000001</v>
      </c>
      <c r="J7960" s="44" t="s">
        <v>8</v>
      </c>
      <c r="K7960" s="23" t="s">
        <v>8</v>
      </c>
      <c r="L7960" s="23" t="s">
        <v>8</v>
      </c>
      <c r="M7960" s="23" t="s">
        <v>8</v>
      </c>
    </row>
    <row r="7961" spans="1:13" s="21" customFormat="1" x14ac:dyDescent="0.25">
      <c r="A7961" s="22" t="s">
        <v>8</v>
      </c>
      <c r="B7961" s="18" t="str">
        <f>"285228"</f>
        <v>285228</v>
      </c>
      <c r="C7961" s="19" t="s">
        <v>7842</v>
      </c>
      <c r="D7961" s="19" t="s">
        <v>23380</v>
      </c>
      <c r="E7961" s="19" t="s">
        <v>33820</v>
      </c>
      <c r="F7961" s="19" t="s">
        <v>36001</v>
      </c>
      <c r="G7961" s="18" t="str">
        <f>"68853"</f>
        <v>68853</v>
      </c>
      <c r="H7961" s="19" t="s">
        <v>32078</v>
      </c>
      <c r="I7961" s="20">
        <v>20.216000000000001</v>
      </c>
      <c r="J7961" s="44" t="s">
        <v>8</v>
      </c>
      <c r="K7961" s="23" t="s">
        <v>8</v>
      </c>
      <c r="L7961" s="23" t="s">
        <v>8</v>
      </c>
      <c r="M7961" s="23" t="s">
        <v>8</v>
      </c>
    </row>
    <row r="7962" spans="1:13" s="21" customFormat="1" x14ac:dyDescent="0.25">
      <c r="A7962" s="22" t="s">
        <v>8</v>
      </c>
      <c r="B7962" s="18" t="str">
        <f>"285229"</f>
        <v>285229</v>
      </c>
      <c r="C7962" s="19" t="s">
        <v>7843</v>
      </c>
      <c r="D7962" s="19" t="s">
        <v>23381</v>
      </c>
      <c r="E7962" s="19" t="s">
        <v>33821</v>
      </c>
      <c r="F7962" s="19" t="s">
        <v>36001</v>
      </c>
      <c r="G7962" s="18" t="str">
        <f>"68031"</f>
        <v>68031</v>
      </c>
      <c r="H7962" s="19" t="s">
        <v>33824</v>
      </c>
      <c r="I7962" s="20">
        <v>17.141999999999999</v>
      </c>
      <c r="J7962" s="44" t="s">
        <v>8</v>
      </c>
      <c r="K7962" s="23" t="s">
        <v>8</v>
      </c>
      <c r="L7962" s="23" t="s">
        <v>8</v>
      </c>
      <c r="M7962" s="23" t="s">
        <v>8</v>
      </c>
    </row>
    <row r="7963" spans="1:13" s="21" customFormat="1" x14ac:dyDescent="0.25">
      <c r="A7963" s="22" t="s">
        <v>8</v>
      </c>
      <c r="B7963" s="18" t="str">
        <f>"285230"</f>
        <v>285230</v>
      </c>
      <c r="C7963" s="19" t="s">
        <v>7844</v>
      </c>
      <c r="D7963" s="19" t="s">
        <v>23382</v>
      </c>
      <c r="E7963" s="19" t="s">
        <v>30870</v>
      </c>
      <c r="F7963" s="19" t="s">
        <v>36001</v>
      </c>
      <c r="G7963" s="18" t="str">
        <f>"68361"</f>
        <v>68361</v>
      </c>
      <c r="H7963" s="19" t="s">
        <v>35716</v>
      </c>
      <c r="I7963" s="20">
        <v>18.231999999999999</v>
      </c>
      <c r="J7963" s="44" t="s">
        <v>8</v>
      </c>
      <c r="K7963" s="23" t="s">
        <v>8</v>
      </c>
      <c r="L7963" s="23" t="s">
        <v>8</v>
      </c>
      <c r="M7963" s="23" t="s">
        <v>8</v>
      </c>
    </row>
    <row r="7964" spans="1:13" s="21" customFormat="1" x14ac:dyDescent="0.25">
      <c r="A7964" s="22" t="s">
        <v>8</v>
      </c>
      <c r="B7964" s="18" t="str">
        <f>"285231"</f>
        <v>285231</v>
      </c>
      <c r="C7964" s="19" t="s">
        <v>7845</v>
      </c>
      <c r="D7964" s="19" t="s">
        <v>23383</v>
      </c>
      <c r="E7964" s="19" t="s">
        <v>33822</v>
      </c>
      <c r="F7964" s="19" t="s">
        <v>36001</v>
      </c>
      <c r="G7964" s="18" t="str">
        <f>"68066"</f>
        <v>68066</v>
      </c>
      <c r="H7964" s="19" t="s">
        <v>36556</v>
      </c>
      <c r="I7964" s="20">
        <v>19.481000000000002</v>
      </c>
      <c r="J7964" s="44" t="s">
        <v>8</v>
      </c>
      <c r="K7964" s="23" t="s">
        <v>8</v>
      </c>
      <c r="L7964" s="23" t="s">
        <v>8</v>
      </c>
      <c r="M7964" s="23" t="s">
        <v>8</v>
      </c>
    </row>
    <row r="7965" spans="1:13" s="21" customFormat="1" x14ac:dyDescent="0.25">
      <c r="A7965" s="22" t="s">
        <v>8</v>
      </c>
      <c r="B7965" s="18" t="str">
        <f>"285232"</f>
        <v>285232</v>
      </c>
      <c r="C7965" s="19" t="s">
        <v>7846</v>
      </c>
      <c r="D7965" s="19" t="s">
        <v>23384</v>
      </c>
      <c r="E7965" s="19" t="s">
        <v>31405</v>
      </c>
      <c r="F7965" s="19" t="s">
        <v>36001</v>
      </c>
      <c r="G7965" s="18" t="str">
        <f>"68405"</f>
        <v>68405</v>
      </c>
      <c r="H7965" s="19" t="s">
        <v>33835</v>
      </c>
      <c r="I7965" s="20">
        <v>18.193000000000001</v>
      </c>
      <c r="J7965" s="44" t="s">
        <v>8</v>
      </c>
      <c r="K7965" s="23" t="s">
        <v>8</v>
      </c>
      <c r="L7965" s="23" t="s">
        <v>8</v>
      </c>
      <c r="M7965" s="23" t="s">
        <v>8</v>
      </c>
    </row>
    <row r="7966" spans="1:13" s="21" customFormat="1" x14ac:dyDescent="0.25">
      <c r="A7966" s="22" t="s">
        <v>8</v>
      </c>
      <c r="B7966" s="18" t="str">
        <f>"285235"</f>
        <v>285235</v>
      </c>
      <c r="C7966" s="19" t="s">
        <v>7847</v>
      </c>
      <c r="D7966" s="19" t="s">
        <v>23385</v>
      </c>
      <c r="E7966" s="19" t="s">
        <v>31175</v>
      </c>
      <c r="F7966" s="19" t="s">
        <v>36001</v>
      </c>
      <c r="G7966" s="18" t="str">
        <f>"68025"</f>
        <v>68025</v>
      </c>
      <c r="H7966" s="19" t="s">
        <v>33824</v>
      </c>
      <c r="I7966" s="20">
        <v>17.864999999999998</v>
      </c>
      <c r="J7966" s="44" t="s">
        <v>8</v>
      </c>
      <c r="K7966" s="23" t="s">
        <v>8</v>
      </c>
      <c r="L7966" s="23" t="s">
        <v>8</v>
      </c>
      <c r="M7966" s="23" t="s">
        <v>8</v>
      </c>
    </row>
    <row r="7967" spans="1:13" s="21" customFormat="1" x14ac:dyDescent="0.25">
      <c r="A7967" s="22" t="s">
        <v>8</v>
      </c>
      <c r="B7967" s="18" t="str">
        <f>"285237"</f>
        <v>285237</v>
      </c>
      <c r="C7967" s="19" t="s">
        <v>7848</v>
      </c>
      <c r="D7967" s="19" t="s">
        <v>23386</v>
      </c>
      <c r="E7967" s="19" t="s">
        <v>33292</v>
      </c>
      <c r="F7967" s="19" t="s">
        <v>36001</v>
      </c>
      <c r="G7967" s="18" t="str">
        <f>"68450"</f>
        <v>68450</v>
      </c>
      <c r="H7967" s="19" t="s">
        <v>36072</v>
      </c>
      <c r="I7967" s="20">
        <v>18.178000000000001</v>
      </c>
      <c r="J7967" s="44" t="s">
        <v>8</v>
      </c>
      <c r="K7967" s="23" t="s">
        <v>8</v>
      </c>
      <c r="L7967" s="23" t="s">
        <v>8</v>
      </c>
      <c r="M7967" s="23" t="s">
        <v>8</v>
      </c>
    </row>
    <row r="7968" spans="1:13" s="21" customFormat="1" x14ac:dyDescent="0.25">
      <c r="A7968" s="22" t="s">
        <v>8</v>
      </c>
      <c r="B7968" s="18" t="str">
        <f>"285238"</f>
        <v>285238</v>
      </c>
      <c r="C7968" s="19" t="s">
        <v>7849</v>
      </c>
      <c r="D7968" s="19" t="s">
        <v>23387</v>
      </c>
      <c r="E7968" s="19" t="s">
        <v>33762</v>
      </c>
      <c r="F7968" s="19" t="s">
        <v>36001</v>
      </c>
      <c r="G7968" s="18" t="str">
        <f>"68134"</f>
        <v>68134</v>
      </c>
      <c r="H7968" s="19" t="s">
        <v>30966</v>
      </c>
      <c r="I7968" s="20">
        <v>17.262</v>
      </c>
      <c r="J7968" s="44" t="s">
        <v>8</v>
      </c>
      <c r="K7968" s="23" t="s">
        <v>8</v>
      </c>
      <c r="L7968" s="23" t="s">
        <v>8</v>
      </c>
      <c r="M7968" s="23" t="s">
        <v>8</v>
      </c>
    </row>
    <row r="7969" spans="1:13" s="21" customFormat="1" x14ac:dyDescent="0.25">
      <c r="A7969" s="22" t="s">
        <v>8</v>
      </c>
      <c r="B7969" s="18" t="str">
        <f>"285239"</f>
        <v>285239</v>
      </c>
      <c r="C7969" s="19" t="s">
        <v>7850</v>
      </c>
      <c r="D7969" s="19" t="s">
        <v>23388</v>
      </c>
      <c r="E7969" s="19" t="s">
        <v>33762</v>
      </c>
      <c r="F7969" s="19" t="s">
        <v>36001</v>
      </c>
      <c r="G7969" s="18" t="str">
        <f>"68112"</f>
        <v>68112</v>
      </c>
      <c r="H7969" s="19" t="s">
        <v>30966</v>
      </c>
      <c r="I7969" s="20">
        <v>18.620999999999999</v>
      </c>
      <c r="J7969" s="44" t="s">
        <v>8</v>
      </c>
      <c r="K7969" s="23" t="s">
        <v>8</v>
      </c>
      <c r="L7969" s="23" t="s">
        <v>8</v>
      </c>
      <c r="M7969" s="23" t="s">
        <v>8</v>
      </c>
    </row>
    <row r="7970" spans="1:13" s="21" customFormat="1" x14ac:dyDescent="0.25">
      <c r="A7970" s="22" t="s">
        <v>8</v>
      </c>
      <c r="B7970" s="18" t="str">
        <f>"285240"</f>
        <v>285240</v>
      </c>
      <c r="C7970" s="19" t="s">
        <v>7851</v>
      </c>
      <c r="D7970" s="19" t="s">
        <v>23389</v>
      </c>
      <c r="E7970" s="19" t="s">
        <v>33762</v>
      </c>
      <c r="F7970" s="19" t="s">
        <v>36001</v>
      </c>
      <c r="G7970" s="18" t="str">
        <f>"68117"</f>
        <v>68117</v>
      </c>
      <c r="H7970" s="19" t="s">
        <v>30966</v>
      </c>
      <c r="I7970" s="20">
        <v>18.297000000000001</v>
      </c>
      <c r="J7970" s="44" t="s">
        <v>8</v>
      </c>
      <c r="K7970" s="23" t="s">
        <v>8</v>
      </c>
      <c r="L7970" s="23" t="s">
        <v>8</v>
      </c>
      <c r="M7970" s="23" t="s">
        <v>8</v>
      </c>
    </row>
    <row r="7971" spans="1:13" s="21" customFormat="1" x14ac:dyDescent="0.25">
      <c r="A7971" s="22" t="s">
        <v>8</v>
      </c>
      <c r="B7971" s="18" t="str">
        <f>"285241"</f>
        <v>285241</v>
      </c>
      <c r="C7971" s="19" t="s">
        <v>7852</v>
      </c>
      <c r="D7971" s="19" t="s">
        <v>23390</v>
      </c>
      <c r="E7971" s="19" t="s">
        <v>33823</v>
      </c>
      <c r="F7971" s="19" t="s">
        <v>36001</v>
      </c>
      <c r="G7971" s="18" t="str">
        <f>"69021"</f>
        <v>69021</v>
      </c>
      <c r="H7971" s="19" t="s">
        <v>36566</v>
      </c>
      <c r="I7971" s="20">
        <v>17.166</v>
      </c>
      <c r="J7971" s="44" t="s">
        <v>8</v>
      </c>
      <c r="K7971" s="23" t="s">
        <v>8</v>
      </c>
      <c r="L7971" s="23" t="s">
        <v>8</v>
      </c>
      <c r="M7971" s="23" t="s">
        <v>8</v>
      </c>
    </row>
    <row r="7972" spans="1:13" s="21" customFormat="1" x14ac:dyDescent="0.25">
      <c r="A7972" s="22" t="s">
        <v>8</v>
      </c>
      <c r="B7972" s="18" t="str">
        <f>"285242"</f>
        <v>285242</v>
      </c>
      <c r="C7972" s="19" t="s">
        <v>7853</v>
      </c>
      <c r="D7972" s="19" t="s">
        <v>23391</v>
      </c>
      <c r="E7972" s="19" t="s">
        <v>33762</v>
      </c>
      <c r="F7972" s="19" t="s">
        <v>36001</v>
      </c>
      <c r="G7972" s="18" t="str">
        <f>"68137"</f>
        <v>68137</v>
      </c>
      <c r="H7972" s="19" t="s">
        <v>30966</v>
      </c>
      <c r="I7972" s="20">
        <v>18.006</v>
      </c>
      <c r="J7972" s="44" t="s">
        <v>8</v>
      </c>
      <c r="K7972" s="23" t="s">
        <v>8</v>
      </c>
      <c r="L7972" s="23" t="s">
        <v>8</v>
      </c>
      <c r="M7972" s="23" t="s">
        <v>8</v>
      </c>
    </row>
    <row r="7973" spans="1:13" s="21" customFormat="1" x14ac:dyDescent="0.25">
      <c r="A7973" s="22" t="s">
        <v>8</v>
      </c>
      <c r="B7973" s="18" t="str">
        <f>"285243"</f>
        <v>285243</v>
      </c>
      <c r="C7973" s="19" t="s">
        <v>7854</v>
      </c>
      <c r="D7973" s="19" t="s">
        <v>23392</v>
      </c>
      <c r="E7973" s="19" t="s">
        <v>33824</v>
      </c>
      <c r="F7973" s="19" t="s">
        <v>36001</v>
      </c>
      <c r="G7973" s="18" t="str">
        <f>"68633"</f>
        <v>68633</v>
      </c>
      <c r="H7973" s="19" t="s">
        <v>33824</v>
      </c>
      <c r="I7973" s="20">
        <v>19.437999999999999</v>
      </c>
      <c r="J7973" s="44" t="s">
        <v>8</v>
      </c>
      <c r="K7973" s="23" t="s">
        <v>8</v>
      </c>
      <c r="L7973" s="23" t="s">
        <v>8</v>
      </c>
      <c r="M7973" s="23" t="s">
        <v>8</v>
      </c>
    </row>
    <row r="7974" spans="1:13" s="21" customFormat="1" x14ac:dyDescent="0.25">
      <c r="A7974" s="22" t="s">
        <v>8</v>
      </c>
      <c r="B7974" s="18" t="str">
        <f>"285245"</f>
        <v>285245</v>
      </c>
      <c r="C7974" s="19" t="s">
        <v>7230</v>
      </c>
      <c r="D7974" s="19" t="s">
        <v>23393</v>
      </c>
      <c r="E7974" s="19" t="s">
        <v>31552</v>
      </c>
      <c r="F7974" s="19" t="s">
        <v>36001</v>
      </c>
      <c r="G7974" s="18" t="str">
        <f>"68780"</f>
        <v>68780</v>
      </c>
      <c r="H7974" s="19" t="s">
        <v>33214</v>
      </c>
      <c r="I7974" s="20">
        <v>18.471</v>
      </c>
      <c r="J7974" s="44" t="s">
        <v>8</v>
      </c>
      <c r="K7974" s="23" t="s">
        <v>8</v>
      </c>
      <c r="L7974" s="23" t="s">
        <v>8</v>
      </c>
      <c r="M7974" s="23" t="s">
        <v>8</v>
      </c>
    </row>
    <row r="7975" spans="1:13" s="21" customFormat="1" x14ac:dyDescent="0.25">
      <c r="A7975" s="22" t="s">
        <v>8</v>
      </c>
      <c r="B7975" s="18" t="str">
        <f>"285246"</f>
        <v>285246</v>
      </c>
      <c r="C7975" s="19" t="s">
        <v>7855</v>
      </c>
      <c r="D7975" s="19" t="s">
        <v>23394</v>
      </c>
      <c r="E7975" s="19" t="s">
        <v>33766</v>
      </c>
      <c r="F7975" s="19" t="s">
        <v>36001</v>
      </c>
      <c r="G7975" s="18" t="str">
        <f>"68949"</f>
        <v>68949</v>
      </c>
      <c r="H7975" s="19" t="s">
        <v>32722</v>
      </c>
      <c r="I7975" s="20">
        <v>18.838000000000001</v>
      </c>
      <c r="J7975" s="44" t="s">
        <v>8</v>
      </c>
      <c r="K7975" s="23" t="s">
        <v>8</v>
      </c>
      <c r="L7975" s="23" t="s">
        <v>8</v>
      </c>
      <c r="M7975" s="23" t="s">
        <v>8</v>
      </c>
    </row>
    <row r="7976" spans="1:13" s="21" customFormat="1" x14ac:dyDescent="0.25">
      <c r="A7976" s="22" t="s">
        <v>8</v>
      </c>
      <c r="B7976" s="18" t="str">
        <f>"285247"</f>
        <v>285247</v>
      </c>
      <c r="C7976" s="19" t="s">
        <v>7856</v>
      </c>
      <c r="D7976" s="19" t="s">
        <v>23395</v>
      </c>
      <c r="E7976" s="19" t="s">
        <v>33825</v>
      </c>
      <c r="F7976" s="19" t="s">
        <v>36001</v>
      </c>
      <c r="G7976" s="18" t="str">
        <f>"68649"</f>
        <v>68649</v>
      </c>
      <c r="H7976" s="19" t="s">
        <v>33824</v>
      </c>
      <c r="I7976" s="20">
        <v>17.984999999999999</v>
      </c>
      <c r="J7976" s="44" t="s">
        <v>8</v>
      </c>
      <c r="K7976" s="23" t="s">
        <v>8</v>
      </c>
      <c r="L7976" s="23" t="s">
        <v>8</v>
      </c>
      <c r="M7976" s="23" t="s">
        <v>8</v>
      </c>
    </row>
    <row r="7977" spans="1:13" s="21" customFormat="1" x14ac:dyDescent="0.25">
      <c r="A7977" s="22" t="s">
        <v>8</v>
      </c>
      <c r="B7977" s="18" t="str">
        <f>"285248"</f>
        <v>285248</v>
      </c>
      <c r="C7977" s="19" t="s">
        <v>7857</v>
      </c>
      <c r="D7977" s="19" t="s">
        <v>23396</v>
      </c>
      <c r="E7977" s="19" t="s">
        <v>32530</v>
      </c>
      <c r="F7977" s="19" t="s">
        <v>36001</v>
      </c>
      <c r="G7977" s="18" t="str">
        <f>"68376"</f>
        <v>68376</v>
      </c>
      <c r="H7977" s="19" t="s">
        <v>35806</v>
      </c>
      <c r="I7977" s="20">
        <v>17.324999999999999</v>
      </c>
      <c r="J7977" s="44" t="s">
        <v>8</v>
      </c>
      <c r="K7977" s="23" t="s">
        <v>8</v>
      </c>
      <c r="L7977" s="23" t="s">
        <v>8</v>
      </c>
      <c r="M7977" s="23" t="s">
        <v>8</v>
      </c>
    </row>
    <row r="7978" spans="1:13" s="21" customFormat="1" x14ac:dyDescent="0.25">
      <c r="A7978" s="22" t="s">
        <v>8</v>
      </c>
      <c r="B7978" s="18" t="str">
        <f>"285249"</f>
        <v>285249</v>
      </c>
      <c r="C7978" s="19" t="s">
        <v>7858</v>
      </c>
      <c r="D7978" s="19" t="s">
        <v>23397</v>
      </c>
      <c r="E7978" s="19" t="s">
        <v>33769</v>
      </c>
      <c r="F7978" s="19" t="s">
        <v>36001</v>
      </c>
      <c r="G7978" s="18" t="str">
        <f>"68632"</f>
        <v>68632</v>
      </c>
      <c r="H7978" s="19" t="s">
        <v>30876</v>
      </c>
      <c r="I7978" s="20">
        <v>18.696999999999999</v>
      </c>
      <c r="J7978" s="44" t="s">
        <v>8</v>
      </c>
      <c r="K7978" s="23" t="s">
        <v>8</v>
      </c>
      <c r="L7978" s="23" t="s">
        <v>8</v>
      </c>
      <c r="M7978" s="23" t="s">
        <v>8</v>
      </c>
    </row>
    <row r="7979" spans="1:13" s="21" customFormat="1" x14ac:dyDescent="0.25">
      <c r="A7979" s="22" t="s">
        <v>8</v>
      </c>
      <c r="B7979" s="18" t="str">
        <f>"285250"</f>
        <v>285250</v>
      </c>
      <c r="C7979" s="19" t="s">
        <v>7859</v>
      </c>
      <c r="D7979" s="19" t="s">
        <v>23398</v>
      </c>
      <c r="E7979" s="19" t="s">
        <v>31759</v>
      </c>
      <c r="F7979" s="19" t="s">
        <v>36001</v>
      </c>
      <c r="G7979" s="18" t="str">
        <f>"69339"</f>
        <v>69339</v>
      </c>
      <c r="H7979" s="19" t="s">
        <v>36558</v>
      </c>
      <c r="I7979" s="20">
        <v>19.149000000000001</v>
      </c>
      <c r="J7979" s="44" t="s">
        <v>8</v>
      </c>
      <c r="K7979" s="23" t="s">
        <v>8</v>
      </c>
      <c r="L7979" s="23" t="s">
        <v>8</v>
      </c>
      <c r="M7979" s="23" t="s">
        <v>8</v>
      </c>
    </row>
    <row r="7980" spans="1:13" s="21" customFormat="1" x14ac:dyDescent="0.25">
      <c r="A7980" s="22" t="s">
        <v>8</v>
      </c>
      <c r="B7980" s="18" t="str">
        <f>"285251"</f>
        <v>285251</v>
      </c>
      <c r="C7980" s="19" t="s">
        <v>7860</v>
      </c>
      <c r="D7980" s="19" t="s">
        <v>23399</v>
      </c>
      <c r="E7980" s="19" t="s">
        <v>33826</v>
      </c>
      <c r="F7980" s="19" t="s">
        <v>36001</v>
      </c>
      <c r="G7980" s="18" t="str">
        <f>"68046"</f>
        <v>68046</v>
      </c>
      <c r="H7980" s="19" t="s">
        <v>36555</v>
      </c>
      <c r="I7980" s="20">
        <v>18.309000000000001</v>
      </c>
      <c r="J7980" s="44" t="s">
        <v>8</v>
      </c>
      <c r="K7980" s="23" t="s">
        <v>8</v>
      </c>
      <c r="L7980" s="23" t="s">
        <v>8</v>
      </c>
      <c r="M7980" s="23" t="s">
        <v>8</v>
      </c>
    </row>
    <row r="7981" spans="1:13" s="21" customFormat="1" x14ac:dyDescent="0.25">
      <c r="A7981" s="22" t="s">
        <v>8</v>
      </c>
      <c r="B7981" s="18" t="str">
        <f>"285252"</f>
        <v>285252</v>
      </c>
      <c r="C7981" s="19" t="s">
        <v>7861</v>
      </c>
      <c r="D7981" s="19" t="s">
        <v>23400</v>
      </c>
      <c r="E7981" s="19" t="s">
        <v>33827</v>
      </c>
      <c r="F7981" s="19" t="s">
        <v>36001</v>
      </c>
      <c r="G7981" s="18" t="str">
        <f>"69033"</f>
        <v>69033</v>
      </c>
      <c r="H7981" s="19" t="s">
        <v>36301</v>
      </c>
      <c r="I7981" s="20">
        <v>18.22</v>
      </c>
      <c r="J7981" s="44" t="s">
        <v>8</v>
      </c>
      <c r="K7981" s="23" t="s">
        <v>8</v>
      </c>
      <c r="L7981" s="23" t="s">
        <v>8</v>
      </c>
      <c r="M7981" s="23" t="s">
        <v>8</v>
      </c>
    </row>
    <row r="7982" spans="1:13" s="21" customFormat="1" x14ac:dyDescent="0.25">
      <c r="A7982" s="22" t="s">
        <v>8</v>
      </c>
      <c r="B7982" s="18" t="str">
        <f>"285253"</f>
        <v>285253</v>
      </c>
      <c r="C7982" s="19" t="s">
        <v>7862</v>
      </c>
      <c r="D7982" s="19" t="s">
        <v>23401</v>
      </c>
      <c r="E7982" s="19" t="s">
        <v>31591</v>
      </c>
      <c r="F7982" s="19" t="s">
        <v>36001</v>
      </c>
      <c r="G7982" s="18" t="str">
        <f>"69044"</f>
        <v>69044</v>
      </c>
      <c r="H7982" s="19" t="s">
        <v>36567</v>
      </c>
      <c r="I7982" s="20">
        <v>18.201000000000001</v>
      </c>
      <c r="J7982" s="44" t="s">
        <v>8</v>
      </c>
      <c r="K7982" s="23" t="s">
        <v>8</v>
      </c>
      <c r="L7982" s="23" t="s">
        <v>8</v>
      </c>
      <c r="M7982" s="23" t="s">
        <v>8</v>
      </c>
    </row>
    <row r="7983" spans="1:13" s="21" customFormat="1" x14ac:dyDescent="0.25">
      <c r="A7983" s="22" t="s">
        <v>8</v>
      </c>
      <c r="B7983" s="18" t="str">
        <f>"285254"</f>
        <v>285254</v>
      </c>
      <c r="C7983" s="19" t="s">
        <v>7863</v>
      </c>
      <c r="D7983" s="19" t="s">
        <v>23402</v>
      </c>
      <c r="E7983" s="19" t="s">
        <v>33774</v>
      </c>
      <c r="F7983" s="19" t="s">
        <v>36001</v>
      </c>
      <c r="G7983" s="18" t="str">
        <f>"68847"</f>
        <v>68847</v>
      </c>
      <c r="H7983" s="19" t="s">
        <v>33453</v>
      </c>
      <c r="I7983" s="20">
        <v>20.352</v>
      </c>
      <c r="J7983" s="44" t="s">
        <v>8</v>
      </c>
      <c r="K7983" s="23" t="s">
        <v>8</v>
      </c>
      <c r="L7983" s="23" t="s">
        <v>8</v>
      </c>
      <c r="M7983" s="23" t="s">
        <v>8</v>
      </c>
    </row>
    <row r="7984" spans="1:13" s="21" customFormat="1" x14ac:dyDescent="0.25">
      <c r="A7984" s="22" t="s">
        <v>8</v>
      </c>
      <c r="B7984" s="18" t="str">
        <f>"285256"</f>
        <v>285256</v>
      </c>
      <c r="C7984" s="19" t="s">
        <v>7864</v>
      </c>
      <c r="D7984" s="19" t="s">
        <v>23403</v>
      </c>
      <c r="E7984" s="19" t="s">
        <v>33828</v>
      </c>
      <c r="F7984" s="19" t="s">
        <v>36001</v>
      </c>
      <c r="G7984" s="18" t="str">
        <f>"69145"</f>
        <v>69145</v>
      </c>
      <c r="H7984" s="19" t="s">
        <v>33828</v>
      </c>
      <c r="I7984" s="20">
        <v>21.741</v>
      </c>
      <c r="J7984" s="44" t="s">
        <v>8</v>
      </c>
      <c r="K7984" s="23" t="s">
        <v>8</v>
      </c>
      <c r="L7984" s="23" t="s">
        <v>8</v>
      </c>
      <c r="M7984" s="23" t="s">
        <v>8</v>
      </c>
    </row>
    <row r="7985" spans="1:13" s="21" customFormat="1" x14ac:dyDescent="0.25">
      <c r="A7985" s="22" t="s">
        <v>8</v>
      </c>
      <c r="B7985" s="18" t="str">
        <f>"285257"</f>
        <v>285257</v>
      </c>
      <c r="C7985" s="19" t="s">
        <v>7865</v>
      </c>
      <c r="D7985" s="19" t="s">
        <v>23404</v>
      </c>
      <c r="E7985" s="19" t="s">
        <v>33829</v>
      </c>
      <c r="F7985" s="19" t="s">
        <v>36001</v>
      </c>
      <c r="G7985" s="18" t="str">
        <f>"68823"</f>
        <v>68823</v>
      </c>
      <c r="H7985" s="19" t="s">
        <v>36111</v>
      </c>
      <c r="I7985" s="20">
        <v>18.721</v>
      </c>
      <c r="J7985" s="44" t="s">
        <v>8</v>
      </c>
      <c r="K7985" s="23" t="s">
        <v>8</v>
      </c>
      <c r="L7985" s="23" t="s">
        <v>8</v>
      </c>
      <c r="M7985" s="23" t="s">
        <v>8</v>
      </c>
    </row>
    <row r="7986" spans="1:13" s="21" customFormat="1" x14ac:dyDescent="0.25">
      <c r="A7986" s="22" t="s">
        <v>8</v>
      </c>
      <c r="B7986" s="18" t="str">
        <f>"285258"</f>
        <v>285258</v>
      </c>
      <c r="C7986" s="19" t="s">
        <v>7866</v>
      </c>
      <c r="D7986" s="19" t="s">
        <v>23405</v>
      </c>
      <c r="E7986" s="19" t="s">
        <v>33700</v>
      </c>
      <c r="F7986" s="19" t="s">
        <v>36001</v>
      </c>
      <c r="G7986" s="18" t="str">
        <f>"68927"</f>
        <v>68927</v>
      </c>
      <c r="H7986" s="19" t="s">
        <v>32722</v>
      </c>
      <c r="I7986" s="20">
        <v>18.061</v>
      </c>
      <c r="J7986" s="44" t="s">
        <v>8</v>
      </c>
      <c r="K7986" s="23" t="s">
        <v>8</v>
      </c>
      <c r="L7986" s="23" t="s">
        <v>8</v>
      </c>
      <c r="M7986" s="23" t="s">
        <v>8</v>
      </c>
    </row>
    <row r="7987" spans="1:13" s="21" customFormat="1" x14ac:dyDescent="0.25">
      <c r="A7987" s="22" t="s">
        <v>8</v>
      </c>
      <c r="B7987" s="18" t="str">
        <f>"285259"</f>
        <v>285259</v>
      </c>
      <c r="C7987" s="19" t="s">
        <v>7867</v>
      </c>
      <c r="D7987" s="19" t="s">
        <v>23406</v>
      </c>
      <c r="E7987" s="19" t="s">
        <v>33830</v>
      </c>
      <c r="F7987" s="19" t="s">
        <v>36001</v>
      </c>
      <c r="G7987" s="18" t="str">
        <f>"68370"</f>
        <v>68370</v>
      </c>
      <c r="H7987" s="19" t="s">
        <v>33612</v>
      </c>
      <c r="I7987" s="20">
        <v>18.893000000000001</v>
      </c>
      <c r="J7987" s="44" t="s">
        <v>8</v>
      </c>
      <c r="K7987" s="23" t="s">
        <v>8</v>
      </c>
      <c r="L7987" s="23" t="s">
        <v>8</v>
      </c>
      <c r="M7987" s="23" t="s">
        <v>8</v>
      </c>
    </row>
    <row r="7988" spans="1:13" s="21" customFormat="1" x14ac:dyDescent="0.25">
      <c r="A7988" s="22" t="s">
        <v>8</v>
      </c>
      <c r="B7988" s="18" t="str">
        <f>"285260"</f>
        <v>285260</v>
      </c>
      <c r="C7988" s="19" t="s">
        <v>7868</v>
      </c>
      <c r="D7988" s="19" t="s">
        <v>23407</v>
      </c>
      <c r="E7988" s="19" t="s">
        <v>33831</v>
      </c>
      <c r="F7988" s="19" t="s">
        <v>36001</v>
      </c>
      <c r="G7988" s="18" t="str">
        <f>"69334"</f>
        <v>69334</v>
      </c>
      <c r="H7988" s="19" t="s">
        <v>36565</v>
      </c>
      <c r="I7988" s="20">
        <v>20.068000000000001</v>
      </c>
      <c r="J7988" s="44" t="s">
        <v>8</v>
      </c>
      <c r="K7988" s="23" t="s">
        <v>8</v>
      </c>
      <c r="L7988" s="23" t="s">
        <v>8</v>
      </c>
      <c r="M7988" s="23" t="s">
        <v>8</v>
      </c>
    </row>
    <row r="7989" spans="1:13" s="21" customFormat="1" x14ac:dyDescent="0.25">
      <c r="A7989" s="22" t="s">
        <v>8</v>
      </c>
      <c r="B7989" s="18" t="str">
        <f>"285261"</f>
        <v>285261</v>
      </c>
      <c r="C7989" s="19" t="s">
        <v>7869</v>
      </c>
      <c r="D7989" s="19" t="s">
        <v>23408</v>
      </c>
      <c r="E7989" s="19" t="s">
        <v>33832</v>
      </c>
      <c r="F7989" s="19" t="s">
        <v>36001</v>
      </c>
      <c r="G7989" s="18" t="str">
        <f>"68340"</f>
        <v>68340</v>
      </c>
      <c r="H7989" s="19" t="s">
        <v>33612</v>
      </c>
      <c r="I7989" s="20">
        <v>19.048999999999999</v>
      </c>
      <c r="J7989" s="44" t="s">
        <v>8</v>
      </c>
      <c r="K7989" s="23" t="s">
        <v>8</v>
      </c>
      <c r="L7989" s="23" t="s">
        <v>8</v>
      </c>
      <c r="M7989" s="23" t="s">
        <v>8</v>
      </c>
    </row>
    <row r="7990" spans="1:13" s="21" customFormat="1" x14ac:dyDescent="0.25">
      <c r="A7990" s="22" t="s">
        <v>8</v>
      </c>
      <c r="B7990" s="18" t="str">
        <f>"285262"</f>
        <v>285262</v>
      </c>
      <c r="C7990" s="19" t="s">
        <v>4361</v>
      </c>
      <c r="D7990" s="19" t="s">
        <v>23409</v>
      </c>
      <c r="E7990" s="19" t="s">
        <v>32098</v>
      </c>
      <c r="F7990" s="19" t="s">
        <v>36001</v>
      </c>
      <c r="G7990" s="18" t="str">
        <f>"68352"</f>
        <v>68352</v>
      </c>
      <c r="H7990" s="19" t="s">
        <v>32391</v>
      </c>
      <c r="I7990" s="20">
        <v>17.785</v>
      </c>
      <c r="J7990" s="44" t="s">
        <v>8</v>
      </c>
      <c r="K7990" s="23" t="s">
        <v>8</v>
      </c>
      <c r="L7990" s="23" t="s">
        <v>8</v>
      </c>
      <c r="M7990" s="23" t="s">
        <v>8</v>
      </c>
    </row>
    <row r="7991" spans="1:13" s="21" customFormat="1" x14ac:dyDescent="0.25">
      <c r="A7991" s="22" t="s">
        <v>8</v>
      </c>
      <c r="B7991" s="18" t="str">
        <f>"285263"</f>
        <v>285263</v>
      </c>
      <c r="C7991" s="19" t="s">
        <v>7870</v>
      </c>
      <c r="D7991" s="19" t="s">
        <v>23410</v>
      </c>
      <c r="E7991" s="19" t="s">
        <v>31333</v>
      </c>
      <c r="F7991" s="19" t="s">
        <v>36001</v>
      </c>
      <c r="G7991" s="18" t="str">
        <f>"68818"</f>
        <v>68818</v>
      </c>
      <c r="H7991" s="19" t="s">
        <v>30804</v>
      </c>
      <c r="I7991" s="20">
        <v>19.190999999999999</v>
      </c>
      <c r="J7991" s="44" t="s">
        <v>8</v>
      </c>
      <c r="K7991" s="23" t="s">
        <v>8</v>
      </c>
      <c r="L7991" s="23" t="s">
        <v>8</v>
      </c>
      <c r="M7991" s="23" t="s">
        <v>8</v>
      </c>
    </row>
    <row r="7992" spans="1:13" s="21" customFormat="1" x14ac:dyDescent="0.25">
      <c r="A7992" s="22" t="s">
        <v>8</v>
      </c>
      <c r="B7992" s="18" t="str">
        <f>"285266"</f>
        <v>285266</v>
      </c>
      <c r="C7992" s="19" t="s">
        <v>7871</v>
      </c>
      <c r="D7992" s="19" t="s">
        <v>23411</v>
      </c>
      <c r="E7992" s="19" t="s">
        <v>31995</v>
      </c>
      <c r="F7992" s="19" t="s">
        <v>36001</v>
      </c>
      <c r="G7992" s="18" t="str">
        <f>"68504"</f>
        <v>68504</v>
      </c>
      <c r="H7992" s="19" t="s">
        <v>31184</v>
      </c>
      <c r="I7992" s="20">
        <v>17.867999999999999</v>
      </c>
      <c r="J7992" s="44" t="s">
        <v>8</v>
      </c>
      <c r="K7992" s="23" t="s">
        <v>8</v>
      </c>
      <c r="L7992" s="23" t="s">
        <v>8</v>
      </c>
      <c r="M7992" s="23" t="s">
        <v>8</v>
      </c>
    </row>
    <row r="7993" spans="1:13" s="21" customFormat="1" x14ac:dyDescent="0.25">
      <c r="A7993" s="22" t="s">
        <v>8</v>
      </c>
      <c r="B7993" s="18" t="str">
        <f>"285267"</f>
        <v>285267</v>
      </c>
      <c r="C7993" s="19" t="s">
        <v>7872</v>
      </c>
      <c r="D7993" s="19" t="s">
        <v>23412</v>
      </c>
      <c r="E7993" s="19" t="s">
        <v>31696</v>
      </c>
      <c r="F7993" s="19" t="s">
        <v>36001</v>
      </c>
      <c r="G7993" s="18" t="str">
        <f>"68037"</f>
        <v>68037</v>
      </c>
      <c r="H7993" s="19" t="s">
        <v>36246</v>
      </c>
      <c r="I7993" s="20">
        <v>19.247</v>
      </c>
      <c r="J7993" s="44" t="s">
        <v>8</v>
      </c>
      <c r="K7993" s="23" t="s">
        <v>8</v>
      </c>
      <c r="L7993" s="23" t="s">
        <v>8</v>
      </c>
      <c r="M7993" s="23" t="s">
        <v>8</v>
      </c>
    </row>
    <row r="7994" spans="1:13" s="21" customFormat="1" x14ac:dyDescent="0.25">
      <c r="A7994" s="22" t="s">
        <v>8</v>
      </c>
      <c r="B7994" s="18" t="str">
        <f>"285268"</f>
        <v>285268</v>
      </c>
      <c r="C7994" s="19" t="s">
        <v>7873</v>
      </c>
      <c r="D7994" s="19" t="s">
        <v>23413</v>
      </c>
      <c r="E7994" s="19" t="s">
        <v>33826</v>
      </c>
      <c r="F7994" s="19" t="s">
        <v>36001</v>
      </c>
      <c r="G7994" s="18" t="str">
        <f>"68046"</f>
        <v>68046</v>
      </c>
      <c r="H7994" s="19" t="s">
        <v>36555</v>
      </c>
      <c r="I7994" s="20">
        <v>17.399999999999999</v>
      </c>
      <c r="J7994" s="44" t="s">
        <v>8</v>
      </c>
      <c r="K7994" s="23" t="s">
        <v>8</v>
      </c>
      <c r="L7994" s="23" t="s">
        <v>8</v>
      </c>
      <c r="M7994" s="23" t="s">
        <v>8</v>
      </c>
    </row>
    <row r="7995" spans="1:13" s="21" customFormat="1" x14ac:dyDescent="0.25">
      <c r="A7995" s="22" t="s">
        <v>8</v>
      </c>
      <c r="B7995" s="18" t="str">
        <f>"285269"</f>
        <v>285269</v>
      </c>
      <c r="C7995" s="19" t="s">
        <v>7874</v>
      </c>
      <c r="D7995" s="19" t="s">
        <v>23414</v>
      </c>
      <c r="E7995" s="19" t="s">
        <v>33833</v>
      </c>
      <c r="F7995" s="19" t="s">
        <v>36001</v>
      </c>
      <c r="G7995" s="18" t="str">
        <f>"68926"</f>
        <v>68926</v>
      </c>
      <c r="H7995" s="19" t="s">
        <v>36560</v>
      </c>
      <c r="I7995" s="20">
        <v>20.667999999999999</v>
      </c>
      <c r="J7995" s="44" t="s">
        <v>8</v>
      </c>
      <c r="K7995" s="23" t="s">
        <v>8</v>
      </c>
      <c r="L7995" s="23" t="s">
        <v>8</v>
      </c>
      <c r="M7995" s="23" t="s">
        <v>8</v>
      </c>
    </row>
    <row r="7996" spans="1:13" s="21" customFormat="1" x14ac:dyDescent="0.25">
      <c r="A7996" s="22" t="s">
        <v>8</v>
      </c>
      <c r="B7996" s="18" t="str">
        <f>"285270"</f>
        <v>285270</v>
      </c>
      <c r="C7996" s="19" t="s">
        <v>7875</v>
      </c>
      <c r="D7996" s="19" t="s">
        <v>23415</v>
      </c>
      <c r="E7996" s="19" t="s">
        <v>32804</v>
      </c>
      <c r="F7996" s="19" t="s">
        <v>36001</v>
      </c>
      <c r="G7996" s="18" t="str">
        <f>"68959"</f>
        <v>68959</v>
      </c>
      <c r="H7996" s="19" t="s">
        <v>33774</v>
      </c>
      <c r="I7996" s="20">
        <v>17.216999999999999</v>
      </c>
      <c r="J7996" s="44" t="s">
        <v>8</v>
      </c>
      <c r="K7996" s="23" t="s">
        <v>8</v>
      </c>
      <c r="L7996" s="23" t="s">
        <v>8</v>
      </c>
      <c r="M7996" s="23" t="s">
        <v>8</v>
      </c>
    </row>
    <row r="7997" spans="1:13" s="21" customFormat="1" x14ac:dyDescent="0.25">
      <c r="A7997" s="22" t="s">
        <v>8</v>
      </c>
      <c r="B7997" s="18" t="str">
        <f>"285271"</f>
        <v>285271</v>
      </c>
      <c r="C7997" s="19" t="s">
        <v>7876</v>
      </c>
      <c r="D7997" s="19" t="s">
        <v>23416</v>
      </c>
      <c r="E7997" s="19" t="s">
        <v>33779</v>
      </c>
      <c r="F7997" s="19" t="s">
        <v>36001</v>
      </c>
      <c r="G7997" s="18" t="str">
        <f>"69361"</f>
        <v>69361</v>
      </c>
      <c r="H7997" s="19" t="s">
        <v>36548</v>
      </c>
      <c r="I7997" s="20">
        <v>19.305</v>
      </c>
      <c r="J7997" s="44" t="s">
        <v>8</v>
      </c>
      <c r="K7997" s="23" t="s">
        <v>8</v>
      </c>
      <c r="L7997" s="23" t="s">
        <v>8</v>
      </c>
      <c r="M7997" s="23" t="s">
        <v>8</v>
      </c>
    </row>
    <row r="7998" spans="1:13" s="21" customFormat="1" x14ac:dyDescent="0.25">
      <c r="A7998" s="22" t="s">
        <v>8</v>
      </c>
      <c r="B7998" s="18" t="str">
        <f>"285272"</f>
        <v>285272</v>
      </c>
      <c r="C7998" s="19" t="s">
        <v>7877</v>
      </c>
      <c r="D7998" s="19" t="s">
        <v>23417</v>
      </c>
      <c r="E7998" s="19" t="s">
        <v>32144</v>
      </c>
      <c r="F7998" s="19" t="s">
        <v>36001</v>
      </c>
      <c r="G7998" s="18" t="str">
        <f>"68944"</f>
        <v>68944</v>
      </c>
      <c r="H7998" s="19" t="s">
        <v>36030</v>
      </c>
      <c r="I7998" s="20">
        <v>19.904</v>
      </c>
      <c r="J7998" s="44" t="s">
        <v>8</v>
      </c>
      <c r="K7998" s="23" t="s">
        <v>8</v>
      </c>
      <c r="L7998" s="23" t="s">
        <v>8</v>
      </c>
      <c r="M7998" s="23" t="s">
        <v>8</v>
      </c>
    </row>
    <row r="7999" spans="1:13" s="21" customFormat="1" x14ac:dyDescent="0.25">
      <c r="A7999" s="22" t="s">
        <v>8</v>
      </c>
      <c r="B7999" s="18" t="str">
        <f>"285273"</f>
        <v>285273</v>
      </c>
      <c r="C7999" s="19" t="s">
        <v>7878</v>
      </c>
      <c r="D7999" s="19" t="s">
        <v>23418</v>
      </c>
      <c r="E7999" s="19" t="s">
        <v>33396</v>
      </c>
      <c r="F7999" s="19" t="s">
        <v>36001</v>
      </c>
      <c r="G7999" s="18" t="str">
        <f>"68769"</f>
        <v>68769</v>
      </c>
      <c r="H7999" s="19" t="s">
        <v>33791</v>
      </c>
      <c r="I7999" s="20">
        <v>19.617999999999999</v>
      </c>
      <c r="J7999" s="44" t="s">
        <v>8</v>
      </c>
      <c r="K7999" s="23" t="s">
        <v>8</v>
      </c>
      <c r="L7999" s="23" t="s">
        <v>8</v>
      </c>
      <c r="M7999" s="23" t="s">
        <v>8</v>
      </c>
    </row>
    <row r="8000" spans="1:13" s="21" customFormat="1" x14ac:dyDescent="0.25">
      <c r="A8000" s="22" t="s">
        <v>8</v>
      </c>
      <c r="B8000" s="18" t="str">
        <f>"285274"</f>
        <v>285274</v>
      </c>
      <c r="C8000" s="19" t="s">
        <v>7879</v>
      </c>
      <c r="D8000" s="19" t="s">
        <v>23419</v>
      </c>
      <c r="E8000" s="19" t="s">
        <v>33762</v>
      </c>
      <c r="F8000" s="19" t="s">
        <v>36001</v>
      </c>
      <c r="G8000" s="18" t="str">
        <f>"68114"</f>
        <v>68114</v>
      </c>
      <c r="H8000" s="19" t="s">
        <v>30966</v>
      </c>
      <c r="I8000" s="20">
        <v>17.196999999999999</v>
      </c>
      <c r="J8000" s="44" t="s">
        <v>8</v>
      </c>
      <c r="K8000" s="23" t="s">
        <v>8</v>
      </c>
      <c r="L8000" s="23" t="s">
        <v>8</v>
      </c>
      <c r="M8000" s="23" t="s">
        <v>8</v>
      </c>
    </row>
    <row r="8001" spans="1:13" s="21" customFormat="1" x14ac:dyDescent="0.25">
      <c r="A8001" s="22" t="s">
        <v>8</v>
      </c>
      <c r="B8001" s="18" t="str">
        <f>"285275"</f>
        <v>285275</v>
      </c>
      <c r="C8001" s="19" t="s">
        <v>7880</v>
      </c>
      <c r="D8001" s="19" t="s">
        <v>23420</v>
      </c>
      <c r="E8001" s="19" t="s">
        <v>31995</v>
      </c>
      <c r="F8001" s="19" t="s">
        <v>36001</v>
      </c>
      <c r="G8001" s="18" t="str">
        <f>"68502"</f>
        <v>68502</v>
      </c>
      <c r="H8001" s="19" t="s">
        <v>31184</v>
      </c>
      <c r="I8001" s="20">
        <v>14.513999999999999</v>
      </c>
      <c r="J8001" s="44" t="s">
        <v>8</v>
      </c>
      <c r="K8001" s="23" t="s">
        <v>8</v>
      </c>
      <c r="L8001" s="23" t="s">
        <v>8</v>
      </c>
      <c r="M8001" s="23" t="s">
        <v>8</v>
      </c>
    </row>
    <row r="8002" spans="1:13" s="21" customFormat="1" x14ac:dyDescent="0.25">
      <c r="A8002" s="22" t="s">
        <v>8</v>
      </c>
      <c r="B8002" s="18" t="str">
        <f>"285276"</f>
        <v>285276</v>
      </c>
      <c r="C8002" s="19" t="s">
        <v>7881</v>
      </c>
      <c r="D8002" s="19" t="s">
        <v>23421</v>
      </c>
      <c r="E8002" s="19" t="s">
        <v>33790</v>
      </c>
      <c r="F8002" s="19" t="s">
        <v>36001</v>
      </c>
      <c r="G8002" s="18" t="str">
        <f>"68022"</f>
        <v>68022</v>
      </c>
      <c r="H8002" s="19" t="s">
        <v>30966</v>
      </c>
      <c r="I8002" s="20">
        <v>18.193000000000001</v>
      </c>
      <c r="J8002" s="44" t="s">
        <v>8</v>
      </c>
      <c r="K8002" s="23" t="s">
        <v>8</v>
      </c>
      <c r="L8002" s="23" t="s">
        <v>8</v>
      </c>
      <c r="M8002" s="23" t="s">
        <v>8</v>
      </c>
    </row>
    <row r="8003" spans="1:13" s="21" customFormat="1" x14ac:dyDescent="0.25">
      <c r="A8003" s="22" t="s">
        <v>8</v>
      </c>
      <c r="B8003" s="18" t="str">
        <f>"285277"</f>
        <v>285277</v>
      </c>
      <c r="C8003" s="19" t="s">
        <v>7882</v>
      </c>
      <c r="D8003" s="19" t="s">
        <v>23422</v>
      </c>
      <c r="E8003" s="19" t="s">
        <v>33834</v>
      </c>
      <c r="F8003" s="19" t="s">
        <v>36001</v>
      </c>
      <c r="G8003" s="18" t="str">
        <f>"68979"</f>
        <v>68979</v>
      </c>
      <c r="H8003" s="19" t="s">
        <v>36030</v>
      </c>
      <c r="I8003" s="20">
        <v>18.024999999999999</v>
      </c>
      <c r="J8003" s="44" t="s">
        <v>8</v>
      </c>
      <c r="K8003" s="23" t="s">
        <v>8</v>
      </c>
      <c r="L8003" s="23" t="s">
        <v>8</v>
      </c>
      <c r="M8003" s="23" t="s">
        <v>8</v>
      </c>
    </row>
    <row r="8004" spans="1:13" s="21" customFormat="1" x14ac:dyDescent="0.25">
      <c r="A8004" s="22" t="s">
        <v>8</v>
      </c>
      <c r="B8004" s="18" t="str">
        <f>"285278"</f>
        <v>285278</v>
      </c>
      <c r="C8004" s="19" t="s">
        <v>7883</v>
      </c>
      <c r="D8004" s="19" t="s">
        <v>23423</v>
      </c>
      <c r="E8004" s="19" t="s">
        <v>31175</v>
      </c>
      <c r="F8004" s="19" t="s">
        <v>36001</v>
      </c>
      <c r="G8004" s="18" t="str">
        <f>"68025"</f>
        <v>68025</v>
      </c>
      <c r="H8004" s="19" t="s">
        <v>33824</v>
      </c>
      <c r="I8004" s="20">
        <v>17.413</v>
      </c>
      <c r="J8004" s="44" t="s">
        <v>8</v>
      </c>
      <c r="K8004" s="23" t="s">
        <v>8</v>
      </c>
      <c r="L8004" s="23" t="s">
        <v>8</v>
      </c>
      <c r="M8004" s="23" t="s">
        <v>8</v>
      </c>
    </row>
    <row r="8005" spans="1:13" s="21" customFormat="1" x14ac:dyDescent="0.25">
      <c r="A8005" s="22" t="s">
        <v>8</v>
      </c>
      <c r="B8005" s="18" t="str">
        <f>"285279"</f>
        <v>285279</v>
      </c>
      <c r="C8005" s="19" t="s">
        <v>7884</v>
      </c>
      <c r="D8005" s="19" t="s">
        <v>23424</v>
      </c>
      <c r="E8005" s="19" t="s">
        <v>33835</v>
      </c>
      <c r="F8005" s="19" t="s">
        <v>36001</v>
      </c>
      <c r="G8005" s="18" t="str">
        <f>"68434"</f>
        <v>68434</v>
      </c>
      <c r="H8005" s="19" t="s">
        <v>33835</v>
      </c>
      <c r="I8005" s="20">
        <v>21.841999999999999</v>
      </c>
      <c r="J8005" s="44" t="s">
        <v>8</v>
      </c>
      <c r="K8005" s="23" t="s">
        <v>8</v>
      </c>
      <c r="L8005" s="23" t="s">
        <v>8</v>
      </c>
      <c r="M8005" s="23" t="s">
        <v>8</v>
      </c>
    </row>
    <row r="8006" spans="1:13" s="21" customFormat="1" x14ac:dyDescent="0.25">
      <c r="A8006" s="22" t="s">
        <v>8</v>
      </c>
      <c r="B8006" s="18" t="str">
        <f>"285280"</f>
        <v>285280</v>
      </c>
      <c r="C8006" s="19" t="s">
        <v>7885</v>
      </c>
      <c r="D8006" s="19" t="s">
        <v>23425</v>
      </c>
      <c r="E8006" s="19" t="s">
        <v>33762</v>
      </c>
      <c r="F8006" s="19" t="s">
        <v>36001</v>
      </c>
      <c r="G8006" s="18" t="str">
        <f>"68130"</f>
        <v>68130</v>
      </c>
      <c r="H8006" s="19" t="s">
        <v>30966</v>
      </c>
      <c r="I8006" s="20">
        <v>17.297999999999998</v>
      </c>
      <c r="J8006" s="44" t="s">
        <v>8</v>
      </c>
      <c r="K8006" s="23" t="s">
        <v>8</v>
      </c>
      <c r="L8006" s="23" t="s">
        <v>8</v>
      </c>
      <c r="M8006" s="23" t="s">
        <v>8</v>
      </c>
    </row>
    <row r="8007" spans="1:13" s="21" customFormat="1" x14ac:dyDescent="0.25">
      <c r="A8007" s="22" t="s">
        <v>8</v>
      </c>
      <c r="B8007" s="18" t="str">
        <f>"285281"</f>
        <v>285281</v>
      </c>
      <c r="C8007" s="19" t="s">
        <v>7886</v>
      </c>
      <c r="D8007" s="19" t="s">
        <v>23426</v>
      </c>
      <c r="E8007" s="19" t="s">
        <v>31143</v>
      </c>
      <c r="F8007" s="19" t="s">
        <v>36001</v>
      </c>
      <c r="G8007" s="18" t="str">
        <f>"68045"</f>
        <v>68045</v>
      </c>
      <c r="H8007" s="19" t="s">
        <v>36550</v>
      </c>
      <c r="I8007" s="20">
        <v>18.161999999999999</v>
      </c>
      <c r="J8007" s="44" t="s">
        <v>8</v>
      </c>
      <c r="K8007" s="23" t="s">
        <v>8</v>
      </c>
      <c r="L8007" s="23" t="s">
        <v>8</v>
      </c>
      <c r="M8007" s="23" t="s">
        <v>8</v>
      </c>
    </row>
    <row r="8008" spans="1:13" s="21" customFormat="1" x14ac:dyDescent="0.25">
      <c r="A8008" s="22" t="s">
        <v>8</v>
      </c>
      <c r="B8008" s="18" t="str">
        <f>"285282"</f>
        <v>285282</v>
      </c>
      <c r="C8008" s="19" t="s">
        <v>7887</v>
      </c>
      <c r="D8008" s="19" t="s">
        <v>23427</v>
      </c>
      <c r="E8008" s="19" t="s">
        <v>32098</v>
      </c>
      <c r="F8008" s="19" t="s">
        <v>36001</v>
      </c>
      <c r="G8008" s="18" t="str">
        <f>"68352"</f>
        <v>68352</v>
      </c>
      <c r="H8008" s="19" t="s">
        <v>32391</v>
      </c>
      <c r="I8008" s="20">
        <v>18.169</v>
      </c>
      <c r="J8008" s="44" t="s">
        <v>8</v>
      </c>
      <c r="K8008" s="23" t="s">
        <v>8</v>
      </c>
      <c r="L8008" s="23" t="s">
        <v>8</v>
      </c>
      <c r="M8008" s="23" t="s">
        <v>8</v>
      </c>
    </row>
    <row r="8009" spans="1:13" s="21" customFormat="1" x14ac:dyDescent="0.25">
      <c r="A8009" s="22" t="s">
        <v>8</v>
      </c>
      <c r="B8009" s="18" t="str">
        <f>"285283"</f>
        <v>285283</v>
      </c>
      <c r="C8009" s="19" t="s">
        <v>7888</v>
      </c>
      <c r="D8009" s="19" t="s">
        <v>23428</v>
      </c>
      <c r="E8009" s="19" t="s">
        <v>32046</v>
      </c>
      <c r="F8009" s="19" t="s">
        <v>36001</v>
      </c>
      <c r="G8009" s="18" t="str">
        <f>"68333"</f>
        <v>68333</v>
      </c>
      <c r="H8009" s="19" t="s">
        <v>33206</v>
      </c>
      <c r="I8009" s="20">
        <v>18.591000000000001</v>
      </c>
      <c r="J8009" s="44" t="s">
        <v>8</v>
      </c>
      <c r="K8009" s="23" t="s">
        <v>8</v>
      </c>
      <c r="L8009" s="23" t="s">
        <v>8</v>
      </c>
      <c r="M8009" s="23" t="s">
        <v>8</v>
      </c>
    </row>
    <row r="8010" spans="1:13" s="21" customFormat="1" x14ac:dyDescent="0.25">
      <c r="A8010" s="22" t="s">
        <v>8</v>
      </c>
      <c r="B8010" s="18" t="str">
        <f>"285284"</f>
        <v>285284</v>
      </c>
      <c r="C8010" s="19" t="s">
        <v>7889</v>
      </c>
      <c r="D8010" s="19" t="s">
        <v>23429</v>
      </c>
      <c r="E8010" s="19" t="s">
        <v>33836</v>
      </c>
      <c r="F8010" s="19" t="s">
        <v>36001</v>
      </c>
      <c r="G8010" s="18" t="str">
        <f>"68729"</f>
        <v>68729</v>
      </c>
      <c r="H8010" s="19" t="s">
        <v>32252</v>
      </c>
      <c r="I8010" s="20">
        <v>17.963000000000001</v>
      </c>
      <c r="J8010" s="44" t="s">
        <v>8</v>
      </c>
      <c r="K8010" s="23" t="s">
        <v>8</v>
      </c>
      <c r="L8010" s="23" t="s">
        <v>8</v>
      </c>
      <c r="M8010" s="23" t="s">
        <v>8</v>
      </c>
    </row>
    <row r="8011" spans="1:13" s="21" customFormat="1" x14ac:dyDescent="0.25">
      <c r="A8011" s="22" t="s">
        <v>8</v>
      </c>
      <c r="B8011" s="18" t="str">
        <f>"285285"</f>
        <v>285285</v>
      </c>
      <c r="C8011" s="19" t="s">
        <v>7890</v>
      </c>
      <c r="D8011" s="19" t="s">
        <v>23430</v>
      </c>
      <c r="E8011" s="19" t="s">
        <v>33772</v>
      </c>
      <c r="F8011" s="19" t="s">
        <v>36001</v>
      </c>
      <c r="G8011" s="18" t="str">
        <f>"68803"</f>
        <v>68803</v>
      </c>
      <c r="H8011" s="19" t="s">
        <v>36156</v>
      </c>
      <c r="I8011" s="20">
        <v>18.606999999999999</v>
      </c>
      <c r="J8011" s="44" t="s">
        <v>8</v>
      </c>
      <c r="K8011" s="23" t="s">
        <v>8</v>
      </c>
      <c r="L8011" s="23" t="s">
        <v>8</v>
      </c>
      <c r="M8011" s="23" t="s">
        <v>8</v>
      </c>
    </row>
    <row r="8012" spans="1:13" s="21" customFormat="1" x14ac:dyDescent="0.25">
      <c r="A8012" s="22" t="s">
        <v>8</v>
      </c>
      <c r="B8012" s="18" t="str">
        <f>"285286"</f>
        <v>285286</v>
      </c>
      <c r="C8012" s="19" t="s">
        <v>7891</v>
      </c>
      <c r="D8012" s="19" t="s">
        <v>23431</v>
      </c>
      <c r="E8012" s="19" t="s">
        <v>31340</v>
      </c>
      <c r="F8012" s="19" t="s">
        <v>36001</v>
      </c>
      <c r="G8012" s="18" t="str">
        <f>"68842"</f>
        <v>68842</v>
      </c>
      <c r="H8012" s="19" t="s">
        <v>31340</v>
      </c>
      <c r="I8012" s="20">
        <v>19.309000000000001</v>
      </c>
      <c r="J8012" s="44" t="s">
        <v>8</v>
      </c>
      <c r="K8012" s="23" t="s">
        <v>8</v>
      </c>
      <c r="L8012" s="23" t="s">
        <v>8</v>
      </c>
      <c r="M8012" s="23" t="s">
        <v>8</v>
      </c>
    </row>
    <row r="8013" spans="1:13" s="21" customFormat="1" x14ac:dyDescent="0.25">
      <c r="A8013" s="22" t="s">
        <v>8</v>
      </c>
      <c r="B8013" s="18" t="str">
        <f>"285287"</f>
        <v>285287</v>
      </c>
      <c r="C8013" s="19" t="s">
        <v>7892</v>
      </c>
      <c r="D8013" s="19" t="s">
        <v>23432</v>
      </c>
      <c r="E8013" s="19" t="s">
        <v>32259</v>
      </c>
      <c r="F8013" s="19" t="s">
        <v>36001</v>
      </c>
      <c r="G8013" s="18" t="str">
        <f>"69357"</f>
        <v>69357</v>
      </c>
      <c r="H8013" s="19" t="s">
        <v>36548</v>
      </c>
      <c r="I8013" s="20">
        <v>17.266999999999999</v>
      </c>
      <c r="J8013" s="44" t="s">
        <v>8</v>
      </c>
      <c r="K8013" s="23" t="s">
        <v>8</v>
      </c>
      <c r="L8013" s="23" t="s">
        <v>8</v>
      </c>
      <c r="M8013" s="23" t="s">
        <v>8</v>
      </c>
    </row>
    <row r="8014" spans="1:13" s="21" customFormat="1" x14ac:dyDescent="0.25">
      <c r="A8014" s="22" t="s">
        <v>8</v>
      </c>
      <c r="B8014" s="18" t="str">
        <f>"285288"</f>
        <v>285288</v>
      </c>
      <c r="C8014" s="19" t="s">
        <v>7893</v>
      </c>
      <c r="D8014" s="19" t="s">
        <v>23433</v>
      </c>
      <c r="E8014" s="19" t="s">
        <v>31995</v>
      </c>
      <c r="F8014" s="19" t="s">
        <v>36001</v>
      </c>
      <c r="G8014" s="18" t="str">
        <f>"68516"</f>
        <v>68516</v>
      </c>
      <c r="H8014" s="19" t="s">
        <v>31184</v>
      </c>
      <c r="I8014" s="20">
        <v>18.016999999999999</v>
      </c>
      <c r="J8014" s="44" t="s">
        <v>8</v>
      </c>
      <c r="K8014" s="23" t="s">
        <v>8</v>
      </c>
      <c r="L8014" s="23" t="s">
        <v>8</v>
      </c>
      <c r="M8014" s="23" t="s">
        <v>8</v>
      </c>
    </row>
    <row r="8015" spans="1:13" s="21" customFormat="1" x14ac:dyDescent="0.25">
      <c r="A8015" s="22" t="s">
        <v>8</v>
      </c>
      <c r="B8015" s="18" t="str">
        <f>"285289"</f>
        <v>285289</v>
      </c>
      <c r="C8015" s="19" t="s">
        <v>7894</v>
      </c>
      <c r="D8015" s="19" t="s">
        <v>23434</v>
      </c>
      <c r="E8015" s="19" t="s">
        <v>33762</v>
      </c>
      <c r="F8015" s="19" t="s">
        <v>36001</v>
      </c>
      <c r="G8015" s="18" t="str">
        <f>"68154"</f>
        <v>68154</v>
      </c>
      <c r="H8015" s="19" t="s">
        <v>30966</v>
      </c>
      <c r="I8015" s="20">
        <v>17.66</v>
      </c>
      <c r="J8015" s="44" t="s">
        <v>8</v>
      </c>
      <c r="K8015" s="23" t="s">
        <v>8</v>
      </c>
      <c r="L8015" s="23" t="s">
        <v>8</v>
      </c>
      <c r="M8015" s="23" t="s">
        <v>8</v>
      </c>
    </row>
    <row r="8016" spans="1:13" s="21" customFormat="1" x14ac:dyDescent="0.25">
      <c r="A8016" s="22" t="s">
        <v>8</v>
      </c>
      <c r="B8016" s="18" t="str">
        <f>"285290"</f>
        <v>285290</v>
      </c>
      <c r="C8016" s="19" t="s">
        <v>7895</v>
      </c>
      <c r="D8016" s="19" t="s">
        <v>23435</v>
      </c>
      <c r="E8016" s="19" t="s">
        <v>32515</v>
      </c>
      <c r="F8016" s="19" t="s">
        <v>36001</v>
      </c>
      <c r="G8016" s="18" t="str">
        <f>"69162"</f>
        <v>69162</v>
      </c>
      <c r="H8016" s="19" t="s">
        <v>35701</v>
      </c>
      <c r="I8016" s="20">
        <v>18.39</v>
      </c>
      <c r="J8016" s="44" t="s">
        <v>8</v>
      </c>
      <c r="K8016" s="23" t="s">
        <v>8</v>
      </c>
      <c r="L8016" s="23" t="s">
        <v>8</v>
      </c>
      <c r="M8016" s="23" t="s">
        <v>8</v>
      </c>
    </row>
    <row r="8017" spans="1:13" s="21" customFormat="1" x14ac:dyDescent="0.25">
      <c r="A8017" s="22" t="s">
        <v>8</v>
      </c>
      <c r="B8017" s="18" t="str">
        <f>"285291"</f>
        <v>285291</v>
      </c>
      <c r="C8017" s="19" t="s">
        <v>7896</v>
      </c>
      <c r="D8017" s="19" t="s">
        <v>23436</v>
      </c>
      <c r="E8017" s="19" t="s">
        <v>31715</v>
      </c>
      <c r="F8017" s="19" t="s">
        <v>36001</v>
      </c>
      <c r="G8017" s="18" t="str">
        <f>"68601"</f>
        <v>68601</v>
      </c>
      <c r="H8017" s="19" t="s">
        <v>36520</v>
      </c>
      <c r="I8017" s="20">
        <v>17.393999999999998</v>
      </c>
      <c r="J8017" s="44" t="s">
        <v>8</v>
      </c>
      <c r="K8017" s="23" t="s">
        <v>8</v>
      </c>
      <c r="L8017" s="23" t="s">
        <v>8</v>
      </c>
      <c r="M8017" s="23" t="s">
        <v>8</v>
      </c>
    </row>
    <row r="8018" spans="1:13" s="21" customFormat="1" x14ac:dyDescent="0.25">
      <c r="A8018" s="22" t="s">
        <v>8</v>
      </c>
      <c r="B8018" s="18" t="str">
        <f>"285292"</f>
        <v>285292</v>
      </c>
      <c r="C8018" s="19" t="s">
        <v>7897</v>
      </c>
      <c r="D8018" s="19" t="s">
        <v>23437</v>
      </c>
      <c r="E8018" s="19" t="s">
        <v>33794</v>
      </c>
      <c r="F8018" s="19" t="s">
        <v>36001</v>
      </c>
      <c r="G8018" s="18" t="str">
        <f>"68826"</f>
        <v>68826</v>
      </c>
      <c r="H8018" s="19" t="s">
        <v>36557</v>
      </c>
      <c r="I8018" s="20">
        <v>18.995999999999999</v>
      </c>
      <c r="J8018" s="44" t="s">
        <v>8</v>
      </c>
      <c r="K8018" s="23" t="s">
        <v>8</v>
      </c>
      <c r="L8018" s="23" t="s">
        <v>8</v>
      </c>
      <c r="M8018" s="23" t="s">
        <v>8</v>
      </c>
    </row>
    <row r="8019" spans="1:13" s="21" customFormat="1" x14ac:dyDescent="0.25">
      <c r="A8019" s="22" t="s">
        <v>8</v>
      </c>
      <c r="B8019" s="18" t="str">
        <f>"285293"</f>
        <v>285293</v>
      </c>
      <c r="C8019" s="19" t="s">
        <v>7898</v>
      </c>
      <c r="D8019" s="19" t="s">
        <v>23438</v>
      </c>
      <c r="E8019" s="19" t="s">
        <v>33826</v>
      </c>
      <c r="F8019" s="19" t="s">
        <v>36001</v>
      </c>
      <c r="G8019" s="18" t="str">
        <f>"68133"</f>
        <v>68133</v>
      </c>
      <c r="H8019" s="19" t="s">
        <v>36555</v>
      </c>
      <c r="I8019" s="20">
        <v>17.733000000000001</v>
      </c>
      <c r="J8019" s="44" t="s">
        <v>8</v>
      </c>
      <c r="K8019" s="23" t="s">
        <v>8</v>
      </c>
      <c r="L8019" s="23" t="s">
        <v>8</v>
      </c>
      <c r="M8019" s="23" t="s">
        <v>8</v>
      </c>
    </row>
    <row r="8020" spans="1:13" s="21" customFormat="1" x14ac:dyDescent="0.25">
      <c r="A8020" s="22" t="s">
        <v>8</v>
      </c>
      <c r="B8020" s="18" t="str">
        <f>"295001"</f>
        <v>295001</v>
      </c>
      <c r="C8020" s="19" t="s">
        <v>7899</v>
      </c>
      <c r="D8020" s="19" t="s">
        <v>23439</v>
      </c>
      <c r="E8020" s="19" t="s">
        <v>31312</v>
      </c>
      <c r="F8020" s="19" t="s">
        <v>36002</v>
      </c>
      <c r="G8020" s="18" t="str">
        <f>"89415"</f>
        <v>89415</v>
      </c>
      <c r="H8020" s="19" t="s">
        <v>36568</v>
      </c>
      <c r="I8020" s="20">
        <v>18.867999999999999</v>
      </c>
      <c r="J8020" s="44" t="s">
        <v>8</v>
      </c>
      <c r="K8020" s="23" t="s">
        <v>8</v>
      </c>
      <c r="L8020" s="23" t="s">
        <v>8</v>
      </c>
      <c r="M8020" s="23" t="s">
        <v>8</v>
      </c>
    </row>
    <row r="8021" spans="1:13" s="21" customFormat="1" x14ac:dyDescent="0.25">
      <c r="A8021" s="22" t="s">
        <v>8</v>
      </c>
      <c r="B8021" s="18" t="str">
        <f>"295006"</f>
        <v>295006</v>
      </c>
      <c r="C8021" s="19" t="s">
        <v>7900</v>
      </c>
      <c r="D8021" s="19" t="s">
        <v>23440</v>
      </c>
      <c r="E8021" s="19" t="s">
        <v>33837</v>
      </c>
      <c r="F8021" s="19" t="s">
        <v>36002</v>
      </c>
      <c r="G8021" s="18" t="str">
        <f>"89109"</f>
        <v>89109</v>
      </c>
      <c r="H8021" s="19" t="s">
        <v>33967</v>
      </c>
      <c r="I8021" s="20">
        <v>22.707000000000001</v>
      </c>
      <c r="J8021" s="44" t="s">
        <v>8</v>
      </c>
      <c r="K8021" s="23" t="s">
        <v>8</v>
      </c>
      <c r="L8021" s="23" t="s">
        <v>8</v>
      </c>
      <c r="M8021" s="23" t="s">
        <v>8</v>
      </c>
    </row>
    <row r="8022" spans="1:13" s="21" customFormat="1" x14ac:dyDescent="0.25">
      <c r="A8022" s="22" t="s">
        <v>8</v>
      </c>
      <c r="B8022" s="18" t="str">
        <f>"295008"</f>
        <v>295008</v>
      </c>
      <c r="C8022" s="19" t="s">
        <v>7901</v>
      </c>
      <c r="D8022" s="19" t="s">
        <v>23441</v>
      </c>
      <c r="E8022" s="19" t="s">
        <v>33837</v>
      </c>
      <c r="F8022" s="19" t="s">
        <v>36002</v>
      </c>
      <c r="G8022" s="18" t="str">
        <f>"89130"</f>
        <v>89130</v>
      </c>
      <c r="H8022" s="19" t="s">
        <v>33967</v>
      </c>
      <c r="I8022" s="20">
        <v>17.995999999999999</v>
      </c>
      <c r="J8022" s="44" t="s">
        <v>8</v>
      </c>
      <c r="K8022" s="23" t="s">
        <v>8</v>
      </c>
      <c r="L8022" s="23" t="s">
        <v>8</v>
      </c>
      <c r="M8022" s="23" t="s">
        <v>8</v>
      </c>
    </row>
    <row r="8023" spans="1:13" s="21" customFormat="1" x14ac:dyDescent="0.25">
      <c r="A8023" s="22" t="s">
        <v>8</v>
      </c>
      <c r="B8023" s="18" t="str">
        <f>"295011"</f>
        <v>295011</v>
      </c>
      <c r="C8023" s="19" t="s">
        <v>7902</v>
      </c>
      <c r="D8023" s="19" t="s">
        <v>23442</v>
      </c>
      <c r="E8023" s="19" t="s">
        <v>33838</v>
      </c>
      <c r="F8023" s="19" t="s">
        <v>36002</v>
      </c>
      <c r="G8023" s="18" t="str">
        <f>"89447"</f>
        <v>89447</v>
      </c>
      <c r="H8023" s="19" t="s">
        <v>36274</v>
      </c>
      <c r="I8023" s="20">
        <v>19.308</v>
      </c>
      <c r="J8023" s="44" t="s">
        <v>8</v>
      </c>
      <c r="K8023" s="23" t="s">
        <v>8</v>
      </c>
      <c r="L8023" s="23" t="s">
        <v>8</v>
      </c>
      <c r="M8023" s="23" t="s">
        <v>8</v>
      </c>
    </row>
    <row r="8024" spans="1:13" s="21" customFormat="1" x14ac:dyDescent="0.25">
      <c r="A8024" s="22" t="s">
        <v>8</v>
      </c>
      <c r="B8024" s="18" t="str">
        <f>"295017"</f>
        <v>295017</v>
      </c>
      <c r="C8024" s="19" t="s">
        <v>7903</v>
      </c>
      <c r="D8024" s="19" t="s">
        <v>23443</v>
      </c>
      <c r="E8024" s="19" t="s">
        <v>33837</v>
      </c>
      <c r="F8024" s="19" t="s">
        <v>36002</v>
      </c>
      <c r="G8024" s="18" t="str">
        <f>"89106"</f>
        <v>89106</v>
      </c>
      <c r="H8024" s="19" t="s">
        <v>33967</v>
      </c>
      <c r="I8024" s="20">
        <v>18.329000000000001</v>
      </c>
      <c r="J8024" s="44" t="s">
        <v>8</v>
      </c>
      <c r="K8024" s="23" t="s">
        <v>8</v>
      </c>
      <c r="L8024" s="23" t="s">
        <v>8</v>
      </c>
      <c r="M8024" s="23" t="s">
        <v>8</v>
      </c>
    </row>
    <row r="8025" spans="1:13" s="21" customFormat="1" x14ac:dyDescent="0.25">
      <c r="A8025" s="22" t="s">
        <v>8</v>
      </c>
      <c r="B8025" s="18" t="str">
        <f>"295020"</f>
        <v>295020</v>
      </c>
      <c r="C8025" s="19" t="s">
        <v>7904</v>
      </c>
      <c r="D8025" s="19" t="s">
        <v>23444</v>
      </c>
      <c r="E8025" s="19" t="s">
        <v>33839</v>
      </c>
      <c r="F8025" s="19" t="s">
        <v>36002</v>
      </c>
      <c r="G8025" s="18" t="str">
        <f>"89512"</f>
        <v>89512</v>
      </c>
      <c r="H8025" s="19" t="s">
        <v>36569</v>
      </c>
      <c r="I8025" s="20">
        <v>23.318000000000001</v>
      </c>
      <c r="J8025" s="44" t="s">
        <v>8</v>
      </c>
      <c r="K8025" s="23" t="s">
        <v>8</v>
      </c>
      <c r="L8025" s="23" t="s">
        <v>8</v>
      </c>
      <c r="M8025" s="23" t="s">
        <v>8</v>
      </c>
    </row>
    <row r="8026" spans="1:13" s="21" customFormat="1" x14ac:dyDescent="0.25">
      <c r="A8026" s="22" t="s">
        <v>8</v>
      </c>
      <c r="B8026" s="18" t="str">
        <f>"295021"</f>
        <v>295021</v>
      </c>
      <c r="C8026" s="19" t="s">
        <v>7905</v>
      </c>
      <c r="D8026" s="19" t="s">
        <v>23445</v>
      </c>
      <c r="E8026" s="19" t="s">
        <v>33837</v>
      </c>
      <c r="F8026" s="19" t="s">
        <v>36002</v>
      </c>
      <c r="G8026" s="18" t="str">
        <f>"89169"</f>
        <v>89169</v>
      </c>
      <c r="H8026" s="19" t="s">
        <v>33967</v>
      </c>
      <c r="I8026" s="20">
        <v>21.218</v>
      </c>
      <c r="J8026" s="44" t="s">
        <v>8</v>
      </c>
      <c r="K8026" s="23" t="s">
        <v>8</v>
      </c>
      <c r="L8026" s="23" t="s">
        <v>8</v>
      </c>
      <c r="M8026" s="23" t="s">
        <v>8</v>
      </c>
    </row>
    <row r="8027" spans="1:13" s="21" customFormat="1" x14ac:dyDescent="0.25">
      <c r="A8027" s="22" t="s">
        <v>8</v>
      </c>
      <c r="B8027" s="18" t="str">
        <f>"295023"</f>
        <v>295023</v>
      </c>
      <c r="C8027" s="19" t="s">
        <v>7906</v>
      </c>
      <c r="D8027" s="19" t="s">
        <v>23446</v>
      </c>
      <c r="E8027" s="19" t="s">
        <v>33307</v>
      </c>
      <c r="F8027" s="19" t="s">
        <v>36002</v>
      </c>
      <c r="G8027" s="18" t="str">
        <f>"89701"</f>
        <v>89701</v>
      </c>
      <c r="H8027" s="19" t="s">
        <v>33307</v>
      </c>
      <c r="I8027" s="20">
        <v>20.228999999999999</v>
      </c>
      <c r="J8027" s="44" t="s">
        <v>8</v>
      </c>
      <c r="K8027" s="23" t="s">
        <v>8</v>
      </c>
      <c r="L8027" s="23" t="s">
        <v>8</v>
      </c>
      <c r="M8027" s="23" t="s">
        <v>8</v>
      </c>
    </row>
    <row r="8028" spans="1:13" s="21" customFormat="1" x14ac:dyDescent="0.25">
      <c r="A8028" s="22" t="s">
        <v>8</v>
      </c>
      <c r="B8028" s="18" t="str">
        <f>"295024"</f>
        <v>295024</v>
      </c>
      <c r="C8028" s="19" t="s">
        <v>7907</v>
      </c>
      <c r="D8028" s="19" t="s">
        <v>23447</v>
      </c>
      <c r="E8028" s="19" t="s">
        <v>33840</v>
      </c>
      <c r="F8028" s="19" t="s">
        <v>36002</v>
      </c>
      <c r="G8028" s="18" t="str">
        <f>"89445"</f>
        <v>89445</v>
      </c>
      <c r="H8028" s="19" t="s">
        <v>32530</v>
      </c>
      <c r="I8028" s="20">
        <v>18.378</v>
      </c>
      <c r="J8028" s="44" t="s">
        <v>8</v>
      </c>
      <c r="K8028" s="23" t="s">
        <v>8</v>
      </c>
      <c r="L8028" s="23" t="s">
        <v>8</v>
      </c>
      <c r="M8028" s="23" t="s">
        <v>8</v>
      </c>
    </row>
    <row r="8029" spans="1:13" s="21" customFormat="1" x14ac:dyDescent="0.25">
      <c r="A8029" s="22" t="s">
        <v>8</v>
      </c>
      <c r="B8029" s="18" t="str">
        <f>"295029"</f>
        <v>295029</v>
      </c>
      <c r="C8029" s="19" t="s">
        <v>7908</v>
      </c>
      <c r="D8029" s="19" t="s">
        <v>23448</v>
      </c>
      <c r="E8029" s="19" t="s">
        <v>33329</v>
      </c>
      <c r="F8029" s="19" t="s">
        <v>36002</v>
      </c>
      <c r="G8029" s="18" t="str">
        <f>"89301"</f>
        <v>89301</v>
      </c>
      <c r="H8029" s="19" t="s">
        <v>36570</v>
      </c>
      <c r="I8029" s="20">
        <v>16.905999999999999</v>
      </c>
      <c r="J8029" s="44" t="s">
        <v>8</v>
      </c>
      <c r="K8029" s="23" t="s">
        <v>8</v>
      </c>
      <c r="L8029" s="23" t="s">
        <v>8</v>
      </c>
      <c r="M8029" s="23" t="s">
        <v>8</v>
      </c>
    </row>
    <row r="8030" spans="1:13" s="21" customFormat="1" x14ac:dyDescent="0.25">
      <c r="A8030" s="22" t="s">
        <v>8</v>
      </c>
      <c r="B8030" s="18" t="str">
        <f>"295034"</f>
        <v>295034</v>
      </c>
      <c r="C8030" s="19" t="s">
        <v>7909</v>
      </c>
      <c r="D8030" s="19" t="s">
        <v>23449</v>
      </c>
      <c r="E8030" s="19" t="s">
        <v>33841</v>
      </c>
      <c r="F8030" s="19" t="s">
        <v>36002</v>
      </c>
      <c r="G8030" s="18" t="str">
        <f>"89431"</f>
        <v>89431</v>
      </c>
      <c r="H8030" s="19" t="s">
        <v>36569</v>
      </c>
      <c r="I8030" s="20">
        <v>22.116</v>
      </c>
      <c r="J8030" s="44" t="s">
        <v>8</v>
      </c>
      <c r="K8030" s="23" t="s">
        <v>8</v>
      </c>
      <c r="L8030" s="23" t="s">
        <v>8</v>
      </c>
      <c r="M8030" s="23" t="s">
        <v>8</v>
      </c>
    </row>
    <row r="8031" spans="1:13" s="21" customFormat="1" x14ac:dyDescent="0.25">
      <c r="A8031" s="22" t="s">
        <v>8</v>
      </c>
      <c r="B8031" s="18" t="str">
        <f>"295036"</f>
        <v>295036</v>
      </c>
      <c r="C8031" s="19" t="s">
        <v>7910</v>
      </c>
      <c r="D8031" s="19" t="s">
        <v>23450</v>
      </c>
      <c r="E8031" s="19" t="s">
        <v>33842</v>
      </c>
      <c r="F8031" s="19" t="s">
        <v>36002</v>
      </c>
      <c r="G8031" s="18" t="str">
        <f>"89030"</f>
        <v>89030</v>
      </c>
      <c r="H8031" s="19" t="s">
        <v>33967</v>
      </c>
      <c r="I8031" s="20">
        <v>17.056999999999999</v>
      </c>
      <c r="J8031" s="44" t="s">
        <v>8</v>
      </c>
      <c r="K8031" s="23" t="s">
        <v>8</v>
      </c>
      <c r="L8031" s="23" t="s">
        <v>8</v>
      </c>
      <c r="M8031" s="23" t="s">
        <v>8</v>
      </c>
    </row>
    <row r="8032" spans="1:13" s="21" customFormat="1" x14ac:dyDescent="0.25">
      <c r="A8032" s="22" t="s">
        <v>8</v>
      </c>
      <c r="B8032" s="18" t="str">
        <f>"295037"</f>
        <v>295037</v>
      </c>
      <c r="C8032" s="19" t="s">
        <v>7911</v>
      </c>
      <c r="D8032" s="19" t="s">
        <v>23451</v>
      </c>
      <c r="E8032" s="19" t="s">
        <v>32699</v>
      </c>
      <c r="F8032" s="19" t="s">
        <v>36002</v>
      </c>
      <c r="G8032" s="18" t="str">
        <f>"89015"</f>
        <v>89015</v>
      </c>
      <c r="H8032" s="19" t="s">
        <v>33967</v>
      </c>
      <c r="I8032" s="20">
        <v>18.776</v>
      </c>
      <c r="J8032" s="44" t="s">
        <v>8</v>
      </c>
      <c r="K8032" s="23" t="s">
        <v>8</v>
      </c>
      <c r="L8032" s="23" t="s">
        <v>8</v>
      </c>
      <c r="M8032" s="23" t="s">
        <v>8</v>
      </c>
    </row>
    <row r="8033" spans="1:13" s="21" customFormat="1" x14ac:dyDescent="0.25">
      <c r="A8033" s="22" t="s">
        <v>8</v>
      </c>
      <c r="B8033" s="18" t="str">
        <f>"295040"</f>
        <v>295040</v>
      </c>
      <c r="C8033" s="19" t="s">
        <v>7912</v>
      </c>
      <c r="D8033" s="19" t="s">
        <v>23452</v>
      </c>
      <c r="E8033" s="19" t="s">
        <v>33837</v>
      </c>
      <c r="F8033" s="19" t="s">
        <v>36002</v>
      </c>
      <c r="G8033" s="18" t="str">
        <f>"89102"</f>
        <v>89102</v>
      </c>
      <c r="H8033" s="19" t="s">
        <v>33967</v>
      </c>
      <c r="I8033" s="20">
        <v>18.617999999999999</v>
      </c>
      <c r="J8033" s="44" t="s">
        <v>8</v>
      </c>
      <c r="K8033" s="23" t="s">
        <v>8</v>
      </c>
      <c r="L8033" s="23" t="s">
        <v>8</v>
      </c>
      <c r="M8033" s="23" t="s">
        <v>8</v>
      </c>
    </row>
    <row r="8034" spans="1:13" s="21" customFormat="1" x14ac:dyDescent="0.25">
      <c r="A8034" s="22" t="s">
        <v>8</v>
      </c>
      <c r="B8034" s="18" t="str">
        <f>"295041"</f>
        <v>295041</v>
      </c>
      <c r="C8034" s="19" t="s">
        <v>7913</v>
      </c>
      <c r="D8034" s="19" t="s">
        <v>23453</v>
      </c>
      <c r="E8034" s="19" t="s">
        <v>32699</v>
      </c>
      <c r="F8034" s="19" t="s">
        <v>36002</v>
      </c>
      <c r="G8034" s="18" t="str">
        <f>"89014"</f>
        <v>89014</v>
      </c>
      <c r="H8034" s="19" t="s">
        <v>33967</v>
      </c>
      <c r="I8034" s="20">
        <v>18.856999999999999</v>
      </c>
      <c r="J8034" s="44" t="s">
        <v>8</v>
      </c>
      <c r="K8034" s="23" t="s">
        <v>8</v>
      </c>
      <c r="L8034" s="23" t="s">
        <v>8</v>
      </c>
      <c r="M8034" s="23" t="s">
        <v>8</v>
      </c>
    </row>
    <row r="8035" spans="1:13" s="21" customFormat="1" x14ac:dyDescent="0.25">
      <c r="A8035" s="22" t="s">
        <v>8</v>
      </c>
      <c r="B8035" s="18" t="str">
        <f>"295043"</f>
        <v>295043</v>
      </c>
      <c r="C8035" s="19" t="s">
        <v>7914</v>
      </c>
      <c r="D8035" s="19" t="s">
        <v>23454</v>
      </c>
      <c r="E8035" s="19" t="s">
        <v>33839</v>
      </c>
      <c r="F8035" s="19" t="s">
        <v>36002</v>
      </c>
      <c r="G8035" s="18" t="str">
        <f>"89509"</f>
        <v>89509</v>
      </c>
      <c r="H8035" s="19" t="s">
        <v>36569</v>
      </c>
      <c r="I8035" s="20">
        <v>20.599</v>
      </c>
      <c r="J8035" s="44" t="s">
        <v>8</v>
      </c>
      <c r="K8035" s="23" t="s">
        <v>8</v>
      </c>
      <c r="L8035" s="23" t="s">
        <v>8</v>
      </c>
      <c r="M8035" s="23" t="s">
        <v>8</v>
      </c>
    </row>
    <row r="8036" spans="1:13" s="21" customFormat="1" x14ac:dyDescent="0.25">
      <c r="A8036" s="22" t="s">
        <v>8</v>
      </c>
      <c r="B8036" s="18" t="str">
        <f>"295044"</f>
        <v>295044</v>
      </c>
      <c r="C8036" s="19" t="s">
        <v>7915</v>
      </c>
      <c r="D8036" s="19" t="s">
        <v>23455</v>
      </c>
      <c r="E8036" s="19" t="s">
        <v>33841</v>
      </c>
      <c r="F8036" s="19" t="s">
        <v>36002</v>
      </c>
      <c r="G8036" s="18" t="str">
        <f>"89434"</f>
        <v>89434</v>
      </c>
      <c r="H8036" s="19" t="s">
        <v>36569</v>
      </c>
      <c r="I8036" s="20">
        <v>24.812999999999999</v>
      </c>
      <c r="J8036" s="44" t="s">
        <v>8</v>
      </c>
      <c r="K8036" s="23" t="s">
        <v>8</v>
      </c>
      <c r="L8036" s="23" t="s">
        <v>8</v>
      </c>
      <c r="M8036" s="23" t="s">
        <v>8</v>
      </c>
    </row>
    <row r="8037" spans="1:13" s="21" customFormat="1" x14ac:dyDescent="0.25">
      <c r="A8037" s="22" t="s">
        <v>8</v>
      </c>
      <c r="B8037" s="18" t="str">
        <f>"295045"</f>
        <v>295045</v>
      </c>
      <c r="C8037" s="19" t="s">
        <v>7916</v>
      </c>
      <c r="D8037" s="19" t="s">
        <v>23456</v>
      </c>
      <c r="E8037" s="19" t="s">
        <v>33837</v>
      </c>
      <c r="F8037" s="19" t="s">
        <v>36002</v>
      </c>
      <c r="G8037" s="18" t="str">
        <f>"89146"</f>
        <v>89146</v>
      </c>
      <c r="H8037" s="19" t="s">
        <v>33967</v>
      </c>
      <c r="I8037" s="20">
        <v>19.178000000000001</v>
      </c>
      <c r="J8037" s="44" t="s">
        <v>8</v>
      </c>
      <c r="K8037" s="23" t="s">
        <v>8</v>
      </c>
      <c r="L8037" s="23" t="s">
        <v>8</v>
      </c>
      <c r="M8037" s="23" t="s">
        <v>8</v>
      </c>
    </row>
    <row r="8038" spans="1:13" s="21" customFormat="1" x14ac:dyDescent="0.25">
      <c r="A8038" s="22" t="s">
        <v>8</v>
      </c>
      <c r="B8038" s="18" t="str">
        <f>"295046"</f>
        <v>295046</v>
      </c>
      <c r="C8038" s="19" t="s">
        <v>7917</v>
      </c>
      <c r="D8038" s="19" t="s">
        <v>23457</v>
      </c>
      <c r="E8038" s="19" t="s">
        <v>33843</v>
      </c>
      <c r="F8038" s="19" t="s">
        <v>36002</v>
      </c>
      <c r="G8038" s="18" t="str">
        <f>"89005"</f>
        <v>89005</v>
      </c>
      <c r="H8038" s="19" t="s">
        <v>33967</v>
      </c>
      <c r="I8038" s="20">
        <v>18.603999999999999</v>
      </c>
      <c r="J8038" s="44" t="s">
        <v>8</v>
      </c>
      <c r="K8038" s="23" t="s">
        <v>8</v>
      </c>
      <c r="L8038" s="23" t="s">
        <v>8</v>
      </c>
      <c r="M8038" s="23" t="s">
        <v>8</v>
      </c>
    </row>
    <row r="8039" spans="1:13" s="21" customFormat="1" x14ac:dyDescent="0.25">
      <c r="A8039" s="22" t="s">
        <v>8</v>
      </c>
      <c r="B8039" s="18" t="str">
        <f>"295050"</f>
        <v>295050</v>
      </c>
      <c r="C8039" s="19" t="s">
        <v>7918</v>
      </c>
      <c r="D8039" s="19" t="s">
        <v>23458</v>
      </c>
      <c r="E8039" s="19" t="s">
        <v>33839</v>
      </c>
      <c r="F8039" s="19" t="s">
        <v>36002</v>
      </c>
      <c r="G8039" s="18" t="str">
        <f>"89511"</f>
        <v>89511</v>
      </c>
      <c r="H8039" s="19" t="s">
        <v>36569</v>
      </c>
      <c r="I8039" s="20">
        <v>14.247</v>
      </c>
      <c r="J8039" s="44" t="s">
        <v>8</v>
      </c>
      <c r="K8039" s="23" t="s">
        <v>8</v>
      </c>
      <c r="L8039" s="23" t="s">
        <v>8</v>
      </c>
      <c r="M8039" s="23" t="s">
        <v>8</v>
      </c>
    </row>
    <row r="8040" spans="1:13" s="21" customFormat="1" x14ac:dyDescent="0.25">
      <c r="A8040" s="22" t="s">
        <v>8</v>
      </c>
      <c r="B8040" s="18" t="str">
        <f>"295052"</f>
        <v>295052</v>
      </c>
      <c r="C8040" s="19" t="s">
        <v>7919</v>
      </c>
      <c r="D8040" s="19" t="s">
        <v>23459</v>
      </c>
      <c r="E8040" s="19" t="s">
        <v>33837</v>
      </c>
      <c r="F8040" s="19" t="s">
        <v>36002</v>
      </c>
      <c r="G8040" s="18" t="str">
        <f>"89108"</f>
        <v>89108</v>
      </c>
      <c r="H8040" s="19" t="s">
        <v>33967</v>
      </c>
      <c r="I8040" s="20">
        <v>19.963999999999999</v>
      </c>
      <c r="J8040" s="44" t="s">
        <v>8</v>
      </c>
      <c r="K8040" s="23" t="s">
        <v>8</v>
      </c>
      <c r="L8040" s="23" t="s">
        <v>8</v>
      </c>
      <c r="M8040" s="23" t="s">
        <v>8</v>
      </c>
    </row>
    <row r="8041" spans="1:13" s="21" customFormat="1" x14ac:dyDescent="0.25">
      <c r="A8041" s="22" t="s">
        <v>8</v>
      </c>
      <c r="B8041" s="18" t="str">
        <f>"295055"</f>
        <v>295055</v>
      </c>
      <c r="C8041" s="19" t="s">
        <v>7920</v>
      </c>
      <c r="D8041" s="19" t="s">
        <v>23460</v>
      </c>
      <c r="E8041" s="19" t="s">
        <v>33842</v>
      </c>
      <c r="F8041" s="19" t="s">
        <v>36002</v>
      </c>
      <c r="G8041" s="18" t="str">
        <f>"89030"</f>
        <v>89030</v>
      </c>
      <c r="H8041" s="19" t="s">
        <v>33967</v>
      </c>
      <c r="I8041" s="20">
        <v>20.202999999999999</v>
      </c>
      <c r="J8041" s="44" t="s">
        <v>8</v>
      </c>
      <c r="K8041" s="23" t="s">
        <v>8</v>
      </c>
      <c r="L8041" s="23" t="s">
        <v>8</v>
      </c>
      <c r="M8041" s="23" t="s">
        <v>8</v>
      </c>
    </row>
    <row r="8042" spans="1:13" s="21" customFormat="1" x14ac:dyDescent="0.25">
      <c r="A8042" s="22" t="s">
        <v>8</v>
      </c>
      <c r="B8042" s="18" t="str">
        <f>"295066"</f>
        <v>295066</v>
      </c>
      <c r="C8042" s="19" t="s">
        <v>7921</v>
      </c>
      <c r="D8042" s="19" t="s">
        <v>23461</v>
      </c>
      <c r="E8042" s="19" t="s">
        <v>33837</v>
      </c>
      <c r="F8042" s="19" t="s">
        <v>36002</v>
      </c>
      <c r="G8042" s="18" t="str">
        <f>"89129"</f>
        <v>89129</v>
      </c>
      <c r="H8042" s="19" t="s">
        <v>33967</v>
      </c>
      <c r="I8042" s="20">
        <v>17.988</v>
      </c>
      <c r="J8042" s="44" t="s">
        <v>8</v>
      </c>
      <c r="K8042" s="23" t="s">
        <v>8</v>
      </c>
      <c r="L8042" s="23" t="s">
        <v>8</v>
      </c>
      <c r="M8042" s="23" t="s">
        <v>8</v>
      </c>
    </row>
    <row r="8043" spans="1:13" s="21" customFormat="1" x14ac:dyDescent="0.25">
      <c r="A8043" s="22" t="s">
        <v>8</v>
      </c>
      <c r="B8043" s="18" t="str">
        <f>"295067"</f>
        <v>295067</v>
      </c>
      <c r="C8043" s="19" t="s">
        <v>7922</v>
      </c>
      <c r="D8043" s="19" t="s">
        <v>23462</v>
      </c>
      <c r="E8043" s="19" t="s">
        <v>33307</v>
      </c>
      <c r="F8043" s="19" t="s">
        <v>36002</v>
      </c>
      <c r="G8043" s="18" t="str">
        <f>"89703"</f>
        <v>89703</v>
      </c>
      <c r="H8043" s="19" t="s">
        <v>33307</v>
      </c>
      <c r="I8043" s="20">
        <v>20.864000000000001</v>
      </c>
      <c r="J8043" s="44" t="s">
        <v>8</v>
      </c>
      <c r="K8043" s="23" t="s">
        <v>8</v>
      </c>
      <c r="L8043" s="23" t="s">
        <v>8</v>
      </c>
      <c r="M8043" s="23" t="s">
        <v>8</v>
      </c>
    </row>
    <row r="8044" spans="1:13" s="21" customFormat="1" x14ac:dyDescent="0.25">
      <c r="A8044" s="22" t="s">
        <v>8</v>
      </c>
      <c r="B8044" s="18" t="str">
        <f>"295068"</f>
        <v>295068</v>
      </c>
      <c r="C8044" s="19" t="s">
        <v>7923</v>
      </c>
      <c r="D8044" s="19" t="s">
        <v>23463</v>
      </c>
      <c r="E8044" s="19" t="s">
        <v>33844</v>
      </c>
      <c r="F8044" s="19" t="s">
        <v>36002</v>
      </c>
      <c r="G8044" s="18" t="str">
        <f>"89027"</f>
        <v>89027</v>
      </c>
      <c r="H8044" s="19" t="s">
        <v>33967</v>
      </c>
      <c r="I8044" s="20">
        <v>19.295999999999999</v>
      </c>
      <c r="J8044" s="44" t="s">
        <v>8</v>
      </c>
      <c r="K8044" s="23" t="s">
        <v>8</v>
      </c>
      <c r="L8044" s="23" t="s">
        <v>8</v>
      </c>
      <c r="M8044" s="23" t="s">
        <v>8</v>
      </c>
    </row>
    <row r="8045" spans="1:13" s="21" customFormat="1" x14ac:dyDescent="0.25">
      <c r="A8045" s="22" t="s">
        <v>8</v>
      </c>
      <c r="B8045" s="18" t="str">
        <f>"295070"</f>
        <v>295070</v>
      </c>
      <c r="C8045" s="19" t="s">
        <v>7924</v>
      </c>
      <c r="D8045" s="19" t="s">
        <v>23464</v>
      </c>
      <c r="E8045" s="19" t="s">
        <v>33837</v>
      </c>
      <c r="F8045" s="19" t="s">
        <v>36002</v>
      </c>
      <c r="G8045" s="18" t="str">
        <f>"89108"</f>
        <v>89108</v>
      </c>
      <c r="H8045" s="19" t="s">
        <v>33967</v>
      </c>
      <c r="I8045" s="20">
        <v>19.545000000000002</v>
      </c>
      <c r="J8045" s="44" t="s">
        <v>8</v>
      </c>
      <c r="K8045" s="23" t="s">
        <v>8</v>
      </c>
      <c r="L8045" s="23" t="s">
        <v>8</v>
      </c>
      <c r="M8045" s="23" t="s">
        <v>8</v>
      </c>
    </row>
    <row r="8046" spans="1:13" s="21" customFormat="1" x14ac:dyDescent="0.25">
      <c r="A8046" s="22" t="s">
        <v>8</v>
      </c>
      <c r="B8046" s="18" t="str">
        <f>"295071"</f>
        <v>295071</v>
      </c>
      <c r="C8046" s="19" t="s">
        <v>7925</v>
      </c>
      <c r="D8046" s="19" t="s">
        <v>23465</v>
      </c>
      <c r="E8046" s="19" t="s">
        <v>32699</v>
      </c>
      <c r="F8046" s="19" t="s">
        <v>36002</v>
      </c>
      <c r="G8046" s="18" t="str">
        <f>"89014"</f>
        <v>89014</v>
      </c>
      <c r="H8046" s="19" t="s">
        <v>33967</v>
      </c>
      <c r="I8046" s="20">
        <v>19.734000000000002</v>
      </c>
      <c r="J8046" s="44" t="s">
        <v>8</v>
      </c>
      <c r="K8046" s="23" t="s">
        <v>8</v>
      </c>
      <c r="L8046" s="23" t="s">
        <v>8</v>
      </c>
      <c r="M8046" s="23" t="s">
        <v>8</v>
      </c>
    </row>
    <row r="8047" spans="1:13" s="21" customFormat="1" x14ac:dyDescent="0.25">
      <c r="A8047" s="22" t="s">
        <v>8</v>
      </c>
      <c r="B8047" s="18" t="str">
        <f>"295072"</f>
        <v>295072</v>
      </c>
      <c r="C8047" s="19" t="s">
        <v>7926</v>
      </c>
      <c r="D8047" s="19" t="s">
        <v>23466</v>
      </c>
      <c r="E8047" s="19" t="s">
        <v>33837</v>
      </c>
      <c r="F8047" s="19" t="s">
        <v>36002</v>
      </c>
      <c r="G8047" s="18" t="str">
        <f>"89146"</f>
        <v>89146</v>
      </c>
      <c r="H8047" s="19" t="s">
        <v>33967</v>
      </c>
      <c r="I8047" s="20">
        <v>17.763999999999999</v>
      </c>
      <c r="J8047" s="44" t="s">
        <v>8</v>
      </c>
      <c r="K8047" s="23" t="s">
        <v>8</v>
      </c>
      <c r="L8047" s="23" t="s">
        <v>8</v>
      </c>
      <c r="M8047" s="23" t="s">
        <v>8</v>
      </c>
    </row>
    <row r="8048" spans="1:13" s="21" customFormat="1" x14ac:dyDescent="0.25">
      <c r="A8048" s="22" t="s">
        <v>8</v>
      </c>
      <c r="B8048" s="18" t="str">
        <f>"295073"</f>
        <v>295073</v>
      </c>
      <c r="C8048" s="19" t="s">
        <v>7927</v>
      </c>
      <c r="D8048" s="19" t="s">
        <v>23467</v>
      </c>
      <c r="E8048" s="19" t="s">
        <v>33837</v>
      </c>
      <c r="F8048" s="19" t="s">
        <v>36002</v>
      </c>
      <c r="G8048" s="18" t="str">
        <f>"89134"</f>
        <v>89134</v>
      </c>
      <c r="H8048" s="19" t="s">
        <v>33967</v>
      </c>
      <c r="I8048" s="20">
        <v>20.402999999999999</v>
      </c>
      <c r="J8048" s="44" t="s">
        <v>8</v>
      </c>
      <c r="K8048" s="23" t="s">
        <v>8</v>
      </c>
      <c r="L8048" s="23" t="s">
        <v>8</v>
      </c>
      <c r="M8048" s="23" t="s">
        <v>8</v>
      </c>
    </row>
    <row r="8049" spans="1:13" s="21" customFormat="1" x14ac:dyDescent="0.25">
      <c r="A8049" s="22" t="s">
        <v>8</v>
      </c>
      <c r="B8049" s="18" t="str">
        <f>"295075"</f>
        <v>295075</v>
      </c>
      <c r="C8049" s="19" t="s">
        <v>7928</v>
      </c>
      <c r="D8049" s="19" t="s">
        <v>23468</v>
      </c>
      <c r="E8049" s="19" t="s">
        <v>33845</v>
      </c>
      <c r="F8049" s="19" t="s">
        <v>36002</v>
      </c>
      <c r="G8049" s="18" t="str">
        <f>"89060"</f>
        <v>89060</v>
      </c>
      <c r="H8049" s="19" t="s">
        <v>36571</v>
      </c>
      <c r="I8049" s="20">
        <v>20.123000000000001</v>
      </c>
      <c r="J8049" s="44" t="s">
        <v>8</v>
      </c>
      <c r="K8049" s="23" t="s">
        <v>8</v>
      </c>
      <c r="L8049" s="23" t="s">
        <v>8</v>
      </c>
      <c r="M8049" s="23" t="s">
        <v>8</v>
      </c>
    </row>
    <row r="8050" spans="1:13" s="21" customFormat="1" x14ac:dyDescent="0.25">
      <c r="A8050" s="22" t="s">
        <v>8</v>
      </c>
      <c r="B8050" s="18" t="str">
        <f>"295076"</f>
        <v>295076</v>
      </c>
      <c r="C8050" s="19" t="s">
        <v>7929</v>
      </c>
      <c r="D8050" s="19" t="s">
        <v>23469</v>
      </c>
      <c r="E8050" s="19" t="s">
        <v>33837</v>
      </c>
      <c r="F8050" s="19" t="s">
        <v>36002</v>
      </c>
      <c r="G8050" s="18" t="str">
        <f>"89119"</f>
        <v>89119</v>
      </c>
      <c r="H8050" s="19" t="s">
        <v>33967</v>
      </c>
      <c r="I8050" s="20">
        <v>19.904</v>
      </c>
      <c r="J8050" s="44" t="s">
        <v>8</v>
      </c>
      <c r="K8050" s="23" t="s">
        <v>8</v>
      </c>
      <c r="L8050" s="23" t="s">
        <v>8</v>
      </c>
      <c r="M8050" s="23" t="s">
        <v>8</v>
      </c>
    </row>
    <row r="8051" spans="1:13" s="21" customFormat="1" x14ac:dyDescent="0.25">
      <c r="A8051" s="22" t="s">
        <v>8</v>
      </c>
      <c r="B8051" s="18" t="str">
        <f>"295077"</f>
        <v>295077</v>
      </c>
      <c r="C8051" s="19" t="s">
        <v>7930</v>
      </c>
      <c r="D8051" s="19" t="s">
        <v>23470</v>
      </c>
      <c r="E8051" s="19" t="s">
        <v>33839</v>
      </c>
      <c r="F8051" s="19" t="s">
        <v>36002</v>
      </c>
      <c r="G8051" s="18" t="str">
        <f>"89511"</f>
        <v>89511</v>
      </c>
      <c r="H8051" s="19" t="s">
        <v>36569</v>
      </c>
      <c r="I8051" s="20">
        <v>22.79</v>
      </c>
      <c r="J8051" s="44" t="s">
        <v>8</v>
      </c>
      <c r="K8051" s="23" t="s">
        <v>8</v>
      </c>
      <c r="L8051" s="23" t="s">
        <v>8</v>
      </c>
      <c r="M8051" s="23" t="s">
        <v>8</v>
      </c>
    </row>
    <row r="8052" spans="1:13" s="21" customFormat="1" x14ac:dyDescent="0.25">
      <c r="A8052" s="22" t="s">
        <v>8</v>
      </c>
      <c r="B8052" s="18" t="str">
        <f>"295078"</f>
        <v>295078</v>
      </c>
      <c r="C8052" s="19" t="s">
        <v>7931</v>
      </c>
      <c r="D8052" s="19" t="s">
        <v>23471</v>
      </c>
      <c r="E8052" s="19" t="s">
        <v>33846</v>
      </c>
      <c r="F8052" s="19" t="s">
        <v>36002</v>
      </c>
      <c r="G8052" s="18" t="str">
        <f>"89801"</f>
        <v>89801</v>
      </c>
      <c r="H8052" s="19" t="s">
        <v>33846</v>
      </c>
      <c r="I8052" s="20">
        <v>15.279</v>
      </c>
      <c r="J8052" s="44" t="s">
        <v>8</v>
      </c>
      <c r="K8052" s="23" t="s">
        <v>8</v>
      </c>
      <c r="L8052" s="23" t="s">
        <v>8</v>
      </c>
      <c r="M8052" s="23" t="s">
        <v>8</v>
      </c>
    </row>
    <row r="8053" spans="1:13" s="21" customFormat="1" x14ac:dyDescent="0.25">
      <c r="A8053" s="22" t="s">
        <v>8</v>
      </c>
      <c r="B8053" s="18" t="str">
        <f>"295079"</f>
        <v>295079</v>
      </c>
      <c r="C8053" s="19" t="s">
        <v>7932</v>
      </c>
      <c r="D8053" s="19" t="s">
        <v>23472</v>
      </c>
      <c r="E8053" s="19" t="s">
        <v>33307</v>
      </c>
      <c r="F8053" s="19" t="s">
        <v>36002</v>
      </c>
      <c r="G8053" s="18" t="str">
        <f>"89701"</f>
        <v>89701</v>
      </c>
      <c r="H8053" s="19" t="s">
        <v>33307</v>
      </c>
      <c r="I8053" s="20">
        <v>16.225000000000001</v>
      </c>
      <c r="J8053" s="44" t="s">
        <v>8</v>
      </c>
      <c r="K8053" s="23" t="s">
        <v>8</v>
      </c>
      <c r="L8053" s="23" t="s">
        <v>8</v>
      </c>
      <c r="M8053" s="23" t="s">
        <v>8</v>
      </c>
    </row>
    <row r="8054" spans="1:13" s="21" customFormat="1" x14ac:dyDescent="0.25">
      <c r="A8054" s="22" t="s">
        <v>8</v>
      </c>
      <c r="B8054" s="18" t="str">
        <f>"295080"</f>
        <v>295080</v>
      </c>
      <c r="C8054" s="19" t="s">
        <v>362</v>
      </c>
      <c r="D8054" s="19" t="s">
        <v>23473</v>
      </c>
      <c r="E8054" s="19" t="s">
        <v>33843</v>
      </c>
      <c r="F8054" s="19" t="s">
        <v>36002</v>
      </c>
      <c r="G8054" s="18" t="str">
        <f>"89005"</f>
        <v>89005</v>
      </c>
      <c r="H8054" s="19" t="s">
        <v>33967</v>
      </c>
      <c r="I8054" s="20">
        <v>20.317</v>
      </c>
      <c r="J8054" s="44" t="s">
        <v>8</v>
      </c>
      <c r="K8054" s="23" t="s">
        <v>8</v>
      </c>
      <c r="L8054" s="23" t="s">
        <v>8</v>
      </c>
      <c r="M8054" s="23" t="s">
        <v>8</v>
      </c>
    </row>
    <row r="8055" spans="1:13" s="21" customFormat="1" x14ac:dyDescent="0.25">
      <c r="A8055" s="22" t="s">
        <v>8</v>
      </c>
      <c r="B8055" s="18" t="str">
        <f>"295081"</f>
        <v>295081</v>
      </c>
      <c r="C8055" s="19" t="s">
        <v>7933</v>
      </c>
      <c r="D8055" s="19" t="s">
        <v>23474</v>
      </c>
      <c r="E8055" s="19" t="s">
        <v>33843</v>
      </c>
      <c r="F8055" s="19" t="s">
        <v>36002</v>
      </c>
      <c r="G8055" s="18" t="str">
        <f>"89005"</f>
        <v>89005</v>
      </c>
      <c r="H8055" s="19" t="s">
        <v>33967</v>
      </c>
      <c r="I8055" s="20">
        <v>17.518999999999998</v>
      </c>
      <c r="J8055" s="44" t="s">
        <v>8</v>
      </c>
      <c r="K8055" s="23" t="s">
        <v>8</v>
      </c>
      <c r="L8055" s="23" t="s">
        <v>8</v>
      </c>
      <c r="M8055" s="23" t="s">
        <v>8</v>
      </c>
    </row>
    <row r="8056" spans="1:13" s="21" customFormat="1" x14ac:dyDescent="0.25">
      <c r="A8056" s="22" t="s">
        <v>8</v>
      </c>
      <c r="B8056" s="18" t="str">
        <f>"295082"</f>
        <v>295082</v>
      </c>
      <c r="C8056" s="19" t="s">
        <v>7934</v>
      </c>
      <c r="D8056" s="19" t="s">
        <v>23475</v>
      </c>
      <c r="E8056" s="19" t="s">
        <v>33847</v>
      </c>
      <c r="F8056" s="19" t="s">
        <v>36002</v>
      </c>
      <c r="G8056" s="18" t="str">
        <f>"89410"</f>
        <v>89410</v>
      </c>
      <c r="H8056" s="19" t="s">
        <v>30966</v>
      </c>
      <c r="I8056" s="20">
        <v>18.681000000000001</v>
      </c>
      <c r="J8056" s="44" t="s">
        <v>8</v>
      </c>
      <c r="K8056" s="23" t="s">
        <v>8</v>
      </c>
      <c r="L8056" s="23" t="s">
        <v>8</v>
      </c>
      <c r="M8056" s="23" t="s">
        <v>8</v>
      </c>
    </row>
    <row r="8057" spans="1:13" s="21" customFormat="1" x14ac:dyDescent="0.25">
      <c r="A8057" s="22" t="s">
        <v>8</v>
      </c>
      <c r="B8057" s="18" t="str">
        <f>"295083"</f>
        <v>295083</v>
      </c>
      <c r="C8057" s="19" t="s">
        <v>7935</v>
      </c>
      <c r="D8057" s="19" t="s">
        <v>23476</v>
      </c>
      <c r="E8057" s="19" t="s">
        <v>33837</v>
      </c>
      <c r="F8057" s="19" t="s">
        <v>36002</v>
      </c>
      <c r="G8057" s="18" t="str">
        <f>"89144"</f>
        <v>89144</v>
      </c>
      <c r="H8057" s="19" t="s">
        <v>33967</v>
      </c>
      <c r="I8057" s="20">
        <v>19.105</v>
      </c>
      <c r="J8057" s="44" t="s">
        <v>8</v>
      </c>
      <c r="K8057" s="23" t="s">
        <v>8</v>
      </c>
      <c r="L8057" s="23" t="s">
        <v>8</v>
      </c>
      <c r="M8057" s="23" t="s">
        <v>8</v>
      </c>
    </row>
    <row r="8058" spans="1:13" s="21" customFormat="1" x14ac:dyDescent="0.25">
      <c r="A8058" s="22" t="s">
        <v>8</v>
      </c>
      <c r="B8058" s="18" t="str">
        <f>"295085"</f>
        <v>295085</v>
      </c>
      <c r="C8058" s="19" t="s">
        <v>7936</v>
      </c>
      <c r="D8058" s="19" t="s">
        <v>23477</v>
      </c>
      <c r="E8058" s="19" t="s">
        <v>33848</v>
      </c>
      <c r="F8058" s="19" t="s">
        <v>36002</v>
      </c>
      <c r="G8058" s="18" t="str">
        <f>"89406"</f>
        <v>89406</v>
      </c>
      <c r="H8058" s="19" t="s">
        <v>36572</v>
      </c>
      <c r="I8058" s="20">
        <v>19.885000000000002</v>
      </c>
      <c r="J8058" s="44" t="s">
        <v>8</v>
      </c>
      <c r="K8058" s="23" t="s">
        <v>8</v>
      </c>
      <c r="L8058" s="23" t="s">
        <v>8</v>
      </c>
      <c r="M8058" s="23" t="s">
        <v>8</v>
      </c>
    </row>
    <row r="8059" spans="1:13" s="21" customFormat="1" x14ac:dyDescent="0.25">
      <c r="A8059" s="22" t="s">
        <v>8</v>
      </c>
      <c r="B8059" s="18" t="str">
        <f>"295086"</f>
        <v>295086</v>
      </c>
      <c r="C8059" s="19" t="s">
        <v>7937</v>
      </c>
      <c r="D8059" s="19" t="s">
        <v>23478</v>
      </c>
      <c r="E8059" s="19" t="s">
        <v>33837</v>
      </c>
      <c r="F8059" s="19" t="s">
        <v>36002</v>
      </c>
      <c r="G8059" s="18" t="str">
        <f>"89135"</f>
        <v>89135</v>
      </c>
      <c r="H8059" s="19" t="s">
        <v>33967</v>
      </c>
      <c r="I8059" s="20">
        <v>20.963999999999999</v>
      </c>
      <c r="J8059" s="44" t="s">
        <v>8</v>
      </c>
      <c r="K8059" s="23" t="s">
        <v>8</v>
      </c>
      <c r="L8059" s="23" t="s">
        <v>8</v>
      </c>
      <c r="M8059" s="23" t="s">
        <v>8</v>
      </c>
    </row>
    <row r="8060" spans="1:13" s="21" customFormat="1" x14ac:dyDescent="0.25">
      <c r="A8060" s="22" t="s">
        <v>8</v>
      </c>
      <c r="B8060" s="18" t="str">
        <f>"295087"</f>
        <v>295087</v>
      </c>
      <c r="C8060" s="19" t="s">
        <v>7938</v>
      </c>
      <c r="D8060" s="19" t="s">
        <v>23479</v>
      </c>
      <c r="E8060" s="19" t="s">
        <v>33837</v>
      </c>
      <c r="F8060" s="19" t="s">
        <v>36002</v>
      </c>
      <c r="G8060" s="18" t="str">
        <f>"89119"</f>
        <v>89119</v>
      </c>
      <c r="H8060" s="19" t="s">
        <v>33967</v>
      </c>
      <c r="I8060" s="20">
        <v>16.536000000000001</v>
      </c>
      <c r="J8060" s="44" t="s">
        <v>8</v>
      </c>
      <c r="K8060" s="23" t="s">
        <v>8</v>
      </c>
      <c r="L8060" s="23" t="s">
        <v>8</v>
      </c>
      <c r="M8060" s="23" t="s">
        <v>8</v>
      </c>
    </row>
    <row r="8061" spans="1:13" s="21" customFormat="1" x14ac:dyDescent="0.25">
      <c r="A8061" s="22" t="s">
        <v>8</v>
      </c>
      <c r="B8061" s="18" t="str">
        <f>"295088"</f>
        <v>295088</v>
      </c>
      <c r="C8061" s="19" t="s">
        <v>7939</v>
      </c>
      <c r="D8061" s="19" t="s">
        <v>23480</v>
      </c>
      <c r="E8061" s="19" t="s">
        <v>33841</v>
      </c>
      <c r="F8061" s="19" t="s">
        <v>36002</v>
      </c>
      <c r="G8061" s="18" t="str">
        <f>"89436"</f>
        <v>89436</v>
      </c>
      <c r="H8061" s="19" t="s">
        <v>36569</v>
      </c>
      <c r="I8061" s="20">
        <v>23.346</v>
      </c>
      <c r="J8061" s="44" t="s">
        <v>8</v>
      </c>
      <c r="K8061" s="23" t="s">
        <v>8</v>
      </c>
      <c r="L8061" s="23" t="s">
        <v>8</v>
      </c>
      <c r="M8061" s="23" t="s">
        <v>8</v>
      </c>
    </row>
    <row r="8062" spans="1:13" s="21" customFormat="1" x14ac:dyDescent="0.25">
      <c r="A8062" s="22" t="s">
        <v>8</v>
      </c>
      <c r="B8062" s="18" t="str">
        <f>"295089"</f>
        <v>295089</v>
      </c>
      <c r="C8062" s="19" t="s">
        <v>7940</v>
      </c>
      <c r="D8062" s="19" t="s">
        <v>23481</v>
      </c>
      <c r="E8062" s="19" t="s">
        <v>33837</v>
      </c>
      <c r="F8062" s="19" t="s">
        <v>36002</v>
      </c>
      <c r="G8062" s="18" t="str">
        <f>"89149"</f>
        <v>89149</v>
      </c>
      <c r="H8062" s="19" t="s">
        <v>33967</v>
      </c>
      <c r="I8062" s="20">
        <v>20.189</v>
      </c>
      <c r="J8062" s="44" t="s">
        <v>8</v>
      </c>
      <c r="K8062" s="23" t="s">
        <v>8</v>
      </c>
      <c r="L8062" s="23" t="s">
        <v>8</v>
      </c>
      <c r="M8062" s="23" t="s">
        <v>8</v>
      </c>
    </row>
    <row r="8063" spans="1:13" s="21" customFormat="1" x14ac:dyDescent="0.25">
      <c r="A8063" s="22" t="s">
        <v>8</v>
      </c>
      <c r="B8063" s="18" t="str">
        <f>"295090"</f>
        <v>295090</v>
      </c>
      <c r="C8063" s="19" t="s">
        <v>7941</v>
      </c>
      <c r="D8063" s="19" t="s">
        <v>23482</v>
      </c>
      <c r="E8063" s="19" t="s">
        <v>33837</v>
      </c>
      <c r="F8063" s="19" t="s">
        <v>36002</v>
      </c>
      <c r="G8063" s="18" t="str">
        <f>"89118"</f>
        <v>89118</v>
      </c>
      <c r="H8063" s="19" t="s">
        <v>33967</v>
      </c>
      <c r="I8063" s="20">
        <v>16.978000000000002</v>
      </c>
      <c r="J8063" s="44" t="s">
        <v>8</v>
      </c>
      <c r="K8063" s="23" t="s">
        <v>8</v>
      </c>
      <c r="L8063" s="23" t="s">
        <v>8</v>
      </c>
      <c r="M8063" s="23" t="s">
        <v>8</v>
      </c>
    </row>
    <row r="8064" spans="1:13" s="21" customFormat="1" x14ac:dyDescent="0.25">
      <c r="A8064" s="22" t="s">
        <v>8</v>
      </c>
      <c r="B8064" s="18" t="str">
        <f>"295092"</f>
        <v>295092</v>
      </c>
      <c r="C8064" s="19" t="s">
        <v>7942</v>
      </c>
      <c r="D8064" s="19" t="s">
        <v>23483</v>
      </c>
      <c r="E8064" s="19" t="s">
        <v>33837</v>
      </c>
      <c r="F8064" s="19" t="s">
        <v>36002</v>
      </c>
      <c r="G8064" s="18" t="str">
        <f>"89128"</f>
        <v>89128</v>
      </c>
      <c r="H8064" s="19" t="s">
        <v>33967</v>
      </c>
      <c r="I8064" s="20">
        <v>19.373999999999999</v>
      </c>
      <c r="J8064" s="44" t="s">
        <v>8</v>
      </c>
      <c r="K8064" s="23" t="s">
        <v>8</v>
      </c>
      <c r="L8064" s="23" t="s">
        <v>8</v>
      </c>
      <c r="M8064" s="23" t="s">
        <v>8</v>
      </c>
    </row>
    <row r="8065" spans="1:13" s="21" customFormat="1" x14ac:dyDescent="0.25">
      <c r="A8065" s="22" t="s">
        <v>8</v>
      </c>
      <c r="B8065" s="18" t="str">
        <f>"295093"</f>
        <v>295093</v>
      </c>
      <c r="C8065" s="19" t="s">
        <v>7943</v>
      </c>
      <c r="D8065" s="19" t="s">
        <v>23484</v>
      </c>
      <c r="E8065" s="19" t="s">
        <v>33837</v>
      </c>
      <c r="F8065" s="19" t="s">
        <v>36002</v>
      </c>
      <c r="G8065" s="18" t="str">
        <f>"89148"</f>
        <v>89148</v>
      </c>
      <c r="H8065" s="19" t="s">
        <v>33967</v>
      </c>
      <c r="I8065" s="20">
        <v>19.966999999999999</v>
      </c>
      <c r="J8065" s="44" t="s">
        <v>8</v>
      </c>
      <c r="K8065" s="23" t="s">
        <v>8</v>
      </c>
      <c r="L8065" s="23" t="s">
        <v>8</v>
      </c>
      <c r="M8065" s="23" t="s">
        <v>8</v>
      </c>
    </row>
    <row r="8066" spans="1:13" s="21" customFormat="1" x14ac:dyDescent="0.25">
      <c r="A8066" s="22" t="s">
        <v>8</v>
      </c>
      <c r="B8066" s="18" t="s">
        <v>15294</v>
      </c>
      <c r="C8066" s="19" t="s">
        <v>7944</v>
      </c>
      <c r="D8066" s="19" t="s">
        <v>23485</v>
      </c>
      <c r="E8066" s="19" t="s">
        <v>33849</v>
      </c>
      <c r="F8066" s="19" t="s">
        <v>36003</v>
      </c>
      <c r="G8066" s="18" t="str">
        <f>"03246"</f>
        <v>03246</v>
      </c>
      <c r="H8066" s="19" t="s">
        <v>36573</v>
      </c>
      <c r="I8066" s="20">
        <v>17.245999999999999</v>
      </c>
      <c r="J8066" s="44" t="s">
        <v>8</v>
      </c>
      <c r="K8066" s="23" t="s">
        <v>8</v>
      </c>
      <c r="L8066" s="23" t="s">
        <v>8</v>
      </c>
      <c r="M8066" s="23" t="s">
        <v>8</v>
      </c>
    </row>
    <row r="8067" spans="1:13" s="21" customFormat="1" x14ac:dyDescent="0.25">
      <c r="A8067" s="22" t="s">
        <v>8</v>
      </c>
      <c r="B8067" s="18" t="s">
        <v>15295</v>
      </c>
      <c r="C8067" s="19" t="s">
        <v>7945</v>
      </c>
      <c r="D8067" s="19" t="s">
        <v>23486</v>
      </c>
      <c r="E8067" s="19" t="s">
        <v>33850</v>
      </c>
      <c r="F8067" s="19" t="s">
        <v>36003</v>
      </c>
      <c r="G8067" s="18" t="str">
        <f>"03431"</f>
        <v>03431</v>
      </c>
      <c r="H8067" s="19" t="s">
        <v>31435</v>
      </c>
      <c r="I8067" s="20">
        <v>18.856999999999999</v>
      </c>
      <c r="J8067" s="44" t="s">
        <v>8</v>
      </c>
      <c r="K8067" s="23" t="s">
        <v>8</v>
      </c>
      <c r="L8067" s="23" t="s">
        <v>8</v>
      </c>
      <c r="M8067" s="23" t="s">
        <v>8</v>
      </c>
    </row>
    <row r="8068" spans="1:13" s="21" customFormat="1" x14ac:dyDescent="0.25">
      <c r="A8068" s="22" t="s">
        <v>8</v>
      </c>
      <c r="B8068" s="18" t="str">
        <f>"305005"</f>
        <v>305005</v>
      </c>
      <c r="C8068" s="19" t="s">
        <v>7946</v>
      </c>
      <c r="D8068" s="19" t="s">
        <v>23487</v>
      </c>
      <c r="E8068" s="19" t="s">
        <v>33851</v>
      </c>
      <c r="F8068" s="19" t="s">
        <v>36003</v>
      </c>
      <c r="G8068" s="18" t="str">
        <f>"03062"</f>
        <v>03062</v>
      </c>
      <c r="H8068" s="19" t="s">
        <v>33986</v>
      </c>
      <c r="I8068" s="20">
        <v>16.64</v>
      </c>
      <c r="J8068" s="44" t="s">
        <v>8</v>
      </c>
      <c r="K8068" s="23" t="s">
        <v>8</v>
      </c>
      <c r="L8068" s="23" t="s">
        <v>8</v>
      </c>
      <c r="M8068" s="23" t="s">
        <v>8</v>
      </c>
    </row>
    <row r="8069" spans="1:13" s="21" customFormat="1" x14ac:dyDescent="0.25">
      <c r="A8069" s="22" t="s">
        <v>8</v>
      </c>
      <c r="B8069" s="18" t="str">
        <f>"305009"</f>
        <v>305009</v>
      </c>
      <c r="C8069" s="19" t="s">
        <v>7947</v>
      </c>
      <c r="D8069" s="19" t="s">
        <v>23488</v>
      </c>
      <c r="E8069" s="19" t="s">
        <v>31394</v>
      </c>
      <c r="F8069" s="19" t="s">
        <v>36003</v>
      </c>
      <c r="G8069" s="18" t="str">
        <f>"03104"</f>
        <v>03104</v>
      </c>
      <c r="H8069" s="19" t="s">
        <v>33986</v>
      </c>
      <c r="I8069" s="20">
        <v>17.643000000000001</v>
      </c>
      <c r="J8069" s="44" t="s">
        <v>8</v>
      </c>
      <c r="K8069" s="23" t="s">
        <v>8</v>
      </c>
      <c r="L8069" s="23" t="s">
        <v>8</v>
      </c>
      <c r="M8069" s="23" t="s">
        <v>8</v>
      </c>
    </row>
    <row r="8070" spans="1:13" s="21" customFormat="1" x14ac:dyDescent="0.25">
      <c r="A8070" s="22" t="s">
        <v>8</v>
      </c>
      <c r="B8070" s="18" t="str">
        <f>"305016"</f>
        <v>305016</v>
      </c>
      <c r="C8070" s="19" t="s">
        <v>7948</v>
      </c>
      <c r="D8070" s="19" t="s">
        <v>23489</v>
      </c>
      <c r="E8070" s="19" t="s">
        <v>31141</v>
      </c>
      <c r="F8070" s="19" t="s">
        <v>36003</v>
      </c>
      <c r="G8070" s="18" t="str">
        <f>"03301"</f>
        <v>03301</v>
      </c>
      <c r="H8070" s="19" t="s">
        <v>36574</v>
      </c>
      <c r="I8070" s="20">
        <v>16.942</v>
      </c>
      <c r="J8070" s="44" t="s">
        <v>8</v>
      </c>
      <c r="K8070" s="23" t="s">
        <v>8</v>
      </c>
      <c r="L8070" s="23" t="s">
        <v>8</v>
      </c>
      <c r="M8070" s="23" t="s">
        <v>8</v>
      </c>
    </row>
    <row r="8071" spans="1:13" s="21" customFormat="1" x14ac:dyDescent="0.25">
      <c r="A8071" s="22" t="s">
        <v>8</v>
      </c>
      <c r="B8071" s="18" t="str">
        <f>"305018"</f>
        <v>305018</v>
      </c>
      <c r="C8071" s="19" t="s">
        <v>7949</v>
      </c>
      <c r="D8071" s="19" t="s">
        <v>23490</v>
      </c>
      <c r="E8071" s="19" t="s">
        <v>31492</v>
      </c>
      <c r="F8071" s="19" t="s">
        <v>36003</v>
      </c>
      <c r="G8071" s="18" t="str">
        <f>"03820"</f>
        <v>03820</v>
      </c>
      <c r="H8071" s="19" t="s">
        <v>33694</v>
      </c>
      <c r="I8071" s="20">
        <v>18.454000000000001</v>
      </c>
      <c r="J8071" s="44" t="s">
        <v>8</v>
      </c>
      <c r="K8071" s="23" t="s">
        <v>8</v>
      </c>
      <c r="L8071" s="23" t="s">
        <v>8</v>
      </c>
      <c r="M8071" s="23" t="s">
        <v>8</v>
      </c>
    </row>
    <row r="8072" spans="1:13" s="21" customFormat="1" x14ac:dyDescent="0.25">
      <c r="A8072" s="22" t="s">
        <v>8</v>
      </c>
      <c r="B8072" s="18" t="str">
        <f>"305020"</f>
        <v>305020</v>
      </c>
      <c r="C8072" s="19" t="s">
        <v>7950</v>
      </c>
      <c r="D8072" s="19" t="s">
        <v>23491</v>
      </c>
      <c r="E8072" s="19" t="s">
        <v>32235</v>
      </c>
      <c r="F8072" s="19" t="s">
        <v>36003</v>
      </c>
      <c r="G8072" s="18" t="str">
        <f>"03755"</f>
        <v>03755</v>
      </c>
      <c r="H8072" s="19" t="s">
        <v>34391</v>
      </c>
      <c r="I8072" s="20">
        <v>17.672999999999998</v>
      </c>
      <c r="J8072" s="44" t="s">
        <v>8</v>
      </c>
      <c r="K8072" s="23" t="s">
        <v>8</v>
      </c>
      <c r="L8072" s="23" t="s">
        <v>8</v>
      </c>
      <c r="M8072" s="23" t="s">
        <v>8</v>
      </c>
    </row>
    <row r="8073" spans="1:13" s="21" customFormat="1" x14ac:dyDescent="0.25">
      <c r="A8073" s="22" t="s">
        <v>8</v>
      </c>
      <c r="B8073" s="18" t="str">
        <f>"305021"</f>
        <v>305021</v>
      </c>
      <c r="C8073" s="19" t="s">
        <v>7951</v>
      </c>
      <c r="D8073" s="19" t="s">
        <v>23492</v>
      </c>
      <c r="E8073" s="19" t="s">
        <v>31423</v>
      </c>
      <c r="F8073" s="19" t="s">
        <v>36003</v>
      </c>
      <c r="G8073" s="18" t="str">
        <f>"03257"</f>
        <v>03257</v>
      </c>
      <c r="H8073" s="19" t="s">
        <v>36574</v>
      </c>
      <c r="I8073" s="20">
        <v>17.521000000000001</v>
      </c>
      <c r="J8073" s="44" t="s">
        <v>8</v>
      </c>
      <c r="K8073" s="23" t="s">
        <v>8</v>
      </c>
      <c r="L8073" s="23" t="s">
        <v>8</v>
      </c>
      <c r="M8073" s="23" t="s">
        <v>8</v>
      </c>
    </row>
    <row r="8074" spans="1:13" s="21" customFormat="1" x14ac:dyDescent="0.25">
      <c r="A8074" s="22" t="s">
        <v>8</v>
      </c>
      <c r="B8074" s="18" t="str">
        <f>"305022"</f>
        <v>305022</v>
      </c>
      <c r="C8074" s="19" t="s">
        <v>7952</v>
      </c>
      <c r="D8074" s="19" t="s">
        <v>23493</v>
      </c>
      <c r="E8074" s="19" t="s">
        <v>33852</v>
      </c>
      <c r="F8074" s="19" t="s">
        <v>36003</v>
      </c>
      <c r="G8074" s="18" t="str">
        <f>"03801"</f>
        <v>03801</v>
      </c>
      <c r="H8074" s="19" t="s">
        <v>34326</v>
      </c>
      <c r="I8074" s="20">
        <v>16.111999999999998</v>
      </c>
      <c r="J8074" s="44" t="s">
        <v>8</v>
      </c>
      <c r="K8074" s="23" t="s">
        <v>8</v>
      </c>
      <c r="L8074" s="23" t="s">
        <v>8</v>
      </c>
      <c r="M8074" s="23" t="s">
        <v>8</v>
      </c>
    </row>
    <row r="8075" spans="1:13" s="21" customFormat="1" x14ac:dyDescent="0.25">
      <c r="A8075" s="22" t="s">
        <v>8</v>
      </c>
      <c r="B8075" s="18" t="str">
        <f>"305024"</f>
        <v>305024</v>
      </c>
      <c r="C8075" s="19" t="s">
        <v>7953</v>
      </c>
      <c r="D8075" s="19" t="s">
        <v>23494</v>
      </c>
      <c r="E8075" s="19" t="s">
        <v>32267</v>
      </c>
      <c r="F8075" s="19" t="s">
        <v>36003</v>
      </c>
      <c r="G8075" s="18" t="str">
        <f>"03867"</f>
        <v>03867</v>
      </c>
      <c r="H8075" s="19" t="s">
        <v>33694</v>
      </c>
      <c r="I8075" s="20">
        <v>16.895</v>
      </c>
      <c r="J8075" s="44" t="s">
        <v>8</v>
      </c>
      <c r="K8075" s="23" t="s">
        <v>8</v>
      </c>
      <c r="L8075" s="23" t="s">
        <v>8</v>
      </c>
      <c r="M8075" s="23" t="s">
        <v>8</v>
      </c>
    </row>
    <row r="8076" spans="1:13" s="21" customFormat="1" x14ac:dyDescent="0.25">
      <c r="A8076" s="22" t="s">
        <v>8</v>
      </c>
      <c r="B8076" s="18" t="str">
        <f>"305026"</f>
        <v>305026</v>
      </c>
      <c r="C8076" s="19" t="s">
        <v>7954</v>
      </c>
      <c r="D8076" s="19" t="s">
        <v>23495</v>
      </c>
      <c r="E8076" s="19" t="s">
        <v>32220</v>
      </c>
      <c r="F8076" s="19" t="s">
        <v>36003</v>
      </c>
      <c r="G8076" s="18" t="str">
        <f>"03047"</f>
        <v>03047</v>
      </c>
      <c r="H8076" s="19" t="s">
        <v>33986</v>
      </c>
      <c r="I8076" s="20">
        <v>20.105</v>
      </c>
      <c r="J8076" s="44" t="s">
        <v>8</v>
      </c>
      <c r="K8076" s="23" t="s">
        <v>8</v>
      </c>
      <c r="L8076" s="23" t="s">
        <v>8</v>
      </c>
      <c r="M8076" s="23" t="s">
        <v>8</v>
      </c>
    </row>
    <row r="8077" spans="1:13" s="21" customFormat="1" x14ac:dyDescent="0.25">
      <c r="A8077" s="22" t="s">
        <v>8</v>
      </c>
      <c r="B8077" s="18" t="str">
        <f>"305030"</f>
        <v>305030</v>
      </c>
      <c r="C8077" s="19" t="s">
        <v>7955</v>
      </c>
      <c r="D8077" s="19" t="s">
        <v>23496</v>
      </c>
      <c r="E8077" s="19" t="s">
        <v>31394</v>
      </c>
      <c r="F8077" s="19" t="s">
        <v>36003</v>
      </c>
      <c r="G8077" s="18" t="str">
        <f>"03104"</f>
        <v>03104</v>
      </c>
      <c r="H8077" s="19" t="s">
        <v>33986</v>
      </c>
      <c r="I8077" s="20">
        <v>20.170999999999999</v>
      </c>
      <c r="J8077" s="44" t="s">
        <v>8</v>
      </c>
      <c r="K8077" s="23" t="s">
        <v>8</v>
      </c>
      <c r="L8077" s="23" t="s">
        <v>8</v>
      </c>
      <c r="M8077" s="23" t="s">
        <v>8</v>
      </c>
    </row>
    <row r="8078" spans="1:13" s="21" customFormat="1" x14ac:dyDescent="0.25">
      <c r="A8078" s="22" t="s">
        <v>8</v>
      </c>
      <c r="B8078" s="18" t="str">
        <f>"305037"</f>
        <v>305037</v>
      </c>
      <c r="C8078" s="19" t="s">
        <v>7956</v>
      </c>
      <c r="D8078" s="19" t="s">
        <v>23497</v>
      </c>
      <c r="E8078" s="19" t="s">
        <v>33851</v>
      </c>
      <c r="F8078" s="19" t="s">
        <v>36003</v>
      </c>
      <c r="G8078" s="18" t="str">
        <f>"03060"</f>
        <v>03060</v>
      </c>
      <c r="H8078" s="19" t="s">
        <v>33986</v>
      </c>
      <c r="I8078" s="20">
        <v>19.529</v>
      </c>
      <c r="J8078" s="44" t="s">
        <v>8</v>
      </c>
      <c r="K8078" s="23" t="s">
        <v>8</v>
      </c>
      <c r="L8078" s="23" t="s">
        <v>8</v>
      </c>
      <c r="M8078" s="23" t="s">
        <v>8</v>
      </c>
    </row>
    <row r="8079" spans="1:13" s="21" customFormat="1" x14ac:dyDescent="0.25">
      <c r="A8079" s="22" t="s">
        <v>8</v>
      </c>
      <c r="B8079" s="18" t="str">
        <f>"305038"</f>
        <v>305038</v>
      </c>
      <c r="C8079" s="19" t="s">
        <v>7957</v>
      </c>
      <c r="D8079" s="19" t="s">
        <v>23498</v>
      </c>
      <c r="E8079" s="19" t="s">
        <v>31394</v>
      </c>
      <c r="F8079" s="19" t="s">
        <v>36003</v>
      </c>
      <c r="G8079" s="18" t="str">
        <f>"03102"</f>
        <v>03102</v>
      </c>
      <c r="H8079" s="19" t="s">
        <v>33986</v>
      </c>
      <c r="I8079" s="20">
        <v>17.923999999999999</v>
      </c>
      <c r="J8079" s="44" t="s">
        <v>8</v>
      </c>
      <c r="K8079" s="23" t="s">
        <v>8</v>
      </c>
      <c r="L8079" s="23" t="s">
        <v>8</v>
      </c>
      <c r="M8079" s="23" t="s">
        <v>8</v>
      </c>
    </row>
    <row r="8080" spans="1:13" s="21" customFormat="1" x14ac:dyDescent="0.25">
      <c r="A8080" s="22" t="s">
        <v>8</v>
      </c>
      <c r="B8080" s="18" t="str">
        <f>"305039"</f>
        <v>305039</v>
      </c>
      <c r="C8080" s="19" t="s">
        <v>7958</v>
      </c>
      <c r="D8080" s="19" t="s">
        <v>23499</v>
      </c>
      <c r="E8080" s="19" t="s">
        <v>33853</v>
      </c>
      <c r="F8080" s="19" t="s">
        <v>36003</v>
      </c>
      <c r="G8080" s="18" t="str">
        <f>"03038"</f>
        <v>03038</v>
      </c>
      <c r="H8080" s="19" t="s">
        <v>34326</v>
      </c>
      <c r="I8080" s="20">
        <v>23.594000000000001</v>
      </c>
      <c r="J8080" s="44" t="s">
        <v>8</v>
      </c>
      <c r="K8080" s="23" t="s">
        <v>8</v>
      </c>
      <c r="L8080" s="23" t="s">
        <v>8</v>
      </c>
      <c r="M8080" s="23" t="s">
        <v>8</v>
      </c>
    </row>
    <row r="8081" spans="1:13" s="21" customFormat="1" x14ac:dyDescent="0.25">
      <c r="A8081" s="22" t="s">
        <v>8</v>
      </c>
      <c r="B8081" s="18" t="str">
        <f>"305040"</f>
        <v>305040</v>
      </c>
      <c r="C8081" s="19" t="s">
        <v>7959</v>
      </c>
      <c r="D8081" s="19" t="s">
        <v>23500</v>
      </c>
      <c r="E8081" s="19" t="s">
        <v>33849</v>
      </c>
      <c r="F8081" s="19" t="s">
        <v>36003</v>
      </c>
      <c r="G8081" s="18" t="str">
        <f>"03246"</f>
        <v>03246</v>
      </c>
      <c r="H8081" s="19" t="s">
        <v>36573</v>
      </c>
      <c r="I8081" s="20">
        <v>21.3</v>
      </c>
      <c r="J8081" s="44" t="s">
        <v>8</v>
      </c>
      <c r="K8081" s="23" t="s">
        <v>8</v>
      </c>
      <c r="L8081" s="23" t="s">
        <v>8</v>
      </c>
      <c r="M8081" s="23" t="s">
        <v>8</v>
      </c>
    </row>
    <row r="8082" spans="1:13" s="21" customFormat="1" x14ac:dyDescent="0.25">
      <c r="A8082" s="22" t="s">
        <v>8</v>
      </c>
      <c r="B8082" s="18" t="str">
        <f>"305041"</f>
        <v>305041</v>
      </c>
      <c r="C8082" s="19" t="s">
        <v>7960</v>
      </c>
      <c r="D8082" s="19" t="s">
        <v>23501</v>
      </c>
      <c r="E8082" s="19" t="s">
        <v>31172</v>
      </c>
      <c r="F8082" s="19" t="s">
        <v>36003</v>
      </c>
      <c r="G8082" s="18" t="str">
        <f>"03743"</f>
        <v>03743</v>
      </c>
      <c r="H8082" s="19" t="s">
        <v>31976</v>
      </c>
      <c r="I8082" s="20">
        <v>21.545000000000002</v>
      </c>
      <c r="J8082" s="44" t="s">
        <v>8</v>
      </c>
      <c r="K8082" s="23" t="s">
        <v>8</v>
      </c>
      <c r="L8082" s="23" t="s">
        <v>8</v>
      </c>
      <c r="M8082" s="23" t="s">
        <v>8</v>
      </c>
    </row>
    <row r="8083" spans="1:13" s="21" customFormat="1" x14ac:dyDescent="0.25">
      <c r="A8083" s="22" t="s">
        <v>8</v>
      </c>
      <c r="B8083" s="18" t="str">
        <f>"305042"</f>
        <v>305042</v>
      </c>
      <c r="C8083" s="19" t="s">
        <v>7961</v>
      </c>
      <c r="D8083" s="19" t="s">
        <v>23502</v>
      </c>
      <c r="E8083" s="19" t="s">
        <v>32235</v>
      </c>
      <c r="F8083" s="19" t="s">
        <v>36003</v>
      </c>
      <c r="G8083" s="18" t="str">
        <f>"03755"</f>
        <v>03755</v>
      </c>
      <c r="H8083" s="19" t="s">
        <v>34391</v>
      </c>
      <c r="I8083" s="20">
        <v>18.393000000000001</v>
      </c>
      <c r="J8083" s="44" t="s">
        <v>8</v>
      </c>
      <c r="K8083" s="23" t="s">
        <v>8</v>
      </c>
      <c r="L8083" s="23" t="s">
        <v>8</v>
      </c>
      <c r="M8083" s="23" t="s">
        <v>8</v>
      </c>
    </row>
    <row r="8084" spans="1:13" s="21" customFormat="1" x14ac:dyDescent="0.25">
      <c r="A8084" s="22" t="s">
        <v>8</v>
      </c>
      <c r="B8084" s="18" t="str">
        <f>"305043"</f>
        <v>305043</v>
      </c>
      <c r="C8084" s="19" t="s">
        <v>7962</v>
      </c>
      <c r="D8084" s="19" t="s">
        <v>23503</v>
      </c>
      <c r="E8084" s="19" t="s">
        <v>31446</v>
      </c>
      <c r="F8084" s="19" t="s">
        <v>36003</v>
      </c>
      <c r="G8084" s="18" t="str">
        <f>"03087"</f>
        <v>03087</v>
      </c>
      <c r="H8084" s="19" t="s">
        <v>34326</v>
      </c>
      <c r="I8084" s="20">
        <v>18.940000000000001</v>
      </c>
      <c r="J8084" s="44" t="s">
        <v>8</v>
      </c>
      <c r="K8084" s="23" t="s">
        <v>8</v>
      </c>
      <c r="L8084" s="23" t="s">
        <v>8</v>
      </c>
      <c r="M8084" s="23" t="s">
        <v>8</v>
      </c>
    </row>
    <row r="8085" spans="1:13" s="21" customFormat="1" x14ac:dyDescent="0.25">
      <c r="A8085" s="22" t="s">
        <v>8</v>
      </c>
      <c r="B8085" s="18" t="str">
        <f>"305044"</f>
        <v>305044</v>
      </c>
      <c r="C8085" s="19" t="s">
        <v>7963</v>
      </c>
      <c r="D8085" s="19" t="s">
        <v>23504</v>
      </c>
      <c r="E8085" s="19" t="s">
        <v>33854</v>
      </c>
      <c r="F8085" s="19" t="s">
        <v>36003</v>
      </c>
      <c r="G8085" s="18" t="str">
        <f>"03253"</f>
        <v>03253</v>
      </c>
      <c r="H8085" s="19" t="s">
        <v>36573</v>
      </c>
      <c r="I8085" s="20">
        <v>17.538</v>
      </c>
      <c r="J8085" s="44" t="s">
        <v>8</v>
      </c>
      <c r="K8085" s="23" t="s">
        <v>8</v>
      </c>
      <c r="L8085" s="23" t="s">
        <v>8</v>
      </c>
      <c r="M8085" s="23" t="s">
        <v>8</v>
      </c>
    </row>
    <row r="8086" spans="1:13" s="21" customFormat="1" x14ac:dyDescent="0.25">
      <c r="A8086" s="22" t="s">
        <v>8</v>
      </c>
      <c r="B8086" s="18" t="str">
        <f>"305045"</f>
        <v>305045</v>
      </c>
      <c r="C8086" s="19" t="s">
        <v>7964</v>
      </c>
      <c r="D8086" s="19" t="s">
        <v>23505</v>
      </c>
      <c r="E8086" s="19" t="s">
        <v>31141</v>
      </c>
      <c r="F8086" s="19" t="s">
        <v>36003</v>
      </c>
      <c r="G8086" s="18" t="str">
        <f>"03301"</f>
        <v>03301</v>
      </c>
      <c r="H8086" s="19" t="s">
        <v>36574</v>
      </c>
      <c r="I8086" s="20">
        <v>18.978999999999999</v>
      </c>
      <c r="J8086" s="44" t="s">
        <v>8</v>
      </c>
      <c r="K8086" s="23" t="s">
        <v>8</v>
      </c>
      <c r="L8086" s="23" t="s">
        <v>8</v>
      </c>
      <c r="M8086" s="23" t="s">
        <v>8</v>
      </c>
    </row>
    <row r="8087" spans="1:13" s="21" customFormat="1" x14ac:dyDescent="0.25">
      <c r="A8087" s="22" t="s">
        <v>8</v>
      </c>
      <c r="B8087" s="18" t="str">
        <f>"305046"</f>
        <v>305046</v>
      </c>
      <c r="C8087" s="19" t="s">
        <v>7965</v>
      </c>
      <c r="D8087" s="19" t="s">
        <v>23506</v>
      </c>
      <c r="E8087" s="19" t="s">
        <v>33855</v>
      </c>
      <c r="F8087" s="19" t="s">
        <v>36003</v>
      </c>
      <c r="G8087" s="18" t="str">
        <f>"03833"</f>
        <v>03833</v>
      </c>
      <c r="H8087" s="19" t="s">
        <v>34326</v>
      </c>
      <c r="I8087" s="20">
        <v>17.260000000000002</v>
      </c>
      <c r="J8087" s="44" t="s">
        <v>8</v>
      </c>
      <c r="K8087" s="23" t="s">
        <v>8</v>
      </c>
      <c r="L8087" s="23" t="s">
        <v>8</v>
      </c>
      <c r="M8087" s="23" t="s">
        <v>8</v>
      </c>
    </row>
    <row r="8088" spans="1:13" s="21" customFormat="1" x14ac:dyDescent="0.25">
      <c r="A8088" s="22" t="s">
        <v>8</v>
      </c>
      <c r="B8088" s="18" t="str">
        <f>"305047"</f>
        <v>305047</v>
      </c>
      <c r="C8088" s="19" t="s">
        <v>7966</v>
      </c>
      <c r="D8088" s="19" t="s">
        <v>23507</v>
      </c>
      <c r="E8088" s="19" t="s">
        <v>31492</v>
      </c>
      <c r="F8088" s="19" t="s">
        <v>36003</v>
      </c>
      <c r="G8088" s="18" t="str">
        <f>"03820"</f>
        <v>03820</v>
      </c>
      <c r="H8088" s="19" t="s">
        <v>33694</v>
      </c>
      <c r="I8088" s="20">
        <v>18.629000000000001</v>
      </c>
      <c r="J8088" s="44" t="s">
        <v>8</v>
      </c>
      <c r="K8088" s="23" t="s">
        <v>8</v>
      </c>
      <c r="L8088" s="23" t="s">
        <v>8</v>
      </c>
      <c r="M8088" s="23" t="s">
        <v>8</v>
      </c>
    </row>
    <row r="8089" spans="1:13" s="21" customFormat="1" x14ac:dyDescent="0.25">
      <c r="A8089" s="22" t="s">
        <v>8</v>
      </c>
      <c r="B8089" s="18" t="str">
        <f>"305048"</f>
        <v>305048</v>
      </c>
      <c r="C8089" s="19" t="s">
        <v>7967</v>
      </c>
      <c r="D8089" s="19" t="s">
        <v>23508</v>
      </c>
      <c r="E8089" s="19" t="s">
        <v>33856</v>
      </c>
      <c r="F8089" s="19" t="s">
        <v>36003</v>
      </c>
      <c r="G8089" s="18" t="str">
        <f>"03045"</f>
        <v>03045</v>
      </c>
      <c r="H8089" s="19" t="s">
        <v>33986</v>
      </c>
      <c r="I8089" s="20">
        <v>13.321999999999999</v>
      </c>
      <c r="J8089" s="44" t="s">
        <v>8</v>
      </c>
      <c r="K8089" s="23" t="s">
        <v>8</v>
      </c>
      <c r="L8089" s="23" t="s">
        <v>8</v>
      </c>
      <c r="M8089" s="23" t="s">
        <v>8</v>
      </c>
    </row>
    <row r="8090" spans="1:13" s="21" customFormat="1" x14ac:dyDescent="0.25">
      <c r="A8090" s="22" t="s">
        <v>8</v>
      </c>
      <c r="B8090" s="18" t="str">
        <f>"305049"</f>
        <v>305049</v>
      </c>
      <c r="C8090" s="19" t="s">
        <v>7968</v>
      </c>
      <c r="D8090" s="19" t="s">
        <v>23509</v>
      </c>
      <c r="E8090" s="19" t="s">
        <v>33857</v>
      </c>
      <c r="F8090" s="19" t="s">
        <v>36003</v>
      </c>
      <c r="G8090" s="18" t="str">
        <f>"03833"</f>
        <v>03833</v>
      </c>
      <c r="H8090" s="19" t="s">
        <v>34326</v>
      </c>
      <c r="I8090" s="20">
        <v>17.518000000000001</v>
      </c>
      <c r="J8090" s="44" t="s">
        <v>8</v>
      </c>
      <c r="K8090" s="23" t="s">
        <v>8</v>
      </c>
      <c r="L8090" s="23" t="s">
        <v>8</v>
      </c>
      <c r="M8090" s="23" t="s">
        <v>8</v>
      </c>
    </row>
    <row r="8091" spans="1:13" s="21" customFormat="1" x14ac:dyDescent="0.25">
      <c r="A8091" s="22" t="s">
        <v>8</v>
      </c>
      <c r="B8091" s="18" t="str">
        <f>"305050"</f>
        <v>305050</v>
      </c>
      <c r="C8091" s="19" t="s">
        <v>7969</v>
      </c>
      <c r="D8091" s="19" t="s">
        <v>23510</v>
      </c>
      <c r="E8091" s="19" t="s">
        <v>32035</v>
      </c>
      <c r="F8091" s="19" t="s">
        <v>36003</v>
      </c>
      <c r="G8091" s="18" t="str">
        <f>"03766"</f>
        <v>03766</v>
      </c>
      <c r="H8091" s="19" t="s">
        <v>34391</v>
      </c>
      <c r="I8091" s="20">
        <v>15.704000000000001</v>
      </c>
      <c r="J8091" s="44" t="s">
        <v>8</v>
      </c>
      <c r="K8091" s="23" t="s">
        <v>8</v>
      </c>
      <c r="L8091" s="23" t="s">
        <v>8</v>
      </c>
      <c r="M8091" s="23" t="s">
        <v>8</v>
      </c>
    </row>
    <row r="8092" spans="1:13" s="21" customFormat="1" x14ac:dyDescent="0.25">
      <c r="A8092" s="22" t="s">
        <v>8</v>
      </c>
      <c r="B8092" s="18" t="str">
        <f>"305051"</f>
        <v>305051</v>
      </c>
      <c r="C8092" s="19" t="s">
        <v>7970</v>
      </c>
      <c r="D8092" s="19" t="s">
        <v>23511</v>
      </c>
      <c r="E8092" s="19" t="s">
        <v>33850</v>
      </c>
      <c r="F8092" s="19" t="s">
        <v>36003</v>
      </c>
      <c r="G8092" s="18" t="str">
        <f>"03431"</f>
        <v>03431</v>
      </c>
      <c r="H8092" s="19" t="s">
        <v>31435</v>
      </c>
      <c r="I8092" s="20">
        <v>17.603999999999999</v>
      </c>
      <c r="J8092" s="44" t="s">
        <v>8</v>
      </c>
      <c r="K8092" s="23" t="s">
        <v>8</v>
      </c>
      <c r="L8092" s="23" t="s">
        <v>8</v>
      </c>
      <c r="M8092" s="23" t="s">
        <v>8</v>
      </c>
    </row>
    <row r="8093" spans="1:13" s="21" customFormat="1" x14ac:dyDescent="0.25">
      <c r="A8093" s="22" t="s">
        <v>8</v>
      </c>
      <c r="B8093" s="18" t="str">
        <f>"305052"</f>
        <v>305052</v>
      </c>
      <c r="C8093" s="19" t="s">
        <v>7971</v>
      </c>
      <c r="D8093" s="19" t="s">
        <v>23512</v>
      </c>
      <c r="E8093" s="19" t="s">
        <v>32215</v>
      </c>
      <c r="F8093" s="19" t="s">
        <v>36003</v>
      </c>
      <c r="G8093" s="18" t="str">
        <f>"03110"</f>
        <v>03110</v>
      </c>
      <c r="H8093" s="19" t="s">
        <v>33986</v>
      </c>
      <c r="I8093" s="20">
        <v>20.65</v>
      </c>
      <c r="J8093" s="44" t="s">
        <v>8</v>
      </c>
      <c r="K8093" s="23" t="s">
        <v>8</v>
      </c>
      <c r="L8093" s="23" t="s">
        <v>8</v>
      </c>
      <c r="M8093" s="23" t="s">
        <v>8</v>
      </c>
    </row>
    <row r="8094" spans="1:13" s="21" customFormat="1" x14ac:dyDescent="0.25">
      <c r="A8094" s="22" t="s">
        <v>8</v>
      </c>
      <c r="B8094" s="18" t="str">
        <f>"305053"</f>
        <v>305053</v>
      </c>
      <c r="C8094" s="19" t="s">
        <v>7972</v>
      </c>
      <c r="D8094" s="19" t="s">
        <v>23513</v>
      </c>
      <c r="E8094" s="19" t="s">
        <v>33858</v>
      </c>
      <c r="F8094" s="19" t="s">
        <v>36003</v>
      </c>
      <c r="G8094" s="18" t="str">
        <f>"03774"</f>
        <v>03774</v>
      </c>
      <c r="H8094" s="19" t="s">
        <v>34391</v>
      </c>
      <c r="I8094" s="20">
        <v>18.456</v>
      </c>
      <c r="J8094" s="44" t="s">
        <v>8</v>
      </c>
      <c r="K8094" s="23" t="s">
        <v>8</v>
      </c>
      <c r="L8094" s="23" t="s">
        <v>8</v>
      </c>
      <c r="M8094" s="23" t="s">
        <v>8</v>
      </c>
    </row>
    <row r="8095" spans="1:13" s="21" customFormat="1" x14ac:dyDescent="0.25">
      <c r="A8095" s="22" t="s">
        <v>8</v>
      </c>
      <c r="B8095" s="18" t="str">
        <f>"305054"</f>
        <v>305054</v>
      </c>
      <c r="C8095" s="19" t="s">
        <v>7973</v>
      </c>
      <c r="D8095" s="19" t="s">
        <v>23514</v>
      </c>
      <c r="E8095" s="19" t="s">
        <v>32652</v>
      </c>
      <c r="F8095" s="19" t="s">
        <v>36003</v>
      </c>
      <c r="G8095" s="18" t="str">
        <f>"03467"</f>
        <v>03467</v>
      </c>
      <c r="H8095" s="19" t="s">
        <v>31435</v>
      </c>
      <c r="I8095" s="20">
        <v>15.85</v>
      </c>
      <c r="J8095" s="44" t="s">
        <v>8</v>
      </c>
      <c r="K8095" s="23" t="s">
        <v>8</v>
      </c>
      <c r="L8095" s="23" t="s">
        <v>8</v>
      </c>
      <c r="M8095" s="23" t="s">
        <v>8</v>
      </c>
    </row>
    <row r="8096" spans="1:13" s="21" customFormat="1" x14ac:dyDescent="0.25">
      <c r="A8096" s="22" t="s">
        <v>8</v>
      </c>
      <c r="B8096" s="18" t="str">
        <f>"305055"</f>
        <v>305055</v>
      </c>
      <c r="C8096" s="19" t="s">
        <v>7974</v>
      </c>
      <c r="D8096" s="19" t="s">
        <v>23515</v>
      </c>
      <c r="E8096" s="19" t="s">
        <v>32453</v>
      </c>
      <c r="F8096" s="19" t="s">
        <v>36003</v>
      </c>
      <c r="G8096" s="18" t="str">
        <f>"03842"</f>
        <v>03842</v>
      </c>
      <c r="H8096" s="19" t="s">
        <v>34326</v>
      </c>
      <c r="I8096" s="20">
        <v>15.513999999999999</v>
      </c>
      <c r="J8096" s="44" t="s">
        <v>8</v>
      </c>
      <c r="K8096" s="23" t="s">
        <v>8</v>
      </c>
      <c r="L8096" s="23" t="s">
        <v>8</v>
      </c>
      <c r="M8096" s="23" t="s">
        <v>8</v>
      </c>
    </row>
    <row r="8097" spans="1:13" s="21" customFormat="1" x14ac:dyDescent="0.25">
      <c r="A8097" s="22" t="s">
        <v>8</v>
      </c>
      <c r="B8097" s="18" t="str">
        <f>"305056"</f>
        <v>305056</v>
      </c>
      <c r="C8097" s="19" t="s">
        <v>7975</v>
      </c>
      <c r="D8097" s="19" t="s">
        <v>23516</v>
      </c>
      <c r="E8097" s="19" t="s">
        <v>33859</v>
      </c>
      <c r="F8097" s="19" t="s">
        <v>36003</v>
      </c>
      <c r="G8097" s="18" t="str">
        <f>"03303"</f>
        <v>03303</v>
      </c>
      <c r="H8097" s="19" t="s">
        <v>36574</v>
      </c>
      <c r="I8097" s="20">
        <v>18.308</v>
      </c>
      <c r="J8097" s="44" t="s">
        <v>8</v>
      </c>
      <c r="K8097" s="23" t="s">
        <v>8</v>
      </c>
      <c r="L8097" s="23" t="s">
        <v>8</v>
      </c>
      <c r="M8097" s="23" t="s">
        <v>8</v>
      </c>
    </row>
    <row r="8098" spans="1:13" s="21" customFormat="1" x14ac:dyDescent="0.25">
      <c r="A8098" s="22" t="s">
        <v>8</v>
      </c>
      <c r="B8098" s="18" t="str">
        <f>"305057"</f>
        <v>305057</v>
      </c>
      <c r="C8098" s="19" t="s">
        <v>7976</v>
      </c>
      <c r="D8098" s="19" t="s">
        <v>23517</v>
      </c>
      <c r="E8098" s="19" t="s">
        <v>31394</v>
      </c>
      <c r="F8098" s="19" t="s">
        <v>36003</v>
      </c>
      <c r="G8098" s="18" t="str">
        <f>"03104"</f>
        <v>03104</v>
      </c>
      <c r="H8098" s="19" t="s">
        <v>33986</v>
      </c>
      <c r="I8098" s="20">
        <v>19.141999999999999</v>
      </c>
      <c r="J8098" s="44" t="s">
        <v>8</v>
      </c>
      <c r="K8098" s="23" t="s">
        <v>8</v>
      </c>
      <c r="L8098" s="23" t="s">
        <v>8</v>
      </c>
      <c r="M8098" s="23" t="s">
        <v>8</v>
      </c>
    </row>
    <row r="8099" spans="1:13" s="21" customFormat="1" x14ac:dyDescent="0.25">
      <c r="A8099" s="22" t="s">
        <v>8</v>
      </c>
      <c r="B8099" s="18" t="str">
        <f>"305058"</f>
        <v>305058</v>
      </c>
      <c r="C8099" s="19" t="s">
        <v>7977</v>
      </c>
      <c r="D8099" s="19" t="s">
        <v>23518</v>
      </c>
      <c r="E8099" s="19" t="s">
        <v>31038</v>
      </c>
      <c r="F8099" s="19" t="s">
        <v>36003</v>
      </c>
      <c r="G8099" s="18" t="str">
        <f>"03079"</f>
        <v>03079</v>
      </c>
      <c r="H8099" s="19" t="s">
        <v>34326</v>
      </c>
      <c r="I8099" s="20">
        <v>19.844999999999999</v>
      </c>
      <c r="J8099" s="44" t="s">
        <v>8</v>
      </c>
      <c r="K8099" s="23" t="s">
        <v>8</v>
      </c>
      <c r="L8099" s="23" t="s">
        <v>8</v>
      </c>
      <c r="M8099" s="23" t="s">
        <v>8</v>
      </c>
    </row>
    <row r="8100" spans="1:13" s="21" customFormat="1" x14ac:dyDescent="0.25">
      <c r="A8100" s="22" t="s">
        <v>8</v>
      </c>
      <c r="B8100" s="18" t="str">
        <f>"305059"</f>
        <v>305059</v>
      </c>
      <c r="C8100" s="19" t="s">
        <v>7978</v>
      </c>
      <c r="D8100" s="19" t="s">
        <v>23519</v>
      </c>
      <c r="E8100" s="19" t="s">
        <v>33860</v>
      </c>
      <c r="F8100" s="19" t="s">
        <v>36003</v>
      </c>
      <c r="G8100" s="18" t="str">
        <f>"03458"</f>
        <v>03458</v>
      </c>
      <c r="H8100" s="19" t="s">
        <v>33986</v>
      </c>
      <c r="I8100" s="20">
        <v>19.937999999999999</v>
      </c>
      <c r="J8100" s="44" t="s">
        <v>8</v>
      </c>
      <c r="K8100" s="23" t="s">
        <v>8</v>
      </c>
      <c r="L8100" s="23" t="s">
        <v>8</v>
      </c>
      <c r="M8100" s="23" t="s">
        <v>8</v>
      </c>
    </row>
    <row r="8101" spans="1:13" s="21" customFormat="1" x14ac:dyDescent="0.25">
      <c r="A8101" s="22" t="s">
        <v>8</v>
      </c>
      <c r="B8101" s="18" t="str">
        <f>"305060"</f>
        <v>305060</v>
      </c>
      <c r="C8101" s="19" t="s">
        <v>7979</v>
      </c>
      <c r="D8101" s="19" t="s">
        <v>23520</v>
      </c>
      <c r="E8101" s="19" t="s">
        <v>32215</v>
      </c>
      <c r="F8101" s="19" t="s">
        <v>36003</v>
      </c>
      <c r="G8101" s="18" t="str">
        <f>"03110"</f>
        <v>03110</v>
      </c>
      <c r="H8101" s="19" t="s">
        <v>33986</v>
      </c>
      <c r="I8101" s="20">
        <v>20.427</v>
      </c>
      <c r="J8101" s="44" t="s">
        <v>8</v>
      </c>
      <c r="K8101" s="23" t="s">
        <v>8</v>
      </c>
      <c r="L8101" s="23" t="s">
        <v>8</v>
      </c>
      <c r="M8101" s="23" t="s">
        <v>8</v>
      </c>
    </row>
    <row r="8102" spans="1:13" s="21" customFormat="1" x14ac:dyDescent="0.25">
      <c r="A8102" s="22" t="s">
        <v>8</v>
      </c>
      <c r="B8102" s="18" t="str">
        <f>"305061"</f>
        <v>305061</v>
      </c>
      <c r="C8102" s="19" t="s">
        <v>7980</v>
      </c>
      <c r="D8102" s="19" t="s">
        <v>23521</v>
      </c>
      <c r="E8102" s="19" t="s">
        <v>31405</v>
      </c>
      <c r="F8102" s="19" t="s">
        <v>36003</v>
      </c>
      <c r="G8102" s="18" t="str">
        <f>"03055"</f>
        <v>03055</v>
      </c>
      <c r="H8102" s="19" t="s">
        <v>33986</v>
      </c>
      <c r="I8102" s="20">
        <v>20.010999999999999</v>
      </c>
      <c r="J8102" s="44" t="s">
        <v>8</v>
      </c>
      <c r="K8102" s="23" t="s">
        <v>8</v>
      </c>
      <c r="L8102" s="23" t="s">
        <v>8</v>
      </c>
      <c r="M8102" s="23" t="s">
        <v>8</v>
      </c>
    </row>
    <row r="8103" spans="1:13" s="21" customFormat="1" x14ac:dyDescent="0.25">
      <c r="A8103" s="22" t="s">
        <v>8</v>
      </c>
      <c r="B8103" s="18" t="str">
        <f>"305062"</f>
        <v>305062</v>
      </c>
      <c r="C8103" s="19" t="s">
        <v>7981</v>
      </c>
      <c r="D8103" s="19" t="s">
        <v>23522</v>
      </c>
      <c r="E8103" s="19" t="s">
        <v>33850</v>
      </c>
      <c r="F8103" s="19" t="s">
        <v>36003</v>
      </c>
      <c r="G8103" s="18" t="str">
        <f>"03431"</f>
        <v>03431</v>
      </c>
      <c r="H8103" s="19" t="s">
        <v>31435</v>
      </c>
      <c r="I8103" s="20">
        <v>18.667999999999999</v>
      </c>
      <c r="J8103" s="44" t="s">
        <v>8</v>
      </c>
      <c r="K8103" s="23" t="s">
        <v>8</v>
      </c>
      <c r="L8103" s="23" t="s">
        <v>8</v>
      </c>
      <c r="M8103" s="23" t="s">
        <v>8</v>
      </c>
    </row>
    <row r="8104" spans="1:13" s="21" customFormat="1" x14ac:dyDescent="0.25">
      <c r="A8104" s="22" t="s">
        <v>8</v>
      </c>
      <c r="B8104" s="18" t="str">
        <f>"305063"</f>
        <v>305063</v>
      </c>
      <c r="C8104" s="19" t="s">
        <v>7982</v>
      </c>
      <c r="D8104" s="19" t="s">
        <v>23523</v>
      </c>
      <c r="E8104" s="19" t="s">
        <v>31141</v>
      </c>
      <c r="F8104" s="19" t="s">
        <v>36003</v>
      </c>
      <c r="G8104" s="18" t="str">
        <f>"03301"</f>
        <v>03301</v>
      </c>
      <c r="H8104" s="19" t="s">
        <v>36574</v>
      </c>
      <c r="I8104" s="20">
        <v>19.285</v>
      </c>
      <c r="J8104" s="44" t="s">
        <v>8</v>
      </c>
      <c r="K8104" s="23" t="s">
        <v>8</v>
      </c>
      <c r="L8104" s="23" t="s">
        <v>8</v>
      </c>
      <c r="M8104" s="23" t="s">
        <v>8</v>
      </c>
    </row>
    <row r="8105" spans="1:13" s="21" customFormat="1" x14ac:dyDescent="0.25">
      <c r="A8105" s="22" t="s">
        <v>8</v>
      </c>
      <c r="B8105" s="18" t="str">
        <f>"305064"</f>
        <v>305064</v>
      </c>
      <c r="C8105" s="19" t="s">
        <v>7983</v>
      </c>
      <c r="D8105" s="19" t="s">
        <v>23524</v>
      </c>
      <c r="E8105" s="19" t="s">
        <v>33857</v>
      </c>
      <c r="F8105" s="19" t="s">
        <v>36003</v>
      </c>
      <c r="G8105" s="18" t="str">
        <f>"03833"</f>
        <v>03833</v>
      </c>
      <c r="H8105" s="19" t="s">
        <v>34326</v>
      </c>
      <c r="I8105" s="20">
        <v>17.472000000000001</v>
      </c>
      <c r="J8105" s="44" t="s">
        <v>8</v>
      </c>
      <c r="K8105" s="23" t="s">
        <v>8</v>
      </c>
      <c r="L8105" s="23" t="s">
        <v>8</v>
      </c>
      <c r="M8105" s="23" t="s">
        <v>8</v>
      </c>
    </row>
    <row r="8106" spans="1:13" s="21" customFormat="1" x14ac:dyDescent="0.25">
      <c r="A8106" s="22" t="s">
        <v>8</v>
      </c>
      <c r="B8106" s="18" t="str">
        <f>"305065"</f>
        <v>305065</v>
      </c>
      <c r="C8106" s="19" t="s">
        <v>7984</v>
      </c>
      <c r="D8106" s="19" t="s">
        <v>23525</v>
      </c>
      <c r="E8106" s="19" t="s">
        <v>32175</v>
      </c>
      <c r="F8106" s="19" t="s">
        <v>36003</v>
      </c>
      <c r="G8106" s="18" t="str">
        <f>"03470"</f>
        <v>03470</v>
      </c>
      <c r="H8106" s="19" t="s">
        <v>31435</v>
      </c>
      <c r="I8106" s="20">
        <v>21.02</v>
      </c>
      <c r="J8106" s="44" t="s">
        <v>8</v>
      </c>
      <c r="K8106" s="23" t="s">
        <v>8</v>
      </c>
      <c r="L8106" s="23" t="s">
        <v>8</v>
      </c>
      <c r="M8106" s="23" t="s">
        <v>8</v>
      </c>
    </row>
    <row r="8107" spans="1:13" s="21" customFormat="1" x14ac:dyDescent="0.25">
      <c r="A8107" s="22" t="s">
        <v>8</v>
      </c>
      <c r="B8107" s="18" t="str">
        <f>"305066"</f>
        <v>305066</v>
      </c>
      <c r="C8107" s="19" t="s">
        <v>7985</v>
      </c>
      <c r="D8107" s="19" t="s">
        <v>23526</v>
      </c>
      <c r="E8107" s="19" t="s">
        <v>32952</v>
      </c>
      <c r="F8107" s="19" t="s">
        <v>36003</v>
      </c>
      <c r="G8107" s="18" t="str">
        <f>"03570"</f>
        <v>03570</v>
      </c>
      <c r="H8107" s="19" t="s">
        <v>36575</v>
      </c>
      <c r="I8107" s="20">
        <v>17.103999999999999</v>
      </c>
      <c r="J8107" s="44" t="s">
        <v>8</v>
      </c>
      <c r="K8107" s="23" t="s">
        <v>8</v>
      </c>
      <c r="L8107" s="23" t="s">
        <v>8</v>
      </c>
      <c r="M8107" s="23" t="s">
        <v>8</v>
      </c>
    </row>
    <row r="8108" spans="1:13" s="21" customFormat="1" x14ac:dyDescent="0.25">
      <c r="A8108" s="22" t="s">
        <v>8</v>
      </c>
      <c r="B8108" s="18" t="str">
        <f>"305067"</f>
        <v>305067</v>
      </c>
      <c r="C8108" s="19" t="s">
        <v>7986</v>
      </c>
      <c r="D8108" s="19" t="s">
        <v>23527</v>
      </c>
      <c r="E8108" s="19" t="s">
        <v>31394</v>
      </c>
      <c r="F8108" s="19" t="s">
        <v>36003</v>
      </c>
      <c r="G8108" s="18" t="str">
        <f>"03104"</f>
        <v>03104</v>
      </c>
      <c r="H8108" s="19" t="s">
        <v>33986</v>
      </c>
      <c r="I8108" s="20">
        <v>19.18</v>
      </c>
      <c r="J8108" s="44" t="s">
        <v>8</v>
      </c>
      <c r="K8108" s="23" t="s">
        <v>8</v>
      </c>
      <c r="L8108" s="23" t="s">
        <v>8</v>
      </c>
      <c r="M8108" s="23" t="s">
        <v>8</v>
      </c>
    </row>
    <row r="8109" spans="1:13" s="21" customFormat="1" x14ac:dyDescent="0.25">
      <c r="A8109" s="22" t="s">
        <v>8</v>
      </c>
      <c r="B8109" s="18" t="str">
        <f>"305068"</f>
        <v>305068</v>
      </c>
      <c r="C8109" s="19" t="s">
        <v>7987</v>
      </c>
      <c r="D8109" s="19" t="s">
        <v>23528</v>
      </c>
      <c r="E8109" s="19" t="s">
        <v>31405</v>
      </c>
      <c r="F8109" s="19" t="s">
        <v>36003</v>
      </c>
      <c r="G8109" s="18" t="str">
        <f>"03055"</f>
        <v>03055</v>
      </c>
      <c r="H8109" s="19" t="s">
        <v>33986</v>
      </c>
      <c r="I8109" s="20">
        <v>19.981000000000002</v>
      </c>
      <c r="J8109" s="44" t="s">
        <v>8</v>
      </c>
      <c r="K8109" s="23" t="s">
        <v>8</v>
      </c>
      <c r="L8109" s="23" t="s">
        <v>8</v>
      </c>
      <c r="M8109" s="23" t="s">
        <v>8</v>
      </c>
    </row>
    <row r="8110" spans="1:13" s="21" customFormat="1" x14ac:dyDescent="0.25">
      <c r="A8110" s="22" t="s">
        <v>8</v>
      </c>
      <c r="B8110" s="18" t="str">
        <f>"305069"</f>
        <v>305069</v>
      </c>
      <c r="C8110" s="19" t="s">
        <v>7988</v>
      </c>
      <c r="D8110" s="19" t="s">
        <v>23529</v>
      </c>
      <c r="E8110" s="19" t="s">
        <v>31492</v>
      </c>
      <c r="F8110" s="19" t="s">
        <v>36003</v>
      </c>
      <c r="G8110" s="18" t="str">
        <f>"03820"</f>
        <v>03820</v>
      </c>
      <c r="H8110" s="19" t="s">
        <v>33694</v>
      </c>
      <c r="I8110" s="20">
        <v>17.442</v>
      </c>
      <c r="J8110" s="44" t="s">
        <v>8</v>
      </c>
      <c r="K8110" s="23" t="s">
        <v>8</v>
      </c>
      <c r="L8110" s="23" t="s">
        <v>8</v>
      </c>
      <c r="M8110" s="23" t="s">
        <v>8</v>
      </c>
    </row>
    <row r="8111" spans="1:13" s="21" customFormat="1" x14ac:dyDescent="0.25">
      <c r="A8111" s="22" t="s">
        <v>8</v>
      </c>
      <c r="B8111" s="18" t="str">
        <f>"305070"</f>
        <v>305070</v>
      </c>
      <c r="C8111" s="19" t="s">
        <v>7989</v>
      </c>
      <c r="D8111" s="19" t="s">
        <v>23530</v>
      </c>
      <c r="E8111" s="19" t="s">
        <v>33849</v>
      </c>
      <c r="F8111" s="19" t="s">
        <v>36003</v>
      </c>
      <c r="G8111" s="18" t="str">
        <f>"03246"</f>
        <v>03246</v>
      </c>
      <c r="H8111" s="19" t="s">
        <v>36573</v>
      </c>
      <c r="I8111" s="20">
        <v>19.157</v>
      </c>
      <c r="J8111" s="44" t="s">
        <v>8</v>
      </c>
      <c r="K8111" s="23" t="s">
        <v>8</v>
      </c>
      <c r="L8111" s="23" t="s">
        <v>8</v>
      </c>
      <c r="M8111" s="23" t="s">
        <v>8</v>
      </c>
    </row>
    <row r="8112" spans="1:13" s="21" customFormat="1" x14ac:dyDescent="0.25">
      <c r="A8112" s="22" t="s">
        <v>8</v>
      </c>
      <c r="B8112" s="18" t="str">
        <f>"305071"</f>
        <v>305071</v>
      </c>
      <c r="C8112" s="19" t="s">
        <v>7990</v>
      </c>
      <c r="D8112" s="19" t="s">
        <v>23531</v>
      </c>
      <c r="E8112" s="19" t="s">
        <v>31394</v>
      </c>
      <c r="F8112" s="19" t="s">
        <v>36003</v>
      </c>
      <c r="G8112" s="18" t="str">
        <f>"03104"</f>
        <v>03104</v>
      </c>
      <c r="H8112" s="19" t="s">
        <v>33986</v>
      </c>
      <c r="I8112" s="20">
        <v>20.091999999999999</v>
      </c>
      <c r="J8112" s="44" t="s">
        <v>8</v>
      </c>
      <c r="K8112" s="23" t="s">
        <v>8</v>
      </c>
      <c r="L8112" s="23" t="s">
        <v>8</v>
      </c>
      <c r="M8112" s="23" t="s">
        <v>8</v>
      </c>
    </row>
    <row r="8113" spans="1:13" s="21" customFormat="1" x14ac:dyDescent="0.25">
      <c r="A8113" s="22" t="s">
        <v>8</v>
      </c>
      <c r="B8113" s="18" t="str">
        <f>"305072"</f>
        <v>305072</v>
      </c>
      <c r="C8113" s="19" t="s">
        <v>7991</v>
      </c>
      <c r="D8113" s="19" t="s">
        <v>23532</v>
      </c>
      <c r="E8113" s="19" t="s">
        <v>33861</v>
      </c>
      <c r="F8113" s="19" t="s">
        <v>36003</v>
      </c>
      <c r="G8113" s="18" t="str">
        <f>"03452"</f>
        <v>03452</v>
      </c>
      <c r="H8113" s="19" t="s">
        <v>31435</v>
      </c>
      <c r="I8113" s="20">
        <v>17.78</v>
      </c>
      <c r="J8113" s="44" t="s">
        <v>8</v>
      </c>
      <c r="K8113" s="23" t="s">
        <v>8</v>
      </c>
      <c r="L8113" s="23" t="s">
        <v>8</v>
      </c>
      <c r="M8113" s="23" t="s">
        <v>8</v>
      </c>
    </row>
    <row r="8114" spans="1:13" s="21" customFormat="1" x14ac:dyDescent="0.25">
      <c r="A8114" s="22" t="s">
        <v>8</v>
      </c>
      <c r="B8114" s="18" t="str">
        <f>"305074"</f>
        <v>305074</v>
      </c>
      <c r="C8114" s="19" t="s">
        <v>7992</v>
      </c>
      <c r="D8114" s="19" t="s">
        <v>23533</v>
      </c>
      <c r="E8114" s="19" t="s">
        <v>31394</v>
      </c>
      <c r="F8114" s="19" t="s">
        <v>36003</v>
      </c>
      <c r="G8114" s="18" t="str">
        <f>"03109"</f>
        <v>03109</v>
      </c>
      <c r="H8114" s="19" t="s">
        <v>33986</v>
      </c>
      <c r="I8114" s="20">
        <v>18.678000000000001</v>
      </c>
      <c r="J8114" s="44" t="s">
        <v>8</v>
      </c>
      <c r="K8114" s="23" t="s">
        <v>8</v>
      </c>
      <c r="L8114" s="23" t="s">
        <v>8</v>
      </c>
      <c r="M8114" s="23" t="s">
        <v>8</v>
      </c>
    </row>
    <row r="8115" spans="1:13" s="21" customFormat="1" x14ac:dyDescent="0.25">
      <c r="A8115" s="22" t="s">
        <v>8</v>
      </c>
      <c r="B8115" s="18" t="str">
        <f>"305075"</f>
        <v>305075</v>
      </c>
      <c r="C8115" s="19" t="s">
        <v>7993</v>
      </c>
      <c r="D8115" s="19" t="s">
        <v>23534</v>
      </c>
      <c r="E8115" s="19" t="s">
        <v>5</v>
      </c>
      <c r="F8115" s="19" t="s">
        <v>36003</v>
      </c>
      <c r="G8115" s="18" t="str">
        <f>"03235"</f>
        <v>03235</v>
      </c>
      <c r="H8115" s="19" t="s">
        <v>36574</v>
      </c>
      <c r="I8115" s="20">
        <v>17.943999999999999</v>
      </c>
      <c r="J8115" s="44" t="s">
        <v>8</v>
      </c>
      <c r="K8115" s="23" t="s">
        <v>8</v>
      </c>
      <c r="L8115" s="23" t="s">
        <v>8</v>
      </c>
      <c r="M8115" s="23" t="s">
        <v>8</v>
      </c>
    </row>
    <row r="8116" spans="1:13" s="21" customFormat="1" x14ac:dyDescent="0.25">
      <c r="A8116" s="22" t="s">
        <v>8</v>
      </c>
      <c r="B8116" s="18" t="str">
        <f>"305076"</f>
        <v>305076</v>
      </c>
      <c r="C8116" s="19" t="s">
        <v>7994</v>
      </c>
      <c r="D8116" s="19" t="s">
        <v>23535</v>
      </c>
      <c r="E8116" s="19" t="s">
        <v>31184</v>
      </c>
      <c r="F8116" s="19" t="s">
        <v>36003</v>
      </c>
      <c r="G8116" s="18" t="str">
        <f>"03584"</f>
        <v>03584</v>
      </c>
      <c r="H8116" s="19" t="s">
        <v>36575</v>
      </c>
      <c r="I8116" s="20">
        <v>17.035</v>
      </c>
      <c r="J8116" s="44" t="s">
        <v>8</v>
      </c>
      <c r="K8116" s="23" t="s">
        <v>8</v>
      </c>
      <c r="L8116" s="23" t="s">
        <v>8</v>
      </c>
      <c r="M8116" s="23" t="s">
        <v>8</v>
      </c>
    </row>
    <row r="8117" spans="1:13" s="21" customFormat="1" x14ac:dyDescent="0.25">
      <c r="A8117" s="22" t="s">
        <v>8</v>
      </c>
      <c r="B8117" s="18" t="str">
        <f>"305077"</f>
        <v>305077</v>
      </c>
      <c r="C8117" s="19" t="s">
        <v>7995</v>
      </c>
      <c r="D8117" s="19" t="s">
        <v>23536</v>
      </c>
      <c r="E8117" s="19" t="s">
        <v>33862</v>
      </c>
      <c r="F8117" s="19" t="s">
        <v>36003</v>
      </c>
      <c r="G8117" s="18" t="str">
        <f>"03580"</f>
        <v>03580</v>
      </c>
      <c r="H8117" s="19" t="s">
        <v>34391</v>
      </c>
      <c r="I8117" s="20">
        <v>17.195</v>
      </c>
      <c r="J8117" s="44" t="s">
        <v>8</v>
      </c>
      <c r="K8117" s="23" t="s">
        <v>8</v>
      </c>
      <c r="L8117" s="23" t="s">
        <v>8</v>
      </c>
      <c r="M8117" s="23" t="s">
        <v>8</v>
      </c>
    </row>
    <row r="8118" spans="1:13" s="21" customFormat="1" x14ac:dyDescent="0.25">
      <c r="A8118" s="22" t="s">
        <v>8</v>
      </c>
      <c r="B8118" s="18" t="str">
        <f>"305078"</f>
        <v>305078</v>
      </c>
      <c r="C8118" s="19" t="s">
        <v>7996</v>
      </c>
      <c r="D8118" s="19" t="s">
        <v>23537</v>
      </c>
      <c r="E8118" s="19" t="s">
        <v>31141</v>
      </c>
      <c r="F8118" s="19" t="s">
        <v>36003</v>
      </c>
      <c r="G8118" s="18" t="str">
        <f>"03301"</f>
        <v>03301</v>
      </c>
      <c r="H8118" s="19" t="s">
        <v>36574</v>
      </c>
      <c r="I8118" s="20">
        <v>18.870999999999999</v>
      </c>
      <c r="J8118" s="44" t="s">
        <v>8</v>
      </c>
      <c r="K8118" s="23" t="s">
        <v>8</v>
      </c>
      <c r="L8118" s="23" t="s">
        <v>8</v>
      </c>
      <c r="M8118" s="23" t="s">
        <v>8</v>
      </c>
    </row>
    <row r="8119" spans="1:13" s="21" customFormat="1" x14ac:dyDescent="0.25">
      <c r="A8119" s="22" t="s">
        <v>8</v>
      </c>
      <c r="B8119" s="18" t="str">
        <f>"305079"</f>
        <v>305079</v>
      </c>
      <c r="C8119" s="19" t="s">
        <v>7997</v>
      </c>
      <c r="D8119" s="19" t="s">
        <v>23538</v>
      </c>
      <c r="E8119" s="19" t="s">
        <v>31394</v>
      </c>
      <c r="F8119" s="19" t="s">
        <v>36003</v>
      </c>
      <c r="G8119" s="18" t="str">
        <f>"03104"</f>
        <v>03104</v>
      </c>
      <c r="H8119" s="19" t="s">
        <v>33986</v>
      </c>
      <c r="I8119" s="20">
        <v>16.422999999999998</v>
      </c>
      <c r="J8119" s="44" t="s">
        <v>8</v>
      </c>
      <c r="K8119" s="23" t="s">
        <v>8</v>
      </c>
      <c r="L8119" s="23" t="s">
        <v>8</v>
      </c>
      <c r="M8119" s="23" t="s">
        <v>8</v>
      </c>
    </row>
    <row r="8120" spans="1:13" s="21" customFormat="1" x14ac:dyDescent="0.25">
      <c r="A8120" s="22" t="s">
        <v>8</v>
      </c>
      <c r="B8120" s="18" t="str">
        <f>"305080"</f>
        <v>305080</v>
      </c>
      <c r="C8120" s="19" t="s">
        <v>7998</v>
      </c>
      <c r="D8120" s="19" t="s">
        <v>23539</v>
      </c>
      <c r="E8120" s="19" t="s">
        <v>33863</v>
      </c>
      <c r="F8120" s="19" t="s">
        <v>36003</v>
      </c>
      <c r="G8120" s="18" t="str">
        <f>"03234"</f>
        <v>03234</v>
      </c>
      <c r="H8120" s="19" t="s">
        <v>36574</v>
      </c>
      <c r="I8120" s="20">
        <v>18.949000000000002</v>
      </c>
      <c r="J8120" s="44" t="s">
        <v>8</v>
      </c>
      <c r="K8120" s="23" t="s">
        <v>8</v>
      </c>
      <c r="L8120" s="23" t="s">
        <v>8</v>
      </c>
      <c r="M8120" s="23" t="s">
        <v>8</v>
      </c>
    </row>
    <row r="8121" spans="1:13" s="21" customFormat="1" x14ac:dyDescent="0.25">
      <c r="A8121" s="22" t="s">
        <v>8</v>
      </c>
      <c r="B8121" s="18" t="str">
        <f>"305081"</f>
        <v>305081</v>
      </c>
      <c r="C8121" s="19" t="s">
        <v>7999</v>
      </c>
      <c r="D8121" s="19" t="s">
        <v>23540</v>
      </c>
      <c r="E8121" s="19" t="s">
        <v>32267</v>
      </c>
      <c r="F8121" s="19" t="s">
        <v>36003</v>
      </c>
      <c r="G8121" s="18" t="str">
        <f>"03867"</f>
        <v>03867</v>
      </c>
      <c r="H8121" s="19" t="s">
        <v>33694</v>
      </c>
      <c r="I8121" s="20">
        <v>20.562000000000001</v>
      </c>
      <c r="J8121" s="44" t="s">
        <v>8</v>
      </c>
      <c r="K8121" s="23" t="s">
        <v>8</v>
      </c>
      <c r="L8121" s="23" t="s">
        <v>8</v>
      </c>
      <c r="M8121" s="23" t="s">
        <v>8</v>
      </c>
    </row>
    <row r="8122" spans="1:13" s="21" customFormat="1" x14ac:dyDescent="0.25">
      <c r="A8122" s="22" t="s">
        <v>8</v>
      </c>
      <c r="B8122" s="18" t="str">
        <f>"305082"</f>
        <v>305082</v>
      </c>
      <c r="C8122" s="19" t="s">
        <v>8000</v>
      </c>
      <c r="D8122" s="19" t="s">
        <v>23541</v>
      </c>
      <c r="E8122" s="19" t="s">
        <v>33852</v>
      </c>
      <c r="F8122" s="19" t="s">
        <v>36003</v>
      </c>
      <c r="G8122" s="18" t="str">
        <f>"03801"</f>
        <v>03801</v>
      </c>
      <c r="H8122" s="19" t="s">
        <v>34326</v>
      </c>
      <c r="I8122" s="20">
        <v>19.672000000000001</v>
      </c>
      <c r="J8122" s="44" t="s">
        <v>8</v>
      </c>
      <c r="K8122" s="23" t="s">
        <v>8</v>
      </c>
      <c r="L8122" s="23" t="s">
        <v>8</v>
      </c>
      <c r="M8122" s="23" t="s">
        <v>8</v>
      </c>
    </row>
    <row r="8123" spans="1:13" s="21" customFormat="1" x14ac:dyDescent="0.25">
      <c r="A8123" s="22" t="s">
        <v>8</v>
      </c>
      <c r="B8123" s="18" t="str">
        <f>"305083"</f>
        <v>305083</v>
      </c>
      <c r="C8123" s="19" t="s">
        <v>8001</v>
      </c>
      <c r="D8123" s="19" t="s">
        <v>23542</v>
      </c>
      <c r="E8123" s="19" t="s">
        <v>33864</v>
      </c>
      <c r="F8123" s="19" t="s">
        <v>36003</v>
      </c>
      <c r="G8123" s="18" t="str">
        <f>"03894"</f>
        <v>03894</v>
      </c>
      <c r="H8123" s="19" t="s">
        <v>32334</v>
      </c>
      <c r="I8123" s="20">
        <v>16.584</v>
      </c>
      <c r="J8123" s="44" t="s">
        <v>8</v>
      </c>
      <c r="K8123" s="23" t="s">
        <v>8</v>
      </c>
      <c r="L8123" s="23" t="s">
        <v>8</v>
      </c>
      <c r="M8123" s="23" t="s">
        <v>8</v>
      </c>
    </row>
    <row r="8124" spans="1:13" s="21" customFormat="1" x14ac:dyDescent="0.25">
      <c r="A8124" s="22" t="s">
        <v>8</v>
      </c>
      <c r="B8124" s="18" t="str">
        <f>"305084"</f>
        <v>305084</v>
      </c>
      <c r="C8124" s="19" t="s">
        <v>8002</v>
      </c>
      <c r="D8124" s="19" t="s">
        <v>23543</v>
      </c>
      <c r="E8124" s="19" t="s">
        <v>33865</v>
      </c>
      <c r="F8124" s="19" t="s">
        <v>36003</v>
      </c>
      <c r="G8124" s="18" t="str">
        <f>"03860"</f>
        <v>03860</v>
      </c>
      <c r="H8124" s="19" t="s">
        <v>32334</v>
      </c>
      <c r="I8124" s="20">
        <v>17.984999999999999</v>
      </c>
      <c r="J8124" s="44" t="s">
        <v>8</v>
      </c>
      <c r="K8124" s="23" t="s">
        <v>8</v>
      </c>
      <c r="L8124" s="23" t="s">
        <v>8</v>
      </c>
      <c r="M8124" s="23" t="s">
        <v>8</v>
      </c>
    </row>
    <row r="8125" spans="1:13" s="21" customFormat="1" x14ac:dyDescent="0.25">
      <c r="A8125" s="22" t="s">
        <v>8</v>
      </c>
      <c r="B8125" s="18" t="str">
        <f>"305085"</f>
        <v>305085</v>
      </c>
      <c r="C8125" s="19" t="s">
        <v>8003</v>
      </c>
      <c r="D8125" s="19" t="s">
        <v>23544</v>
      </c>
      <c r="E8125" s="19" t="s">
        <v>33850</v>
      </c>
      <c r="F8125" s="19" t="s">
        <v>36003</v>
      </c>
      <c r="G8125" s="18" t="str">
        <f>"03431"</f>
        <v>03431</v>
      </c>
      <c r="H8125" s="19" t="s">
        <v>31435</v>
      </c>
      <c r="I8125" s="20">
        <v>19.184000000000001</v>
      </c>
      <c r="J8125" s="44" t="s">
        <v>8</v>
      </c>
      <c r="K8125" s="23" t="s">
        <v>8</v>
      </c>
      <c r="L8125" s="23" t="s">
        <v>8</v>
      </c>
      <c r="M8125" s="23" t="s">
        <v>8</v>
      </c>
    </row>
    <row r="8126" spans="1:13" s="21" customFormat="1" x14ac:dyDescent="0.25">
      <c r="A8126" s="22" t="s">
        <v>8</v>
      </c>
      <c r="B8126" s="18" t="str">
        <f>"305086"</f>
        <v>305086</v>
      </c>
      <c r="C8126" s="19" t="s">
        <v>8004</v>
      </c>
      <c r="D8126" s="19" t="s">
        <v>23545</v>
      </c>
      <c r="E8126" s="19" t="s">
        <v>32215</v>
      </c>
      <c r="F8126" s="19" t="s">
        <v>36003</v>
      </c>
      <c r="G8126" s="18" t="str">
        <f>"03110"</f>
        <v>03110</v>
      </c>
      <c r="H8126" s="19" t="s">
        <v>33986</v>
      </c>
      <c r="I8126" s="20">
        <v>18.696000000000002</v>
      </c>
      <c r="J8126" s="44" t="s">
        <v>8</v>
      </c>
      <c r="K8126" s="23" t="s">
        <v>8</v>
      </c>
      <c r="L8126" s="23" t="s">
        <v>8</v>
      </c>
      <c r="M8126" s="23" t="s">
        <v>8</v>
      </c>
    </row>
    <row r="8127" spans="1:13" s="21" customFormat="1" x14ac:dyDescent="0.25">
      <c r="A8127" s="22" t="s">
        <v>8</v>
      </c>
      <c r="B8127" s="18" t="str">
        <f>"305087"</f>
        <v>305087</v>
      </c>
      <c r="C8127" s="19" t="s">
        <v>8005</v>
      </c>
      <c r="D8127" s="19" t="s">
        <v>23546</v>
      </c>
      <c r="E8127" s="19" t="s">
        <v>33866</v>
      </c>
      <c r="F8127" s="19" t="s">
        <v>36003</v>
      </c>
      <c r="G8127" s="18" t="str">
        <f>"03864"</f>
        <v>03864</v>
      </c>
      <c r="H8127" s="19" t="s">
        <v>32334</v>
      </c>
      <c r="I8127" s="20">
        <v>17.262</v>
      </c>
      <c r="J8127" s="44" t="s">
        <v>8</v>
      </c>
      <c r="K8127" s="23" t="s">
        <v>8</v>
      </c>
      <c r="L8127" s="23" t="s">
        <v>8</v>
      </c>
      <c r="M8127" s="23" t="s">
        <v>8</v>
      </c>
    </row>
    <row r="8128" spans="1:13" s="21" customFormat="1" x14ac:dyDescent="0.25">
      <c r="A8128" s="22" t="s">
        <v>8</v>
      </c>
      <c r="B8128" s="18" t="str">
        <f>"305088"</f>
        <v>305088</v>
      </c>
      <c r="C8128" s="19" t="s">
        <v>8006</v>
      </c>
      <c r="D8128" s="19" t="s">
        <v>23547</v>
      </c>
      <c r="E8128" s="19" t="s">
        <v>31394</v>
      </c>
      <c r="F8128" s="19" t="s">
        <v>36003</v>
      </c>
      <c r="G8128" s="18" t="str">
        <f>"03104"</f>
        <v>03104</v>
      </c>
      <c r="H8128" s="19" t="s">
        <v>33986</v>
      </c>
      <c r="I8128" s="20">
        <v>19.149999999999999</v>
      </c>
      <c r="J8128" s="44" t="s">
        <v>8</v>
      </c>
      <c r="K8128" s="23" t="s">
        <v>8</v>
      </c>
      <c r="L8128" s="23" t="s">
        <v>8</v>
      </c>
      <c r="M8128" s="23" t="s">
        <v>8</v>
      </c>
    </row>
    <row r="8129" spans="1:13" s="21" customFormat="1" x14ac:dyDescent="0.25">
      <c r="A8129" s="22" t="s">
        <v>8</v>
      </c>
      <c r="B8129" s="18" t="str">
        <f>"305089"</f>
        <v>305089</v>
      </c>
      <c r="C8129" s="19" t="s">
        <v>8007</v>
      </c>
      <c r="D8129" s="19" t="s">
        <v>23548</v>
      </c>
      <c r="E8129" s="19" t="s">
        <v>31492</v>
      </c>
      <c r="F8129" s="19" t="s">
        <v>36003</v>
      </c>
      <c r="G8129" s="18" t="str">
        <f>"03820"</f>
        <v>03820</v>
      </c>
      <c r="H8129" s="19" t="s">
        <v>33694</v>
      </c>
      <c r="I8129" s="20">
        <v>20.818999999999999</v>
      </c>
      <c r="J8129" s="44" t="s">
        <v>8</v>
      </c>
      <c r="K8129" s="23" t="s">
        <v>8</v>
      </c>
      <c r="L8129" s="23" t="s">
        <v>8</v>
      </c>
      <c r="M8129" s="23" t="s">
        <v>8</v>
      </c>
    </row>
    <row r="8130" spans="1:13" s="21" customFormat="1" x14ac:dyDescent="0.25">
      <c r="A8130" s="22" t="s">
        <v>8</v>
      </c>
      <c r="B8130" s="18" t="str">
        <f>"305091"</f>
        <v>305091</v>
      </c>
      <c r="C8130" s="19" t="s">
        <v>8008</v>
      </c>
      <c r="D8130" s="19" t="s">
        <v>23549</v>
      </c>
      <c r="E8130" s="19" t="s">
        <v>31175</v>
      </c>
      <c r="F8130" s="19" t="s">
        <v>36003</v>
      </c>
      <c r="G8130" s="18" t="str">
        <f>"03044"</f>
        <v>03044</v>
      </c>
      <c r="H8130" s="19" t="s">
        <v>34326</v>
      </c>
      <c r="I8130" s="20">
        <v>20.744</v>
      </c>
      <c r="J8130" s="44" t="s">
        <v>8</v>
      </c>
      <c r="K8130" s="23" t="s">
        <v>8</v>
      </c>
      <c r="L8130" s="23" t="s">
        <v>8</v>
      </c>
      <c r="M8130" s="23" t="s">
        <v>8</v>
      </c>
    </row>
    <row r="8131" spans="1:13" s="21" customFormat="1" x14ac:dyDescent="0.25">
      <c r="A8131" s="22" t="s">
        <v>8</v>
      </c>
      <c r="B8131" s="18" t="str">
        <f>"305092"</f>
        <v>305092</v>
      </c>
      <c r="C8131" s="19" t="s">
        <v>8009</v>
      </c>
      <c r="D8131" s="19" t="s">
        <v>23550</v>
      </c>
      <c r="E8131" s="19" t="s">
        <v>32016</v>
      </c>
      <c r="F8131" s="19" t="s">
        <v>36003</v>
      </c>
      <c r="G8131" s="18" t="str">
        <f>"03244"</f>
        <v>03244</v>
      </c>
      <c r="H8131" s="19" t="s">
        <v>33986</v>
      </c>
      <c r="I8131" s="20">
        <v>19.306000000000001</v>
      </c>
      <c r="J8131" s="44" t="s">
        <v>8</v>
      </c>
      <c r="K8131" s="23" t="s">
        <v>8</v>
      </c>
      <c r="L8131" s="23" t="s">
        <v>8</v>
      </c>
      <c r="M8131" s="23" t="s">
        <v>8</v>
      </c>
    </row>
    <row r="8132" spans="1:13" s="21" customFormat="1" x14ac:dyDescent="0.25">
      <c r="A8132" s="22" t="s">
        <v>8</v>
      </c>
      <c r="B8132" s="18" t="str">
        <f>"305093"</f>
        <v>305093</v>
      </c>
      <c r="C8132" s="19" t="s">
        <v>8010</v>
      </c>
      <c r="D8132" s="19" t="s">
        <v>23551</v>
      </c>
      <c r="E8132" s="19" t="s">
        <v>33867</v>
      </c>
      <c r="F8132" s="19" t="s">
        <v>36003</v>
      </c>
      <c r="G8132" s="18" t="str">
        <f>"03743"</f>
        <v>03743</v>
      </c>
      <c r="H8132" s="19" t="s">
        <v>31976</v>
      </c>
      <c r="I8132" s="20">
        <v>17.603999999999999</v>
      </c>
      <c r="J8132" s="44" t="s">
        <v>8</v>
      </c>
      <c r="K8132" s="23" t="s">
        <v>8</v>
      </c>
      <c r="L8132" s="23" t="s">
        <v>8</v>
      </c>
      <c r="M8132" s="23" t="s">
        <v>8</v>
      </c>
    </row>
    <row r="8133" spans="1:13" s="21" customFormat="1" x14ac:dyDescent="0.25">
      <c r="A8133" s="22" t="s">
        <v>8</v>
      </c>
      <c r="B8133" s="18" t="str">
        <f>"305094"</f>
        <v>305094</v>
      </c>
      <c r="C8133" s="19" t="s">
        <v>8011</v>
      </c>
      <c r="D8133" s="19" t="s">
        <v>23552</v>
      </c>
      <c r="E8133" s="19" t="s">
        <v>33868</v>
      </c>
      <c r="F8133" s="19" t="s">
        <v>36003</v>
      </c>
      <c r="G8133" s="18" t="str">
        <f>"03598"</f>
        <v>03598</v>
      </c>
      <c r="H8133" s="19" t="s">
        <v>36575</v>
      </c>
      <c r="I8133" s="20">
        <v>16.946999999999999</v>
      </c>
      <c r="J8133" s="44" t="s">
        <v>8</v>
      </c>
      <c r="K8133" s="23" t="s">
        <v>8</v>
      </c>
      <c r="L8133" s="23" t="s">
        <v>8</v>
      </c>
      <c r="M8133" s="23" t="s">
        <v>8</v>
      </c>
    </row>
    <row r="8134" spans="1:13" s="21" customFormat="1" x14ac:dyDescent="0.25">
      <c r="A8134" s="22" t="s">
        <v>8</v>
      </c>
      <c r="B8134" s="18" t="str">
        <f>"305095"</f>
        <v>305095</v>
      </c>
      <c r="C8134" s="19" t="s">
        <v>8012</v>
      </c>
      <c r="D8134" s="19" t="s">
        <v>23553</v>
      </c>
      <c r="E8134" s="19" t="s">
        <v>33853</v>
      </c>
      <c r="F8134" s="19" t="s">
        <v>36003</v>
      </c>
      <c r="G8134" s="18" t="str">
        <f>"03038"</f>
        <v>03038</v>
      </c>
      <c r="H8134" s="19" t="s">
        <v>34326</v>
      </c>
      <c r="I8134" s="20">
        <v>20.704999999999998</v>
      </c>
      <c r="J8134" s="44" t="s">
        <v>8</v>
      </c>
      <c r="K8134" s="23" t="s">
        <v>8</v>
      </c>
      <c r="L8134" s="23" t="s">
        <v>8</v>
      </c>
      <c r="M8134" s="23" t="s">
        <v>8</v>
      </c>
    </row>
    <row r="8135" spans="1:13" s="21" customFormat="1" x14ac:dyDescent="0.25">
      <c r="A8135" s="22" t="s">
        <v>8</v>
      </c>
      <c r="B8135" s="18" t="str">
        <f>"305096"</f>
        <v>305096</v>
      </c>
      <c r="C8135" s="19" t="s">
        <v>8013</v>
      </c>
      <c r="D8135" s="19" t="s">
        <v>23554</v>
      </c>
      <c r="E8135" s="19" t="s">
        <v>33856</v>
      </c>
      <c r="F8135" s="19" t="s">
        <v>36003</v>
      </c>
      <c r="G8135" s="18" t="str">
        <f>"03045"</f>
        <v>03045</v>
      </c>
      <c r="H8135" s="19" t="s">
        <v>33986</v>
      </c>
      <c r="I8135" s="20">
        <v>18.423999999999999</v>
      </c>
      <c r="J8135" s="44" t="s">
        <v>8</v>
      </c>
      <c r="K8135" s="23" t="s">
        <v>8</v>
      </c>
      <c r="L8135" s="23" t="s">
        <v>8</v>
      </c>
      <c r="M8135" s="23" t="s">
        <v>8</v>
      </c>
    </row>
    <row r="8136" spans="1:13" s="21" customFormat="1" x14ac:dyDescent="0.25">
      <c r="A8136" s="22" t="s">
        <v>8</v>
      </c>
      <c r="B8136" s="18" t="str">
        <f>"305097"</f>
        <v>305097</v>
      </c>
      <c r="C8136" s="19" t="s">
        <v>8014</v>
      </c>
      <c r="D8136" s="19" t="s">
        <v>23555</v>
      </c>
      <c r="E8136" s="19" t="s">
        <v>31058</v>
      </c>
      <c r="F8136" s="19" t="s">
        <v>36003</v>
      </c>
      <c r="G8136" s="18" t="str">
        <f>"03773"</f>
        <v>03773</v>
      </c>
      <c r="H8136" s="19" t="s">
        <v>31976</v>
      </c>
      <c r="I8136" s="20">
        <v>19.646000000000001</v>
      </c>
      <c r="J8136" s="44" t="s">
        <v>8</v>
      </c>
      <c r="K8136" s="23" t="s">
        <v>8</v>
      </c>
      <c r="L8136" s="23" t="s">
        <v>8</v>
      </c>
      <c r="M8136" s="23" t="s">
        <v>8</v>
      </c>
    </row>
    <row r="8137" spans="1:13" s="21" customFormat="1" x14ac:dyDescent="0.25">
      <c r="A8137" s="22" t="s">
        <v>8</v>
      </c>
      <c r="B8137" s="18" t="str">
        <f>"305099"</f>
        <v>305099</v>
      </c>
      <c r="C8137" s="19" t="s">
        <v>8015</v>
      </c>
      <c r="D8137" s="19" t="s">
        <v>23556</v>
      </c>
      <c r="E8137" s="19" t="s">
        <v>33869</v>
      </c>
      <c r="F8137" s="19" t="s">
        <v>36003</v>
      </c>
      <c r="G8137" s="18" t="str">
        <f>"03870"</f>
        <v>03870</v>
      </c>
      <c r="H8137" s="19" t="s">
        <v>34326</v>
      </c>
      <c r="I8137" s="20">
        <v>17.739999999999998</v>
      </c>
      <c r="J8137" s="44" t="s">
        <v>8</v>
      </c>
      <c r="K8137" s="23" t="s">
        <v>8</v>
      </c>
      <c r="L8137" s="23" t="s">
        <v>8</v>
      </c>
      <c r="M8137" s="23" t="s">
        <v>8</v>
      </c>
    </row>
    <row r="8138" spans="1:13" s="21" customFormat="1" x14ac:dyDescent="0.25">
      <c r="A8138" s="22" t="s">
        <v>8</v>
      </c>
      <c r="B8138" s="18" t="str">
        <f>"305100"</f>
        <v>305100</v>
      </c>
      <c r="C8138" s="19" t="s">
        <v>8016</v>
      </c>
      <c r="D8138" s="19" t="s">
        <v>23557</v>
      </c>
      <c r="E8138" s="19" t="s">
        <v>31588</v>
      </c>
      <c r="F8138" s="19" t="s">
        <v>36003</v>
      </c>
      <c r="G8138" s="18" t="str">
        <f>"03051"</f>
        <v>03051</v>
      </c>
      <c r="H8138" s="19" t="s">
        <v>33986</v>
      </c>
      <c r="I8138" s="20">
        <v>18.677</v>
      </c>
      <c r="J8138" s="44" t="s">
        <v>8</v>
      </c>
      <c r="K8138" s="23" t="s">
        <v>8</v>
      </c>
      <c r="L8138" s="23" t="s">
        <v>8</v>
      </c>
      <c r="M8138" s="23" t="s">
        <v>8</v>
      </c>
    </row>
    <row r="8139" spans="1:13" s="21" customFormat="1" x14ac:dyDescent="0.25">
      <c r="A8139" s="22" t="s">
        <v>8</v>
      </c>
      <c r="B8139" s="18" t="str">
        <f>"305101"</f>
        <v>305101</v>
      </c>
      <c r="C8139" s="19" t="s">
        <v>8017</v>
      </c>
      <c r="D8139" s="19" t="s">
        <v>23558</v>
      </c>
      <c r="E8139" s="19" t="s">
        <v>33849</v>
      </c>
      <c r="F8139" s="19" t="s">
        <v>36003</v>
      </c>
      <c r="G8139" s="18" t="str">
        <f>"03246"</f>
        <v>03246</v>
      </c>
      <c r="H8139" s="19" t="s">
        <v>36573</v>
      </c>
      <c r="I8139" s="20">
        <v>16.117999999999999</v>
      </c>
      <c r="J8139" s="44" t="s">
        <v>8</v>
      </c>
      <c r="K8139" s="23" t="s">
        <v>8</v>
      </c>
      <c r="L8139" s="23" t="s">
        <v>8</v>
      </c>
      <c r="M8139" s="23" t="s">
        <v>8</v>
      </c>
    </row>
    <row r="8140" spans="1:13" s="21" customFormat="1" x14ac:dyDescent="0.25">
      <c r="A8140" s="22" t="s">
        <v>8</v>
      </c>
      <c r="B8140" s="18" t="str">
        <f>"315001"</f>
        <v>315001</v>
      </c>
      <c r="C8140" s="19" t="s">
        <v>8018</v>
      </c>
      <c r="D8140" s="19" t="s">
        <v>23559</v>
      </c>
      <c r="E8140" s="19" t="s">
        <v>33870</v>
      </c>
      <c r="F8140" s="19" t="s">
        <v>36004</v>
      </c>
      <c r="G8140" s="18" t="str">
        <f>"08536"</f>
        <v>08536</v>
      </c>
      <c r="H8140" s="19" t="s">
        <v>36120</v>
      </c>
      <c r="I8140" s="20">
        <v>17.893999999999998</v>
      </c>
      <c r="J8140" s="44" t="s">
        <v>8</v>
      </c>
      <c r="K8140" s="23" t="s">
        <v>8</v>
      </c>
      <c r="L8140" s="23" t="s">
        <v>8</v>
      </c>
      <c r="M8140" s="23" t="s">
        <v>8</v>
      </c>
    </row>
    <row r="8141" spans="1:13" s="21" customFormat="1" x14ac:dyDescent="0.25">
      <c r="A8141" s="22" t="s">
        <v>8</v>
      </c>
      <c r="B8141" s="18" t="str">
        <f>"315002"</f>
        <v>315002</v>
      </c>
      <c r="C8141" s="19" t="s">
        <v>8019</v>
      </c>
      <c r="D8141" s="19" t="s">
        <v>23560</v>
      </c>
      <c r="E8141" s="19" t="s">
        <v>33871</v>
      </c>
      <c r="F8141" s="19" t="s">
        <v>36004</v>
      </c>
      <c r="G8141" s="18" t="str">
        <f>"08805"</f>
        <v>08805</v>
      </c>
      <c r="H8141" s="19" t="s">
        <v>32705</v>
      </c>
      <c r="I8141" s="20">
        <v>17.802</v>
      </c>
      <c r="J8141" s="44" t="s">
        <v>8</v>
      </c>
      <c r="K8141" s="23" t="s">
        <v>8</v>
      </c>
      <c r="L8141" s="23" t="s">
        <v>8</v>
      </c>
      <c r="M8141" s="23" t="s">
        <v>8</v>
      </c>
    </row>
    <row r="8142" spans="1:13" s="21" customFormat="1" x14ac:dyDescent="0.25">
      <c r="A8142" s="22" t="s">
        <v>8</v>
      </c>
      <c r="B8142" s="18" t="str">
        <f>"315005"</f>
        <v>315005</v>
      </c>
      <c r="C8142" s="19" t="s">
        <v>8020</v>
      </c>
      <c r="D8142" s="19" t="s">
        <v>23561</v>
      </c>
      <c r="E8142" s="19" t="s">
        <v>33872</v>
      </c>
      <c r="F8142" s="19" t="s">
        <v>36004</v>
      </c>
      <c r="G8142" s="18" t="str">
        <f>"07974"</f>
        <v>07974</v>
      </c>
      <c r="H8142" s="19" t="s">
        <v>33554</v>
      </c>
      <c r="I8142" s="20">
        <v>17.242999999999999</v>
      </c>
      <c r="J8142" s="44" t="s">
        <v>8</v>
      </c>
      <c r="K8142" s="23" t="s">
        <v>8</v>
      </c>
      <c r="L8142" s="23" t="s">
        <v>8</v>
      </c>
      <c r="M8142" s="23" t="s">
        <v>8</v>
      </c>
    </row>
    <row r="8143" spans="1:13" s="21" customFormat="1" x14ac:dyDescent="0.25">
      <c r="A8143" s="22" t="s">
        <v>8</v>
      </c>
      <c r="B8143" s="18" t="str">
        <f>"315008"</f>
        <v>315008</v>
      </c>
      <c r="C8143" s="19" t="s">
        <v>8021</v>
      </c>
      <c r="D8143" s="19" t="s">
        <v>23562</v>
      </c>
      <c r="E8143" s="19" t="s">
        <v>31462</v>
      </c>
      <c r="F8143" s="19" t="s">
        <v>36004</v>
      </c>
      <c r="G8143" s="18" t="str">
        <f>"08084"</f>
        <v>08084</v>
      </c>
      <c r="H8143" s="19" t="s">
        <v>30910</v>
      </c>
      <c r="I8143" s="20">
        <v>17.029</v>
      </c>
      <c r="J8143" s="44" t="s">
        <v>8</v>
      </c>
      <c r="K8143" s="23" t="s">
        <v>8</v>
      </c>
      <c r="L8143" s="23" t="s">
        <v>8</v>
      </c>
      <c r="M8143" s="23" t="s">
        <v>8</v>
      </c>
    </row>
    <row r="8144" spans="1:13" s="21" customFormat="1" x14ac:dyDescent="0.25">
      <c r="A8144" s="22" t="s">
        <v>8</v>
      </c>
      <c r="B8144" s="18" t="str">
        <f>"315009"</f>
        <v>315009</v>
      </c>
      <c r="C8144" s="19" t="s">
        <v>8022</v>
      </c>
      <c r="D8144" s="19" t="s">
        <v>23563</v>
      </c>
      <c r="E8144" s="19" t="s">
        <v>33873</v>
      </c>
      <c r="F8144" s="19" t="s">
        <v>36004</v>
      </c>
      <c r="G8144" s="18" t="str">
        <f>"07922"</f>
        <v>07922</v>
      </c>
      <c r="H8144" s="19" t="s">
        <v>33554</v>
      </c>
      <c r="I8144" s="20">
        <v>18.466999999999999</v>
      </c>
      <c r="J8144" s="44" t="s">
        <v>8</v>
      </c>
      <c r="K8144" s="23" t="s">
        <v>8</v>
      </c>
      <c r="L8144" s="23" t="s">
        <v>8</v>
      </c>
      <c r="M8144" s="23" t="s">
        <v>8</v>
      </c>
    </row>
    <row r="8145" spans="1:13" s="21" customFormat="1" x14ac:dyDescent="0.25">
      <c r="A8145" s="22" t="s">
        <v>8</v>
      </c>
      <c r="B8145" s="18" t="str">
        <f>"315010"</f>
        <v>315010</v>
      </c>
      <c r="C8145" s="19" t="s">
        <v>8023</v>
      </c>
      <c r="D8145" s="19" t="s">
        <v>23564</v>
      </c>
      <c r="E8145" s="19" t="s">
        <v>33874</v>
      </c>
      <c r="F8145" s="19" t="s">
        <v>36004</v>
      </c>
      <c r="G8145" s="18" t="str">
        <f>"07202"</f>
        <v>07202</v>
      </c>
      <c r="H8145" s="19" t="s">
        <v>33554</v>
      </c>
      <c r="I8145" s="20">
        <v>23.492000000000001</v>
      </c>
      <c r="J8145" s="44" t="s">
        <v>8</v>
      </c>
      <c r="K8145" s="23" t="s">
        <v>8</v>
      </c>
      <c r="L8145" s="23" t="s">
        <v>8</v>
      </c>
      <c r="M8145" s="23" t="s">
        <v>8</v>
      </c>
    </row>
    <row r="8146" spans="1:13" s="21" customFormat="1" x14ac:dyDescent="0.25">
      <c r="A8146" s="22" t="s">
        <v>8</v>
      </c>
      <c r="B8146" s="18" t="str">
        <f>"315013"</f>
        <v>315013</v>
      </c>
      <c r="C8146" s="19" t="s">
        <v>8024</v>
      </c>
      <c r="D8146" s="19" t="s">
        <v>23565</v>
      </c>
      <c r="E8146" s="19" t="s">
        <v>33875</v>
      </c>
      <c r="F8146" s="19" t="s">
        <v>36004</v>
      </c>
      <c r="G8146" s="18" t="str">
        <f>"08034"</f>
        <v>08034</v>
      </c>
      <c r="H8146" s="19" t="s">
        <v>30910</v>
      </c>
      <c r="I8146" s="20">
        <v>17.510999999999999</v>
      </c>
      <c r="J8146" s="44" t="s">
        <v>8</v>
      </c>
      <c r="K8146" s="23" t="s">
        <v>8</v>
      </c>
      <c r="L8146" s="23" t="s">
        <v>8</v>
      </c>
      <c r="M8146" s="23" t="s">
        <v>8</v>
      </c>
    </row>
    <row r="8147" spans="1:13" s="21" customFormat="1" x14ac:dyDescent="0.25">
      <c r="A8147" s="22" t="s">
        <v>8</v>
      </c>
      <c r="B8147" s="18" t="str">
        <f>"315014"</f>
        <v>315014</v>
      </c>
      <c r="C8147" s="19" t="s">
        <v>8025</v>
      </c>
      <c r="D8147" s="19" t="s">
        <v>23566</v>
      </c>
      <c r="E8147" s="19" t="s">
        <v>33876</v>
      </c>
      <c r="F8147" s="19" t="s">
        <v>36004</v>
      </c>
      <c r="G8147" s="18" t="str">
        <f>"08318"</f>
        <v>08318</v>
      </c>
      <c r="H8147" s="19" t="s">
        <v>31038</v>
      </c>
      <c r="I8147" s="20">
        <v>19.689</v>
      </c>
      <c r="J8147" s="44" t="s">
        <v>8</v>
      </c>
      <c r="K8147" s="23" t="s">
        <v>8</v>
      </c>
      <c r="L8147" s="23" t="s">
        <v>8</v>
      </c>
      <c r="M8147" s="23" t="s">
        <v>8</v>
      </c>
    </row>
    <row r="8148" spans="1:13" s="21" customFormat="1" x14ac:dyDescent="0.25">
      <c r="A8148" s="22" t="s">
        <v>8</v>
      </c>
      <c r="B8148" s="18" t="str">
        <f>"315015"</f>
        <v>315015</v>
      </c>
      <c r="C8148" s="19" t="s">
        <v>8026</v>
      </c>
      <c r="D8148" s="19" t="s">
        <v>23567</v>
      </c>
      <c r="E8148" s="19" t="s">
        <v>33877</v>
      </c>
      <c r="F8148" s="19" t="s">
        <v>36004</v>
      </c>
      <c r="G8148" s="18" t="str">
        <f>"07747"</f>
        <v>07747</v>
      </c>
      <c r="H8148" s="19" t="s">
        <v>32161</v>
      </c>
      <c r="I8148" s="20">
        <v>18.497</v>
      </c>
      <c r="J8148" s="44" t="s">
        <v>8</v>
      </c>
      <c r="K8148" s="23" t="s">
        <v>8</v>
      </c>
      <c r="L8148" s="23" t="s">
        <v>8</v>
      </c>
      <c r="M8148" s="23" t="s">
        <v>8</v>
      </c>
    </row>
    <row r="8149" spans="1:13" s="21" customFormat="1" x14ac:dyDescent="0.25">
      <c r="A8149" s="22" t="s">
        <v>8</v>
      </c>
      <c r="B8149" s="18" t="str">
        <f>"315017"</f>
        <v>315017</v>
      </c>
      <c r="C8149" s="19" t="s">
        <v>8027</v>
      </c>
      <c r="D8149" s="19" t="s">
        <v>23568</v>
      </c>
      <c r="E8149" s="19" t="s">
        <v>33878</v>
      </c>
      <c r="F8149" s="19" t="s">
        <v>36004</v>
      </c>
      <c r="G8149" s="18" t="str">
        <f>"07652"</f>
        <v>07652</v>
      </c>
      <c r="H8149" s="19" t="s">
        <v>36576</v>
      </c>
      <c r="I8149" s="20">
        <v>18.276</v>
      </c>
      <c r="J8149" s="44" t="s">
        <v>8</v>
      </c>
      <c r="K8149" s="23" t="s">
        <v>8</v>
      </c>
      <c r="L8149" s="23" t="s">
        <v>8</v>
      </c>
      <c r="M8149" s="23" t="s">
        <v>8</v>
      </c>
    </row>
    <row r="8150" spans="1:13" s="21" customFormat="1" x14ac:dyDescent="0.25">
      <c r="A8150" s="22" t="s">
        <v>8</v>
      </c>
      <c r="B8150" s="18" t="str">
        <f>"315021"</f>
        <v>315021</v>
      </c>
      <c r="C8150" s="19" t="s">
        <v>8028</v>
      </c>
      <c r="D8150" s="19" t="s">
        <v>23569</v>
      </c>
      <c r="E8150" s="19" t="s">
        <v>32168</v>
      </c>
      <c r="F8150" s="19" t="s">
        <v>36004</v>
      </c>
      <c r="G8150" s="18" t="str">
        <f>"07011"</f>
        <v>07011</v>
      </c>
      <c r="H8150" s="19" t="s">
        <v>33893</v>
      </c>
      <c r="I8150" s="20">
        <v>19.311</v>
      </c>
      <c r="J8150" s="44" t="s">
        <v>8</v>
      </c>
      <c r="K8150" s="23" t="s">
        <v>8</v>
      </c>
      <c r="L8150" s="23" t="s">
        <v>8</v>
      </c>
      <c r="M8150" s="23" t="s">
        <v>8</v>
      </c>
    </row>
    <row r="8151" spans="1:13" s="21" customFormat="1" x14ac:dyDescent="0.25">
      <c r="A8151" s="22" t="s">
        <v>8</v>
      </c>
      <c r="B8151" s="18" t="str">
        <f>"315022"</f>
        <v>315022</v>
      </c>
      <c r="C8151" s="19" t="s">
        <v>8029</v>
      </c>
      <c r="D8151" s="19" t="s">
        <v>23570</v>
      </c>
      <c r="E8151" s="19" t="s">
        <v>33879</v>
      </c>
      <c r="F8151" s="19" t="s">
        <v>36004</v>
      </c>
      <c r="G8151" s="18" t="str">
        <f>"08520"</f>
        <v>08520</v>
      </c>
      <c r="H8151" s="19" t="s">
        <v>34991</v>
      </c>
      <c r="I8151" s="20">
        <v>17.606999999999999</v>
      </c>
      <c r="J8151" s="44" t="s">
        <v>8</v>
      </c>
      <c r="K8151" s="23" t="s">
        <v>8</v>
      </c>
      <c r="L8151" s="23" t="s">
        <v>8</v>
      </c>
      <c r="M8151" s="23" t="s">
        <v>8</v>
      </c>
    </row>
    <row r="8152" spans="1:13" s="21" customFormat="1" x14ac:dyDescent="0.25">
      <c r="A8152" s="22" t="s">
        <v>8</v>
      </c>
      <c r="B8152" s="18" t="str">
        <f>"315029"</f>
        <v>315029</v>
      </c>
      <c r="C8152" s="19" t="s">
        <v>8030</v>
      </c>
      <c r="D8152" s="19" t="s">
        <v>23571</v>
      </c>
      <c r="E8152" s="19" t="s">
        <v>33880</v>
      </c>
      <c r="F8152" s="19" t="s">
        <v>36004</v>
      </c>
      <c r="G8152" s="18" t="str">
        <f>"07052"</f>
        <v>07052</v>
      </c>
      <c r="H8152" s="19" t="s">
        <v>31458</v>
      </c>
      <c r="I8152" s="20">
        <v>14.866</v>
      </c>
      <c r="J8152" s="44" t="s">
        <v>8</v>
      </c>
      <c r="K8152" s="23" t="s">
        <v>8</v>
      </c>
      <c r="L8152" s="23" t="s">
        <v>8</v>
      </c>
      <c r="M8152" s="23" t="s">
        <v>8</v>
      </c>
    </row>
    <row r="8153" spans="1:13" s="21" customFormat="1" x14ac:dyDescent="0.25">
      <c r="A8153" s="22" t="s">
        <v>8</v>
      </c>
      <c r="B8153" s="18" t="str">
        <f>"315032"</f>
        <v>315032</v>
      </c>
      <c r="C8153" s="19" t="s">
        <v>8031</v>
      </c>
      <c r="D8153" s="19" t="s">
        <v>23572</v>
      </c>
      <c r="E8153" s="19" t="s">
        <v>33881</v>
      </c>
      <c r="F8153" s="19" t="s">
        <v>36004</v>
      </c>
      <c r="G8153" s="18" t="str">
        <f>"08054"</f>
        <v>08054</v>
      </c>
      <c r="H8153" s="19" t="s">
        <v>31369</v>
      </c>
      <c r="I8153" s="20">
        <v>17.550999999999998</v>
      </c>
      <c r="J8153" s="44" t="s">
        <v>8</v>
      </c>
      <c r="K8153" s="23" t="s">
        <v>8</v>
      </c>
      <c r="L8153" s="23" t="s">
        <v>8</v>
      </c>
      <c r="M8153" s="23" t="s">
        <v>8</v>
      </c>
    </row>
    <row r="8154" spans="1:13" s="21" customFormat="1" x14ac:dyDescent="0.25">
      <c r="A8154" s="22" t="s">
        <v>8</v>
      </c>
      <c r="B8154" s="18" t="str">
        <f>"315036"</f>
        <v>315036</v>
      </c>
      <c r="C8154" s="19" t="s">
        <v>8032</v>
      </c>
      <c r="D8154" s="19" t="s">
        <v>23573</v>
      </c>
      <c r="E8154" s="19" t="s">
        <v>33882</v>
      </c>
      <c r="F8154" s="19" t="s">
        <v>36004</v>
      </c>
      <c r="G8154" s="18" t="str">
        <f>"07009"</f>
        <v>07009</v>
      </c>
      <c r="H8154" s="19" t="s">
        <v>31458</v>
      </c>
      <c r="I8154" s="20">
        <v>19.446000000000002</v>
      </c>
      <c r="J8154" s="44" t="s">
        <v>8</v>
      </c>
      <c r="K8154" s="23" t="s">
        <v>8</v>
      </c>
      <c r="L8154" s="23" t="s">
        <v>8</v>
      </c>
      <c r="M8154" s="23" t="s">
        <v>8</v>
      </c>
    </row>
    <row r="8155" spans="1:13" s="21" customFormat="1" x14ac:dyDescent="0.25">
      <c r="A8155" s="22" t="s">
        <v>8</v>
      </c>
      <c r="B8155" s="18" t="str">
        <f>"315037"</f>
        <v>315037</v>
      </c>
      <c r="C8155" s="19" t="s">
        <v>8033</v>
      </c>
      <c r="D8155" s="19" t="s">
        <v>23574</v>
      </c>
      <c r="E8155" s="19" t="s">
        <v>33883</v>
      </c>
      <c r="F8155" s="19" t="s">
        <v>36004</v>
      </c>
      <c r="G8155" s="18" t="str">
        <f>"07666"</f>
        <v>07666</v>
      </c>
      <c r="H8155" s="19" t="s">
        <v>36576</v>
      </c>
      <c r="I8155" s="20">
        <v>20.797000000000001</v>
      </c>
      <c r="J8155" s="44" t="s">
        <v>8</v>
      </c>
      <c r="K8155" s="23" t="s">
        <v>8</v>
      </c>
      <c r="L8155" s="23" t="s">
        <v>8</v>
      </c>
      <c r="M8155" s="23" t="s">
        <v>8</v>
      </c>
    </row>
    <row r="8156" spans="1:13" s="21" customFormat="1" x14ac:dyDescent="0.25">
      <c r="A8156" s="22" t="s">
        <v>8</v>
      </c>
      <c r="B8156" s="18" t="str">
        <f>"315038"</f>
        <v>315038</v>
      </c>
      <c r="C8156" s="19" t="s">
        <v>8034</v>
      </c>
      <c r="D8156" s="19" t="s">
        <v>23575</v>
      </c>
      <c r="E8156" s="19" t="s">
        <v>33880</v>
      </c>
      <c r="F8156" s="19" t="s">
        <v>36004</v>
      </c>
      <c r="G8156" s="18" t="str">
        <f>"07052"</f>
        <v>07052</v>
      </c>
      <c r="H8156" s="19" t="s">
        <v>31458</v>
      </c>
      <c r="I8156" s="20">
        <v>17.48</v>
      </c>
      <c r="J8156" s="44" t="s">
        <v>8</v>
      </c>
      <c r="K8156" s="23" t="s">
        <v>8</v>
      </c>
      <c r="L8156" s="23" t="s">
        <v>8</v>
      </c>
      <c r="M8156" s="23" t="s">
        <v>8</v>
      </c>
    </row>
    <row r="8157" spans="1:13" s="21" customFormat="1" x14ac:dyDescent="0.25">
      <c r="A8157" s="22" t="s">
        <v>8</v>
      </c>
      <c r="B8157" s="18" t="str">
        <f>"315039"</f>
        <v>315039</v>
      </c>
      <c r="C8157" s="19" t="s">
        <v>8035</v>
      </c>
      <c r="D8157" s="19" t="s">
        <v>23576</v>
      </c>
      <c r="E8157" s="19" t="s">
        <v>31724</v>
      </c>
      <c r="F8157" s="19" t="s">
        <v>36004</v>
      </c>
      <c r="G8157" s="18" t="str">
        <f>"08837"</f>
        <v>08837</v>
      </c>
      <c r="H8157" s="19" t="s">
        <v>36120</v>
      </c>
      <c r="I8157" s="20">
        <v>22.161000000000001</v>
      </c>
      <c r="J8157" s="44" t="s">
        <v>8</v>
      </c>
      <c r="K8157" s="23" t="s">
        <v>8</v>
      </c>
      <c r="L8157" s="23" t="s">
        <v>8</v>
      </c>
      <c r="M8157" s="23" t="s">
        <v>8</v>
      </c>
    </row>
    <row r="8158" spans="1:13" s="21" customFormat="1" x14ac:dyDescent="0.25">
      <c r="A8158" s="22" t="s">
        <v>8</v>
      </c>
      <c r="B8158" s="18" t="str">
        <f>"315042"</f>
        <v>315042</v>
      </c>
      <c r="C8158" s="19" t="s">
        <v>8036</v>
      </c>
      <c r="D8158" s="19" t="s">
        <v>23577</v>
      </c>
      <c r="E8158" s="19" t="s">
        <v>33884</v>
      </c>
      <c r="F8158" s="19" t="s">
        <v>36004</v>
      </c>
      <c r="G8158" s="18" t="str">
        <f>"07035"</f>
        <v>07035</v>
      </c>
      <c r="H8158" s="19" t="s">
        <v>32051</v>
      </c>
      <c r="I8158" s="20">
        <v>20.501999999999999</v>
      </c>
      <c r="J8158" s="44" t="s">
        <v>8</v>
      </c>
      <c r="K8158" s="23" t="s">
        <v>8</v>
      </c>
      <c r="L8158" s="23" t="s">
        <v>8</v>
      </c>
      <c r="M8158" s="23" t="s">
        <v>8</v>
      </c>
    </row>
    <row r="8159" spans="1:13" s="21" customFormat="1" x14ac:dyDescent="0.25">
      <c r="A8159" s="22" t="s">
        <v>8</v>
      </c>
      <c r="B8159" s="18" t="str">
        <f>"315044"</f>
        <v>315044</v>
      </c>
      <c r="C8159" s="19" t="s">
        <v>8037</v>
      </c>
      <c r="D8159" s="19" t="s">
        <v>23578</v>
      </c>
      <c r="E8159" s="19" t="s">
        <v>32569</v>
      </c>
      <c r="F8159" s="19" t="s">
        <v>36004</v>
      </c>
      <c r="G8159" s="18" t="str">
        <f>"07821"</f>
        <v>07821</v>
      </c>
      <c r="H8159" s="19" t="s">
        <v>36121</v>
      </c>
      <c r="I8159" s="20">
        <v>16.901</v>
      </c>
      <c r="J8159" s="44" t="s">
        <v>8</v>
      </c>
      <c r="K8159" s="23" t="s">
        <v>8</v>
      </c>
      <c r="L8159" s="23" t="s">
        <v>8</v>
      </c>
      <c r="M8159" s="23" t="s">
        <v>8</v>
      </c>
    </row>
    <row r="8160" spans="1:13" s="21" customFormat="1" x14ac:dyDescent="0.25">
      <c r="A8160" s="22" t="s">
        <v>8</v>
      </c>
      <c r="B8160" s="18" t="str">
        <f>"315047"</f>
        <v>315047</v>
      </c>
      <c r="C8160" s="19" t="s">
        <v>8038</v>
      </c>
      <c r="D8160" s="19" t="s">
        <v>23579</v>
      </c>
      <c r="E8160" s="19" t="s">
        <v>33885</v>
      </c>
      <c r="F8160" s="19" t="s">
        <v>36004</v>
      </c>
      <c r="G8160" s="18" t="str">
        <f>"08077"</f>
        <v>08077</v>
      </c>
      <c r="H8160" s="19" t="s">
        <v>31369</v>
      </c>
      <c r="I8160" s="20">
        <v>21.631</v>
      </c>
      <c r="J8160" s="44" t="s">
        <v>8</v>
      </c>
      <c r="K8160" s="23" t="s">
        <v>8</v>
      </c>
      <c r="L8160" s="23" t="s">
        <v>8</v>
      </c>
      <c r="M8160" s="23" t="s">
        <v>8</v>
      </c>
    </row>
    <row r="8161" spans="1:13" s="21" customFormat="1" x14ac:dyDescent="0.25">
      <c r="A8161" s="22" t="s">
        <v>8</v>
      </c>
      <c r="B8161" s="18" t="str">
        <f>"315050"</f>
        <v>315050</v>
      </c>
      <c r="C8161" s="19" t="s">
        <v>8039</v>
      </c>
      <c r="D8161" s="19" t="s">
        <v>23580</v>
      </c>
      <c r="E8161" s="19" t="s">
        <v>31369</v>
      </c>
      <c r="F8161" s="19" t="s">
        <v>36004</v>
      </c>
      <c r="G8161" s="18" t="str">
        <f>"08016"</f>
        <v>08016</v>
      </c>
      <c r="H8161" s="19" t="s">
        <v>31369</v>
      </c>
      <c r="I8161" s="20">
        <v>20.908000000000001</v>
      </c>
      <c r="J8161" s="44" t="s">
        <v>8</v>
      </c>
      <c r="K8161" s="23" t="s">
        <v>8</v>
      </c>
      <c r="L8161" s="23" t="s">
        <v>8</v>
      </c>
      <c r="M8161" s="23" t="s">
        <v>8</v>
      </c>
    </row>
    <row r="8162" spans="1:13" s="21" customFormat="1" x14ac:dyDescent="0.25">
      <c r="A8162" s="22" t="s">
        <v>8</v>
      </c>
      <c r="B8162" s="18" t="str">
        <f>"315053"</f>
        <v>315053</v>
      </c>
      <c r="C8162" s="19" t="s">
        <v>8040</v>
      </c>
      <c r="D8162" s="19" t="s">
        <v>23581</v>
      </c>
      <c r="E8162" s="19" t="s">
        <v>30899</v>
      </c>
      <c r="F8162" s="19" t="s">
        <v>36004</v>
      </c>
      <c r="G8162" s="18" t="str">
        <f>"07940"</f>
        <v>07940</v>
      </c>
      <c r="H8162" s="19" t="s">
        <v>32051</v>
      </c>
      <c r="I8162" s="20">
        <v>18.462</v>
      </c>
      <c r="J8162" s="44" t="s">
        <v>8</v>
      </c>
      <c r="K8162" s="23" t="s">
        <v>8</v>
      </c>
      <c r="L8162" s="23" t="s">
        <v>8</v>
      </c>
      <c r="M8162" s="23" t="s">
        <v>8</v>
      </c>
    </row>
    <row r="8163" spans="1:13" s="21" customFormat="1" x14ac:dyDescent="0.25">
      <c r="A8163" s="22" t="s">
        <v>8</v>
      </c>
      <c r="B8163" s="18" t="str">
        <f>"315054"</f>
        <v>315054</v>
      </c>
      <c r="C8163" s="19" t="s">
        <v>8041</v>
      </c>
      <c r="D8163" s="19" t="s">
        <v>23582</v>
      </c>
      <c r="E8163" s="19" t="s">
        <v>32433</v>
      </c>
      <c r="F8163" s="19" t="s">
        <v>36004</v>
      </c>
      <c r="G8163" s="18" t="str">
        <f>"08232"</f>
        <v>08232</v>
      </c>
      <c r="H8163" s="19" t="s">
        <v>32419</v>
      </c>
      <c r="I8163" s="20">
        <v>17.155000000000001</v>
      </c>
      <c r="J8163" s="44" t="s">
        <v>8</v>
      </c>
      <c r="K8163" s="23" t="s">
        <v>8</v>
      </c>
      <c r="L8163" s="23" t="s">
        <v>8</v>
      </c>
      <c r="M8163" s="23" t="s">
        <v>8</v>
      </c>
    </row>
    <row r="8164" spans="1:13" s="21" customFormat="1" x14ac:dyDescent="0.25">
      <c r="A8164" s="22" t="s">
        <v>8</v>
      </c>
      <c r="B8164" s="18" t="str">
        <f>"315056"</f>
        <v>315056</v>
      </c>
      <c r="C8164" s="19" t="s">
        <v>8042</v>
      </c>
      <c r="D8164" s="19" t="s">
        <v>23583</v>
      </c>
      <c r="E8164" s="19" t="s">
        <v>33886</v>
      </c>
      <c r="F8164" s="19" t="s">
        <v>36004</v>
      </c>
      <c r="G8164" s="18" t="str">
        <f>"07753"</f>
        <v>07753</v>
      </c>
      <c r="H8164" s="19" t="s">
        <v>32161</v>
      </c>
      <c r="I8164" s="20">
        <v>19.068000000000001</v>
      </c>
      <c r="J8164" s="44" t="s">
        <v>8</v>
      </c>
      <c r="K8164" s="23" t="s">
        <v>8</v>
      </c>
      <c r="L8164" s="23" t="s">
        <v>8</v>
      </c>
      <c r="M8164" s="23" t="s">
        <v>8</v>
      </c>
    </row>
    <row r="8165" spans="1:13" s="21" customFormat="1" x14ac:dyDescent="0.25">
      <c r="A8165" s="22" t="s">
        <v>8</v>
      </c>
      <c r="B8165" s="18" t="str">
        <f>"315057"</f>
        <v>315057</v>
      </c>
      <c r="C8165" s="19" t="s">
        <v>8043</v>
      </c>
      <c r="D8165" s="19" t="s">
        <v>23584</v>
      </c>
      <c r="E8165" s="19" t="s">
        <v>33887</v>
      </c>
      <c r="F8165" s="19" t="s">
        <v>36004</v>
      </c>
      <c r="G8165" s="18" t="str">
        <f>"07876"</f>
        <v>07876</v>
      </c>
      <c r="H8165" s="19" t="s">
        <v>32051</v>
      </c>
      <c r="I8165" s="20">
        <v>20.399999999999999</v>
      </c>
      <c r="J8165" s="44" t="s">
        <v>8</v>
      </c>
      <c r="K8165" s="23" t="s">
        <v>8</v>
      </c>
      <c r="L8165" s="23" t="s">
        <v>8</v>
      </c>
      <c r="M8165" s="23" t="s">
        <v>8</v>
      </c>
    </row>
    <row r="8166" spans="1:13" s="21" customFormat="1" x14ac:dyDescent="0.25">
      <c r="A8166" s="22" t="s">
        <v>8</v>
      </c>
      <c r="B8166" s="18" t="str">
        <f>"315058"</f>
        <v>315058</v>
      </c>
      <c r="C8166" s="19" t="s">
        <v>8044</v>
      </c>
      <c r="D8166" s="19" t="s">
        <v>23585</v>
      </c>
      <c r="E8166" s="19" t="s">
        <v>31038</v>
      </c>
      <c r="F8166" s="19" t="s">
        <v>36004</v>
      </c>
      <c r="G8166" s="18" t="str">
        <f>"08079"</f>
        <v>08079</v>
      </c>
      <c r="H8166" s="19" t="s">
        <v>31038</v>
      </c>
      <c r="I8166" s="20">
        <v>20.536000000000001</v>
      </c>
      <c r="J8166" s="44" t="s">
        <v>8</v>
      </c>
      <c r="K8166" s="23" t="s">
        <v>8</v>
      </c>
      <c r="L8166" s="23" t="s">
        <v>8</v>
      </c>
      <c r="M8166" s="23" t="s">
        <v>8</v>
      </c>
    </row>
    <row r="8167" spans="1:13" s="21" customFormat="1" x14ac:dyDescent="0.25">
      <c r="A8167" s="22" t="s">
        <v>8</v>
      </c>
      <c r="B8167" s="18" t="str">
        <f>"315060"</f>
        <v>315060</v>
      </c>
      <c r="C8167" s="19" t="s">
        <v>8045</v>
      </c>
      <c r="D8167" s="19" t="s">
        <v>23586</v>
      </c>
      <c r="E8167" s="19" t="s">
        <v>33875</v>
      </c>
      <c r="F8167" s="19" t="s">
        <v>36004</v>
      </c>
      <c r="G8167" s="18" t="str">
        <f>"08003"</f>
        <v>08003</v>
      </c>
      <c r="H8167" s="19" t="s">
        <v>30910</v>
      </c>
      <c r="I8167" s="20">
        <v>20.419</v>
      </c>
      <c r="J8167" s="44" t="s">
        <v>8</v>
      </c>
      <c r="K8167" s="23" t="s">
        <v>8</v>
      </c>
      <c r="L8167" s="23" t="s">
        <v>8</v>
      </c>
      <c r="M8167" s="23" t="s">
        <v>8</v>
      </c>
    </row>
    <row r="8168" spans="1:13" s="21" customFormat="1" x14ac:dyDescent="0.25">
      <c r="A8168" s="22" t="s">
        <v>8</v>
      </c>
      <c r="B8168" s="18" t="str">
        <f>"315061"</f>
        <v>315061</v>
      </c>
      <c r="C8168" s="19" t="s">
        <v>8046</v>
      </c>
      <c r="D8168" s="19" t="s">
        <v>23587</v>
      </c>
      <c r="E8168" s="19" t="s">
        <v>33609</v>
      </c>
      <c r="F8168" s="19" t="s">
        <v>36004</v>
      </c>
      <c r="G8168" s="18" t="str">
        <f>"08302"</f>
        <v>08302</v>
      </c>
      <c r="H8168" s="19" t="s">
        <v>32766</v>
      </c>
      <c r="I8168" s="20">
        <v>17.405000000000001</v>
      </c>
      <c r="J8168" s="44" t="s">
        <v>8</v>
      </c>
      <c r="K8168" s="23" t="s">
        <v>8</v>
      </c>
      <c r="L8168" s="23" t="s">
        <v>8</v>
      </c>
      <c r="M8168" s="23" t="s">
        <v>8</v>
      </c>
    </row>
    <row r="8169" spans="1:13" s="21" customFormat="1" x14ac:dyDescent="0.25">
      <c r="A8169" s="22" t="s">
        <v>8</v>
      </c>
      <c r="B8169" s="18" t="str">
        <f>"315064"</f>
        <v>315064</v>
      </c>
      <c r="C8169" s="19" t="s">
        <v>8047</v>
      </c>
      <c r="D8169" s="19" t="s">
        <v>23588</v>
      </c>
      <c r="E8169" s="19" t="s">
        <v>33888</v>
      </c>
      <c r="F8169" s="19" t="s">
        <v>36004</v>
      </c>
      <c r="G8169" s="18" t="str">
        <f>"07076"</f>
        <v>07076</v>
      </c>
      <c r="H8169" s="19" t="s">
        <v>33554</v>
      </c>
      <c r="I8169" s="20">
        <v>15.385999999999999</v>
      </c>
      <c r="J8169" s="44" t="s">
        <v>8</v>
      </c>
      <c r="K8169" s="23" t="s">
        <v>8</v>
      </c>
      <c r="L8169" s="23" t="s">
        <v>8</v>
      </c>
      <c r="M8169" s="23" t="s">
        <v>8</v>
      </c>
    </row>
    <row r="8170" spans="1:13" s="21" customFormat="1" x14ac:dyDescent="0.25">
      <c r="A8170" s="22" t="s">
        <v>8</v>
      </c>
      <c r="B8170" s="18" t="str">
        <f>"315066"</f>
        <v>315066</v>
      </c>
      <c r="C8170" s="19" t="s">
        <v>8048</v>
      </c>
      <c r="D8170" s="19" t="s">
        <v>23589</v>
      </c>
      <c r="E8170" s="19" t="s">
        <v>33880</v>
      </c>
      <c r="F8170" s="19" t="s">
        <v>36004</v>
      </c>
      <c r="G8170" s="18" t="str">
        <f>"07052"</f>
        <v>07052</v>
      </c>
      <c r="H8170" s="19" t="s">
        <v>31458</v>
      </c>
      <c r="I8170" s="20">
        <v>21.282</v>
      </c>
      <c r="J8170" s="44" t="s">
        <v>8</v>
      </c>
      <c r="K8170" s="23" t="s">
        <v>8</v>
      </c>
      <c r="L8170" s="23" t="s">
        <v>8</v>
      </c>
      <c r="M8170" s="23" t="s">
        <v>8</v>
      </c>
    </row>
    <row r="8171" spans="1:13" s="21" customFormat="1" x14ac:dyDescent="0.25">
      <c r="A8171" s="22" t="s">
        <v>8</v>
      </c>
      <c r="B8171" s="18" t="str">
        <f>"315068"</f>
        <v>315068</v>
      </c>
      <c r="C8171" s="19" t="s">
        <v>8049</v>
      </c>
      <c r="D8171" s="19" t="s">
        <v>23590</v>
      </c>
      <c r="E8171" s="19" t="s">
        <v>33875</v>
      </c>
      <c r="F8171" s="19" t="s">
        <v>36004</v>
      </c>
      <c r="G8171" s="18" t="str">
        <f>"08002"</f>
        <v>08002</v>
      </c>
      <c r="H8171" s="19" t="s">
        <v>30910</v>
      </c>
      <c r="I8171" s="20">
        <v>22.462</v>
      </c>
      <c r="J8171" s="44" t="s">
        <v>8</v>
      </c>
      <c r="K8171" s="23" t="s">
        <v>8</v>
      </c>
      <c r="L8171" s="23" t="s">
        <v>8</v>
      </c>
      <c r="M8171" s="23" t="s">
        <v>8</v>
      </c>
    </row>
    <row r="8172" spans="1:13" s="21" customFormat="1" x14ac:dyDescent="0.25">
      <c r="A8172" s="22" t="s">
        <v>8</v>
      </c>
      <c r="B8172" s="18" t="str">
        <f>"315069"</f>
        <v>315069</v>
      </c>
      <c r="C8172" s="19" t="s">
        <v>8050</v>
      </c>
      <c r="D8172" s="19" t="s">
        <v>23591</v>
      </c>
      <c r="E8172" s="19" t="s">
        <v>33889</v>
      </c>
      <c r="F8172" s="19" t="s">
        <v>36004</v>
      </c>
      <c r="G8172" s="18" t="str">
        <f>"07719"</f>
        <v>07719</v>
      </c>
      <c r="H8172" s="19" t="s">
        <v>32161</v>
      </c>
      <c r="I8172" s="20">
        <v>18.324000000000002</v>
      </c>
      <c r="J8172" s="44" t="s">
        <v>8</v>
      </c>
      <c r="K8172" s="23" t="s">
        <v>8</v>
      </c>
      <c r="L8172" s="23" t="s">
        <v>8</v>
      </c>
      <c r="M8172" s="23" t="s">
        <v>8</v>
      </c>
    </row>
    <row r="8173" spans="1:13" s="21" customFormat="1" x14ac:dyDescent="0.25">
      <c r="A8173" s="22" t="s">
        <v>8</v>
      </c>
      <c r="B8173" s="18" t="str">
        <f>"315072"</f>
        <v>315072</v>
      </c>
      <c r="C8173" s="19" t="s">
        <v>8051</v>
      </c>
      <c r="D8173" s="19" t="s">
        <v>23592</v>
      </c>
      <c r="E8173" s="19" t="s">
        <v>33890</v>
      </c>
      <c r="F8173" s="19" t="s">
        <v>36004</v>
      </c>
      <c r="G8173" s="18" t="str">
        <f>"07840"</f>
        <v>07840</v>
      </c>
      <c r="H8173" s="19" t="s">
        <v>31025</v>
      </c>
      <c r="I8173" s="20">
        <v>17.731000000000002</v>
      </c>
      <c r="J8173" s="44" t="s">
        <v>8</v>
      </c>
      <c r="K8173" s="23" t="s">
        <v>8</v>
      </c>
      <c r="L8173" s="23" t="s">
        <v>8</v>
      </c>
      <c r="M8173" s="23" t="s">
        <v>8</v>
      </c>
    </row>
    <row r="8174" spans="1:13" s="21" customFormat="1" x14ac:dyDescent="0.25">
      <c r="A8174" s="22" t="s">
        <v>8</v>
      </c>
      <c r="B8174" s="18" t="str">
        <f>"315077"</f>
        <v>315077</v>
      </c>
      <c r="C8174" s="19" t="s">
        <v>8052</v>
      </c>
      <c r="D8174" s="19" t="s">
        <v>23593</v>
      </c>
      <c r="E8174" s="19" t="s">
        <v>33891</v>
      </c>
      <c r="F8174" s="19" t="s">
        <v>36004</v>
      </c>
      <c r="G8174" s="18" t="str">
        <f>"08057"</f>
        <v>08057</v>
      </c>
      <c r="H8174" s="19" t="s">
        <v>31369</v>
      </c>
      <c r="I8174" s="20">
        <v>17.998000000000001</v>
      </c>
      <c r="J8174" s="44" t="s">
        <v>8</v>
      </c>
      <c r="K8174" s="23" t="s">
        <v>8</v>
      </c>
      <c r="L8174" s="23" t="s">
        <v>8</v>
      </c>
      <c r="M8174" s="23" t="s">
        <v>8</v>
      </c>
    </row>
    <row r="8175" spans="1:13" s="21" customFormat="1" x14ac:dyDescent="0.25">
      <c r="A8175" s="22" t="s">
        <v>8</v>
      </c>
      <c r="B8175" s="18" t="str">
        <f>"315083"</f>
        <v>315083</v>
      </c>
      <c r="C8175" s="19" t="s">
        <v>8053</v>
      </c>
      <c r="D8175" s="19" t="s">
        <v>23594</v>
      </c>
      <c r="E8175" s="19" t="s">
        <v>33892</v>
      </c>
      <c r="F8175" s="19" t="s">
        <v>36004</v>
      </c>
      <c r="G8175" s="18" t="str">
        <f>"07305"</f>
        <v>07305</v>
      </c>
      <c r="H8175" s="19" t="s">
        <v>31588</v>
      </c>
      <c r="I8175" s="20">
        <v>18.885999999999999</v>
      </c>
      <c r="J8175" s="44" t="s">
        <v>8</v>
      </c>
      <c r="K8175" s="23" t="s">
        <v>8</v>
      </c>
      <c r="L8175" s="23" t="s">
        <v>8</v>
      </c>
      <c r="M8175" s="23" t="s">
        <v>8</v>
      </c>
    </row>
    <row r="8176" spans="1:13" s="21" customFormat="1" x14ac:dyDescent="0.25">
      <c r="A8176" s="22" t="s">
        <v>8</v>
      </c>
      <c r="B8176" s="18" t="str">
        <f>"315085"</f>
        <v>315085</v>
      </c>
      <c r="C8176" s="19" t="s">
        <v>8054</v>
      </c>
      <c r="D8176" s="19" t="s">
        <v>23595</v>
      </c>
      <c r="E8176" s="19" t="s">
        <v>33893</v>
      </c>
      <c r="F8176" s="19" t="s">
        <v>36004</v>
      </c>
      <c r="G8176" s="18" t="str">
        <f>"07055"</f>
        <v>07055</v>
      </c>
      <c r="H8176" s="19" t="s">
        <v>33893</v>
      </c>
      <c r="I8176" s="20">
        <v>18.111999999999998</v>
      </c>
      <c r="J8176" s="44" t="s">
        <v>8</v>
      </c>
      <c r="K8176" s="23" t="s">
        <v>8</v>
      </c>
      <c r="L8176" s="23" t="s">
        <v>8</v>
      </c>
      <c r="M8176" s="23" t="s">
        <v>8</v>
      </c>
    </row>
    <row r="8177" spans="1:13" s="21" customFormat="1" x14ac:dyDescent="0.25">
      <c r="A8177" s="22" t="s">
        <v>8</v>
      </c>
      <c r="B8177" s="18" t="str">
        <f>"315087"</f>
        <v>315087</v>
      </c>
      <c r="C8177" s="19" t="s">
        <v>8055</v>
      </c>
      <c r="D8177" s="19" t="s">
        <v>23596</v>
      </c>
      <c r="E8177" s="19" t="s">
        <v>33894</v>
      </c>
      <c r="F8177" s="19" t="s">
        <v>36004</v>
      </c>
      <c r="G8177" s="18" t="str">
        <f>"07716"</f>
        <v>07716</v>
      </c>
      <c r="H8177" s="19" t="s">
        <v>32161</v>
      </c>
      <c r="I8177" s="20">
        <v>21.411999999999999</v>
      </c>
      <c r="J8177" s="44" t="s">
        <v>8</v>
      </c>
      <c r="K8177" s="23" t="s">
        <v>8</v>
      </c>
      <c r="L8177" s="23" t="s">
        <v>8</v>
      </c>
      <c r="M8177" s="23" t="s">
        <v>8</v>
      </c>
    </row>
    <row r="8178" spans="1:13" s="21" customFormat="1" x14ac:dyDescent="0.25">
      <c r="A8178" s="22" t="s">
        <v>8</v>
      </c>
      <c r="B8178" s="18" t="str">
        <f>"315091"</f>
        <v>315091</v>
      </c>
      <c r="C8178" s="19" t="s">
        <v>8056</v>
      </c>
      <c r="D8178" s="19" t="s">
        <v>23597</v>
      </c>
      <c r="E8178" s="19" t="s">
        <v>33895</v>
      </c>
      <c r="F8178" s="19" t="s">
        <v>36004</v>
      </c>
      <c r="G8178" s="18" t="str">
        <f>"07016"</f>
        <v>07016</v>
      </c>
      <c r="H8178" s="19" t="s">
        <v>33554</v>
      </c>
      <c r="I8178" s="20">
        <v>19.308</v>
      </c>
      <c r="J8178" s="44" t="s">
        <v>8</v>
      </c>
      <c r="K8178" s="23" t="s">
        <v>8</v>
      </c>
      <c r="L8178" s="23" t="s">
        <v>8</v>
      </c>
      <c r="M8178" s="23" t="s">
        <v>8</v>
      </c>
    </row>
    <row r="8179" spans="1:13" s="21" customFormat="1" x14ac:dyDescent="0.25">
      <c r="A8179" s="22" t="s">
        <v>8</v>
      </c>
      <c r="B8179" s="18" t="str">
        <f>"315092"</f>
        <v>315092</v>
      </c>
      <c r="C8179" s="19" t="s">
        <v>8057</v>
      </c>
      <c r="D8179" s="19" t="s">
        <v>23598</v>
      </c>
      <c r="E8179" s="19" t="s">
        <v>33896</v>
      </c>
      <c r="F8179" s="19" t="s">
        <v>36004</v>
      </c>
      <c r="G8179" s="18" t="str">
        <f>"07733"</f>
        <v>07733</v>
      </c>
      <c r="H8179" s="19" t="s">
        <v>32161</v>
      </c>
      <c r="I8179" s="20">
        <v>15.622999999999999</v>
      </c>
      <c r="J8179" s="44" t="s">
        <v>8</v>
      </c>
      <c r="K8179" s="23" t="s">
        <v>8</v>
      </c>
      <c r="L8179" s="23" t="s">
        <v>8</v>
      </c>
      <c r="M8179" s="23" t="s">
        <v>8</v>
      </c>
    </row>
    <row r="8180" spans="1:13" s="21" customFormat="1" x14ac:dyDescent="0.25">
      <c r="A8180" s="22" t="s">
        <v>8</v>
      </c>
      <c r="B8180" s="18" t="str">
        <f>"315094"</f>
        <v>315094</v>
      </c>
      <c r="C8180" s="19" t="s">
        <v>8058</v>
      </c>
      <c r="D8180" s="19" t="s">
        <v>23599</v>
      </c>
      <c r="E8180" s="19" t="s">
        <v>33897</v>
      </c>
      <c r="F8180" s="19" t="s">
        <v>36004</v>
      </c>
      <c r="G8180" s="18" t="str">
        <f>"08619"</f>
        <v>08619</v>
      </c>
      <c r="H8180" s="19" t="s">
        <v>34991</v>
      </c>
      <c r="I8180" s="20">
        <v>19.47</v>
      </c>
      <c r="J8180" s="44" t="s">
        <v>8</v>
      </c>
      <c r="K8180" s="23" t="s">
        <v>8</v>
      </c>
      <c r="L8180" s="23" t="s">
        <v>8</v>
      </c>
      <c r="M8180" s="23" t="s">
        <v>8</v>
      </c>
    </row>
    <row r="8181" spans="1:13" s="21" customFormat="1" x14ac:dyDescent="0.25">
      <c r="A8181" s="22" t="s">
        <v>8</v>
      </c>
      <c r="B8181" s="18" t="str">
        <f>"315096"</f>
        <v>315096</v>
      </c>
      <c r="C8181" s="19" t="s">
        <v>8059</v>
      </c>
      <c r="D8181" s="19" t="s">
        <v>23600</v>
      </c>
      <c r="E8181" s="19" t="s">
        <v>33898</v>
      </c>
      <c r="F8181" s="19" t="s">
        <v>36004</v>
      </c>
      <c r="G8181" s="18" t="str">
        <f>"07522"</f>
        <v>07522</v>
      </c>
      <c r="H8181" s="19" t="s">
        <v>33893</v>
      </c>
      <c r="I8181" s="20">
        <v>22.114000000000001</v>
      </c>
      <c r="J8181" s="44" t="s">
        <v>8</v>
      </c>
      <c r="K8181" s="23" t="s">
        <v>8</v>
      </c>
      <c r="L8181" s="23" t="s">
        <v>8</v>
      </c>
      <c r="M8181" s="23" t="s">
        <v>8</v>
      </c>
    </row>
    <row r="8182" spans="1:13" s="21" customFormat="1" x14ac:dyDescent="0.25">
      <c r="A8182" s="22" t="s">
        <v>8</v>
      </c>
      <c r="B8182" s="18" t="str">
        <f>"315101"</f>
        <v>315101</v>
      </c>
      <c r="C8182" s="19" t="s">
        <v>8060</v>
      </c>
      <c r="D8182" s="19" t="s">
        <v>23601</v>
      </c>
      <c r="E8182" s="19" t="s">
        <v>31411</v>
      </c>
      <c r="F8182" s="19" t="s">
        <v>36004</v>
      </c>
      <c r="G8182" s="18" t="str">
        <f>"07060"</f>
        <v>07060</v>
      </c>
      <c r="H8182" s="19" t="s">
        <v>33554</v>
      </c>
      <c r="I8182" s="20">
        <v>19.417999999999999</v>
      </c>
      <c r="J8182" s="44" t="s">
        <v>8</v>
      </c>
      <c r="K8182" s="23" t="s">
        <v>8</v>
      </c>
      <c r="L8182" s="23" t="s">
        <v>8</v>
      </c>
      <c r="M8182" s="23" t="s">
        <v>8</v>
      </c>
    </row>
    <row r="8183" spans="1:13" s="21" customFormat="1" x14ac:dyDescent="0.25">
      <c r="A8183" s="22" t="s">
        <v>8</v>
      </c>
      <c r="B8183" s="18" t="str">
        <f>"315103"</f>
        <v>315103</v>
      </c>
      <c r="C8183" s="19" t="s">
        <v>8061</v>
      </c>
      <c r="D8183" s="19" t="s">
        <v>23602</v>
      </c>
      <c r="E8183" s="19" t="s">
        <v>33280</v>
      </c>
      <c r="F8183" s="19" t="s">
        <v>36004</v>
      </c>
      <c r="G8183" s="18" t="str">
        <f>"07470"</f>
        <v>07470</v>
      </c>
      <c r="H8183" s="19" t="s">
        <v>33893</v>
      </c>
      <c r="I8183" s="20">
        <v>19.084</v>
      </c>
      <c r="J8183" s="44" t="s">
        <v>8</v>
      </c>
      <c r="K8183" s="23" t="s">
        <v>8</v>
      </c>
      <c r="L8183" s="23" t="s">
        <v>8</v>
      </c>
      <c r="M8183" s="23" t="s">
        <v>8</v>
      </c>
    </row>
    <row r="8184" spans="1:13" s="21" customFormat="1" x14ac:dyDescent="0.25">
      <c r="A8184" s="22" t="s">
        <v>8</v>
      </c>
      <c r="B8184" s="18" t="str">
        <f>"315104"</f>
        <v>315104</v>
      </c>
      <c r="C8184" s="19" t="s">
        <v>8062</v>
      </c>
      <c r="D8184" s="19" t="s">
        <v>23603</v>
      </c>
      <c r="E8184" s="19" t="s">
        <v>33554</v>
      </c>
      <c r="F8184" s="19" t="s">
        <v>36004</v>
      </c>
      <c r="G8184" s="18" t="str">
        <f>"07083"</f>
        <v>07083</v>
      </c>
      <c r="H8184" s="19" t="s">
        <v>33554</v>
      </c>
      <c r="I8184" s="20">
        <v>20.940999999999999</v>
      </c>
      <c r="J8184" s="44" t="s">
        <v>8</v>
      </c>
      <c r="K8184" s="23" t="s">
        <v>8</v>
      </c>
      <c r="L8184" s="23" t="s">
        <v>8</v>
      </c>
      <c r="M8184" s="23" t="s">
        <v>8</v>
      </c>
    </row>
    <row r="8185" spans="1:13" s="21" customFormat="1" x14ac:dyDescent="0.25">
      <c r="A8185" s="22" t="s">
        <v>8</v>
      </c>
      <c r="B8185" s="18" t="str">
        <f>"315105"</f>
        <v>315105</v>
      </c>
      <c r="C8185" s="19" t="s">
        <v>8063</v>
      </c>
      <c r="D8185" s="19" t="s">
        <v>23604</v>
      </c>
      <c r="E8185" s="19" t="s">
        <v>33899</v>
      </c>
      <c r="F8185" s="19" t="s">
        <v>36004</v>
      </c>
      <c r="G8185" s="18" t="str">
        <f>"07753"</f>
        <v>07753</v>
      </c>
      <c r="H8185" s="19" t="s">
        <v>32161</v>
      </c>
      <c r="I8185" s="20">
        <v>19.745000000000001</v>
      </c>
      <c r="J8185" s="44" t="s">
        <v>8</v>
      </c>
      <c r="K8185" s="23" t="s">
        <v>8</v>
      </c>
      <c r="L8185" s="23" t="s">
        <v>8</v>
      </c>
      <c r="M8185" s="23" t="s">
        <v>8</v>
      </c>
    </row>
    <row r="8186" spans="1:13" s="21" customFormat="1" x14ac:dyDescent="0.25">
      <c r="A8186" s="22" t="s">
        <v>8</v>
      </c>
      <c r="B8186" s="18" t="str">
        <f>"315106"</f>
        <v>315106</v>
      </c>
      <c r="C8186" s="19" t="s">
        <v>8064</v>
      </c>
      <c r="D8186" s="19" t="s">
        <v>23605</v>
      </c>
      <c r="E8186" s="19" t="s">
        <v>33874</v>
      </c>
      <c r="F8186" s="19" t="s">
        <v>36004</v>
      </c>
      <c r="G8186" s="18" t="str">
        <f>"07202"</f>
        <v>07202</v>
      </c>
      <c r="H8186" s="19" t="s">
        <v>33554</v>
      </c>
      <c r="I8186" s="20">
        <v>18.655999999999999</v>
      </c>
      <c r="J8186" s="44" t="s">
        <v>8</v>
      </c>
      <c r="K8186" s="23" t="s">
        <v>8</v>
      </c>
      <c r="L8186" s="23" t="s">
        <v>8</v>
      </c>
      <c r="M8186" s="23" t="s">
        <v>8</v>
      </c>
    </row>
    <row r="8187" spans="1:13" s="21" customFormat="1" x14ac:dyDescent="0.25">
      <c r="A8187" s="22" t="s">
        <v>8</v>
      </c>
      <c r="B8187" s="18" t="str">
        <f>"315108"</f>
        <v>315108</v>
      </c>
      <c r="C8187" s="19" t="s">
        <v>8065</v>
      </c>
      <c r="D8187" s="19" t="s">
        <v>23606</v>
      </c>
      <c r="E8187" s="19" t="s">
        <v>31998</v>
      </c>
      <c r="F8187" s="19" t="s">
        <v>36004</v>
      </c>
      <c r="G8187" s="18" t="str">
        <f>"08540"</f>
        <v>08540</v>
      </c>
      <c r="H8187" s="19" t="s">
        <v>34991</v>
      </c>
      <c r="I8187" s="20">
        <v>16.704999999999998</v>
      </c>
      <c r="J8187" s="44" t="s">
        <v>8</v>
      </c>
      <c r="K8187" s="23" t="s">
        <v>8</v>
      </c>
      <c r="L8187" s="23" t="s">
        <v>8</v>
      </c>
      <c r="M8187" s="23" t="s">
        <v>8</v>
      </c>
    </row>
    <row r="8188" spans="1:13" s="21" customFormat="1" x14ac:dyDescent="0.25">
      <c r="A8188" s="22" t="s">
        <v>8</v>
      </c>
      <c r="B8188" s="18" t="str">
        <f>"315110"</f>
        <v>315110</v>
      </c>
      <c r="C8188" s="19" t="s">
        <v>8066</v>
      </c>
      <c r="D8188" s="19" t="s">
        <v>23607</v>
      </c>
      <c r="E8188" s="19" t="s">
        <v>33280</v>
      </c>
      <c r="F8188" s="19" t="s">
        <v>36004</v>
      </c>
      <c r="G8188" s="18" t="str">
        <f>"07470"</f>
        <v>07470</v>
      </c>
      <c r="H8188" s="19" t="s">
        <v>33893</v>
      </c>
      <c r="I8188" s="20">
        <v>17.027999999999999</v>
      </c>
      <c r="J8188" s="44" t="s">
        <v>8</v>
      </c>
      <c r="K8188" s="23" t="s">
        <v>8</v>
      </c>
      <c r="L8188" s="23" t="s">
        <v>8</v>
      </c>
      <c r="M8188" s="23" t="s">
        <v>8</v>
      </c>
    </row>
    <row r="8189" spans="1:13" s="21" customFormat="1" x14ac:dyDescent="0.25">
      <c r="A8189" s="22" t="s">
        <v>8</v>
      </c>
      <c r="B8189" s="18" t="str">
        <f>"315111"</f>
        <v>315111</v>
      </c>
      <c r="C8189" s="19" t="s">
        <v>8067</v>
      </c>
      <c r="D8189" s="19" t="s">
        <v>23608</v>
      </c>
      <c r="E8189" s="19" t="s">
        <v>33900</v>
      </c>
      <c r="F8189" s="19" t="s">
        <v>36004</v>
      </c>
      <c r="G8189" s="18" t="str">
        <f>"08690"</f>
        <v>08690</v>
      </c>
      <c r="H8189" s="19" t="s">
        <v>34991</v>
      </c>
      <c r="I8189" s="20">
        <v>21.047000000000001</v>
      </c>
      <c r="J8189" s="44" t="s">
        <v>8</v>
      </c>
      <c r="K8189" s="23" t="s">
        <v>8</v>
      </c>
      <c r="L8189" s="23" t="s">
        <v>8</v>
      </c>
      <c r="M8189" s="23" t="s">
        <v>8</v>
      </c>
    </row>
    <row r="8190" spans="1:13" s="21" customFormat="1" x14ac:dyDescent="0.25">
      <c r="A8190" s="22" t="s">
        <v>8</v>
      </c>
      <c r="B8190" s="18" t="str">
        <f>"315112"</f>
        <v>315112</v>
      </c>
      <c r="C8190" s="19" t="s">
        <v>8068</v>
      </c>
      <c r="D8190" s="19" t="s">
        <v>23609</v>
      </c>
      <c r="E8190" s="19" t="s">
        <v>33901</v>
      </c>
      <c r="F8190" s="19" t="s">
        <v>36004</v>
      </c>
      <c r="G8190" s="18" t="str">
        <f>"07047"</f>
        <v>07047</v>
      </c>
      <c r="H8190" s="19" t="s">
        <v>31588</v>
      </c>
      <c r="I8190" s="20">
        <v>19.579999999999998</v>
      </c>
      <c r="J8190" s="44" t="s">
        <v>8</v>
      </c>
      <c r="K8190" s="23" t="s">
        <v>8</v>
      </c>
      <c r="L8190" s="23" t="s">
        <v>8</v>
      </c>
      <c r="M8190" s="23" t="s">
        <v>8</v>
      </c>
    </row>
    <row r="8191" spans="1:13" s="21" customFormat="1" x14ac:dyDescent="0.25">
      <c r="A8191" s="22" t="s">
        <v>8</v>
      </c>
      <c r="B8191" s="18" t="str">
        <f>"315113"</f>
        <v>315113</v>
      </c>
      <c r="C8191" s="19" t="s">
        <v>8069</v>
      </c>
      <c r="D8191" s="19" t="s">
        <v>23610</v>
      </c>
      <c r="E8191" s="19" t="s">
        <v>31746</v>
      </c>
      <c r="F8191" s="19" t="s">
        <v>36004</v>
      </c>
      <c r="G8191" s="18" t="str">
        <f>"08648"</f>
        <v>08648</v>
      </c>
      <c r="H8191" s="19" t="s">
        <v>34991</v>
      </c>
      <c r="I8191" s="20">
        <v>24.073</v>
      </c>
      <c r="J8191" s="44" t="s">
        <v>8</v>
      </c>
      <c r="K8191" s="23" t="s">
        <v>8</v>
      </c>
      <c r="L8191" s="23" t="s">
        <v>8</v>
      </c>
      <c r="M8191" s="23" t="s">
        <v>8</v>
      </c>
    </row>
    <row r="8192" spans="1:13" s="21" customFormat="1" x14ac:dyDescent="0.25">
      <c r="A8192" s="22" t="s">
        <v>8</v>
      </c>
      <c r="B8192" s="18" t="str">
        <f>"315115"</f>
        <v>315115</v>
      </c>
      <c r="C8192" s="19" t="s">
        <v>8070</v>
      </c>
      <c r="D8192" s="19" t="s">
        <v>23611</v>
      </c>
      <c r="E8192" s="19" t="s">
        <v>31339</v>
      </c>
      <c r="F8192" s="19" t="s">
        <v>36004</v>
      </c>
      <c r="G8192" s="18" t="str">
        <f>"08701"</f>
        <v>08701</v>
      </c>
      <c r="H8192" s="19" t="s">
        <v>36577</v>
      </c>
      <c r="I8192" s="20">
        <v>20.890999999999998</v>
      </c>
      <c r="J8192" s="44" t="s">
        <v>8</v>
      </c>
      <c r="K8192" s="23" t="s">
        <v>8</v>
      </c>
      <c r="L8192" s="23" t="s">
        <v>8</v>
      </c>
      <c r="M8192" s="23" t="s">
        <v>8</v>
      </c>
    </row>
    <row r="8193" spans="1:13" s="21" customFormat="1" x14ac:dyDescent="0.25">
      <c r="A8193" s="22" t="s">
        <v>8</v>
      </c>
      <c r="B8193" s="18" t="str">
        <f>"315119"</f>
        <v>315119</v>
      </c>
      <c r="C8193" s="19" t="s">
        <v>8071</v>
      </c>
      <c r="D8193" s="19" t="s">
        <v>23612</v>
      </c>
      <c r="E8193" s="19" t="s">
        <v>33902</v>
      </c>
      <c r="F8193" s="19" t="s">
        <v>36004</v>
      </c>
      <c r="G8193" s="18" t="str">
        <f>"07730"</f>
        <v>07730</v>
      </c>
      <c r="H8193" s="19" t="s">
        <v>32161</v>
      </c>
      <c r="I8193" s="20">
        <v>20.452999999999999</v>
      </c>
      <c r="J8193" s="44" t="s">
        <v>8</v>
      </c>
      <c r="K8193" s="23" t="s">
        <v>8</v>
      </c>
      <c r="L8193" s="23" t="s">
        <v>8</v>
      </c>
      <c r="M8193" s="23" t="s">
        <v>8</v>
      </c>
    </row>
    <row r="8194" spans="1:13" s="21" customFormat="1" x14ac:dyDescent="0.25">
      <c r="A8194" s="22" t="s">
        <v>8</v>
      </c>
      <c r="B8194" s="18" t="str">
        <f>"315120"</f>
        <v>315120</v>
      </c>
      <c r="C8194" s="19" t="s">
        <v>8072</v>
      </c>
      <c r="D8194" s="19" t="s">
        <v>23613</v>
      </c>
      <c r="E8194" s="19" t="s">
        <v>33903</v>
      </c>
      <c r="F8194" s="19" t="s">
        <v>36004</v>
      </c>
      <c r="G8194" s="18" t="str">
        <f>"07928"</f>
        <v>07928</v>
      </c>
      <c r="H8194" s="19" t="s">
        <v>32051</v>
      </c>
      <c r="I8194" s="20">
        <v>18.308</v>
      </c>
      <c r="J8194" s="44" t="s">
        <v>8</v>
      </c>
      <c r="K8194" s="23" t="s">
        <v>8</v>
      </c>
      <c r="L8194" s="23" t="s">
        <v>8</v>
      </c>
      <c r="M8194" s="23" t="s">
        <v>8</v>
      </c>
    </row>
    <row r="8195" spans="1:13" s="21" customFormat="1" x14ac:dyDescent="0.25">
      <c r="A8195" s="22" t="s">
        <v>8</v>
      </c>
      <c r="B8195" s="18" t="str">
        <f>"315122"</f>
        <v>315122</v>
      </c>
      <c r="C8195" s="19" t="s">
        <v>5910</v>
      </c>
      <c r="D8195" s="19" t="s">
        <v>23614</v>
      </c>
      <c r="E8195" s="19" t="s">
        <v>32231</v>
      </c>
      <c r="F8195" s="19" t="s">
        <v>36004</v>
      </c>
      <c r="G8195" s="18" t="str">
        <f>"07090"</f>
        <v>07090</v>
      </c>
      <c r="H8195" s="19" t="s">
        <v>33554</v>
      </c>
      <c r="I8195" s="20">
        <v>20.006</v>
      </c>
      <c r="J8195" s="44" t="s">
        <v>8</v>
      </c>
      <c r="K8195" s="23" t="s">
        <v>8</v>
      </c>
      <c r="L8195" s="23" t="s">
        <v>8</v>
      </c>
      <c r="M8195" s="23" t="s">
        <v>8</v>
      </c>
    </row>
    <row r="8196" spans="1:13" s="21" customFormat="1" x14ac:dyDescent="0.25">
      <c r="A8196" s="22" t="s">
        <v>8</v>
      </c>
      <c r="B8196" s="18" t="str">
        <f>"315124"</f>
        <v>315124</v>
      </c>
      <c r="C8196" s="19" t="s">
        <v>8073</v>
      </c>
      <c r="D8196" s="19" t="s">
        <v>23615</v>
      </c>
      <c r="E8196" s="19" t="s">
        <v>31591</v>
      </c>
      <c r="F8196" s="19" t="s">
        <v>36004</v>
      </c>
      <c r="G8196" s="18" t="str">
        <f>"08618"</f>
        <v>08618</v>
      </c>
      <c r="H8196" s="19" t="s">
        <v>34991</v>
      </c>
      <c r="I8196" s="20">
        <v>18.742000000000001</v>
      </c>
      <c r="J8196" s="44" t="s">
        <v>8</v>
      </c>
      <c r="K8196" s="23" t="s">
        <v>8</v>
      </c>
      <c r="L8196" s="23" t="s">
        <v>8</v>
      </c>
      <c r="M8196" s="23" t="s">
        <v>8</v>
      </c>
    </row>
    <row r="8197" spans="1:13" s="21" customFormat="1" x14ac:dyDescent="0.25">
      <c r="A8197" s="22" t="s">
        <v>8</v>
      </c>
      <c r="B8197" s="18" t="str">
        <f>"315125"</f>
        <v>315125</v>
      </c>
      <c r="C8197" s="19" t="s">
        <v>8074</v>
      </c>
      <c r="D8197" s="19" t="s">
        <v>23616</v>
      </c>
      <c r="E8197" s="19" t="s">
        <v>33904</v>
      </c>
      <c r="F8197" s="19" t="s">
        <v>36004</v>
      </c>
      <c r="G8197" s="18" t="str">
        <f>"08721"</f>
        <v>08721</v>
      </c>
      <c r="H8197" s="19" t="s">
        <v>36577</v>
      </c>
      <c r="I8197" s="20">
        <v>28.227</v>
      </c>
      <c r="J8197" s="44" t="s">
        <v>8</v>
      </c>
      <c r="K8197" s="23" t="s">
        <v>8</v>
      </c>
      <c r="L8197" s="23" t="s">
        <v>8</v>
      </c>
      <c r="M8197" s="23" t="s">
        <v>8</v>
      </c>
    </row>
    <row r="8198" spans="1:13" s="21" customFormat="1" x14ac:dyDescent="0.25">
      <c r="A8198" s="22" t="s">
        <v>8</v>
      </c>
      <c r="B8198" s="18" t="str">
        <f>"315126"</f>
        <v>315126</v>
      </c>
      <c r="C8198" s="19" t="s">
        <v>8075</v>
      </c>
      <c r="D8198" s="19" t="s">
        <v>23617</v>
      </c>
      <c r="E8198" s="19" t="s">
        <v>33905</v>
      </c>
      <c r="F8198" s="19" t="s">
        <v>36004</v>
      </c>
      <c r="G8198" s="18" t="str">
        <f>"08360"</f>
        <v>08360</v>
      </c>
      <c r="H8198" s="19" t="s">
        <v>32766</v>
      </c>
      <c r="I8198" s="20">
        <v>20.134</v>
      </c>
      <c r="J8198" s="44" t="s">
        <v>8</v>
      </c>
      <c r="K8198" s="23" t="s">
        <v>8</v>
      </c>
      <c r="L8198" s="23" t="s">
        <v>8</v>
      </c>
      <c r="M8198" s="23" t="s">
        <v>8</v>
      </c>
    </row>
    <row r="8199" spans="1:13" s="21" customFormat="1" x14ac:dyDescent="0.25">
      <c r="A8199" s="22" t="s">
        <v>8</v>
      </c>
      <c r="B8199" s="18" t="str">
        <f>"315127"</f>
        <v>315127</v>
      </c>
      <c r="C8199" s="19" t="s">
        <v>8076</v>
      </c>
      <c r="D8199" s="19" t="s">
        <v>23618</v>
      </c>
      <c r="E8199" s="19" t="s">
        <v>31746</v>
      </c>
      <c r="F8199" s="19" t="s">
        <v>36004</v>
      </c>
      <c r="G8199" s="18" t="str">
        <f>"08648"</f>
        <v>08648</v>
      </c>
      <c r="H8199" s="19" t="s">
        <v>34991</v>
      </c>
      <c r="I8199" s="20">
        <v>19.295000000000002</v>
      </c>
      <c r="J8199" s="44" t="s">
        <v>8</v>
      </c>
      <c r="K8199" s="23" t="s">
        <v>8</v>
      </c>
      <c r="L8199" s="23" t="s">
        <v>8</v>
      </c>
      <c r="M8199" s="23" t="s">
        <v>8</v>
      </c>
    </row>
    <row r="8200" spans="1:13" s="21" customFormat="1" x14ac:dyDescent="0.25">
      <c r="A8200" s="22" t="s">
        <v>8</v>
      </c>
      <c r="B8200" s="18" t="str">
        <f>"315128"</f>
        <v>315128</v>
      </c>
      <c r="C8200" s="19" t="s">
        <v>8077</v>
      </c>
      <c r="D8200" s="19" t="s">
        <v>23619</v>
      </c>
      <c r="E8200" s="19" t="s">
        <v>33575</v>
      </c>
      <c r="F8200" s="19" t="s">
        <v>36004</v>
      </c>
      <c r="G8200" s="18" t="str">
        <f>"08048"</f>
        <v>08048</v>
      </c>
      <c r="H8200" s="19" t="s">
        <v>31369</v>
      </c>
      <c r="I8200" s="20">
        <v>19.198</v>
      </c>
      <c r="J8200" s="44" t="s">
        <v>8</v>
      </c>
      <c r="K8200" s="23" t="s">
        <v>8</v>
      </c>
      <c r="L8200" s="23" t="s">
        <v>8</v>
      </c>
      <c r="M8200" s="23" t="s">
        <v>8</v>
      </c>
    </row>
    <row r="8201" spans="1:13" s="21" customFormat="1" x14ac:dyDescent="0.25">
      <c r="A8201" s="22" t="s">
        <v>8</v>
      </c>
      <c r="B8201" s="18" t="str">
        <f>"315129"</f>
        <v>315129</v>
      </c>
      <c r="C8201" s="19" t="s">
        <v>8078</v>
      </c>
      <c r="D8201" s="19" t="s">
        <v>23620</v>
      </c>
      <c r="E8201" s="19" t="s">
        <v>33878</v>
      </c>
      <c r="F8201" s="19" t="s">
        <v>36004</v>
      </c>
      <c r="G8201" s="18" t="str">
        <f>"07652"</f>
        <v>07652</v>
      </c>
      <c r="H8201" s="19" t="s">
        <v>36576</v>
      </c>
      <c r="I8201" s="20">
        <v>16.393999999999998</v>
      </c>
      <c r="J8201" s="44" t="s">
        <v>8</v>
      </c>
      <c r="K8201" s="23" t="s">
        <v>8</v>
      </c>
      <c r="L8201" s="23" t="s">
        <v>8</v>
      </c>
      <c r="M8201" s="23" t="s">
        <v>8</v>
      </c>
    </row>
    <row r="8202" spans="1:13" s="21" customFormat="1" x14ac:dyDescent="0.25">
      <c r="A8202" s="22" t="s">
        <v>8</v>
      </c>
      <c r="B8202" s="18" t="str">
        <f>"315130"</f>
        <v>315130</v>
      </c>
      <c r="C8202" s="19" t="s">
        <v>8079</v>
      </c>
      <c r="D8202" s="19" t="s">
        <v>23621</v>
      </c>
      <c r="E8202" s="19" t="s">
        <v>32321</v>
      </c>
      <c r="F8202" s="19" t="s">
        <v>36004</v>
      </c>
      <c r="G8202" s="18" t="str">
        <f>"07960"</f>
        <v>07960</v>
      </c>
      <c r="H8202" s="19" t="s">
        <v>32051</v>
      </c>
      <c r="I8202" s="20">
        <v>17.518999999999998</v>
      </c>
      <c r="J8202" s="44" t="s">
        <v>8</v>
      </c>
      <c r="K8202" s="23" t="s">
        <v>8</v>
      </c>
      <c r="L8202" s="23" t="s">
        <v>8</v>
      </c>
      <c r="M8202" s="23" t="s">
        <v>8</v>
      </c>
    </row>
    <row r="8203" spans="1:13" s="21" customFormat="1" x14ac:dyDescent="0.25">
      <c r="A8203" s="22" t="s">
        <v>8</v>
      </c>
      <c r="B8203" s="18" t="str">
        <f>"315131"</f>
        <v>315131</v>
      </c>
      <c r="C8203" s="19" t="s">
        <v>8080</v>
      </c>
      <c r="D8203" s="19" t="s">
        <v>23622</v>
      </c>
      <c r="E8203" s="19" t="s">
        <v>32705</v>
      </c>
      <c r="F8203" s="19" t="s">
        <v>36004</v>
      </c>
      <c r="G8203" s="18" t="str">
        <f>"08873"</f>
        <v>08873</v>
      </c>
      <c r="H8203" s="19" t="s">
        <v>32705</v>
      </c>
      <c r="I8203" s="20">
        <v>20.123000000000001</v>
      </c>
      <c r="J8203" s="44" t="s">
        <v>8</v>
      </c>
      <c r="K8203" s="23" t="s">
        <v>8</v>
      </c>
      <c r="L8203" s="23" t="s">
        <v>8</v>
      </c>
      <c r="M8203" s="23" t="s">
        <v>8</v>
      </c>
    </row>
    <row r="8204" spans="1:13" s="21" customFormat="1" x14ac:dyDescent="0.25">
      <c r="A8204" s="22" t="s">
        <v>8</v>
      </c>
      <c r="B8204" s="18" t="str">
        <f>"315132"</f>
        <v>315132</v>
      </c>
      <c r="C8204" s="19" t="s">
        <v>8081</v>
      </c>
      <c r="D8204" s="19" t="s">
        <v>23623</v>
      </c>
      <c r="E8204" s="19" t="s">
        <v>31724</v>
      </c>
      <c r="F8204" s="19" t="s">
        <v>36004</v>
      </c>
      <c r="G8204" s="18" t="str">
        <f>"08820"</f>
        <v>08820</v>
      </c>
      <c r="H8204" s="19" t="s">
        <v>36120</v>
      </c>
      <c r="I8204" s="20">
        <v>19.010999999999999</v>
      </c>
      <c r="J8204" s="44" t="s">
        <v>8</v>
      </c>
      <c r="K8204" s="23" t="s">
        <v>8</v>
      </c>
      <c r="L8204" s="23" t="s">
        <v>8</v>
      </c>
      <c r="M8204" s="23" t="s">
        <v>8</v>
      </c>
    </row>
    <row r="8205" spans="1:13" s="21" customFormat="1" x14ac:dyDescent="0.25">
      <c r="A8205" s="22" t="s">
        <v>8</v>
      </c>
      <c r="B8205" s="18" t="str">
        <f>"315133"</f>
        <v>315133</v>
      </c>
      <c r="C8205" s="19" t="s">
        <v>8082</v>
      </c>
      <c r="D8205" s="19" t="s">
        <v>23624</v>
      </c>
      <c r="E8205" s="19" t="s">
        <v>33906</v>
      </c>
      <c r="F8205" s="19" t="s">
        <v>36004</v>
      </c>
      <c r="G8205" s="18" t="str">
        <f>"07677"</f>
        <v>07677</v>
      </c>
      <c r="H8205" s="19" t="s">
        <v>36576</v>
      </c>
      <c r="I8205" s="20">
        <v>19.097000000000001</v>
      </c>
      <c r="J8205" s="44" t="s">
        <v>8</v>
      </c>
      <c r="K8205" s="23" t="s">
        <v>8</v>
      </c>
      <c r="L8205" s="23" t="s">
        <v>8</v>
      </c>
      <c r="M8205" s="23" t="s">
        <v>8</v>
      </c>
    </row>
    <row r="8206" spans="1:13" s="21" customFormat="1" x14ac:dyDescent="0.25">
      <c r="A8206" s="22" t="s">
        <v>8</v>
      </c>
      <c r="B8206" s="18" t="str">
        <f>"315134"</f>
        <v>315134</v>
      </c>
      <c r="C8206" s="19" t="s">
        <v>8083</v>
      </c>
      <c r="D8206" s="19" t="s">
        <v>23625</v>
      </c>
      <c r="E8206" s="19" t="s">
        <v>33120</v>
      </c>
      <c r="F8206" s="19" t="s">
        <v>36004</v>
      </c>
      <c r="G8206" s="18" t="str">
        <f>"08807"</f>
        <v>08807</v>
      </c>
      <c r="H8206" s="19" t="s">
        <v>32705</v>
      </c>
      <c r="I8206" s="20">
        <v>20.71</v>
      </c>
      <c r="J8206" s="44" t="s">
        <v>8</v>
      </c>
      <c r="K8206" s="23" t="s">
        <v>8</v>
      </c>
      <c r="L8206" s="23" t="s">
        <v>8</v>
      </c>
      <c r="M8206" s="23" t="s">
        <v>8</v>
      </c>
    </row>
    <row r="8207" spans="1:13" s="21" customFormat="1" x14ac:dyDescent="0.25">
      <c r="A8207" s="22" t="s">
        <v>8</v>
      </c>
      <c r="B8207" s="18" t="str">
        <f>"315135"</f>
        <v>315135</v>
      </c>
      <c r="C8207" s="19" t="s">
        <v>8084</v>
      </c>
      <c r="D8207" s="19" t="s">
        <v>23626</v>
      </c>
      <c r="E8207" s="19" t="s">
        <v>33907</v>
      </c>
      <c r="F8207" s="19" t="s">
        <v>36004</v>
      </c>
      <c r="G8207" s="18" t="str">
        <f>"08742"</f>
        <v>08742</v>
      </c>
      <c r="H8207" s="19" t="s">
        <v>36577</v>
      </c>
      <c r="I8207" s="20">
        <v>16.420999999999999</v>
      </c>
      <c r="J8207" s="44" t="s">
        <v>8</v>
      </c>
      <c r="K8207" s="23" t="s">
        <v>8</v>
      </c>
      <c r="L8207" s="23" t="s">
        <v>8</v>
      </c>
      <c r="M8207" s="23" t="s">
        <v>8</v>
      </c>
    </row>
    <row r="8208" spans="1:13" s="21" customFormat="1" x14ac:dyDescent="0.25">
      <c r="A8208" s="22" t="s">
        <v>8</v>
      </c>
      <c r="B8208" s="18" t="str">
        <f>"315136"</f>
        <v>315136</v>
      </c>
      <c r="C8208" s="19" t="s">
        <v>8085</v>
      </c>
      <c r="D8208" s="19" t="s">
        <v>23627</v>
      </c>
      <c r="E8208" s="19" t="s">
        <v>33097</v>
      </c>
      <c r="F8208" s="19" t="s">
        <v>36004</v>
      </c>
      <c r="G8208" s="18" t="str">
        <f>"07702"</f>
        <v>07702</v>
      </c>
      <c r="H8208" s="19" t="s">
        <v>32161</v>
      </c>
      <c r="I8208" s="20">
        <v>20.472000000000001</v>
      </c>
      <c r="J8208" s="44" t="s">
        <v>8</v>
      </c>
      <c r="K8208" s="23" t="s">
        <v>8</v>
      </c>
      <c r="L8208" s="23" t="s">
        <v>8</v>
      </c>
      <c r="M8208" s="23" t="s">
        <v>8</v>
      </c>
    </row>
    <row r="8209" spans="1:13" s="21" customFormat="1" x14ac:dyDescent="0.25">
      <c r="A8209" s="22" t="s">
        <v>8</v>
      </c>
      <c r="B8209" s="18" t="str">
        <f>"315137"</f>
        <v>315137</v>
      </c>
      <c r="C8209" s="19" t="s">
        <v>8086</v>
      </c>
      <c r="D8209" s="19" t="s">
        <v>23628</v>
      </c>
      <c r="E8209" s="19" t="s">
        <v>32101</v>
      </c>
      <c r="F8209" s="19" t="s">
        <v>36004</v>
      </c>
      <c r="G8209" s="18" t="str">
        <f>"07860"</f>
        <v>07860</v>
      </c>
      <c r="H8209" s="19" t="s">
        <v>36121</v>
      </c>
      <c r="I8209" s="20">
        <v>21.126000000000001</v>
      </c>
      <c r="J8209" s="44" t="s">
        <v>8</v>
      </c>
      <c r="K8209" s="23" t="s">
        <v>8</v>
      </c>
      <c r="L8209" s="23" t="s">
        <v>8</v>
      </c>
      <c r="M8209" s="23" t="s">
        <v>8</v>
      </c>
    </row>
    <row r="8210" spans="1:13" s="21" customFormat="1" x14ac:dyDescent="0.25">
      <c r="A8210" s="22" t="s">
        <v>8</v>
      </c>
      <c r="B8210" s="18" t="str">
        <f>"315138"</f>
        <v>315138</v>
      </c>
      <c r="C8210" s="19" t="s">
        <v>8087</v>
      </c>
      <c r="D8210" s="19" t="s">
        <v>23629</v>
      </c>
      <c r="E8210" s="19" t="s">
        <v>33908</v>
      </c>
      <c r="F8210" s="19" t="s">
        <v>36004</v>
      </c>
      <c r="G8210" s="18" t="str">
        <f>"07054"</f>
        <v>07054</v>
      </c>
      <c r="H8210" s="19" t="s">
        <v>32051</v>
      </c>
      <c r="I8210" s="20">
        <v>17.463000000000001</v>
      </c>
      <c r="J8210" s="44" t="s">
        <v>8</v>
      </c>
      <c r="K8210" s="23" t="s">
        <v>8</v>
      </c>
      <c r="L8210" s="23" t="s">
        <v>8</v>
      </c>
      <c r="M8210" s="23" t="s">
        <v>8</v>
      </c>
    </row>
    <row r="8211" spans="1:13" s="21" customFormat="1" x14ac:dyDescent="0.25">
      <c r="A8211" s="22" t="s">
        <v>8</v>
      </c>
      <c r="B8211" s="18" t="str">
        <f>"315140"</f>
        <v>315140</v>
      </c>
      <c r="C8211" s="19" t="s">
        <v>8088</v>
      </c>
      <c r="D8211" s="19" t="s">
        <v>23630</v>
      </c>
      <c r="E8211" s="19" t="s">
        <v>33909</v>
      </c>
      <c r="F8211" s="19" t="s">
        <v>36004</v>
      </c>
      <c r="G8211" s="18" t="str">
        <f>"08869"</f>
        <v>08869</v>
      </c>
      <c r="H8211" s="19" t="s">
        <v>32705</v>
      </c>
      <c r="I8211" s="20">
        <v>16.350999999999999</v>
      </c>
      <c r="J8211" s="44" t="s">
        <v>8</v>
      </c>
      <c r="K8211" s="23" t="s">
        <v>8</v>
      </c>
      <c r="L8211" s="23" t="s">
        <v>8</v>
      </c>
      <c r="M8211" s="23" t="s">
        <v>8</v>
      </c>
    </row>
    <row r="8212" spans="1:13" s="21" customFormat="1" x14ac:dyDescent="0.25">
      <c r="A8212" s="22" t="s">
        <v>8</v>
      </c>
      <c r="B8212" s="18" t="str">
        <f>"315141"</f>
        <v>315141</v>
      </c>
      <c r="C8212" s="19" t="s">
        <v>8089</v>
      </c>
      <c r="D8212" s="19" t="s">
        <v>23631</v>
      </c>
      <c r="E8212" s="19" t="s">
        <v>33910</v>
      </c>
      <c r="F8212" s="19" t="s">
        <v>36004</v>
      </c>
      <c r="G8212" s="18" t="str">
        <f>"08812"</f>
        <v>08812</v>
      </c>
      <c r="H8212" s="19" t="s">
        <v>36120</v>
      </c>
      <c r="I8212" s="20">
        <v>16.015000000000001</v>
      </c>
      <c r="J8212" s="44" t="s">
        <v>8</v>
      </c>
      <c r="K8212" s="23" t="s">
        <v>8</v>
      </c>
      <c r="L8212" s="23" t="s">
        <v>8</v>
      </c>
      <c r="M8212" s="23" t="s">
        <v>8</v>
      </c>
    </row>
    <row r="8213" spans="1:13" s="21" customFormat="1" x14ac:dyDescent="0.25">
      <c r="A8213" s="22" t="s">
        <v>8</v>
      </c>
      <c r="B8213" s="18" t="str">
        <f>"315142"</f>
        <v>315142</v>
      </c>
      <c r="C8213" s="19" t="s">
        <v>8090</v>
      </c>
      <c r="D8213" s="19" t="s">
        <v>23632</v>
      </c>
      <c r="E8213" s="19" t="s">
        <v>33280</v>
      </c>
      <c r="F8213" s="19" t="s">
        <v>36004</v>
      </c>
      <c r="G8213" s="18" t="str">
        <f>"07470"</f>
        <v>07470</v>
      </c>
      <c r="H8213" s="19" t="s">
        <v>33893</v>
      </c>
      <c r="I8213" s="20">
        <v>20.186</v>
      </c>
      <c r="J8213" s="44" t="s">
        <v>8</v>
      </c>
      <c r="K8213" s="23" t="s">
        <v>8</v>
      </c>
      <c r="L8213" s="23" t="s">
        <v>8</v>
      </c>
      <c r="M8213" s="23" t="s">
        <v>8</v>
      </c>
    </row>
    <row r="8214" spans="1:13" s="21" customFormat="1" x14ac:dyDescent="0.25">
      <c r="A8214" s="22" t="s">
        <v>8</v>
      </c>
      <c r="B8214" s="18" t="str">
        <f>"315143"</f>
        <v>315143</v>
      </c>
      <c r="C8214" s="19" t="s">
        <v>8091</v>
      </c>
      <c r="D8214" s="19" t="s">
        <v>23633</v>
      </c>
      <c r="E8214" s="19" t="s">
        <v>33911</v>
      </c>
      <c r="F8214" s="19" t="s">
        <v>36004</v>
      </c>
      <c r="G8214" s="18" t="str">
        <f>"07945"</f>
        <v>07945</v>
      </c>
      <c r="H8214" s="19" t="s">
        <v>32051</v>
      </c>
      <c r="I8214" s="20">
        <v>15.388</v>
      </c>
      <c r="J8214" s="44" t="s">
        <v>8</v>
      </c>
      <c r="K8214" s="23" t="s">
        <v>8</v>
      </c>
      <c r="L8214" s="23" t="s">
        <v>8</v>
      </c>
      <c r="M8214" s="23" t="s">
        <v>8</v>
      </c>
    </row>
    <row r="8215" spans="1:13" s="21" customFormat="1" x14ac:dyDescent="0.25">
      <c r="A8215" s="22" t="s">
        <v>8</v>
      </c>
      <c r="B8215" s="18" t="str">
        <f>"315144"</f>
        <v>315144</v>
      </c>
      <c r="C8215" s="19" t="s">
        <v>8092</v>
      </c>
      <c r="D8215" s="19" t="s">
        <v>23634</v>
      </c>
      <c r="E8215" s="19" t="s">
        <v>33063</v>
      </c>
      <c r="F8215" s="19" t="s">
        <v>36004</v>
      </c>
      <c r="G8215" s="18" t="str">
        <f>"08055"</f>
        <v>08055</v>
      </c>
      <c r="H8215" s="19" t="s">
        <v>31369</v>
      </c>
      <c r="I8215" s="20">
        <v>14.851000000000001</v>
      </c>
      <c r="J8215" s="44" t="s">
        <v>8</v>
      </c>
      <c r="K8215" s="23" t="s">
        <v>8</v>
      </c>
      <c r="L8215" s="23" t="s">
        <v>8</v>
      </c>
      <c r="M8215" s="23" t="s">
        <v>8</v>
      </c>
    </row>
    <row r="8216" spans="1:13" s="21" customFormat="1" x14ac:dyDescent="0.25">
      <c r="A8216" s="22" t="s">
        <v>8</v>
      </c>
      <c r="B8216" s="18" t="str">
        <f>"315146"</f>
        <v>315146</v>
      </c>
      <c r="C8216" s="19" t="s">
        <v>8093</v>
      </c>
      <c r="D8216" s="19" t="s">
        <v>23635</v>
      </c>
      <c r="E8216" s="19" t="s">
        <v>33912</v>
      </c>
      <c r="F8216" s="19" t="s">
        <v>36004</v>
      </c>
      <c r="G8216" s="18" t="str">
        <f>"07065"</f>
        <v>07065</v>
      </c>
      <c r="H8216" s="19" t="s">
        <v>33554</v>
      </c>
      <c r="I8216" s="20">
        <v>17.815999999999999</v>
      </c>
      <c r="J8216" s="44" t="s">
        <v>8</v>
      </c>
      <c r="K8216" s="23" t="s">
        <v>8</v>
      </c>
      <c r="L8216" s="23" t="s">
        <v>8</v>
      </c>
      <c r="M8216" s="23" t="s">
        <v>8</v>
      </c>
    </row>
    <row r="8217" spans="1:13" s="21" customFormat="1" x14ac:dyDescent="0.25">
      <c r="A8217" s="22" t="s">
        <v>8</v>
      </c>
      <c r="B8217" s="18" t="str">
        <f>"315147"</f>
        <v>315147</v>
      </c>
      <c r="C8217" s="19" t="s">
        <v>8094</v>
      </c>
      <c r="D8217" s="19" t="s">
        <v>23636</v>
      </c>
      <c r="E8217" s="19" t="s">
        <v>33913</v>
      </c>
      <c r="F8217" s="19" t="s">
        <v>36004</v>
      </c>
      <c r="G8217" s="18" t="str">
        <f>"07017"</f>
        <v>07017</v>
      </c>
      <c r="H8217" s="19" t="s">
        <v>31458</v>
      </c>
      <c r="I8217" s="20">
        <v>21.547999999999998</v>
      </c>
      <c r="J8217" s="44" t="s">
        <v>8</v>
      </c>
      <c r="K8217" s="23" t="s">
        <v>8</v>
      </c>
      <c r="L8217" s="23" t="s">
        <v>8</v>
      </c>
      <c r="M8217" s="23" t="s">
        <v>8</v>
      </c>
    </row>
    <row r="8218" spans="1:13" s="21" customFormat="1" x14ac:dyDescent="0.25">
      <c r="A8218" s="22" t="s">
        <v>8</v>
      </c>
      <c r="B8218" s="18" t="str">
        <f>"315149"</f>
        <v>315149</v>
      </c>
      <c r="C8218" s="19" t="s">
        <v>8095</v>
      </c>
      <c r="D8218" s="19" t="s">
        <v>23637</v>
      </c>
      <c r="E8218" s="19" t="s">
        <v>33914</v>
      </c>
      <c r="F8218" s="19" t="s">
        <v>36004</v>
      </c>
      <c r="G8218" s="18" t="str">
        <f>"08052"</f>
        <v>08052</v>
      </c>
      <c r="H8218" s="19" t="s">
        <v>31369</v>
      </c>
      <c r="I8218" s="20">
        <v>23.503</v>
      </c>
      <c r="J8218" s="44" t="s">
        <v>8</v>
      </c>
      <c r="K8218" s="23" t="s">
        <v>8</v>
      </c>
      <c r="L8218" s="23" t="s">
        <v>8</v>
      </c>
      <c r="M8218" s="23" t="s">
        <v>8</v>
      </c>
    </row>
    <row r="8219" spans="1:13" s="21" customFormat="1" x14ac:dyDescent="0.25">
      <c r="A8219" s="22" t="s">
        <v>8</v>
      </c>
      <c r="B8219" s="18" t="str">
        <f>"315151"</f>
        <v>315151</v>
      </c>
      <c r="C8219" s="19" t="s">
        <v>8096</v>
      </c>
      <c r="D8219" s="19" t="s">
        <v>23638</v>
      </c>
      <c r="E8219" s="19" t="s">
        <v>33915</v>
      </c>
      <c r="F8219" s="19" t="s">
        <v>36004</v>
      </c>
      <c r="G8219" s="18" t="str">
        <f>"08823"</f>
        <v>08823</v>
      </c>
      <c r="H8219" s="19" t="s">
        <v>32705</v>
      </c>
      <c r="I8219" s="20">
        <v>19.632999999999999</v>
      </c>
      <c r="J8219" s="44" t="s">
        <v>8</v>
      </c>
      <c r="K8219" s="23" t="s">
        <v>8</v>
      </c>
      <c r="L8219" s="23" t="s">
        <v>8</v>
      </c>
      <c r="M8219" s="23" t="s">
        <v>8</v>
      </c>
    </row>
    <row r="8220" spans="1:13" s="21" customFormat="1" x14ac:dyDescent="0.25">
      <c r="A8220" s="22" t="s">
        <v>8</v>
      </c>
      <c r="B8220" s="18" t="str">
        <f>"315152"</f>
        <v>315152</v>
      </c>
      <c r="C8220" s="19" t="s">
        <v>8097</v>
      </c>
      <c r="D8220" s="19" t="s">
        <v>23639</v>
      </c>
      <c r="E8220" s="19" t="s">
        <v>33916</v>
      </c>
      <c r="F8220" s="19" t="s">
        <v>36004</v>
      </c>
      <c r="G8220" s="18" t="str">
        <f>"07601"</f>
        <v>07601</v>
      </c>
      <c r="H8220" s="19" t="s">
        <v>36576</v>
      </c>
      <c r="I8220" s="20">
        <v>23.14</v>
      </c>
      <c r="J8220" s="44" t="s">
        <v>8</v>
      </c>
      <c r="K8220" s="23" t="s">
        <v>8</v>
      </c>
      <c r="L8220" s="23" t="s">
        <v>8</v>
      </c>
      <c r="M8220" s="23" t="s">
        <v>8</v>
      </c>
    </row>
    <row r="8221" spans="1:13" s="21" customFormat="1" x14ac:dyDescent="0.25">
      <c r="A8221" s="22" t="s">
        <v>8</v>
      </c>
      <c r="B8221" s="18" t="str">
        <f>"315153"</f>
        <v>315153</v>
      </c>
      <c r="C8221" s="19" t="s">
        <v>7326</v>
      </c>
      <c r="D8221" s="19" t="s">
        <v>23640</v>
      </c>
      <c r="E8221" s="19" t="s">
        <v>33917</v>
      </c>
      <c r="F8221" s="19" t="s">
        <v>36004</v>
      </c>
      <c r="G8221" s="18" t="str">
        <f>"07728"</f>
        <v>07728</v>
      </c>
      <c r="H8221" s="19" t="s">
        <v>32161</v>
      </c>
      <c r="I8221" s="20">
        <v>21.2</v>
      </c>
      <c r="J8221" s="44" t="s">
        <v>8</v>
      </c>
      <c r="K8221" s="23" t="s">
        <v>8</v>
      </c>
      <c r="L8221" s="23" t="s">
        <v>8</v>
      </c>
      <c r="M8221" s="23" t="s">
        <v>8</v>
      </c>
    </row>
    <row r="8222" spans="1:13" s="21" customFormat="1" x14ac:dyDescent="0.25">
      <c r="A8222" s="22" t="s">
        <v>8</v>
      </c>
      <c r="B8222" s="18" t="str">
        <f>"315157"</f>
        <v>315157</v>
      </c>
      <c r="C8222" s="19" t="s">
        <v>8098</v>
      </c>
      <c r="D8222" s="19" t="s">
        <v>23641</v>
      </c>
      <c r="E8222" s="19" t="s">
        <v>32321</v>
      </c>
      <c r="F8222" s="19" t="s">
        <v>36004</v>
      </c>
      <c r="G8222" s="18" t="str">
        <f>"07960"</f>
        <v>07960</v>
      </c>
      <c r="H8222" s="19" t="s">
        <v>32051</v>
      </c>
      <c r="I8222" s="20">
        <v>16.026</v>
      </c>
      <c r="J8222" s="44" t="s">
        <v>8</v>
      </c>
      <c r="K8222" s="23" t="s">
        <v>8</v>
      </c>
      <c r="L8222" s="23" t="s">
        <v>8</v>
      </c>
      <c r="M8222" s="23" t="s">
        <v>8</v>
      </c>
    </row>
    <row r="8223" spans="1:13" s="21" customFormat="1" x14ac:dyDescent="0.25">
      <c r="A8223" s="22" t="s">
        <v>8</v>
      </c>
      <c r="B8223" s="18" t="str">
        <f>"315158"</f>
        <v>315158</v>
      </c>
      <c r="C8223" s="19" t="s">
        <v>8099</v>
      </c>
      <c r="D8223" s="19" t="s">
        <v>23642</v>
      </c>
      <c r="E8223" s="19" t="s">
        <v>33918</v>
      </c>
      <c r="F8223" s="19" t="s">
        <v>36004</v>
      </c>
      <c r="G8223" s="18" t="str">
        <f>"07450"</f>
        <v>07450</v>
      </c>
      <c r="H8223" s="19" t="s">
        <v>36576</v>
      </c>
      <c r="I8223" s="20">
        <v>17.233000000000001</v>
      </c>
      <c r="J8223" s="44" t="s">
        <v>8</v>
      </c>
      <c r="K8223" s="23" t="s">
        <v>8</v>
      </c>
      <c r="L8223" s="23" t="s">
        <v>8</v>
      </c>
      <c r="M8223" s="23" t="s">
        <v>8</v>
      </c>
    </row>
    <row r="8224" spans="1:13" s="21" customFormat="1" x14ac:dyDescent="0.25">
      <c r="A8224" s="22" t="s">
        <v>8</v>
      </c>
      <c r="B8224" s="18" t="str">
        <f>"315159"</f>
        <v>315159</v>
      </c>
      <c r="C8224" s="19" t="s">
        <v>8100</v>
      </c>
      <c r="D8224" s="19" t="s">
        <v>23643</v>
      </c>
      <c r="E8224" s="19" t="s">
        <v>33919</v>
      </c>
      <c r="F8224" s="19" t="s">
        <v>36004</v>
      </c>
      <c r="G8224" s="18" t="str">
        <f>"08012"</f>
        <v>08012</v>
      </c>
      <c r="H8224" s="19" t="s">
        <v>30910</v>
      </c>
      <c r="I8224" s="20">
        <v>20.913</v>
      </c>
      <c r="J8224" s="44" t="s">
        <v>8</v>
      </c>
      <c r="K8224" s="23" t="s">
        <v>8</v>
      </c>
      <c r="L8224" s="23" t="s">
        <v>8</v>
      </c>
      <c r="M8224" s="23" t="s">
        <v>8</v>
      </c>
    </row>
    <row r="8225" spans="1:13" s="21" customFormat="1" x14ac:dyDescent="0.25">
      <c r="A8225" s="22" t="s">
        <v>8</v>
      </c>
      <c r="B8225" s="18" t="str">
        <f>"315161"</f>
        <v>315161</v>
      </c>
      <c r="C8225" s="19" t="s">
        <v>8101</v>
      </c>
      <c r="D8225" s="19" t="s">
        <v>23644</v>
      </c>
      <c r="E8225" s="19" t="s">
        <v>33920</v>
      </c>
      <c r="F8225" s="19" t="s">
        <v>36004</v>
      </c>
      <c r="G8225" s="18" t="str">
        <f>"08098"</f>
        <v>08098</v>
      </c>
      <c r="H8225" s="19" t="s">
        <v>31038</v>
      </c>
      <c r="I8225" s="20">
        <v>23.074999999999999</v>
      </c>
      <c r="J8225" s="44" t="s">
        <v>8</v>
      </c>
      <c r="K8225" s="23" t="s">
        <v>8</v>
      </c>
      <c r="L8225" s="23" t="s">
        <v>8</v>
      </c>
      <c r="M8225" s="23" t="s">
        <v>8</v>
      </c>
    </row>
    <row r="8226" spans="1:13" s="21" customFormat="1" x14ac:dyDescent="0.25">
      <c r="A8226" s="22" t="s">
        <v>8</v>
      </c>
      <c r="B8226" s="18" t="str">
        <f>"315164"</f>
        <v>315164</v>
      </c>
      <c r="C8226" s="19" t="s">
        <v>8102</v>
      </c>
      <c r="D8226" s="19" t="s">
        <v>23645</v>
      </c>
      <c r="E8226" s="19" t="s">
        <v>33921</v>
      </c>
      <c r="F8226" s="19" t="s">
        <v>36004</v>
      </c>
      <c r="G8226" s="18" t="str">
        <f>"07670"</f>
        <v>07670</v>
      </c>
      <c r="H8226" s="19" t="s">
        <v>36576</v>
      </c>
      <c r="I8226" s="20">
        <v>18.52</v>
      </c>
      <c r="J8226" s="44" t="s">
        <v>8</v>
      </c>
      <c r="K8226" s="23" t="s">
        <v>8</v>
      </c>
      <c r="L8226" s="23" t="s">
        <v>8</v>
      </c>
      <c r="M8226" s="23" t="s">
        <v>8</v>
      </c>
    </row>
    <row r="8227" spans="1:13" s="21" customFormat="1" x14ac:dyDescent="0.25">
      <c r="A8227" s="22" t="s">
        <v>8</v>
      </c>
      <c r="B8227" s="18" t="str">
        <f>"315166"</f>
        <v>315166</v>
      </c>
      <c r="C8227" s="19" t="s">
        <v>8103</v>
      </c>
      <c r="D8227" s="19" t="s">
        <v>23646</v>
      </c>
      <c r="E8227" s="19" t="s">
        <v>31369</v>
      </c>
      <c r="F8227" s="19" t="s">
        <v>36004</v>
      </c>
      <c r="G8227" s="18" t="str">
        <f>"08016"</f>
        <v>08016</v>
      </c>
      <c r="H8227" s="19" t="s">
        <v>31369</v>
      </c>
      <c r="I8227" s="20">
        <v>17.5</v>
      </c>
      <c r="J8227" s="44" t="s">
        <v>8</v>
      </c>
      <c r="K8227" s="23" t="s">
        <v>8</v>
      </c>
      <c r="L8227" s="23" t="s">
        <v>8</v>
      </c>
      <c r="M8227" s="23" t="s">
        <v>8</v>
      </c>
    </row>
    <row r="8228" spans="1:13" s="21" customFormat="1" x14ac:dyDescent="0.25">
      <c r="A8228" s="22" t="s">
        <v>8</v>
      </c>
      <c r="B8228" s="18" t="str">
        <f>"315171"</f>
        <v>315171</v>
      </c>
      <c r="C8228" s="19" t="s">
        <v>8104</v>
      </c>
      <c r="D8228" s="19" t="s">
        <v>23647</v>
      </c>
      <c r="E8228" s="19" t="s">
        <v>31143</v>
      </c>
      <c r="F8228" s="19" t="s">
        <v>36004</v>
      </c>
      <c r="G8228" s="18" t="str">
        <f>"07436"</f>
        <v>07436</v>
      </c>
      <c r="H8228" s="19" t="s">
        <v>36576</v>
      </c>
      <c r="I8228" s="20">
        <v>19.998999999999999</v>
      </c>
      <c r="J8228" s="44" t="s">
        <v>8</v>
      </c>
      <c r="K8228" s="23" t="s">
        <v>8</v>
      </c>
      <c r="L8228" s="23" t="s">
        <v>8</v>
      </c>
      <c r="M8228" s="23" t="s">
        <v>8</v>
      </c>
    </row>
    <row r="8229" spans="1:13" s="21" customFormat="1" x14ac:dyDescent="0.25">
      <c r="A8229" s="22" t="s">
        <v>8</v>
      </c>
      <c r="B8229" s="18" t="str">
        <f>"315174"</f>
        <v>315174</v>
      </c>
      <c r="C8229" s="19" t="s">
        <v>8105</v>
      </c>
      <c r="D8229" s="19" t="s">
        <v>23648</v>
      </c>
      <c r="E8229" s="19" t="s">
        <v>33922</v>
      </c>
      <c r="F8229" s="19" t="s">
        <v>36004</v>
      </c>
      <c r="G8229" s="18" t="str">
        <f>"08096"</f>
        <v>08096</v>
      </c>
      <c r="H8229" s="19" t="s">
        <v>33089</v>
      </c>
      <c r="I8229" s="20">
        <v>18.155000000000001</v>
      </c>
      <c r="J8229" s="44" t="s">
        <v>8</v>
      </c>
      <c r="K8229" s="23" t="s">
        <v>8</v>
      </c>
      <c r="L8229" s="23" t="s">
        <v>8</v>
      </c>
      <c r="M8229" s="23" t="s">
        <v>8</v>
      </c>
    </row>
    <row r="8230" spans="1:13" s="21" customFormat="1" x14ac:dyDescent="0.25">
      <c r="A8230" s="22" t="s">
        <v>8</v>
      </c>
      <c r="B8230" s="18" t="str">
        <f>"315176"</f>
        <v>315176</v>
      </c>
      <c r="C8230" s="19" t="s">
        <v>8106</v>
      </c>
      <c r="D8230" s="19" t="s">
        <v>23649</v>
      </c>
      <c r="E8230" s="19" t="s">
        <v>33063</v>
      </c>
      <c r="F8230" s="19" t="s">
        <v>36004</v>
      </c>
      <c r="G8230" s="18" t="str">
        <f>"08055"</f>
        <v>08055</v>
      </c>
      <c r="H8230" s="19" t="s">
        <v>31369</v>
      </c>
      <c r="I8230" s="20">
        <v>20.61</v>
      </c>
      <c r="J8230" s="44" t="s">
        <v>8</v>
      </c>
      <c r="K8230" s="23" t="s">
        <v>8</v>
      </c>
      <c r="L8230" s="23" t="s">
        <v>8</v>
      </c>
      <c r="M8230" s="23" t="s">
        <v>8</v>
      </c>
    </row>
    <row r="8231" spans="1:13" s="21" customFormat="1" x14ac:dyDescent="0.25">
      <c r="A8231" s="22" t="s">
        <v>8</v>
      </c>
      <c r="B8231" s="18" t="str">
        <f>"315177"</f>
        <v>315177</v>
      </c>
      <c r="C8231" s="19" t="s">
        <v>8107</v>
      </c>
      <c r="D8231" s="19" t="s">
        <v>23650</v>
      </c>
      <c r="E8231" s="19" t="s">
        <v>33923</v>
      </c>
      <c r="F8231" s="19" t="s">
        <v>36004</v>
      </c>
      <c r="G8231" s="18" t="str">
        <f>"07724"</f>
        <v>07724</v>
      </c>
      <c r="H8231" s="19" t="s">
        <v>32161</v>
      </c>
      <c r="I8231" s="20">
        <v>21.178999999999998</v>
      </c>
      <c r="J8231" s="44" t="s">
        <v>8</v>
      </c>
      <c r="K8231" s="23" t="s">
        <v>8</v>
      </c>
      <c r="L8231" s="23" t="s">
        <v>8</v>
      </c>
      <c r="M8231" s="23" t="s">
        <v>8</v>
      </c>
    </row>
    <row r="8232" spans="1:13" s="21" customFormat="1" x14ac:dyDescent="0.25">
      <c r="A8232" s="22" t="s">
        <v>8</v>
      </c>
      <c r="B8232" s="18" t="str">
        <f>"315178"</f>
        <v>315178</v>
      </c>
      <c r="C8232" s="19" t="s">
        <v>8108</v>
      </c>
      <c r="D8232" s="19" t="s">
        <v>16990</v>
      </c>
      <c r="E8232" s="19" t="s">
        <v>33913</v>
      </c>
      <c r="F8232" s="19" t="s">
        <v>36004</v>
      </c>
      <c r="G8232" s="18" t="str">
        <f>"07017"</f>
        <v>07017</v>
      </c>
      <c r="H8232" s="19" t="s">
        <v>31458</v>
      </c>
      <c r="I8232" s="20">
        <v>21.161999999999999</v>
      </c>
      <c r="J8232" s="44" t="s">
        <v>8</v>
      </c>
      <c r="K8232" s="23" t="s">
        <v>8</v>
      </c>
      <c r="L8232" s="23" t="s">
        <v>8</v>
      </c>
      <c r="M8232" s="23" t="s">
        <v>8</v>
      </c>
    </row>
    <row r="8233" spans="1:13" s="21" customFormat="1" x14ac:dyDescent="0.25">
      <c r="A8233" s="22" t="s">
        <v>8</v>
      </c>
      <c r="B8233" s="18" t="str">
        <f>"315179"</f>
        <v>315179</v>
      </c>
      <c r="C8233" s="19" t="s">
        <v>8109</v>
      </c>
      <c r="D8233" s="19" t="s">
        <v>23651</v>
      </c>
      <c r="E8233" s="19" t="s">
        <v>33924</v>
      </c>
      <c r="F8233" s="19" t="s">
        <v>36004</v>
      </c>
      <c r="G8233" s="18" t="str">
        <f>"08230"</f>
        <v>08230</v>
      </c>
      <c r="H8233" s="19" t="s">
        <v>33968</v>
      </c>
      <c r="I8233" s="20">
        <v>20.3</v>
      </c>
      <c r="J8233" s="44" t="s">
        <v>8</v>
      </c>
      <c r="K8233" s="23" t="s">
        <v>8</v>
      </c>
      <c r="L8233" s="23" t="s">
        <v>8</v>
      </c>
      <c r="M8233" s="23" t="s">
        <v>8</v>
      </c>
    </row>
    <row r="8234" spans="1:13" s="21" customFormat="1" x14ac:dyDescent="0.25">
      <c r="A8234" s="22" t="s">
        <v>8</v>
      </c>
      <c r="B8234" s="18" t="str">
        <f>"315180"</f>
        <v>315180</v>
      </c>
      <c r="C8234" s="19" t="s">
        <v>8110</v>
      </c>
      <c r="D8234" s="19" t="s">
        <v>23652</v>
      </c>
      <c r="E8234" s="19" t="s">
        <v>33925</v>
      </c>
      <c r="F8234" s="19" t="s">
        <v>36004</v>
      </c>
      <c r="G8234" s="18" t="str">
        <f>"08861"</f>
        <v>08861</v>
      </c>
      <c r="H8234" s="19" t="s">
        <v>36120</v>
      </c>
      <c r="I8234" s="20">
        <v>15.845000000000001</v>
      </c>
      <c r="J8234" s="44" t="s">
        <v>8</v>
      </c>
      <c r="K8234" s="23" t="s">
        <v>8</v>
      </c>
      <c r="L8234" s="23" t="s">
        <v>8</v>
      </c>
      <c r="M8234" s="23" t="s">
        <v>8</v>
      </c>
    </row>
    <row r="8235" spans="1:13" s="21" customFormat="1" x14ac:dyDescent="0.25">
      <c r="A8235" s="22" t="s">
        <v>8</v>
      </c>
      <c r="B8235" s="18" t="str">
        <f>"315182"</f>
        <v>315182</v>
      </c>
      <c r="C8235" s="19" t="s">
        <v>8111</v>
      </c>
      <c r="D8235" s="19" t="s">
        <v>23653</v>
      </c>
      <c r="E8235" s="19" t="s">
        <v>33120</v>
      </c>
      <c r="F8235" s="19" t="s">
        <v>36004</v>
      </c>
      <c r="G8235" s="18" t="str">
        <f>"08807"</f>
        <v>08807</v>
      </c>
      <c r="H8235" s="19" t="s">
        <v>32705</v>
      </c>
      <c r="I8235" s="20">
        <v>16.515000000000001</v>
      </c>
      <c r="J8235" s="44" t="s">
        <v>8</v>
      </c>
      <c r="K8235" s="23" t="s">
        <v>8</v>
      </c>
      <c r="L8235" s="23" t="s">
        <v>8</v>
      </c>
      <c r="M8235" s="23" t="s">
        <v>8</v>
      </c>
    </row>
    <row r="8236" spans="1:13" s="21" customFormat="1" x14ac:dyDescent="0.25">
      <c r="A8236" s="22" t="s">
        <v>8</v>
      </c>
      <c r="B8236" s="18" t="str">
        <f>"315183"</f>
        <v>315183</v>
      </c>
      <c r="C8236" s="19" t="s">
        <v>8112</v>
      </c>
      <c r="D8236" s="19" t="s">
        <v>23654</v>
      </c>
      <c r="E8236" s="19" t="s">
        <v>33875</v>
      </c>
      <c r="F8236" s="19" t="s">
        <v>36004</v>
      </c>
      <c r="G8236" s="18" t="str">
        <f>"08002"</f>
        <v>08002</v>
      </c>
      <c r="H8236" s="19" t="s">
        <v>30910</v>
      </c>
      <c r="I8236" s="20">
        <v>20.39</v>
      </c>
      <c r="J8236" s="44" t="s">
        <v>8</v>
      </c>
      <c r="K8236" s="23" t="s">
        <v>8</v>
      </c>
      <c r="L8236" s="23" t="s">
        <v>8</v>
      </c>
      <c r="M8236" s="23" t="s">
        <v>8</v>
      </c>
    </row>
    <row r="8237" spans="1:13" s="21" customFormat="1" x14ac:dyDescent="0.25">
      <c r="A8237" s="22" t="s">
        <v>8</v>
      </c>
      <c r="B8237" s="18" t="str">
        <f>"315185"</f>
        <v>315185</v>
      </c>
      <c r="C8237" s="19" t="s">
        <v>8113</v>
      </c>
      <c r="D8237" s="19" t="s">
        <v>23655</v>
      </c>
      <c r="E8237" s="19" t="s">
        <v>33926</v>
      </c>
      <c r="F8237" s="19" t="s">
        <v>36004</v>
      </c>
      <c r="G8237" s="18" t="str">
        <f>"08221"</f>
        <v>08221</v>
      </c>
      <c r="H8237" s="19" t="s">
        <v>32419</v>
      </c>
      <c r="I8237" s="20">
        <v>18.367999999999999</v>
      </c>
      <c r="J8237" s="44" t="s">
        <v>8</v>
      </c>
      <c r="K8237" s="23" t="s">
        <v>8</v>
      </c>
      <c r="L8237" s="23" t="s">
        <v>8</v>
      </c>
      <c r="M8237" s="23" t="s">
        <v>8</v>
      </c>
    </row>
    <row r="8238" spans="1:13" s="21" customFormat="1" x14ac:dyDescent="0.25">
      <c r="A8238" s="22" t="s">
        <v>8</v>
      </c>
      <c r="B8238" s="18" t="str">
        <f>"315187"</f>
        <v>315187</v>
      </c>
      <c r="C8238" s="19" t="s">
        <v>8114</v>
      </c>
      <c r="D8238" s="19" t="s">
        <v>23656</v>
      </c>
      <c r="E8238" s="19" t="s">
        <v>33927</v>
      </c>
      <c r="F8238" s="19" t="s">
        <v>36004</v>
      </c>
      <c r="G8238" s="18" t="str">
        <f>"08043"</f>
        <v>08043</v>
      </c>
      <c r="H8238" s="19" t="s">
        <v>30910</v>
      </c>
      <c r="I8238" s="20">
        <v>17.239000000000001</v>
      </c>
      <c r="J8238" s="44" t="s">
        <v>8</v>
      </c>
      <c r="K8238" s="23" t="s">
        <v>8</v>
      </c>
      <c r="L8238" s="23" t="s">
        <v>8</v>
      </c>
      <c r="M8238" s="23" t="s">
        <v>8</v>
      </c>
    </row>
    <row r="8239" spans="1:13" s="21" customFormat="1" x14ac:dyDescent="0.25">
      <c r="A8239" s="22" t="s">
        <v>8</v>
      </c>
      <c r="B8239" s="18" t="str">
        <f>"315188"</f>
        <v>315188</v>
      </c>
      <c r="C8239" s="19" t="s">
        <v>8115</v>
      </c>
      <c r="D8239" s="19" t="s">
        <v>23657</v>
      </c>
      <c r="E8239" s="19" t="s">
        <v>33928</v>
      </c>
      <c r="F8239" s="19" t="s">
        <v>36004</v>
      </c>
      <c r="G8239" s="18" t="str">
        <f>"08879"</f>
        <v>08879</v>
      </c>
      <c r="H8239" s="19" t="s">
        <v>36120</v>
      </c>
      <c r="I8239" s="20">
        <v>20.954000000000001</v>
      </c>
      <c r="J8239" s="44" t="s">
        <v>8</v>
      </c>
      <c r="K8239" s="23" t="s">
        <v>8</v>
      </c>
      <c r="L8239" s="23" t="s">
        <v>8</v>
      </c>
      <c r="M8239" s="23" t="s">
        <v>8</v>
      </c>
    </row>
    <row r="8240" spans="1:13" s="21" customFormat="1" x14ac:dyDescent="0.25">
      <c r="A8240" s="22" t="s">
        <v>8</v>
      </c>
      <c r="B8240" s="18" t="str">
        <f>"315190"</f>
        <v>315190</v>
      </c>
      <c r="C8240" s="19" t="s">
        <v>8116</v>
      </c>
      <c r="D8240" s="19" t="s">
        <v>23658</v>
      </c>
      <c r="E8240" s="19" t="s">
        <v>31339</v>
      </c>
      <c r="F8240" s="19" t="s">
        <v>36004</v>
      </c>
      <c r="G8240" s="18" t="str">
        <f>"08701"</f>
        <v>08701</v>
      </c>
      <c r="H8240" s="19" t="s">
        <v>36577</v>
      </c>
      <c r="I8240" s="20">
        <v>23.018999999999998</v>
      </c>
      <c r="J8240" s="44" t="s">
        <v>8</v>
      </c>
      <c r="K8240" s="23" t="s">
        <v>8</v>
      </c>
      <c r="L8240" s="23" t="s">
        <v>8</v>
      </c>
      <c r="M8240" s="23" t="s">
        <v>8</v>
      </c>
    </row>
    <row r="8241" spans="1:13" s="21" customFormat="1" x14ac:dyDescent="0.25">
      <c r="A8241" s="22" t="s">
        <v>8</v>
      </c>
      <c r="B8241" s="18" t="str">
        <f>"315192"</f>
        <v>315192</v>
      </c>
      <c r="C8241" s="19" t="s">
        <v>8117</v>
      </c>
      <c r="D8241" s="19" t="s">
        <v>23659</v>
      </c>
      <c r="E8241" s="19" t="s">
        <v>33929</v>
      </c>
      <c r="F8241" s="19" t="s">
        <v>36004</v>
      </c>
      <c r="G8241" s="18" t="str">
        <f>"07032"</f>
        <v>07032</v>
      </c>
      <c r="H8241" s="19" t="s">
        <v>31588</v>
      </c>
      <c r="I8241" s="20">
        <v>19.123000000000001</v>
      </c>
      <c r="J8241" s="44" t="s">
        <v>8</v>
      </c>
      <c r="K8241" s="23" t="s">
        <v>8</v>
      </c>
      <c r="L8241" s="23" t="s">
        <v>8</v>
      </c>
      <c r="M8241" s="23" t="s">
        <v>8</v>
      </c>
    </row>
    <row r="8242" spans="1:13" s="21" customFormat="1" x14ac:dyDescent="0.25">
      <c r="A8242" s="22" t="s">
        <v>8</v>
      </c>
      <c r="B8242" s="18" t="str">
        <f>"315193"</f>
        <v>315193</v>
      </c>
      <c r="C8242" s="19" t="s">
        <v>8118</v>
      </c>
      <c r="D8242" s="19" t="s">
        <v>23660</v>
      </c>
      <c r="E8242" s="19" t="s">
        <v>33930</v>
      </c>
      <c r="F8242" s="19" t="s">
        <v>36004</v>
      </c>
      <c r="G8242" s="18" t="str">
        <f>"08210"</f>
        <v>08210</v>
      </c>
      <c r="H8242" s="19" t="s">
        <v>33968</v>
      </c>
      <c r="I8242" s="20">
        <v>17.452999999999999</v>
      </c>
      <c r="J8242" s="44" t="s">
        <v>8</v>
      </c>
      <c r="K8242" s="23" t="s">
        <v>8</v>
      </c>
      <c r="L8242" s="23" t="s">
        <v>8</v>
      </c>
      <c r="M8242" s="23" t="s">
        <v>8</v>
      </c>
    </row>
    <row r="8243" spans="1:13" s="21" customFormat="1" x14ac:dyDescent="0.25">
      <c r="A8243" s="22" t="s">
        <v>8</v>
      </c>
      <c r="B8243" s="18" t="str">
        <f>"315194"</f>
        <v>315194</v>
      </c>
      <c r="C8243" s="19" t="s">
        <v>8119</v>
      </c>
      <c r="D8243" s="19" t="s">
        <v>23661</v>
      </c>
      <c r="E8243" s="19" t="s">
        <v>33882</v>
      </c>
      <c r="F8243" s="19" t="s">
        <v>36004</v>
      </c>
      <c r="G8243" s="18" t="str">
        <f>"07009"</f>
        <v>07009</v>
      </c>
      <c r="H8243" s="19" t="s">
        <v>31458</v>
      </c>
      <c r="I8243" s="20">
        <v>20.309999999999999</v>
      </c>
      <c r="J8243" s="44" t="s">
        <v>8</v>
      </c>
      <c r="K8243" s="23" t="s">
        <v>8</v>
      </c>
      <c r="L8243" s="23" t="s">
        <v>8</v>
      </c>
      <c r="M8243" s="23" t="s">
        <v>8</v>
      </c>
    </row>
    <row r="8244" spans="1:13" s="21" customFormat="1" x14ac:dyDescent="0.25">
      <c r="A8244" s="22" t="s">
        <v>8</v>
      </c>
      <c r="B8244" s="18" t="str">
        <f>"315195"</f>
        <v>315195</v>
      </c>
      <c r="C8244" s="19" t="s">
        <v>8120</v>
      </c>
      <c r="D8244" s="19" t="s">
        <v>23662</v>
      </c>
      <c r="E8244" s="19" t="s">
        <v>33873</v>
      </c>
      <c r="F8244" s="19" t="s">
        <v>36004</v>
      </c>
      <c r="G8244" s="18" t="str">
        <f>"07922"</f>
        <v>07922</v>
      </c>
      <c r="H8244" s="19" t="s">
        <v>33554</v>
      </c>
      <c r="I8244" s="20">
        <v>18.687000000000001</v>
      </c>
      <c r="J8244" s="44" t="s">
        <v>8</v>
      </c>
      <c r="K8244" s="23" t="s">
        <v>8</v>
      </c>
      <c r="L8244" s="23" t="s">
        <v>8</v>
      </c>
      <c r="M8244" s="23" t="s">
        <v>8</v>
      </c>
    </row>
    <row r="8245" spans="1:13" s="21" customFormat="1" x14ac:dyDescent="0.25">
      <c r="A8245" s="22" t="s">
        <v>8</v>
      </c>
      <c r="B8245" s="18" t="str">
        <f>"315196"</f>
        <v>315196</v>
      </c>
      <c r="C8245" s="19" t="s">
        <v>8121</v>
      </c>
      <c r="D8245" s="19" t="s">
        <v>23663</v>
      </c>
      <c r="E8245" s="19" t="s">
        <v>31394</v>
      </c>
      <c r="F8245" s="19" t="s">
        <v>36004</v>
      </c>
      <c r="G8245" s="18" t="str">
        <f>"08759"</f>
        <v>08759</v>
      </c>
      <c r="H8245" s="19" t="s">
        <v>36577</v>
      </c>
      <c r="I8245" s="20">
        <v>19.853000000000002</v>
      </c>
      <c r="J8245" s="44" t="s">
        <v>8</v>
      </c>
      <c r="K8245" s="23" t="s">
        <v>8</v>
      </c>
      <c r="L8245" s="23" t="s">
        <v>8</v>
      </c>
      <c r="M8245" s="23" t="s">
        <v>8</v>
      </c>
    </row>
    <row r="8246" spans="1:13" s="21" customFormat="1" x14ac:dyDescent="0.25">
      <c r="A8246" s="22" t="s">
        <v>8</v>
      </c>
      <c r="B8246" s="18" t="str">
        <f>"315198"</f>
        <v>315198</v>
      </c>
      <c r="C8246" s="19" t="s">
        <v>8122</v>
      </c>
      <c r="D8246" s="19" t="s">
        <v>23664</v>
      </c>
      <c r="E8246" s="19" t="s">
        <v>33912</v>
      </c>
      <c r="F8246" s="19" t="s">
        <v>36004</v>
      </c>
      <c r="G8246" s="18" t="str">
        <f>"07065"</f>
        <v>07065</v>
      </c>
      <c r="H8246" s="19" t="s">
        <v>33554</v>
      </c>
      <c r="I8246" s="20">
        <v>19.468</v>
      </c>
      <c r="J8246" s="44" t="s">
        <v>8</v>
      </c>
      <c r="K8246" s="23" t="s">
        <v>8</v>
      </c>
      <c r="L8246" s="23" t="s">
        <v>8</v>
      </c>
      <c r="M8246" s="23" t="s">
        <v>8</v>
      </c>
    </row>
    <row r="8247" spans="1:13" s="21" customFormat="1" x14ac:dyDescent="0.25">
      <c r="A8247" s="22" t="s">
        <v>8</v>
      </c>
      <c r="B8247" s="18" t="str">
        <f>"315199"</f>
        <v>315199</v>
      </c>
      <c r="C8247" s="19" t="s">
        <v>8123</v>
      </c>
      <c r="D8247" s="19" t="s">
        <v>23665</v>
      </c>
      <c r="E8247" s="19" t="s">
        <v>33886</v>
      </c>
      <c r="F8247" s="19" t="s">
        <v>36004</v>
      </c>
      <c r="G8247" s="18" t="str">
        <f>"07753"</f>
        <v>07753</v>
      </c>
      <c r="H8247" s="19" t="s">
        <v>32161</v>
      </c>
      <c r="I8247" s="20">
        <v>20.096</v>
      </c>
      <c r="J8247" s="44" t="s">
        <v>8</v>
      </c>
      <c r="K8247" s="23" t="s">
        <v>8</v>
      </c>
      <c r="L8247" s="23" t="s">
        <v>8</v>
      </c>
      <c r="M8247" s="23" t="s">
        <v>8</v>
      </c>
    </row>
    <row r="8248" spans="1:13" s="21" customFormat="1" x14ac:dyDescent="0.25">
      <c r="A8248" s="22" t="s">
        <v>8</v>
      </c>
      <c r="B8248" s="18" t="str">
        <f>"315200"</f>
        <v>315200</v>
      </c>
      <c r="C8248" s="19" t="s">
        <v>8124</v>
      </c>
      <c r="D8248" s="19" t="s">
        <v>23666</v>
      </c>
      <c r="E8248" s="19" t="s">
        <v>30906</v>
      </c>
      <c r="F8248" s="19" t="s">
        <v>36004</v>
      </c>
      <c r="G8248" s="18" t="str">
        <f>"07036"</f>
        <v>07036</v>
      </c>
      <c r="H8248" s="19" t="s">
        <v>33554</v>
      </c>
      <c r="I8248" s="20">
        <v>16.937000000000001</v>
      </c>
      <c r="J8248" s="44" t="s">
        <v>8</v>
      </c>
      <c r="K8248" s="23" t="s">
        <v>8</v>
      </c>
      <c r="L8248" s="23" t="s">
        <v>8</v>
      </c>
      <c r="M8248" s="23" t="s">
        <v>8</v>
      </c>
    </row>
    <row r="8249" spans="1:13" s="21" customFormat="1" x14ac:dyDescent="0.25">
      <c r="A8249" s="22" t="s">
        <v>8</v>
      </c>
      <c r="B8249" s="18" t="str">
        <f>"315201"</f>
        <v>315201</v>
      </c>
      <c r="C8249" s="19" t="s">
        <v>8125</v>
      </c>
      <c r="D8249" s="19" t="s">
        <v>23667</v>
      </c>
      <c r="E8249" s="19" t="s">
        <v>33891</v>
      </c>
      <c r="F8249" s="19" t="s">
        <v>36004</v>
      </c>
      <c r="G8249" s="18" t="str">
        <f>"08057"</f>
        <v>08057</v>
      </c>
      <c r="H8249" s="19" t="s">
        <v>31369</v>
      </c>
      <c r="I8249" s="20">
        <v>21.518000000000001</v>
      </c>
      <c r="J8249" s="44" t="s">
        <v>8</v>
      </c>
      <c r="K8249" s="23" t="s">
        <v>8</v>
      </c>
      <c r="L8249" s="23" t="s">
        <v>8</v>
      </c>
      <c r="M8249" s="23" t="s">
        <v>8</v>
      </c>
    </row>
    <row r="8250" spans="1:13" s="21" customFormat="1" x14ac:dyDescent="0.25">
      <c r="A8250" s="22" t="s">
        <v>8</v>
      </c>
      <c r="B8250" s="18" t="str">
        <f>"315202"</f>
        <v>315202</v>
      </c>
      <c r="C8250" s="19" t="s">
        <v>8126</v>
      </c>
      <c r="D8250" s="19" t="s">
        <v>23668</v>
      </c>
      <c r="E8250" s="19" t="s">
        <v>33931</v>
      </c>
      <c r="F8250" s="19" t="s">
        <v>36004</v>
      </c>
      <c r="G8250" s="18" t="str">
        <f>"08865"</f>
        <v>08865</v>
      </c>
      <c r="H8250" s="19" t="s">
        <v>31025</v>
      </c>
      <c r="I8250" s="20">
        <v>15.871</v>
      </c>
      <c r="J8250" s="44" t="s">
        <v>8</v>
      </c>
      <c r="K8250" s="23" t="s">
        <v>8</v>
      </c>
      <c r="L8250" s="23" t="s">
        <v>8</v>
      </c>
      <c r="M8250" s="23" t="s">
        <v>8</v>
      </c>
    </row>
    <row r="8251" spans="1:13" s="21" customFormat="1" x14ac:dyDescent="0.25">
      <c r="A8251" s="22" t="s">
        <v>8</v>
      </c>
      <c r="B8251" s="18" t="str">
        <f>"315204"</f>
        <v>315204</v>
      </c>
      <c r="C8251" s="19" t="s">
        <v>8127</v>
      </c>
      <c r="D8251" s="19" t="s">
        <v>23669</v>
      </c>
      <c r="E8251" s="19" t="s">
        <v>33882</v>
      </c>
      <c r="F8251" s="19" t="s">
        <v>36004</v>
      </c>
      <c r="G8251" s="18" t="str">
        <f>"07009"</f>
        <v>07009</v>
      </c>
      <c r="H8251" s="19" t="s">
        <v>31458</v>
      </c>
      <c r="I8251" s="20">
        <v>15.276</v>
      </c>
      <c r="J8251" s="44" t="s">
        <v>8</v>
      </c>
      <c r="K8251" s="23" t="s">
        <v>8</v>
      </c>
      <c r="L8251" s="23" t="s">
        <v>8</v>
      </c>
      <c r="M8251" s="23" t="s">
        <v>8</v>
      </c>
    </row>
    <row r="8252" spans="1:13" s="21" customFormat="1" x14ac:dyDescent="0.25">
      <c r="A8252" s="22" t="s">
        <v>8</v>
      </c>
      <c r="B8252" s="18" t="str">
        <f>"315205"</f>
        <v>315205</v>
      </c>
      <c r="C8252" s="19" t="s">
        <v>8128</v>
      </c>
      <c r="D8252" s="19" t="s">
        <v>23670</v>
      </c>
      <c r="E8252" s="19" t="s">
        <v>30910</v>
      </c>
      <c r="F8252" s="19" t="s">
        <v>36004</v>
      </c>
      <c r="G8252" s="18" t="str">
        <f>"08103"</f>
        <v>08103</v>
      </c>
      <c r="H8252" s="19" t="s">
        <v>30910</v>
      </c>
      <c r="I8252" s="20">
        <v>19.565999999999999</v>
      </c>
      <c r="J8252" s="44" t="s">
        <v>8</v>
      </c>
      <c r="K8252" s="23" t="s">
        <v>8</v>
      </c>
      <c r="L8252" s="23" t="s">
        <v>8</v>
      </c>
      <c r="M8252" s="23" t="s">
        <v>8</v>
      </c>
    </row>
    <row r="8253" spans="1:13" s="21" customFormat="1" x14ac:dyDescent="0.25">
      <c r="A8253" s="22" t="s">
        <v>8</v>
      </c>
      <c r="B8253" s="18" t="str">
        <f>"315206"</f>
        <v>315206</v>
      </c>
      <c r="C8253" s="19" t="s">
        <v>8129</v>
      </c>
      <c r="D8253" s="19" t="s">
        <v>23671</v>
      </c>
      <c r="E8253" s="19" t="s">
        <v>33932</v>
      </c>
      <c r="F8253" s="19" t="s">
        <v>36004</v>
      </c>
      <c r="G8253" s="18" t="str">
        <f>"08050"</f>
        <v>08050</v>
      </c>
      <c r="H8253" s="19" t="s">
        <v>36577</v>
      </c>
      <c r="I8253" s="20">
        <v>20.134</v>
      </c>
      <c r="J8253" s="44" t="s">
        <v>8</v>
      </c>
      <c r="K8253" s="23" t="s">
        <v>8</v>
      </c>
      <c r="L8253" s="23" t="s">
        <v>8</v>
      </c>
      <c r="M8253" s="23" t="s">
        <v>8</v>
      </c>
    </row>
    <row r="8254" spans="1:13" s="21" customFormat="1" x14ac:dyDescent="0.25">
      <c r="A8254" s="22" t="s">
        <v>8</v>
      </c>
      <c r="B8254" s="18" t="str">
        <f>"315207"</f>
        <v>315207</v>
      </c>
      <c r="C8254" s="19" t="s">
        <v>8130</v>
      </c>
      <c r="D8254" s="19" t="s">
        <v>23672</v>
      </c>
      <c r="E8254" s="19" t="s">
        <v>33927</v>
      </c>
      <c r="F8254" s="19" t="s">
        <v>36004</v>
      </c>
      <c r="G8254" s="18" t="str">
        <f>"08043"</f>
        <v>08043</v>
      </c>
      <c r="H8254" s="19" t="s">
        <v>30910</v>
      </c>
      <c r="I8254" s="20">
        <v>18.515000000000001</v>
      </c>
      <c r="J8254" s="44" t="s">
        <v>8</v>
      </c>
      <c r="K8254" s="23" t="s">
        <v>8</v>
      </c>
      <c r="L8254" s="23" t="s">
        <v>8</v>
      </c>
      <c r="M8254" s="23" t="s">
        <v>8</v>
      </c>
    </row>
    <row r="8255" spans="1:13" s="21" customFormat="1" x14ac:dyDescent="0.25">
      <c r="A8255" s="22" t="s">
        <v>8</v>
      </c>
      <c r="B8255" s="18" t="str">
        <f>"315209"</f>
        <v>315209</v>
      </c>
      <c r="C8255" s="19" t="s">
        <v>8131</v>
      </c>
      <c r="D8255" s="19" t="s">
        <v>23673</v>
      </c>
      <c r="E8255" s="19" t="s">
        <v>33933</v>
      </c>
      <c r="F8255" s="19" t="s">
        <v>36004</v>
      </c>
      <c r="G8255" s="18" t="str">
        <f>"08037"</f>
        <v>08037</v>
      </c>
      <c r="H8255" s="19" t="s">
        <v>32419</v>
      </c>
      <c r="I8255" s="20">
        <v>17.189</v>
      </c>
      <c r="J8255" s="44" t="s">
        <v>8</v>
      </c>
      <c r="K8255" s="23" t="s">
        <v>8</v>
      </c>
      <c r="L8255" s="23" t="s">
        <v>8</v>
      </c>
      <c r="M8255" s="23" t="s">
        <v>8</v>
      </c>
    </row>
    <row r="8256" spans="1:13" s="21" customFormat="1" x14ac:dyDescent="0.25">
      <c r="A8256" s="22" t="s">
        <v>8</v>
      </c>
      <c r="B8256" s="18" t="str">
        <f>"315210"</f>
        <v>315210</v>
      </c>
      <c r="C8256" s="19" t="s">
        <v>8132</v>
      </c>
      <c r="D8256" s="19" t="s">
        <v>23674</v>
      </c>
      <c r="E8256" s="19" t="s">
        <v>33934</v>
      </c>
      <c r="F8256" s="19" t="s">
        <v>36004</v>
      </c>
      <c r="G8256" s="18" t="str">
        <f>"08205"</f>
        <v>08205</v>
      </c>
      <c r="H8256" s="19" t="s">
        <v>32419</v>
      </c>
      <c r="I8256" s="20">
        <v>22.513000000000002</v>
      </c>
      <c r="J8256" s="44" t="s">
        <v>8</v>
      </c>
      <c r="K8256" s="23" t="s">
        <v>8</v>
      </c>
      <c r="L8256" s="23" t="s">
        <v>8</v>
      </c>
      <c r="M8256" s="23" t="s">
        <v>8</v>
      </c>
    </row>
    <row r="8257" spans="1:13" s="21" customFormat="1" x14ac:dyDescent="0.25">
      <c r="A8257" s="22" t="s">
        <v>8</v>
      </c>
      <c r="B8257" s="18" t="str">
        <f>"315212"</f>
        <v>315212</v>
      </c>
      <c r="C8257" s="19" t="s">
        <v>8133</v>
      </c>
      <c r="D8257" s="19" t="s">
        <v>23675</v>
      </c>
      <c r="E8257" s="19" t="s">
        <v>32433</v>
      </c>
      <c r="F8257" s="19" t="s">
        <v>36004</v>
      </c>
      <c r="G8257" s="18" t="str">
        <f>"08232"</f>
        <v>08232</v>
      </c>
      <c r="H8257" s="19" t="s">
        <v>32419</v>
      </c>
      <c r="I8257" s="20">
        <v>19.099</v>
      </c>
      <c r="J8257" s="44" t="s">
        <v>8</v>
      </c>
      <c r="K8257" s="23" t="s">
        <v>8</v>
      </c>
      <c r="L8257" s="23" t="s">
        <v>8</v>
      </c>
      <c r="M8257" s="23" t="s">
        <v>8</v>
      </c>
    </row>
    <row r="8258" spans="1:13" s="21" customFormat="1" x14ac:dyDescent="0.25">
      <c r="A8258" s="22" t="s">
        <v>8</v>
      </c>
      <c r="B8258" s="18" t="str">
        <f>"315213"</f>
        <v>315213</v>
      </c>
      <c r="C8258" s="19" t="s">
        <v>8134</v>
      </c>
      <c r="D8258" s="19" t="s">
        <v>23676</v>
      </c>
      <c r="E8258" s="19" t="s">
        <v>33935</v>
      </c>
      <c r="F8258" s="19" t="s">
        <v>36004</v>
      </c>
      <c r="G8258" s="18" t="str">
        <f>"08724"</f>
        <v>08724</v>
      </c>
      <c r="H8258" s="19" t="s">
        <v>36577</v>
      </c>
      <c r="I8258" s="20">
        <v>18.114000000000001</v>
      </c>
      <c r="J8258" s="44" t="s">
        <v>8</v>
      </c>
      <c r="K8258" s="23" t="s">
        <v>8</v>
      </c>
      <c r="L8258" s="23" t="s">
        <v>8</v>
      </c>
      <c r="M8258" s="23" t="s">
        <v>8</v>
      </c>
    </row>
    <row r="8259" spans="1:13" s="21" customFormat="1" x14ac:dyDescent="0.25">
      <c r="A8259" s="22" t="s">
        <v>8</v>
      </c>
      <c r="B8259" s="18" t="str">
        <f>"315214"</f>
        <v>315214</v>
      </c>
      <c r="C8259" s="19" t="s">
        <v>8135</v>
      </c>
      <c r="D8259" s="19" t="s">
        <v>23677</v>
      </c>
      <c r="E8259" s="19" t="s">
        <v>33936</v>
      </c>
      <c r="F8259" s="19" t="s">
        <v>36004</v>
      </c>
      <c r="G8259" s="18" t="str">
        <f>"07080"</f>
        <v>07080</v>
      </c>
      <c r="H8259" s="19" t="s">
        <v>36120</v>
      </c>
      <c r="I8259" s="20">
        <v>17.451000000000001</v>
      </c>
      <c r="J8259" s="44" t="s">
        <v>8</v>
      </c>
      <c r="K8259" s="23" t="s">
        <v>8</v>
      </c>
      <c r="L8259" s="23" t="s">
        <v>8</v>
      </c>
      <c r="M8259" s="23" t="s">
        <v>8</v>
      </c>
    </row>
    <row r="8260" spans="1:13" s="21" customFormat="1" x14ac:dyDescent="0.25">
      <c r="A8260" s="22" t="s">
        <v>8</v>
      </c>
      <c r="B8260" s="18" t="str">
        <f>"315215"</f>
        <v>315215</v>
      </c>
      <c r="C8260" s="19" t="s">
        <v>8136</v>
      </c>
      <c r="D8260" s="19" t="s">
        <v>23678</v>
      </c>
      <c r="E8260" s="19" t="s">
        <v>31591</v>
      </c>
      <c r="F8260" s="19" t="s">
        <v>36004</v>
      </c>
      <c r="G8260" s="18" t="str">
        <f>"08628"</f>
        <v>08628</v>
      </c>
      <c r="H8260" s="19" t="s">
        <v>34991</v>
      </c>
      <c r="I8260" s="20">
        <v>16.486999999999998</v>
      </c>
      <c r="J8260" s="44" t="s">
        <v>8</v>
      </c>
      <c r="K8260" s="23" t="s">
        <v>8</v>
      </c>
      <c r="L8260" s="23" t="s">
        <v>8</v>
      </c>
      <c r="M8260" s="23" t="s">
        <v>8</v>
      </c>
    </row>
    <row r="8261" spans="1:13" s="21" customFormat="1" x14ac:dyDescent="0.25">
      <c r="A8261" s="22" t="s">
        <v>8</v>
      </c>
      <c r="B8261" s="18" t="str">
        <f>"315216"</f>
        <v>315216</v>
      </c>
      <c r="C8261" s="19" t="s">
        <v>8137</v>
      </c>
      <c r="D8261" s="19" t="s">
        <v>23679</v>
      </c>
      <c r="E8261" s="19" t="s">
        <v>33882</v>
      </c>
      <c r="F8261" s="19" t="s">
        <v>36004</v>
      </c>
      <c r="G8261" s="18" t="str">
        <f>"07009"</f>
        <v>07009</v>
      </c>
      <c r="H8261" s="19" t="s">
        <v>31458</v>
      </c>
      <c r="I8261" s="20">
        <v>21.667999999999999</v>
      </c>
      <c r="J8261" s="44" t="s">
        <v>8</v>
      </c>
      <c r="K8261" s="23" t="s">
        <v>8</v>
      </c>
      <c r="L8261" s="23" t="s">
        <v>8</v>
      </c>
      <c r="M8261" s="23" t="s">
        <v>8</v>
      </c>
    </row>
    <row r="8262" spans="1:13" s="21" customFormat="1" x14ac:dyDescent="0.25">
      <c r="A8262" s="22" t="s">
        <v>8</v>
      </c>
      <c r="B8262" s="18" t="str">
        <f>"315217"</f>
        <v>315217</v>
      </c>
      <c r="C8262" s="19" t="s">
        <v>8138</v>
      </c>
      <c r="D8262" s="19" t="s">
        <v>23680</v>
      </c>
      <c r="E8262" s="19" t="s">
        <v>31411</v>
      </c>
      <c r="F8262" s="19" t="s">
        <v>36004</v>
      </c>
      <c r="G8262" s="18" t="str">
        <f>"07060"</f>
        <v>07060</v>
      </c>
      <c r="H8262" s="19" t="s">
        <v>33554</v>
      </c>
      <c r="I8262" s="20">
        <v>17.504000000000001</v>
      </c>
      <c r="J8262" s="44" t="s">
        <v>8</v>
      </c>
      <c r="K8262" s="23" t="s">
        <v>8</v>
      </c>
      <c r="L8262" s="23" t="s">
        <v>8</v>
      </c>
      <c r="M8262" s="23" t="s">
        <v>8</v>
      </c>
    </row>
    <row r="8263" spans="1:13" s="21" customFormat="1" x14ac:dyDescent="0.25">
      <c r="A8263" s="22" t="s">
        <v>8</v>
      </c>
      <c r="B8263" s="18" t="str">
        <f>"315218"</f>
        <v>315218</v>
      </c>
      <c r="C8263" s="19" t="s">
        <v>8139</v>
      </c>
      <c r="D8263" s="19" t="s">
        <v>23681</v>
      </c>
      <c r="E8263" s="19" t="s">
        <v>33937</v>
      </c>
      <c r="F8263" s="19" t="s">
        <v>36004</v>
      </c>
      <c r="G8263" s="18" t="str">
        <f>"08087"</f>
        <v>08087</v>
      </c>
      <c r="H8263" s="19" t="s">
        <v>36577</v>
      </c>
      <c r="I8263" s="20">
        <v>17.117000000000001</v>
      </c>
      <c r="J8263" s="44" t="s">
        <v>8</v>
      </c>
      <c r="K8263" s="23" t="s">
        <v>8</v>
      </c>
      <c r="L8263" s="23" t="s">
        <v>8</v>
      </c>
      <c r="M8263" s="23" t="s">
        <v>8</v>
      </c>
    </row>
    <row r="8264" spans="1:13" s="21" customFormat="1" x14ac:dyDescent="0.25">
      <c r="A8264" s="22" t="s">
        <v>8</v>
      </c>
      <c r="B8264" s="18" t="str">
        <f>"315219"</f>
        <v>315219</v>
      </c>
      <c r="C8264" s="19" t="s">
        <v>8140</v>
      </c>
      <c r="D8264" s="19" t="s">
        <v>23682</v>
      </c>
      <c r="E8264" s="19" t="s">
        <v>33927</v>
      </c>
      <c r="F8264" s="19" t="s">
        <v>36004</v>
      </c>
      <c r="G8264" s="18" t="str">
        <f>"08043"</f>
        <v>08043</v>
      </c>
      <c r="H8264" s="19" t="s">
        <v>30910</v>
      </c>
      <c r="I8264" s="20">
        <v>17.492999999999999</v>
      </c>
      <c r="J8264" s="44" t="s">
        <v>8</v>
      </c>
      <c r="K8264" s="23" t="s">
        <v>8</v>
      </c>
      <c r="L8264" s="23" t="s">
        <v>8</v>
      </c>
      <c r="M8264" s="23" t="s">
        <v>8</v>
      </c>
    </row>
    <row r="8265" spans="1:13" s="21" customFormat="1" x14ac:dyDescent="0.25">
      <c r="A8265" s="22" t="s">
        <v>8</v>
      </c>
      <c r="B8265" s="18" t="str">
        <f>"315221"</f>
        <v>315221</v>
      </c>
      <c r="C8265" s="19" t="s">
        <v>8141</v>
      </c>
      <c r="D8265" s="19" t="s">
        <v>23683</v>
      </c>
      <c r="E8265" s="19" t="s">
        <v>33893</v>
      </c>
      <c r="F8265" s="19" t="s">
        <v>36004</v>
      </c>
      <c r="G8265" s="18" t="str">
        <f>"07055"</f>
        <v>07055</v>
      </c>
      <c r="H8265" s="19" t="s">
        <v>33893</v>
      </c>
      <c r="I8265" s="20">
        <v>18.785</v>
      </c>
      <c r="J8265" s="44" t="s">
        <v>8</v>
      </c>
      <c r="K8265" s="23" t="s">
        <v>8</v>
      </c>
      <c r="L8265" s="23" t="s">
        <v>8</v>
      </c>
      <c r="M8265" s="23" t="s">
        <v>8</v>
      </c>
    </row>
    <row r="8266" spans="1:13" s="21" customFormat="1" x14ac:dyDescent="0.25">
      <c r="A8266" s="22" t="s">
        <v>8</v>
      </c>
      <c r="B8266" s="18" t="str">
        <f>"315222"</f>
        <v>315222</v>
      </c>
      <c r="C8266" s="19" t="s">
        <v>8142</v>
      </c>
      <c r="D8266" s="19" t="s">
        <v>23684</v>
      </c>
      <c r="E8266" s="19" t="s">
        <v>33938</v>
      </c>
      <c r="F8266" s="19" t="s">
        <v>36004</v>
      </c>
      <c r="G8266" s="18" t="str">
        <f>"08005"</f>
        <v>08005</v>
      </c>
      <c r="H8266" s="19" t="s">
        <v>36577</v>
      </c>
      <c r="I8266" s="20">
        <v>18.318000000000001</v>
      </c>
      <c r="J8266" s="44" t="s">
        <v>8</v>
      </c>
      <c r="K8266" s="23" t="s">
        <v>8</v>
      </c>
      <c r="L8266" s="23" t="s">
        <v>8</v>
      </c>
      <c r="M8266" s="23" t="s">
        <v>8</v>
      </c>
    </row>
    <row r="8267" spans="1:13" s="21" customFormat="1" x14ac:dyDescent="0.25">
      <c r="A8267" s="22" t="s">
        <v>8</v>
      </c>
      <c r="B8267" s="18" t="str">
        <f>"315223"</f>
        <v>315223</v>
      </c>
      <c r="C8267" s="19" t="s">
        <v>8143</v>
      </c>
      <c r="D8267" s="19" t="s">
        <v>23685</v>
      </c>
      <c r="E8267" s="19" t="s">
        <v>30804</v>
      </c>
      <c r="F8267" s="19" t="s">
        <v>36004</v>
      </c>
      <c r="G8267" s="18" t="str">
        <f>"08690"</f>
        <v>08690</v>
      </c>
      <c r="H8267" s="19" t="s">
        <v>34991</v>
      </c>
      <c r="I8267" s="20">
        <v>20.388999999999999</v>
      </c>
      <c r="J8267" s="44" t="s">
        <v>8</v>
      </c>
      <c r="K8267" s="23" t="s">
        <v>8</v>
      </c>
      <c r="L8267" s="23" t="s">
        <v>8</v>
      </c>
      <c r="M8267" s="23" t="s">
        <v>8</v>
      </c>
    </row>
    <row r="8268" spans="1:13" s="21" customFormat="1" x14ac:dyDescent="0.25">
      <c r="A8268" s="22" t="s">
        <v>8</v>
      </c>
      <c r="B8268" s="18" t="str">
        <f>"315224"</f>
        <v>315224</v>
      </c>
      <c r="C8268" s="19" t="s">
        <v>8144</v>
      </c>
      <c r="D8268" s="19" t="s">
        <v>23686</v>
      </c>
      <c r="E8268" s="19" t="s">
        <v>31060</v>
      </c>
      <c r="F8268" s="19" t="s">
        <v>36004</v>
      </c>
      <c r="G8268" s="18" t="str">
        <f>"07844"</f>
        <v>07844</v>
      </c>
      <c r="H8268" s="19" t="s">
        <v>31025</v>
      </c>
      <c r="I8268" s="20">
        <v>19.260999999999999</v>
      </c>
      <c r="J8268" s="44" t="s">
        <v>8</v>
      </c>
      <c r="K8268" s="23" t="s">
        <v>8</v>
      </c>
      <c r="L8268" s="23" t="s">
        <v>8</v>
      </c>
      <c r="M8268" s="23" t="s">
        <v>8</v>
      </c>
    </row>
    <row r="8269" spans="1:13" s="21" customFormat="1" x14ac:dyDescent="0.25">
      <c r="A8269" s="22" t="s">
        <v>8</v>
      </c>
      <c r="B8269" s="18" t="str">
        <f>"315225"</f>
        <v>315225</v>
      </c>
      <c r="C8269" s="19" t="s">
        <v>8145</v>
      </c>
      <c r="D8269" s="19" t="s">
        <v>23687</v>
      </c>
      <c r="E8269" s="19" t="s">
        <v>33939</v>
      </c>
      <c r="F8269" s="19" t="s">
        <v>36004</v>
      </c>
      <c r="G8269" s="18" t="str">
        <f>"08109"</f>
        <v>08109</v>
      </c>
      <c r="H8269" s="19" t="s">
        <v>30910</v>
      </c>
      <c r="I8269" s="20">
        <v>19.289000000000001</v>
      </c>
      <c r="J8269" s="44" t="s">
        <v>8</v>
      </c>
      <c r="K8269" s="23" t="s">
        <v>8</v>
      </c>
      <c r="L8269" s="23" t="s">
        <v>8</v>
      </c>
      <c r="M8269" s="23" t="s">
        <v>8</v>
      </c>
    </row>
    <row r="8270" spans="1:13" s="21" customFormat="1" x14ac:dyDescent="0.25">
      <c r="A8270" s="22" t="s">
        <v>8</v>
      </c>
      <c r="B8270" s="18" t="str">
        <f>"315226"</f>
        <v>315226</v>
      </c>
      <c r="C8270" s="19" t="s">
        <v>8146</v>
      </c>
      <c r="D8270" s="19" t="s">
        <v>23688</v>
      </c>
      <c r="E8270" s="19" t="s">
        <v>33940</v>
      </c>
      <c r="F8270" s="19" t="s">
        <v>36004</v>
      </c>
      <c r="G8270" s="18" t="str">
        <f>"08822"</f>
        <v>08822</v>
      </c>
      <c r="H8270" s="19" t="s">
        <v>36578</v>
      </c>
      <c r="I8270" s="20">
        <v>14.327</v>
      </c>
      <c r="J8270" s="44" t="s">
        <v>8</v>
      </c>
      <c r="K8270" s="23" t="s">
        <v>8</v>
      </c>
      <c r="L8270" s="23" t="s">
        <v>8</v>
      </c>
      <c r="M8270" s="23" t="s">
        <v>8</v>
      </c>
    </row>
    <row r="8271" spans="1:13" s="21" customFormat="1" x14ac:dyDescent="0.25">
      <c r="A8271" s="22" t="s">
        <v>8</v>
      </c>
      <c r="B8271" s="18" t="str">
        <f>"315228"</f>
        <v>315228</v>
      </c>
      <c r="C8271" s="19" t="s">
        <v>8147</v>
      </c>
      <c r="D8271" s="19" t="s">
        <v>23689</v>
      </c>
      <c r="E8271" s="19" t="s">
        <v>33930</v>
      </c>
      <c r="F8271" s="19" t="s">
        <v>36004</v>
      </c>
      <c r="G8271" s="18" t="str">
        <f>"08210"</f>
        <v>08210</v>
      </c>
      <c r="H8271" s="19" t="s">
        <v>33968</v>
      </c>
      <c r="I8271" s="20">
        <v>19.521000000000001</v>
      </c>
      <c r="J8271" s="44" t="s">
        <v>8</v>
      </c>
      <c r="K8271" s="23" t="s">
        <v>8</v>
      </c>
      <c r="L8271" s="23" t="s">
        <v>8</v>
      </c>
      <c r="M8271" s="23" t="s">
        <v>8</v>
      </c>
    </row>
    <row r="8272" spans="1:13" s="21" customFormat="1" x14ac:dyDescent="0.25">
      <c r="A8272" s="22" t="s">
        <v>8</v>
      </c>
      <c r="B8272" s="18" t="str">
        <f>"315229"</f>
        <v>315229</v>
      </c>
      <c r="C8272" s="19" t="s">
        <v>8148</v>
      </c>
      <c r="D8272" s="19" t="s">
        <v>23690</v>
      </c>
      <c r="E8272" s="19" t="s">
        <v>33941</v>
      </c>
      <c r="F8272" s="19" t="s">
        <v>36004</v>
      </c>
      <c r="G8272" s="18" t="str">
        <f>"07420"</f>
        <v>07420</v>
      </c>
      <c r="H8272" s="19" t="s">
        <v>33893</v>
      </c>
      <c r="I8272" s="20">
        <v>18.757999999999999</v>
      </c>
      <c r="J8272" s="44" t="s">
        <v>8</v>
      </c>
      <c r="K8272" s="23" t="s">
        <v>8</v>
      </c>
      <c r="L8272" s="23" t="s">
        <v>8</v>
      </c>
      <c r="M8272" s="23" t="s">
        <v>8</v>
      </c>
    </row>
    <row r="8273" spans="1:13" s="21" customFormat="1" x14ac:dyDescent="0.25">
      <c r="A8273" s="22" t="s">
        <v>8</v>
      </c>
      <c r="B8273" s="18" t="str">
        <f>"315231"</f>
        <v>315231</v>
      </c>
      <c r="C8273" s="19" t="s">
        <v>8149</v>
      </c>
      <c r="D8273" s="19" t="s">
        <v>23691</v>
      </c>
      <c r="E8273" s="19" t="s">
        <v>33942</v>
      </c>
      <c r="F8273" s="19" t="s">
        <v>36004</v>
      </c>
      <c r="G8273" s="18" t="str">
        <f>"08080"</f>
        <v>08080</v>
      </c>
      <c r="H8273" s="19" t="s">
        <v>33089</v>
      </c>
      <c r="I8273" s="20">
        <v>19.102</v>
      </c>
      <c r="J8273" s="44" t="s">
        <v>8</v>
      </c>
      <c r="K8273" s="23" t="s">
        <v>8</v>
      </c>
      <c r="L8273" s="23" t="s">
        <v>8</v>
      </c>
      <c r="M8273" s="23" t="s">
        <v>8</v>
      </c>
    </row>
    <row r="8274" spans="1:13" s="21" customFormat="1" x14ac:dyDescent="0.25">
      <c r="A8274" s="22" t="s">
        <v>8</v>
      </c>
      <c r="B8274" s="18" t="str">
        <f>"315233"</f>
        <v>315233</v>
      </c>
      <c r="C8274" s="19" t="s">
        <v>8150</v>
      </c>
      <c r="D8274" s="19" t="s">
        <v>23692</v>
      </c>
      <c r="E8274" s="19" t="s">
        <v>33905</v>
      </c>
      <c r="F8274" s="19" t="s">
        <v>36004</v>
      </c>
      <c r="G8274" s="18" t="str">
        <f>"08360"</f>
        <v>08360</v>
      </c>
      <c r="H8274" s="19" t="s">
        <v>32766</v>
      </c>
      <c r="I8274" s="20">
        <v>20.327999999999999</v>
      </c>
      <c r="J8274" s="44" t="s">
        <v>8</v>
      </c>
      <c r="K8274" s="23" t="s">
        <v>8</v>
      </c>
      <c r="L8274" s="23" t="s">
        <v>8</v>
      </c>
      <c r="M8274" s="23" t="s">
        <v>8</v>
      </c>
    </row>
    <row r="8275" spans="1:13" s="21" customFormat="1" x14ac:dyDescent="0.25">
      <c r="A8275" s="22" t="s">
        <v>8</v>
      </c>
      <c r="B8275" s="18" t="str">
        <f>"315234"</f>
        <v>315234</v>
      </c>
      <c r="C8275" s="19" t="s">
        <v>8151</v>
      </c>
      <c r="D8275" s="19" t="s">
        <v>23693</v>
      </c>
      <c r="E8275" s="19" t="s">
        <v>33280</v>
      </c>
      <c r="F8275" s="19" t="s">
        <v>36004</v>
      </c>
      <c r="G8275" s="18" t="str">
        <f>"07470"</f>
        <v>07470</v>
      </c>
      <c r="H8275" s="19" t="s">
        <v>33893</v>
      </c>
      <c r="I8275" s="20">
        <v>18.184999999999999</v>
      </c>
      <c r="J8275" s="44" t="s">
        <v>8</v>
      </c>
      <c r="K8275" s="23" t="s">
        <v>8</v>
      </c>
      <c r="L8275" s="23" t="s">
        <v>8</v>
      </c>
      <c r="M8275" s="23" t="s">
        <v>8</v>
      </c>
    </row>
    <row r="8276" spans="1:13" s="21" customFormat="1" x14ac:dyDescent="0.25">
      <c r="A8276" s="22" t="s">
        <v>8</v>
      </c>
      <c r="B8276" s="18" t="str">
        <f>"315235"</f>
        <v>315235</v>
      </c>
      <c r="C8276" s="19" t="s">
        <v>8152</v>
      </c>
      <c r="D8276" s="19" t="s">
        <v>23694</v>
      </c>
      <c r="E8276" s="19" t="s">
        <v>31591</v>
      </c>
      <c r="F8276" s="19" t="s">
        <v>36004</v>
      </c>
      <c r="G8276" s="18" t="str">
        <f>"08611"</f>
        <v>08611</v>
      </c>
      <c r="H8276" s="19" t="s">
        <v>34991</v>
      </c>
      <c r="I8276" s="20">
        <v>17.712</v>
      </c>
      <c r="J8276" s="44" t="s">
        <v>8</v>
      </c>
      <c r="K8276" s="23" t="s">
        <v>8</v>
      </c>
      <c r="L8276" s="23" t="s">
        <v>8</v>
      </c>
      <c r="M8276" s="23" t="s">
        <v>8</v>
      </c>
    </row>
    <row r="8277" spans="1:13" s="21" customFormat="1" x14ac:dyDescent="0.25">
      <c r="A8277" s="22" t="s">
        <v>8</v>
      </c>
      <c r="B8277" s="18" t="str">
        <f>"315236"</f>
        <v>315236</v>
      </c>
      <c r="C8277" s="19" t="s">
        <v>8153</v>
      </c>
      <c r="D8277" s="19" t="s">
        <v>23695</v>
      </c>
      <c r="E8277" s="19" t="s">
        <v>31494</v>
      </c>
      <c r="F8277" s="19" t="s">
        <v>36004</v>
      </c>
      <c r="G8277" s="18" t="str">
        <f>"07103"</f>
        <v>07103</v>
      </c>
      <c r="H8277" s="19" t="s">
        <v>31458</v>
      </c>
      <c r="I8277" s="20">
        <v>18.346</v>
      </c>
      <c r="J8277" s="44" t="s">
        <v>8</v>
      </c>
      <c r="K8277" s="23" t="s">
        <v>8</v>
      </c>
      <c r="L8277" s="23" t="s">
        <v>8</v>
      </c>
      <c r="M8277" s="23" t="s">
        <v>8</v>
      </c>
    </row>
    <row r="8278" spans="1:13" s="21" customFormat="1" x14ac:dyDescent="0.25">
      <c r="A8278" s="22" t="s">
        <v>8</v>
      </c>
      <c r="B8278" s="18" t="str">
        <f>"315237"</f>
        <v>315237</v>
      </c>
      <c r="C8278" s="19" t="s">
        <v>8154</v>
      </c>
      <c r="D8278" s="19" t="s">
        <v>23696</v>
      </c>
      <c r="E8278" s="19" t="s">
        <v>33943</v>
      </c>
      <c r="F8278" s="19" t="s">
        <v>36004</v>
      </c>
      <c r="G8278" s="18" t="str">
        <f>"08069"</f>
        <v>08069</v>
      </c>
      <c r="H8278" s="19" t="s">
        <v>31038</v>
      </c>
      <c r="I8278" s="20">
        <v>22.826000000000001</v>
      </c>
      <c r="J8278" s="44" t="s">
        <v>8</v>
      </c>
      <c r="K8278" s="23" t="s">
        <v>8</v>
      </c>
      <c r="L8278" s="23" t="s">
        <v>8</v>
      </c>
      <c r="M8278" s="23" t="s">
        <v>8</v>
      </c>
    </row>
    <row r="8279" spans="1:13" s="21" customFormat="1" x14ac:dyDescent="0.25">
      <c r="A8279" s="22" t="s">
        <v>8</v>
      </c>
      <c r="B8279" s="18" t="str">
        <f>"315240"</f>
        <v>315240</v>
      </c>
      <c r="C8279" s="19" t="s">
        <v>8155</v>
      </c>
      <c r="D8279" s="19" t="s">
        <v>23697</v>
      </c>
      <c r="E8279" s="19" t="s">
        <v>30816</v>
      </c>
      <c r="F8279" s="19" t="s">
        <v>36004</v>
      </c>
      <c r="G8279" s="18" t="str">
        <f>"08527"</f>
        <v>08527</v>
      </c>
      <c r="H8279" s="19" t="s">
        <v>36577</v>
      </c>
      <c r="I8279" s="20">
        <v>18.518000000000001</v>
      </c>
      <c r="J8279" s="44" t="s">
        <v>8</v>
      </c>
      <c r="K8279" s="23" t="s">
        <v>8</v>
      </c>
      <c r="L8279" s="23" t="s">
        <v>8</v>
      </c>
      <c r="M8279" s="23" t="s">
        <v>8</v>
      </c>
    </row>
    <row r="8280" spans="1:13" s="21" customFormat="1" x14ac:dyDescent="0.25">
      <c r="A8280" s="22" t="s">
        <v>8</v>
      </c>
      <c r="B8280" s="18" t="str">
        <f>"315243"</f>
        <v>315243</v>
      </c>
      <c r="C8280" s="19" t="s">
        <v>8156</v>
      </c>
      <c r="D8280" s="19" t="s">
        <v>23698</v>
      </c>
      <c r="E8280" s="19" t="s">
        <v>33944</v>
      </c>
      <c r="F8280" s="19" t="s">
        <v>36004</v>
      </c>
      <c r="G8280" s="18" t="str">
        <f>"08332"</f>
        <v>08332</v>
      </c>
      <c r="H8280" s="19" t="s">
        <v>32766</v>
      </c>
      <c r="I8280" s="20">
        <v>18.954000000000001</v>
      </c>
      <c r="J8280" s="44" t="s">
        <v>8</v>
      </c>
      <c r="K8280" s="23" t="s">
        <v>8</v>
      </c>
      <c r="L8280" s="23" t="s">
        <v>8</v>
      </c>
      <c r="M8280" s="23" t="s">
        <v>8</v>
      </c>
    </row>
    <row r="8281" spans="1:13" s="21" customFormat="1" x14ac:dyDescent="0.25">
      <c r="A8281" s="22" t="s">
        <v>8</v>
      </c>
      <c r="B8281" s="18" t="str">
        <f>"315244"</f>
        <v>315244</v>
      </c>
      <c r="C8281" s="19" t="s">
        <v>8157</v>
      </c>
      <c r="D8281" s="19" t="s">
        <v>23699</v>
      </c>
      <c r="E8281" s="19" t="s">
        <v>33945</v>
      </c>
      <c r="F8281" s="19" t="s">
        <v>36004</v>
      </c>
      <c r="G8281" s="18" t="str">
        <f>"08201"</f>
        <v>08201</v>
      </c>
      <c r="H8281" s="19" t="s">
        <v>32419</v>
      </c>
      <c r="I8281" s="20">
        <v>17.041</v>
      </c>
      <c r="J8281" s="44" t="s">
        <v>8</v>
      </c>
      <c r="K8281" s="23" t="s">
        <v>8</v>
      </c>
      <c r="L8281" s="23" t="s">
        <v>8</v>
      </c>
      <c r="M8281" s="23" t="s">
        <v>8</v>
      </c>
    </row>
    <row r="8282" spans="1:13" s="21" customFormat="1" x14ac:dyDescent="0.25">
      <c r="A8282" s="22" t="s">
        <v>8</v>
      </c>
      <c r="B8282" s="18" t="str">
        <f>"315245"</f>
        <v>315245</v>
      </c>
      <c r="C8282" s="19" t="s">
        <v>8158</v>
      </c>
      <c r="D8282" s="19" t="s">
        <v>23700</v>
      </c>
      <c r="E8282" s="19" t="s">
        <v>33875</v>
      </c>
      <c r="F8282" s="19" t="s">
        <v>36004</v>
      </c>
      <c r="G8282" s="18" t="str">
        <f>"08002"</f>
        <v>08002</v>
      </c>
      <c r="H8282" s="19" t="s">
        <v>30910</v>
      </c>
      <c r="I8282" s="20">
        <v>19.591999999999999</v>
      </c>
      <c r="J8282" s="44" t="s">
        <v>8</v>
      </c>
      <c r="K8282" s="23" t="s">
        <v>8</v>
      </c>
      <c r="L8282" s="23" t="s">
        <v>8</v>
      </c>
      <c r="M8282" s="23" t="s">
        <v>8</v>
      </c>
    </row>
    <row r="8283" spans="1:13" s="21" customFormat="1" x14ac:dyDescent="0.25">
      <c r="A8283" s="22" t="s">
        <v>8</v>
      </c>
      <c r="B8283" s="18" t="str">
        <f>"315246"</f>
        <v>315246</v>
      </c>
      <c r="C8283" s="19" t="s">
        <v>8159</v>
      </c>
      <c r="D8283" s="19" t="s">
        <v>23701</v>
      </c>
      <c r="E8283" s="19" t="s">
        <v>33946</v>
      </c>
      <c r="F8283" s="19" t="s">
        <v>36004</v>
      </c>
      <c r="G8283" s="18" t="str">
        <f>"08066"</f>
        <v>08066</v>
      </c>
      <c r="H8283" s="19" t="s">
        <v>33089</v>
      </c>
      <c r="I8283" s="20">
        <v>16.866</v>
      </c>
      <c r="J8283" s="44" t="s">
        <v>8</v>
      </c>
      <c r="K8283" s="23" t="s">
        <v>8</v>
      </c>
      <c r="L8283" s="23" t="s">
        <v>8</v>
      </c>
      <c r="M8283" s="23" t="s">
        <v>8</v>
      </c>
    </row>
    <row r="8284" spans="1:13" s="21" customFormat="1" x14ac:dyDescent="0.25">
      <c r="A8284" s="22" t="s">
        <v>8</v>
      </c>
      <c r="B8284" s="18" t="str">
        <f>"315247"</f>
        <v>315247</v>
      </c>
      <c r="C8284" s="19" t="s">
        <v>8160</v>
      </c>
      <c r="D8284" s="19" t="s">
        <v>23702</v>
      </c>
      <c r="E8284" s="19" t="s">
        <v>33947</v>
      </c>
      <c r="F8284" s="19" t="s">
        <v>36004</v>
      </c>
      <c r="G8284" s="18" t="str">
        <f>"07006"</f>
        <v>07006</v>
      </c>
      <c r="H8284" s="19" t="s">
        <v>31458</v>
      </c>
      <c r="I8284" s="20">
        <v>20.89</v>
      </c>
      <c r="J8284" s="44" t="s">
        <v>8</v>
      </c>
      <c r="K8284" s="23" t="s">
        <v>8</v>
      </c>
      <c r="L8284" s="23" t="s">
        <v>8</v>
      </c>
      <c r="M8284" s="23" t="s">
        <v>8</v>
      </c>
    </row>
    <row r="8285" spans="1:13" s="21" customFormat="1" x14ac:dyDescent="0.25">
      <c r="A8285" s="22" t="s">
        <v>8</v>
      </c>
      <c r="B8285" s="18" t="str">
        <f>"315248"</f>
        <v>315248</v>
      </c>
      <c r="C8285" s="19" t="s">
        <v>8161</v>
      </c>
      <c r="D8285" s="19" t="s">
        <v>23703</v>
      </c>
      <c r="E8285" s="19" t="s">
        <v>32569</v>
      </c>
      <c r="F8285" s="19" t="s">
        <v>36004</v>
      </c>
      <c r="G8285" s="18" t="str">
        <f>"07821"</f>
        <v>07821</v>
      </c>
      <c r="H8285" s="19" t="s">
        <v>36121</v>
      </c>
      <c r="I8285" s="20">
        <v>18.568000000000001</v>
      </c>
      <c r="J8285" s="44" t="s">
        <v>8</v>
      </c>
      <c r="K8285" s="23" t="s">
        <v>8</v>
      </c>
      <c r="L8285" s="23" t="s">
        <v>8</v>
      </c>
      <c r="M8285" s="23" t="s">
        <v>8</v>
      </c>
    </row>
    <row r="8286" spans="1:13" s="21" customFormat="1" x14ac:dyDescent="0.25">
      <c r="A8286" s="22" t="s">
        <v>8</v>
      </c>
      <c r="B8286" s="18" t="str">
        <f>"315249"</f>
        <v>315249</v>
      </c>
      <c r="C8286" s="19" t="s">
        <v>8162</v>
      </c>
      <c r="D8286" s="19" t="s">
        <v>23704</v>
      </c>
      <c r="E8286" s="19" t="s">
        <v>33884</v>
      </c>
      <c r="F8286" s="19" t="s">
        <v>36004</v>
      </c>
      <c r="G8286" s="18" t="str">
        <f>"07035"</f>
        <v>07035</v>
      </c>
      <c r="H8286" s="19" t="s">
        <v>32051</v>
      </c>
      <c r="I8286" s="20">
        <v>20.693000000000001</v>
      </c>
      <c r="J8286" s="44" t="s">
        <v>8</v>
      </c>
      <c r="K8286" s="23" t="s">
        <v>8</v>
      </c>
      <c r="L8286" s="23" t="s">
        <v>8</v>
      </c>
      <c r="M8286" s="23" t="s">
        <v>8</v>
      </c>
    </row>
    <row r="8287" spans="1:13" s="21" customFormat="1" x14ac:dyDescent="0.25">
      <c r="A8287" s="22" t="s">
        <v>8</v>
      </c>
      <c r="B8287" s="18" t="str">
        <f>"315251"</f>
        <v>315251</v>
      </c>
      <c r="C8287" s="19" t="s">
        <v>8163</v>
      </c>
      <c r="D8287" s="19" t="s">
        <v>23705</v>
      </c>
      <c r="E8287" s="19" t="s">
        <v>31724</v>
      </c>
      <c r="F8287" s="19" t="s">
        <v>36004</v>
      </c>
      <c r="G8287" s="18" t="str">
        <f>"08820"</f>
        <v>08820</v>
      </c>
      <c r="H8287" s="19" t="s">
        <v>36120</v>
      </c>
      <c r="I8287" s="20">
        <v>19.751999999999999</v>
      </c>
      <c r="J8287" s="44" t="s">
        <v>8</v>
      </c>
      <c r="K8287" s="23" t="s">
        <v>8</v>
      </c>
      <c r="L8287" s="23" t="s">
        <v>8</v>
      </c>
      <c r="M8287" s="23" t="s">
        <v>8</v>
      </c>
    </row>
    <row r="8288" spans="1:13" s="21" customFormat="1" x14ac:dyDescent="0.25">
      <c r="A8288" s="22" t="s">
        <v>8</v>
      </c>
      <c r="B8288" s="18" t="str">
        <f>"315252"</f>
        <v>315252</v>
      </c>
      <c r="C8288" s="19" t="s">
        <v>8164</v>
      </c>
      <c r="D8288" s="19" t="s">
        <v>23706</v>
      </c>
      <c r="E8288" s="19" t="s">
        <v>33896</v>
      </c>
      <c r="F8288" s="19" t="s">
        <v>36004</v>
      </c>
      <c r="G8288" s="18" t="str">
        <f>"07733"</f>
        <v>07733</v>
      </c>
      <c r="H8288" s="19" t="s">
        <v>32161</v>
      </c>
      <c r="I8288" s="20">
        <v>19.193999999999999</v>
      </c>
      <c r="J8288" s="44" t="s">
        <v>8</v>
      </c>
      <c r="K8288" s="23" t="s">
        <v>8</v>
      </c>
      <c r="L8288" s="23" t="s">
        <v>8</v>
      </c>
      <c r="M8288" s="23" t="s">
        <v>8</v>
      </c>
    </row>
    <row r="8289" spans="1:13" s="21" customFormat="1" x14ac:dyDescent="0.25">
      <c r="A8289" s="22" t="s">
        <v>8</v>
      </c>
      <c r="B8289" s="18" t="str">
        <f>"315253"</f>
        <v>315253</v>
      </c>
      <c r="C8289" s="19" t="s">
        <v>8165</v>
      </c>
      <c r="D8289" s="19" t="s">
        <v>23707</v>
      </c>
      <c r="E8289" s="19" t="s">
        <v>32705</v>
      </c>
      <c r="F8289" s="19" t="s">
        <v>36004</v>
      </c>
      <c r="G8289" s="18" t="str">
        <f>"08873"</f>
        <v>08873</v>
      </c>
      <c r="H8289" s="19" t="s">
        <v>32705</v>
      </c>
      <c r="I8289" s="20">
        <v>19.588999999999999</v>
      </c>
      <c r="J8289" s="44" t="s">
        <v>8</v>
      </c>
      <c r="K8289" s="23" t="s">
        <v>8</v>
      </c>
      <c r="L8289" s="23" t="s">
        <v>8</v>
      </c>
      <c r="M8289" s="23" t="s">
        <v>8</v>
      </c>
    </row>
    <row r="8290" spans="1:13" s="21" customFormat="1" x14ac:dyDescent="0.25">
      <c r="A8290" s="22" t="s">
        <v>8</v>
      </c>
      <c r="B8290" s="18" t="str">
        <f>"315254"</f>
        <v>315254</v>
      </c>
      <c r="C8290" s="19" t="s">
        <v>8166</v>
      </c>
      <c r="D8290" s="19" t="s">
        <v>23708</v>
      </c>
      <c r="E8290" s="19" t="s">
        <v>32439</v>
      </c>
      <c r="F8290" s="19" t="s">
        <v>36004</v>
      </c>
      <c r="G8290" s="18" t="str">
        <f>"07093"</f>
        <v>07093</v>
      </c>
      <c r="H8290" s="19" t="s">
        <v>31588</v>
      </c>
      <c r="I8290" s="20">
        <v>20.419</v>
      </c>
      <c r="J8290" s="44" t="s">
        <v>8</v>
      </c>
      <c r="K8290" s="23" t="s">
        <v>8</v>
      </c>
      <c r="L8290" s="23" t="s">
        <v>8</v>
      </c>
      <c r="M8290" s="23" t="s">
        <v>8</v>
      </c>
    </row>
    <row r="8291" spans="1:13" s="21" customFormat="1" x14ac:dyDescent="0.25">
      <c r="A8291" s="22" t="s">
        <v>8</v>
      </c>
      <c r="B8291" s="18" t="str">
        <f>"315255"</f>
        <v>315255</v>
      </c>
      <c r="C8291" s="19" t="s">
        <v>8167</v>
      </c>
      <c r="D8291" s="19" t="s">
        <v>23709</v>
      </c>
      <c r="E8291" s="19" t="s">
        <v>33892</v>
      </c>
      <c r="F8291" s="19" t="s">
        <v>36004</v>
      </c>
      <c r="G8291" s="18" t="str">
        <f>"07302"</f>
        <v>07302</v>
      </c>
      <c r="H8291" s="19" t="s">
        <v>31588</v>
      </c>
      <c r="I8291" s="20">
        <v>20.012</v>
      </c>
      <c r="J8291" s="44" t="s">
        <v>8</v>
      </c>
      <c r="K8291" s="23" t="s">
        <v>8</v>
      </c>
      <c r="L8291" s="23" t="s">
        <v>8</v>
      </c>
      <c r="M8291" s="23" t="s">
        <v>8</v>
      </c>
    </row>
    <row r="8292" spans="1:13" s="21" customFormat="1" x14ac:dyDescent="0.25">
      <c r="A8292" s="22" t="s">
        <v>8</v>
      </c>
      <c r="B8292" s="18" t="str">
        <f>"315256"</f>
        <v>315256</v>
      </c>
      <c r="C8292" s="19" t="s">
        <v>8168</v>
      </c>
      <c r="D8292" s="19" t="s">
        <v>23710</v>
      </c>
      <c r="E8292" s="19" t="s">
        <v>31339</v>
      </c>
      <c r="F8292" s="19" t="s">
        <v>36004</v>
      </c>
      <c r="G8292" s="18" t="str">
        <f>"08701"</f>
        <v>08701</v>
      </c>
      <c r="H8292" s="19" t="s">
        <v>36577</v>
      </c>
      <c r="I8292" s="20">
        <v>17.355</v>
      </c>
      <c r="J8292" s="44" t="s">
        <v>8</v>
      </c>
      <c r="K8292" s="23" t="s">
        <v>8</v>
      </c>
      <c r="L8292" s="23" t="s">
        <v>8</v>
      </c>
      <c r="M8292" s="23" t="s">
        <v>8</v>
      </c>
    </row>
    <row r="8293" spans="1:13" s="21" customFormat="1" x14ac:dyDescent="0.25">
      <c r="A8293" s="22" t="s">
        <v>8</v>
      </c>
      <c r="B8293" s="18" t="str">
        <f>"315257"</f>
        <v>315257</v>
      </c>
      <c r="C8293" s="19" t="s">
        <v>8169</v>
      </c>
      <c r="D8293" s="19" t="s">
        <v>23711</v>
      </c>
      <c r="E8293" s="19" t="s">
        <v>32734</v>
      </c>
      <c r="F8293" s="19" t="s">
        <v>36004</v>
      </c>
      <c r="G8293" s="18" t="str">
        <f>"08094"</f>
        <v>08094</v>
      </c>
      <c r="H8293" s="19" t="s">
        <v>33089</v>
      </c>
      <c r="I8293" s="20">
        <v>19.472000000000001</v>
      </c>
      <c r="J8293" s="44" t="s">
        <v>8</v>
      </c>
      <c r="K8293" s="23" t="s">
        <v>8</v>
      </c>
      <c r="L8293" s="23" t="s">
        <v>8</v>
      </c>
      <c r="M8293" s="23" t="s">
        <v>8</v>
      </c>
    </row>
    <row r="8294" spans="1:13" s="21" customFormat="1" x14ac:dyDescent="0.25">
      <c r="A8294" s="22" t="s">
        <v>8</v>
      </c>
      <c r="B8294" s="18" t="str">
        <f>"315259"</f>
        <v>315259</v>
      </c>
      <c r="C8294" s="19" t="s">
        <v>8170</v>
      </c>
      <c r="D8294" s="19" t="s">
        <v>23712</v>
      </c>
      <c r="E8294" s="19" t="s">
        <v>33948</v>
      </c>
      <c r="F8294" s="19" t="s">
        <v>36004</v>
      </c>
      <c r="G8294" s="18" t="str">
        <f>"07092"</f>
        <v>07092</v>
      </c>
      <c r="H8294" s="19" t="s">
        <v>33554</v>
      </c>
      <c r="I8294" s="20">
        <v>14.712999999999999</v>
      </c>
      <c r="J8294" s="44" t="s">
        <v>8</v>
      </c>
      <c r="K8294" s="23" t="s">
        <v>8</v>
      </c>
      <c r="L8294" s="23" t="s">
        <v>8</v>
      </c>
      <c r="M8294" s="23" t="s">
        <v>8</v>
      </c>
    </row>
    <row r="8295" spans="1:13" s="21" customFormat="1" x14ac:dyDescent="0.25">
      <c r="A8295" s="22" t="s">
        <v>8</v>
      </c>
      <c r="B8295" s="18" t="str">
        <f>"315260"</f>
        <v>315260</v>
      </c>
      <c r="C8295" s="19" t="s">
        <v>8171</v>
      </c>
      <c r="D8295" s="19" t="s">
        <v>23713</v>
      </c>
      <c r="E8295" s="19" t="s">
        <v>33949</v>
      </c>
      <c r="F8295" s="19" t="s">
        <v>36004</v>
      </c>
      <c r="G8295" s="18" t="str">
        <f>"08068"</f>
        <v>08068</v>
      </c>
      <c r="H8295" s="19" t="s">
        <v>31369</v>
      </c>
      <c r="I8295" s="20">
        <v>19.405999999999999</v>
      </c>
      <c r="J8295" s="44" t="s">
        <v>8</v>
      </c>
      <c r="K8295" s="23" t="s">
        <v>8</v>
      </c>
      <c r="L8295" s="23" t="s">
        <v>8</v>
      </c>
      <c r="M8295" s="23" t="s">
        <v>8</v>
      </c>
    </row>
    <row r="8296" spans="1:13" s="21" customFormat="1" x14ac:dyDescent="0.25">
      <c r="A8296" s="22" t="s">
        <v>8</v>
      </c>
      <c r="B8296" s="18" t="str">
        <f>"315261"</f>
        <v>315261</v>
      </c>
      <c r="C8296" s="19" t="s">
        <v>8172</v>
      </c>
      <c r="D8296" s="19" t="s">
        <v>23714</v>
      </c>
      <c r="E8296" s="19" t="s">
        <v>33941</v>
      </c>
      <c r="F8296" s="19" t="s">
        <v>36004</v>
      </c>
      <c r="G8296" s="18" t="str">
        <f>"07420"</f>
        <v>07420</v>
      </c>
      <c r="H8296" s="19" t="s">
        <v>33893</v>
      </c>
      <c r="I8296" s="20">
        <v>19.661000000000001</v>
      </c>
      <c r="J8296" s="44" t="s">
        <v>8</v>
      </c>
      <c r="K8296" s="23" t="s">
        <v>8</v>
      </c>
      <c r="L8296" s="23" t="s">
        <v>8</v>
      </c>
      <c r="M8296" s="23" t="s">
        <v>8</v>
      </c>
    </row>
    <row r="8297" spans="1:13" s="21" customFormat="1" x14ac:dyDescent="0.25">
      <c r="A8297" s="22" t="s">
        <v>8</v>
      </c>
      <c r="B8297" s="18" t="str">
        <f>"315262"</f>
        <v>315262</v>
      </c>
      <c r="C8297" s="19" t="s">
        <v>8173</v>
      </c>
      <c r="D8297" s="19" t="s">
        <v>23715</v>
      </c>
      <c r="E8297" s="19" t="s">
        <v>31339</v>
      </c>
      <c r="F8297" s="19" t="s">
        <v>36004</v>
      </c>
      <c r="G8297" s="18" t="str">
        <f>"08701"</f>
        <v>08701</v>
      </c>
      <c r="H8297" s="19" t="s">
        <v>36577</v>
      </c>
      <c r="I8297" s="20">
        <v>18.341999999999999</v>
      </c>
      <c r="J8297" s="44" t="s">
        <v>8</v>
      </c>
      <c r="K8297" s="23" t="s">
        <v>8</v>
      </c>
      <c r="L8297" s="23" t="s">
        <v>8</v>
      </c>
      <c r="M8297" s="23" t="s">
        <v>8</v>
      </c>
    </row>
    <row r="8298" spans="1:13" s="21" customFormat="1" x14ac:dyDescent="0.25">
      <c r="A8298" s="22" t="s">
        <v>8</v>
      </c>
      <c r="B8298" s="18" t="str">
        <f>"315263"</f>
        <v>315263</v>
      </c>
      <c r="C8298" s="19" t="s">
        <v>8174</v>
      </c>
      <c r="D8298" s="19" t="s">
        <v>23716</v>
      </c>
      <c r="E8298" s="19" t="s">
        <v>33914</v>
      </c>
      <c r="F8298" s="19" t="s">
        <v>36004</v>
      </c>
      <c r="G8298" s="18" t="str">
        <f>"08052"</f>
        <v>08052</v>
      </c>
      <c r="H8298" s="19" t="s">
        <v>31369</v>
      </c>
      <c r="I8298" s="20">
        <v>20.882000000000001</v>
      </c>
      <c r="J8298" s="44" t="s">
        <v>8</v>
      </c>
      <c r="K8298" s="23" t="s">
        <v>8</v>
      </c>
      <c r="L8298" s="23" t="s">
        <v>8</v>
      </c>
      <c r="M8298" s="23" t="s">
        <v>8</v>
      </c>
    </row>
    <row r="8299" spans="1:13" s="21" customFormat="1" x14ac:dyDescent="0.25">
      <c r="A8299" s="22" t="s">
        <v>8</v>
      </c>
      <c r="B8299" s="18" t="str">
        <f>"315264"</f>
        <v>315264</v>
      </c>
      <c r="C8299" s="19" t="s">
        <v>8175</v>
      </c>
      <c r="D8299" s="19" t="s">
        <v>23717</v>
      </c>
      <c r="E8299" s="19" t="s">
        <v>33950</v>
      </c>
      <c r="F8299" s="19" t="s">
        <v>36004</v>
      </c>
      <c r="G8299" s="18" t="str">
        <f>"08753"</f>
        <v>08753</v>
      </c>
      <c r="H8299" s="19" t="s">
        <v>36577</v>
      </c>
      <c r="I8299" s="20">
        <v>19.277000000000001</v>
      </c>
      <c r="J8299" s="44" t="s">
        <v>8</v>
      </c>
      <c r="K8299" s="23" t="s">
        <v>8</v>
      </c>
      <c r="L8299" s="23" t="s">
        <v>8</v>
      </c>
      <c r="M8299" s="23" t="s">
        <v>8</v>
      </c>
    </row>
    <row r="8300" spans="1:13" s="21" customFormat="1" x14ac:dyDescent="0.25">
      <c r="A8300" s="22" t="s">
        <v>8</v>
      </c>
      <c r="B8300" s="18" t="str">
        <f>"315265"</f>
        <v>315265</v>
      </c>
      <c r="C8300" s="19" t="s">
        <v>8176</v>
      </c>
      <c r="D8300" s="19" t="s">
        <v>23718</v>
      </c>
      <c r="E8300" s="19" t="s">
        <v>33950</v>
      </c>
      <c r="F8300" s="19" t="s">
        <v>36004</v>
      </c>
      <c r="G8300" s="18" t="str">
        <f>"08755"</f>
        <v>08755</v>
      </c>
      <c r="H8300" s="19" t="s">
        <v>36577</v>
      </c>
      <c r="I8300" s="20">
        <v>20.977</v>
      </c>
      <c r="J8300" s="44" t="s">
        <v>8</v>
      </c>
      <c r="K8300" s="23" t="s">
        <v>8</v>
      </c>
      <c r="L8300" s="23" t="s">
        <v>8</v>
      </c>
      <c r="M8300" s="23" t="s">
        <v>8</v>
      </c>
    </row>
    <row r="8301" spans="1:13" s="21" customFormat="1" x14ac:dyDescent="0.25">
      <c r="A8301" s="22" t="s">
        <v>8</v>
      </c>
      <c r="B8301" s="18" t="str">
        <f>"315266"</f>
        <v>315266</v>
      </c>
      <c r="C8301" s="19" t="s">
        <v>8177</v>
      </c>
      <c r="D8301" s="19" t="s">
        <v>23719</v>
      </c>
      <c r="E8301" s="19" t="s">
        <v>33913</v>
      </c>
      <c r="F8301" s="19" t="s">
        <v>36004</v>
      </c>
      <c r="G8301" s="18" t="str">
        <f>"07017"</f>
        <v>07017</v>
      </c>
      <c r="H8301" s="19" t="s">
        <v>31458</v>
      </c>
      <c r="I8301" s="20">
        <v>19.966000000000001</v>
      </c>
      <c r="J8301" s="44" t="s">
        <v>8</v>
      </c>
      <c r="K8301" s="23" t="s">
        <v>8</v>
      </c>
      <c r="L8301" s="23" t="s">
        <v>8</v>
      </c>
      <c r="M8301" s="23" t="s">
        <v>8</v>
      </c>
    </row>
    <row r="8302" spans="1:13" s="21" customFormat="1" x14ac:dyDescent="0.25">
      <c r="A8302" s="22" t="s">
        <v>8</v>
      </c>
      <c r="B8302" s="18" t="str">
        <f>"315267"</f>
        <v>315267</v>
      </c>
      <c r="C8302" s="19" t="s">
        <v>8178</v>
      </c>
      <c r="D8302" s="19" t="s">
        <v>23720</v>
      </c>
      <c r="E8302" s="19" t="s">
        <v>30910</v>
      </c>
      <c r="F8302" s="19" t="s">
        <v>36004</v>
      </c>
      <c r="G8302" s="18" t="str">
        <f>"08102"</f>
        <v>08102</v>
      </c>
      <c r="H8302" s="19" t="s">
        <v>30910</v>
      </c>
      <c r="I8302" s="20">
        <v>20.314</v>
      </c>
      <c r="J8302" s="44" t="s">
        <v>8</v>
      </c>
      <c r="K8302" s="23" t="s">
        <v>8</v>
      </c>
      <c r="L8302" s="23" t="s">
        <v>8</v>
      </c>
      <c r="M8302" s="23" t="s">
        <v>8</v>
      </c>
    </row>
    <row r="8303" spans="1:13" s="21" customFormat="1" x14ac:dyDescent="0.25">
      <c r="A8303" s="22" t="s">
        <v>8</v>
      </c>
      <c r="B8303" s="18" t="str">
        <f>"315268"</f>
        <v>315268</v>
      </c>
      <c r="C8303" s="19" t="s">
        <v>8179</v>
      </c>
      <c r="D8303" s="19" t="s">
        <v>23721</v>
      </c>
      <c r="E8303" s="19" t="s">
        <v>33913</v>
      </c>
      <c r="F8303" s="19" t="s">
        <v>36004</v>
      </c>
      <c r="G8303" s="18" t="str">
        <f>"07018"</f>
        <v>07018</v>
      </c>
      <c r="H8303" s="19" t="s">
        <v>31458</v>
      </c>
      <c r="I8303" s="20">
        <v>19.713999999999999</v>
      </c>
      <c r="J8303" s="44" t="s">
        <v>8</v>
      </c>
      <c r="K8303" s="23" t="s">
        <v>8</v>
      </c>
      <c r="L8303" s="23" t="s">
        <v>8</v>
      </c>
      <c r="M8303" s="23" t="s">
        <v>8</v>
      </c>
    </row>
    <row r="8304" spans="1:13" s="21" customFormat="1" x14ac:dyDescent="0.25">
      <c r="A8304" s="22" t="s">
        <v>8</v>
      </c>
      <c r="B8304" s="18" t="str">
        <f>"315269"</f>
        <v>315269</v>
      </c>
      <c r="C8304" s="19" t="s">
        <v>8180</v>
      </c>
      <c r="D8304" s="19" t="s">
        <v>23722</v>
      </c>
      <c r="E8304" s="19" t="s">
        <v>33951</v>
      </c>
      <c r="F8304" s="19" t="s">
        <v>36004</v>
      </c>
      <c r="G8304" s="18" t="str">
        <f>"08831"</f>
        <v>08831</v>
      </c>
      <c r="H8304" s="19" t="s">
        <v>36120</v>
      </c>
      <c r="I8304" s="20">
        <v>17.844999999999999</v>
      </c>
      <c r="J8304" s="44" t="s">
        <v>8</v>
      </c>
      <c r="K8304" s="23" t="s">
        <v>8</v>
      </c>
      <c r="L8304" s="23" t="s">
        <v>8</v>
      </c>
      <c r="M8304" s="23" t="s">
        <v>8</v>
      </c>
    </row>
    <row r="8305" spans="1:13" s="21" customFormat="1" x14ac:dyDescent="0.25">
      <c r="A8305" s="22" t="s">
        <v>8</v>
      </c>
      <c r="B8305" s="18" t="str">
        <f>"315271"</f>
        <v>315271</v>
      </c>
      <c r="C8305" s="19" t="s">
        <v>8181</v>
      </c>
      <c r="D8305" s="19" t="s">
        <v>23723</v>
      </c>
      <c r="E8305" s="19" t="s">
        <v>33943</v>
      </c>
      <c r="F8305" s="19" t="s">
        <v>36004</v>
      </c>
      <c r="G8305" s="18" t="str">
        <f>"08069"</f>
        <v>08069</v>
      </c>
      <c r="H8305" s="19" t="s">
        <v>31038</v>
      </c>
      <c r="I8305" s="20">
        <v>19.864999999999998</v>
      </c>
      <c r="J8305" s="44" t="s">
        <v>8</v>
      </c>
      <c r="K8305" s="23" t="s">
        <v>8</v>
      </c>
      <c r="L8305" s="23" t="s">
        <v>8</v>
      </c>
      <c r="M8305" s="23" t="s">
        <v>8</v>
      </c>
    </row>
    <row r="8306" spans="1:13" s="21" customFormat="1" x14ac:dyDescent="0.25">
      <c r="A8306" s="22" t="s">
        <v>8</v>
      </c>
      <c r="B8306" s="18" t="str">
        <f>"315273"</f>
        <v>315273</v>
      </c>
      <c r="C8306" s="19" t="s">
        <v>8182</v>
      </c>
      <c r="D8306" s="19" t="s">
        <v>23724</v>
      </c>
      <c r="E8306" s="19" t="s">
        <v>31411</v>
      </c>
      <c r="F8306" s="19" t="s">
        <v>36004</v>
      </c>
      <c r="G8306" s="18" t="str">
        <f>"07060"</f>
        <v>07060</v>
      </c>
      <c r="H8306" s="19" t="s">
        <v>33554</v>
      </c>
      <c r="I8306" s="20">
        <v>16.992999999999999</v>
      </c>
      <c r="J8306" s="44" t="s">
        <v>8</v>
      </c>
      <c r="K8306" s="23" t="s">
        <v>8</v>
      </c>
      <c r="L8306" s="23" t="s">
        <v>8</v>
      </c>
      <c r="M8306" s="23" t="s">
        <v>8</v>
      </c>
    </row>
    <row r="8307" spans="1:13" s="21" customFormat="1" x14ac:dyDescent="0.25">
      <c r="A8307" s="22" t="s">
        <v>8</v>
      </c>
      <c r="B8307" s="18" t="str">
        <f>"315274"</f>
        <v>315274</v>
      </c>
      <c r="C8307" s="19" t="s">
        <v>8183</v>
      </c>
      <c r="D8307" s="19" t="s">
        <v>23725</v>
      </c>
      <c r="E8307" s="19" t="s">
        <v>33935</v>
      </c>
      <c r="F8307" s="19" t="s">
        <v>36004</v>
      </c>
      <c r="G8307" s="18" t="str">
        <f>"08724"</f>
        <v>08724</v>
      </c>
      <c r="H8307" s="19" t="s">
        <v>36577</v>
      </c>
      <c r="I8307" s="20">
        <v>17.617999999999999</v>
      </c>
      <c r="J8307" s="44" t="s">
        <v>8</v>
      </c>
      <c r="K8307" s="23" t="s">
        <v>8</v>
      </c>
      <c r="L8307" s="23" t="s">
        <v>8</v>
      </c>
      <c r="M8307" s="23" t="s">
        <v>8</v>
      </c>
    </row>
    <row r="8308" spans="1:13" s="21" customFormat="1" x14ac:dyDescent="0.25">
      <c r="A8308" s="22" t="s">
        <v>8</v>
      </c>
      <c r="B8308" s="18" t="str">
        <f>"315275"</f>
        <v>315275</v>
      </c>
      <c r="C8308" s="19" t="s">
        <v>8184</v>
      </c>
      <c r="D8308" s="19" t="s">
        <v>23726</v>
      </c>
      <c r="E8308" s="19" t="s">
        <v>31339</v>
      </c>
      <c r="F8308" s="19" t="s">
        <v>36004</v>
      </c>
      <c r="G8308" s="18" t="str">
        <f>"08701"</f>
        <v>08701</v>
      </c>
      <c r="H8308" s="19" t="s">
        <v>36577</v>
      </c>
      <c r="I8308" s="20">
        <v>18.282</v>
      </c>
      <c r="J8308" s="44" t="s">
        <v>8</v>
      </c>
      <c r="K8308" s="23" t="s">
        <v>8</v>
      </c>
      <c r="L8308" s="23" t="s">
        <v>8</v>
      </c>
      <c r="M8308" s="23" t="s">
        <v>8</v>
      </c>
    </row>
    <row r="8309" spans="1:13" s="21" customFormat="1" x14ac:dyDescent="0.25">
      <c r="A8309" s="22" t="s">
        <v>8</v>
      </c>
      <c r="B8309" s="18" t="str">
        <f>"315276"</f>
        <v>315276</v>
      </c>
      <c r="C8309" s="19" t="s">
        <v>8185</v>
      </c>
      <c r="D8309" s="19" t="s">
        <v>23727</v>
      </c>
      <c r="E8309" s="19" t="s">
        <v>33952</v>
      </c>
      <c r="F8309" s="19" t="s">
        <v>36004</v>
      </c>
      <c r="G8309" s="18" t="str">
        <f>"07480"</f>
        <v>07480</v>
      </c>
      <c r="H8309" s="19" t="s">
        <v>33893</v>
      </c>
      <c r="I8309" s="20">
        <v>19.869</v>
      </c>
      <c r="J8309" s="44" t="s">
        <v>8</v>
      </c>
      <c r="K8309" s="23" t="s">
        <v>8</v>
      </c>
      <c r="L8309" s="23" t="s">
        <v>8</v>
      </c>
      <c r="M8309" s="23" t="s">
        <v>8</v>
      </c>
    </row>
    <row r="8310" spans="1:13" s="21" customFormat="1" x14ac:dyDescent="0.25">
      <c r="A8310" s="22" t="s">
        <v>8</v>
      </c>
      <c r="B8310" s="18" t="str">
        <f>"315279"</f>
        <v>315279</v>
      </c>
      <c r="C8310" s="19" t="s">
        <v>8186</v>
      </c>
      <c r="D8310" s="19" t="s">
        <v>23728</v>
      </c>
      <c r="E8310" s="19" t="s">
        <v>31724</v>
      </c>
      <c r="F8310" s="19" t="s">
        <v>36004</v>
      </c>
      <c r="G8310" s="18" t="str">
        <f>"08817"</f>
        <v>08817</v>
      </c>
      <c r="H8310" s="19" t="s">
        <v>36120</v>
      </c>
      <c r="I8310" s="20">
        <v>21.216000000000001</v>
      </c>
      <c r="J8310" s="44" t="s">
        <v>8</v>
      </c>
      <c r="K8310" s="23" t="s">
        <v>8</v>
      </c>
      <c r="L8310" s="23" t="s">
        <v>8</v>
      </c>
      <c r="M8310" s="23" t="s">
        <v>8</v>
      </c>
    </row>
    <row r="8311" spans="1:13" s="21" customFormat="1" x14ac:dyDescent="0.25">
      <c r="A8311" s="22" t="s">
        <v>8</v>
      </c>
      <c r="B8311" s="18" t="str">
        <f>"315280"</f>
        <v>315280</v>
      </c>
      <c r="C8311" s="19" t="s">
        <v>8187</v>
      </c>
      <c r="D8311" s="19" t="s">
        <v>23729</v>
      </c>
      <c r="E8311" s="19" t="s">
        <v>33875</v>
      </c>
      <c r="F8311" s="19" t="s">
        <v>36004</v>
      </c>
      <c r="G8311" s="18" t="str">
        <f>"08034"</f>
        <v>08034</v>
      </c>
      <c r="H8311" s="19" t="s">
        <v>30910</v>
      </c>
      <c r="I8311" s="20">
        <v>19.452000000000002</v>
      </c>
      <c r="J8311" s="44" t="s">
        <v>8</v>
      </c>
      <c r="K8311" s="23" t="s">
        <v>8</v>
      </c>
      <c r="L8311" s="23" t="s">
        <v>8</v>
      </c>
      <c r="M8311" s="23" t="s">
        <v>8</v>
      </c>
    </row>
    <row r="8312" spans="1:13" s="21" customFormat="1" x14ac:dyDescent="0.25">
      <c r="A8312" s="22" t="s">
        <v>8</v>
      </c>
      <c r="B8312" s="18" t="str">
        <f>"315282"</f>
        <v>315282</v>
      </c>
      <c r="C8312" s="19" t="s">
        <v>8188</v>
      </c>
      <c r="D8312" s="19" t="s">
        <v>23730</v>
      </c>
      <c r="E8312" s="19" t="s">
        <v>33953</v>
      </c>
      <c r="F8312" s="19" t="s">
        <v>36004</v>
      </c>
      <c r="G8312" s="18" t="str">
        <f>"07726"</f>
        <v>07726</v>
      </c>
      <c r="H8312" s="19" t="s">
        <v>32161</v>
      </c>
      <c r="I8312" s="20">
        <v>19.681000000000001</v>
      </c>
      <c r="J8312" s="44" t="s">
        <v>8</v>
      </c>
      <c r="K8312" s="23" t="s">
        <v>8</v>
      </c>
      <c r="L8312" s="23" t="s">
        <v>8</v>
      </c>
      <c r="M8312" s="23" t="s">
        <v>8</v>
      </c>
    </row>
    <row r="8313" spans="1:13" s="21" customFormat="1" x14ac:dyDescent="0.25">
      <c r="A8313" s="22" t="s">
        <v>8</v>
      </c>
      <c r="B8313" s="18" t="str">
        <f>"315283"</f>
        <v>315283</v>
      </c>
      <c r="C8313" s="19" t="s">
        <v>8189</v>
      </c>
      <c r="D8313" s="19" t="s">
        <v>23731</v>
      </c>
      <c r="E8313" s="19" t="s">
        <v>33954</v>
      </c>
      <c r="F8313" s="19" t="s">
        <v>36004</v>
      </c>
      <c r="G8313" s="18" t="str">
        <f>"07088"</f>
        <v>07088</v>
      </c>
      <c r="H8313" s="19" t="s">
        <v>33554</v>
      </c>
      <c r="I8313" s="20">
        <v>20.59</v>
      </c>
      <c r="J8313" s="44" t="s">
        <v>8</v>
      </c>
      <c r="K8313" s="23" t="s">
        <v>8</v>
      </c>
      <c r="L8313" s="23" t="s">
        <v>8</v>
      </c>
      <c r="M8313" s="23" t="s">
        <v>8</v>
      </c>
    </row>
    <row r="8314" spans="1:13" s="21" customFormat="1" x14ac:dyDescent="0.25">
      <c r="A8314" s="22" t="s">
        <v>8</v>
      </c>
      <c r="B8314" s="18" t="str">
        <f>"315284"</f>
        <v>315284</v>
      </c>
      <c r="C8314" s="19" t="s">
        <v>8190</v>
      </c>
      <c r="D8314" s="19" t="s">
        <v>23732</v>
      </c>
      <c r="E8314" s="19" t="s">
        <v>33955</v>
      </c>
      <c r="F8314" s="19" t="s">
        <v>36004</v>
      </c>
      <c r="G8314" s="18" t="str">
        <f>"07740"</f>
        <v>07740</v>
      </c>
      <c r="H8314" s="19" t="s">
        <v>32161</v>
      </c>
      <c r="I8314" s="20">
        <v>16.332000000000001</v>
      </c>
      <c r="J8314" s="44" t="s">
        <v>8</v>
      </c>
      <c r="K8314" s="23" t="s">
        <v>8</v>
      </c>
      <c r="L8314" s="23" t="s">
        <v>8</v>
      </c>
      <c r="M8314" s="23" t="s">
        <v>8</v>
      </c>
    </row>
    <row r="8315" spans="1:13" s="21" customFormat="1" x14ac:dyDescent="0.25">
      <c r="A8315" s="22" t="s">
        <v>8</v>
      </c>
      <c r="B8315" s="18" t="str">
        <f>"315286"</f>
        <v>315286</v>
      </c>
      <c r="C8315" s="19" t="s">
        <v>8191</v>
      </c>
      <c r="D8315" s="19" t="s">
        <v>23733</v>
      </c>
      <c r="E8315" s="19" t="s">
        <v>33956</v>
      </c>
      <c r="F8315" s="19" t="s">
        <v>36004</v>
      </c>
      <c r="G8315" s="18" t="str">
        <f>"07701"</f>
        <v>07701</v>
      </c>
      <c r="H8315" s="19" t="s">
        <v>32161</v>
      </c>
      <c r="I8315" s="20">
        <v>18.007000000000001</v>
      </c>
      <c r="J8315" s="44" t="s">
        <v>8</v>
      </c>
      <c r="K8315" s="23" t="s">
        <v>8</v>
      </c>
      <c r="L8315" s="23" t="s">
        <v>8</v>
      </c>
      <c r="M8315" s="23" t="s">
        <v>8</v>
      </c>
    </row>
    <row r="8316" spans="1:13" s="21" customFormat="1" x14ac:dyDescent="0.25">
      <c r="A8316" s="22" t="s">
        <v>8</v>
      </c>
      <c r="B8316" s="18" t="str">
        <f>"315288"</f>
        <v>315288</v>
      </c>
      <c r="C8316" s="19" t="s">
        <v>8192</v>
      </c>
      <c r="D8316" s="19" t="s">
        <v>23734</v>
      </c>
      <c r="E8316" s="19" t="s">
        <v>30816</v>
      </c>
      <c r="F8316" s="19" t="s">
        <v>36004</v>
      </c>
      <c r="G8316" s="18" t="str">
        <f>"08527"</f>
        <v>08527</v>
      </c>
      <c r="H8316" s="19" t="s">
        <v>36577</v>
      </c>
      <c r="I8316" s="20">
        <v>23.093</v>
      </c>
      <c r="J8316" s="44" t="s">
        <v>8</v>
      </c>
      <c r="K8316" s="23" t="s">
        <v>8</v>
      </c>
      <c r="L8316" s="23" t="s">
        <v>8</v>
      </c>
      <c r="M8316" s="23" t="s">
        <v>8</v>
      </c>
    </row>
    <row r="8317" spans="1:13" s="21" customFormat="1" x14ac:dyDescent="0.25">
      <c r="A8317" s="22" t="s">
        <v>8</v>
      </c>
      <c r="B8317" s="18" t="str">
        <f>"315290"</f>
        <v>315290</v>
      </c>
      <c r="C8317" s="19" t="s">
        <v>8193</v>
      </c>
      <c r="D8317" s="19" t="s">
        <v>23735</v>
      </c>
      <c r="E8317" s="19" t="s">
        <v>33025</v>
      </c>
      <c r="F8317" s="19" t="s">
        <v>36004</v>
      </c>
      <c r="G8317" s="18" t="str">
        <f>"07648"</f>
        <v>07648</v>
      </c>
      <c r="H8317" s="19" t="s">
        <v>36576</v>
      </c>
      <c r="I8317" s="20">
        <v>18.744</v>
      </c>
      <c r="J8317" s="44" t="s">
        <v>8</v>
      </c>
      <c r="K8317" s="23" t="s">
        <v>8</v>
      </c>
      <c r="L8317" s="23" t="s">
        <v>8</v>
      </c>
      <c r="M8317" s="23" t="s">
        <v>8</v>
      </c>
    </row>
    <row r="8318" spans="1:13" s="21" customFormat="1" x14ac:dyDescent="0.25">
      <c r="A8318" s="22" t="s">
        <v>8</v>
      </c>
      <c r="B8318" s="18" t="str">
        <f>"315291"</f>
        <v>315291</v>
      </c>
      <c r="C8318" s="19" t="s">
        <v>8194</v>
      </c>
      <c r="D8318" s="19" t="s">
        <v>23736</v>
      </c>
      <c r="E8318" s="19" t="s">
        <v>33280</v>
      </c>
      <c r="F8318" s="19" t="s">
        <v>36004</v>
      </c>
      <c r="G8318" s="18" t="str">
        <f>"07470"</f>
        <v>07470</v>
      </c>
      <c r="H8318" s="19" t="s">
        <v>33893</v>
      </c>
      <c r="I8318" s="20">
        <v>15.225</v>
      </c>
      <c r="J8318" s="44" t="s">
        <v>8</v>
      </c>
      <c r="K8318" s="23" t="s">
        <v>8</v>
      </c>
      <c r="L8318" s="23" t="s">
        <v>8</v>
      </c>
      <c r="M8318" s="23" t="s">
        <v>8</v>
      </c>
    </row>
    <row r="8319" spans="1:13" s="21" customFormat="1" x14ac:dyDescent="0.25">
      <c r="A8319" s="22" t="s">
        <v>8</v>
      </c>
      <c r="B8319" s="18" t="str">
        <f>"315292"</f>
        <v>315292</v>
      </c>
      <c r="C8319" s="19" t="s">
        <v>8195</v>
      </c>
      <c r="D8319" s="19" t="s">
        <v>23737</v>
      </c>
      <c r="E8319" s="19" t="s">
        <v>33917</v>
      </c>
      <c r="F8319" s="19" t="s">
        <v>36004</v>
      </c>
      <c r="G8319" s="18" t="str">
        <f>"07728"</f>
        <v>07728</v>
      </c>
      <c r="H8319" s="19" t="s">
        <v>32161</v>
      </c>
      <c r="I8319" s="20">
        <v>23.25</v>
      </c>
      <c r="J8319" s="44" t="s">
        <v>8</v>
      </c>
      <c r="K8319" s="23" t="s">
        <v>8</v>
      </c>
      <c r="L8319" s="23" t="s">
        <v>8</v>
      </c>
      <c r="M8319" s="23" t="s">
        <v>8</v>
      </c>
    </row>
    <row r="8320" spans="1:13" s="21" customFormat="1" x14ac:dyDescent="0.25">
      <c r="A8320" s="22" t="s">
        <v>8</v>
      </c>
      <c r="B8320" s="18" t="str">
        <f>"315293"</f>
        <v>315293</v>
      </c>
      <c r="C8320" s="19" t="s">
        <v>8196</v>
      </c>
      <c r="D8320" s="19" t="s">
        <v>23738</v>
      </c>
      <c r="E8320" s="19" t="s">
        <v>32271</v>
      </c>
      <c r="F8320" s="19" t="s">
        <v>36004</v>
      </c>
      <c r="G8320" s="18" t="str">
        <f>"08759"</f>
        <v>08759</v>
      </c>
      <c r="H8320" s="19" t="s">
        <v>36577</v>
      </c>
      <c r="I8320" s="20">
        <v>15.282999999999999</v>
      </c>
      <c r="J8320" s="44" t="s">
        <v>8</v>
      </c>
      <c r="K8320" s="23" t="s">
        <v>8</v>
      </c>
      <c r="L8320" s="23" t="s">
        <v>8</v>
      </c>
      <c r="M8320" s="23" t="s">
        <v>8</v>
      </c>
    </row>
    <row r="8321" spans="1:13" s="21" customFormat="1" x14ac:dyDescent="0.25">
      <c r="A8321" s="22" t="s">
        <v>8</v>
      </c>
      <c r="B8321" s="18" t="str">
        <f>"315294"</f>
        <v>315294</v>
      </c>
      <c r="C8321" s="19" t="s">
        <v>8197</v>
      </c>
      <c r="D8321" s="19" t="s">
        <v>23739</v>
      </c>
      <c r="E8321" s="19" t="s">
        <v>33930</v>
      </c>
      <c r="F8321" s="19" t="s">
        <v>36004</v>
      </c>
      <c r="G8321" s="18" t="str">
        <f>"08210"</f>
        <v>08210</v>
      </c>
      <c r="H8321" s="19" t="s">
        <v>33968</v>
      </c>
      <c r="I8321" s="20">
        <v>20.599</v>
      </c>
      <c r="J8321" s="44" t="s">
        <v>8</v>
      </c>
      <c r="K8321" s="23" t="s">
        <v>8</v>
      </c>
      <c r="L8321" s="23" t="s">
        <v>8</v>
      </c>
      <c r="M8321" s="23" t="s">
        <v>8</v>
      </c>
    </row>
    <row r="8322" spans="1:13" s="21" customFormat="1" x14ac:dyDescent="0.25">
      <c r="A8322" s="22" t="s">
        <v>8</v>
      </c>
      <c r="B8322" s="18" t="str">
        <f>"315295"</f>
        <v>315295</v>
      </c>
      <c r="C8322" s="19" t="s">
        <v>8198</v>
      </c>
      <c r="D8322" s="19" t="s">
        <v>23740</v>
      </c>
      <c r="E8322" s="19" t="s">
        <v>33916</v>
      </c>
      <c r="F8322" s="19" t="s">
        <v>36004</v>
      </c>
      <c r="G8322" s="18" t="str">
        <f>"07601"</f>
        <v>07601</v>
      </c>
      <c r="H8322" s="19" t="s">
        <v>36576</v>
      </c>
      <c r="I8322" s="20">
        <v>21.036999999999999</v>
      </c>
      <c r="J8322" s="44" t="s">
        <v>8</v>
      </c>
      <c r="K8322" s="23" t="s">
        <v>8</v>
      </c>
      <c r="L8322" s="23" t="s">
        <v>8</v>
      </c>
      <c r="M8322" s="23" t="s">
        <v>8</v>
      </c>
    </row>
    <row r="8323" spans="1:13" s="21" customFormat="1" x14ac:dyDescent="0.25">
      <c r="A8323" s="22" t="s">
        <v>8</v>
      </c>
      <c r="B8323" s="18" t="str">
        <f>"315297"</f>
        <v>315297</v>
      </c>
      <c r="C8323" s="19" t="s">
        <v>8199</v>
      </c>
      <c r="D8323" s="19" t="s">
        <v>23741</v>
      </c>
      <c r="E8323" s="19" t="s">
        <v>33957</v>
      </c>
      <c r="F8323" s="19" t="s">
        <v>36004</v>
      </c>
      <c r="G8323" s="18" t="str">
        <f>"08004"</f>
        <v>08004</v>
      </c>
      <c r="H8323" s="19" t="s">
        <v>30910</v>
      </c>
      <c r="I8323" s="20">
        <v>19.704999999999998</v>
      </c>
      <c r="J8323" s="44" t="s">
        <v>8</v>
      </c>
      <c r="K8323" s="23" t="s">
        <v>8</v>
      </c>
      <c r="L8323" s="23" t="s">
        <v>8</v>
      </c>
      <c r="M8323" s="23" t="s">
        <v>8</v>
      </c>
    </row>
    <row r="8324" spans="1:13" s="21" customFormat="1" x14ac:dyDescent="0.25">
      <c r="A8324" s="22" t="s">
        <v>8</v>
      </c>
      <c r="B8324" s="18" t="str">
        <f>"315298"</f>
        <v>315298</v>
      </c>
      <c r="C8324" s="19" t="s">
        <v>8200</v>
      </c>
      <c r="D8324" s="19" t="s">
        <v>23742</v>
      </c>
      <c r="E8324" s="19" t="s">
        <v>32271</v>
      </c>
      <c r="F8324" s="19" t="s">
        <v>36004</v>
      </c>
      <c r="G8324" s="18" t="str">
        <f>"08759"</f>
        <v>08759</v>
      </c>
      <c r="H8324" s="19" t="s">
        <v>36577</v>
      </c>
      <c r="I8324" s="20">
        <v>18.027000000000001</v>
      </c>
      <c r="J8324" s="44" t="s">
        <v>8</v>
      </c>
      <c r="K8324" s="23" t="s">
        <v>8</v>
      </c>
      <c r="L8324" s="23" t="s">
        <v>8</v>
      </c>
      <c r="M8324" s="23" t="s">
        <v>8</v>
      </c>
    </row>
    <row r="8325" spans="1:13" s="21" customFormat="1" x14ac:dyDescent="0.25">
      <c r="A8325" s="22" t="s">
        <v>8</v>
      </c>
      <c r="B8325" s="18" t="str">
        <f>"315299"</f>
        <v>315299</v>
      </c>
      <c r="C8325" s="19" t="s">
        <v>8201</v>
      </c>
      <c r="D8325" s="19" t="s">
        <v>23743</v>
      </c>
      <c r="E8325" s="19" t="s">
        <v>33886</v>
      </c>
      <c r="F8325" s="19" t="s">
        <v>36004</v>
      </c>
      <c r="G8325" s="18" t="str">
        <f>"07753"</f>
        <v>07753</v>
      </c>
      <c r="H8325" s="19" t="s">
        <v>32161</v>
      </c>
      <c r="I8325" s="20">
        <v>19.751000000000001</v>
      </c>
      <c r="J8325" s="44" t="s">
        <v>8</v>
      </c>
      <c r="K8325" s="23" t="s">
        <v>8</v>
      </c>
      <c r="L8325" s="23" t="s">
        <v>8</v>
      </c>
      <c r="M8325" s="23" t="s">
        <v>8</v>
      </c>
    </row>
    <row r="8326" spans="1:13" s="21" customFormat="1" x14ac:dyDescent="0.25">
      <c r="A8326" s="22" t="s">
        <v>8</v>
      </c>
      <c r="B8326" s="18" t="str">
        <f>"315300"</f>
        <v>315300</v>
      </c>
      <c r="C8326" s="19" t="s">
        <v>8202</v>
      </c>
      <c r="D8326" s="19" t="s">
        <v>23744</v>
      </c>
      <c r="E8326" s="19" t="s">
        <v>33892</v>
      </c>
      <c r="F8326" s="19" t="s">
        <v>36004</v>
      </c>
      <c r="G8326" s="18" t="str">
        <f>"07302"</f>
        <v>07302</v>
      </c>
      <c r="H8326" s="19" t="s">
        <v>31588</v>
      </c>
      <c r="I8326" s="20">
        <v>17.806999999999999</v>
      </c>
      <c r="J8326" s="44" t="s">
        <v>8</v>
      </c>
      <c r="K8326" s="23" t="s">
        <v>8</v>
      </c>
      <c r="L8326" s="23" t="s">
        <v>8</v>
      </c>
      <c r="M8326" s="23" t="s">
        <v>8</v>
      </c>
    </row>
    <row r="8327" spans="1:13" s="21" customFormat="1" x14ac:dyDescent="0.25">
      <c r="A8327" s="22" t="s">
        <v>8</v>
      </c>
      <c r="B8327" s="18" t="str">
        <f>"315302"</f>
        <v>315302</v>
      </c>
      <c r="C8327" s="19" t="s">
        <v>8203</v>
      </c>
      <c r="D8327" s="19" t="s">
        <v>23745</v>
      </c>
      <c r="E8327" s="19" t="s">
        <v>32035</v>
      </c>
      <c r="F8327" s="19" t="s">
        <v>36004</v>
      </c>
      <c r="G8327" s="18" t="str">
        <f>"08833"</f>
        <v>08833</v>
      </c>
      <c r="H8327" s="19" t="s">
        <v>36578</v>
      </c>
      <c r="I8327" s="20">
        <v>17.545000000000002</v>
      </c>
      <c r="J8327" s="44" t="s">
        <v>8</v>
      </c>
      <c r="K8327" s="23" t="s">
        <v>8</v>
      </c>
      <c r="L8327" s="23" t="s">
        <v>8</v>
      </c>
      <c r="M8327" s="23" t="s">
        <v>8</v>
      </c>
    </row>
    <row r="8328" spans="1:13" s="21" customFormat="1" x14ac:dyDescent="0.25">
      <c r="A8328" s="22" t="s">
        <v>8</v>
      </c>
      <c r="B8328" s="18" t="str">
        <f>"315303"</f>
        <v>315303</v>
      </c>
      <c r="C8328" s="19" t="s">
        <v>8204</v>
      </c>
      <c r="D8328" s="19" t="s">
        <v>23746</v>
      </c>
      <c r="E8328" s="19" t="s">
        <v>33958</v>
      </c>
      <c r="F8328" s="19" t="s">
        <v>36004</v>
      </c>
      <c r="G8328" s="18" t="str">
        <f>"07950"</f>
        <v>07950</v>
      </c>
      <c r="H8328" s="19" t="s">
        <v>32051</v>
      </c>
      <c r="I8328" s="20">
        <v>18.498999999999999</v>
      </c>
      <c r="J8328" s="44" t="s">
        <v>8</v>
      </c>
      <c r="K8328" s="23" t="s">
        <v>8</v>
      </c>
      <c r="L8328" s="23" t="s">
        <v>8</v>
      </c>
      <c r="M8328" s="23" t="s">
        <v>8</v>
      </c>
    </row>
    <row r="8329" spans="1:13" s="21" customFormat="1" x14ac:dyDescent="0.25">
      <c r="A8329" s="22" t="s">
        <v>8</v>
      </c>
      <c r="B8329" s="18" t="str">
        <f>"315304"</f>
        <v>315304</v>
      </c>
      <c r="C8329" s="19" t="s">
        <v>8205</v>
      </c>
      <c r="D8329" s="19" t="s">
        <v>23747</v>
      </c>
      <c r="E8329" s="19" t="s">
        <v>30861</v>
      </c>
      <c r="F8329" s="19" t="s">
        <v>36004</v>
      </c>
      <c r="G8329" s="18" t="str">
        <f>"07863"</f>
        <v>07863</v>
      </c>
      <c r="H8329" s="19" t="s">
        <v>31025</v>
      </c>
      <c r="I8329" s="20">
        <v>18.762</v>
      </c>
      <c r="J8329" s="44" t="s">
        <v>8</v>
      </c>
      <c r="K8329" s="23" t="s">
        <v>8</v>
      </c>
      <c r="L8329" s="23" t="s">
        <v>8</v>
      </c>
      <c r="M8329" s="23" t="s">
        <v>8</v>
      </c>
    </row>
    <row r="8330" spans="1:13" s="21" customFormat="1" x14ac:dyDescent="0.25">
      <c r="A8330" s="22" t="s">
        <v>8</v>
      </c>
      <c r="B8330" s="18" t="str">
        <f>"315305"</f>
        <v>315305</v>
      </c>
      <c r="C8330" s="19" t="s">
        <v>8206</v>
      </c>
      <c r="D8330" s="19" t="s">
        <v>23748</v>
      </c>
      <c r="E8330" s="19" t="s">
        <v>33925</v>
      </c>
      <c r="F8330" s="19" t="s">
        <v>36004</v>
      </c>
      <c r="G8330" s="18" t="str">
        <f>"08861"</f>
        <v>08861</v>
      </c>
      <c r="H8330" s="19" t="s">
        <v>36120</v>
      </c>
      <c r="I8330" s="20">
        <v>24.68</v>
      </c>
      <c r="J8330" s="44" t="s">
        <v>8</v>
      </c>
      <c r="K8330" s="23" t="s">
        <v>8</v>
      </c>
      <c r="L8330" s="23" t="s">
        <v>8</v>
      </c>
      <c r="M8330" s="23" t="s">
        <v>8</v>
      </c>
    </row>
    <row r="8331" spans="1:13" s="21" customFormat="1" x14ac:dyDescent="0.25">
      <c r="A8331" s="22" t="s">
        <v>8</v>
      </c>
      <c r="B8331" s="18" t="str">
        <f>"315306"</f>
        <v>315306</v>
      </c>
      <c r="C8331" s="19" t="s">
        <v>8207</v>
      </c>
      <c r="D8331" s="19" t="s">
        <v>23749</v>
      </c>
      <c r="E8331" s="19" t="s">
        <v>31430</v>
      </c>
      <c r="F8331" s="19" t="s">
        <v>36004</v>
      </c>
      <c r="G8331" s="18" t="str">
        <f>"07646"</f>
        <v>07646</v>
      </c>
      <c r="H8331" s="19" t="s">
        <v>36576</v>
      </c>
      <c r="I8331" s="20">
        <v>17.651</v>
      </c>
      <c r="J8331" s="44" t="s">
        <v>8</v>
      </c>
      <c r="K8331" s="23" t="s">
        <v>8</v>
      </c>
      <c r="L8331" s="23" t="s">
        <v>8</v>
      </c>
      <c r="M8331" s="23" t="s">
        <v>8</v>
      </c>
    </row>
    <row r="8332" spans="1:13" s="21" customFormat="1" x14ac:dyDescent="0.25">
      <c r="A8332" s="22" t="s">
        <v>8</v>
      </c>
      <c r="B8332" s="18" t="str">
        <f>"315307"</f>
        <v>315307</v>
      </c>
      <c r="C8332" s="19" t="s">
        <v>8208</v>
      </c>
      <c r="D8332" s="19" t="s">
        <v>23750</v>
      </c>
      <c r="E8332" s="19" t="s">
        <v>33901</v>
      </c>
      <c r="F8332" s="19" t="s">
        <v>36004</v>
      </c>
      <c r="G8332" s="18" t="str">
        <f>"07047"</f>
        <v>07047</v>
      </c>
      <c r="H8332" s="19" t="s">
        <v>31588</v>
      </c>
      <c r="I8332" s="20">
        <v>22.193000000000001</v>
      </c>
      <c r="J8332" s="44" t="s">
        <v>8</v>
      </c>
      <c r="K8332" s="23" t="s">
        <v>8</v>
      </c>
      <c r="L8332" s="23" t="s">
        <v>8</v>
      </c>
      <c r="M8332" s="23" t="s">
        <v>8</v>
      </c>
    </row>
    <row r="8333" spans="1:13" s="21" customFormat="1" x14ac:dyDescent="0.25">
      <c r="A8333" s="22" t="s">
        <v>8</v>
      </c>
      <c r="B8333" s="18" t="str">
        <f>"315308"</f>
        <v>315308</v>
      </c>
      <c r="C8333" s="19" t="s">
        <v>8209</v>
      </c>
      <c r="D8333" s="19" t="s">
        <v>23751</v>
      </c>
      <c r="E8333" s="19" t="s">
        <v>33959</v>
      </c>
      <c r="F8333" s="19" t="s">
        <v>36004</v>
      </c>
      <c r="G8333" s="18" t="str">
        <f>"07662"</f>
        <v>07662</v>
      </c>
      <c r="H8333" s="19" t="s">
        <v>36576</v>
      </c>
      <c r="I8333" s="20">
        <v>20.361999999999998</v>
      </c>
      <c r="J8333" s="44" t="s">
        <v>8</v>
      </c>
      <c r="K8333" s="23" t="s">
        <v>8</v>
      </c>
      <c r="L8333" s="23" t="s">
        <v>8</v>
      </c>
      <c r="M8333" s="23" t="s">
        <v>8</v>
      </c>
    </row>
    <row r="8334" spans="1:13" s="21" customFormat="1" x14ac:dyDescent="0.25">
      <c r="A8334" s="22" t="s">
        <v>8</v>
      </c>
      <c r="B8334" s="18" t="str">
        <f>"315309"</f>
        <v>315309</v>
      </c>
      <c r="C8334" s="19" t="s">
        <v>8210</v>
      </c>
      <c r="D8334" s="19" t="s">
        <v>23752</v>
      </c>
      <c r="E8334" s="19" t="s">
        <v>32271</v>
      </c>
      <c r="F8334" s="19" t="s">
        <v>36004</v>
      </c>
      <c r="G8334" s="18" t="str">
        <f>"08759"</f>
        <v>08759</v>
      </c>
      <c r="H8334" s="19" t="s">
        <v>36577</v>
      </c>
      <c r="I8334" s="20">
        <v>17.722999999999999</v>
      </c>
      <c r="J8334" s="44" t="s">
        <v>8</v>
      </c>
      <c r="K8334" s="23" t="s">
        <v>8</v>
      </c>
      <c r="L8334" s="23" t="s">
        <v>8</v>
      </c>
      <c r="M8334" s="23" t="s">
        <v>8</v>
      </c>
    </row>
    <row r="8335" spans="1:13" s="21" customFormat="1" x14ac:dyDescent="0.25">
      <c r="A8335" s="22" t="s">
        <v>8</v>
      </c>
      <c r="B8335" s="18" t="str">
        <f>"315310"</f>
        <v>315310</v>
      </c>
      <c r="C8335" s="19" t="s">
        <v>8211</v>
      </c>
      <c r="D8335" s="19" t="s">
        <v>23753</v>
      </c>
      <c r="E8335" s="19" t="s">
        <v>33892</v>
      </c>
      <c r="F8335" s="19" t="s">
        <v>36004</v>
      </c>
      <c r="G8335" s="18" t="str">
        <f>"07307"</f>
        <v>07307</v>
      </c>
      <c r="H8335" s="19" t="s">
        <v>31588</v>
      </c>
      <c r="I8335" s="20">
        <v>21.486999999999998</v>
      </c>
      <c r="J8335" s="44" t="s">
        <v>8</v>
      </c>
      <c r="K8335" s="23" t="s">
        <v>8</v>
      </c>
      <c r="L8335" s="23" t="s">
        <v>8</v>
      </c>
      <c r="M8335" s="23" t="s">
        <v>8</v>
      </c>
    </row>
    <row r="8336" spans="1:13" s="21" customFormat="1" x14ac:dyDescent="0.25">
      <c r="A8336" s="22" t="s">
        <v>8</v>
      </c>
      <c r="B8336" s="18" t="str">
        <f>"315311"</f>
        <v>315311</v>
      </c>
      <c r="C8336" s="19" t="s">
        <v>8212</v>
      </c>
      <c r="D8336" s="19" t="s">
        <v>23754</v>
      </c>
      <c r="E8336" s="19" t="s">
        <v>33931</v>
      </c>
      <c r="F8336" s="19" t="s">
        <v>36004</v>
      </c>
      <c r="G8336" s="18" t="str">
        <f>"08865"</f>
        <v>08865</v>
      </c>
      <c r="H8336" s="19" t="s">
        <v>31025</v>
      </c>
      <c r="I8336" s="20">
        <v>18.248000000000001</v>
      </c>
      <c r="J8336" s="44" t="s">
        <v>8</v>
      </c>
      <c r="K8336" s="23" t="s">
        <v>8</v>
      </c>
      <c r="L8336" s="23" t="s">
        <v>8</v>
      </c>
      <c r="M8336" s="23" t="s">
        <v>8</v>
      </c>
    </row>
    <row r="8337" spans="1:13" s="21" customFormat="1" x14ac:dyDescent="0.25">
      <c r="A8337" s="22" t="s">
        <v>8</v>
      </c>
      <c r="B8337" s="18" t="str">
        <f>"315312"</f>
        <v>315312</v>
      </c>
      <c r="C8337" s="19" t="s">
        <v>8213</v>
      </c>
      <c r="D8337" s="19" t="s">
        <v>23755</v>
      </c>
      <c r="E8337" s="19" t="s">
        <v>33950</v>
      </c>
      <c r="F8337" s="19" t="s">
        <v>36004</v>
      </c>
      <c r="G8337" s="18" t="str">
        <f>"08755"</f>
        <v>08755</v>
      </c>
      <c r="H8337" s="19" t="s">
        <v>36577</v>
      </c>
      <c r="I8337" s="20">
        <v>18.791</v>
      </c>
      <c r="J8337" s="44" t="s">
        <v>8</v>
      </c>
      <c r="K8337" s="23" t="s">
        <v>8</v>
      </c>
      <c r="L8337" s="23" t="s">
        <v>8</v>
      </c>
      <c r="M8337" s="23" t="s">
        <v>8</v>
      </c>
    </row>
    <row r="8338" spans="1:13" s="21" customFormat="1" x14ac:dyDescent="0.25">
      <c r="A8338" s="22" t="s">
        <v>8</v>
      </c>
      <c r="B8338" s="18" t="str">
        <f>"315313"</f>
        <v>315313</v>
      </c>
      <c r="C8338" s="19" t="s">
        <v>8214</v>
      </c>
      <c r="D8338" s="19" t="s">
        <v>23756</v>
      </c>
      <c r="E8338" s="19" t="s">
        <v>33960</v>
      </c>
      <c r="F8338" s="19" t="s">
        <v>36004</v>
      </c>
      <c r="G8338" s="18" t="str">
        <f>"07626"</f>
        <v>07626</v>
      </c>
      <c r="H8338" s="19" t="s">
        <v>36576</v>
      </c>
      <c r="I8338" s="20">
        <v>19.974</v>
      </c>
      <c r="J8338" s="44" t="s">
        <v>8</v>
      </c>
      <c r="K8338" s="23" t="s">
        <v>8</v>
      </c>
      <c r="L8338" s="23" t="s">
        <v>8</v>
      </c>
      <c r="M8338" s="23" t="s">
        <v>8</v>
      </c>
    </row>
    <row r="8339" spans="1:13" s="21" customFormat="1" x14ac:dyDescent="0.25">
      <c r="A8339" s="22" t="s">
        <v>8</v>
      </c>
      <c r="B8339" s="18" t="str">
        <f>"315314"</f>
        <v>315314</v>
      </c>
      <c r="C8339" s="19" t="s">
        <v>8215</v>
      </c>
      <c r="D8339" s="19" t="s">
        <v>23757</v>
      </c>
      <c r="E8339" s="19" t="s">
        <v>33902</v>
      </c>
      <c r="F8339" s="19" t="s">
        <v>36004</v>
      </c>
      <c r="G8339" s="18" t="str">
        <f>"07730"</f>
        <v>07730</v>
      </c>
      <c r="H8339" s="19" t="s">
        <v>32161</v>
      </c>
      <c r="I8339" s="20">
        <v>14.999000000000001</v>
      </c>
      <c r="J8339" s="44" t="s">
        <v>8</v>
      </c>
      <c r="K8339" s="23" t="s">
        <v>8</v>
      </c>
      <c r="L8339" s="23" t="s">
        <v>8</v>
      </c>
      <c r="M8339" s="23" t="s">
        <v>8</v>
      </c>
    </row>
    <row r="8340" spans="1:13" s="21" customFormat="1" x14ac:dyDescent="0.25">
      <c r="A8340" s="22" t="s">
        <v>8</v>
      </c>
      <c r="B8340" s="18" t="str">
        <f>"315316"</f>
        <v>315316</v>
      </c>
      <c r="C8340" s="19" t="s">
        <v>8216</v>
      </c>
      <c r="D8340" s="19" t="s">
        <v>23758</v>
      </c>
      <c r="E8340" s="19" t="s">
        <v>33931</v>
      </c>
      <c r="F8340" s="19" t="s">
        <v>36004</v>
      </c>
      <c r="G8340" s="18" t="str">
        <f>"08865"</f>
        <v>08865</v>
      </c>
      <c r="H8340" s="19" t="s">
        <v>31025</v>
      </c>
      <c r="I8340" s="20">
        <v>14.965999999999999</v>
      </c>
      <c r="J8340" s="44" t="s">
        <v>8</v>
      </c>
      <c r="K8340" s="23" t="s">
        <v>8</v>
      </c>
      <c r="L8340" s="23" t="s">
        <v>8</v>
      </c>
      <c r="M8340" s="23" t="s">
        <v>8</v>
      </c>
    </row>
    <row r="8341" spans="1:13" s="21" customFormat="1" x14ac:dyDescent="0.25">
      <c r="A8341" s="22" t="s">
        <v>8</v>
      </c>
      <c r="B8341" s="18" t="str">
        <f>"315317"</f>
        <v>315317</v>
      </c>
      <c r="C8341" s="19" t="s">
        <v>8217</v>
      </c>
      <c r="D8341" s="19" t="s">
        <v>23759</v>
      </c>
      <c r="E8341" s="19" t="s">
        <v>33961</v>
      </c>
      <c r="F8341" s="19" t="s">
        <v>36004</v>
      </c>
      <c r="G8341" s="18" t="str">
        <f>"08401"</f>
        <v>08401</v>
      </c>
      <c r="H8341" s="19" t="s">
        <v>32419</v>
      </c>
      <c r="I8341" s="20">
        <v>17.358000000000001</v>
      </c>
      <c r="J8341" s="44" t="s">
        <v>8</v>
      </c>
      <c r="K8341" s="23" t="s">
        <v>8</v>
      </c>
      <c r="L8341" s="23" t="s">
        <v>8</v>
      </c>
      <c r="M8341" s="23" t="s">
        <v>8</v>
      </c>
    </row>
    <row r="8342" spans="1:13" s="21" customFormat="1" x14ac:dyDescent="0.25">
      <c r="A8342" s="22" t="s">
        <v>8</v>
      </c>
      <c r="B8342" s="18" t="str">
        <f>"315318"</f>
        <v>315318</v>
      </c>
      <c r="C8342" s="19" t="s">
        <v>8218</v>
      </c>
      <c r="D8342" s="19" t="s">
        <v>23760</v>
      </c>
      <c r="E8342" s="19" t="s">
        <v>31460</v>
      </c>
      <c r="F8342" s="19" t="s">
        <v>36004</v>
      </c>
      <c r="G8342" s="18" t="str">
        <f>"07095"</f>
        <v>07095</v>
      </c>
      <c r="H8342" s="19" t="s">
        <v>36120</v>
      </c>
      <c r="I8342" s="20">
        <v>18.332999999999998</v>
      </c>
      <c r="J8342" s="44" t="s">
        <v>8</v>
      </c>
      <c r="K8342" s="23" t="s">
        <v>8</v>
      </c>
      <c r="L8342" s="23" t="s">
        <v>8</v>
      </c>
      <c r="M8342" s="23" t="s">
        <v>8</v>
      </c>
    </row>
    <row r="8343" spans="1:13" s="21" customFormat="1" x14ac:dyDescent="0.25">
      <c r="A8343" s="22" t="s">
        <v>8</v>
      </c>
      <c r="B8343" s="18" t="str">
        <f>"315320"</f>
        <v>315320</v>
      </c>
      <c r="C8343" s="19" t="s">
        <v>8219</v>
      </c>
      <c r="D8343" s="19" t="s">
        <v>23761</v>
      </c>
      <c r="E8343" s="19" t="s">
        <v>33950</v>
      </c>
      <c r="F8343" s="19" t="s">
        <v>36004</v>
      </c>
      <c r="G8343" s="18" t="str">
        <f>"08757"</f>
        <v>08757</v>
      </c>
      <c r="H8343" s="19" t="s">
        <v>36577</v>
      </c>
      <c r="I8343" s="20">
        <v>22.163</v>
      </c>
      <c r="J8343" s="44" t="s">
        <v>8</v>
      </c>
      <c r="K8343" s="23" t="s">
        <v>8</v>
      </c>
      <c r="L8343" s="23" t="s">
        <v>8</v>
      </c>
      <c r="M8343" s="23" t="s">
        <v>8</v>
      </c>
    </row>
    <row r="8344" spans="1:13" s="21" customFormat="1" x14ac:dyDescent="0.25">
      <c r="A8344" s="22" t="s">
        <v>8</v>
      </c>
      <c r="B8344" s="18" t="str">
        <f>"315321"</f>
        <v>315321</v>
      </c>
      <c r="C8344" s="19" t="s">
        <v>8220</v>
      </c>
      <c r="D8344" s="19" t="s">
        <v>23762</v>
      </c>
      <c r="E8344" s="19" t="s">
        <v>33962</v>
      </c>
      <c r="F8344" s="19" t="s">
        <v>36004</v>
      </c>
      <c r="G8344" s="18" t="str">
        <f>"08857"</f>
        <v>08857</v>
      </c>
      <c r="H8344" s="19" t="s">
        <v>36120</v>
      </c>
      <c r="I8344" s="20">
        <v>19.835000000000001</v>
      </c>
      <c r="J8344" s="44" t="s">
        <v>8</v>
      </c>
      <c r="K8344" s="23" t="s">
        <v>8</v>
      </c>
      <c r="L8344" s="23" t="s">
        <v>8</v>
      </c>
      <c r="M8344" s="23" t="s">
        <v>8</v>
      </c>
    </row>
    <row r="8345" spans="1:13" s="21" customFormat="1" x14ac:dyDescent="0.25">
      <c r="A8345" s="22" t="s">
        <v>8</v>
      </c>
      <c r="B8345" s="18" t="str">
        <f>"315322"</f>
        <v>315322</v>
      </c>
      <c r="C8345" s="19" t="s">
        <v>8221</v>
      </c>
      <c r="D8345" s="19" t="s">
        <v>23763</v>
      </c>
      <c r="E8345" s="19" t="s">
        <v>33740</v>
      </c>
      <c r="F8345" s="19" t="s">
        <v>36004</v>
      </c>
      <c r="G8345" s="18" t="str">
        <f>"07039"</f>
        <v>07039</v>
      </c>
      <c r="H8345" s="19" t="s">
        <v>31458</v>
      </c>
      <c r="I8345" s="20">
        <v>16.788</v>
      </c>
      <c r="J8345" s="44" t="s">
        <v>8</v>
      </c>
      <c r="K8345" s="23" t="s">
        <v>8</v>
      </c>
      <c r="L8345" s="23" t="s">
        <v>8</v>
      </c>
      <c r="M8345" s="23" t="s">
        <v>8</v>
      </c>
    </row>
    <row r="8346" spans="1:13" s="21" customFormat="1" x14ac:dyDescent="0.25">
      <c r="A8346" s="22" t="s">
        <v>8</v>
      </c>
      <c r="B8346" s="18" t="str">
        <f>"315324"</f>
        <v>315324</v>
      </c>
      <c r="C8346" s="19" t="s">
        <v>8222</v>
      </c>
      <c r="D8346" s="19" t="s">
        <v>23764</v>
      </c>
      <c r="E8346" s="19" t="s">
        <v>31591</v>
      </c>
      <c r="F8346" s="19" t="s">
        <v>36004</v>
      </c>
      <c r="G8346" s="18" t="str">
        <f>"08611"</f>
        <v>08611</v>
      </c>
      <c r="H8346" s="19" t="s">
        <v>34991</v>
      </c>
      <c r="I8346" s="20">
        <v>19.832999999999998</v>
      </c>
      <c r="J8346" s="44" t="s">
        <v>8</v>
      </c>
      <c r="K8346" s="23" t="s">
        <v>8</v>
      </c>
      <c r="L8346" s="23" t="s">
        <v>8</v>
      </c>
      <c r="M8346" s="23" t="s">
        <v>8</v>
      </c>
    </row>
    <row r="8347" spans="1:13" s="21" customFormat="1" x14ac:dyDescent="0.25">
      <c r="A8347" s="22" t="s">
        <v>8</v>
      </c>
      <c r="B8347" s="18" t="str">
        <f>"315327"</f>
        <v>315327</v>
      </c>
      <c r="C8347" s="19" t="s">
        <v>8223</v>
      </c>
      <c r="D8347" s="19" t="s">
        <v>23765</v>
      </c>
      <c r="E8347" s="19" t="s">
        <v>31339</v>
      </c>
      <c r="F8347" s="19" t="s">
        <v>36004</v>
      </c>
      <c r="G8347" s="18" t="str">
        <f>"08701"</f>
        <v>08701</v>
      </c>
      <c r="H8347" s="19" t="s">
        <v>36577</v>
      </c>
      <c r="I8347" s="20">
        <v>17.094999999999999</v>
      </c>
      <c r="J8347" s="44" t="s">
        <v>8</v>
      </c>
      <c r="K8347" s="23" t="s">
        <v>8</v>
      </c>
      <c r="L8347" s="23" t="s">
        <v>8</v>
      </c>
      <c r="M8347" s="23" t="s">
        <v>8</v>
      </c>
    </row>
    <row r="8348" spans="1:13" s="21" customFormat="1" x14ac:dyDescent="0.25">
      <c r="A8348" s="22" t="s">
        <v>8</v>
      </c>
      <c r="B8348" s="18" t="str">
        <f>"315328"</f>
        <v>315328</v>
      </c>
      <c r="C8348" s="19" t="s">
        <v>8224</v>
      </c>
      <c r="D8348" s="19" t="s">
        <v>23766</v>
      </c>
      <c r="E8348" s="19" t="s">
        <v>33963</v>
      </c>
      <c r="F8348" s="19" t="s">
        <v>36004</v>
      </c>
      <c r="G8348" s="18" t="str">
        <f>"07410"</f>
        <v>07410</v>
      </c>
      <c r="H8348" s="19" t="s">
        <v>36576</v>
      </c>
      <c r="I8348" s="20">
        <v>21.507999999999999</v>
      </c>
      <c r="J8348" s="44" t="s">
        <v>8</v>
      </c>
      <c r="K8348" s="23" t="s">
        <v>8</v>
      </c>
      <c r="L8348" s="23" t="s">
        <v>8</v>
      </c>
      <c r="M8348" s="23" t="s">
        <v>8</v>
      </c>
    </row>
    <row r="8349" spans="1:13" s="21" customFormat="1" x14ac:dyDescent="0.25">
      <c r="A8349" s="22" t="s">
        <v>8</v>
      </c>
      <c r="B8349" s="18" t="str">
        <f>"315329"</f>
        <v>315329</v>
      </c>
      <c r="C8349" s="19" t="s">
        <v>8225</v>
      </c>
      <c r="D8349" s="19" t="s">
        <v>23767</v>
      </c>
      <c r="E8349" s="19" t="s">
        <v>33964</v>
      </c>
      <c r="F8349" s="19" t="s">
        <v>36004</v>
      </c>
      <c r="G8349" s="18" t="str">
        <f>"07834"</f>
        <v>07834</v>
      </c>
      <c r="H8349" s="19" t="s">
        <v>32051</v>
      </c>
      <c r="I8349" s="20">
        <v>20.847000000000001</v>
      </c>
      <c r="J8349" s="44" t="s">
        <v>8</v>
      </c>
      <c r="K8349" s="23" t="s">
        <v>8</v>
      </c>
      <c r="L8349" s="23" t="s">
        <v>8</v>
      </c>
      <c r="M8349" s="23" t="s">
        <v>8</v>
      </c>
    </row>
    <row r="8350" spans="1:13" s="21" customFormat="1" x14ac:dyDescent="0.25">
      <c r="A8350" s="22" t="s">
        <v>8</v>
      </c>
      <c r="B8350" s="18" t="str">
        <f>"315330"</f>
        <v>315330</v>
      </c>
      <c r="C8350" s="19" t="s">
        <v>8226</v>
      </c>
      <c r="D8350" s="19" t="s">
        <v>23768</v>
      </c>
      <c r="E8350" s="19" t="s">
        <v>31369</v>
      </c>
      <c r="F8350" s="19" t="s">
        <v>36004</v>
      </c>
      <c r="G8350" s="18" t="str">
        <f>"08016"</f>
        <v>08016</v>
      </c>
      <c r="H8350" s="19" t="s">
        <v>31369</v>
      </c>
      <c r="I8350" s="20">
        <v>18.408999999999999</v>
      </c>
      <c r="J8350" s="44" t="s">
        <v>8</v>
      </c>
      <c r="K8350" s="23" t="s">
        <v>8</v>
      </c>
      <c r="L8350" s="23" t="s">
        <v>8</v>
      </c>
      <c r="M8350" s="23" t="s">
        <v>8</v>
      </c>
    </row>
    <row r="8351" spans="1:13" s="21" customFormat="1" x14ac:dyDescent="0.25">
      <c r="A8351" s="22" t="s">
        <v>8</v>
      </c>
      <c r="B8351" s="18" t="str">
        <f>"315331"</f>
        <v>315331</v>
      </c>
      <c r="C8351" s="19" t="s">
        <v>8227</v>
      </c>
      <c r="D8351" s="19" t="s">
        <v>23769</v>
      </c>
      <c r="E8351" s="19" t="s">
        <v>33898</v>
      </c>
      <c r="F8351" s="19" t="s">
        <v>36004</v>
      </c>
      <c r="G8351" s="18" t="str">
        <f>"07514"</f>
        <v>07514</v>
      </c>
      <c r="H8351" s="19" t="s">
        <v>33893</v>
      </c>
      <c r="I8351" s="20">
        <v>17.954000000000001</v>
      </c>
      <c r="J8351" s="44" t="s">
        <v>8</v>
      </c>
      <c r="K8351" s="23" t="s">
        <v>8</v>
      </c>
      <c r="L8351" s="23" t="s">
        <v>8</v>
      </c>
      <c r="M8351" s="23" t="s">
        <v>8</v>
      </c>
    </row>
    <row r="8352" spans="1:13" s="21" customFormat="1" x14ac:dyDescent="0.25">
      <c r="A8352" s="22" t="s">
        <v>8</v>
      </c>
      <c r="B8352" s="18" t="str">
        <f>"315332"</f>
        <v>315332</v>
      </c>
      <c r="C8352" s="19" t="s">
        <v>8228</v>
      </c>
      <c r="D8352" s="19" t="s">
        <v>23770</v>
      </c>
      <c r="E8352" s="19" t="s">
        <v>33932</v>
      </c>
      <c r="F8352" s="19" t="s">
        <v>36004</v>
      </c>
      <c r="G8352" s="18" t="str">
        <f>"08050"</f>
        <v>08050</v>
      </c>
      <c r="H8352" s="19" t="s">
        <v>36577</v>
      </c>
      <c r="I8352" s="20">
        <v>18.004000000000001</v>
      </c>
      <c r="J8352" s="44" t="s">
        <v>8</v>
      </c>
      <c r="K8352" s="23" t="s">
        <v>8</v>
      </c>
      <c r="L8352" s="23" t="s">
        <v>8</v>
      </c>
      <c r="M8352" s="23" t="s">
        <v>8</v>
      </c>
    </row>
    <row r="8353" spans="1:13" s="21" customFormat="1" x14ac:dyDescent="0.25">
      <c r="A8353" s="22" t="s">
        <v>8</v>
      </c>
      <c r="B8353" s="18" t="str">
        <f>"315333"</f>
        <v>315333</v>
      </c>
      <c r="C8353" s="19" t="s">
        <v>8229</v>
      </c>
      <c r="D8353" s="19" t="s">
        <v>23771</v>
      </c>
      <c r="E8353" s="19" t="s">
        <v>33950</v>
      </c>
      <c r="F8353" s="19" t="s">
        <v>36004</v>
      </c>
      <c r="G8353" s="18" t="str">
        <f>"08757"</f>
        <v>08757</v>
      </c>
      <c r="H8353" s="19" t="s">
        <v>36577</v>
      </c>
      <c r="I8353" s="20">
        <v>22.096</v>
      </c>
      <c r="J8353" s="44" t="s">
        <v>8</v>
      </c>
      <c r="K8353" s="23" t="s">
        <v>8</v>
      </c>
      <c r="L8353" s="23" t="s">
        <v>8</v>
      </c>
      <c r="M8353" s="23" t="s">
        <v>8</v>
      </c>
    </row>
    <row r="8354" spans="1:13" s="21" customFormat="1" x14ac:dyDescent="0.25">
      <c r="A8354" s="22" t="s">
        <v>8</v>
      </c>
      <c r="B8354" s="18" t="str">
        <f>"315335"</f>
        <v>315335</v>
      </c>
      <c r="C8354" s="19" t="s">
        <v>8230</v>
      </c>
      <c r="D8354" s="19" t="s">
        <v>23772</v>
      </c>
      <c r="E8354" s="19" t="s">
        <v>33280</v>
      </c>
      <c r="F8354" s="19" t="s">
        <v>36004</v>
      </c>
      <c r="G8354" s="18" t="str">
        <f>"07470"</f>
        <v>07470</v>
      </c>
      <c r="H8354" s="19" t="s">
        <v>33893</v>
      </c>
      <c r="I8354" s="20">
        <v>20.026</v>
      </c>
      <c r="J8354" s="44" t="s">
        <v>8</v>
      </c>
      <c r="K8354" s="23" t="s">
        <v>8</v>
      </c>
      <c r="L8354" s="23" t="s">
        <v>8</v>
      </c>
      <c r="M8354" s="23" t="s">
        <v>8</v>
      </c>
    </row>
    <row r="8355" spans="1:13" s="21" customFormat="1" x14ac:dyDescent="0.25">
      <c r="A8355" s="22" t="s">
        <v>8</v>
      </c>
      <c r="B8355" s="18" t="str">
        <f>"315336"</f>
        <v>315336</v>
      </c>
      <c r="C8355" s="19" t="s">
        <v>8231</v>
      </c>
      <c r="D8355" s="19" t="s">
        <v>23773</v>
      </c>
      <c r="E8355" s="19" t="s">
        <v>33951</v>
      </c>
      <c r="F8355" s="19" t="s">
        <v>36004</v>
      </c>
      <c r="G8355" s="18" t="str">
        <f>"08831"</f>
        <v>08831</v>
      </c>
      <c r="H8355" s="19" t="s">
        <v>36120</v>
      </c>
      <c r="I8355" s="20">
        <v>20.084</v>
      </c>
      <c r="J8355" s="44" t="s">
        <v>8</v>
      </c>
      <c r="K8355" s="23" t="s">
        <v>8</v>
      </c>
      <c r="L8355" s="23" t="s">
        <v>8</v>
      </c>
      <c r="M8355" s="23" t="s">
        <v>8</v>
      </c>
    </row>
    <row r="8356" spans="1:13" s="21" customFormat="1" x14ac:dyDescent="0.25">
      <c r="A8356" s="22" t="s">
        <v>8</v>
      </c>
      <c r="B8356" s="18" t="str">
        <f>"315337"</f>
        <v>315337</v>
      </c>
      <c r="C8356" s="19" t="s">
        <v>8232</v>
      </c>
      <c r="D8356" s="19" t="s">
        <v>23774</v>
      </c>
      <c r="E8356" s="19" t="s">
        <v>33965</v>
      </c>
      <c r="F8356" s="19" t="s">
        <v>36004</v>
      </c>
      <c r="G8356" s="18" t="str">
        <f>"07069"</f>
        <v>07069</v>
      </c>
      <c r="H8356" s="19" t="s">
        <v>32705</v>
      </c>
      <c r="I8356" s="20">
        <v>18.536000000000001</v>
      </c>
      <c r="J8356" s="44" t="s">
        <v>8</v>
      </c>
      <c r="K8356" s="23" t="s">
        <v>8</v>
      </c>
      <c r="L8356" s="23" t="s">
        <v>8</v>
      </c>
      <c r="M8356" s="23" t="s">
        <v>8</v>
      </c>
    </row>
    <row r="8357" spans="1:13" s="21" customFormat="1" x14ac:dyDescent="0.25">
      <c r="A8357" s="22" t="s">
        <v>8</v>
      </c>
      <c r="B8357" s="18" t="str">
        <f>"315338"</f>
        <v>315338</v>
      </c>
      <c r="C8357" s="19" t="s">
        <v>8233</v>
      </c>
      <c r="D8357" s="19" t="s">
        <v>23775</v>
      </c>
      <c r="E8357" s="19" t="s">
        <v>31746</v>
      </c>
      <c r="F8357" s="19" t="s">
        <v>36004</v>
      </c>
      <c r="G8357" s="18" t="str">
        <f>"08648"</f>
        <v>08648</v>
      </c>
      <c r="H8357" s="19" t="s">
        <v>34991</v>
      </c>
      <c r="I8357" s="20">
        <v>18.436</v>
      </c>
      <c r="J8357" s="44" t="s">
        <v>8</v>
      </c>
      <c r="K8357" s="23" t="s">
        <v>8</v>
      </c>
      <c r="L8357" s="23" t="s">
        <v>8</v>
      </c>
      <c r="M8357" s="23" t="s">
        <v>8</v>
      </c>
    </row>
    <row r="8358" spans="1:13" s="21" customFormat="1" x14ac:dyDescent="0.25">
      <c r="A8358" s="22" t="s">
        <v>8</v>
      </c>
      <c r="B8358" s="18" t="str">
        <f>"315339"</f>
        <v>315339</v>
      </c>
      <c r="C8358" s="19" t="s">
        <v>8234</v>
      </c>
      <c r="D8358" s="19" t="s">
        <v>23776</v>
      </c>
      <c r="E8358" s="19" t="s">
        <v>33966</v>
      </c>
      <c r="F8358" s="19" t="s">
        <v>36004</v>
      </c>
      <c r="G8358" s="18" t="str">
        <f>"07649"</f>
        <v>07649</v>
      </c>
      <c r="H8358" s="19" t="s">
        <v>36576</v>
      </c>
      <c r="I8358" s="20">
        <v>17.085000000000001</v>
      </c>
      <c r="J8358" s="44" t="s">
        <v>8</v>
      </c>
      <c r="K8358" s="23" t="s">
        <v>8</v>
      </c>
      <c r="L8358" s="23" t="s">
        <v>8</v>
      </c>
      <c r="M8358" s="23" t="s">
        <v>8</v>
      </c>
    </row>
    <row r="8359" spans="1:13" s="21" customFormat="1" x14ac:dyDescent="0.25">
      <c r="A8359" s="22" t="s">
        <v>8</v>
      </c>
      <c r="B8359" s="18" t="str">
        <f>"315340"</f>
        <v>315340</v>
      </c>
      <c r="C8359" s="19" t="s">
        <v>8235</v>
      </c>
      <c r="D8359" s="19" t="s">
        <v>23777</v>
      </c>
      <c r="E8359" s="19" t="s">
        <v>33934</v>
      </c>
      <c r="F8359" s="19" t="s">
        <v>36004</v>
      </c>
      <c r="G8359" s="18" t="str">
        <f>"08205"</f>
        <v>08205</v>
      </c>
      <c r="H8359" s="19" t="s">
        <v>32419</v>
      </c>
      <c r="I8359" s="20">
        <v>17.693000000000001</v>
      </c>
      <c r="J8359" s="44" t="s">
        <v>8</v>
      </c>
      <c r="K8359" s="23" t="s">
        <v>8</v>
      </c>
      <c r="L8359" s="23" t="s">
        <v>8</v>
      </c>
      <c r="M8359" s="23" t="s">
        <v>8</v>
      </c>
    </row>
    <row r="8360" spans="1:13" s="21" customFormat="1" x14ac:dyDescent="0.25">
      <c r="A8360" s="22" t="s">
        <v>8</v>
      </c>
      <c r="B8360" s="18" t="str">
        <f>"315341"</f>
        <v>315341</v>
      </c>
      <c r="C8360" s="19" t="s">
        <v>8236</v>
      </c>
      <c r="D8360" s="19" t="s">
        <v>23778</v>
      </c>
      <c r="E8360" s="19" t="s">
        <v>33967</v>
      </c>
      <c r="F8360" s="19" t="s">
        <v>36004</v>
      </c>
      <c r="G8360" s="18" t="str">
        <f>"07066"</f>
        <v>07066</v>
      </c>
      <c r="H8360" s="19" t="s">
        <v>33554</v>
      </c>
      <c r="I8360" s="20">
        <v>18.536999999999999</v>
      </c>
      <c r="J8360" s="44" t="s">
        <v>8</v>
      </c>
      <c r="K8360" s="23" t="s">
        <v>8</v>
      </c>
      <c r="L8360" s="23" t="s">
        <v>8</v>
      </c>
      <c r="M8360" s="23" t="s">
        <v>8</v>
      </c>
    </row>
    <row r="8361" spans="1:13" s="21" customFormat="1" x14ac:dyDescent="0.25">
      <c r="A8361" s="22" t="s">
        <v>8</v>
      </c>
      <c r="B8361" s="18" t="str">
        <f>"315342"</f>
        <v>315342</v>
      </c>
      <c r="C8361" s="19" t="s">
        <v>8237</v>
      </c>
      <c r="D8361" s="19" t="s">
        <v>23779</v>
      </c>
      <c r="E8361" s="19" t="s">
        <v>33935</v>
      </c>
      <c r="F8361" s="19" t="s">
        <v>36004</v>
      </c>
      <c r="G8361" s="18" t="str">
        <f>"08724"</f>
        <v>08724</v>
      </c>
      <c r="H8361" s="19" t="s">
        <v>36577</v>
      </c>
      <c r="I8361" s="20">
        <v>18.619</v>
      </c>
      <c r="J8361" s="44" t="s">
        <v>8</v>
      </c>
      <c r="K8361" s="23" t="s">
        <v>8</v>
      </c>
      <c r="L8361" s="23" t="s">
        <v>8</v>
      </c>
      <c r="M8361" s="23" t="s">
        <v>8</v>
      </c>
    </row>
    <row r="8362" spans="1:13" s="21" customFormat="1" x14ac:dyDescent="0.25">
      <c r="A8362" s="22" t="s">
        <v>8</v>
      </c>
      <c r="B8362" s="18" t="str">
        <f>"315343"</f>
        <v>315343</v>
      </c>
      <c r="C8362" s="19" t="s">
        <v>8238</v>
      </c>
      <c r="D8362" s="19" t="s">
        <v>23780</v>
      </c>
      <c r="E8362" s="19" t="s">
        <v>31494</v>
      </c>
      <c r="F8362" s="19" t="s">
        <v>36004</v>
      </c>
      <c r="G8362" s="18" t="str">
        <f>"07104"</f>
        <v>07104</v>
      </c>
      <c r="H8362" s="19" t="s">
        <v>31458</v>
      </c>
      <c r="I8362" s="20">
        <v>19.559000000000001</v>
      </c>
      <c r="J8362" s="44" t="s">
        <v>8</v>
      </c>
      <c r="K8362" s="23" t="s">
        <v>8</v>
      </c>
      <c r="L8362" s="23" t="s">
        <v>8</v>
      </c>
      <c r="M8362" s="23" t="s">
        <v>8</v>
      </c>
    </row>
    <row r="8363" spans="1:13" s="21" customFormat="1" x14ac:dyDescent="0.25">
      <c r="A8363" s="22" t="s">
        <v>8</v>
      </c>
      <c r="B8363" s="18" t="str">
        <f>"315344"</f>
        <v>315344</v>
      </c>
      <c r="C8363" s="19" t="s">
        <v>8239</v>
      </c>
      <c r="D8363" s="19" t="s">
        <v>23781</v>
      </c>
      <c r="E8363" s="19" t="s">
        <v>31813</v>
      </c>
      <c r="F8363" s="19" t="s">
        <v>36004</v>
      </c>
      <c r="G8363" s="18" t="str">
        <f>"07087"</f>
        <v>07087</v>
      </c>
      <c r="H8363" s="19" t="s">
        <v>31588</v>
      </c>
      <c r="I8363" s="20">
        <v>17.547999999999998</v>
      </c>
      <c r="J8363" s="44" t="s">
        <v>8</v>
      </c>
      <c r="K8363" s="23" t="s">
        <v>8</v>
      </c>
      <c r="L8363" s="23" t="s">
        <v>8</v>
      </c>
      <c r="M8363" s="23" t="s">
        <v>8</v>
      </c>
    </row>
    <row r="8364" spans="1:13" s="21" customFormat="1" x14ac:dyDescent="0.25">
      <c r="A8364" s="22" t="s">
        <v>8</v>
      </c>
      <c r="B8364" s="18" t="str">
        <f>"315346"</f>
        <v>315346</v>
      </c>
      <c r="C8364" s="19" t="s">
        <v>8240</v>
      </c>
      <c r="D8364" s="19" t="s">
        <v>23782</v>
      </c>
      <c r="E8364" s="19" t="s">
        <v>33878</v>
      </c>
      <c r="F8364" s="19" t="s">
        <v>36004</v>
      </c>
      <c r="G8364" s="18" t="str">
        <f>"07652"</f>
        <v>07652</v>
      </c>
      <c r="H8364" s="19" t="s">
        <v>36576</v>
      </c>
      <c r="I8364" s="20">
        <v>20.178000000000001</v>
      </c>
      <c r="J8364" s="44" t="s">
        <v>8</v>
      </c>
      <c r="K8364" s="23" t="s">
        <v>8</v>
      </c>
      <c r="L8364" s="23" t="s">
        <v>8</v>
      </c>
      <c r="M8364" s="23" t="s">
        <v>8</v>
      </c>
    </row>
    <row r="8365" spans="1:13" s="21" customFormat="1" x14ac:dyDescent="0.25">
      <c r="A8365" s="22" t="s">
        <v>8</v>
      </c>
      <c r="B8365" s="18" t="str">
        <f>"315347"</f>
        <v>315347</v>
      </c>
      <c r="C8365" s="19" t="s">
        <v>8241</v>
      </c>
      <c r="D8365" s="19" t="s">
        <v>23783</v>
      </c>
      <c r="E8365" s="19" t="s">
        <v>32271</v>
      </c>
      <c r="F8365" s="19" t="s">
        <v>36004</v>
      </c>
      <c r="G8365" s="18" t="str">
        <f>"08759"</f>
        <v>08759</v>
      </c>
      <c r="H8365" s="19" t="s">
        <v>36577</v>
      </c>
      <c r="I8365" s="20">
        <v>15.952</v>
      </c>
      <c r="J8365" s="44" t="s">
        <v>8</v>
      </c>
      <c r="K8365" s="23" t="s">
        <v>8</v>
      </c>
      <c r="L8365" s="23" t="s">
        <v>8</v>
      </c>
      <c r="M8365" s="23" t="s">
        <v>8</v>
      </c>
    </row>
    <row r="8366" spans="1:13" s="21" customFormat="1" x14ac:dyDescent="0.25">
      <c r="A8366" s="22" t="s">
        <v>8</v>
      </c>
      <c r="B8366" s="18" t="str">
        <f>"315348"</f>
        <v>315348</v>
      </c>
      <c r="C8366" s="19" t="s">
        <v>8242</v>
      </c>
      <c r="D8366" s="19" t="s">
        <v>23784</v>
      </c>
      <c r="E8366" s="19" t="s">
        <v>31969</v>
      </c>
      <c r="F8366" s="19" t="s">
        <v>36004</v>
      </c>
      <c r="G8366" s="18" t="str">
        <f>"07403"</f>
        <v>07403</v>
      </c>
      <c r="H8366" s="19" t="s">
        <v>33893</v>
      </c>
      <c r="I8366" s="20">
        <v>18.335000000000001</v>
      </c>
      <c r="J8366" s="44" t="s">
        <v>8</v>
      </c>
      <c r="K8366" s="23" t="s">
        <v>8</v>
      </c>
      <c r="L8366" s="23" t="s">
        <v>8</v>
      </c>
      <c r="M8366" s="23" t="s">
        <v>8</v>
      </c>
    </row>
    <row r="8367" spans="1:13" s="21" customFormat="1" x14ac:dyDescent="0.25">
      <c r="A8367" s="22" t="s">
        <v>8</v>
      </c>
      <c r="B8367" s="18" t="str">
        <f>"315349"</f>
        <v>315349</v>
      </c>
      <c r="C8367" s="19" t="s">
        <v>8243</v>
      </c>
      <c r="D8367" s="19" t="s">
        <v>23785</v>
      </c>
      <c r="E8367" s="19" t="s">
        <v>31337</v>
      </c>
      <c r="F8367" s="19" t="s">
        <v>36004</v>
      </c>
      <c r="G8367" s="18" t="str">
        <f>"07631"</f>
        <v>07631</v>
      </c>
      <c r="H8367" s="19" t="s">
        <v>36576</v>
      </c>
      <c r="I8367" s="20">
        <v>20.100999999999999</v>
      </c>
      <c r="J8367" s="44" t="s">
        <v>8</v>
      </c>
      <c r="K8367" s="23" t="s">
        <v>8</v>
      </c>
      <c r="L8367" s="23" t="s">
        <v>8</v>
      </c>
      <c r="M8367" s="23" t="s">
        <v>8</v>
      </c>
    </row>
    <row r="8368" spans="1:13" s="21" customFormat="1" x14ac:dyDescent="0.25">
      <c r="A8368" s="22" t="s">
        <v>8</v>
      </c>
      <c r="B8368" s="18" t="str">
        <f>"315350"</f>
        <v>315350</v>
      </c>
      <c r="C8368" s="19" t="s">
        <v>8244</v>
      </c>
      <c r="D8368" s="19" t="s">
        <v>23786</v>
      </c>
      <c r="E8368" s="19" t="s">
        <v>33968</v>
      </c>
      <c r="F8368" s="19" t="s">
        <v>36004</v>
      </c>
      <c r="G8368" s="18" t="str">
        <f>"08204"</f>
        <v>08204</v>
      </c>
      <c r="H8368" s="19" t="s">
        <v>33968</v>
      </c>
      <c r="I8368" s="20">
        <v>18.122</v>
      </c>
      <c r="J8368" s="44" t="s">
        <v>8</v>
      </c>
      <c r="K8368" s="23" t="s">
        <v>8</v>
      </c>
      <c r="L8368" s="23" t="s">
        <v>8</v>
      </c>
      <c r="M8368" s="23" t="s">
        <v>8</v>
      </c>
    </row>
    <row r="8369" spans="1:13" s="21" customFormat="1" x14ac:dyDescent="0.25">
      <c r="A8369" s="22" t="s">
        <v>8</v>
      </c>
      <c r="B8369" s="18" t="str">
        <f>"315351"</f>
        <v>315351</v>
      </c>
      <c r="C8369" s="19" t="s">
        <v>8245</v>
      </c>
      <c r="D8369" s="19" t="s">
        <v>23787</v>
      </c>
      <c r="E8369" s="19" t="s">
        <v>31724</v>
      </c>
      <c r="F8369" s="19" t="s">
        <v>36004</v>
      </c>
      <c r="G8369" s="18" t="str">
        <f>"08820"</f>
        <v>08820</v>
      </c>
      <c r="H8369" s="19" t="s">
        <v>36120</v>
      </c>
      <c r="I8369" s="20">
        <v>23.283999999999999</v>
      </c>
      <c r="J8369" s="44" t="s">
        <v>8</v>
      </c>
      <c r="K8369" s="23" t="s">
        <v>8</v>
      </c>
      <c r="L8369" s="23" t="s">
        <v>8</v>
      </c>
      <c r="M8369" s="23" t="s">
        <v>8</v>
      </c>
    </row>
    <row r="8370" spans="1:13" s="21" customFormat="1" x14ac:dyDescent="0.25">
      <c r="A8370" s="22" t="s">
        <v>8</v>
      </c>
      <c r="B8370" s="18" t="str">
        <f>"315352"</f>
        <v>315352</v>
      </c>
      <c r="C8370" s="19" t="s">
        <v>8246</v>
      </c>
      <c r="D8370" s="19" t="s">
        <v>23788</v>
      </c>
      <c r="E8370" s="19" t="s">
        <v>31169</v>
      </c>
      <c r="F8370" s="19" t="s">
        <v>36004</v>
      </c>
      <c r="G8370" s="18" t="str">
        <f>"07050"</f>
        <v>07050</v>
      </c>
      <c r="H8370" s="19" t="s">
        <v>31458</v>
      </c>
      <c r="I8370" s="20">
        <v>17.463999999999999</v>
      </c>
      <c r="J8370" s="44" t="s">
        <v>8</v>
      </c>
      <c r="K8370" s="23" t="s">
        <v>8</v>
      </c>
      <c r="L8370" s="23" t="s">
        <v>8</v>
      </c>
      <c r="M8370" s="23" t="s">
        <v>8</v>
      </c>
    </row>
    <row r="8371" spans="1:13" s="21" customFormat="1" x14ac:dyDescent="0.25">
      <c r="A8371" s="22" t="s">
        <v>8</v>
      </c>
      <c r="B8371" s="18" t="str">
        <f>"315353"</f>
        <v>315353</v>
      </c>
      <c r="C8371" s="19" t="s">
        <v>8247</v>
      </c>
      <c r="D8371" s="19" t="s">
        <v>23789</v>
      </c>
      <c r="E8371" s="19" t="s">
        <v>33951</v>
      </c>
      <c r="F8371" s="19" t="s">
        <v>36004</v>
      </c>
      <c r="G8371" s="18" t="str">
        <f>"08831"</f>
        <v>08831</v>
      </c>
      <c r="H8371" s="19" t="s">
        <v>36120</v>
      </c>
      <c r="I8371" s="20">
        <v>17.323</v>
      </c>
      <c r="J8371" s="44" t="s">
        <v>8</v>
      </c>
      <c r="K8371" s="23" t="s">
        <v>8</v>
      </c>
      <c r="L8371" s="23" t="s">
        <v>8</v>
      </c>
      <c r="M8371" s="23" t="s">
        <v>8</v>
      </c>
    </row>
    <row r="8372" spans="1:13" s="21" customFormat="1" x14ac:dyDescent="0.25">
      <c r="A8372" s="22" t="s">
        <v>8</v>
      </c>
      <c r="B8372" s="18" t="str">
        <f>"315354"</f>
        <v>315354</v>
      </c>
      <c r="C8372" s="19" t="s">
        <v>8248</v>
      </c>
      <c r="D8372" s="19" t="s">
        <v>23790</v>
      </c>
      <c r="E8372" s="19" t="s">
        <v>33889</v>
      </c>
      <c r="F8372" s="19" t="s">
        <v>36004</v>
      </c>
      <c r="G8372" s="18" t="str">
        <f>"07719"</f>
        <v>07719</v>
      </c>
      <c r="H8372" s="19" t="s">
        <v>32161</v>
      </c>
      <c r="I8372" s="20">
        <v>18.526</v>
      </c>
      <c r="J8372" s="44" t="s">
        <v>8</v>
      </c>
      <c r="K8372" s="23" t="s">
        <v>8</v>
      </c>
      <c r="L8372" s="23" t="s">
        <v>8</v>
      </c>
      <c r="M8372" s="23" t="s">
        <v>8</v>
      </c>
    </row>
    <row r="8373" spans="1:13" s="21" customFormat="1" x14ac:dyDescent="0.25">
      <c r="A8373" s="22" t="s">
        <v>8</v>
      </c>
      <c r="B8373" s="18" t="str">
        <f>"315355"</f>
        <v>315355</v>
      </c>
      <c r="C8373" s="19" t="s">
        <v>8249</v>
      </c>
      <c r="D8373" s="19" t="s">
        <v>23791</v>
      </c>
      <c r="E8373" s="19" t="s">
        <v>31492</v>
      </c>
      <c r="F8373" s="19" t="s">
        <v>36004</v>
      </c>
      <c r="G8373" s="18" t="str">
        <f>"07801"</f>
        <v>07801</v>
      </c>
      <c r="H8373" s="19" t="s">
        <v>32051</v>
      </c>
      <c r="I8373" s="20">
        <v>20.957999999999998</v>
      </c>
      <c r="J8373" s="44" t="s">
        <v>8</v>
      </c>
      <c r="K8373" s="23" t="s">
        <v>8</v>
      </c>
      <c r="L8373" s="23" t="s">
        <v>8</v>
      </c>
      <c r="M8373" s="23" t="s">
        <v>8</v>
      </c>
    </row>
    <row r="8374" spans="1:13" s="21" customFormat="1" x14ac:dyDescent="0.25">
      <c r="A8374" s="22" t="s">
        <v>8</v>
      </c>
      <c r="B8374" s="18" t="str">
        <f>"315356"</f>
        <v>315356</v>
      </c>
      <c r="C8374" s="19" t="s">
        <v>8250</v>
      </c>
      <c r="D8374" s="19" t="s">
        <v>23792</v>
      </c>
      <c r="E8374" s="19" t="s">
        <v>33969</v>
      </c>
      <c r="F8374" s="19" t="s">
        <v>36004</v>
      </c>
      <c r="G8374" s="18" t="str">
        <f>"07920"</f>
        <v>07920</v>
      </c>
      <c r="H8374" s="19" t="s">
        <v>32705</v>
      </c>
      <c r="I8374" s="20">
        <v>17.442</v>
      </c>
      <c r="J8374" s="44" t="s">
        <v>8</v>
      </c>
      <c r="K8374" s="23" t="s">
        <v>8</v>
      </c>
      <c r="L8374" s="23" t="s">
        <v>8</v>
      </c>
      <c r="M8374" s="23" t="s">
        <v>8</v>
      </c>
    </row>
    <row r="8375" spans="1:13" s="21" customFormat="1" x14ac:dyDescent="0.25">
      <c r="A8375" s="22" t="s">
        <v>8</v>
      </c>
      <c r="B8375" s="18" t="str">
        <f>"315357"</f>
        <v>315357</v>
      </c>
      <c r="C8375" s="19" t="s">
        <v>8251</v>
      </c>
      <c r="D8375" s="19" t="s">
        <v>23793</v>
      </c>
      <c r="E8375" s="19" t="s">
        <v>33882</v>
      </c>
      <c r="F8375" s="19" t="s">
        <v>36004</v>
      </c>
      <c r="G8375" s="18" t="str">
        <f>"07009"</f>
        <v>07009</v>
      </c>
      <c r="H8375" s="19" t="s">
        <v>31458</v>
      </c>
      <c r="I8375" s="20">
        <v>20.54</v>
      </c>
      <c r="J8375" s="44" t="s">
        <v>8</v>
      </c>
      <c r="K8375" s="23" t="s">
        <v>8</v>
      </c>
      <c r="L8375" s="23" t="s">
        <v>8</v>
      </c>
      <c r="M8375" s="23" t="s">
        <v>8</v>
      </c>
    </row>
    <row r="8376" spans="1:13" s="21" customFormat="1" x14ac:dyDescent="0.25">
      <c r="A8376" s="22" t="s">
        <v>8</v>
      </c>
      <c r="B8376" s="18" t="str">
        <f>"315358"</f>
        <v>315358</v>
      </c>
      <c r="C8376" s="19" t="s">
        <v>8252</v>
      </c>
      <c r="D8376" s="19" t="s">
        <v>23794</v>
      </c>
      <c r="E8376" s="19" t="s">
        <v>33352</v>
      </c>
      <c r="F8376" s="19" t="s">
        <v>36004</v>
      </c>
      <c r="G8376" s="18" t="str">
        <f>"08225"</f>
        <v>08225</v>
      </c>
      <c r="H8376" s="19" t="s">
        <v>32419</v>
      </c>
      <c r="I8376" s="20">
        <v>23.161000000000001</v>
      </c>
      <c r="J8376" s="44" t="s">
        <v>8</v>
      </c>
      <c r="K8376" s="23" t="s">
        <v>8</v>
      </c>
      <c r="L8376" s="23" t="s">
        <v>8</v>
      </c>
      <c r="M8376" s="23" t="s">
        <v>8</v>
      </c>
    </row>
    <row r="8377" spans="1:13" s="21" customFormat="1" x14ac:dyDescent="0.25">
      <c r="A8377" s="22" t="s">
        <v>8</v>
      </c>
      <c r="B8377" s="18" t="str">
        <f>"315359"</f>
        <v>315359</v>
      </c>
      <c r="C8377" s="19" t="s">
        <v>8253</v>
      </c>
      <c r="D8377" s="19" t="s">
        <v>23795</v>
      </c>
      <c r="E8377" s="19" t="s">
        <v>33970</v>
      </c>
      <c r="F8377" s="19" t="s">
        <v>36004</v>
      </c>
      <c r="G8377" s="18" t="str">
        <f>"07111"</f>
        <v>07111</v>
      </c>
      <c r="H8377" s="19" t="s">
        <v>31458</v>
      </c>
      <c r="I8377" s="20">
        <v>20.795000000000002</v>
      </c>
      <c r="J8377" s="44" t="s">
        <v>8</v>
      </c>
      <c r="K8377" s="23" t="s">
        <v>8</v>
      </c>
      <c r="L8377" s="23" t="s">
        <v>8</v>
      </c>
      <c r="M8377" s="23" t="s">
        <v>8</v>
      </c>
    </row>
    <row r="8378" spans="1:13" s="21" customFormat="1" x14ac:dyDescent="0.25">
      <c r="A8378" s="22" t="s">
        <v>8</v>
      </c>
      <c r="B8378" s="18" t="str">
        <f>"315360"</f>
        <v>315360</v>
      </c>
      <c r="C8378" s="19" t="s">
        <v>8254</v>
      </c>
      <c r="D8378" s="19" t="s">
        <v>23796</v>
      </c>
      <c r="E8378" s="19" t="s">
        <v>33817</v>
      </c>
      <c r="F8378" s="19" t="s">
        <v>36004</v>
      </c>
      <c r="G8378" s="18" t="str">
        <f>"07630"</f>
        <v>07630</v>
      </c>
      <c r="H8378" s="19" t="s">
        <v>36576</v>
      </c>
      <c r="I8378" s="20">
        <v>17.571000000000002</v>
      </c>
      <c r="J8378" s="44" t="s">
        <v>8</v>
      </c>
      <c r="K8378" s="23" t="s">
        <v>8</v>
      </c>
      <c r="L8378" s="23" t="s">
        <v>8</v>
      </c>
      <c r="M8378" s="23" t="s">
        <v>8</v>
      </c>
    </row>
    <row r="8379" spans="1:13" s="21" customFormat="1" x14ac:dyDescent="0.25">
      <c r="A8379" s="22" t="s">
        <v>8</v>
      </c>
      <c r="B8379" s="18" t="str">
        <f>"315361"</f>
        <v>315361</v>
      </c>
      <c r="C8379" s="19" t="s">
        <v>8255</v>
      </c>
      <c r="D8379" s="19" t="s">
        <v>23797</v>
      </c>
      <c r="E8379" s="19" t="s">
        <v>33280</v>
      </c>
      <c r="F8379" s="19" t="s">
        <v>36004</v>
      </c>
      <c r="G8379" s="18" t="str">
        <f>"07470"</f>
        <v>07470</v>
      </c>
      <c r="H8379" s="19" t="s">
        <v>33893</v>
      </c>
      <c r="I8379" s="20">
        <v>22.408999999999999</v>
      </c>
      <c r="J8379" s="44" t="s">
        <v>8</v>
      </c>
      <c r="K8379" s="23" t="s">
        <v>8</v>
      </c>
      <c r="L8379" s="23" t="s">
        <v>8</v>
      </c>
      <c r="M8379" s="23" t="s">
        <v>8</v>
      </c>
    </row>
    <row r="8380" spans="1:13" s="21" customFormat="1" x14ac:dyDescent="0.25">
      <c r="A8380" s="22" t="s">
        <v>8</v>
      </c>
      <c r="B8380" s="18" t="str">
        <f>"315362"</f>
        <v>315362</v>
      </c>
      <c r="C8380" s="19" t="s">
        <v>8256</v>
      </c>
      <c r="D8380" s="19" t="s">
        <v>23798</v>
      </c>
      <c r="E8380" s="19" t="s">
        <v>33971</v>
      </c>
      <c r="F8380" s="19" t="s">
        <v>36004</v>
      </c>
      <c r="G8380" s="18" t="str">
        <f>"08852"</f>
        <v>08852</v>
      </c>
      <c r="H8380" s="19" t="s">
        <v>36120</v>
      </c>
      <c r="I8380" s="20">
        <v>17.582000000000001</v>
      </c>
      <c r="J8380" s="44" t="s">
        <v>8</v>
      </c>
      <c r="K8380" s="23" t="s">
        <v>8</v>
      </c>
      <c r="L8380" s="23" t="s">
        <v>8</v>
      </c>
      <c r="M8380" s="23" t="s">
        <v>8</v>
      </c>
    </row>
    <row r="8381" spans="1:13" s="21" customFormat="1" x14ac:dyDescent="0.25">
      <c r="A8381" s="22" t="s">
        <v>8</v>
      </c>
      <c r="B8381" s="18" t="str">
        <f>"315363"</f>
        <v>315363</v>
      </c>
      <c r="C8381" s="19" t="s">
        <v>8257</v>
      </c>
      <c r="D8381" s="19" t="s">
        <v>23799</v>
      </c>
      <c r="E8381" s="19" t="s">
        <v>31249</v>
      </c>
      <c r="F8381" s="19" t="s">
        <v>36004</v>
      </c>
      <c r="G8381" s="18" t="str">
        <f>"07042"</f>
        <v>07042</v>
      </c>
      <c r="H8381" s="19" t="s">
        <v>31458</v>
      </c>
      <c r="I8381" s="20">
        <v>20.867999999999999</v>
      </c>
      <c r="J8381" s="44" t="s">
        <v>8</v>
      </c>
      <c r="K8381" s="23" t="s">
        <v>8</v>
      </c>
      <c r="L8381" s="23" t="s">
        <v>8</v>
      </c>
      <c r="M8381" s="23" t="s">
        <v>8</v>
      </c>
    </row>
    <row r="8382" spans="1:13" s="21" customFormat="1" x14ac:dyDescent="0.25">
      <c r="A8382" s="22" t="s">
        <v>8</v>
      </c>
      <c r="B8382" s="18" t="str">
        <f>"315364"</f>
        <v>315364</v>
      </c>
      <c r="C8382" s="19" t="s">
        <v>8258</v>
      </c>
      <c r="D8382" s="19" t="s">
        <v>23800</v>
      </c>
      <c r="E8382" s="19" t="s">
        <v>33923</v>
      </c>
      <c r="F8382" s="19" t="s">
        <v>36004</v>
      </c>
      <c r="G8382" s="18" t="str">
        <f>"07724"</f>
        <v>07724</v>
      </c>
      <c r="H8382" s="19" t="s">
        <v>32161</v>
      </c>
      <c r="I8382" s="20">
        <v>17.303000000000001</v>
      </c>
      <c r="J8382" s="44" t="s">
        <v>8</v>
      </c>
      <c r="K8382" s="23" t="s">
        <v>8</v>
      </c>
      <c r="L8382" s="23" t="s">
        <v>8</v>
      </c>
      <c r="M8382" s="23" t="s">
        <v>8</v>
      </c>
    </row>
    <row r="8383" spans="1:13" s="21" customFormat="1" x14ac:dyDescent="0.25">
      <c r="A8383" s="22" t="s">
        <v>8</v>
      </c>
      <c r="B8383" s="18" t="str">
        <f>"315365"</f>
        <v>315365</v>
      </c>
      <c r="C8383" s="19" t="s">
        <v>8259</v>
      </c>
      <c r="D8383" s="19" t="s">
        <v>21533</v>
      </c>
      <c r="E8383" s="19" t="s">
        <v>33972</v>
      </c>
      <c r="F8383" s="19" t="s">
        <v>36004</v>
      </c>
      <c r="G8383" s="18" t="str">
        <f>"07756"</f>
        <v>07756</v>
      </c>
      <c r="H8383" s="19" t="s">
        <v>32161</v>
      </c>
      <c r="I8383" s="20">
        <v>16.158999999999999</v>
      </c>
      <c r="J8383" s="44" t="s">
        <v>8</v>
      </c>
      <c r="K8383" s="23" t="s">
        <v>8</v>
      </c>
      <c r="L8383" s="23" t="s">
        <v>8</v>
      </c>
      <c r="M8383" s="23" t="s">
        <v>8</v>
      </c>
    </row>
    <row r="8384" spans="1:13" s="21" customFormat="1" x14ac:dyDescent="0.25">
      <c r="A8384" s="22" t="s">
        <v>8</v>
      </c>
      <c r="B8384" s="18" t="str">
        <f>"315366"</f>
        <v>315366</v>
      </c>
      <c r="C8384" s="19" t="s">
        <v>8260</v>
      </c>
      <c r="D8384" s="19" t="s">
        <v>23801</v>
      </c>
      <c r="E8384" s="19" t="s">
        <v>33929</v>
      </c>
      <c r="F8384" s="19" t="s">
        <v>36004</v>
      </c>
      <c r="G8384" s="18" t="str">
        <f>"07032"</f>
        <v>07032</v>
      </c>
      <c r="H8384" s="19" t="s">
        <v>31588</v>
      </c>
      <c r="I8384" s="20">
        <v>14.582000000000001</v>
      </c>
      <c r="J8384" s="44" t="s">
        <v>8</v>
      </c>
      <c r="K8384" s="23" t="s">
        <v>8</v>
      </c>
      <c r="L8384" s="23" t="s">
        <v>8</v>
      </c>
      <c r="M8384" s="23" t="s">
        <v>8</v>
      </c>
    </row>
    <row r="8385" spans="1:13" s="21" customFormat="1" x14ac:dyDescent="0.25">
      <c r="A8385" s="22" t="s">
        <v>8</v>
      </c>
      <c r="B8385" s="18" t="str">
        <f>"315367"</f>
        <v>315367</v>
      </c>
      <c r="C8385" s="19" t="s">
        <v>8261</v>
      </c>
      <c r="D8385" s="19" t="s">
        <v>23802</v>
      </c>
      <c r="E8385" s="19" t="s">
        <v>32705</v>
      </c>
      <c r="F8385" s="19" t="s">
        <v>36004</v>
      </c>
      <c r="G8385" s="18" t="str">
        <f>"08873"</f>
        <v>08873</v>
      </c>
      <c r="H8385" s="19" t="s">
        <v>32705</v>
      </c>
      <c r="I8385" s="20">
        <v>20.332999999999998</v>
      </c>
      <c r="J8385" s="44" t="s">
        <v>8</v>
      </c>
      <c r="K8385" s="23" t="s">
        <v>8</v>
      </c>
      <c r="L8385" s="23" t="s">
        <v>8</v>
      </c>
      <c r="M8385" s="23" t="s">
        <v>8</v>
      </c>
    </row>
    <row r="8386" spans="1:13" s="21" customFormat="1" x14ac:dyDescent="0.25">
      <c r="A8386" s="22" t="s">
        <v>8</v>
      </c>
      <c r="B8386" s="18" t="str">
        <f>"315368"</f>
        <v>315368</v>
      </c>
      <c r="C8386" s="19" t="s">
        <v>8262</v>
      </c>
      <c r="D8386" s="19" t="s">
        <v>23803</v>
      </c>
      <c r="E8386" s="19" t="s">
        <v>33973</v>
      </c>
      <c r="F8386" s="19" t="s">
        <v>36004</v>
      </c>
      <c r="G8386" s="18" t="str">
        <f>"08825"</f>
        <v>08825</v>
      </c>
      <c r="H8386" s="19" t="s">
        <v>36578</v>
      </c>
      <c r="I8386" s="20">
        <v>18.689</v>
      </c>
      <c r="J8386" s="44" t="s">
        <v>8</v>
      </c>
      <c r="K8386" s="23" t="s">
        <v>8</v>
      </c>
      <c r="L8386" s="23" t="s">
        <v>8</v>
      </c>
      <c r="M8386" s="23" t="s">
        <v>8</v>
      </c>
    </row>
    <row r="8387" spans="1:13" s="21" customFormat="1" x14ac:dyDescent="0.25">
      <c r="A8387" s="22" t="s">
        <v>8</v>
      </c>
      <c r="B8387" s="18" t="str">
        <f>"315369"</f>
        <v>315369</v>
      </c>
      <c r="C8387" s="19" t="s">
        <v>8263</v>
      </c>
      <c r="D8387" s="19" t="s">
        <v>23804</v>
      </c>
      <c r="E8387" s="19" t="s">
        <v>33106</v>
      </c>
      <c r="F8387" s="19" t="s">
        <v>36004</v>
      </c>
      <c r="G8387" s="18" t="str">
        <f>"07675"</f>
        <v>07675</v>
      </c>
      <c r="H8387" s="19" t="s">
        <v>36576</v>
      </c>
      <c r="I8387" s="20">
        <v>17.190999999999999</v>
      </c>
      <c r="J8387" s="44" t="s">
        <v>8</v>
      </c>
      <c r="K8387" s="23" t="s">
        <v>8</v>
      </c>
      <c r="L8387" s="23" t="s">
        <v>8</v>
      </c>
      <c r="M8387" s="23" t="s">
        <v>8</v>
      </c>
    </row>
    <row r="8388" spans="1:13" s="21" customFormat="1" x14ac:dyDescent="0.25">
      <c r="A8388" s="22" t="s">
        <v>8</v>
      </c>
      <c r="B8388" s="18" t="str">
        <f>"315370"</f>
        <v>315370</v>
      </c>
      <c r="C8388" s="19" t="s">
        <v>8264</v>
      </c>
      <c r="D8388" s="19" t="s">
        <v>23805</v>
      </c>
      <c r="E8388" s="19" t="s">
        <v>31998</v>
      </c>
      <c r="F8388" s="19" t="s">
        <v>36004</v>
      </c>
      <c r="G8388" s="18" t="str">
        <f>"08540"</f>
        <v>08540</v>
      </c>
      <c r="H8388" s="19" t="s">
        <v>34991</v>
      </c>
      <c r="I8388" s="20">
        <v>17.739999999999998</v>
      </c>
      <c r="J8388" s="44" t="s">
        <v>8</v>
      </c>
      <c r="K8388" s="23" t="s">
        <v>8</v>
      </c>
      <c r="L8388" s="23" t="s">
        <v>8</v>
      </c>
      <c r="M8388" s="23" t="s">
        <v>8</v>
      </c>
    </row>
    <row r="8389" spans="1:13" s="21" customFormat="1" x14ac:dyDescent="0.25">
      <c r="A8389" s="22" t="s">
        <v>8</v>
      </c>
      <c r="B8389" s="18" t="str">
        <f>"315372"</f>
        <v>315372</v>
      </c>
      <c r="C8389" s="19" t="s">
        <v>8265</v>
      </c>
      <c r="D8389" s="19" t="s">
        <v>23806</v>
      </c>
      <c r="E8389" s="19" t="s">
        <v>31169</v>
      </c>
      <c r="F8389" s="19" t="s">
        <v>36004</v>
      </c>
      <c r="G8389" s="18" t="str">
        <f>"07050"</f>
        <v>07050</v>
      </c>
      <c r="H8389" s="19" t="s">
        <v>31458</v>
      </c>
      <c r="I8389" s="20">
        <v>25.335000000000001</v>
      </c>
      <c r="J8389" s="44" t="s">
        <v>8</v>
      </c>
      <c r="K8389" s="23" t="s">
        <v>8</v>
      </c>
      <c r="L8389" s="23" t="s">
        <v>8</v>
      </c>
      <c r="M8389" s="23" t="s">
        <v>8</v>
      </c>
    </row>
    <row r="8390" spans="1:13" s="21" customFormat="1" x14ac:dyDescent="0.25">
      <c r="A8390" s="22" t="s">
        <v>8</v>
      </c>
      <c r="B8390" s="18" t="str">
        <f>"315374"</f>
        <v>315374</v>
      </c>
      <c r="C8390" s="19" t="s">
        <v>8266</v>
      </c>
      <c r="D8390" s="19" t="s">
        <v>23807</v>
      </c>
      <c r="E8390" s="19" t="s">
        <v>33974</v>
      </c>
      <c r="F8390" s="19" t="s">
        <v>36004</v>
      </c>
      <c r="G8390" s="18" t="str">
        <f>"07738"</f>
        <v>07738</v>
      </c>
      <c r="H8390" s="19" t="s">
        <v>32161</v>
      </c>
      <c r="I8390" s="20">
        <v>19.175000000000001</v>
      </c>
      <c r="J8390" s="44" t="s">
        <v>8</v>
      </c>
      <c r="K8390" s="23" t="s">
        <v>8</v>
      </c>
      <c r="L8390" s="23" t="s">
        <v>8</v>
      </c>
      <c r="M8390" s="23" t="s">
        <v>8</v>
      </c>
    </row>
    <row r="8391" spans="1:13" s="21" customFormat="1" x14ac:dyDescent="0.25">
      <c r="A8391" s="22" t="s">
        <v>8</v>
      </c>
      <c r="B8391" s="18" t="str">
        <f>"315375"</f>
        <v>315375</v>
      </c>
      <c r="C8391" s="19" t="s">
        <v>8267</v>
      </c>
      <c r="D8391" s="19" t="s">
        <v>23808</v>
      </c>
      <c r="E8391" s="19" t="s">
        <v>31494</v>
      </c>
      <c r="F8391" s="19" t="s">
        <v>36004</v>
      </c>
      <c r="G8391" s="18" t="str">
        <f>"07104"</f>
        <v>07104</v>
      </c>
      <c r="H8391" s="19" t="s">
        <v>31458</v>
      </c>
      <c r="I8391" s="20">
        <v>16.146000000000001</v>
      </c>
      <c r="J8391" s="44" t="s">
        <v>8</v>
      </c>
      <c r="K8391" s="23" t="s">
        <v>8</v>
      </c>
      <c r="L8391" s="23" t="s">
        <v>8</v>
      </c>
      <c r="M8391" s="23" t="s">
        <v>8</v>
      </c>
    </row>
    <row r="8392" spans="1:13" s="21" customFormat="1" x14ac:dyDescent="0.25">
      <c r="A8392" s="22" t="s">
        <v>8</v>
      </c>
      <c r="B8392" s="18" t="str">
        <f>"315376"</f>
        <v>315376</v>
      </c>
      <c r="C8392" s="19" t="s">
        <v>8268</v>
      </c>
      <c r="D8392" s="19" t="s">
        <v>23809</v>
      </c>
      <c r="E8392" s="19" t="s">
        <v>33975</v>
      </c>
      <c r="F8392" s="19" t="s">
        <v>36004</v>
      </c>
      <c r="G8392" s="18" t="str">
        <f>"07481"</f>
        <v>07481</v>
      </c>
      <c r="H8392" s="19" t="s">
        <v>36576</v>
      </c>
      <c r="I8392" s="20">
        <v>20.545999999999999</v>
      </c>
      <c r="J8392" s="44" t="s">
        <v>8</v>
      </c>
      <c r="K8392" s="23" t="s">
        <v>8</v>
      </c>
      <c r="L8392" s="23" t="s">
        <v>8</v>
      </c>
      <c r="M8392" s="23" t="s">
        <v>8</v>
      </c>
    </row>
    <row r="8393" spans="1:13" s="21" customFormat="1" x14ac:dyDescent="0.25">
      <c r="A8393" s="22" t="s">
        <v>8</v>
      </c>
      <c r="B8393" s="18" t="str">
        <f>"315377"</f>
        <v>315377</v>
      </c>
      <c r="C8393" s="19" t="s">
        <v>8269</v>
      </c>
      <c r="D8393" s="19" t="s">
        <v>23810</v>
      </c>
      <c r="E8393" s="19" t="s">
        <v>31337</v>
      </c>
      <c r="F8393" s="19" t="s">
        <v>36004</v>
      </c>
      <c r="G8393" s="18" t="str">
        <f>"07631"</f>
        <v>07631</v>
      </c>
      <c r="H8393" s="19" t="s">
        <v>36576</v>
      </c>
      <c r="I8393" s="20">
        <v>19.367000000000001</v>
      </c>
      <c r="J8393" s="44" t="s">
        <v>8</v>
      </c>
      <c r="K8393" s="23" t="s">
        <v>8</v>
      </c>
      <c r="L8393" s="23" t="s">
        <v>8</v>
      </c>
      <c r="M8393" s="23" t="s">
        <v>8</v>
      </c>
    </row>
    <row r="8394" spans="1:13" s="21" customFormat="1" x14ac:dyDescent="0.25">
      <c r="A8394" s="22" t="s">
        <v>8</v>
      </c>
      <c r="B8394" s="18" t="str">
        <f>"315378"</f>
        <v>315378</v>
      </c>
      <c r="C8394" s="19" t="s">
        <v>8270</v>
      </c>
      <c r="D8394" s="19" t="s">
        <v>23811</v>
      </c>
      <c r="E8394" s="19" t="s">
        <v>32101</v>
      </c>
      <c r="F8394" s="19" t="s">
        <v>36004</v>
      </c>
      <c r="G8394" s="18" t="str">
        <f>"07860"</f>
        <v>07860</v>
      </c>
      <c r="H8394" s="19" t="s">
        <v>36121</v>
      </c>
      <c r="I8394" s="20">
        <v>24.056999999999999</v>
      </c>
      <c r="J8394" s="44" t="s">
        <v>8</v>
      </c>
      <c r="K8394" s="23" t="s">
        <v>8</v>
      </c>
      <c r="L8394" s="23" t="s">
        <v>8</v>
      </c>
      <c r="M8394" s="23" t="s">
        <v>8</v>
      </c>
    </row>
    <row r="8395" spans="1:13" s="21" customFormat="1" x14ac:dyDescent="0.25">
      <c r="A8395" s="22" t="s">
        <v>8</v>
      </c>
      <c r="B8395" s="18" t="str">
        <f>"315381"</f>
        <v>315381</v>
      </c>
      <c r="C8395" s="19" t="s">
        <v>8271</v>
      </c>
      <c r="D8395" s="19" t="s">
        <v>23812</v>
      </c>
      <c r="E8395" s="19" t="s">
        <v>33962</v>
      </c>
      <c r="F8395" s="19" t="s">
        <v>36004</v>
      </c>
      <c r="G8395" s="18" t="str">
        <f>"08857"</f>
        <v>08857</v>
      </c>
      <c r="H8395" s="19" t="s">
        <v>36120</v>
      </c>
      <c r="I8395" s="20">
        <v>18.946000000000002</v>
      </c>
      <c r="J8395" s="44" t="s">
        <v>8</v>
      </c>
      <c r="K8395" s="23" t="s">
        <v>8</v>
      </c>
      <c r="L8395" s="23" t="s">
        <v>8</v>
      </c>
      <c r="M8395" s="23" t="s">
        <v>8</v>
      </c>
    </row>
    <row r="8396" spans="1:13" s="21" customFormat="1" x14ac:dyDescent="0.25">
      <c r="A8396" s="22" t="s">
        <v>8</v>
      </c>
      <c r="B8396" s="18" t="str">
        <f>"315383"</f>
        <v>315383</v>
      </c>
      <c r="C8396" s="19" t="s">
        <v>8272</v>
      </c>
      <c r="D8396" s="19" t="s">
        <v>23813</v>
      </c>
      <c r="E8396" s="19" t="s">
        <v>33976</v>
      </c>
      <c r="F8396" s="19" t="s">
        <v>36004</v>
      </c>
      <c r="G8396" s="18" t="str">
        <f>"07932"</f>
        <v>07932</v>
      </c>
      <c r="H8396" s="19" t="s">
        <v>32051</v>
      </c>
      <c r="I8396" s="20">
        <v>19.945</v>
      </c>
      <c r="J8396" s="44" t="s">
        <v>8</v>
      </c>
      <c r="K8396" s="23" t="s">
        <v>8</v>
      </c>
      <c r="L8396" s="23" t="s">
        <v>8</v>
      </c>
      <c r="M8396" s="23" t="s">
        <v>8</v>
      </c>
    </row>
    <row r="8397" spans="1:13" s="21" customFormat="1" x14ac:dyDescent="0.25">
      <c r="A8397" s="22" t="s">
        <v>8</v>
      </c>
      <c r="B8397" s="18" t="str">
        <f>"315384"</f>
        <v>315384</v>
      </c>
      <c r="C8397" s="19" t="s">
        <v>8273</v>
      </c>
      <c r="D8397" s="19" t="s">
        <v>23814</v>
      </c>
      <c r="E8397" s="19" t="s">
        <v>33977</v>
      </c>
      <c r="F8397" s="19" t="s">
        <v>36004</v>
      </c>
      <c r="G8397" s="18" t="str">
        <f>"08901"</f>
        <v>08901</v>
      </c>
      <c r="H8397" s="19" t="s">
        <v>36120</v>
      </c>
      <c r="I8397" s="20">
        <v>22.050999999999998</v>
      </c>
      <c r="J8397" s="44" t="s">
        <v>8</v>
      </c>
      <c r="K8397" s="23" t="s">
        <v>8</v>
      </c>
      <c r="L8397" s="23" t="s">
        <v>8</v>
      </c>
      <c r="M8397" s="23" t="s">
        <v>8</v>
      </c>
    </row>
    <row r="8398" spans="1:13" s="21" customFormat="1" x14ac:dyDescent="0.25">
      <c r="A8398" s="22" t="s">
        <v>8</v>
      </c>
      <c r="B8398" s="18" t="str">
        <f>"315386"</f>
        <v>315386</v>
      </c>
      <c r="C8398" s="19" t="s">
        <v>8274</v>
      </c>
      <c r="D8398" s="19" t="s">
        <v>23815</v>
      </c>
      <c r="E8398" s="19" t="s">
        <v>33978</v>
      </c>
      <c r="F8398" s="19" t="s">
        <v>36004</v>
      </c>
      <c r="G8398" s="18" t="str">
        <f>"07607"</f>
        <v>07607</v>
      </c>
      <c r="H8398" s="19" t="s">
        <v>36576</v>
      </c>
      <c r="I8398" s="20">
        <v>20.937000000000001</v>
      </c>
      <c r="J8398" s="44" t="s">
        <v>8</v>
      </c>
      <c r="K8398" s="23" t="s">
        <v>8</v>
      </c>
      <c r="L8398" s="23" t="s">
        <v>8</v>
      </c>
      <c r="M8398" s="23" t="s">
        <v>8</v>
      </c>
    </row>
    <row r="8399" spans="1:13" s="21" customFormat="1" x14ac:dyDescent="0.25">
      <c r="A8399" s="22" t="s">
        <v>8</v>
      </c>
      <c r="B8399" s="18" t="str">
        <f>"315387"</f>
        <v>315387</v>
      </c>
      <c r="C8399" s="19" t="s">
        <v>8275</v>
      </c>
      <c r="D8399" s="19" t="s">
        <v>23816</v>
      </c>
      <c r="E8399" s="19" t="s">
        <v>33917</v>
      </c>
      <c r="F8399" s="19" t="s">
        <v>36004</v>
      </c>
      <c r="G8399" s="18" t="str">
        <f>"07728"</f>
        <v>07728</v>
      </c>
      <c r="H8399" s="19" t="s">
        <v>32161</v>
      </c>
      <c r="I8399" s="20">
        <v>17.474</v>
      </c>
      <c r="J8399" s="44" t="s">
        <v>8</v>
      </c>
      <c r="K8399" s="23" t="s">
        <v>8</v>
      </c>
      <c r="L8399" s="23" t="s">
        <v>8</v>
      </c>
      <c r="M8399" s="23" t="s">
        <v>8</v>
      </c>
    </row>
    <row r="8400" spans="1:13" s="21" customFormat="1" x14ac:dyDescent="0.25">
      <c r="A8400" s="22" t="s">
        <v>8</v>
      </c>
      <c r="B8400" s="18" t="str">
        <f>"315388"</f>
        <v>315388</v>
      </c>
      <c r="C8400" s="19" t="s">
        <v>8276</v>
      </c>
      <c r="D8400" s="19" t="s">
        <v>23817</v>
      </c>
      <c r="E8400" s="19" t="s">
        <v>33979</v>
      </c>
      <c r="F8400" s="19" t="s">
        <v>36004</v>
      </c>
      <c r="G8400" s="18" t="str">
        <f>"07512"</f>
        <v>07512</v>
      </c>
      <c r="H8400" s="19" t="s">
        <v>33893</v>
      </c>
      <c r="I8400" s="20">
        <v>16.311</v>
      </c>
      <c r="J8400" s="44" t="s">
        <v>8</v>
      </c>
      <c r="K8400" s="23" t="s">
        <v>8</v>
      </c>
      <c r="L8400" s="23" t="s">
        <v>8</v>
      </c>
      <c r="M8400" s="23" t="s">
        <v>8</v>
      </c>
    </row>
    <row r="8401" spans="1:13" s="21" customFormat="1" x14ac:dyDescent="0.25">
      <c r="A8401" s="22" t="s">
        <v>8</v>
      </c>
      <c r="B8401" s="18" t="str">
        <f>"315389"</f>
        <v>315389</v>
      </c>
      <c r="C8401" s="19" t="s">
        <v>8277</v>
      </c>
      <c r="D8401" s="19" t="s">
        <v>23818</v>
      </c>
      <c r="E8401" s="19" t="s">
        <v>31249</v>
      </c>
      <c r="F8401" s="19" t="s">
        <v>36004</v>
      </c>
      <c r="G8401" s="18" t="str">
        <f>"07042"</f>
        <v>07042</v>
      </c>
      <c r="H8401" s="19" t="s">
        <v>31458</v>
      </c>
      <c r="I8401" s="20">
        <v>20.497</v>
      </c>
      <c r="J8401" s="44" t="s">
        <v>8</v>
      </c>
      <c r="K8401" s="23" t="s">
        <v>8</v>
      </c>
      <c r="L8401" s="23" t="s">
        <v>8</v>
      </c>
      <c r="M8401" s="23" t="s">
        <v>8</v>
      </c>
    </row>
    <row r="8402" spans="1:13" s="21" customFormat="1" x14ac:dyDescent="0.25">
      <c r="A8402" s="22" t="s">
        <v>8</v>
      </c>
      <c r="B8402" s="18" t="str">
        <f>"315390"</f>
        <v>315390</v>
      </c>
      <c r="C8402" s="19" t="s">
        <v>8278</v>
      </c>
      <c r="D8402" s="19" t="s">
        <v>23819</v>
      </c>
      <c r="E8402" s="19" t="s">
        <v>33895</v>
      </c>
      <c r="F8402" s="19" t="s">
        <v>36004</v>
      </c>
      <c r="G8402" s="18" t="str">
        <f>"07016"</f>
        <v>07016</v>
      </c>
      <c r="H8402" s="19" t="s">
        <v>33554</v>
      </c>
      <c r="I8402" s="20">
        <v>21.466000000000001</v>
      </c>
      <c r="J8402" s="44" t="s">
        <v>8</v>
      </c>
      <c r="K8402" s="23" t="s">
        <v>8</v>
      </c>
      <c r="L8402" s="23" t="s">
        <v>8</v>
      </c>
      <c r="M8402" s="23" t="s">
        <v>8</v>
      </c>
    </row>
    <row r="8403" spans="1:13" s="21" customFormat="1" x14ac:dyDescent="0.25">
      <c r="A8403" s="22" t="s">
        <v>8</v>
      </c>
      <c r="B8403" s="18" t="str">
        <f>"315392"</f>
        <v>315392</v>
      </c>
      <c r="C8403" s="19" t="s">
        <v>8279</v>
      </c>
      <c r="D8403" s="19" t="s">
        <v>23820</v>
      </c>
      <c r="E8403" s="19" t="s">
        <v>31416</v>
      </c>
      <c r="F8403" s="19" t="s">
        <v>36004</v>
      </c>
      <c r="G8403" s="18" t="str">
        <f>"07003"</f>
        <v>07003</v>
      </c>
      <c r="H8403" s="19" t="s">
        <v>31458</v>
      </c>
      <c r="I8403" s="20">
        <v>19.829999999999998</v>
      </c>
      <c r="J8403" s="44" t="s">
        <v>8</v>
      </c>
      <c r="K8403" s="23" t="s">
        <v>8</v>
      </c>
      <c r="L8403" s="23" t="s">
        <v>8</v>
      </c>
      <c r="M8403" s="23" t="s">
        <v>8</v>
      </c>
    </row>
    <row r="8404" spans="1:13" s="21" customFormat="1" x14ac:dyDescent="0.25">
      <c r="A8404" s="22" t="s">
        <v>8</v>
      </c>
      <c r="B8404" s="18" t="str">
        <f>"315393"</f>
        <v>315393</v>
      </c>
      <c r="C8404" s="19" t="s">
        <v>8280</v>
      </c>
      <c r="D8404" s="19" t="s">
        <v>23821</v>
      </c>
      <c r="E8404" s="19" t="s">
        <v>31494</v>
      </c>
      <c r="F8404" s="19" t="s">
        <v>36004</v>
      </c>
      <c r="G8404" s="18" t="str">
        <f>"07103"</f>
        <v>07103</v>
      </c>
      <c r="H8404" s="19" t="s">
        <v>31458</v>
      </c>
      <c r="I8404" s="20">
        <v>18.79</v>
      </c>
      <c r="J8404" s="44" t="s">
        <v>8</v>
      </c>
      <c r="K8404" s="23" t="s">
        <v>8</v>
      </c>
      <c r="L8404" s="23" t="s">
        <v>8</v>
      </c>
      <c r="M8404" s="23" t="s">
        <v>8</v>
      </c>
    </row>
    <row r="8405" spans="1:13" s="21" customFormat="1" x14ac:dyDescent="0.25">
      <c r="A8405" s="22" t="s">
        <v>8</v>
      </c>
      <c r="B8405" s="18" t="str">
        <f>"315394"</f>
        <v>315394</v>
      </c>
      <c r="C8405" s="19" t="s">
        <v>8281</v>
      </c>
      <c r="D8405" s="19" t="s">
        <v>23822</v>
      </c>
      <c r="E8405" s="19" t="s">
        <v>33980</v>
      </c>
      <c r="F8405" s="19" t="s">
        <v>36004</v>
      </c>
      <c r="G8405" s="18" t="str">
        <f>"08226"</f>
        <v>08226</v>
      </c>
      <c r="H8405" s="19" t="s">
        <v>33968</v>
      </c>
      <c r="I8405" s="20">
        <v>18.045999999999999</v>
      </c>
      <c r="J8405" s="44" t="s">
        <v>8</v>
      </c>
      <c r="K8405" s="23" t="s">
        <v>8</v>
      </c>
      <c r="L8405" s="23" t="s">
        <v>8</v>
      </c>
      <c r="M8405" s="23" t="s">
        <v>8</v>
      </c>
    </row>
    <row r="8406" spans="1:13" s="21" customFormat="1" x14ac:dyDescent="0.25">
      <c r="A8406" s="22" t="s">
        <v>8</v>
      </c>
      <c r="B8406" s="18" t="str">
        <f>"315396"</f>
        <v>315396</v>
      </c>
      <c r="C8406" s="19" t="s">
        <v>8282</v>
      </c>
      <c r="D8406" s="19" t="s">
        <v>23823</v>
      </c>
      <c r="E8406" s="19" t="s">
        <v>33609</v>
      </c>
      <c r="F8406" s="19" t="s">
        <v>36004</v>
      </c>
      <c r="G8406" s="18" t="str">
        <f>"08302"</f>
        <v>08302</v>
      </c>
      <c r="H8406" s="19" t="s">
        <v>32766</v>
      </c>
      <c r="I8406" s="20">
        <v>18.998000000000001</v>
      </c>
      <c r="J8406" s="44" t="s">
        <v>8</v>
      </c>
      <c r="K8406" s="23" t="s">
        <v>8</v>
      </c>
      <c r="L8406" s="23" t="s">
        <v>8</v>
      </c>
      <c r="M8406" s="23" t="s">
        <v>8</v>
      </c>
    </row>
    <row r="8407" spans="1:13" s="21" customFormat="1" x14ac:dyDescent="0.25">
      <c r="A8407" s="22" t="s">
        <v>8</v>
      </c>
      <c r="B8407" s="18" t="str">
        <f>"315397"</f>
        <v>315397</v>
      </c>
      <c r="C8407" s="19" t="s">
        <v>8283</v>
      </c>
      <c r="D8407" s="19" t="s">
        <v>23824</v>
      </c>
      <c r="E8407" s="19" t="s">
        <v>33981</v>
      </c>
      <c r="F8407" s="19" t="s">
        <v>36004</v>
      </c>
      <c r="G8407" s="18" t="str">
        <f>"08720"</f>
        <v>08720</v>
      </c>
      <c r="H8407" s="19" t="s">
        <v>32161</v>
      </c>
      <c r="I8407" s="20">
        <v>23.358000000000001</v>
      </c>
      <c r="J8407" s="44" t="s">
        <v>8</v>
      </c>
      <c r="K8407" s="23" t="s">
        <v>8</v>
      </c>
      <c r="L8407" s="23" t="s">
        <v>8</v>
      </c>
      <c r="M8407" s="23" t="s">
        <v>8</v>
      </c>
    </row>
    <row r="8408" spans="1:13" s="21" customFormat="1" x14ac:dyDescent="0.25">
      <c r="A8408" s="22" t="s">
        <v>8</v>
      </c>
      <c r="B8408" s="18" t="str">
        <f>"315402"</f>
        <v>315402</v>
      </c>
      <c r="C8408" s="19" t="s">
        <v>8284</v>
      </c>
      <c r="D8408" s="19" t="s">
        <v>23825</v>
      </c>
      <c r="E8408" s="19" t="s">
        <v>33817</v>
      </c>
      <c r="F8408" s="19" t="s">
        <v>36004</v>
      </c>
      <c r="G8408" s="18" t="str">
        <f>"07630"</f>
        <v>07630</v>
      </c>
      <c r="H8408" s="19" t="s">
        <v>36576</v>
      </c>
      <c r="I8408" s="20">
        <v>19.52</v>
      </c>
      <c r="J8408" s="44" t="s">
        <v>8</v>
      </c>
      <c r="K8408" s="23" t="s">
        <v>8</v>
      </c>
      <c r="L8408" s="23" t="s">
        <v>8</v>
      </c>
      <c r="M8408" s="23" t="s">
        <v>8</v>
      </c>
    </row>
    <row r="8409" spans="1:13" s="21" customFormat="1" x14ac:dyDescent="0.25">
      <c r="A8409" s="22" t="s">
        <v>8</v>
      </c>
      <c r="B8409" s="18" t="str">
        <f>"315404"</f>
        <v>315404</v>
      </c>
      <c r="C8409" s="19" t="s">
        <v>8285</v>
      </c>
      <c r="D8409" s="19" t="s">
        <v>23826</v>
      </c>
      <c r="E8409" s="19" t="s">
        <v>33982</v>
      </c>
      <c r="F8409" s="19" t="s">
        <v>36004</v>
      </c>
      <c r="G8409" s="18" t="str">
        <f>"08108"</f>
        <v>08108</v>
      </c>
      <c r="H8409" s="19" t="s">
        <v>30910</v>
      </c>
      <c r="I8409" s="20">
        <v>18.53</v>
      </c>
      <c r="J8409" s="44" t="s">
        <v>8</v>
      </c>
      <c r="K8409" s="23" t="s">
        <v>8</v>
      </c>
      <c r="L8409" s="23" t="s">
        <v>8</v>
      </c>
      <c r="M8409" s="23" t="s">
        <v>8</v>
      </c>
    </row>
    <row r="8410" spans="1:13" s="21" customFormat="1" x14ac:dyDescent="0.25">
      <c r="A8410" s="22" t="s">
        <v>8</v>
      </c>
      <c r="B8410" s="18" t="str">
        <f>"315405"</f>
        <v>315405</v>
      </c>
      <c r="C8410" s="19" t="s">
        <v>8286</v>
      </c>
      <c r="D8410" s="19" t="s">
        <v>23827</v>
      </c>
      <c r="E8410" s="19" t="s">
        <v>33983</v>
      </c>
      <c r="F8410" s="19" t="s">
        <v>36004</v>
      </c>
      <c r="G8410" s="18" t="str">
        <f>"08020"</f>
        <v>08020</v>
      </c>
      <c r="H8410" s="19" t="s">
        <v>33089</v>
      </c>
      <c r="I8410" s="20">
        <v>18.690000000000001</v>
      </c>
      <c r="J8410" s="44" t="s">
        <v>8</v>
      </c>
      <c r="K8410" s="23" t="s">
        <v>8</v>
      </c>
      <c r="L8410" s="23" t="s">
        <v>8</v>
      </c>
      <c r="M8410" s="23" t="s">
        <v>8</v>
      </c>
    </row>
    <row r="8411" spans="1:13" s="21" customFormat="1" x14ac:dyDescent="0.25">
      <c r="A8411" s="22" t="s">
        <v>8</v>
      </c>
      <c r="B8411" s="18" t="str">
        <f>"315409"</f>
        <v>315409</v>
      </c>
      <c r="C8411" s="19" t="s">
        <v>8287</v>
      </c>
      <c r="D8411" s="19" t="s">
        <v>23828</v>
      </c>
      <c r="E8411" s="19" t="s">
        <v>32101</v>
      </c>
      <c r="F8411" s="19" t="s">
        <v>36004</v>
      </c>
      <c r="G8411" s="18" t="str">
        <f>"07860"</f>
        <v>07860</v>
      </c>
      <c r="H8411" s="19" t="s">
        <v>36121</v>
      </c>
      <c r="I8411" s="20">
        <v>22.169</v>
      </c>
      <c r="J8411" s="44" t="s">
        <v>8</v>
      </c>
      <c r="K8411" s="23" t="s">
        <v>8</v>
      </c>
      <c r="L8411" s="23" t="s">
        <v>8</v>
      </c>
      <c r="M8411" s="23" t="s">
        <v>8</v>
      </c>
    </row>
    <row r="8412" spans="1:13" s="21" customFormat="1" x14ac:dyDescent="0.25">
      <c r="A8412" s="22" t="s">
        <v>8</v>
      </c>
      <c r="B8412" s="18" t="str">
        <f>"315413"</f>
        <v>315413</v>
      </c>
      <c r="C8412" s="19" t="s">
        <v>8288</v>
      </c>
      <c r="D8412" s="19" t="s">
        <v>23829</v>
      </c>
      <c r="E8412" s="19" t="s">
        <v>33892</v>
      </c>
      <c r="F8412" s="19" t="s">
        <v>36004</v>
      </c>
      <c r="G8412" s="18" t="str">
        <f>"07305"</f>
        <v>07305</v>
      </c>
      <c r="H8412" s="19" t="s">
        <v>31588</v>
      </c>
      <c r="I8412" s="20">
        <v>23.896000000000001</v>
      </c>
      <c r="J8412" s="44" t="s">
        <v>8</v>
      </c>
      <c r="K8412" s="23" t="s">
        <v>8</v>
      </c>
      <c r="L8412" s="23" t="s">
        <v>8</v>
      </c>
      <c r="M8412" s="23" t="s">
        <v>8</v>
      </c>
    </row>
    <row r="8413" spans="1:13" s="21" customFormat="1" x14ac:dyDescent="0.25">
      <c r="A8413" s="22" t="s">
        <v>8</v>
      </c>
      <c r="B8413" s="18" t="str">
        <f>"315414"</f>
        <v>315414</v>
      </c>
      <c r="C8413" s="19" t="s">
        <v>8289</v>
      </c>
      <c r="D8413" s="19" t="s">
        <v>23830</v>
      </c>
      <c r="E8413" s="19" t="s">
        <v>33984</v>
      </c>
      <c r="F8413" s="19" t="s">
        <v>36004</v>
      </c>
      <c r="G8413" s="18" t="str">
        <f>"07753"</f>
        <v>07753</v>
      </c>
      <c r="H8413" s="19" t="s">
        <v>32161</v>
      </c>
      <c r="I8413" s="20">
        <v>17.353000000000002</v>
      </c>
      <c r="J8413" s="44" t="s">
        <v>8</v>
      </c>
      <c r="K8413" s="23" t="s">
        <v>8</v>
      </c>
      <c r="L8413" s="23" t="s">
        <v>8</v>
      </c>
      <c r="M8413" s="23" t="s">
        <v>8</v>
      </c>
    </row>
    <row r="8414" spans="1:13" s="21" customFormat="1" x14ac:dyDescent="0.25">
      <c r="A8414" s="22" t="s">
        <v>8</v>
      </c>
      <c r="B8414" s="18" t="str">
        <f>"315416"</f>
        <v>315416</v>
      </c>
      <c r="C8414" s="19" t="s">
        <v>8290</v>
      </c>
      <c r="D8414" s="19" t="s">
        <v>23831</v>
      </c>
      <c r="E8414" s="19" t="s">
        <v>33880</v>
      </c>
      <c r="F8414" s="19" t="s">
        <v>36004</v>
      </c>
      <c r="G8414" s="18" t="str">
        <f>"07052"</f>
        <v>07052</v>
      </c>
      <c r="H8414" s="19" t="s">
        <v>31458</v>
      </c>
      <c r="I8414" s="20">
        <v>19.132999999999999</v>
      </c>
      <c r="J8414" s="44" t="s">
        <v>8</v>
      </c>
      <c r="K8414" s="23" t="s">
        <v>8</v>
      </c>
      <c r="L8414" s="23" t="s">
        <v>8</v>
      </c>
      <c r="M8414" s="23" t="s">
        <v>8</v>
      </c>
    </row>
    <row r="8415" spans="1:13" s="21" customFormat="1" x14ac:dyDescent="0.25">
      <c r="A8415" s="22" t="s">
        <v>8</v>
      </c>
      <c r="B8415" s="18" t="str">
        <f>"315417"</f>
        <v>315417</v>
      </c>
      <c r="C8415" s="19" t="s">
        <v>8291</v>
      </c>
      <c r="D8415" s="19" t="s">
        <v>23832</v>
      </c>
      <c r="E8415" s="19" t="s">
        <v>33962</v>
      </c>
      <c r="F8415" s="19" t="s">
        <v>36004</v>
      </c>
      <c r="G8415" s="18" t="str">
        <f>"08857"</f>
        <v>08857</v>
      </c>
      <c r="H8415" s="19" t="s">
        <v>36120</v>
      </c>
      <c r="I8415" s="20">
        <v>17.791</v>
      </c>
      <c r="J8415" s="44" t="s">
        <v>8</v>
      </c>
      <c r="K8415" s="23" t="s">
        <v>8</v>
      </c>
      <c r="L8415" s="23" t="s">
        <v>8</v>
      </c>
      <c r="M8415" s="23" t="s">
        <v>8</v>
      </c>
    </row>
    <row r="8416" spans="1:13" s="21" customFormat="1" x14ac:dyDescent="0.25">
      <c r="A8416" s="22" t="s">
        <v>8</v>
      </c>
      <c r="B8416" s="18" t="str">
        <f>"315418"</f>
        <v>315418</v>
      </c>
      <c r="C8416" s="19" t="s">
        <v>8292</v>
      </c>
      <c r="D8416" s="19" t="s">
        <v>23833</v>
      </c>
      <c r="E8416" s="19" t="s">
        <v>33985</v>
      </c>
      <c r="F8416" s="19" t="s">
        <v>36004</v>
      </c>
      <c r="G8416" s="18" t="str">
        <f>"08053"</f>
        <v>08053</v>
      </c>
      <c r="H8416" s="19" t="s">
        <v>31369</v>
      </c>
      <c r="I8416" s="20">
        <v>16.114999999999998</v>
      </c>
      <c r="J8416" s="44" t="s">
        <v>8</v>
      </c>
      <c r="K8416" s="23" t="s">
        <v>8</v>
      </c>
      <c r="L8416" s="23" t="s">
        <v>8</v>
      </c>
      <c r="M8416" s="23" t="s">
        <v>8</v>
      </c>
    </row>
    <row r="8417" spans="1:13" s="21" customFormat="1" x14ac:dyDescent="0.25">
      <c r="A8417" s="22" t="s">
        <v>8</v>
      </c>
      <c r="B8417" s="18" t="str">
        <f>"315419"</f>
        <v>315419</v>
      </c>
      <c r="C8417" s="19" t="s">
        <v>8293</v>
      </c>
      <c r="D8417" s="19" t="s">
        <v>23834</v>
      </c>
      <c r="E8417" s="19" t="s">
        <v>33120</v>
      </c>
      <c r="F8417" s="19" t="s">
        <v>36004</v>
      </c>
      <c r="G8417" s="18" t="str">
        <f>"08807"</f>
        <v>08807</v>
      </c>
      <c r="H8417" s="19" t="s">
        <v>32705</v>
      </c>
      <c r="I8417" s="20">
        <v>17.609000000000002</v>
      </c>
      <c r="J8417" s="44" t="s">
        <v>8</v>
      </c>
      <c r="K8417" s="23" t="s">
        <v>8</v>
      </c>
      <c r="L8417" s="23" t="s">
        <v>8</v>
      </c>
      <c r="M8417" s="23" t="s">
        <v>8</v>
      </c>
    </row>
    <row r="8418" spans="1:13" s="21" customFormat="1" x14ac:dyDescent="0.25">
      <c r="A8418" s="22" t="s">
        <v>8</v>
      </c>
      <c r="B8418" s="18" t="str">
        <f>"315421"</f>
        <v>315421</v>
      </c>
      <c r="C8418" s="19" t="s">
        <v>8294</v>
      </c>
      <c r="D8418" s="19" t="s">
        <v>23835</v>
      </c>
      <c r="E8418" s="19" t="s">
        <v>33950</v>
      </c>
      <c r="F8418" s="19" t="s">
        <v>36004</v>
      </c>
      <c r="G8418" s="18" t="str">
        <f>"08753"</f>
        <v>08753</v>
      </c>
      <c r="H8418" s="19" t="s">
        <v>36577</v>
      </c>
      <c r="I8418" s="20">
        <v>18.309999999999999</v>
      </c>
      <c r="J8418" s="44" t="s">
        <v>8</v>
      </c>
      <c r="K8418" s="23" t="s">
        <v>8</v>
      </c>
      <c r="L8418" s="23" t="s">
        <v>8</v>
      </c>
      <c r="M8418" s="23" t="s">
        <v>8</v>
      </c>
    </row>
    <row r="8419" spans="1:13" s="21" customFormat="1" x14ac:dyDescent="0.25">
      <c r="A8419" s="22" t="s">
        <v>8</v>
      </c>
      <c r="B8419" s="18" t="str">
        <f>"315422"</f>
        <v>315422</v>
      </c>
      <c r="C8419" s="19" t="s">
        <v>8295</v>
      </c>
      <c r="D8419" s="19" t="s">
        <v>23836</v>
      </c>
      <c r="E8419" s="19" t="s">
        <v>33890</v>
      </c>
      <c r="F8419" s="19" t="s">
        <v>36004</v>
      </c>
      <c r="G8419" s="18" t="str">
        <f>"07840"</f>
        <v>07840</v>
      </c>
      <c r="H8419" s="19" t="s">
        <v>31025</v>
      </c>
      <c r="I8419" s="20">
        <v>21.646000000000001</v>
      </c>
      <c r="J8419" s="44" t="s">
        <v>8</v>
      </c>
      <c r="K8419" s="23" t="s">
        <v>8</v>
      </c>
      <c r="L8419" s="23" t="s">
        <v>8</v>
      </c>
      <c r="M8419" s="23" t="s">
        <v>8</v>
      </c>
    </row>
    <row r="8420" spans="1:13" s="21" customFormat="1" x14ac:dyDescent="0.25">
      <c r="A8420" s="22" t="s">
        <v>8</v>
      </c>
      <c r="B8420" s="18" t="str">
        <f>"315423"</f>
        <v>315423</v>
      </c>
      <c r="C8420" s="19" t="s">
        <v>8296</v>
      </c>
      <c r="D8420" s="19" t="s">
        <v>23837</v>
      </c>
      <c r="E8420" s="19" t="s">
        <v>30804</v>
      </c>
      <c r="F8420" s="19" t="s">
        <v>36004</v>
      </c>
      <c r="G8420" s="18" t="str">
        <f>"08619"</f>
        <v>08619</v>
      </c>
      <c r="H8420" s="19" t="s">
        <v>34991</v>
      </c>
      <c r="I8420" s="20">
        <v>15.204000000000001</v>
      </c>
      <c r="J8420" s="44" t="s">
        <v>8</v>
      </c>
      <c r="K8420" s="23" t="s">
        <v>8</v>
      </c>
      <c r="L8420" s="23" t="s">
        <v>8</v>
      </c>
      <c r="M8420" s="23" t="s">
        <v>8</v>
      </c>
    </row>
    <row r="8421" spans="1:13" s="21" customFormat="1" x14ac:dyDescent="0.25">
      <c r="A8421" s="22" t="s">
        <v>8</v>
      </c>
      <c r="B8421" s="18" t="str">
        <f>"315425"</f>
        <v>315425</v>
      </c>
      <c r="C8421" s="19" t="s">
        <v>8297</v>
      </c>
      <c r="D8421" s="19" t="s">
        <v>23838</v>
      </c>
      <c r="E8421" s="19" t="s">
        <v>33986</v>
      </c>
      <c r="F8421" s="19" t="s">
        <v>36004</v>
      </c>
      <c r="G8421" s="18" t="str">
        <f>"08844"</f>
        <v>08844</v>
      </c>
      <c r="H8421" s="19" t="s">
        <v>32705</v>
      </c>
      <c r="I8421" s="20">
        <v>18.359000000000002</v>
      </c>
      <c r="J8421" s="44" t="s">
        <v>8</v>
      </c>
      <c r="K8421" s="23" t="s">
        <v>8</v>
      </c>
      <c r="L8421" s="23" t="s">
        <v>8</v>
      </c>
      <c r="M8421" s="23" t="s">
        <v>8</v>
      </c>
    </row>
    <row r="8422" spans="1:13" s="21" customFormat="1" x14ac:dyDescent="0.25">
      <c r="A8422" s="22" t="s">
        <v>8</v>
      </c>
      <c r="B8422" s="18" t="str">
        <f>"315426"</f>
        <v>315426</v>
      </c>
      <c r="C8422" s="19" t="s">
        <v>8298</v>
      </c>
      <c r="D8422" s="19" t="s">
        <v>23839</v>
      </c>
      <c r="E8422" s="19" t="s">
        <v>33878</v>
      </c>
      <c r="F8422" s="19" t="s">
        <v>36004</v>
      </c>
      <c r="G8422" s="18" t="str">
        <f>"07652"</f>
        <v>07652</v>
      </c>
      <c r="H8422" s="19" t="s">
        <v>36576</v>
      </c>
      <c r="I8422" s="20">
        <v>20.042000000000002</v>
      </c>
      <c r="J8422" s="44" t="s">
        <v>8</v>
      </c>
      <c r="K8422" s="23" t="s">
        <v>8</v>
      </c>
      <c r="L8422" s="23" t="s">
        <v>8</v>
      </c>
      <c r="M8422" s="23" t="s">
        <v>8</v>
      </c>
    </row>
    <row r="8423" spans="1:13" s="21" customFormat="1" x14ac:dyDescent="0.25">
      <c r="A8423" s="22" t="s">
        <v>8</v>
      </c>
      <c r="B8423" s="18" t="str">
        <f>"315427"</f>
        <v>315427</v>
      </c>
      <c r="C8423" s="19" t="s">
        <v>8299</v>
      </c>
      <c r="D8423" s="19" t="s">
        <v>23840</v>
      </c>
      <c r="E8423" s="19" t="s">
        <v>33987</v>
      </c>
      <c r="F8423" s="19" t="s">
        <v>36004</v>
      </c>
      <c r="G8423" s="18" t="str">
        <f>"08071"</f>
        <v>08071</v>
      </c>
      <c r="H8423" s="19" t="s">
        <v>33089</v>
      </c>
      <c r="I8423" s="20">
        <v>18.007999999999999</v>
      </c>
      <c r="J8423" s="44" t="s">
        <v>8</v>
      </c>
      <c r="K8423" s="23" t="s">
        <v>8</v>
      </c>
      <c r="L8423" s="23" t="s">
        <v>8</v>
      </c>
      <c r="M8423" s="23" t="s">
        <v>8</v>
      </c>
    </row>
    <row r="8424" spans="1:13" s="21" customFormat="1" x14ac:dyDescent="0.25">
      <c r="A8424" s="22" t="s">
        <v>8</v>
      </c>
      <c r="B8424" s="18" t="str">
        <f>"315429"</f>
        <v>315429</v>
      </c>
      <c r="C8424" s="19" t="s">
        <v>8300</v>
      </c>
      <c r="D8424" s="19" t="s">
        <v>23841</v>
      </c>
      <c r="E8424" s="19" t="s">
        <v>32076</v>
      </c>
      <c r="F8424" s="19" t="s">
        <v>36004</v>
      </c>
      <c r="G8424" s="18" t="str">
        <f>"07832"</f>
        <v>07832</v>
      </c>
      <c r="H8424" s="19" t="s">
        <v>31025</v>
      </c>
      <c r="I8424" s="20">
        <v>18.420000000000002</v>
      </c>
      <c r="J8424" s="44" t="s">
        <v>8</v>
      </c>
      <c r="K8424" s="23" t="s">
        <v>8</v>
      </c>
      <c r="L8424" s="23" t="s">
        <v>8</v>
      </c>
      <c r="M8424" s="23" t="s">
        <v>8</v>
      </c>
    </row>
    <row r="8425" spans="1:13" s="21" customFormat="1" x14ac:dyDescent="0.25">
      <c r="A8425" s="22" t="s">
        <v>8</v>
      </c>
      <c r="B8425" s="18" t="str">
        <f>"315431"</f>
        <v>315431</v>
      </c>
      <c r="C8425" s="19" t="s">
        <v>8301</v>
      </c>
      <c r="D8425" s="19" t="s">
        <v>23842</v>
      </c>
      <c r="E8425" s="19" t="s">
        <v>33988</v>
      </c>
      <c r="F8425" s="19" t="s">
        <v>36004</v>
      </c>
      <c r="G8425" s="18" t="str">
        <f>"07002"</f>
        <v>07002</v>
      </c>
      <c r="H8425" s="19" t="s">
        <v>31588</v>
      </c>
      <c r="I8425" s="20">
        <v>20.170999999999999</v>
      </c>
      <c r="J8425" s="44" t="s">
        <v>8</v>
      </c>
      <c r="K8425" s="23" t="s">
        <v>8</v>
      </c>
      <c r="L8425" s="23" t="s">
        <v>8</v>
      </c>
      <c r="M8425" s="23" t="s">
        <v>8</v>
      </c>
    </row>
    <row r="8426" spans="1:13" s="21" customFormat="1" x14ac:dyDescent="0.25">
      <c r="A8426" s="22" t="s">
        <v>8</v>
      </c>
      <c r="B8426" s="18" t="str">
        <f>"315433"</f>
        <v>315433</v>
      </c>
      <c r="C8426" s="19" t="s">
        <v>8302</v>
      </c>
      <c r="D8426" s="19" t="s">
        <v>23843</v>
      </c>
      <c r="E8426" s="19" t="s">
        <v>33989</v>
      </c>
      <c r="F8426" s="19" t="s">
        <v>36004</v>
      </c>
      <c r="G8426" s="18" t="str">
        <f>"08867"</f>
        <v>08867</v>
      </c>
      <c r="H8426" s="19" t="s">
        <v>36578</v>
      </c>
      <c r="I8426" s="20">
        <v>17.68</v>
      </c>
      <c r="J8426" s="44" t="s">
        <v>8</v>
      </c>
      <c r="K8426" s="23" t="s">
        <v>8</v>
      </c>
      <c r="L8426" s="23" t="s">
        <v>8</v>
      </c>
      <c r="M8426" s="23" t="s">
        <v>8</v>
      </c>
    </row>
    <row r="8427" spans="1:13" s="21" customFormat="1" x14ac:dyDescent="0.25">
      <c r="A8427" s="22" t="s">
        <v>8</v>
      </c>
      <c r="B8427" s="18" t="str">
        <f>"315434"</f>
        <v>315434</v>
      </c>
      <c r="C8427" s="19" t="s">
        <v>8303</v>
      </c>
      <c r="D8427" s="19" t="s">
        <v>23844</v>
      </c>
      <c r="E8427" s="19" t="s">
        <v>33918</v>
      </c>
      <c r="F8427" s="19" t="s">
        <v>36004</v>
      </c>
      <c r="G8427" s="18" t="str">
        <f>"07450"</f>
        <v>07450</v>
      </c>
      <c r="H8427" s="19" t="s">
        <v>36576</v>
      </c>
      <c r="I8427" s="20">
        <v>21.734999999999999</v>
      </c>
      <c r="J8427" s="44" t="s">
        <v>8</v>
      </c>
      <c r="K8427" s="23" t="s">
        <v>8</v>
      </c>
      <c r="L8427" s="23" t="s">
        <v>8</v>
      </c>
      <c r="M8427" s="23" t="s">
        <v>8</v>
      </c>
    </row>
    <row r="8428" spans="1:13" s="21" customFormat="1" x14ac:dyDescent="0.25">
      <c r="A8428" s="22" t="s">
        <v>8</v>
      </c>
      <c r="B8428" s="18" t="str">
        <f>"315435"</f>
        <v>315435</v>
      </c>
      <c r="C8428" s="19" t="s">
        <v>8304</v>
      </c>
      <c r="D8428" s="19" t="s">
        <v>23845</v>
      </c>
      <c r="E8428" s="19" t="s">
        <v>31249</v>
      </c>
      <c r="F8428" s="19" t="s">
        <v>36004</v>
      </c>
      <c r="G8428" s="18" t="str">
        <f>"07042"</f>
        <v>07042</v>
      </c>
      <c r="H8428" s="19" t="s">
        <v>31458</v>
      </c>
      <c r="I8428" s="20">
        <v>19.751000000000001</v>
      </c>
      <c r="J8428" s="44" t="s">
        <v>8</v>
      </c>
      <c r="K8428" s="23" t="s">
        <v>8</v>
      </c>
      <c r="L8428" s="23" t="s">
        <v>8</v>
      </c>
      <c r="M8428" s="23" t="s">
        <v>8</v>
      </c>
    </row>
    <row r="8429" spans="1:13" s="21" customFormat="1" x14ac:dyDescent="0.25">
      <c r="A8429" s="22" t="s">
        <v>8</v>
      </c>
      <c r="B8429" s="18" t="str">
        <f>"315436"</f>
        <v>315436</v>
      </c>
      <c r="C8429" s="19" t="s">
        <v>8305</v>
      </c>
      <c r="D8429" s="19" t="s">
        <v>23846</v>
      </c>
      <c r="E8429" s="19" t="s">
        <v>33990</v>
      </c>
      <c r="F8429" s="19" t="s">
        <v>36004</v>
      </c>
      <c r="G8429" s="18" t="str">
        <f>"07647"</f>
        <v>07647</v>
      </c>
      <c r="H8429" s="19" t="s">
        <v>36576</v>
      </c>
      <c r="I8429" s="20">
        <v>24.651</v>
      </c>
      <c r="J8429" s="44" t="s">
        <v>8</v>
      </c>
      <c r="K8429" s="23" t="s">
        <v>8</v>
      </c>
      <c r="L8429" s="23" t="s">
        <v>8</v>
      </c>
      <c r="M8429" s="23" t="s">
        <v>8</v>
      </c>
    </row>
    <row r="8430" spans="1:13" s="21" customFormat="1" x14ac:dyDescent="0.25">
      <c r="A8430" s="22" t="s">
        <v>8</v>
      </c>
      <c r="B8430" s="18" t="str">
        <f>"315437"</f>
        <v>315437</v>
      </c>
      <c r="C8430" s="19" t="s">
        <v>8306</v>
      </c>
      <c r="D8430" s="19" t="s">
        <v>23847</v>
      </c>
      <c r="E8430" s="19" t="s">
        <v>33991</v>
      </c>
      <c r="F8430" s="19" t="s">
        <v>36004</v>
      </c>
      <c r="G8430" s="18" t="str">
        <f>"07734"</f>
        <v>07734</v>
      </c>
      <c r="H8430" s="19" t="s">
        <v>32161</v>
      </c>
      <c r="I8430" s="20">
        <v>20.788</v>
      </c>
      <c r="J8430" s="44" t="s">
        <v>8</v>
      </c>
      <c r="K8430" s="23" t="s">
        <v>8</v>
      </c>
      <c r="L8430" s="23" t="s">
        <v>8</v>
      </c>
      <c r="M8430" s="23" t="s">
        <v>8</v>
      </c>
    </row>
    <row r="8431" spans="1:13" s="21" customFormat="1" x14ac:dyDescent="0.25">
      <c r="A8431" s="22" t="s">
        <v>8</v>
      </c>
      <c r="B8431" s="18" t="str">
        <f>"315438"</f>
        <v>315438</v>
      </c>
      <c r="C8431" s="19" t="s">
        <v>8307</v>
      </c>
      <c r="D8431" s="19" t="s">
        <v>23848</v>
      </c>
      <c r="E8431" s="19" t="s">
        <v>31967</v>
      </c>
      <c r="F8431" s="19" t="s">
        <v>36004</v>
      </c>
      <c r="G8431" s="18" t="str">
        <f>"07656"</f>
        <v>07656</v>
      </c>
      <c r="H8431" s="19" t="s">
        <v>36576</v>
      </c>
      <c r="I8431" s="20">
        <v>19.968</v>
      </c>
      <c r="J8431" s="44" t="s">
        <v>8</v>
      </c>
      <c r="K8431" s="23" t="s">
        <v>8</v>
      </c>
      <c r="L8431" s="23" t="s">
        <v>8</v>
      </c>
      <c r="M8431" s="23" t="s">
        <v>8</v>
      </c>
    </row>
    <row r="8432" spans="1:13" s="21" customFormat="1" x14ac:dyDescent="0.25">
      <c r="A8432" s="22" t="s">
        <v>8</v>
      </c>
      <c r="B8432" s="18" t="str">
        <f>"315439"</f>
        <v>315439</v>
      </c>
      <c r="C8432" s="19" t="s">
        <v>8308</v>
      </c>
      <c r="D8432" s="19" t="s">
        <v>23849</v>
      </c>
      <c r="E8432" s="19" t="s">
        <v>32101</v>
      </c>
      <c r="F8432" s="19" t="s">
        <v>36004</v>
      </c>
      <c r="G8432" s="18" t="str">
        <f>"07860"</f>
        <v>07860</v>
      </c>
      <c r="H8432" s="19" t="s">
        <v>36121</v>
      </c>
      <c r="I8432" s="20">
        <v>15.488</v>
      </c>
      <c r="J8432" s="44" t="s">
        <v>8</v>
      </c>
      <c r="K8432" s="23" t="s">
        <v>8</v>
      </c>
      <c r="L8432" s="23" t="s">
        <v>8</v>
      </c>
      <c r="M8432" s="23" t="s">
        <v>8</v>
      </c>
    </row>
    <row r="8433" spans="1:13" s="21" customFormat="1" x14ac:dyDescent="0.25">
      <c r="A8433" s="22" t="s">
        <v>8</v>
      </c>
      <c r="B8433" s="18" t="str">
        <f>"315441"</f>
        <v>315441</v>
      </c>
      <c r="C8433" s="19" t="s">
        <v>8309</v>
      </c>
      <c r="D8433" s="19" t="s">
        <v>23850</v>
      </c>
      <c r="E8433" s="19" t="s">
        <v>33992</v>
      </c>
      <c r="F8433" s="19" t="s">
        <v>36004</v>
      </c>
      <c r="G8433" s="18" t="str">
        <f>"07456"</f>
        <v>07456</v>
      </c>
      <c r="H8433" s="19" t="s">
        <v>33893</v>
      </c>
      <c r="I8433" s="20">
        <v>19.036999999999999</v>
      </c>
      <c r="J8433" s="44" t="s">
        <v>8</v>
      </c>
      <c r="K8433" s="23" t="s">
        <v>8</v>
      </c>
      <c r="L8433" s="23" t="s">
        <v>8</v>
      </c>
      <c r="M8433" s="23" t="s">
        <v>8</v>
      </c>
    </row>
    <row r="8434" spans="1:13" s="21" customFormat="1" x14ac:dyDescent="0.25">
      <c r="A8434" s="22" t="s">
        <v>8</v>
      </c>
      <c r="B8434" s="18" t="str">
        <f>"315442"</f>
        <v>315442</v>
      </c>
      <c r="C8434" s="19" t="s">
        <v>8310</v>
      </c>
      <c r="D8434" s="19" t="s">
        <v>23851</v>
      </c>
      <c r="E8434" s="19" t="s">
        <v>33874</v>
      </c>
      <c r="F8434" s="19" t="s">
        <v>36004</v>
      </c>
      <c r="G8434" s="18" t="str">
        <f>"07206"</f>
        <v>07206</v>
      </c>
      <c r="H8434" s="19" t="s">
        <v>33554</v>
      </c>
      <c r="I8434" s="20">
        <v>17.196000000000002</v>
      </c>
      <c r="J8434" s="44" t="s">
        <v>8</v>
      </c>
      <c r="K8434" s="23" t="s">
        <v>8</v>
      </c>
      <c r="L8434" s="23" t="s">
        <v>8</v>
      </c>
      <c r="M8434" s="23" t="s">
        <v>8</v>
      </c>
    </row>
    <row r="8435" spans="1:13" s="21" customFormat="1" x14ac:dyDescent="0.25">
      <c r="A8435" s="22" t="s">
        <v>8</v>
      </c>
      <c r="B8435" s="18" t="str">
        <f>"315445"</f>
        <v>315445</v>
      </c>
      <c r="C8435" s="19" t="s">
        <v>8311</v>
      </c>
      <c r="D8435" s="19" t="s">
        <v>23852</v>
      </c>
      <c r="E8435" s="19" t="s">
        <v>33120</v>
      </c>
      <c r="F8435" s="19" t="s">
        <v>36004</v>
      </c>
      <c r="G8435" s="18" t="str">
        <f>"08807"</f>
        <v>08807</v>
      </c>
      <c r="H8435" s="19" t="s">
        <v>32705</v>
      </c>
      <c r="I8435" s="20">
        <v>18.010999999999999</v>
      </c>
      <c r="J8435" s="44" t="s">
        <v>8</v>
      </c>
      <c r="K8435" s="23" t="s">
        <v>8</v>
      </c>
      <c r="L8435" s="23" t="s">
        <v>8</v>
      </c>
      <c r="M8435" s="23" t="s">
        <v>8</v>
      </c>
    </row>
    <row r="8436" spans="1:13" s="21" customFormat="1" x14ac:dyDescent="0.25">
      <c r="A8436" s="22" t="s">
        <v>8</v>
      </c>
      <c r="B8436" s="18" t="str">
        <f>"315446"</f>
        <v>315446</v>
      </c>
      <c r="C8436" s="19" t="s">
        <v>8312</v>
      </c>
      <c r="D8436" s="19" t="s">
        <v>23853</v>
      </c>
      <c r="E8436" s="19" t="s">
        <v>33348</v>
      </c>
      <c r="F8436" s="19" t="s">
        <v>36004</v>
      </c>
      <c r="G8436" s="18" t="str">
        <f>"08096"</f>
        <v>08096</v>
      </c>
      <c r="H8436" s="19" t="s">
        <v>33089</v>
      </c>
      <c r="I8436" s="20">
        <v>17.82</v>
      </c>
      <c r="J8436" s="44" t="s">
        <v>8</v>
      </c>
      <c r="K8436" s="23" t="s">
        <v>8</v>
      </c>
      <c r="L8436" s="23" t="s">
        <v>8</v>
      </c>
      <c r="M8436" s="23" t="s">
        <v>8</v>
      </c>
    </row>
    <row r="8437" spans="1:13" s="21" customFormat="1" x14ac:dyDescent="0.25">
      <c r="A8437" s="22" t="s">
        <v>8</v>
      </c>
      <c r="B8437" s="18" t="str">
        <f>"315448"</f>
        <v>315448</v>
      </c>
      <c r="C8437" s="19" t="s">
        <v>8313</v>
      </c>
      <c r="D8437" s="19" t="s">
        <v>23854</v>
      </c>
      <c r="E8437" s="19" t="s">
        <v>33993</v>
      </c>
      <c r="F8437" s="19" t="s">
        <v>36004</v>
      </c>
      <c r="G8437" s="18" t="str">
        <f>"08077"</f>
        <v>08077</v>
      </c>
      <c r="H8437" s="19" t="s">
        <v>31369</v>
      </c>
      <c r="I8437" s="20">
        <v>18.507000000000001</v>
      </c>
      <c r="J8437" s="44" t="s">
        <v>8</v>
      </c>
      <c r="K8437" s="23" t="s">
        <v>8</v>
      </c>
      <c r="L8437" s="23" t="s">
        <v>8</v>
      </c>
      <c r="M8437" s="23" t="s">
        <v>8</v>
      </c>
    </row>
    <row r="8438" spans="1:13" s="21" customFormat="1" x14ac:dyDescent="0.25">
      <c r="A8438" s="22" t="s">
        <v>8</v>
      </c>
      <c r="B8438" s="18" t="str">
        <f>"315449"</f>
        <v>315449</v>
      </c>
      <c r="C8438" s="19" t="s">
        <v>8314</v>
      </c>
      <c r="D8438" s="19" t="s">
        <v>23855</v>
      </c>
      <c r="E8438" s="19" t="s">
        <v>33880</v>
      </c>
      <c r="F8438" s="19" t="s">
        <v>36004</v>
      </c>
      <c r="G8438" s="18" t="str">
        <f>"07052"</f>
        <v>07052</v>
      </c>
      <c r="H8438" s="19" t="s">
        <v>31458</v>
      </c>
      <c r="I8438" s="20">
        <v>19.440999999999999</v>
      </c>
      <c r="J8438" s="44" t="s">
        <v>8</v>
      </c>
      <c r="K8438" s="23" t="s">
        <v>8</v>
      </c>
      <c r="L8438" s="23" t="s">
        <v>8</v>
      </c>
      <c r="M8438" s="23" t="s">
        <v>8</v>
      </c>
    </row>
    <row r="8439" spans="1:13" s="21" customFormat="1" x14ac:dyDescent="0.25">
      <c r="A8439" s="22" t="s">
        <v>8</v>
      </c>
      <c r="B8439" s="18" t="str">
        <f>"315451"</f>
        <v>315451</v>
      </c>
      <c r="C8439" s="19" t="s">
        <v>8315</v>
      </c>
      <c r="D8439" s="19" t="s">
        <v>23856</v>
      </c>
      <c r="E8439" s="19" t="s">
        <v>33994</v>
      </c>
      <c r="F8439" s="19" t="s">
        <v>36004</v>
      </c>
      <c r="G8439" s="18" t="str">
        <f>"08512"</f>
        <v>08512</v>
      </c>
      <c r="H8439" s="19" t="s">
        <v>36120</v>
      </c>
      <c r="I8439" s="20">
        <v>20.052</v>
      </c>
      <c r="J8439" s="44" t="s">
        <v>8</v>
      </c>
      <c r="K8439" s="23" t="s">
        <v>8</v>
      </c>
      <c r="L8439" s="23" t="s">
        <v>8</v>
      </c>
      <c r="M8439" s="23" t="s">
        <v>8</v>
      </c>
    </row>
    <row r="8440" spans="1:13" s="21" customFormat="1" x14ac:dyDescent="0.25">
      <c r="A8440" s="22" t="s">
        <v>8</v>
      </c>
      <c r="B8440" s="18" t="str">
        <f>"315452"</f>
        <v>315452</v>
      </c>
      <c r="C8440" s="19" t="s">
        <v>8316</v>
      </c>
      <c r="D8440" s="19" t="s">
        <v>23857</v>
      </c>
      <c r="E8440" s="19" t="s">
        <v>33892</v>
      </c>
      <c r="F8440" s="19" t="s">
        <v>36004</v>
      </c>
      <c r="G8440" s="18" t="str">
        <f>"07306"</f>
        <v>07306</v>
      </c>
      <c r="H8440" s="19" t="s">
        <v>31588</v>
      </c>
      <c r="I8440" s="20">
        <v>20.908999999999999</v>
      </c>
      <c r="J8440" s="44" t="s">
        <v>8</v>
      </c>
      <c r="K8440" s="23" t="s">
        <v>8</v>
      </c>
      <c r="L8440" s="23" t="s">
        <v>8</v>
      </c>
      <c r="M8440" s="23" t="s">
        <v>8</v>
      </c>
    </row>
    <row r="8441" spans="1:13" s="21" customFormat="1" x14ac:dyDescent="0.25">
      <c r="A8441" s="22" t="s">
        <v>8</v>
      </c>
      <c r="B8441" s="18" t="str">
        <f>"315453"</f>
        <v>315453</v>
      </c>
      <c r="C8441" s="19" t="s">
        <v>8317</v>
      </c>
      <c r="D8441" s="19" t="s">
        <v>23858</v>
      </c>
      <c r="E8441" s="19" t="s">
        <v>33935</v>
      </c>
      <c r="F8441" s="19" t="s">
        <v>36004</v>
      </c>
      <c r="G8441" s="18" t="str">
        <f>"08723"</f>
        <v>08723</v>
      </c>
      <c r="H8441" s="19" t="s">
        <v>36577</v>
      </c>
      <c r="I8441" s="20">
        <v>18.927</v>
      </c>
      <c r="J8441" s="44" t="s">
        <v>8</v>
      </c>
      <c r="K8441" s="23" t="s">
        <v>8</v>
      </c>
      <c r="L8441" s="23" t="s">
        <v>8</v>
      </c>
      <c r="M8441" s="23" t="s">
        <v>8</v>
      </c>
    </row>
    <row r="8442" spans="1:13" s="21" customFormat="1" x14ac:dyDescent="0.25">
      <c r="A8442" s="22" t="s">
        <v>8</v>
      </c>
      <c r="B8442" s="18" t="str">
        <f>"315454"</f>
        <v>315454</v>
      </c>
      <c r="C8442" s="19" t="s">
        <v>8318</v>
      </c>
      <c r="D8442" s="19" t="s">
        <v>23859</v>
      </c>
      <c r="E8442" s="19" t="s">
        <v>33950</v>
      </c>
      <c r="F8442" s="19" t="s">
        <v>36004</v>
      </c>
      <c r="G8442" s="18" t="str">
        <f>"08757"</f>
        <v>08757</v>
      </c>
      <c r="H8442" s="19" t="s">
        <v>36577</v>
      </c>
      <c r="I8442" s="20">
        <v>19.667999999999999</v>
      </c>
      <c r="J8442" s="44" t="s">
        <v>8</v>
      </c>
      <c r="K8442" s="23" t="s">
        <v>8</v>
      </c>
      <c r="L8442" s="23" t="s">
        <v>8</v>
      </c>
      <c r="M8442" s="23" t="s">
        <v>8</v>
      </c>
    </row>
    <row r="8443" spans="1:13" s="21" customFormat="1" x14ac:dyDescent="0.25">
      <c r="A8443" s="22" t="s">
        <v>8</v>
      </c>
      <c r="B8443" s="18" t="str">
        <f>"315455"</f>
        <v>315455</v>
      </c>
      <c r="C8443" s="19" t="s">
        <v>8319</v>
      </c>
      <c r="D8443" s="19" t="s">
        <v>23860</v>
      </c>
      <c r="E8443" s="19" t="s">
        <v>31591</v>
      </c>
      <c r="F8443" s="19" t="s">
        <v>36004</v>
      </c>
      <c r="G8443" s="18" t="str">
        <f>"08638"</f>
        <v>08638</v>
      </c>
      <c r="H8443" s="19" t="s">
        <v>34991</v>
      </c>
      <c r="I8443" s="20">
        <v>24.120999999999999</v>
      </c>
      <c r="J8443" s="44" t="s">
        <v>8</v>
      </c>
      <c r="K8443" s="23" t="s">
        <v>8</v>
      </c>
      <c r="L8443" s="23" t="s">
        <v>8</v>
      </c>
      <c r="M8443" s="23" t="s">
        <v>8</v>
      </c>
    </row>
    <row r="8444" spans="1:13" s="21" customFormat="1" x14ac:dyDescent="0.25">
      <c r="A8444" s="22" t="s">
        <v>8</v>
      </c>
      <c r="B8444" s="18" t="str">
        <f>"315456"</f>
        <v>315456</v>
      </c>
      <c r="C8444" s="19" t="s">
        <v>8320</v>
      </c>
      <c r="D8444" s="19" t="s">
        <v>23861</v>
      </c>
      <c r="E8444" s="19" t="s">
        <v>33937</v>
      </c>
      <c r="F8444" s="19" t="s">
        <v>36004</v>
      </c>
      <c r="G8444" s="18" t="str">
        <f>"08087"</f>
        <v>08087</v>
      </c>
      <c r="H8444" s="19" t="s">
        <v>36577</v>
      </c>
      <c r="I8444" s="20">
        <v>16.986000000000001</v>
      </c>
      <c r="J8444" s="44" t="s">
        <v>8</v>
      </c>
      <c r="K8444" s="23" t="s">
        <v>8</v>
      </c>
      <c r="L8444" s="23" t="s">
        <v>8</v>
      </c>
      <c r="M8444" s="23" t="s">
        <v>8</v>
      </c>
    </row>
    <row r="8445" spans="1:13" s="21" customFormat="1" x14ac:dyDescent="0.25">
      <c r="A8445" s="22" t="s">
        <v>8</v>
      </c>
      <c r="B8445" s="18" t="str">
        <f>"315457"</f>
        <v>315457</v>
      </c>
      <c r="C8445" s="19" t="s">
        <v>8321</v>
      </c>
      <c r="D8445" s="19" t="s">
        <v>23862</v>
      </c>
      <c r="E8445" s="19" t="s">
        <v>33947</v>
      </c>
      <c r="F8445" s="19" t="s">
        <v>36004</v>
      </c>
      <c r="G8445" s="18" t="str">
        <f>"07006"</f>
        <v>07006</v>
      </c>
      <c r="H8445" s="19" t="s">
        <v>31458</v>
      </c>
      <c r="I8445" s="20">
        <v>15.39</v>
      </c>
      <c r="J8445" s="44" t="s">
        <v>8</v>
      </c>
      <c r="K8445" s="23" t="s">
        <v>8</v>
      </c>
      <c r="L8445" s="23" t="s">
        <v>8</v>
      </c>
      <c r="M8445" s="23" t="s">
        <v>8</v>
      </c>
    </row>
    <row r="8446" spans="1:13" s="21" customFormat="1" x14ac:dyDescent="0.25">
      <c r="A8446" s="22" t="s">
        <v>8</v>
      </c>
      <c r="B8446" s="18" t="str">
        <f>"315458"</f>
        <v>315458</v>
      </c>
      <c r="C8446" s="19" t="s">
        <v>8322</v>
      </c>
      <c r="D8446" s="19" t="s">
        <v>23863</v>
      </c>
      <c r="E8446" s="19" t="s">
        <v>31494</v>
      </c>
      <c r="F8446" s="19" t="s">
        <v>36004</v>
      </c>
      <c r="G8446" s="18" t="str">
        <f>"07104"</f>
        <v>07104</v>
      </c>
      <c r="H8446" s="19" t="s">
        <v>31458</v>
      </c>
      <c r="I8446" s="20">
        <v>17.489000000000001</v>
      </c>
      <c r="J8446" s="44" t="s">
        <v>8</v>
      </c>
      <c r="K8446" s="23" t="s">
        <v>8</v>
      </c>
      <c r="L8446" s="23" t="s">
        <v>8</v>
      </c>
      <c r="M8446" s="23" t="s">
        <v>8</v>
      </c>
    </row>
    <row r="8447" spans="1:13" s="21" customFormat="1" x14ac:dyDescent="0.25">
      <c r="A8447" s="22" t="s">
        <v>8</v>
      </c>
      <c r="B8447" s="18" t="str">
        <f>"315459"</f>
        <v>315459</v>
      </c>
      <c r="C8447" s="19" t="s">
        <v>8323</v>
      </c>
      <c r="D8447" s="19" t="s">
        <v>23864</v>
      </c>
      <c r="E8447" s="19" t="s">
        <v>31724</v>
      </c>
      <c r="F8447" s="19" t="s">
        <v>36004</v>
      </c>
      <c r="G8447" s="18" t="str">
        <f>"08818"</f>
        <v>08818</v>
      </c>
      <c r="H8447" s="19" t="s">
        <v>36120</v>
      </c>
      <c r="I8447" s="20">
        <v>23.411999999999999</v>
      </c>
      <c r="J8447" s="44" t="s">
        <v>8</v>
      </c>
      <c r="K8447" s="23" t="s">
        <v>8</v>
      </c>
      <c r="L8447" s="23" t="s">
        <v>8</v>
      </c>
      <c r="M8447" s="23" t="s">
        <v>8</v>
      </c>
    </row>
    <row r="8448" spans="1:13" s="21" customFormat="1" x14ac:dyDescent="0.25">
      <c r="A8448" s="22" t="s">
        <v>8</v>
      </c>
      <c r="B8448" s="18" t="str">
        <f>"315460"</f>
        <v>315460</v>
      </c>
      <c r="C8448" s="19" t="s">
        <v>8324</v>
      </c>
      <c r="D8448" s="19" t="s">
        <v>23865</v>
      </c>
      <c r="E8448" s="19" t="s">
        <v>33916</v>
      </c>
      <c r="F8448" s="19" t="s">
        <v>36004</v>
      </c>
      <c r="G8448" s="18" t="str">
        <f>"07601"</f>
        <v>07601</v>
      </c>
      <c r="H8448" s="19" t="s">
        <v>36576</v>
      </c>
      <c r="I8448" s="20">
        <v>16.748999999999999</v>
      </c>
      <c r="J8448" s="44" t="s">
        <v>8</v>
      </c>
      <c r="K8448" s="23" t="s">
        <v>8</v>
      </c>
      <c r="L8448" s="23" t="s">
        <v>8</v>
      </c>
      <c r="M8448" s="23" t="s">
        <v>8</v>
      </c>
    </row>
    <row r="8449" spans="1:13" s="21" customFormat="1" x14ac:dyDescent="0.25">
      <c r="A8449" s="22" t="s">
        <v>8</v>
      </c>
      <c r="B8449" s="18" t="str">
        <f>"315461"</f>
        <v>315461</v>
      </c>
      <c r="C8449" s="19" t="s">
        <v>8325</v>
      </c>
      <c r="D8449" s="19" t="s">
        <v>23866</v>
      </c>
      <c r="E8449" s="19" t="s">
        <v>32952</v>
      </c>
      <c r="F8449" s="19" t="s">
        <v>36004</v>
      </c>
      <c r="G8449" s="18" t="str">
        <f>"08009"</f>
        <v>08009</v>
      </c>
      <c r="H8449" s="19" t="s">
        <v>30910</v>
      </c>
      <c r="I8449" s="20">
        <v>18.695</v>
      </c>
      <c r="J8449" s="44" t="s">
        <v>8</v>
      </c>
      <c r="K8449" s="23" t="s">
        <v>8</v>
      </c>
      <c r="L8449" s="23" t="s">
        <v>8</v>
      </c>
      <c r="M8449" s="23" t="s">
        <v>8</v>
      </c>
    </row>
    <row r="8450" spans="1:13" s="21" customFormat="1" x14ac:dyDescent="0.25">
      <c r="A8450" s="22" t="s">
        <v>8</v>
      </c>
      <c r="B8450" s="18" t="str">
        <f>"315462"</f>
        <v>315462</v>
      </c>
      <c r="C8450" s="19" t="s">
        <v>8326</v>
      </c>
      <c r="D8450" s="19" t="s">
        <v>23867</v>
      </c>
      <c r="E8450" s="19" t="s">
        <v>33904</v>
      </c>
      <c r="F8450" s="19" t="s">
        <v>36004</v>
      </c>
      <c r="G8450" s="18" t="str">
        <f>"08721"</f>
        <v>08721</v>
      </c>
      <c r="H8450" s="19" t="s">
        <v>36577</v>
      </c>
      <c r="I8450" s="20">
        <v>22.1</v>
      </c>
      <c r="J8450" s="44" t="s">
        <v>8</v>
      </c>
      <c r="K8450" s="23" t="s">
        <v>8</v>
      </c>
      <c r="L8450" s="23" t="s">
        <v>8</v>
      </c>
      <c r="M8450" s="23" t="s">
        <v>8</v>
      </c>
    </row>
    <row r="8451" spans="1:13" s="21" customFormat="1" x14ac:dyDescent="0.25">
      <c r="A8451" s="22" t="s">
        <v>8</v>
      </c>
      <c r="B8451" s="18" t="str">
        <f>"315463"</f>
        <v>315463</v>
      </c>
      <c r="C8451" s="19" t="s">
        <v>8327</v>
      </c>
      <c r="D8451" s="19" t="s">
        <v>23868</v>
      </c>
      <c r="E8451" s="19" t="s">
        <v>33877</v>
      </c>
      <c r="F8451" s="19" t="s">
        <v>36004</v>
      </c>
      <c r="G8451" s="18" t="str">
        <f>"07747"</f>
        <v>07747</v>
      </c>
      <c r="H8451" s="19" t="s">
        <v>32161</v>
      </c>
      <c r="I8451" s="20">
        <v>18.956</v>
      </c>
      <c r="J8451" s="44" t="s">
        <v>8</v>
      </c>
      <c r="K8451" s="23" t="s">
        <v>8</v>
      </c>
      <c r="L8451" s="23" t="s">
        <v>8</v>
      </c>
      <c r="M8451" s="23" t="s">
        <v>8</v>
      </c>
    </row>
    <row r="8452" spans="1:13" s="21" customFormat="1" x14ac:dyDescent="0.25">
      <c r="A8452" s="22" t="s">
        <v>8</v>
      </c>
      <c r="B8452" s="18" t="str">
        <f>"315464"</f>
        <v>315464</v>
      </c>
      <c r="C8452" s="19" t="s">
        <v>8328</v>
      </c>
      <c r="D8452" s="19" t="s">
        <v>23869</v>
      </c>
      <c r="E8452" s="19" t="s">
        <v>33985</v>
      </c>
      <c r="F8452" s="19" t="s">
        <v>36004</v>
      </c>
      <c r="G8452" s="18" t="str">
        <f>"08053"</f>
        <v>08053</v>
      </c>
      <c r="H8452" s="19" t="s">
        <v>31369</v>
      </c>
      <c r="I8452" s="20">
        <v>16.303000000000001</v>
      </c>
      <c r="J8452" s="44" t="s">
        <v>8</v>
      </c>
      <c r="K8452" s="23" t="s">
        <v>8</v>
      </c>
      <c r="L8452" s="23" t="s">
        <v>8</v>
      </c>
      <c r="M8452" s="23" t="s">
        <v>8</v>
      </c>
    </row>
    <row r="8453" spans="1:13" s="21" customFormat="1" x14ac:dyDescent="0.25">
      <c r="A8453" s="22" t="s">
        <v>8</v>
      </c>
      <c r="B8453" s="18" t="str">
        <f>"315465"</f>
        <v>315465</v>
      </c>
      <c r="C8453" s="19" t="s">
        <v>8329</v>
      </c>
      <c r="D8453" s="19" t="s">
        <v>23870</v>
      </c>
      <c r="E8453" s="19" t="s">
        <v>31813</v>
      </c>
      <c r="F8453" s="19" t="s">
        <v>36004</v>
      </c>
      <c r="G8453" s="18" t="str">
        <f>"07087"</f>
        <v>07087</v>
      </c>
      <c r="H8453" s="19" t="s">
        <v>31588</v>
      </c>
      <c r="I8453" s="20">
        <v>22.934000000000001</v>
      </c>
      <c r="J8453" s="44" t="s">
        <v>8</v>
      </c>
      <c r="K8453" s="23" t="s">
        <v>8</v>
      </c>
      <c r="L8453" s="23" t="s">
        <v>8</v>
      </c>
      <c r="M8453" s="23" t="s">
        <v>8</v>
      </c>
    </row>
    <row r="8454" spans="1:13" s="21" customFormat="1" x14ac:dyDescent="0.25">
      <c r="A8454" s="22" t="s">
        <v>8</v>
      </c>
      <c r="B8454" s="18" t="str">
        <f>"315466"</f>
        <v>315466</v>
      </c>
      <c r="C8454" s="19" t="s">
        <v>8330</v>
      </c>
      <c r="D8454" s="19" t="s">
        <v>23871</v>
      </c>
      <c r="E8454" s="19" t="s">
        <v>33891</v>
      </c>
      <c r="F8454" s="19" t="s">
        <v>36004</v>
      </c>
      <c r="G8454" s="18" t="str">
        <f>"08057"</f>
        <v>08057</v>
      </c>
      <c r="H8454" s="19" t="s">
        <v>31369</v>
      </c>
      <c r="I8454" s="20">
        <v>19.678999999999998</v>
      </c>
      <c r="J8454" s="44" t="s">
        <v>8</v>
      </c>
      <c r="K8454" s="23" t="s">
        <v>8</v>
      </c>
      <c r="L8454" s="23" t="s">
        <v>8</v>
      </c>
      <c r="M8454" s="23" t="s">
        <v>8</v>
      </c>
    </row>
    <row r="8455" spans="1:13" s="21" customFormat="1" x14ac:dyDescent="0.25">
      <c r="A8455" s="22" t="s">
        <v>8</v>
      </c>
      <c r="B8455" s="18" t="str">
        <f>"315468"</f>
        <v>315468</v>
      </c>
      <c r="C8455" s="19" t="s">
        <v>8331</v>
      </c>
      <c r="D8455" s="19" t="s">
        <v>23872</v>
      </c>
      <c r="E8455" s="19" t="s">
        <v>33995</v>
      </c>
      <c r="F8455" s="19" t="s">
        <v>36004</v>
      </c>
      <c r="G8455" s="18" t="str">
        <f>"07054"</f>
        <v>07054</v>
      </c>
      <c r="H8455" s="19" t="s">
        <v>32051</v>
      </c>
      <c r="I8455" s="20">
        <v>17.231999999999999</v>
      </c>
      <c r="J8455" s="44" t="s">
        <v>8</v>
      </c>
      <c r="K8455" s="23" t="s">
        <v>8</v>
      </c>
      <c r="L8455" s="23" t="s">
        <v>8</v>
      </c>
      <c r="M8455" s="23" t="s">
        <v>8</v>
      </c>
    </row>
    <row r="8456" spans="1:13" s="21" customFormat="1" x14ac:dyDescent="0.25">
      <c r="A8456" s="22" t="s">
        <v>8</v>
      </c>
      <c r="B8456" s="18" t="str">
        <f>"315469"</f>
        <v>315469</v>
      </c>
      <c r="C8456" s="19" t="s">
        <v>8332</v>
      </c>
      <c r="D8456" s="19" t="s">
        <v>23873</v>
      </c>
      <c r="E8456" s="19" t="s">
        <v>33984</v>
      </c>
      <c r="F8456" s="19" t="s">
        <v>36004</v>
      </c>
      <c r="G8456" s="18" t="str">
        <f>"07753"</f>
        <v>07753</v>
      </c>
      <c r="H8456" s="19" t="s">
        <v>32161</v>
      </c>
      <c r="I8456" s="20">
        <v>14.819000000000001</v>
      </c>
      <c r="J8456" s="44" t="s">
        <v>8</v>
      </c>
      <c r="K8456" s="23" t="s">
        <v>8</v>
      </c>
      <c r="L8456" s="23" t="s">
        <v>8</v>
      </c>
      <c r="M8456" s="23" t="s">
        <v>8</v>
      </c>
    </row>
    <row r="8457" spans="1:13" s="21" customFormat="1" x14ac:dyDescent="0.25">
      <c r="A8457" s="22" t="s">
        <v>8</v>
      </c>
      <c r="B8457" s="18" t="str">
        <f>"315471"</f>
        <v>315471</v>
      </c>
      <c r="C8457" s="19" t="s">
        <v>8333</v>
      </c>
      <c r="D8457" s="19" t="s">
        <v>23874</v>
      </c>
      <c r="E8457" s="19" t="s">
        <v>31876</v>
      </c>
      <c r="F8457" s="19" t="s">
        <v>36004</v>
      </c>
      <c r="G8457" s="18" t="str">
        <f>"07006"</f>
        <v>07006</v>
      </c>
      <c r="H8457" s="19" t="s">
        <v>31458</v>
      </c>
      <c r="I8457" s="20">
        <v>18.248000000000001</v>
      </c>
      <c r="J8457" s="44" t="s">
        <v>8</v>
      </c>
      <c r="K8457" s="23" t="s">
        <v>8</v>
      </c>
      <c r="L8457" s="23" t="s">
        <v>8</v>
      </c>
      <c r="M8457" s="23" t="s">
        <v>8</v>
      </c>
    </row>
    <row r="8458" spans="1:13" s="21" customFormat="1" x14ac:dyDescent="0.25">
      <c r="A8458" s="22" t="s">
        <v>8</v>
      </c>
      <c r="B8458" s="18" t="str">
        <f>"315472"</f>
        <v>315472</v>
      </c>
      <c r="C8458" s="19" t="s">
        <v>8334</v>
      </c>
      <c r="D8458" s="19" t="s">
        <v>23875</v>
      </c>
      <c r="E8458" s="19" t="s">
        <v>33996</v>
      </c>
      <c r="F8458" s="19" t="s">
        <v>36004</v>
      </c>
      <c r="G8458" s="18" t="str">
        <f>"08816"</f>
        <v>08816</v>
      </c>
      <c r="H8458" s="19" t="s">
        <v>36120</v>
      </c>
      <c r="I8458" s="20">
        <v>16.914000000000001</v>
      </c>
      <c r="J8458" s="44" t="s">
        <v>8</v>
      </c>
      <c r="K8458" s="23" t="s">
        <v>8</v>
      </c>
      <c r="L8458" s="23" t="s">
        <v>8</v>
      </c>
      <c r="M8458" s="23" t="s">
        <v>8</v>
      </c>
    </row>
    <row r="8459" spans="1:13" s="21" customFormat="1" x14ac:dyDescent="0.25">
      <c r="A8459" s="22" t="s">
        <v>8</v>
      </c>
      <c r="B8459" s="18" t="str">
        <f>"315473"</f>
        <v>315473</v>
      </c>
      <c r="C8459" s="19" t="s">
        <v>8335</v>
      </c>
      <c r="D8459" s="19" t="s">
        <v>23876</v>
      </c>
      <c r="E8459" s="19" t="s">
        <v>33990</v>
      </c>
      <c r="F8459" s="19" t="s">
        <v>36004</v>
      </c>
      <c r="G8459" s="18" t="str">
        <f>"07647"</f>
        <v>07647</v>
      </c>
      <c r="H8459" s="19" t="s">
        <v>36576</v>
      </c>
      <c r="I8459" s="20">
        <v>22.471</v>
      </c>
      <c r="J8459" s="44" t="s">
        <v>8</v>
      </c>
      <c r="K8459" s="23" t="s">
        <v>8</v>
      </c>
      <c r="L8459" s="23" t="s">
        <v>8</v>
      </c>
      <c r="M8459" s="23" t="s">
        <v>8</v>
      </c>
    </row>
    <row r="8460" spans="1:13" s="21" customFormat="1" x14ac:dyDescent="0.25">
      <c r="A8460" s="22" t="s">
        <v>8</v>
      </c>
      <c r="B8460" s="18" t="str">
        <f>"315475"</f>
        <v>315475</v>
      </c>
      <c r="C8460" s="19" t="s">
        <v>8336</v>
      </c>
      <c r="D8460" s="19" t="s">
        <v>23877</v>
      </c>
      <c r="E8460" s="19" t="s">
        <v>33997</v>
      </c>
      <c r="F8460" s="19" t="s">
        <v>36004</v>
      </c>
      <c r="G8460" s="18" t="str">
        <f>"08619"</f>
        <v>08619</v>
      </c>
      <c r="H8460" s="19" t="s">
        <v>34991</v>
      </c>
      <c r="I8460" s="20">
        <v>19.977</v>
      </c>
      <c r="J8460" s="44" t="s">
        <v>8</v>
      </c>
      <c r="K8460" s="23" t="s">
        <v>8</v>
      </c>
      <c r="L8460" s="23" t="s">
        <v>8</v>
      </c>
      <c r="M8460" s="23" t="s">
        <v>8</v>
      </c>
    </row>
    <row r="8461" spans="1:13" s="21" customFormat="1" x14ac:dyDescent="0.25">
      <c r="A8461" s="22" t="s">
        <v>8</v>
      </c>
      <c r="B8461" s="18" t="str">
        <f>"315476"</f>
        <v>315476</v>
      </c>
      <c r="C8461" s="19" t="s">
        <v>8337</v>
      </c>
      <c r="D8461" s="19" t="s">
        <v>23878</v>
      </c>
      <c r="E8461" s="19" t="s">
        <v>33998</v>
      </c>
      <c r="F8461" s="19" t="s">
        <v>36004</v>
      </c>
      <c r="G8461" s="18" t="str">
        <f>"07094"</f>
        <v>07094</v>
      </c>
      <c r="H8461" s="19" t="s">
        <v>31588</v>
      </c>
      <c r="I8461" s="20">
        <v>20.734999999999999</v>
      </c>
      <c r="J8461" s="44" t="s">
        <v>8</v>
      </c>
      <c r="K8461" s="23" t="s">
        <v>8</v>
      </c>
      <c r="L8461" s="23" t="s">
        <v>8</v>
      </c>
      <c r="M8461" s="23" t="s">
        <v>8</v>
      </c>
    </row>
    <row r="8462" spans="1:13" s="21" customFormat="1" x14ac:dyDescent="0.25">
      <c r="A8462" s="22" t="s">
        <v>8</v>
      </c>
      <c r="B8462" s="18" t="str">
        <f>"315477"</f>
        <v>315477</v>
      </c>
      <c r="C8462" s="19" t="s">
        <v>8338</v>
      </c>
      <c r="D8462" s="19" t="s">
        <v>23879</v>
      </c>
      <c r="E8462" s="19" t="s">
        <v>33280</v>
      </c>
      <c r="F8462" s="19" t="s">
        <v>36004</v>
      </c>
      <c r="G8462" s="18" t="str">
        <f>"07470"</f>
        <v>07470</v>
      </c>
      <c r="H8462" s="19" t="s">
        <v>33893</v>
      </c>
      <c r="I8462" s="20">
        <v>18.925000000000001</v>
      </c>
      <c r="J8462" s="44" t="s">
        <v>8</v>
      </c>
      <c r="K8462" s="23" t="s">
        <v>8</v>
      </c>
      <c r="L8462" s="23" t="s">
        <v>8</v>
      </c>
      <c r="M8462" s="23" t="s">
        <v>8</v>
      </c>
    </row>
    <row r="8463" spans="1:13" s="21" customFormat="1" x14ac:dyDescent="0.25">
      <c r="A8463" s="22" t="s">
        <v>8</v>
      </c>
      <c r="B8463" s="18" t="str">
        <f>"315478"</f>
        <v>315478</v>
      </c>
      <c r="C8463" s="19" t="s">
        <v>8339</v>
      </c>
      <c r="D8463" s="19" t="s">
        <v>23880</v>
      </c>
      <c r="E8463" s="19" t="s">
        <v>33932</v>
      </c>
      <c r="F8463" s="19" t="s">
        <v>36004</v>
      </c>
      <c r="G8463" s="18" t="str">
        <f>"08050"</f>
        <v>08050</v>
      </c>
      <c r="H8463" s="19" t="s">
        <v>36577</v>
      </c>
      <c r="I8463" s="20">
        <v>19.657</v>
      </c>
      <c r="J8463" s="44" t="s">
        <v>8</v>
      </c>
      <c r="K8463" s="23" t="s">
        <v>8</v>
      </c>
      <c r="L8463" s="23" t="s">
        <v>8</v>
      </c>
      <c r="M8463" s="23" t="s">
        <v>8</v>
      </c>
    </row>
    <row r="8464" spans="1:13" s="21" customFormat="1" x14ac:dyDescent="0.25">
      <c r="A8464" s="22" t="s">
        <v>8</v>
      </c>
      <c r="B8464" s="18" t="str">
        <f>"315479"</f>
        <v>315479</v>
      </c>
      <c r="C8464" s="19" t="s">
        <v>8340</v>
      </c>
      <c r="D8464" s="19" t="s">
        <v>23881</v>
      </c>
      <c r="E8464" s="19" t="s">
        <v>33740</v>
      </c>
      <c r="F8464" s="19" t="s">
        <v>36004</v>
      </c>
      <c r="G8464" s="18" t="str">
        <f>"07039"</f>
        <v>07039</v>
      </c>
      <c r="H8464" s="19" t="s">
        <v>31458</v>
      </c>
      <c r="I8464" s="20">
        <v>20.407</v>
      </c>
      <c r="J8464" s="44" t="s">
        <v>8</v>
      </c>
      <c r="K8464" s="23" t="s">
        <v>8</v>
      </c>
      <c r="L8464" s="23" t="s">
        <v>8</v>
      </c>
      <c r="M8464" s="23" t="s">
        <v>8</v>
      </c>
    </row>
    <row r="8465" spans="1:13" s="21" customFormat="1" x14ac:dyDescent="0.25">
      <c r="A8465" s="22" t="s">
        <v>8</v>
      </c>
      <c r="B8465" s="18" t="str">
        <f>"315480"</f>
        <v>315480</v>
      </c>
      <c r="C8465" s="19" t="s">
        <v>8341</v>
      </c>
      <c r="D8465" s="19" t="s">
        <v>23882</v>
      </c>
      <c r="E8465" s="19" t="s">
        <v>33976</v>
      </c>
      <c r="F8465" s="19" t="s">
        <v>36004</v>
      </c>
      <c r="G8465" s="18" t="str">
        <f>"07932"</f>
        <v>07932</v>
      </c>
      <c r="H8465" s="19" t="s">
        <v>32051</v>
      </c>
      <c r="I8465" s="20">
        <v>17.344000000000001</v>
      </c>
      <c r="J8465" s="44" t="s">
        <v>8</v>
      </c>
      <c r="K8465" s="23" t="s">
        <v>8</v>
      </c>
      <c r="L8465" s="23" t="s">
        <v>8</v>
      </c>
      <c r="M8465" s="23" t="s">
        <v>8</v>
      </c>
    </row>
    <row r="8466" spans="1:13" s="21" customFormat="1" x14ac:dyDescent="0.25">
      <c r="A8466" s="22" t="s">
        <v>8</v>
      </c>
      <c r="B8466" s="18" t="str">
        <f>"315482"</f>
        <v>315482</v>
      </c>
      <c r="C8466" s="19" t="s">
        <v>8342</v>
      </c>
      <c r="D8466" s="19" t="s">
        <v>23883</v>
      </c>
      <c r="E8466" s="19" t="s">
        <v>33891</v>
      </c>
      <c r="F8466" s="19" t="s">
        <v>36004</v>
      </c>
      <c r="G8466" s="18" t="str">
        <f>"08057"</f>
        <v>08057</v>
      </c>
      <c r="H8466" s="19" t="s">
        <v>31369</v>
      </c>
      <c r="I8466" s="20">
        <v>16.977</v>
      </c>
      <c r="J8466" s="44" t="s">
        <v>8</v>
      </c>
      <c r="K8466" s="23" t="s">
        <v>8</v>
      </c>
      <c r="L8466" s="23" t="s">
        <v>8</v>
      </c>
      <c r="M8466" s="23" t="s">
        <v>8</v>
      </c>
    </row>
    <row r="8467" spans="1:13" s="21" customFormat="1" x14ac:dyDescent="0.25">
      <c r="A8467" s="22" t="s">
        <v>8</v>
      </c>
      <c r="B8467" s="18" t="str">
        <f>"315483"</f>
        <v>315483</v>
      </c>
      <c r="C8467" s="19" t="s">
        <v>8343</v>
      </c>
      <c r="D8467" s="19" t="s">
        <v>23884</v>
      </c>
      <c r="E8467" s="19" t="s">
        <v>33874</v>
      </c>
      <c r="F8467" s="19" t="s">
        <v>36004</v>
      </c>
      <c r="G8467" s="18" t="str">
        <f>"07202"</f>
        <v>07202</v>
      </c>
      <c r="H8467" s="19" t="s">
        <v>33554</v>
      </c>
      <c r="I8467" s="20">
        <v>18.129000000000001</v>
      </c>
      <c r="J8467" s="44" t="s">
        <v>8</v>
      </c>
      <c r="K8467" s="23" t="s">
        <v>8</v>
      </c>
      <c r="L8467" s="23" t="s">
        <v>8</v>
      </c>
      <c r="M8467" s="23" t="s">
        <v>8</v>
      </c>
    </row>
    <row r="8468" spans="1:13" s="21" customFormat="1" x14ac:dyDescent="0.25">
      <c r="A8468" s="22" t="s">
        <v>8</v>
      </c>
      <c r="B8468" s="18" t="str">
        <f>"315485"</f>
        <v>315485</v>
      </c>
      <c r="C8468" s="19" t="s">
        <v>8344</v>
      </c>
      <c r="D8468" s="19" t="s">
        <v>23885</v>
      </c>
      <c r="E8468" s="19" t="s">
        <v>33889</v>
      </c>
      <c r="F8468" s="19" t="s">
        <v>36004</v>
      </c>
      <c r="G8468" s="18" t="str">
        <f>"07719"</f>
        <v>07719</v>
      </c>
      <c r="H8468" s="19" t="s">
        <v>32161</v>
      </c>
      <c r="I8468" s="20">
        <v>17.968</v>
      </c>
      <c r="J8468" s="44" t="s">
        <v>8</v>
      </c>
      <c r="K8468" s="23" t="s">
        <v>8</v>
      </c>
      <c r="L8468" s="23" t="s">
        <v>8</v>
      </c>
      <c r="M8468" s="23" t="s">
        <v>8</v>
      </c>
    </row>
    <row r="8469" spans="1:13" s="21" customFormat="1" x14ac:dyDescent="0.25">
      <c r="A8469" s="22" t="s">
        <v>8</v>
      </c>
      <c r="B8469" s="18" t="str">
        <f>"315486"</f>
        <v>315486</v>
      </c>
      <c r="C8469" s="19" t="s">
        <v>8345</v>
      </c>
      <c r="D8469" s="19" t="s">
        <v>23886</v>
      </c>
      <c r="E8469" s="19" t="s">
        <v>33999</v>
      </c>
      <c r="F8469" s="19" t="s">
        <v>36004</v>
      </c>
      <c r="G8469" s="18" t="str">
        <f>"08558"</f>
        <v>08558</v>
      </c>
      <c r="H8469" s="19" t="s">
        <v>32705</v>
      </c>
      <c r="I8469" s="20">
        <v>16.664999999999999</v>
      </c>
      <c r="J8469" s="44" t="s">
        <v>8</v>
      </c>
      <c r="K8469" s="23" t="s">
        <v>8</v>
      </c>
      <c r="L8469" s="23" t="s">
        <v>8</v>
      </c>
      <c r="M8469" s="23" t="s">
        <v>8</v>
      </c>
    </row>
    <row r="8470" spans="1:13" s="21" customFormat="1" x14ac:dyDescent="0.25">
      <c r="A8470" s="22" t="s">
        <v>8</v>
      </c>
      <c r="B8470" s="18" t="str">
        <f>"315487"</f>
        <v>315487</v>
      </c>
      <c r="C8470" s="19" t="s">
        <v>8346</v>
      </c>
      <c r="D8470" s="19" t="s">
        <v>23887</v>
      </c>
      <c r="E8470" s="19" t="s">
        <v>34000</v>
      </c>
      <c r="F8470" s="19" t="s">
        <v>36004</v>
      </c>
      <c r="G8470" s="18" t="str">
        <f>"08628"</f>
        <v>08628</v>
      </c>
      <c r="H8470" s="19" t="s">
        <v>34991</v>
      </c>
      <c r="I8470" s="20">
        <v>19.091999999999999</v>
      </c>
      <c r="J8470" s="44" t="s">
        <v>8</v>
      </c>
      <c r="K8470" s="23" t="s">
        <v>8</v>
      </c>
      <c r="L8470" s="23" t="s">
        <v>8</v>
      </c>
      <c r="M8470" s="23" t="s">
        <v>8</v>
      </c>
    </row>
    <row r="8471" spans="1:13" s="21" customFormat="1" x14ac:dyDescent="0.25">
      <c r="A8471" s="22" t="s">
        <v>8</v>
      </c>
      <c r="B8471" s="18" t="str">
        <f>"315488"</f>
        <v>315488</v>
      </c>
      <c r="C8471" s="19" t="s">
        <v>8347</v>
      </c>
      <c r="D8471" s="19" t="s">
        <v>23888</v>
      </c>
      <c r="E8471" s="19" t="s">
        <v>32321</v>
      </c>
      <c r="F8471" s="19" t="s">
        <v>36004</v>
      </c>
      <c r="G8471" s="18" t="str">
        <f>"07960"</f>
        <v>07960</v>
      </c>
      <c r="H8471" s="19" t="s">
        <v>32051</v>
      </c>
      <c r="I8471" s="20">
        <v>16.725000000000001</v>
      </c>
      <c r="J8471" s="44" t="s">
        <v>8</v>
      </c>
      <c r="K8471" s="23" t="s">
        <v>8</v>
      </c>
      <c r="L8471" s="23" t="s">
        <v>8</v>
      </c>
      <c r="M8471" s="23" t="s">
        <v>8</v>
      </c>
    </row>
    <row r="8472" spans="1:13" s="21" customFormat="1" x14ac:dyDescent="0.25">
      <c r="A8472" s="22" t="s">
        <v>8</v>
      </c>
      <c r="B8472" s="18" t="str">
        <f>"315490"</f>
        <v>315490</v>
      </c>
      <c r="C8472" s="19" t="s">
        <v>8348</v>
      </c>
      <c r="D8472" s="19" t="s">
        <v>23889</v>
      </c>
      <c r="E8472" s="19" t="s">
        <v>33950</v>
      </c>
      <c r="F8472" s="19" t="s">
        <v>36004</v>
      </c>
      <c r="G8472" s="18" t="str">
        <f>"08755"</f>
        <v>08755</v>
      </c>
      <c r="H8472" s="19" t="s">
        <v>36577</v>
      </c>
      <c r="I8472" s="20">
        <v>21.24</v>
      </c>
      <c r="J8472" s="44" t="s">
        <v>8</v>
      </c>
      <c r="K8472" s="23" t="s">
        <v>8</v>
      </c>
      <c r="L8472" s="23" t="s">
        <v>8</v>
      </c>
      <c r="M8472" s="23" t="s">
        <v>8</v>
      </c>
    </row>
    <row r="8473" spans="1:13" s="21" customFormat="1" x14ac:dyDescent="0.25">
      <c r="A8473" s="22" t="s">
        <v>8</v>
      </c>
      <c r="B8473" s="18" t="str">
        <f>"315491"</f>
        <v>315491</v>
      </c>
      <c r="C8473" s="19" t="s">
        <v>8349</v>
      </c>
      <c r="D8473" s="19" t="s">
        <v>23890</v>
      </c>
      <c r="E8473" s="19" t="s">
        <v>34001</v>
      </c>
      <c r="F8473" s="19" t="s">
        <v>36004</v>
      </c>
      <c r="G8473" s="18" t="str">
        <f>"07444"</f>
        <v>07444</v>
      </c>
      <c r="H8473" s="19" t="s">
        <v>32051</v>
      </c>
      <c r="I8473" s="20">
        <v>19.102</v>
      </c>
      <c r="J8473" s="44" t="s">
        <v>8</v>
      </c>
      <c r="K8473" s="23" t="s">
        <v>8</v>
      </c>
      <c r="L8473" s="23" t="s">
        <v>8</v>
      </c>
      <c r="M8473" s="23" t="s">
        <v>8</v>
      </c>
    </row>
    <row r="8474" spans="1:13" s="21" customFormat="1" x14ac:dyDescent="0.25">
      <c r="A8474" s="22" t="s">
        <v>8</v>
      </c>
      <c r="B8474" s="18" t="str">
        <f>"315492"</f>
        <v>315492</v>
      </c>
      <c r="C8474" s="19" t="s">
        <v>8350</v>
      </c>
      <c r="D8474" s="19" t="s">
        <v>23891</v>
      </c>
      <c r="E8474" s="19" t="s">
        <v>34002</v>
      </c>
      <c r="F8474" s="19" t="s">
        <v>36004</v>
      </c>
      <c r="G8474" s="18" t="str">
        <f>"07005"</f>
        <v>07005</v>
      </c>
      <c r="H8474" s="19" t="s">
        <v>32051</v>
      </c>
      <c r="I8474" s="20">
        <v>17.390999999999998</v>
      </c>
      <c r="J8474" s="44" t="s">
        <v>8</v>
      </c>
      <c r="K8474" s="23" t="s">
        <v>8</v>
      </c>
      <c r="L8474" s="23" t="s">
        <v>8</v>
      </c>
      <c r="M8474" s="23" t="s">
        <v>8</v>
      </c>
    </row>
    <row r="8475" spans="1:13" s="21" customFormat="1" x14ac:dyDescent="0.25">
      <c r="A8475" s="22" t="s">
        <v>8</v>
      </c>
      <c r="B8475" s="18" t="str">
        <f>"315494"</f>
        <v>315494</v>
      </c>
      <c r="C8475" s="19" t="s">
        <v>8351</v>
      </c>
      <c r="D8475" s="19" t="s">
        <v>23892</v>
      </c>
      <c r="E8475" s="19" t="s">
        <v>33959</v>
      </c>
      <c r="F8475" s="19" t="s">
        <v>36004</v>
      </c>
      <c r="G8475" s="18" t="str">
        <f>"07662"</f>
        <v>07662</v>
      </c>
      <c r="H8475" s="19" t="s">
        <v>36576</v>
      </c>
      <c r="I8475" s="20">
        <v>16.009</v>
      </c>
      <c r="J8475" s="44" t="s">
        <v>8</v>
      </c>
      <c r="K8475" s="23" t="s">
        <v>8</v>
      </c>
      <c r="L8475" s="23" t="s">
        <v>8</v>
      </c>
      <c r="M8475" s="23" t="s">
        <v>8</v>
      </c>
    </row>
    <row r="8476" spans="1:13" s="21" customFormat="1" x14ac:dyDescent="0.25">
      <c r="A8476" s="22" t="s">
        <v>8</v>
      </c>
      <c r="B8476" s="18" t="str">
        <f>"315495"</f>
        <v>315495</v>
      </c>
      <c r="C8476" s="19" t="s">
        <v>8352</v>
      </c>
      <c r="D8476" s="19" t="s">
        <v>23893</v>
      </c>
      <c r="E8476" s="19" t="s">
        <v>31104</v>
      </c>
      <c r="F8476" s="19" t="s">
        <v>36004</v>
      </c>
      <c r="G8476" s="18" t="str">
        <f>"08240"</f>
        <v>08240</v>
      </c>
      <c r="H8476" s="19" t="s">
        <v>32419</v>
      </c>
      <c r="I8476" s="20">
        <v>17.808</v>
      </c>
      <c r="J8476" s="44" t="s">
        <v>8</v>
      </c>
      <c r="K8476" s="23" t="s">
        <v>8</v>
      </c>
      <c r="L8476" s="23" t="s">
        <v>8</v>
      </c>
      <c r="M8476" s="23" t="s">
        <v>8</v>
      </c>
    </row>
    <row r="8477" spans="1:13" s="21" customFormat="1" x14ac:dyDescent="0.25">
      <c r="A8477" s="22" t="s">
        <v>8</v>
      </c>
      <c r="B8477" s="18" t="str">
        <f>"315496"</f>
        <v>315496</v>
      </c>
      <c r="C8477" s="19" t="s">
        <v>8353</v>
      </c>
      <c r="D8477" s="19" t="s">
        <v>23894</v>
      </c>
      <c r="E8477" s="19" t="s">
        <v>33905</v>
      </c>
      <c r="F8477" s="19" t="s">
        <v>36004</v>
      </c>
      <c r="G8477" s="18" t="str">
        <f>"08360"</f>
        <v>08360</v>
      </c>
      <c r="H8477" s="19" t="s">
        <v>32766</v>
      </c>
      <c r="I8477" s="20">
        <v>22.271999999999998</v>
      </c>
      <c r="J8477" s="44" t="s">
        <v>8</v>
      </c>
      <c r="K8477" s="23" t="s">
        <v>8</v>
      </c>
      <c r="L8477" s="23" t="s">
        <v>8</v>
      </c>
      <c r="M8477" s="23" t="s">
        <v>8</v>
      </c>
    </row>
    <row r="8478" spans="1:13" s="21" customFormat="1" x14ac:dyDescent="0.25">
      <c r="A8478" s="22" t="s">
        <v>8</v>
      </c>
      <c r="B8478" s="18" t="str">
        <f>"315497"</f>
        <v>315497</v>
      </c>
      <c r="C8478" s="19" t="s">
        <v>8354</v>
      </c>
      <c r="D8478" s="19" t="s">
        <v>23895</v>
      </c>
      <c r="E8478" s="19" t="s">
        <v>33263</v>
      </c>
      <c r="F8478" s="19" t="s">
        <v>36004</v>
      </c>
      <c r="G8478" s="18" t="str">
        <f>"07401"</f>
        <v>07401</v>
      </c>
      <c r="H8478" s="19" t="s">
        <v>36576</v>
      </c>
      <c r="I8478" s="20">
        <v>17.893999999999998</v>
      </c>
      <c r="J8478" s="44" t="s">
        <v>8</v>
      </c>
      <c r="K8478" s="23" t="s">
        <v>8</v>
      </c>
      <c r="L8478" s="23" t="s">
        <v>8</v>
      </c>
      <c r="M8478" s="23" t="s">
        <v>8</v>
      </c>
    </row>
    <row r="8479" spans="1:13" s="21" customFormat="1" x14ac:dyDescent="0.25">
      <c r="A8479" s="22" t="s">
        <v>8</v>
      </c>
      <c r="B8479" s="18" t="str">
        <f>"315499"</f>
        <v>315499</v>
      </c>
      <c r="C8479" s="19" t="s">
        <v>8355</v>
      </c>
      <c r="D8479" s="19" t="s">
        <v>23896</v>
      </c>
      <c r="E8479" s="19" t="s">
        <v>33927</v>
      </c>
      <c r="F8479" s="19" t="s">
        <v>36004</v>
      </c>
      <c r="G8479" s="18" t="str">
        <f>"08043"</f>
        <v>08043</v>
      </c>
      <c r="H8479" s="19" t="s">
        <v>30910</v>
      </c>
      <c r="I8479" s="20">
        <v>13.292999999999999</v>
      </c>
      <c r="J8479" s="44" t="s">
        <v>8</v>
      </c>
      <c r="K8479" s="23" t="s">
        <v>8</v>
      </c>
      <c r="L8479" s="23" t="s">
        <v>8</v>
      </c>
      <c r="M8479" s="23" t="s">
        <v>8</v>
      </c>
    </row>
    <row r="8480" spans="1:13" s="21" customFormat="1" x14ac:dyDescent="0.25">
      <c r="A8480" s="22" t="s">
        <v>8</v>
      </c>
      <c r="B8480" s="18" t="str">
        <f>"315500"</f>
        <v>315500</v>
      </c>
      <c r="C8480" s="19" t="s">
        <v>8356</v>
      </c>
      <c r="D8480" s="19" t="s">
        <v>23897</v>
      </c>
      <c r="E8480" s="19" t="s">
        <v>33927</v>
      </c>
      <c r="F8480" s="19" t="s">
        <v>36004</v>
      </c>
      <c r="G8480" s="18" t="str">
        <f>"08043"</f>
        <v>08043</v>
      </c>
      <c r="H8480" s="19" t="s">
        <v>30910</v>
      </c>
      <c r="I8480" s="20">
        <v>19.187999999999999</v>
      </c>
      <c r="J8480" s="44" t="s">
        <v>8</v>
      </c>
      <c r="K8480" s="23" t="s">
        <v>8</v>
      </c>
      <c r="L8480" s="23" t="s">
        <v>8</v>
      </c>
      <c r="M8480" s="23" t="s">
        <v>8</v>
      </c>
    </row>
    <row r="8481" spans="1:13" s="21" customFormat="1" x14ac:dyDescent="0.25">
      <c r="A8481" s="22" t="s">
        <v>8</v>
      </c>
      <c r="B8481" s="18" t="str">
        <f>"315501"</f>
        <v>315501</v>
      </c>
      <c r="C8481" s="19" t="s">
        <v>8357</v>
      </c>
      <c r="D8481" s="19" t="s">
        <v>23898</v>
      </c>
      <c r="E8481" s="19" t="s">
        <v>33889</v>
      </c>
      <c r="F8481" s="19" t="s">
        <v>36004</v>
      </c>
      <c r="G8481" s="18" t="str">
        <f>"07719"</f>
        <v>07719</v>
      </c>
      <c r="H8481" s="19" t="s">
        <v>32161</v>
      </c>
      <c r="I8481" s="20">
        <v>19.812000000000001</v>
      </c>
      <c r="J8481" s="44" t="s">
        <v>8</v>
      </c>
      <c r="K8481" s="23" t="s">
        <v>8</v>
      </c>
      <c r="L8481" s="23" t="s">
        <v>8</v>
      </c>
      <c r="M8481" s="23" t="s">
        <v>8</v>
      </c>
    </row>
    <row r="8482" spans="1:13" s="21" customFormat="1" x14ac:dyDescent="0.25">
      <c r="A8482" s="22" t="s">
        <v>8</v>
      </c>
      <c r="B8482" s="18" t="str">
        <f>"315502"</f>
        <v>315502</v>
      </c>
      <c r="C8482" s="19" t="s">
        <v>8358</v>
      </c>
      <c r="D8482" s="19" t="s">
        <v>23899</v>
      </c>
      <c r="E8482" s="19" t="s">
        <v>33883</v>
      </c>
      <c r="F8482" s="19" t="s">
        <v>36004</v>
      </c>
      <c r="G8482" s="18" t="str">
        <f>"07666"</f>
        <v>07666</v>
      </c>
      <c r="H8482" s="19" t="s">
        <v>36576</v>
      </c>
      <c r="I8482" s="20">
        <v>21.617000000000001</v>
      </c>
      <c r="J8482" s="44" t="s">
        <v>8</v>
      </c>
      <c r="K8482" s="23" t="s">
        <v>8</v>
      </c>
      <c r="L8482" s="23" t="s">
        <v>8</v>
      </c>
      <c r="M8482" s="23" t="s">
        <v>8</v>
      </c>
    </row>
    <row r="8483" spans="1:13" s="21" customFormat="1" x14ac:dyDescent="0.25">
      <c r="A8483" s="22" t="s">
        <v>8</v>
      </c>
      <c r="B8483" s="18" t="str">
        <f>"315503"</f>
        <v>315503</v>
      </c>
      <c r="C8483" s="19" t="s">
        <v>8359</v>
      </c>
      <c r="D8483" s="19" t="s">
        <v>23900</v>
      </c>
      <c r="E8483" s="19" t="s">
        <v>33934</v>
      </c>
      <c r="F8483" s="19" t="s">
        <v>36004</v>
      </c>
      <c r="G8483" s="18" t="str">
        <f>"08205"</f>
        <v>08205</v>
      </c>
      <c r="H8483" s="19" t="s">
        <v>32419</v>
      </c>
      <c r="I8483" s="20">
        <v>21.887</v>
      </c>
      <c r="J8483" s="44" t="s">
        <v>8</v>
      </c>
      <c r="K8483" s="23" t="s">
        <v>8</v>
      </c>
      <c r="L8483" s="23" t="s">
        <v>8</v>
      </c>
      <c r="M8483" s="23" t="s">
        <v>8</v>
      </c>
    </row>
    <row r="8484" spans="1:13" s="21" customFormat="1" x14ac:dyDescent="0.25">
      <c r="A8484" s="22" t="s">
        <v>8</v>
      </c>
      <c r="B8484" s="18" t="str">
        <f>"315504"</f>
        <v>315504</v>
      </c>
      <c r="C8484" s="19" t="s">
        <v>8360</v>
      </c>
      <c r="D8484" s="19" t="s">
        <v>23901</v>
      </c>
      <c r="E8484" s="19" t="s">
        <v>33917</v>
      </c>
      <c r="F8484" s="19" t="s">
        <v>36004</v>
      </c>
      <c r="G8484" s="18" t="str">
        <f>"07728"</f>
        <v>07728</v>
      </c>
      <c r="H8484" s="19" t="s">
        <v>32161</v>
      </c>
      <c r="I8484" s="20">
        <v>23.649000000000001</v>
      </c>
      <c r="J8484" s="44" t="s">
        <v>8</v>
      </c>
      <c r="K8484" s="23" t="s">
        <v>8</v>
      </c>
      <c r="L8484" s="23" t="s">
        <v>8</v>
      </c>
      <c r="M8484" s="23" t="s">
        <v>8</v>
      </c>
    </row>
    <row r="8485" spans="1:13" s="21" customFormat="1" x14ac:dyDescent="0.25">
      <c r="A8485" s="22" t="s">
        <v>8</v>
      </c>
      <c r="B8485" s="18" t="str">
        <f>"315505"</f>
        <v>315505</v>
      </c>
      <c r="C8485" s="19" t="s">
        <v>8361</v>
      </c>
      <c r="D8485" s="19" t="s">
        <v>23902</v>
      </c>
      <c r="E8485" s="19" t="s">
        <v>31931</v>
      </c>
      <c r="F8485" s="19" t="s">
        <v>36004</v>
      </c>
      <c r="G8485" s="18" t="str">
        <f>"07109"</f>
        <v>07109</v>
      </c>
      <c r="H8485" s="19" t="s">
        <v>31458</v>
      </c>
      <c r="I8485" s="20">
        <v>20.094999999999999</v>
      </c>
      <c r="J8485" s="44" t="s">
        <v>8</v>
      </c>
      <c r="K8485" s="23" t="s">
        <v>8</v>
      </c>
      <c r="L8485" s="23" t="s">
        <v>8</v>
      </c>
      <c r="M8485" s="23" t="s">
        <v>8</v>
      </c>
    </row>
    <row r="8486" spans="1:13" s="21" customFormat="1" x14ac:dyDescent="0.25">
      <c r="A8486" s="22" t="s">
        <v>8</v>
      </c>
      <c r="B8486" s="18" t="str">
        <f>"315506"</f>
        <v>315506</v>
      </c>
      <c r="C8486" s="19" t="s">
        <v>8362</v>
      </c>
      <c r="D8486" s="19" t="s">
        <v>23903</v>
      </c>
      <c r="E8486" s="19" t="s">
        <v>33942</v>
      </c>
      <c r="F8486" s="19" t="s">
        <v>36004</v>
      </c>
      <c r="G8486" s="18" t="str">
        <f>"08080"</f>
        <v>08080</v>
      </c>
      <c r="H8486" s="19" t="s">
        <v>33089</v>
      </c>
      <c r="I8486" s="20">
        <v>17.617000000000001</v>
      </c>
      <c r="J8486" s="44" t="s">
        <v>8</v>
      </c>
      <c r="K8486" s="23" t="s">
        <v>8</v>
      </c>
      <c r="L8486" s="23" t="s">
        <v>8</v>
      </c>
      <c r="M8486" s="23" t="s">
        <v>8</v>
      </c>
    </row>
    <row r="8487" spans="1:13" s="21" customFormat="1" x14ac:dyDescent="0.25">
      <c r="A8487" s="22" t="s">
        <v>8</v>
      </c>
      <c r="B8487" s="18" t="str">
        <f>"315507"</f>
        <v>315507</v>
      </c>
      <c r="C8487" s="19" t="s">
        <v>8363</v>
      </c>
      <c r="D8487" s="19" t="s">
        <v>23904</v>
      </c>
      <c r="E8487" s="19" t="s">
        <v>33898</v>
      </c>
      <c r="F8487" s="19" t="s">
        <v>36004</v>
      </c>
      <c r="G8487" s="18" t="str">
        <f>"07514"</f>
        <v>07514</v>
      </c>
      <c r="H8487" s="19" t="s">
        <v>33893</v>
      </c>
      <c r="I8487" s="20">
        <v>18.745999999999999</v>
      </c>
      <c r="J8487" s="44" t="s">
        <v>8</v>
      </c>
      <c r="K8487" s="23" t="s">
        <v>8</v>
      </c>
      <c r="L8487" s="23" t="s">
        <v>8</v>
      </c>
      <c r="M8487" s="23" t="s">
        <v>8</v>
      </c>
    </row>
    <row r="8488" spans="1:13" s="21" customFormat="1" x14ac:dyDescent="0.25">
      <c r="A8488" s="22" t="s">
        <v>8</v>
      </c>
      <c r="B8488" s="18" t="str">
        <f>"315508"</f>
        <v>315508</v>
      </c>
      <c r="C8488" s="19" t="s">
        <v>8364</v>
      </c>
      <c r="D8488" s="19" t="s">
        <v>23905</v>
      </c>
      <c r="E8488" s="19" t="s">
        <v>34003</v>
      </c>
      <c r="F8488" s="19" t="s">
        <v>36004</v>
      </c>
      <c r="G8488" s="18" t="str">
        <f>"08204"</f>
        <v>08204</v>
      </c>
      <c r="H8488" s="19" t="s">
        <v>33968</v>
      </c>
      <c r="I8488" s="20">
        <v>18.065999999999999</v>
      </c>
      <c r="J8488" s="44" t="s">
        <v>8</v>
      </c>
      <c r="K8488" s="23" t="s">
        <v>8</v>
      </c>
      <c r="L8488" s="23" t="s">
        <v>8</v>
      </c>
      <c r="M8488" s="23" t="s">
        <v>8</v>
      </c>
    </row>
    <row r="8489" spans="1:13" s="21" customFormat="1" x14ac:dyDescent="0.25">
      <c r="A8489" s="22" t="s">
        <v>8</v>
      </c>
      <c r="B8489" s="18" t="str">
        <f>"315509"</f>
        <v>315509</v>
      </c>
      <c r="C8489" s="19" t="s">
        <v>8365</v>
      </c>
      <c r="D8489" s="19" t="s">
        <v>23906</v>
      </c>
      <c r="E8489" s="19" t="s">
        <v>33962</v>
      </c>
      <c r="F8489" s="19" t="s">
        <v>36004</v>
      </c>
      <c r="G8489" s="18" t="str">
        <f>"08857"</f>
        <v>08857</v>
      </c>
      <c r="H8489" s="19" t="s">
        <v>36120</v>
      </c>
      <c r="I8489" s="20">
        <v>25.033999999999999</v>
      </c>
      <c r="J8489" s="44" t="s">
        <v>8</v>
      </c>
      <c r="K8489" s="23" t="s">
        <v>8</v>
      </c>
      <c r="L8489" s="23" t="s">
        <v>8</v>
      </c>
      <c r="M8489" s="23" t="s">
        <v>8</v>
      </c>
    </row>
    <row r="8490" spans="1:13" s="21" customFormat="1" x14ac:dyDescent="0.25">
      <c r="A8490" s="22" t="s">
        <v>8</v>
      </c>
      <c r="B8490" s="18" t="str">
        <f>"315510"</f>
        <v>315510</v>
      </c>
      <c r="C8490" s="19" t="s">
        <v>8366</v>
      </c>
      <c r="D8490" s="19" t="s">
        <v>23907</v>
      </c>
      <c r="E8490" s="19" t="s">
        <v>33986</v>
      </c>
      <c r="F8490" s="19" t="s">
        <v>36004</v>
      </c>
      <c r="G8490" s="18" t="str">
        <f>"08844"</f>
        <v>08844</v>
      </c>
      <c r="H8490" s="19" t="s">
        <v>32705</v>
      </c>
      <c r="I8490" s="20">
        <v>18.684999999999999</v>
      </c>
      <c r="J8490" s="44" t="s">
        <v>8</v>
      </c>
      <c r="K8490" s="23" t="s">
        <v>8</v>
      </c>
      <c r="L8490" s="23" t="s">
        <v>8</v>
      </c>
      <c r="M8490" s="23" t="s">
        <v>8</v>
      </c>
    </row>
    <row r="8491" spans="1:13" s="21" customFormat="1" x14ac:dyDescent="0.25">
      <c r="A8491" s="22" t="s">
        <v>8</v>
      </c>
      <c r="B8491" s="18" t="str">
        <f>"315511"</f>
        <v>315511</v>
      </c>
      <c r="C8491" s="19" t="s">
        <v>8367</v>
      </c>
      <c r="D8491" s="19" t="s">
        <v>23908</v>
      </c>
      <c r="E8491" s="19" t="s">
        <v>34004</v>
      </c>
      <c r="F8491" s="19" t="s">
        <v>36004</v>
      </c>
      <c r="G8491" s="18" t="str">
        <f>"07981"</f>
        <v>07981</v>
      </c>
      <c r="H8491" s="19" t="s">
        <v>32051</v>
      </c>
      <c r="I8491" s="20">
        <v>17.593</v>
      </c>
      <c r="J8491" s="44" t="s">
        <v>8</v>
      </c>
      <c r="K8491" s="23" t="s">
        <v>8</v>
      </c>
      <c r="L8491" s="23" t="s">
        <v>8</v>
      </c>
      <c r="M8491" s="23" t="s">
        <v>8</v>
      </c>
    </row>
    <row r="8492" spans="1:13" s="21" customFormat="1" x14ac:dyDescent="0.25">
      <c r="A8492" s="22" t="s">
        <v>8</v>
      </c>
      <c r="B8492" s="18" t="str">
        <f>"315512"</f>
        <v>315512</v>
      </c>
      <c r="C8492" s="19" t="s">
        <v>8368</v>
      </c>
      <c r="D8492" s="19" t="s">
        <v>23909</v>
      </c>
      <c r="E8492" s="19" t="s">
        <v>34005</v>
      </c>
      <c r="F8492" s="19" t="s">
        <v>36004</v>
      </c>
      <c r="G8492" s="18" t="str">
        <f>"07030"</f>
        <v>07030</v>
      </c>
      <c r="H8492" s="19" t="s">
        <v>31588</v>
      </c>
      <c r="I8492" s="20">
        <v>22.463000000000001</v>
      </c>
      <c r="J8492" s="44" t="s">
        <v>8</v>
      </c>
      <c r="K8492" s="23" t="s">
        <v>8</v>
      </c>
      <c r="L8492" s="23" t="s">
        <v>8</v>
      </c>
      <c r="M8492" s="23" t="s">
        <v>8</v>
      </c>
    </row>
    <row r="8493" spans="1:13" s="21" customFormat="1" x14ac:dyDescent="0.25">
      <c r="A8493" s="22" t="s">
        <v>8</v>
      </c>
      <c r="B8493" s="18" t="str">
        <f>"315513"</f>
        <v>315513</v>
      </c>
      <c r="C8493" s="19" t="s">
        <v>8369</v>
      </c>
      <c r="D8493" s="19" t="s">
        <v>23910</v>
      </c>
      <c r="E8493" s="19" t="s">
        <v>33927</v>
      </c>
      <c r="F8493" s="19" t="s">
        <v>36004</v>
      </c>
      <c r="G8493" s="18" t="str">
        <f>"08043"</f>
        <v>08043</v>
      </c>
      <c r="H8493" s="19" t="s">
        <v>30910</v>
      </c>
      <c r="I8493" s="20">
        <v>19.204000000000001</v>
      </c>
      <c r="J8493" s="44" t="s">
        <v>8</v>
      </c>
      <c r="K8493" s="23" t="s">
        <v>8</v>
      </c>
      <c r="L8493" s="23" t="s">
        <v>8</v>
      </c>
      <c r="M8493" s="23" t="s">
        <v>8</v>
      </c>
    </row>
    <row r="8494" spans="1:13" s="21" customFormat="1" x14ac:dyDescent="0.25">
      <c r="A8494" s="22" t="s">
        <v>8</v>
      </c>
      <c r="B8494" s="18" t="str">
        <f>"315514"</f>
        <v>315514</v>
      </c>
      <c r="C8494" s="19" t="s">
        <v>8370</v>
      </c>
      <c r="D8494" s="19" t="s">
        <v>23911</v>
      </c>
      <c r="E8494" s="19" t="s">
        <v>34006</v>
      </c>
      <c r="F8494" s="19" t="s">
        <v>36004</v>
      </c>
      <c r="G8494" s="18" t="str">
        <f>"08234"</f>
        <v>08234</v>
      </c>
      <c r="H8494" s="19" t="s">
        <v>32419</v>
      </c>
      <c r="I8494" s="20">
        <v>21.603000000000002</v>
      </c>
      <c r="J8494" s="44" t="s">
        <v>8</v>
      </c>
      <c r="K8494" s="23" t="s">
        <v>8</v>
      </c>
      <c r="L8494" s="23" t="s">
        <v>8</v>
      </c>
      <c r="M8494" s="23" t="s">
        <v>8</v>
      </c>
    </row>
    <row r="8495" spans="1:13" s="21" customFormat="1" x14ac:dyDescent="0.25">
      <c r="A8495" s="22" t="s">
        <v>8</v>
      </c>
      <c r="B8495" s="18" t="str">
        <f>"315515"</f>
        <v>315515</v>
      </c>
      <c r="C8495" s="19" t="s">
        <v>8371</v>
      </c>
      <c r="D8495" s="19" t="s">
        <v>23912</v>
      </c>
      <c r="E8495" s="19" t="s">
        <v>33956</v>
      </c>
      <c r="F8495" s="19" t="s">
        <v>36004</v>
      </c>
      <c r="G8495" s="18" t="str">
        <f>"07701"</f>
        <v>07701</v>
      </c>
      <c r="H8495" s="19" t="s">
        <v>32161</v>
      </c>
      <c r="I8495" s="20">
        <v>18.451000000000001</v>
      </c>
      <c r="J8495" s="44" t="s">
        <v>8</v>
      </c>
      <c r="K8495" s="23" t="s">
        <v>8</v>
      </c>
      <c r="L8495" s="23" t="s">
        <v>8</v>
      </c>
      <c r="M8495" s="23" t="s">
        <v>8</v>
      </c>
    </row>
    <row r="8496" spans="1:13" s="21" customFormat="1" x14ac:dyDescent="0.25">
      <c r="A8496" s="22" t="s">
        <v>8</v>
      </c>
      <c r="B8496" s="18" t="str">
        <f>"315516"</f>
        <v>315516</v>
      </c>
      <c r="C8496" s="19" t="s">
        <v>8372</v>
      </c>
      <c r="D8496" s="19" t="s">
        <v>23913</v>
      </c>
      <c r="E8496" s="19" t="s">
        <v>33942</v>
      </c>
      <c r="F8496" s="19" t="s">
        <v>36004</v>
      </c>
      <c r="G8496" s="18" t="str">
        <f>"08080"</f>
        <v>08080</v>
      </c>
      <c r="H8496" s="19" t="s">
        <v>33089</v>
      </c>
      <c r="I8496" s="20">
        <v>19.57</v>
      </c>
      <c r="J8496" s="44" t="s">
        <v>8</v>
      </c>
      <c r="K8496" s="23" t="s">
        <v>8</v>
      </c>
      <c r="L8496" s="23" t="s">
        <v>8</v>
      </c>
      <c r="M8496" s="23" t="s">
        <v>8</v>
      </c>
    </row>
    <row r="8497" spans="1:13" s="21" customFormat="1" x14ac:dyDescent="0.25">
      <c r="A8497" s="22" t="s">
        <v>8</v>
      </c>
      <c r="B8497" s="18" t="str">
        <f>"315517"</f>
        <v>315517</v>
      </c>
      <c r="C8497" s="19" t="s">
        <v>8373</v>
      </c>
      <c r="D8497" s="19" t="s">
        <v>23914</v>
      </c>
      <c r="E8497" s="19" t="s">
        <v>33891</v>
      </c>
      <c r="F8497" s="19" t="s">
        <v>36004</v>
      </c>
      <c r="G8497" s="18" t="str">
        <f>"08057"</f>
        <v>08057</v>
      </c>
      <c r="H8497" s="19" t="s">
        <v>31369</v>
      </c>
      <c r="I8497" s="20">
        <v>17.501999999999999</v>
      </c>
      <c r="J8497" s="44" t="s">
        <v>8</v>
      </c>
      <c r="K8497" s="23" t="s">
        <v>8</v>
      </c>
      <c r="L8497" s="23" t="s">
        <v>8</v>
      </c>
      <c r="M8497" s="23" t="s">
        <v>8</v>
      </c>
    </row>
    <row r="8498" spans="1:13" s="21" customFormat="1" x14ac:dyDescent="0.25">
      <c r="A8498" s="22" t="s">
        <v>8</v>
      </c>
      <c r="B8498" s="18" t="str">
        <f>"315518"</f>
        <v>315518</v>
      </c>
      <c r="C8498" s="19" t="s">
        <v>8374</v>
      </c>
      <c r="D8498" s="19" t="s">
        <v>23915</v>
      </c>
      <c r="E8498" s="19" t="s">
        <v>33928</v>
      </c>
      <c r="F8498" s="19" t="s">
        <v>36004</v>
      </c>
      <c r="G8498" s="18" t="str">
        <f>"08879"</f>
        <v>08879</v>
      </c>
      <c r="H8498" s="19" t="s">
        <v>36120</v>
      </c>
      <c r="I8498" s="20">
        <v>20.524000000000001</v>
      </c>
      <c r="J8498" s="44" t="s">
        <v>8</v>
      </c>
      <c r="K8498" s="23" t="s">
        <v>8</v>
      </c>
      <c r="L8498" s="23" t="s">
        <v>8</v>
      </c>
      <c r="M8498" s="23" t="s">
        <v>8</v>
      </c>
    </row>
    <row r="8499" spans="1:13" s="21" customFormat="1" x14ac:dyDescent="0.25">
      <c r="A8499" s="22" t="s">
        <v>8</v>
      </c>
      <c r="B8499" s="18" t="str">
        <f>"315519"</f>
        <v>315519</v>
      </c>
      <c r="C8499" s="19" t="s">
        <v>8375</v>
      </c>
      <c r="D8499" s="19" t="s">
        <v>23916</v>
      </c>
      <c r="E8499" s="19" t="s">
        <v>30804</v>
      </c>
      <c r="F8499" s="19" t="s">
        <v>36004</v>
      </c>
      <c r="G8499" s="18" t="str">
        <f>"08690"</f>
        <v>08690</v>
      </c>
      <c r="H8499" s="19" t="s">
        <v>34991</v>
      </c>
      <c r="I8499" s="20">
        <v>20.765999999999998</v>
      </c>
      <c r="J8499" s="44" t="s">
        <v>8</v>
      </c>
      <c r="K8499" s="23" t="s">
        <v>8</v>
      </c>
      <c r="L8499" s="23" t="s">
        <v>8</v>
      </c>
      <c r="M8499" s="23" t="s">
        <v>8</v>
      </c>
    </row>
    <row r="8500" spans="1:13" s="21" customFormat="1" x14ac:dyDescent="0.25">
      <c r="A8500" s="22" t="s">
        <v>8</v>
      </c>
      <c r="B8500" s="18" t="s">
        <v>15296</v>
      </c>
      <c r="C8500" s="19" t="s">
        <v>8376</v>
      </c>
      <c r="D8500" s="19" t="s">
        <v>23917</v>
      </c>
      <c r="E8500" s="19" t="s">
        <v>31223</v>
      </c>
      <c r="F8500" s="19" t="s">
        <v>36005</v>
      </c>
      <c r="G8500" s="18" t="str">
        <f>"88210"</f>
        <v>88210</v>
      </c>
      <c r="H8500" s="19" t="s">
        <v>36579</v>
      </c>
      <c r="I8500" s="20">
        <v>18.771000000000001</v>
      </c>
      <c r="J8500" s="44" t="s">
        <v>8</v>
      </c>
      <c r="K8500" s="23" t="s">
        <v>8</v>
      </c>
      <c r="L8500" s="23" t="s">
        <v>8</v>
      </c>
      <c r="M8500" s="23" t="s">
        <v>8</v>
      </c>
    </row>
    <row r="8501" spans="1:13" s="21" customFormat="1" x14ac:dyDescent="0.25">
      <c r="A8501" s="22" t="s">
        <v>8</v>
      </c>
      <c r="B8501" s="18" t="str">
        <f>"325030"</f>
        <v>325030</v>
      </c>
      <c r="C8501" s="19" t="s">
        <v>8377</v>
      </c>
      <c r="D8501" s="19" t="s">
        <v>23918</v>
      </c>
      <c r="E8501" s="19" t="s">
        <v>34007</v>
      </c>
      <c r="F8501" s="19" t="s">
        <v>36005</v>
      </c>
      <c r="G8501" s="18" t="str">
        <f>"87505"</f>
        <v>87505</v>
      </c>
      <c r="H8501" s="19" t="s">
        <v>34007</v>
      </c>
      <c r="I8501" s="20">
        <v>18.268000000000001</v>
      </c>
      <c r="J8501" s="44" t="s">
        <v>8</v>
      </c>
      <c r="K8501" s="23" t="s">
        <v>8</v>
      </c>
      <c r="L8501" s="23" t="s">
        <v>8</v>
      </c>
      <c r="M8501" s="23" t="s">
        <v>8</v>
      </c>
    </row>
    <row r="8502" spans="1:13" s="21" customFormat="1" x14ac:dyDescent="0.25">
      <c r="A8502" s="22" t="s">
        <v>8</v>
      </c>
      <c r="B8502" s="18" t="str">
        <f>"325032"</f>
        <v>325032</v>
      </c>
      <c r="C8502" s="19" t="s">
        <v>8378</v>
      </c>
      <c r="D8502" s="19" t="s">
        <v>23919</v>
      </c>
      <c r="E8502" s="19" t="s">
        <v>34008</v>
      </c>
      <c r="F8502" s="19" t="s">
        <v>36005</v>
      </c>
      <c r="G8502" s="18" t="str">
        <f>"87112"</f>
        <v>87112</v>
      </c>
      <c r="H8502" s="19" t="s">
        <v>36580</v>
      </c>
      <c r="I8502" s="20">
        <v>18.547999999999998</v>
      </c>
      <c r="J8502" s="44" t="s">
        <v>8</v>
      </c>
      <c r="K8502" s="23" t="s">
        <v>8</v>
      </c>
      <c r="L8502" s="23" t="s">
        <v>8</v>
      </c>
      <c r="M8502" s="23" t="s">
        <v>8</v>
      </c>
    </row>
    <row r="8503" spans="1:13" s="21" customFormat="1" x14ac:dyDescent="0.25">
      <c r="A8503" s="22" t="s">
        <v>8</v>
      </c>
      <c r="B8503" s="18" t="str">
        <f>"325033"</f>
        <v>325033</v>
      </c>
      <c r="C8503" s="19" t="s">
        <v>8379</v>
      </c>
      <c r="D8503" s="19" t="s">
        <v>23920</v>
      </c>
      <c r="E8503" s="19" t="s">
        <v>34009</v>
      </c>
      <c r="F8503" s="19" t="s">
        <v>36005</v>
      </c>
      <c r="G8503" s="18" t="str">
        <f>"87124"</f>
        <v>87124</v>
      </c>
      <c r="H8503" s="19" t="s">
        <v>36581</v>
      </c>
      <c r="I8503" s="20">
        <v>19.253</v>
      </c>
      <c r="J8503" s="44" t="s">
        <v>8</v>
      </c>
      <c r="K8503" s="23" t="s">
        <v>8</v>
      </c>
      <c r="L8503" s="23" t="s">
        <v>8</v>
      </c>
      <c r="M8503" s="23" t="s">
        <v>8</v>
      </c>
    </row>
    <row r="8504" spans="1:13" s="21" customFormat="1" x14ac:dyDescent="0.25">
      <c r="A8504" s="22" t="s">
        <v>8</v>
      </c>
      <c r="B8504" s="18" t="str">
        <f>"325034"</f>
        <v>325034</v>
      </c>
      <c r="C8504" s="19" t="s">
        <v>8380</v>
      </c>
      <c r="D8504" s="19" t="s">
        <v>23921</v>
      </c>
      <c r="E8504" s="19" t="s">
        <v>34008</v>
      </c>
      <c r="F8504" s="19" t="s">
        <v>36005</v>
      </c>
      <c r="G8504" s="18" t="str">
        <f>"87109"</f>
        <v>87109</v>
      </c>
      <c r="H8504" s="19" t="s">
        <v>36580</v>
      </c>
      <c r="I8504" s="20">
        <v>20.413</v>
      </c>
      <c r="J8504" s="44" t="s">
        <v>8</v>
      </c>
      <c r="K8504" s="23" t="s">
        <v>8</v>
      </c>
      <c r="L8504" s="23" t="s">
        <v>8</v>
      </c>
      <c r="M8504" s="23" t="s">
        <v>8</v>
      </c>
    </row>
    <row r="8505" spans="1:13" s="21" customFormat="1" x14ac:dyDescent="0.25">
      <c r="A8505" s="22" t="s">
        <v>8</v>
      </c>
      <c r="B8505" s="18" t="str">
        <f>"325035"</f>
        <v>325035</v>
      </c>
      <c r="C8505" s="19" t="s">
        <v>8381</v>
      </c>
      <c r="D8505" s="19" t="s">
        <v>23922</v>
      </c>
      <c r="E8505" s="19" t="s">
        <v>34008</v>
      </c>
      <c r="F8505" s="19" t="s">
        <v>36005</v>
      </c>
      <c r="G8505" s="18" t="str">
        <f>"87111"</f>
        <v>87111</v>
      </c>
      <c r="H8505" s="19" t="s">
        <v>36580</v>
      </c>
      <c r="I8505" s="20">
        <v>18.082000000000001</v>
      </c>
      <c r="J8505" s="44" t="s">
        <v>8</v>
      </c>
      <c r="K8505" s="23" t="s">
        <v>8</v>
      </c>
      <c r="L8505" s="23" t="s">
        <v>8</v>
      </c>
      <c r="M8505" s="23" t="s">
        <v>8</v>
      </c>
    </row>
    <row r="8506" spans="1:13" s="21" customFormat="1" x14ac:dyDescent="0.25">
      <c r="A8506" s="22" t="s">
        <v>8</v>
      </c>
      <c r="B8506" s="18" t="str">
        <f>"325036"</f>
        <v>325036</v>
      </c>
      <c r="C8506" s="19" t="s">
        <v>8382</v>
      </c>
      <c r="D8506" s="19" t="s">
        <v>23923</v>
      </c>
      <c r="E8506" s="19" t="s">
        <v>34008</v>
      </c>
      <c r="F8506" s="19" t="s">
        <v>36005</v>
      </c>
      <c r="G8506" s="18" t="str">
        <f>"87109"</f>
        <v>87109</v>
      </c>
      <c r="H8506" s="19" t="s">
        <v>36580</v>
      </c>
      <c r="I8506" s="20">
        <v>16.004999999999999</v>
      </c>
      <c r="J8506" s="44" t="s">
        <v>8</v>
      </c>
      <c r="K8506" s="23" t="s">
        <v>8</v>
      </c>
      <c r="L8506" s="23" t="s">
        <v>8</v>
      </c>
      <c r="M8506" s="23" t="s">
        <v>8</v>
      </c>
    </row>
    <row r="8507" spans="1:13" s="21" customFormat="1" x14ac:dyDescent="0.25">
      <c r="A8507" s="22" t="s">
        <v>8</v>
      </c>
      <c r="B8507" s="18" t="str">
        <f>"325037"</f>
        <v>325037</v>
      </c>
      <c r="C8507" s="19" t="s">
        <v>8383</v>
      </c>
      <c r="D8507" s="19" t="s">
        <v>23924</v>
      </c>
      <c r="E8507" s="19" t="s">
        <v>34008</v>
      </c>
      <c r="F8507" s="19" t="s">
        <v>36005</v>
      </c>
      <c r="G8507" s="18" t="str">
        <f>"87120"</f>
        <v>87120</v>
      </c>
      <c r="H8507" s="19" t="s">
        <v>36580</v>
      </c>
      <c r="I8507" s="20">
        <v>18.704999999999998</v>
      </c>
      <c r="J8507" s="44" t="s">
        <v>8</v>
      </c>
      <c r="K8507" s="23" t="s">
        <v>8</v>
      </c>
      <c r="L8507" s="23" t="s">
        <v>8</v>
      </c>
      <c r="M8507" s="23" t="s">
        <v>8</v>
      </c>
    </row>
    <row r="8508" spans="1:13" s="21" customFormat="1" x14ac:dyDescent="0.25">
      <c r="A8508" s="22" t="s">
        <v>8</v>
      </c>
      <c r="B8508" s="18" t="str">
        <f>"325038"</f>
        <v>325038</v>
      </c>
      <c r="C8508" s="19" t="s">
        <v>8384</v>
      </c>
      <c r="D8508" s="19" t="s">
        <v>23925</v>
      </c>
      <c r="E8508" s="19" t="s">
        <v>34007</v>
      </c>
      <c r="F8508" s="19" t="s">
        <v>36005</v>
      </c>
      <c r="G8508" s="18" t="str">
        <f>"87505"</f>
        <v>87505</v>
      </c>
      <c r="H8508" s="19" t="s">
        <v>34007</v>
      </c>
      <c r="I8508" s="20">
        <v>19.858000000000001</v>
      </c>
      <c r="J8508" s="44" t="s">
        <v>8</v>
      </c>
      <c r="K8508" s="23" t="s">
        <v>8</v>
      </c>
      <c r="L8508" s="23" t="s">
        <v>8</v>
      </c>
      <c r="M8508" s="23" t="s">
        <v>8</v>
      </c>
    </row>
    <row r="8509" spans="1:13" s="21" customFormat="1" x14ac:dyDescent="0.25">
      <c r="A8509" s="22" t="s">
        <v>8</v>
      </c>
      <c r="B8509" s="18" t="str">
        <f>"325039"</f>
        <v>325039</v>
      </c>
      <c r="C8509" s="19" t="s">
        <v>8385</v>
      </c>
      <c r="D8509" s="19" t="s">
        <v>23926</v>
      </c>
      <c r="E8509" s="19" t="s">
        <v>34010</v>
      </c>
      <c r="F8509" s="19" t="s">
        <v>36005</v>
      </c>
      <c r="G8509" s="18" t="str">
        <f>"88011"</f>
        <v>88011</v>
      </c>
      <c r="H8509" s="19" t="s">
        <v>36582</v>
      </c>
      <c r="I8509" s="20">
        <v>18.853999999999999</v>
      </c>
      <c r="J8509" s="44" t="s">
        <v>8</v>
      </c>
      <c r="K8509" s="23" t="s">
        <v>8</v>
      </c>
      <c r="L8509" s="23" t="s">
        <v>8</v>
      </c>
      <c r="M8509" s="23" t="s">
        <v>8</v>
      </c>
    </row>
    <row r="8510" spans="1:13" s="21" customFormat="1" x14ac:dyDescent="0.25">
      <c r="A8510" s="22" t="s">
        <v>8</v>
      </c>
      <c r="B8510" s="18" t="str">
        <f>"325040"</f>
        <v>325040</v>
      </c>
      <c r="C8510" s="19" t="s">
        <v>8386</v>
      </c>
      <c r="D8510" s="19" t="s">
        <v>23927</v>
      </c>
      <c r="E8510" s="19" t="s">
        <v>34011</v>
      </c>
      <c r="F8510" s="19" t="s">
        <v>36005</v>
      </c>
      <c r="G8510" s="18" t="str">
        <f>"88240"</f>
        <v>88240</v>
      </c>
      <c r="H8510" s="19" t="s">
        <v>36583</v>
      </c>
      <c r="I8510" s="20">
        <v>19.809000000000001</v>
      </c>
      <c r="J8510" s="44" t="s">
        <v>8</v>
      </c>
      <c r="K8510" s="23" t="s">
        <v>8</v>
      </c>
      <c r="L8510" s="23" t="s">
        <v>8</v>
      </c>
      <c r="M8510" s="23" t="s">
        <v>8</v>
      </c>
    </row>
    <row r="8511" spans="1:13" s="21" customFormat="1" x14ac:dyDescent="0.25">
      <c r="A8511" s="22" t="s">
        <v>8</v>
      </c>
      <c r="B8511" s="18" t="str">
        <f>"325042"</f>
        <v>325042</v>
      </c>
      <c r="C8511" s="19" t="s">
        <v>8387</v>
      </c>
      <c r="D8511" s="19" t="s">
        <v>23928</v>
      </c>
      <c r="E8511" s="19" t="s">
        <v>34008</v>
      </c>
      <c r="F8511" s="19" t="s">
        <v>36005</v>
      </c>
      <c r="G8511" s="18" t="str">
        <f>"87110"</f>
        <v>87110</v>
      </c>
      <c r="H8511" s="19" t="s">
        <v>36580</v>
      </c>
      <c r="I8511" s="20">
        <v>19.074999999999999</v>
      </c>
      <c r="J8511" s="44" t="s">
        <v>8</v>
      </c>
      <c r="K8511" s="23" t="s">
        <v>8</v>
      </c>
      <c r="L8511" s="23" t="s">
        <v>8</v>
      </c>
      <c r="M8511" s="23" t="s">
        <v>8</v>
      </c>
    </row>
    <row r="8512" spans="1:13" s="21" customFormat="1" x14ac:dyDescent="0.25">
      <c r="A8512" s="22" t="s">
        <v>8</v>
      </c>
      <c r="B8512" s="18" t="str">
        <f>"325043"</f>
        <v>325043</v>
      </c>
      <c r="C8512" s="19" t="s">
        <v>8388</v>
      </c>
      <c r="D8512" s="19" t="s">
        <v>23929</v>
      </c>
      <c r="E8512" s="19" t="s">
        <v>34012</v>
      </c>
      <c r="F8512" s="19" t="s">
        <v>36005</v>
      </c>
      <c r="G8512" s="18" t="str">
        <f>"88310"</f>
        <v>88310</v>
      </c>
      <c r="H8512" s="19" t="s">
        <v>36110</v>
      </c>
      <c r="I8512" s="20">
        <v>22.655000000000001</v>
      </c>
      <c r="J8512" s="44" t="s">
        <v>8</v>
      </c>
      <c r="K8512" s="23" t="s">
        <v>8</v>
      </c>
      <c r="L8512" s="23" t="s">
        <v>8</v>
      </c>
      <c r="M8512" s="23" t="s">
        <v>8</v>
      </c>
    </row>
    <row r="8513" spans="1:13" s="21" customFormat="1" x14ac:dyDescent="0.25">
      <c r="A8513" s="22" t="s">
        <v>8</v>
      </c>
      <c r="B8513" s="18" t="str">
        <f>"325044"</f>
        <v>325044</v>
      </c>
      <c r="C8513" s="19" t="s">
        <v>8389</v>
      </c>
      <c r="D8513" s="19" t="s">
        <v>23930</v>
      </c>
      <c r="E8513" s="19" t="s">
        <v>31767</v>
      </c>
      <c r="F8513" s="19" t="s">
        <v>36005</v>
      </c>
      <c r="G8513" s="18" t="str">
        <f>"88201"</f>
        <v>88201</v>
      </c>
      <c r="H8513" s="19" t="s">
        <v>36584</v>
      </c>
      <c r="I8513" s="20">
        <v>19.902000000000001</v>
      </c>
      <c r="J8513" s="44" t="s">
        <v>8</v>
      </c>
      <c r="K8513" s="23" t="s">
        <v>8</v>
      </c>
      <c r="L8513" s="23" t="s">
        <v>8</v>
      </c>
      <c r="M8513" s="23" t="s">
        <v>8</v>
      </c>
    </row>
    <row r="8514" spans="1:13" s="21" customFormat="1" x14ac:dyDescent="0.25">
      <c r="A8514" s="22" t="s">
        <v>8</v>
      </c>
      <c r="B8514" s="18" t="str">
        <f>"325045"</f>
        <v>325045</v>
      </c>
      <c r="C8514" s="19" t="s">
        <v>8390</v>
      </c>
      <c r="D8514" s="19" t="s">
        <v>23931</v>
      </c>
      <c r="E8514" s="19" t="s">
        <v>34008</v>
      </c>
      <c r="F8514" s="19" t="s">
        <v>36005</v>
      </c>
      <c r="G8514" s="18" t="str">
        <f>"87108"</f>
        <v>87108</v>
      </c>
      <c r="H8514" s="19" t="s">
        <v>36580</v>
      </c>
      <c r="I8514" s="20">
        <v>17.074999999999999</v>
      </c>
      <c r="J8514" s="44" t="s">
        <v>8</v>
      </c>
      <c r="K8514" s="23" t="s">
        <v>8</v>
      </c>
      <c r="L8514" s="23" t="s">
        <v>8</v>
      </c>
      <c r="M8514" s="23" t="s">
        <v>8</v>
      </c>
    </row>
    <row r="8515" spans="1:13" s="21" customFormat="1" x14ac:dyDescent="0.25">
      <c r="A8515" s="22" t="s">
        <v>8</v>
      </c>
      <c r="B8515" s="18" t="str">
        <f>"325047"</f>
        <v>325047</v>
      </c>
      <c r="C8515" s="19" t="s">
        <v>8391</v>
      </c>
      <c r="D8515" s="19" t="s">
        <v>23932</v>
      </c>
      <c r="E8515" s="19" t="s">
        <v>34010</v>
      </c>
      <c r="F8515" s="19" t="s">
        <v>36005</v>
      </c>
      <c r="G8515" s="18" t="str">
        <f>"88005"</f>
        <v>88005</v>
      </c>
      <c r="H8515" s="19" t="s">
        <v>36582</v>
      </c>
      <c r="I8515" s="20">
        <v>15.925000000000001</v>
      </c>
      <c r="J8515" s="44" t="s">
        <v>8</v>
      </c>
      <c r="K8515" s="23" t="s">
        <v>8</v>
      </c>
      <c r="L8515" s="23" t="s">
        <v>8</v>
      </c>
      <c r="M8515" s="23" t="s">
        <v>8</v>
      </c>
    </row>
    <row r="8516" spans="1:13" s="21" customFormat="1" x14ac:dyDescent="0.25">
      <c r="A8516" s="22" t="s">
        <v>8</v>
      </c>
      <c r="B8516" s="18" t="str">
        <f>"325048"</f>
        <v>325048</v>
      </c>
      <c r="C8516" s="19" t="s">
        <v>8392</v>
      </c>
      <c r="D8516" s="19" t="s">
        <v>23933</v>
      </c>
      <c r="E8516" s="19" t="s">
        <v>34008</v>
      </c>
      <c r="F8516" s="19" t="s">
        <v>36005</v>
      </c>
      <c r="G8516" s="18" t="str">
        <f>"87111"</f>
        <v>87111</v>
      </c>
      <c r="H8516" s="19" t="s">
        <v>36580</v>
      </c>
      <c r="I8516" s="20">
        <v>17.283000000000001</v>
      </c>
      <c r="J8516" s="44" t="s">
        <v>8</v>
      </c>
      <c r="K8516" s="23" t="s">
        <v>8</v>
      </c>
      <c r="L8516" s="23" t="s">
        <v>8</v>
      </c>
      <c r="M8516" s="23" t="s">
        <v>8</v>
      </c>
    </row>
    <row r="8517" spans="1:13" s="21" customFormat="1" x14ac:dyDescent="0.25">
      <c r="A8517" s="22" t="s">
        <v>8</v>
      </c>
      <c r="B8517" s="18" t="str">
        <f>"325054"</f>
        <v>325054</v>
      </c>
      <c r="C8517" s="19" t="s">
        <v>8393</v>
      </c>
      <c r="D8517" s="19" t="s">
        <v>23934</v>
      </c>
      <c r="E8517" s="19" t="s">
        <v>34008</v>
      </c>
      <c r="F8517" s="19" t="s">
        <v>36005</v>
      </c>
      <c r="G8517" s="18" t="str">
        <f>"87111"</f>
        <v>87111</v>
      </c>
      <c r="H8517" s="19" t="s">
        <v>36580</v>
      </c>
      <c r="I8517" s="20">
        <v>18.933</v>
      </c>
      <c r="J8517" s="44" t="s">
        <v>8</v>
      </c>
      <c r="K8517" s="23" t="s">
        <v>8</v>
      </c>
      <c r="L8517" s="23" t="s">
        <v>8</v>
      </c>
      <c r="M8517" s="23" t="s">
        <v>8</v>
      </c>
    </row>
    <row r="8518" spans="1:13" s="21" customFormat="1" x14ac:dyDescent="0.25">
      <c r="A8518" s="22" t="s">
        <v>8</v>
      </c>
      <c r="B8518" s="18" t="str">
        <f>"325056"</f>
        <v>325056</v>
      </c>
      <c r="C8518" s="19" t="s">
        <v>8394</v>
      </c>
      <c r="D8518" s="19" t="s">
        <v>23935</v>
      </c>
      <c r="E8518" s="19" t="s">
        <v>34013</v>
      </c>
      <c r="F8518" s="19" t="s">
        <v>36005</v>
      </c>
      <c r="G8518" s="18" t="str">
        <f>"87544"</f>
        <v>87544</v>
      </c>
      <c r="H8518" s="19" t="s">
        <v>34013</v>
      </c>
      <c r="I8518" s="20">
        <v>20.39</v>
      </c>
      <c r="J8518" s="44" t="s">
        <v>8</v>
      </c>
      <c r="K8518" s="23" t="s">
        <v>8</v>
      </c>
      <c r="L8518" s="23" t="s">
        <v>8</v>
      </c>
      <c r="M8518" s="23" t="s">
        <v>8</v>
      </c>
    </row>
    <row r="8519" spans="1:13" s="21" customFormat="1" x14ac:dyDescent="0.25">
      <c r="A8519" s="22" t="s">
        <v>8</v>
      </c>
      <c r="B8519" s="18" t="str">
        <f>"325057"</f>
        <v>325057</v>
      </c>
      <c r="C8519" s="19" t="s">
        <v>8395</v>
      </c>
      <c r="D8519" s="19" t="s">
        <v>23936</v>
      </c>
      <c r="E8519" s="19" t="s">
        <v>34014</v>
      </c>
      <c r="F8519" s="19" t="s">
        <v>36005</v>
      </c>
      <c r="G8519" s="18" t="str">
        <f>"88260"</f>
        <v>88260</v>
      </c>
      <c r="H8519" s="19" t="s">
        <v>36583</v>
      </c>
      <c r="I8519" s="20">
        <v>17.940000000000001</v>
      </c>
      <c r="J8519" s="44" t="s">
        <v>8</v>
      </c>
      <c r="K8519" s="23" t="s">
        <v>8</v>
      </c>
      <c r="L8519" s="23" t="s">
        <v>8</v>
      </c>
      <c r="M8519" s="23" t="s">
        <v>8</v>
      </c>
    </row>
    <row r="8520" spans="1:13" s="21" customFormat="1" x14ac:dyDescent="0.25">
      <c r="A8520" s="22" t="s">
        <v>8</v>
      </c>
      <c r="B8520" s="18" t="str">
        <f>"325058"</f>
        <v>325058</v>
      </c>
      <c r="C8520" s="19" t="s">
        <v>8396</v>
      </c>
      <c r="D8520" s="19" t="s">
        <v>23937</v>
      </c>
      <c r="E8520" s="19" t="s">
        <v>34015</v>
      </c>
      <c r="F8520" s="19" t="s">
        <v>36005</v>
      </c>
      <c r="G8520" s="18" t="str">
        <f>"87020"</f>
        <v>87020</v>
      </c>
      <c r="H8520" s="19" t="s">
        <v>36585</v>
      </c>
      <c r="I8520" s="20">
        <v>18.890999999999998</v>
      </c>
      <c r="J8520" s="44" t="s">
        <v>8</v>
      </c>
      <c r="K8520" s="23" t="s">
        <v>8</v>
      </c>
      <c r="L8520" s="23" t="s">
        <v>8</v>
      </c>
      <c r="M8520" s="23" t="s">
        <v>8</v>
      </c>
    </row>
    <row r="8521" spans="1:13" s="21" customFormat="1" x14ac:dyDescent="0.25">
      <c r="A8521" s="22" t="s">
        <v>8</v>
      </c>
      <c r="B8521" s="18" t="str">
        <f>"325059"</f>
        <v>325059</v>
      </c>
      <c r="C8521" s="19" t="s">
        <v>8397</v>
      </c>
      <c r="D8521" s="19" t="s">
        <v>23938</v>
      </c>
      <c r="E8521" s="19" t="s">
        <v>34016</v>
      </c>
      <c r="F8521" s="19" t="s">
        <v>36005</v>
      </c>
      <c r="G8521" s="18" t="str">
        <f>"87532"</f>
        <v>87532</v>
      </c>
      <c r="H8521" s="19" t="s">
        <v>36586</v>
      </c>
      <c r="I8521" s="20">
        <v>17.97</v>
      </c>
      <c r="J8521" s="44" t="s">
        <v>8</v>
      </c>
      <c r="K8521" s="23" t="s">
        <v>8</v>
      </c>
      <c r="L8521" s="23" t="s">
        <v>8</v>
      </c>
      <c r="M8521" s="23" t="s">
        <v>8</v>
      </c>
    </row>
    <row r="8522" spans="1:13" s="21" customFormat="1" x14ac:dyDescent="0.25">
      <c r="A8522" s="22" t="s">
        <v>8</v>
      </c>
      <c r="B8522" s="18" t="str">
        <f>"325060"</f>
        <v>325060</v>
      </c>
      <c r="C8522" s="19" t="s">
        <v>8398</v>
      </c>
      <c r="D8522" s="19" t="s">
        <v>23939</v>
      </c>
      <c r="E8522" s="19" t="s">
        <v>34008</v>
      </c>
      <c r="F8522" s="19" t="s">
        <v>36005</v>
      </c>
      <c r="G8522" s="18" t="str">
        <f>"87102"</f>
        <v>87102</v>
      </c>
      <c r="H8522" s="19" t="s">
        <v>36580</v>
      </c>
      <c r="I8522" s="20">
        <v>19.419</v>
      </c>
      <c r="J8522" s="44" t="s">
        <v>8</v>
      </c>
      <c r="K8522" s="23" t="s">
        <v>8</v>
      </c>
      <c r="L8522" s="23" t="s">
        <v>8</v>
      </c>
      <c r="M8522" s="23" t="s">
        <v>8</v>
      </c>
    </row>
    <row r="8523" spans="1:13" s="21" customFormat="1" x14ac:dyDescent="0.25">
      <c r="A8523" s="22" t="s">
        <v>8</v>
      </c>
      <c r="B8523" s="18" t="str">
        <f>"325061"</f>
        <v>325061</v>
      </c>
      <c r="C8523" s="19" t="s">
        <v>8399</v>
      </c>
      <c r="D8523" s="19" t="s">
        <v>23940</v>
      </c>
      <c r="E8523" s="19" t="s">
        <v>34012</v>
      </c>
      <c r="F8523" s="19" t="s">
        <v>36005</v>
      </c>
      <c r="G8523" s="18" t="str">
        <f>"88310"</f>
        <v>88310</v>
      </c>
      <c r="H8523" s="19" t="s">
        <v>36110</v>
      </c>
      <c r="I8523" s="20">
        <v>18.033999999999999</v>
      </c>
      <c r="J8523" s="44" t="s">
        <v>8</v>
      </c>
      <c r="K8523" s="23" t="s">
        <v>8</v>
      </c>
      <c r="L8523" s="23" t="s">
        <v>8</v>
      </c>
      <c r="M8523" s="23" t="s">
        <v>8</v>
      </c>
    </row>
    <row r="8524" spans="1:13" s="21" customFormat="1" x14ac:dyDescent="0.25">
      <c r="A8524" s="22" t="s">
        <v>8</v>
      </c>
      <c r="B8524" s="18" t="str">
        <f>"325062"</f>
        <v>325062</v>
      </c>
      <c r="C8524" s="19" t="s">
        <v>8400</v>
      </c>
      <c r="D8524" s="19" t="s">
        <v>23941</v>
      </c>
      <c r="E8524" s="19" t="s">
        <v>34017</v>
      </c>
      <c r="F8524" s="19" t="s">
        <v>36005</v>
      </c>
      <c r="G8524" s="18" t="str">
        <f>"87901"</f>
        <v>87901</v>
      </c>
      <c r="H8524" s="19" t="s">
        <v>36587</v>
      </c>
      <c r="I8524" s="20">
        <v>20.385000000000002</v>
      </c>
      <c r="J8524" s="44" t="s">
        <v>8</v>
      </c>
      <c r="K8524" s="23" t="s">
        <v>8</v>
      </c>
      <c r="L8524" s="23" t="s">
        <v>8</v>
      </c>
      <c r="M8524" s="23" t="s">
        <v>8</v>
      </c>
    </row>
    <row r="8525" spans="1:13" s="21" customFormat="1" x14ac:dyDescent="0.25">
      <c r="A8525" s="22" t="s">
        <v>8</v>
      </c>
      <c r="B8525" s="18" t="str">
        <f>"325064"</f>
        <v>325064</v>
      </c>
      <c r="C8525" s="19" t="s">
        <v>8401</v>
      </c>
      <c r="D8525" s="19" t="s">
        <v>23942</v>
      </c>
      <c r="E8525" s="19" t="s">
        <v>34008</v>
      </c>
      <c r="F8525" s="19" t="s">
        <v>36005</v>
      </c>
      <c r="G8525" s="18" t="str">
        <f>"87114"</f>
        <v>87114</v>
      </c>
      <c r="H8525" s="19" t="s">
        <v>36580</v>
      </c>
      <c r="I8525" s="20">
        <v>15.281000000000001</v>
      </c>
      <c r="J8525" s="44" t="s">
        <v>8</v>
      </c>
      <c r="K8525" s="23" t="s">
        <v>8</v>
      </c>
      <c r="L8525" s="23" t="s">
        <v>8</v>
      </c>
      <c r="M8525" s="23" t="s">
        <v>8</v>
      </c>
    </row>
    <row r="8526" spans="1:13" s="21" customFormat="1" x14ac:dyDescent="0.25">
      <c r="A8526" s="22" t="s">
        <v>8</v>
      </c>
      <c r="B8526" s="18" t="str">
        <f>"325065"</f>
        <v>325065</v>
      </c>
      <c r="C8526" s="19" t="s">
        <v>8402</v>
      </c>
      <c r="D8526" s="19" t="s">
        <v>23943</v>
      </c>
      <c r="E8526" s="19" t="s">
        <v>33837</v>
      </c>
      <c r="F8526" s="19" t="s">
        <v>36005</v>
      </c>
      <c r="G8526" s="18" t="str">
        <f>"87701"</f>
        <v>87701</v>
      </c>
      <c r="H8526" s="19" t="s">
        <v>36588</v>
      </c>
      <c r="I8526" s="20">
        <v>17.530999999999999</v>
      </c>
      <c r="J8526" s="44" t="s">
        <v>8</v>
      </c>
      <c r="K8526" s="23" t="s">
        <v>8</v>
      </c>
      <c r="L8526" s="23" t="s">
        <v>8</v>
      </c>
      <c r="M8526" s="23" t="s">
        <v>8</v>
      </c>
    </row>
    <row r="8527" spans="1:13" s="21" customFormat="1" x14ac:dyDescent="0.25">
      <c r="A8527" s="22" t="s">
        <v>8</v>
      </c>
      <c r="B8527" s="18" t="str">
        <f>"325066"</f>
        <v>325066</v>
      </c>
      <c r="C8527" s="19" t="s">
        <v>8403</v>
      </c>
      <c r="D8527" s="19" t="s">
        <v>23944</v>
      </c>
      <c r="E8527" s="19" t="s">
        <v>31416</v>
      </c>
      <c r="F8527" s="19" t="s">
        <v>36005</v>
      </c>
      <c r="G8527" s="18" t="str">
        <f>"87413"</f>
        <v>87413</v>
      </c>
      <c r="H8527" s="19" t="s">
        <v>35251</v>
      </c>
      <c r="I8527" s="20">
        <v>23.484999999999999</v>
      </c>
      <c r="J8527" s="44" t="s">
        <v>8</v>
      </c>
      <c r="K8527" s="23" t="s">
        <v>8</v>
      </c>
      <c r="L8527" s="23" t="s">
        <v>8</v>
      </c>
      <c r="M8527" s="23" t="s">
        <v>8</v>
      </c>
    </row>
    <row r="8528" spans="1:13" s="21" customFormat="1" x14ac:dyDescent="0.25">
      <c r="A8528" s="22" t="s">
        <v>8</v>
      </c>
      <c r="B8528" s="18" t="str">
        <f>"325067"</f>
        <v>325067</v>
      </c>
      <c r="C8528" s="19" t="s">
        <v>8404</v>
      </c>
      <c r="D8528" s="19" t="s">
        <v>23945</v>
      </c>
      <c r="E8528" s="19" t="s">
        <v>34010</v>
      </c>
      <c r="F8528" s="19" t="s">
        <v>36005</v>
      </c>
      <c r="G8528" s="18" t="str">
        <f>"88011"</f>
        <v>88011</v>
      </c>
      <c r="H8528" s="19" t="s">
        <v>36582</v>
      </c>
      <c r="I8528" s="20">
        <v>22.113</v>
      </c>
      <c r="J8528" s="44" t="s">
        <v>8</v>
      </c>
      <c r="K8528" s="23" t="s">
        <v>8</v>
      </c>
      <c r="L8528" s="23" t="s">
        <v>8</v>
      </c>
      <c r="M8528" s="23" t="s">
        <v>8</v>
      </c>
    </row>
    <row r="8529" spans="1:13" s="21" customFormat="1" x14ac:dyDescent="0.25">
      <c r="A8529" s="22" t="s">
        <v>8</v>
      </c>
      <c r="B8529" s="18" t="str">
        <f>"325068"</f>
        <v>325068</v>
      </c>
      <c r="C8529" s="19" t="s">
        <v>8405</v>
      </c>
      <c r="D8529" s="19" t="s">
        <v>23946</v>
      </c>
      <c r="E8529" s="19" t="s">
        <v>34018</v>
      </c>
      <c r="F8529" s="19" t="s">
        <v>36005</v>
      </c>
      <c r="G8529" s="18" t="str">
        <f>"87002"</f>
        <v>87002</v>
      </c>
      <c r="H8529" s="19" t="s">
        <v>34886</v>
      </c>
      <c r="I8529" s="20">
        <v>16.251999999999999</v>
      </c>
      <c r="J8529" s="44" t="s">
        <v>8</v>
      </c>
      <c r="K8529" s="23" t="s">
        <v>8</v>
      </c>
      <c r="L8529" s="23" t="s">
        <v>8</v>
      </c>
      <c r="M8529" s="23" t="s">
        <v>8</v>
      </c>
    </row>
    <row r="8530" spans="1:13" s="21" customFormat="1" x14ac:dyDescent="0.25">
      <c r="A8530" s="22" t="s">
        <v>8</v>
      </c>
      <c r="B8530" s="18" t="str">
        <f>"325069"</f>
        <v>325069</v>
      </c>
      <c r="C8530" s="19" t="s">
        <v>8406</v>
      </c>
      <c r="D8530" s="19" t="s">
        <v>23947</v>
      </c>
      <c r="E8530" s="19" t="s">
        <v>34008</v>
      </c>
      <c r="F8530" s="19" t="s">
        <v>36005</v>
      </c>
      <c r="G8530" s="18" t="str">
        <f>"87109"</f>
        <v>87109</v>
      </c>
      <c r="H8530" s="19" t="s">
        <v>36580</v>
      </c>
      <c r="I8530" s="20">
        <v>17.568000000000001</v>
      </c>
      <c r="J8530" s="44" t="s">
        <v>8</v>
      </c>
      <c r="K8530" s="23" t="s">
        <v>8</v>
      </c>
      <c r="L8530" s="23" t="s">
        <v>8</v>
      </c>
      <c r="M8530" s="23" t="s">
        <v>8</v>
      </c>
    </row>
    <row r="8531" spans="1:13" s="21" customFormat="1" x14ac:dyDescent="0.25">
      <c r="A8531" s="22" t="s">
        <v>8</v>
      </c>
      <c r="B8531" s="18" t="str">
        <f>"325070"</f>
        <v>325070</v>
      </c>
      <c r="C8531" s="19" t="s">
        <v>8407</v>
      </c>
      <c r="D8531" s="19" t="s">
        <v>23948</v>
      </c>
      <c r="E8531" s="19" t="s">
        <v>34019</v>
      </c>
      <c r="F8531" s="19" t="s">
        <v>36005</v>
      </c>
      <c r="G8531" s="18" t="str">
        <f>"87301"</f>
        <v>87301</v>
      </c>
      <c r="H8531" s="19" t="s">
        <v>36589</v>
      </c>
      <c r="I8531" s="20">
        <v>21.890999999999998</v>
      </c>
      <c r="J8531" s="44" t="s">
        <v>8</v>
      </c>
      <c r="K8531" s="23" t="s">
        <v>8</v>
      </c>
      <c r="L8531" s="23" t="s">
        <v>8</v>
      </c>
      <c r="M8531" s="23" t="s">
        <v>8</v>
      </c>
    </row>
    <row r="8532" spans="1:13" s="21" customFormat="1" x14ac:dyDescent="0.25">
      <c r="A8532" s="22" t="s">
        <v>8</v>
      </c>
      <c r="B8532" s="18" t="str">
        <f>"325071"</f>
        <v>325071</v>
      </c>
      <c r="C8532" s="19" t="s">
        <v>8408</v>
      </c>
      <c r="D8532" s="19" t="s">
        <v>23949</v>
      </c>
      <c r="E8532" s="19" t="s">
        <v>34020</v>
      </c>
      <c r="F8532" s="19" t="s">
        <v>36005</v>
      </c>
      <c r="G8532" s="18" t="str">
        <f>"87410"</f>
        <v>87410</v>
      </c>
      <c r="H8532" s="19" t="s">
        <v>35251</v>
      </c>
      <c r="I8532" s="20">
        <v>20.084</v>
      </c>
      <c r="J8532" s="44" t="s">
        <v>8</v>
      </c>
      <c r="K8532" s="23" t="s">
        <v>8</v>
      </c>
      <c r="L8532" s="23" t="s">
        <v>8</v>
      </c>
      <c r="M8532" s="23" t="s">
        <v>8</v>
      </c>
    </row>
    <row r="8533" spans="1:13" s="21" customFormat="1" x14ac:dyDescent="0.25">
      <c r="A8533" s="22" t="s">
        <v>8</v>
      </c>
      <c r="B8533" s="18" t="str">
        <f>"325073"</f>
        <v>325073</v>
      </c>
      <c r="C8533" s="19" t="s">
        <v>8409</v>
      </c>
      <c r="D8533" s="19" t="s">
        <v>23950</v>
      </c>
      <c r="E8533" s="19" t="s">
        <v>34021</v>
      </c>
      <c r="F8533" s="19" t="s">
        <v>36005</v>
      </c>
      <c r="G8533" s="18" t="str">
        <f>"87801"</f>
        <v>87801</v>
      </c>
      <c r="H8533" s="19" t="s">
        <v>34021</v>
      </c>
      <c r="I8533" s="20">
        <v>17.823</v>
      </c>
      <c r="J8533" s="44" t="s">
        <v>8</v>
      </c>
      <c r="K8533" s="23" t="s">
        <v>8</v>
      </c>
      <c r="L8533" s="23" t="s">
        <v>8</v>
      </c>
      <c r="M8533" s="23" t="s">
        <v>8</v>
      </c>
    </row>
    <row r="8534" spans="1:13" s="21" customFormat="1" x14ac:dyDescent="0.25">
      <c r="A8534" s="22" t="s">
        <v>8</v>
      </c>
      <c r="B8534" s="18" t="str">
        <f>"325074"</f>
        <v>325074</v>
      </c>
      <c r="C8534" s="19" t="s">
        <v>8410</v>
      </c>
      <c r="D8534" s="19" t="s">
        <v>23951</v>
      </c>
      <c r="E8534" s="19" t="s">
        <v>34008</v>
      </c>
      <c r="F8534" s="19" t="s">
        <v>36005</v>
      </c>
      <c r="G8534" s="18" t="str">
        <f>"87108"</f>
        <v>87108</v>
      </c>
      <c r="H8534" s="19" t="s">
        <v>36580</v>
      </c>
      <c r="I8534" s="20">
        <v>19.93</v>
      </c>
      <c r="J8534" s="44" t="s">
        <v>8</v>
      </c>
      <c r="K8534" s="23" t="s">
        <v>8</v>
      </c>
      <c r="L8534" s="23" t="s">
        <v>8</v>
      </c>
      <c r="M8534" s="23" t="s">
        <v>8</v>
      </c>
    </row>
    <row r="8535" spans="1:13" s="21" customFormat="1" x14ac:dyDescent="0.25">
      <c r="A8535" s="22" t="s">
        <v>8</v>
      </c>
      <c r="B8535" s="18" t="str">
        <f>"325076"</f>
        <v>325076</v>
      </c>
      <c r="C8535" s="19" t="s">
        <v>8411</v>
      </c>
      <c r="D8535" s="19" t="s">
        <v>23952</v>
      </c>
      <c r="E8535" s="19" t="s">
        <v>31316</v>
      </c>
      <c r="F8535" s="19" t="s">
        <v>36005</v>
      </c>
      <c r="G8535" s="18" t="str">
        <f>"88101"</f>
        <v>88101</v>
      </c>
      <c r="H8535" s="19" t="s">
        <v>36590</v>
      </c>
      <c r="I8535" s="20">
        <v>23.468</v>
      </c>
      <c r="J8535" s="44" t="s">
        <v>8</v>
      </c>
      <c r="K8535" s="23" t="s">
        <v>8</v>
      </c>
      <c r="L8535" s="23" t="s">
        <v>8</v>
      </c>
      <c r="M8535" s="23" t="s">
        <v>8</v>
      </c>
    </row>
    <row r="8536" spans="1:13" s="21" customFormat="1" x14ac:dyDescent="0.25">
      <c r="A8536" s="22" t="s">
        <v>8</v>
      </c>
      <c r="B8536" s="18" t="str">
        <f>"325077"</f>
        <v>325077</v>
      </c>
      <c r="C8536" s="19" t="s">
        <v>8412</v>
      </c>
      <c r="D8536" s="19" t="s">
        <v>23953</v>
      </c>
      <c r="E8536" s="19" t="s">
        <v>31316</v>
      </c>
      <c r="F8536" s="19" t="s">
        <v>36005</v>
      </c>
      <c r="G8536" s="18" t="str">
        <f>"88101"</f>
        <v>88101</v>
      </c>
      <c r="H8536" s="19" t="s">
        <v>36590</v>
      </c>
      <c r="I8536" s="20">
        <v>24.152999999999999</v>
      </c>
      <c r="J8536" s="44" t="s">
        <v>8</v>
      </c>
      <c r="K8536" s="23" t="s">
        <v>8</v>
      </c>
      <c r="L8536" s="23" t="s">
        <v>8</v>
      </c>
      <c r="M8536" s="23" t="s">
        <v>8</v>
      </c>
    </row>
    <row r="8537" spans="1:13" s="21" customFormat="1" x14ac:dyDescent="0.25">
      <c r="A8537" s="22" t="s">
        <v>8</v>
      </c>
      <c r="B8537" s="18" t="str">
        <f>"325078"</f>
        <v>325078</v>
      </c>
      <c r="C8537" s="19" t="s">
        <v>8413</v>
      </c>
      <c r="D8537" s="19" t="s">
        <v>23954</v>
      </c>
      <c r="E8537" s="19" t="s">
        <v>31316</v>
      </c>
      <c r="F8537" s="19" t="s">
        <v>36005</v>
      </c>
      <c r="G8537" s="18" t="str">
        <f>"88101"</f>
        <v>88101</v>
      </c>
      <c r="H8537" s="19" t="s">
        <v>36590</v>
      </c>
      <c r="I8537" s="20">
        <v>16.841000000000001</v>
      </c>
      <c r="J8537" s="44" t="s">
        <v>8</v>
      </c>
      <c r="K8537" s="23" t="s">
        <v>8</v>
      </c>
      <c r="L8537" s="23" t="s">
        <v>8</v>
      </c>
      <c r="M8537" s="23" t="s">
        <v>8</v>
      </c>
    </row>
    <row r="8538" spans="1:13" s="21" customFormat="1" x14ac:dyDescent="0.25">
      <c r="A8538" s="22" t="s">
        <v>8</v>
      </c>
      <c r="B8538" s="18" t="str">
        <f>"325079"</f>
        <v>325079</v>
      </c>
      <c r="C8538" s="19" t="s">
        <v>8414</v>
      </c>
      <c r="D8538" s="19" t="s">
        <v>23955</v>
      </c>
      <c r="E8538" s="19" t="s">
        <v>34022</v>
      </c>
      <c r="F8538" s="19" t="s">
        <v>36005</v>
      </c>
      <c r="G8538" s="18" t="str">
        <f>"88031"</f>
        <v>88031</v>
      </c>
      <c r="H8538" s="19" t="s">
        <v>36591</v>
      </c>
      <c r="I8538" s="20">
        <v>20.931000000000001</v>
      </c>
      <c r="J8538" s="44" t="s">
        <v>8</v>
      </c>
      <c r="K8538" s="23" t="s">
        <v>8</v>
      </c>
      <c r="L8538" s="23" t="s">
        <v>8</v>
      </c>
      <c r="M8538" s="23" t="s">
        <v>8</v>
      </c>
    </row>
    <row r="8539" spans="1:13" s="21" customFormat="1" x14ac:dyDescent="0.25">
      <c r="A8539" s="22" t="s">
        <v>8</v>
      </c>
      <c r="B8539" s="18" t="str">
        <f>"325084"</f>
        <v>325084</v>
      </c>
      <c r="C8539" s="19" t="s">
        <v>8415</v>
      </c>
      <c r="D8539" s="19" t="s">
        <v>23956</v>
      </c>
      <c r="E8539" s="19" t="s">
        <v>34023</v>
      </c>
      <c r="F8539" s="19" t="s">
        <v>36005</v>
      </c>
      <c r="G8539" s="18" t="str">
        <f>"87740"</f>
        <v>87740</v>
      </c>
      <c r="H8539" s="19" t="s">
        <v>32141</v>
      </c>
      <c r="I8539" s="20">
        <v>17.553000000000001</v>
      </c>
      <c r="J8539" s="44" t="s">
        <v>8</v>
      </c>
      <c r="K8539" s="23" t="s">
        <v>8</v>
      </c>
      <c r="L8539" s="23" t="s">
        <v>8</v>
      </c>
      <c r="M8539" s="23" t="s">
        <v>8</v>
      </c>
    </row>
    <row r="8540" spans="1:13" s="21" customFormat="1" x14ac:dyDescent="0.25">
      <c r="A8540" s="22" t="s">
        <v>8</v>
      </c>
      <c r="B8540" s="18" t="str">
        <f>"325085"</f>
        <v>325085</v>
      </c>
      <c r="C8540" s="19" t="s">
        <v>8416</v>
      </c>
      <c r="D8540" s="19" t="s">
        <v>23957</v>
      </c>
      <c r="E8540" s="19" t="s">
        <v>31445</v>
      </c>
      <c r="F8540" s="19" t="s">
        <v>36005</v>
      </c>
      <c r="G8540" s="18" t="str">
        <f>"87401"</f>
        <v>87401</v>
      </c>
      <c r="H8540" s="19" t="s">
        <v>35251</v>
      </c>
      <c r="I8540" s="20">
        <v>22.507999999999999</v>
      </c>
      <c r="J8540" s="44" t="s">
        <v>8</v>
      </c>
      <c r="K8540" s="23" t="s">
        <v>8</v>
      </c>
      <c r="L8540" s="23" t="s">
        <v>8</v>
      </c>
      <c r="M8540" s="23" t="s">
        <v>8</v>
      </c>
    </row>
    <row r="8541" spans="1:13" s="21" customFormat="1" x14ac:dyDescent="0.25">
      <c r="A8541" s="22" t="s">
        <v>8</v>
      </c>
      <c r="B8541" s="18" t="str">
        <f>"325086"</f>
        <v>325086</v>
      </c>
      <c r="C8541" s="19" t="s">
        <v>8417</v>
      </c>
      <c r="D8541" s="19" t="s">
        <v>23958</v>
      </c>
      <c r="E8541" s="19" t="s">
        <v>31767</v>
      </c>
      <c r="F8541" s="19" t="s">
        <v>36005</v>
      </c>
      <c r="G8541" s="18" t="str">
        <f>"88203"</f>
        <v>88203</v>
      </c>
      <c r="H8541" s="19" t="s">
        <v>36584</v>
      </c>
      <c r="I8541" s="20">
        <v>18.170000000000002</v>
      </c>
      <c r="J8541" s="44" t="s">
        <v>8</v>
      </c>
      <c r="K8541" s="23" t="s">
        <v>8</v>
      </c>
      <c r="L8541" s="23" t="s">
        <v>8</v>
      </c>
      <c r="M8541" s="23" t="s">
        <v>8</v>
      </c>
    </row>
    <row r="8542" spans="1:13" s="21" customFormat="1" x14ac:dyDescent="0.25">
      <c r="A8542" s="22" t="s">
        <v>8</v>
      </c>
      <c r="B8542" s="18" t="str">
        <f>"325087"</f>
        <v>325087</v>
      </c>
      <c r="C8542" s="19" t="s">
        <v>8418</v>
      </c>
      <c r="D8542" s="19" t="s">
        <v>23959</v>
      </c>
      <c r="E8542" s="19" t="s">
        <v>31327</v>
      </c>
      <c r="F8542" s="19" t="s">
        <v>36005</v>
      </c>
      <c r="G8542" s="18" t="str">
        <f>"88220"</f>
        <v>88220</v>
      </c>
      <c r="H8542" s="19" t="s">
        <v>36579</v>
      </c>
      <c r="I8542" s="20">
        <v>19.257999999999999</v>
      </c>
      <c r="J8542" s="44" t="s">
        <v>8</v>
      </c>
      <c r="K8542" s="23" t="s">
        <v>8</v>
      </c>
      <c r="L8542" s="23" t="s">
        <v>8</v>
      </c>
      <c r="M8542" s="23" t="s">
        <v>8</v>
      </c>
    </row>
    <row r="8543" spans="1:13" s="21" customFormat="1" x14ac:dyDescent="0.25">
      <c r="A8543" s="22" t="s">
        <v>8</v>
      </c>
      <c r="B8543" s="18" t="str">
        <f>"325091"</f>
        <v>325091</v>
      </c>
      <c r="C8543" s="19" t="s">
        <v>8419</v>
      </c>
      <c r="D8543" s="19" t="s">
        <v>23960</v>
      </c>
      <c r="E8543" s="19" t="s">
        <v>34024</v>
      </c>
      <c r="F8543" s="19" t="s">
        <v>36005</v>
      </c>
      <c r="G8543" s="18" t="str">
        <f>"88061"</f>
        <v>88061</v>
      </c>
      <c r="H8543" s="19" t="s">
        <v>36078</v>
      </c>
      <c r="I8543" s="20">
        <v>14.804</v>
      </c>
      <c r="J8543" s="44" t="s">
        <v>8</v>
      </c>
      <c r="K8543" s="23" t="s">
        <v>8</v>
      </c>
      <c r="L8543" s="23" t="s">
        <v>8</v>
      </c>
      <c r="M8543" s="23" t="s">
        <v>8</v>
      </c>
    </row>
    <row r="8544" spans="1:13" s="21" customFormat="1" x14ac:dyDescent="0.25">
      <c r="A8544" s="22" t="s">
        <v>8</v>
      </c>
      <c r="B8544" s="18" t="str">
        <f>"325095"</f>
        <v>325095</v>
      </c>
      <c r="C8544" s="19" t="s">
        <v>8420</v>
      </c>
      <c r="D8544" s="19" t="s">
        <v>23961</v>
      </c>
      <c r="E8544" s="19" t="s">
        <v>34008</v>
      </c>
      <c r="F8544" s="19" t="s">
        <v>36005</v>
      </c>
      <c r="G8544" s="18" t="str">
        <f>"87110"</f>
        <v>87110</v>
      </c>
      <c r="H8544" s="19" t="s">
        <v>36580</v>
      </c>
      <c r="I8544" s="20">
        <v>17.768999999999998</v>
      </c>
      <c r="J8544" s="44" t="s">
        <v>8</v>
      </c>
      <c r="K8544" s="23" t="s">
        <v>8</v>
      </c>
      <c r="L8544" s="23" t="s">
        <v>8</v>
      </c>
      <c r="M8544" s="23" t="s">
        <v>8</v>
      </c>
    </row>
    <row r="8545" spans="1:13" s="21" customFormat="1" x14ac:dyDescent="0.25">
      <c r="A8545" s="22" t="s">
        <v>8</v>
      </c>
      <c r="B8545" s="18" t="str">
        <f>"325100"</f>
        <v>325100</v>
      </c>
      <c r="C8545" s="19" t="s">
        <v>8421</v>
      </c>
      <c r="D8545" s="19" t="s">
        <v>23962</v>
      </c>
      <c r="E8545" s="19" t="s">
        <v>31848</v>
      </c>
      <c r="F8545" s="19" t="s">
        <v>36005</v>
      </c>
      <c r="G8545" s="18" t="str">
        <f>"88415"</f>
        <v>88415</v>
      </c>
      <c r="H8545" s="19" t="s">
        <v>33554</v>
      </c>
      <c r="I8545" s="20">
        <v>21.044</v>
      </c>
      <c r="J8545" s="44" t="s">
        <v>8</v>
      </c>
      <c r="K8545" s="23" t="s">
        <v>8</v>
      </c>
      <c r="L8545" s="23" t="s">
        <v>8</v>
      </c>
      <c r="M8545" s="23" t="s">
        <v>8</v>
      </c>
    </row>
    <row r="8546" spans="1:13" s="21" customFormat="1" x14ac:dyDescent="0.25">
      <c r="A8546" s="22" t="s">
        <v>8</v>
      </c>
      <c r="B8546" s="18" t="str">
        <f>"325101"</f>
        <v>325101</v>
      </c>
      <c r="C8546" s="19" t="s">
        <v>8422</v>
      </c>
      <c r="D8546" s="19" t="s">
        <v>23963</v>
      </c>
      <c r="E8546" s="19" t="s">
        <v>31327</v>
      </c>
      <c r="F8546" s="19" t="s">
        <v>36005</v>
      </c>
      <c r="G8546" s="18" t="str">
        <f>"88220"</f>
        <v>88220</v>
      </c>
      <c r="H8546" s="19" t="s">
        <v>36579</v>
      </c>
      <c r="I8546" s="20">
        <v>17.454999999999998</v>
      </c>
      <c r="J8546" s="44" t="s">
        <v>8</v>
      </c>
      <c r="K8546" s="23" t="s">
        <v>8</v>
      </c>
      <c r="L8546" s="23" t="s">
        <v>8</v>
      </c>
      <c r="M8546" s="23" t="s">
        <v>8</v>
      </c>
    </row>
    <row r="8547" spans="1:13" s="21" customFormat="1" x14ac:dyDescent="0.25">
      <c r="A8547" s="22" t="s">
        <v>8</v>
      </c>
      <c r="B8547" s="18" t="str">
        <f>"325102"</f>
        <v>325102</v>
      </c>
      <c r="C8547" s="19" t="s">
        <v>8423</v>
      </c>
      <c r="D8547" s="19" t="s">
        <v>23964</v>
      </c>
      <c r="E8547" s="19" t="s">
        <v>34011</v>
      </c>
      <c r="F8547" s="19" t="s">
        <v>36005</v>
      </c>
      <c r="G8547" s="18" t="str">
        <f>"88240"</f>
        <v>88240</v>
      </c>
      <c r="H8547" s="19" t="s">
        <v>36583</v>
      </c>
      <c r="I8547" s="20">
        <v>24.72</v>
      </c>
      <c r="J8547" s="44" t="s">
        <v>8</v>
      </c>
      <c r="K8547" s="23" t="s">
        <v>8</v>
      </c>
      <c r="L8547" s="23" t="s">
        <v>8</v>
      </c>
      <c r="M8547" s="23" t="s">
        <v>8</v>
      </c>
    </row>
    <row r="8548" spans="1:13" s="21" customFormat="1" x14ac:dyDescent="0.25">
      <c r="A8548" s="22" t="s">
        <v>8</v>
      </c>
      <c r="B8548" s="18" t="str">
        <f>"325103"</f>
        <v>325103</v>
      </c>
      <c r="C8548" s="19" t="s">
        <v>8424</v>
      </c>
      <c r="D8548" s="19" t="s">
        <v>23965</v>
      </c>
      <c r="E8548" s="19" t="s">
        <v>31445</v>
      </c>
      <c r="F8548" s="19" t="s">
        <v>36005</v>
      </c>
      <c r="G8548" s="18" t="str">
        <f>"87401"</f>
        <v>87401</v>
      </c>
      <c r="H8548" s="19" t="s">
        <v>35251</v>
      </c>
      <c r="I8548" s="20">
        <v>16.928999999999998</v>
      </c>
      <c r="J8548" s="44" t="s">
        <v>8</v>
      </c>
      <c r="K8548" s="23" t="s">
        <v>8</v>
      </c>
      <c r="L8548" s="23" t="s">
        <v>8</v>
      </c>
      <c r="M8548" s="23" t="s">
        <v>8</v>
      </c>
    </row>
    <row r="8549" spans="1:13" s="21" customFormat="1" x14ac:dyDescent="0.25">
      <c r="A8549" s="22" t="s">
        <v>8</v>
      </c>
      <c r="B8549" s="18" t="str">
        <f>"325104"</f>
        <v>325104</v>
      </c>
      <c r="C8549" s="19" t="s">
        <v>8425</v>
      </c>
      <c r="D8549" s="19" t="s">
        <v>23966</v>
      </c>
      <c r="E8549" s="19" t="s">
        <v>33837</v>
      </c>
      <c r="F8549" s="19" t="s">
        <v>36005</v>
      </c>
      <c r="G8549" s="18" t="str">
        <f>"87701"</f>
        <v>87701</v>
      </c>
      <c r="H8549" s="19" t="s">
        <v>36588</v>
      </c>
      <c r="I8549" s="20">
        <v>20.154</v>
      </c>
      <c r="J8549" s="44" t="s">
        <v>8</v>
      </c>
      <c r="K8549" s="23" t="s">
        <v>8</v>
      </c>
      <c r="L8549" s="23" t="s">
        <v>8</v>
      </c>
      <c r="M8549" s="23" t="s">
        <v>8</v>
      </c>
    </row>
    <row r="8550" spans="1:13" s="21" customFormat="1" x14ac:dyDescent="0.25">
      <c r="A8550" s="22" t="s">
        <v>8</v>
      </c>
      <c r="B8550" s="18" t="str">
        <f>"325105"</f>
        <v>325105</v>
      </c>
      <c r="C8550" s="19" t="s">
        <v>8426</v>
      </c>
      <c r="D8550" s="19" t="s">
        <v>23967</v>
      </c>
      <c r="E8550" s="19" t="s">
        <v>34025</v>
      </c>
      <c r="F8550" s="19" t="s">
        <v>36005</v>
      </c>
      <c r="G8550" s="18" t="str">
        <f>"87571"</f>
        <v>87571</v>
      </c>
      <c r="H8550" s="19" t="s">
        <v>34025</v>
      </c>
      <c r="I8550" s="20">
        <v>16.117000000000001</v>
      </c>
      <c r="J8550" s="44" t="s">
        <v>8</v>
      </c>
      <c r="K8550" s="23" t="s">
        <v>8</v>
      </c>
      <c r="L8550" s="23" t="s">
        <v>8</v>
      </c>
      <c r="M8550" s="23" t="s">
        <v>8</v>
      </c>
    </row>
    <row r="8551" spans="1:13" s="21" customFormat="1" x14ac:dyDescent="0.25">
      <c r="A8551" s="22" t="s">
        <v>8</v>
      </c>
      <c r="B8551" s="18" t="str">
        <f>"325108"</f>
        <v>325108</v>
      </c>
      <c r="C8551" s="19" t="s">
        <v>8427</v>
      </c>
      <c r="D8551" s="19" t="s">
        <v>23968</v>
      </c>
      <c r="E8551" s="19" t="s">
        <v>34010</v>
      </c>
      <c r="F8551" s="19" t="s">
        <v>36005</v>
      </c>
      <c r="G8551" s="18" t="str">
        <f>"88011"</f>
        <v>88011</v>
      </c>
      <c r="H8551" s="19" t="s">
        <v>36582</v>
      </c>
      <c r="I8551" s="20">
        <v>20.169</v>
      </c>
      <c r="J8551" s="44" t="s">
        <v>8</v>
      </c>
      <c r="K8551" s="23" t="s">
        <v>8</v>
      </c>
      <c r="L8551" s="23" t="s">
        <v>8</v>
      </c>
      <c r="M8551" s="23" t="s">
        <v>8</v>
      </c>
    </row>
    <row r="8552" spans="1:13" s="21" customFormat="1" x14ac:dyDescent="0.25">
      <c r="A8552" s="22" t="s">
        <v>8</v>
      </c>
      <c r="B8552" s="18" t="str">
        <f>"325111"</f>
        <v>325111</v>
      </c>
      <c r="C8552" s="19" t="s">
        <v>8428</v>
      </c>
      <c r="D8552" s="19" t="s">
        <v>23969</v>
      </c>
      <c r="E8552" s="19" t="s">
        <v>34010</v>
      </c>
      <c r="F8552" s="19" t="s">
        <v>36005</v>
      </c>
      <c r="G8552" s="18" t="str">
        <f>"88011"</f>
        <v>88011</v>
      </c>
      <c r="H8552" s="19" t="s">
        <v>36582</v>
      </c>
      <c r="I8552" s="20">
        <v>19.538</v>
      </c>
      <c r="J8552" s="44" t="s">
        <v>8</v>
      </c>
      <c r="K8552" s="23" t="s">
        <v>8</v>
      </c>
      <c r="L8552" s="23" t="s">
        <v>8</v>
      </c>
      <c r="M8552" s="23" t="s">
        <v>8</v>
      </c>
    </row>
    <row r="8553" spans="1:13" s="21" customFormat="1" x14ac:dyDescent="0.25">
      <c r="A8553" s="22" t="s">
        <v>8</v>
      </c>
      <c r="B8553" s="18" t="str">
        <f>"325112"</f>
        <v>325112</v>
      </c>
      <c r="C8553" s="19" t="s">
        <v>8429</v>
      </c>
      <c r="D8553" s="19" t="s">
        <v>23970</v>
      </c>
      <c r="E8553" s="19" t="s">
        <v>34011</v>
      </c>
      <c r="F8553" s="19" t="s">
        <v>36005</v>
      </c>
      <c r="G8553" s="18" t="str">
        <f>"88240"</f>
        <v>88240</v>
      </c>
      <c r="H8553" s="19" t="s">
        <v>36583</v>
      </c>
      <c r="I8553" s="20">
        <v>19.34</v>
      </c>
      <c r="J8553" s="44" t="s">
        <v>8</v>
      </c>
      <c r="K8553" s="23" t="s">
        <v>8</v>
      </c>
      <c r="L8553" s="23" t="s">
        <v>8</v>
      </c>
      <c r="M8553" s="23" t="s">
        <v>8</v>
      </c>
    </row>
    <row r="8554" spans="1:13" s="21" customFormat="1" x14ac:dyDescent="0.25">
      <c r="A8554" s="22" t="s">
        <v>8</v>
      </c>
      <c r="B8554" s="18" t="str">
        <f>"325113"</f>
        <v>325113</v>
      </c>
      <c r="C8554" s="19" t="s">
        <v>8430</v>
      </c>
      <c r="D8554" s="19" t="s">
        <v>23971</v>
      </c>
      <c r="E8554" s="19" t="s">
        <v>31445</v>
      </c>
      <c r="F8554" s="19" t="s">
        <v>36005</v>
      </c>
      <c r="G8554" s="18" t="str">
        <f>"87401"</f>
        <v>87401</v>
      </c>
      <c r="H8554" s="19" t="s">
        <v>35251</v>
      </c>
      <c r="I8554" s="20">
        <v>19.408000000000001</v>
      </c>
      <c r="J8554" s="44" t="s">
        <v>8</v>
      </c>
      <c r="K8554" s="23" t="s">
        <v>8</v>
      </c>
      <c r="L8554" s="23" t="s">
        <v>8</v>
      </c>
      <c r="M8554" s="23" t="s">
        <v>8</v>
      </c>
    </row>
    <row r="8555" spans="1:13" s="21" customFormat="1" x14ac:dyDescent="0.25">
      <c r="A8555" s="22" t="s">
        <v>8</v>
      </c>
      <c r="B8555" s="18" t="str">
        <f>"325114"</f>
        <v>325114</v>
      </c>
      <c r="C8555" s="19" t="s">
        <v>8431</v>
      </c>
      <c r="D8555" s="19" t="s">
        <v>23972</v>
      </c>
      <c r="E8555" s="19" t="s">
        <v>34026</v>
      </c>
      <c r="F8555" s="19" t="s">
        <v>36005</v>
      </c>
      <c r="G8555" s="18" t="str">
        <f>"88130"</f>
        <v>88130</v>
      </c>
      <c r="H8555" s="19" t="s">
        <v>35329</v>
      </c>
      <c r="I8555" s="20">
        <v>18.923999999999999</v>
      </c>
      <c r="J8555" s="44" t="s">
        <v>8</v>
      </c>
      <c r="K8555" s="23" t="s">
        <v>8</v>
      </c>
      <c r="L8555" s="23" t="s">
        <v>8</v>
      </c>
      <c r="M8555" s="23" t="s">
        <v>8</v>
      </c>
    </row>
    <row r="8556" spans="1:13" s="21" customFormat="1" x14ac:dyDescent="0.25">
      <c r="A8556" s="22" t="s">
        <v>8</v>
      </c>
      <c r="B8556" s="18" t="str">
        <f>"325116"</f>
        <v>325116</v>
      </c>
      <c r="C8556" s="19" t="s">
        <v>8432</v>
      </c>
      <c r="D8556" s="19" t="s">
        <v>23973</v>
      </c>
      <c r="E8556" s="19" t="s">
        <v>34027</v>
      </c>
      <c r="F8556" s="19" t="s">
        <v>36005</v>
      </c>
      <c r="G8556" s="18" t="str">
        <f>"88340"</f>
        <v>88340</v>
      </c>
      <c r="H8556" s="19" t="s">
        <v>36110</v>
      </c>
      <c r="I8556" s="20">
        <v>20.745000000000001</v>
      </c>
      <c r="J8556" s="44" t="s">
        <v>8</v>
      </c>
      <c r="K8556" s="23" t="s">
        <v>8</v>
      </c>
      <c r="L8556" s="23" t="s">
        <v>8</v>
      </c>
      <c r="M8556" s="23" t="s">
        <v>8</v>
      </c>
    </row>
    <row r="8557" spans="1:13" s="21" customFormat="1" x14ac:dyDescent="0.25">
      <c r="A8557" s="22" t="s">
        <v>8</v>
      </c>
      <c r="B8557" s="18" t="str">
        <f>"325117"</f>
        <v>325117</v>
      </c>
      <c r="C8557" s="19" t="s">
        <v>8433</v>
      </c>
      <c r="D8557" s="19" t="s">
        <v>23974</v>
      </c>
      <c r="E8557" s="19" t="s">
        <v>31767</v>
      </c>
      <c r="F8557" s="19" t="s">
        <v>36005</v>
      </c>
      <c r="G8557" s="18" t="str">
        <f>"88203"</f>
        <v>88203</v>
      </c>
      <c r="H8557" s="19" t="s">
        <v>36584</v>
      </c>
      <c r="I8557" s="20">
        <v>16.739999999999998</v>
      </c>
      <c r="J8557" s="44" t="s">
        <v>8</v>
      </c>
      <c r="K8557" s="23" t="s">
        <v>8</v>
      </c>
      <c r="L8557" s="23" t="s">
        <v>8</v>
      </c>
      <c r="M8557" s="23" t="s">
        <v>8</v>
      </c>
    </row>
    <row r="8558" spans="1:13" s="21" customFormat="1" x14ac:dyDescent="0.25">
      <c r="A8558" s="22" t="s">
        <v>8</v>
      </c>
      <c r="B8558" s="18" t="str">
        <f>"325118"</f>
        <v>325118</v>
      </c>
      <c r="C8558" s="19" t="s">
        <v>8434</v>
      </c>
      <c r="D8558" s="19" t="s">
        <v>23975</v>
      </c>
      <c r="E8558" s="19" t="s">
        <v>34019</v>
      </c>
      <c r="F8558" s="19" t="s">
        <v>36005</v>
      </c>
      <c r="G8558" s="18" t="str">
        <f>"87301"</f>
        <v>87301</v>
      </c>
      <c r="H8558" s="19" t="s">
        <v>36589</v>
      </c>
      <c r="I8558" s="20">
        <v>22.08</v>
      </c>
      <c r="J8558" s="44" t="s">
        <v>8</v>
      </c>
      <c r="K8558" s="23" t="s">
        <v>8</v>
      </c>
      <c r="L8558" s="23" t="s">
        <v>8</v>
      </c>
      <c r="M8558" s="23" t="s">
        <v>8</v>
      </c>
    </row>
    <row r="8559" spans="1:13" s="21" customFormat="1" x14ac:dyDescent="0.25">
      <c r="A8559" s="22" t="s">
        <v>8</v>
      </c>
      <c r="B8559" s="18" t="str">
        <f>"325119"</f>
        <v>325119</v>
      </c>
      <c r="C8559" s="19" t="s">
        <v>8435</v>
      </c>
      <c r="D8559" s="19" t="s">
        <v>23976</v>
      </c>
      <c r="E8559" s="19" t="s">
        <v>34008</v>
      </c>
      <c r="F8559" s="19" t="s">
        <v>36005</v>
      </c>
      <c r="G8559" s="18" t="str">
        <f>"87107"</f>
        <v>87107</v>
      </c>
      <c r="H8559" s="19" t="s">
        <v>36580</v>
      </c>
      <c r="I8559" s="20">
        <v>20.331</v>
      </c>
      <c r="J8559" s="44" t="s">
        <v>8</v>
      </c>
      <c r="K8559" s="23" t="s">
        <v>8</v>
      </c>
      <c r="L8559" s="23" t="s">
        <v>8</v>
      </c>
      <c r="M8559" s="23" t="s">
        <v>8</v>
      </c>
    </row>
    <row r="8560" spans="1:13" s="21" customFormat="1" x14ac:dyDescent="0.25">
      <c r="A8560" s="22" t="s">
        <v>8</v>
      </c>
      <c r="B8560" s="18" t="str">
        <f>"325120"</f>
        <v>325120</v>
      </c>
      <c r="C8560" s="19" t="s">
        <v>8436</v>
      </c>
      <c r="D8560" s="19" t="s">
        <v>23977</v>
      </c>
      <c r="E8560" s="19" t="s">
        <v>31241</v>
      </c>
      <c r="F8560" s="19" t="s">
        <v>36005</v>
      </c>
      <c r="G8560" s="18" t="str">
        <f>"88026"</f>
        <v>88026</v>
      </c>
      <c r="H8560" s="19" t="s">
        <v>36078</v>
      </c>
      <c r="I8560" s="20">
        <v>18.196999999999999</v>
      </c>
      <c r="J8560" s="44" t="s">
        <v>8</v>
      </c>
      <c r="K8560" s="23" t="s">
        <v>8</v>
      </c>
      <c r="L8560" s="23" t="s">
        <v>8</v>
      </c>
      <c r="M8560" s="23" t="s">
        <v>8</v>
      </c>
    </row>
    <row r="8561" spans="1:13" s="21" customFormat="1" x14ac:dyDescent="0.25">
      <c r="A8561" s="22" t="s">
        <v>8</v>
      </c>
      <c r="B8561" s="18" t="str">
        <f>"325121"</f>
        <v>325121</v>
      </c>
      <c r="C8561" s="19" t="s">
        <v>8437</v>
      </c>
      <c r="D8561" s="19" t="s">
        <v>23978</v>
      </c>
      <c r="E8561" s="19" t="s">
        <v>34028</v>
      </c>
      <c r="F8561" s="19" t="s">
        <v>36005</v>
      </c>
      <c r="G8561" s="18" t="str">
        <f>"88045"</f>
        <v>88045</v>
      </c>
      <c r="H8561" s="19" t="s">
        <v>36592</v>
      </c>
      <c r="I8561" s="20">
        <v>22.712</v>
      </c>
      <c r="J8561" s="44" t="s">
        <v>8</v>
      </c>
      <c r="K8561" s="23" t="s">
        <v>8</v>
      </c>
      <c r="L8561" s="23" t="s">
        <v>8</v>
      </c>
      <c r="M8561" s="23" t="s">
        <v>8</v>
      </c>
    </row>
    <row r="8562" spans="1:13" s="21" customFormat="1" x14ac:dyDescent="0.25">
      <c r="A8562" s="22" t="s">
        <v>8</v>
      </c>
      <c r="B8562" s="18" t="str">
        <f>"325122"</f>
        <v>325122</v>
      </c>
      <c r="C8562" s="19" t="s">
        <v>8438</v>
      </c>
      <c r="D8562" s="19" t="s">
        <v>23979</v>
      </c>
      <c r="E8562" s="19" t="s">
        <v>34025</v>
      </c>
      <c r="F8562" s="19" t="s">
        <v>36005</v>
      </c>
      <c r="G8562" s="18" t="str">
        <f>"87571"</f>
        <v>87571</v>
      </c>
      <c r="H8562" s="19" t="s">
        <v>34025</v>
      </c>
      <c r="I8562" s="20">
        <v>18.053999999999998</v>
      </c>
      <c r="J8562" s="44" t="s">
        <v>8</v>
      </c>
      <c r="K8562" s="23" t="s">
        <v>8</v>
      </c>
      <c r="L8562" s="23" t="s">
        <v>8</v>
      </c>
      <c r="M8562" s="23" t="s">
        <v>8</v>
      </c>
    </row>
    <row r="8563" spans="1:13" s="21" customFormat="1" x14ac:dyDescent="0.25">
      <c r="A8563" s="22" t="s">
        <v>8</v>
      </c>
      <c r="B8563" s="18" t="str">
        <f>"325123"</f>
        <v>325123</v>
      </c>
      <c r="C8563" s="19" t="s">
        <v>8439</v>
      </c>
      <c r="D8563" s="19" t="s">
        <v>23980</v>
      </c>
      <c r="E8563" s="19" t="s">
        <v>34008</v>
      </c>
      <c r="F8563" s="19" t="s">
        <v>36005</v>
      </c>
      <c r="G8563" s="18" t="str">
        <f>"87113"</f>
        <v>87113</v>
      </c>
      <c r="H8563" s="19" t="s">
        <v>36580</v>
      </c>
      <c r="I8563" s="20">
        <v>17.030999999999999</v>
      </c>
      <c r="J8563" s="44" t="s">
        <v>8</v>
      </c>
      <c r="K8563" s="23" t="s">
        <v>8</v>
      </c>
      <c r="L8563" s="23" t="s">
        <v>8</v>
      </c>
      <c r="M8563" s="23" t="s">
        <v>8</v>
      </c>
    </row>
    <row r="8564" spans="1:13" s="21" customFormat="1" x14ac:dyDescent="0.25">
      <c r="A8564" s="22" t="s">
        <v>8</v>
      </c>
      <c r="B8564" s="18" t="str">
        <f>"325125"</f>
        <v>325125</v>
      </c>
      <c r="C8564" s="19" t="s">
        <v>8440</v>
      </c>
      <c r="D8564" s="19" t="s">
        <v>23981</v>
      </c>
      <c r="E8564" s="19" t="s">
        <v>34008</v>
      </c>
      <c r="F8564" s="19" t="s">
        <v>36005</v>
      </c>
      <c r="G8564" s="18" t="str">
        <f>"87111"</f>
        <v>87111</v>
      </c>
      <c r="H8564" s="19" t="s">
        <v>36580</v>
      </c>
      <c r="I8564" s="20">
        <v>19.925999999999998</v>
      </c>
      <c r="J8564" s="44" t="s">
        <v>8</v>
      </c>
      <c r="K8564" s="23" t="s">
        <v>8</v>
      </c>
      <c r="L8564" s="23" t="s">
        <v>8</v>
      </c>
      <c r="M8564" s="23" t="s">
        <v>8</v>
      </c>
    </row>
    <row r="8565" spans="1:13" s="21" customFormat="1" x14ac:dyDescent="0.25">
      <c r="A8565" s="22" t="s">
        <v>8</v>
      </c>
      <c r="B8565" s="18" t="str">
        <f>"325126"</f>
        <v>325126</v>
      </c>
      <c r="C8565" s="19" t="s">
        <v>8441</v>
      </c>
      <c r="D8565" s="19" t="s">
        <v>23982</v>
      </c>
      <c r="E8565" s="19" t="s">
        <v>34008</v>
      </c>
      <c r="F8565" s="19" t="s">
        <v>36005</v>
      </c>
      <c r="G8565" s="18" t="str">
        <f>"87105"</f>
        <v>87105</v>
      </c>
      <c r="H8565" s="19" t="s">
        <v>36580</v>
      </c>
      <c r="I8565" s="20">
        <v>17.878</v>
      </c>
      <c r="J8565" s="44" t="s">
        <v>8</v>
      </c>
      <c r="K8565" s="23" t="s">
        <v>8</v>
      </c>
      <c r="L8565" s="23" t="s">
        <v>8</v>
      </c>
      <c r="M8565" s="23" t="s">
        <v>8</v>
      </c>
    </row>
    <row r="8566" spans="1:13" s="21" customFormat="1" x14ac:dyDescent="0.25">
      <c r="A8566" s="22" t="s">
        <v>8</v>
      </c>
      <c r="B8566" s="18" t="str">
        <f>"325127"</f>
        <v>325127</v>
      </c>
      <c r="C8566" s="19" t="s">
        <v>8442</v>
      </c>
      <c r="D8566" s="19" t="s">
        <v>23983</v>
      </c>
      <c r="E8566" s="19" t="s">
        <v>34009</v>
      </c>
      <c r="F8566" s="19" t="s">
        <v>36005</v>
      </c>
      <c r="G8566" s="18" t="str">
        <f>"87124"</f>
        <v>87124</v>
      </c>
      <c r="H8566" s="19" t="s">
        <v>36581</v>
      </c>
      <c r="I8566" s="20">
        <v>17.602</v>
      </c>
      <c r="J8566" s="44" t="s">
        <v>8</v>
      </c>
      <c r="K8566" s="23" t="s">
        <v>8</v>
      </c>
      <c r="L8566" s="23" t="s">
        <v>8</v>
      </c>
      <c r="M8566" s="23" t="s">
        <v>8</v>
      </c>
    </row>
    <row r="8567" spans="1:13" s="21" customFormat="1" x14ac:dyDescent="0.25">
      <c r="A8567" s="22" t="s">
        <v>8</v>
      </c>
      <c r="B8567" s="18" t="str">
        <f>"325128"</f>
        <v>325128</v>
      </c>
      <c r="C8567" s="19" t="s">
        <v>8443</v>
      </c>
      <c r="D8567" s="19" t="s">
        <v>23984</v>
      </c>
      <c r="E8567" s="19" t="s">
        <v>31223</v>
      </c>
      <c r="F8567" s="19" t="s">
        <v>36005</v>
      </c>
      <c r="G8567" s="18" t="str">
        <f>"88210"</f>
        <v>88210</v>
      </c>
      <c r="H8567" s="19" t="s">
        <v>36579</v>
      </c>
      <c r="I8567" s="20">
        <v>17.707000000000001</v>
      </c>
      <c r="J8567" s="44" t="s">
        <v>8</v>
      </c>
      <c r="K8567" s="23" t="s">
        <v>8</v>
      </c>
      <c r="L8567" s="23" t="s">
        <v>8</v>
      </c>
      <c r="M8567" s="23" t="s">
        <v>8</v>
      </c>
    </row>
    <row r="8568" spans="1:13" s="21" customFormat="1" x14ac:dyDescent="0.25">
      <c r="A8568" s="22" t="s">
        <v>8</v>
      </c>
      <c r="B8568" s="18" t="s">
        <v>15297</v>
      </c>
      <c r="C8568" s="19" t="s">
        <v>8444</v>
      </c>
      <c r="D8568" s="19" t="s">
        <v>23985</v>
      </c>
      <c r="E8568" s="19" t="s">
        <v>32594</v>
      </c>
      <c r="F8568" s="19" t="s">
        <v>36006</v>
      </c>
      <c r="G8568" s="18" t="str">
        <f>"14895"</f>
        <v>14895</v>
      </c>
      <c r="H8568" s="19" t="s">
        <v>34178</v>
      </c>
      <c r="I8568" s="20">
        <v>19.602</v>
      </c>
      <c r="J8568" s="44" t="s">
        <v>8</v>
      </c>
      <c r="K8568" s="23" t="s">
        <v>8</v>
      </c>
      <c r="L8568" s="23" t="s">
        <v>8</v>
      </c>
      <c r="M8568" s="23" t="s">
        <v>8</v>
      </c>
    </row>
    <row r="8569" spans="1:13" s="21" customFormat="1" x14ac:dyDescent="0.25">
      <c r="A8569" s="22" t="s">
        <v>8</v>
      </c>
      <c r="B8569" s="18" t="s">
        <v>15298</v>
      </c>
      <c r="C8569" s="19" t="s">
        <v>8445</v>
      </c>
      <c r="D8569" s="19" t="s">
        <v>23986</v>
      </c>
      <c r="E8569" s="19" t="s">
        <v>34029</v>
      </c>
      <c r="F8569" s="19" t="s">
        <v>36006</v>
      </c>
      <c r="G8569" s="18" t="str">
        <f>"14760"</f>
        <v>14760</v>
      </c>
      <c r="H8569" s="19" t="s">
        <v>36593</v>
      </c>
      <c r="I8569" s="20">
        <v>24.353999999999999</v>
      </c>
      <c r="J8569" s="44" t="s">
        <v>8</v>
      </c>
      <c r="K8569" s="23" t="s">
        <v>8</v>
      </c>
      <c r="L8569" s="23" t="s">
        <v>8</v>
      </c>
      <c r="M8569" s="23" t="s">
        <v>8</v>
      </c>
    </row>
    <row r="8570" spans="1:13" s="21" customFormat="1" x14ac:dyDescent="0.25">
      <c r="A8570" s="22" t="s">
        <v>8</v>
      </c>
      <c r="B8570" s="18" t="s">
        <v>15299</v>
      </c>
      <c r="C8570" s="19" t="s">
        <v>8446</v>
      </c>
      <c r="D8570" s="19" t="s">
        <v>23987</v>
      </c>
      <c r="E8570" s="19" t="s">
        <v>32893</v>
      </c>
      <c r="F8570" s="19" t="s">
        <v>36006</v>
      </c>
      <c r="G8570" s="18" t="str">
        <f>"14810"</f>
        <v>14810</v>
      </c>
      <c r="H8570" s="19" t="s">
        <v>36262</v>
      </c>
      <c r="I8570" s="20">
        <v>19.553000000000001</v>
      </c>
      <c r="J8570" s="44" t="s">
        <v>8</v>
      </c>
      <c r="K8570" s="23" t="s">
        <v>8</v>
      </c>
      <c r="L8570" s="23" t="s">
        <v>8</v>
      </c>
      <c r="M8570" s="23" t="s">
        <v>8</v>
      </c>
    </row>
    <row r="8571" spans="1:13" s="21" customFormat="1" x14ac:dyDescent="0.25">
      <c r="A8571" s="22" t="s">
        <v>8</v>
      </c>
      <c r="B8571" s="18" t="s">
        <v>15300</v>
      </c>
      <c r="C8571" s="19" t="s">
        <v>8447</v>
      </c>
      <c r="D8571" s="19" t="s">
        <v>23988</v>
      </c>
      <c r="E8571" s="19" t="s">
        <v>34030</v>
      </c>
      <c r="F8571" s="19" t="s">
        <v>36006</v>
      </c>
      <c r="G8571" s="18" t="str">
        <f>"13045"</f>
        <v>13045</v>
      </c>
      <c r="H8571" s="19" t="s">
        <v>34030</v>
      </c>
      <c r="I8571" s="20">
        <v>18.791</v>
      </c>
      <c r="J8571" s="44" t="s">
        <v>8</v>
      </c>
      <c r="K8571" s="23" t="s">
        <v>8</v>
      </c>
      <c r="L8571" s="23" t="s">
        <v>8</v>
      </c>
      <c r="M8571" s="23" t="s">
        <v>8</v>
      </c>
    </row>
    <row r="8572" spans="1:13" s="21" customFormat="1" x14ac:dyDescent="0.25">
      <c r="A8572" s="22" t="s">
        <v>8</v>
      </c>
      <c r="B8572" s="18" t="s">
        <v>15301</v>
      </c>
      <c r="C8572" s="19" t="s">
        <v>8448</v>
      </c>
      <c r="D8572" s="19" t="s">
        <v>23989</v>
      </c>
      <c r="E8572" s="19" t="s">
        <v>34031</v>
      </c>
      <c r="F8572" s="19" t="s">
        <v>36006</v>
      </c>
      <c r="G8572" s="18" t="str">
        <f>"13676"</f>
        <v>13676</v>
      </c>
      <c r="H8572" s="19" t="s">
        <v>36594</v>
      </c>
      <c r="I8572" s="20">
        <v>20.273</v>
      </c>
      <c r="J8572" s="44" t="s">
        <v>8</v>
      </c>
      <c r="K8572" s="23" t="s">
        <v>8</v>
      </c>
      <c r="L8572" s="23" t="s">
        <v>8</v>
      </c>
      <c r="M8572" s="23" t="s">
        <v>8</v>
      </c>
    </row>
    <row r="8573" spans="1:13" s="21" customFormat="1" x14ac:dyDescent="0.25">
      <c r="A8573" s="22" t="s">
        <v>8</v>
      </c>
      <c r="B8573" s="18" t="s">
        <v>15302</v>
      </c>
      <c r="C8573" s="19" t="s">
        <v>8449</v>
      </c>
      <c r="D8573" s="19" t="s">
        <v>23990</v>
      </c>
      <c r="E8573" s="19" t="s">
        <v>34032</v>
      </c>
      <c r="F8573" s="19" t="s">
        <v>36006</v>
      </c>
      <c r="G8573" s="18" t="str">
        <f>"13669"</f>
        <v>13669</v>
      </c>
      <c r="H8573" s="19" t="s">
        <v>36594</v>
      </c>
      <c r="I8573" s="20">
        <v>18.091000000000001</v>
      </c>
      <c r="J8573" s="44" t="s">
        <v>8</v>
      </c>
      <c r="K8573" s="23" t="s">
        <v>8</v>
      </c>
      <c r="L8573" s="23" t="s">
        <v>8</v>
      </c>
      <c r="M8573" s="23" t="s">
        <v>8</v>
      </c>
    </row>
    <row r="8574" spans="1:13" s="21" customFormat="1" x14ac:dyDescent="0.25">
      <c r="A8574" s="22" t="s">
        <v>8</v>
      </c>
      <c r="B8574" s="18" t="s">
        <v>15303</v>
      </c>
      <c r="C8574" s="19" t="s">
        <v>8450</v>
      </c>
      <c r="D8574" s="19" t="s">
        <v>23991</v>
      </c>
      <c r="E8574" s="19" t="s">
        <v>34033</v>
      </c>
      <c r="F8574" s="19" t="s">
        <v>36006</v>
      </c>
      <c r="G8574" s="18" t="str">
        <f>"12043"</f>
        <v>12043</v>
      </c>
      <c r="H8574" s="19" t="s">
        <v>36595</v>
      </c>
      <c r="I8574" s="20">
        <v>18.867000000000001</v>
      </c>
      <c r="J8574" s="44" t="s">
        <v>8</v>
      </c>
      <c r="K8574" s="23" t="s">
        <v>8</v>
      </c>
      <c r="L8574" s="23" t="s">
        <v>8</v>
      </c>
      <c r="M8574" s="23" t="s">
        <v>8</v>
      </c>
    </row>
    <row r="8575" spans="1:13" s="21" customFormat="1" x14ac:dyDescent="0.25">
      <c r="A8575" s="22" t="s">
        <v>8</v>
      </c>
      <c r="B8575" s="18" t="s">
        <v>15304</v>
      </c>
      <c r="C8575" s="19" t="s">
        <v>8451</v>
      </c>
      <c r="D8575" s="19" t="s">
        <v>23992</v>
      </c>
      <c r="E8575" s="19" t="s">
        <v>34034</v>
      </c>
      <c r="F8575" s="19" t="s">
        <v>36006</v>
      </c>
      <c r="G8575" s="18" t="str">
        <f>"14850"</f>
        <v>14850</v>
      </c>
      <c r="H8575" s="19" t="s">
        <v>36596</v>
      </c>
      <c r="I8575" s="20">
        <v>18.789000000000001</v>
      </c>
      <c r="J8575" s="44" t="s">
        <v>8</v>
      </c>
      <c r="K8575" s="23" t="s">
        <v>8</v>
      </c>
      <c r="L8575" s="23" t="s">
        <v>8</v>
      </c>
      <c r="M8575" s="23" t="s">
        <v>8</v>
      </c>
    </row>
    <row r="8576" spans="1:13" s="21" customFormat="1" x14ac:dyDescent="0.25">
      <c r="A8576" s="22" t="s">
        <v>8</v>
      </c>
      <c r="B8576" s="18" t="str">
        <f>"335003"</f>
        <v>335003</v>
      </c>
      <c r="C8576" s="19" t="s">
        <v>8452</v>
      </c>
      <c r="D8576" s="19" t="s">
        <v>23993</v>
      </c>
      <c r="E8576" s="19" t="s">
        <v>34035</v>
      </c>
      <c r="F8576" s="19" t="s">
        <v>36006</v>
      </c>
      <c r="G8576" s="18" t="str">
        <f>"10566"</f>
        <v>10566</v>
      </c>
      <c r="H8576" s="19" t="s">
        <v>32061</v>
      </c>
      <c r="I8576" s="20">
        <v>20.231999999999999</v>
      </c>
      <c r="J8576" s="44" t="s">
        <v>8</v>
      </c>
      <c r="K8576" s="23" t="s">
        <v>8</v>
      </c>
      <c r="L8576" s="23" t="s">
        <v>8</v>
      </c>
      <c r="M8576" s="23" t="s">
        <v>8</v>
      </c>
    </row>
    <row r="8577" spans="1:13" s="21" customFormat="1" x14ac:dyDescent="0.25">
      <c r="A8577" s="22" t="s">
        <v>8</v>
      </c>
      <c r="B8577" s="18" t="str">
        <f>"335004"</f>
        <v>335004</v>
      </c>
      <c r="C8577" s="19" t="s">
        <v>8453</v>
      </c>
      <c r="D8577" s="19" t="s">
        <v>23994</v>
      </c>
      <c r="E8577" s="19" t="s">
        <v>30926</v>
      </c>
      <c r="F8577" s="19" t="s">
        <v>36006</v>
      </c>
      <c r="G8577" s="18" t="str">
        <f>"13021"</f>
        <v>13021</v>
      </c>
      <c r="H8577" s="19" t="s">
        <v>36597</v>
      </c>
      <c r="I8577" s="20">
        <v>16.565999999999999</v>
      </c>
      <c r="J8577" s="44" t="s">
        <v>8</v>
      </c>
      <c r="K8577" s="23" t="s">
        <v>8</v>
      </c>
      <c r="L8577" s="23" t="s">
        <v>8</v>
      </c>
      <c r="M8577" s="23" t="s">
        <v>8</v>
      </c>
    </row>
    <row r="8578" spans="1:13" s="21" customFormat="1" x14ac:dyDescent="0.25">
      <c r="A8578" s="22" t="s">
        <v>8</v>
      </c>
      <c r="B8578" s="18" t="str">
        <f>"335005"</f>
        <v>335005</v>
      </c>
      <c r="C8578" s="19" t="s">
        <v>8454</v>
      </c>
      <c r="D8578" s="19" t="s">
        <v>23995</v>
      </c>
      <c r="E8578" s="19" t="s">
        <v>34036</v>
      </c>
      <c r="F8578" s="19" t="s">
        <v>36006</v>
      </c>
      <c r="G8578" s="18" t="str">
        <f>"10510"</f>
        <v>10510</v>
      </c>
      <c r="H8578" s="19" t="s">
        <v>32061</v>
      </c>
      <c r="I8578" s="20">
        <v>18.608000000000001</v>
      </c>
      <c r="J8578" s="44" t="s">
        <v>8</v>
      </c>
      <c r="K8578" s="23" t="s">
        <v>8</v>
      </c>
      <c r="L8578" s="23" t="s">
        <v>8</v>
      </c>
      <c r="M8578" s="23" t="s">
        <v>8</v>
      </c>
    </row>
    <row r="8579" spans="1:13" s="21" customFormat="1" x14ac:dyDescent="0.25">
      <c r="A8579" s="22" t="s">
        <v>8</v>
      </c>
      <c r="B8579" s="18" t="str">
        <f>"335006"</f>
        <v>335006</v>
      </c>
      <c r="C8579" s="19" t="s">
        <v>8455</v>
      </c>
      <c r="D8579" s="19" t="s">
        <v>23996</v>
      </c>
      <c r="E8579" s="19" t="s">
        <v>31081</v>
      </c>
      <c r="F8579" s="19" t="s">
        <v>36006</v>
      </c>
      <c r="G8579" s="18" t="str">
        <f>"13323"</f>
        <v>13323</v>
      </c>
      <c r="H8579" s="19" t="s">
        <v>34140</v>
      </c>
      <c r="I8579" s="20">
        <v>19.166</v>
      </c>
      <c r="J8579" s="44" t="s">
        <v>8</v>
      </c>
      <c r="K8579" s="23" t="s">
        <v>8</v>
      </c>
      <c r="L8579" s="23" t="s">
        <v>8</v>
      </c>
      <c r="M8579" s="23" t="s">
        <v>8</v>
      </c>
    </row>
    <row r="8580" spans="1:13" s="21" customFormat="1" x14ac:dyDescent="0.25">
      <c r="A8580" s="22" t="s">
        <v>8</v>
      </c>
      <c r="B8580" s="18" t="str">
        <f>"335008"</f>
        <v>335008</v>
      </c>
      <c r="C8580" s="19" t="s">
        <v>8456</v>
      </c>
      <c r="D8580" s="19" t="s">
        <v>23997</v>
      </c>
      <c r="E8580" s="19" t="s">
        <v>32267</v>
      </c>
      <c r="F8580" s="19" t="s">
        <v>36006</v>
      </c>
      <c r="G8580" s="18" t="str">
        <f>"14620"</f>
        <v>14620</v>
      </c>
      <c r="H8580" s="19" t="s">
        <v>31711</v>
      </c>
      <c r="I8580" s="20">
        <v>20.28</v>
      </c>
      <c r="J8580" s="44" t="s">
        <v>8</v>
      </c>
      <c r="K8580" s="23" t="s">
        <v>8</v>
      </c>
      <c r="L8580" s="23" t="s">
        <v>8</v>
      </c>
      <c r="M8580" s="23" t="s">
        <v>8</v>
      </c>
    </row>
    <row r="8581" spans="1:13" s="21" customFormat="1" x14ac:dyDescent="0.25">
      <c r="A8581" s="22" t="s">
        <v>8</v>
      </c>
      <c r="B8581" s="18" t="str">
        <f>"335011"</f>
        <v>335011</v>
      </c>
      <c r="C8581" s="19" t="s">
        <v>8457</v>
      </c>
      <c r="D8581" s="19" t="s">
        <v>23998</v>
      </c>
      <c r="E8581" s="19" t="s">
        <v>34037</v>
      </c>
      <c r="F8581" s="19" t="s">
        <v>36006</v>
      </c>
      <c r="G8581" s="18" t="str">
        <f>"10463"</f>
        <v>10463</v>
      </c>
      <c r="H8581" s="19" t="s">
        <v>34037</v>
      </c>
      <c r="I8581" s="20">
        <v>17.166</v>
      </c>
      <c r="J8581" s="44" t="s">
        <v>8</v>
      </c>
      <c r="K8581" s="23" t="s">
        <v>8</v>
      </c>
      <c r="L8581" s="23" t="s">
        <v>8</v>
      </c>
      <c r="M8581" s="23" t="s">
        <v>8</v>
      </c>
    </row>
    <row r="8582" spans="1:13" s="21" customFormat="1" x14ac:dyDescent="0.25">
      <c r="A8582" s="22" t="s">
        <v>8</v>
      </c>
      <c r="B8582" s="18" t="str">
        <f>"335014"</f>
        <v>335014</v>
      </c>
      <c r="C8582" s="19" t="s">
        <v>8458</v>
      </c>
      <c r="D8582" s="19" t="s">
        <v>23999</v>
      </c>
      <c r="E8582" s="19" t="s">
        <v>34038</v>
      </c>
      <c r="F8582" s="19" t="s">
        <v>36006</v>
      </c>
      <c r="G8582" s="18" t="str">
        <f>"12303"</f>
        <v>12303</v>
      </c>
      <c r="H8582" s="19" t="s">
        <v>34038</v>
      </c>
      <c r="I8582" s="20">
        <v>13.977</v>
      </c>
      <c r="J8582" s="44" t="s">
        <v>8</v>
      </c>
      <c r="K8582" s="23" t="s">
        <v>8</v>
      </c>
      <c r="L8582" s="23" t="s">
        <v>8</v>
      </c>
      <c r="M8582" s="23" t="s">
        <v>8</v>
      </c>
    </row>
    <row r="8583" spans="1:13" s="21" customFormat="1" x14ac:dyDescent="0.25">
      <c r="A8583" s="22" t="s">
        <v>8</v>
      </c>
      <c r="B8583" s="18" t="str">
        <f>"335015"</f>
        <v>335015</v>
      </c>
      <c r="C8583" s="19" t="s">
        <v>8459</v>
      </c>
      <c r="D8583" s="19" t="s">
        <v>24000</v>
      </c>
      <c r="E8583" s="19" t="s">
        <v>34037</v>
      </c>
      <c r="F8583" s="19" t="s">
        <v>36006</v>
      </c>
      <c r="G8583" s="18" t="str">
        <f>"10463"</f>
        <v>10463</v>
      </c>
      <c r="H8583" s="19" t="s">
        <v>34037</v>
      </c>
      <c r="I8583" s="20">
        <v>16.582000000000001</v>
      </c>
      <c r="J8583" s="44" t="s">
        <v>8</v>
      </c>
      <c r="K8583" s="23" t="s">
        <v>8</v>
      </c>
      <c r="L8583" s="23" t="s">
        <v>8</v>
      </c>
      <c r="M8583" s="23" t="s">
        <v>8</v>
      </c>
    </row>
    <row r="8584" spans="1:13" s="21" customFormat="1" x14ac:dyDescent="0.25">
      <c r="A8584" s="22" t="s">
        <v>8</v>
      </c>
      <c r="B8584" s="18" t="str">
        <f>"335017"</f>
        <v>335017</v>
      </c>
      <c r="C8584" s="19" t="s">
        <v>8460</v>
      </c>
      <c r="D8584" s="19" t="s">
        <v>24001</v>
      </c>
      <c r="E8584" s="19" t="s">
        <v>34034</v>
      </c>
      <c r="F8584" s="19" t="s">
        <v>36006</v>
      </c>
      <c r="G8584" s="18" t="str">
        <f>"14850"</f>
        <v>14850</v>
      </c>
      <c r="H8584" s="19" t="s">
        <v>36596</v>
      </c>
      <c r="I8584" s="20">
        <v>16.433</v>
      </c>
      <c r="J8584" s="44" t="s">
        <v>8</v>
      </c>
      <c r="K8584" s="23" t="s">
        <v>8</v>
      </c>
      <c r="L8584" s="23" t="s">
        <v>8</v>
      </c>
      <c r="M8584" s="23" t="s">
        <v>8</v>
      </c>
    </row>
    <row r="8585" spans="1:13" s="21" customFormat="1" x14ac:dyDescent="0.25">
      <c r="A8585" s="22" t="s">
        <v>8</v>
      </c>
      <c r="B8585" s="18" t="str">
        <f>"335019"</f>
        <v>335019</v>
      </c>
      <c r="C8585" s="19" t="s">
        <v>8461</v>
      </c>
      <c r="D8585" s="19" t="s">
        <v>24002</v>
      </c>
      <c r="E8585" s="19" t="s">
        <v>34037</v>
      </c>
      <c r="F8585" s="19" t="s">
        <v>36006</v>
      </c>
      <c r="G8585" s="18" t="str">
        <f>"10475"</f>
        <v>10475</v>
      </c>
      <c r="H8585" s="19" t="s">
        <v>34037</v>
      </c>
      <c r="I8585" s="20">
        <v>20.702000000000002</v>
      </c>
      <c r="J8585" s="44" t="s">
        <v>8</v>
      </c>
      <c r="K8585" s="23" t="s">
        <v>8</v>
      </c>
      <c r="L8585" s="23" t="s">
        <v>8</v>
      </c>
      <c r="M8585" s="23" t="s">
        <v>8</v>
      </c>
    </row>
    <row r="8586" spans="1:13" s="21" customFormat="1" x14ac:dyDescent="0.25">
      <c r="A8586" s="22" t="s">
        <v>8</v>
      </c>
      <c r="B8586" s="18" t="str">
        <f>"335020"</f>
        <v>335020</v>
      </c>
      <c r="C8586" s="19" t="s">
        <v>8462</v>
      </c>
      <c r="D8586" s="19" t="s">
        <v>24003</v>
      </c>
      <c r="E8586" s="19" t="s">
        <v>31721</v>
      </c>
      <c r="F8586" s="19" t="s">
        <v>36006</v>
      </c>
      <c r="G8586" s="18" t="str">
        <f>"10471"</f>
        <v>10471</v>
      </c>
      <c r="H8586" s="19" t="s">
        <v>34037</v>
      </c>
      <c r="I8586" s="20">
        <v>18.786999999999999</v>
      </c>
      <c r="J8586" s="44" t="s">
        <v>8</v>
      </c>
      <c r="K8586" s="23" t="s">
        <v>8</v>
      </c>
      <c r="L8586" s="23" t="s">
        <v>8</v>
      </c>
      <c r="M8586" s="23" t="s">
        <v>8</v>
      </c>
    </row>
    <row r="8587" spans="1:13" s="21" customFormat="1" x14ac:dyDescent="0.25">
      <c r="A8587" s="22" t="s">
        <v>8</v>
      </c>
      <c r="B8587" s="18" t="str">
        <f>"335022"</f>
        <v>335022</v>
      </c>
      <c r="C8587" s="19" t="s">
        <v>8463</v>
      </c>
      <c r="D8587" s="19" t="s">
        <v>24004</v>
      </c>
      <c r="E8587" s="19" t="s">
        <v>34039</v>
      </c>
      <c r="F8587" s="19" t="s">
        <v>36006</v>
      </c>
      <c r="G8587" s="18" t="str">
        <f>"11050"</f>
        <v>11050</v>
      </c>
      <c r="H8587" s="19" t="s">
        <v>36144</v>
      </c>
      <c r="I8587" s="20">
        <v>19.242000000000001</v>
      </c>
      <c r="J8587" s="44" t="s">
        <v>8</v>
      </c>
      <c r="K8587" s="23" t="s">
        <v>8</v>
      </c>
      <c r="L8587" s="23" t="s">
        <v>8</v>
      </c>
      <c r="M8587" s="23" t="s">
        <v>8</v>
      </c>
    </row>
    <row r="8588" spans="1:13" s="21" customFormat="1" x14ac:dyDescent="0.25">
      <c r="A8588" s="22" t="s">
        <v>8</v>
      </c>
      <c r="B8588" s="18" t="str">
        <f>"335023"</f>
        <v>335023</v>
      </c>
      <c r="C8588" s="19" t="s">
        <v>8464</v>
      </c>
      <c r="D8588" s="19" t="s">
        <v>24005</v>
      </c>
      <c r="E8588" s="19" t="s">
        <v>34040</v>
      </c>
      <c r="F8588" s="19" t="s">
        <v>36006</v>
      </c>
      <c r="G8588" s="18" t="str">
        <f>"11553"</f>
        <v>11553</v>
      </c>
      <c r="H8588" s="19" t="s">
        <v>36144</v>
      </c>
      <c r="I8588" s="20">
        <v>21.433</v>
      </c>
      <c r="J8588" s="44" t="s">
        <v>8</v>
      </c>
      <c r="K8588" s="23" t="s">
        <v>8</v>
      </c>
      <c r="L8588" s="23" t="s">
        <v>8</v>
      </c>
      <c r="M8588" s="23" t="s">
        <v>8</v>
      </c>
    </row>
    <row r="8589" spans="1:13" s="21" customFormat="1" x14ac:dyDescent="0.25">
      <c r="A8589" s="22" t="s">
        <v>8</v>
      </c>
      <c r="B8589" s="18" t="str">
        <f>"335024"</f>
        <v>335024</v>
      </c>
      <c r="C8589" s="19" t="s">
        <v>8465</v>
      </c>
      <c r="D8589" s="19" t="s">
        <v>24006</v>
      </c>
      <c r="E8589" s="19" t="s">
        <v>31111</v>
      </c>
      <c r="F8589" s="19" t="s">
        <v>36006</v>
      </c>
      <c r="G8589" s="18" t="str">
        <f>"11561"</f>
        <v>11561</v>
      </c>
      <c r="H8589" s="19" t="s">
        <v>36144</v>
      </c>
      <c r="I8589" s="20">
        <v>17.716000000000001</v>
      </c>
      <c r="J8589" s="44" t="s">
        <v>8</v>
      </c>
      <c r="K8589" s="23" t="s">
        <v>8</v>
      </c>
      <c r="L8589" s="23" t="s">
        <v>8</v>
      </c>
      <c r="M8589" s="23" t="s">
        <v>8</v>
      </c>
    </row>
    <row r="8590" spans="1:13" s="21" customFormat="1" x14ac:dyDescent="0.25">
      <c r="A8590" s="22" t="s">
        <v>8</v>
      </c>
      <c r="B8590" s="18" t="str">
        <f>"335027"</f>
        <v>335027</v>
      </c>
      <c r="C8590" s="19" t="s">
        <v>8466</v>
      </c>
      <c r="D8590" s="19" t="s">
        <v>24007</v>
      </c>
      <c r="E8590" s="19" t="s">
        <v>34041</v>
      </c>
      <c r="F8590" s="19" t="s">
        <v>36006</v>
      </c>
      <c r="G8590" s="18" t="str">
        <f>"10014"</f>
        <v>10014</v>
      </c>
      <c r="H8590" s="19" t="s">
        <v>34041</v>
      </c>
      <c r="I8590" s="20">
        <v>15.409000000000001</v>
      </c>
      <c r="J8590" s="44" t="s">
        <v>8</v>
      </c>
      <c r="K8590" s="23" t="s">
        <v>8</v>
      </c>
      <c r="L8590" s="23" t="s">
        <v>8</v>
      </c>
      <c r="M8590" s="23" t="s">
        <v>8</v>
      </c>
    </row>
    <row r="8591" spans="1:13" s="21" customFormat="1" x14ac:dyDescent="0.25">
      <c r="A8591" s="22" t="s">
        <v>8</v>
      </c>
      <c r="B8591" s="18" t="str">
        <f>"335028"</f>
        <v>335028</v>
      </c>
      <c r="C8591" s="19" t="s">
        <v>8467</v>
      </c>
      <c r="D8591" s="19" t="s">
        <v>24008</v>
      </c>
      <c r="E8591" s="19" t="s">
        <v>34037</v>
      </c>
      <c r="F8591" s="19" t="s">
        <v>36006</v>
      </c>
      <c r="G8591" s="18" t="str">
        <f>"10463"</f>
        <v>10463</v>
      </c>
      <c r="H8591" s="19" t="s">
        <v>34037</v>
      </c>
      <c r="I8591" s="20">
        <v>15.954000000000001</v>
      </c>
      <c r="J8591" s="44" t="s">
        <v>8</v>
      </c>
      <c r="K8591" s="23" t="s">
        <v>8</v>
      </c>
      <c r="L8591" s="23" t="s">
        <v>8</v>
      </c>
      <c r="M8591" s="23" t="s">
        <v>8</v>
      </c>
    </row>
    <row r="8592" spans="1:13" s="21" customFormat="1" x14ac:dyDescent="0.25">
      <c r="A8592" s="22" t="s">
        <v>8</v>
      </c>
      <c r="B8592" s="18" t="str">
        <f>"335030"</f>
        <v>335030</v>
      </c>
      <c r="C8592" s="19" t="s">
        <v>8468</v>
      </c>
      <c r="D8592" s="19" t="s">
        <v>24009</v>
      </c>
      <c r="E8592" s="19" t="s">
        <v>34037</v>
      </c>
      <c r="F8592" s="19" t="s">
        <v>36006</v>
      </c>
      <c r="G8592" s="18" t="str">
        <f>"10467"</f>
        <v>10467</v>
      </c>
      <c r="H8592" s="19" t="s">
        <v>34037</v>
      </c>
      <c r="I8592" s="20">
        <v>19.18</v>
      </c>
      <c r="J8592" s="44" t="s">
        <v>8</v>
      </c>
      <c r="K8592" s="23" t="s">
        <v>8</v>
      </c>
      <c r="L8592" s="23" t="s">
        <v>8</v>
      </c>
      <c r="M8592" s="23" t="s">
        <v>8</v>
      </c>
    </row>
    <row r="8593" spans="1:13" s="21" customFormat="1" x14ac:dyDescent="0.25">
      <c r="A8593" s="22" t="s">
        <v>8</v>
      </c>
      <c r="B8593" s="18" t="str">
        <f>"335034"</f>
        <v>335034</v>
      </c>
      <c r="C8593" s="19" t="s">
        <v>8469</v>
      </c>
      <c r="D8593" s="19" t="s">
        <v>24010</v>
      </c>
      <c r="E8593" s="19" t="s">
        <v>32201</v>
      </c>
      <c r="F8593" s="19" t="s">
        <v>36006</v>
      </c>
      <c r="G8593" s="18" t="str">
        <f>"14569"</f>
        <v>14569</v>
      </c>
      <c r="H8593" s="19" t="s">
        <v>33261</v>
      </c>
      <c r="I8593" s="20">
        <v>20.305</v>
      </c>
      <c r="J8593" s="44" t="s">
        <v>8</v>
      </c>
      <c r="K8593" s="23" t="s">
        <v>8</v>
      </c>
      <c r="L8593" s="23" t="s">
        <v>8</v>
      </c>
      <c r="M8593" s="23" t="s">
        <v>8</v>
      </c>
    </row>
    <row r="8594" spans="1:13" s="21" customFormat="1" x14ac:dyDescent="0.25">
      <c r="A8594" s="22" t="s">
        <v>8</v>
      </c>
      <c r="B8594" s="18" t="str">
        <f>"335040"</f>
        <v>335040</v>
      </c>
      <c r="C8594" s="19" t="s">
        <v>8470</v>
      </c>
      <c r="D8594" s="19" t="s">
        <v>24011</v>
      </c>
      <c r="E8594" s="19" t="s">
        <v>32207</v>
      </c>
      <c r="F8594" s="19" t="s">
        <v>36006</v>
      </c>
      <c r="G8594" s="18" t="str">
        <f>"11743"</f>
        <v>11743</v>
      </c>
      <c r="H8594" s="19" t="s">
        <v>35389</v>
      </c>
      <c r="I8594" s="20">
        <v>19.942</v>
      </c>
      <c r="J8594" s="44" t="s">
        <v>8</v>
      </c>
      <c r="K8594" s="23" t="s">
        <v>8</v>
      </c>
      <c r="L8594" s="23" t="s">
        <v>8</v>
      </c>
      <c r="M8594" s="23" t="s">
        <v>8</v>
      </c>
    </row>
    <row r="8595" spans="1:13" s="21" customFormat="1" x14ac:dyDescent="0.25">
      <c r="A8595" s="22" t="s">
        <v>8</v>
      </c>
      <c r="B8595" s="18" t="str">
        <f>"335044"</f>
        <v>335044</v>
      </c>
      <c r="C8595" s="19" t="s">
        <v>8471</v>
      </c>
      <c r="D8595" s="19" t="s">
        <v>24012</v>
      </c>
      <c r="E8595" s="19" t="s">
        <v>34042</v>
      </c>
      <c r="F8595" s="19" t="s">
        <v>36006</v>
      </c>
      <c r="G8595" s="18" t="str">
        <f>"11691"</f>
        <v>11691</v>
      </c>
      <c r="H8595" s="19" t="s">
        <v>36598</v>
      </c>
      <c r="I8595" s="20">
        <v>19.661000000000001</v>
      </c>
      <c r="J8595" s="44" t="s">
        <v>8</v>
      </c>
      <c r="K8595" s="23" t="s">
        <v>8</v>
      </c>
      <c r="L8595" s="23" t="s">
        <v>8</v>
      </c>
      <c r="M8595" s="23" t="s">
        <v>8</v>
      </c>
    </row>
    <row r="8596" spans="1:13" s="21" customFormat="1" x14ac:dyDescent="0.25">
      <c r="A8596" s="22" t="s">
        <v>8</v>
      </c>
      <c r="B8596" s="18" t="str">
        <f>"335046"</f>
        <v>335046</v>
      </c>
      <c r="C8596" s="19" t="s">
        <v>8472</v>
      </c>
      <c r="D8596" s="19" t="s">
        <v>24013</v>
      </c>
      <c r="E8596" s="19" t="s">
        <v>34043</v>
      </c>
      <c r="F8596" s="19" t="s">
        <v>36006</v>
      </c>
      <c r="G8596" s="18" t="str">
        <f>"10954"</f>
        <v>10954</v>
      </c>
      <c r="H8596" s="19" t="s">
        <v>32912</v>
      </c>
      <c r="I8596" s="20">
        <v>23.805</v>
      </c>
      <c r="J8596" s="44" t="s">
        <v>8</v>
      </c>
      <c r="K8596" s="23" t="s">
        <v>8</v>
      </c>
      <c r="L8596" s="23" t="s">
        <v>8</v>
      </c>
      <c r="M8596" s="23" t="s">
        <v>8</v>
      </c>
    </row>
    <row r="8597" spans="1:13" s="21" customFormat="1" x14ac:dyDescent="0.25">
      <c r="A8597" s="22" t="s">
        <v>8</v>
      </c>
      <c r="B8597" s="18" t="str">
        <f>"335048"</f>
        <v>335048</v>
      </c>
      <c r="C8597" s="19" t="s">
        <v>8473</v>
      </c>
      <c r="D8597" s="19" t="s">
        <v>24014</v>
      </c>
      <c r="E8597" s="19" t="s">
        <v>34037</v>
      </c>
      <c r="F8597" s="19" t="s">
        <v>36006</v>
      </c>
      <c r="G8597" s="18" t="str">
        <f>"10461"</f>
        <v>10461</v>
      </c>
      <c r="H8597" s="19" t="s">
        <v>34037</v>
      </c>
      <c r="I8597" s="20">
        <v>17.029</v>
      </c>
      <c r="J8597" s="44" t="s">
        <v>8</v>
      </c>
      <c r="K8597" s="23" t="s">
        <v>8</v>
      </c>
      <c r="L8597" s="23" t="s">
        <v>8</v>
      </c>
      <c r="M8597" s="23" t="s">
        <v>8</v>
      </c>
    </row>
    <row r="8598" spans="1:13" s="21" customFormat="1" x14ac:dyDescent="0.25">
      <c r="A8598" s="22" t="s">
        <v>8</v>
      </c>
      <c r="B8598" s="18" t="str">
        <f>"335050"</f>
        <v>335050</v>
      </c>
      <c r="C8598" s="19" t="s">
        <v>8474</v>
      </c>
      <c r="D8598" s="19" t="s">
        <v>24015</v>
      </c>
      <c r="E8598" s="19" t="s">
        <v>34041</v>
      </c>
      <c r="F8598" s="19" t="s">
        <v>36006</v>
      </c>
      <c r="G8598" s="18" t="str">
        <f>"10021"</f>
        <v>10021</v>
      </c>
      <c r="H8598" s="19" t="s">
        <v>34041</v>
      </c>
      <c r="I8598" s="20">
        <v>18.986000000000001</v>
      </c>
      <c r="J8598" s="44" t="s">
        <v>8</v>
      </c>
      <c r="K8598" s="23" t="s">
        <v>8</v>
      </c>
      <c r="L8598" s="23" t="s">
        <v>8</v>
      </c>
      <c r="M8598" s="23" t="s">
        <v>8</v>
      </c>
    </row>
    <row r="8599" spans="1:13" s="21" customFormat="1" x14ac:dyDescent="0.25">
      <c r="A8599" s="22" t="s">
        <v>8</v>
      </c>
      <c r="B8599" s="18" t="str">
        <f>"335053"</f>
        <v>335053</v>
      </c>
      <c r="C8599" s="19" t="s">
        <v>8475</v>
      </c>
      <c r="D8599" s="19" t="s">
        <v>24016</v>
      </c>
      <c r="E8599" s="19" t="s">
        <v>34044</v>
      </c>
      <c r="F8599" s="19" t="s">
        <v>36006</v>
      </c>
      <c r="G8599" s="18" t="str">
        <f>"14845"</f>
        <v>14845</v>
      </c>
      <c r="H8599" s="19" t="s">
        <v>36599</v>
      </c>
      <c r="I8599" s="20">
        <v>24.745999999999999</v>
      </c>
      <c r="J8599" s="44" t="s">
        <v>8</v>
      </c>
      <c r="K8599" s="23" t="s">
        <v>8</v>
      </c>
      <c r="L8599" s="23" t="s">
        <v>8</v>
      </c>
      <c r="M8599" s="23" t="s">
        <v>8</v>
      </c>
    </row>
    <row r="8600" spans="1:13" s="21" customFormat="1" x14ac:dyDescent="0.25">
      <c r="A8600" s="22" t="s">
        <v>8</v>
      </c>
      <c r="B8600" s="18" t="str">
        <f>"335056"</f>
        <v>335056</v>
      </c>
      <c r="C8600" s="19" t="s">
        <v>8476</v>
      </c>
      <c r="D8600" s="19" t="s">
        <v>24017</v>
      </c>
      <c r="E8600" s="19" t="s">
        <v>33080</v>
      </c>
      <c r="F8600" s="19" t="s">
        <v>36006</v>
      </c>
      <c r="G8600" s="18" t="str">
        <f>"14226"</f>
        <v>14226</v>
      </c>
      <c r="H8600" s="19" t="s">
        <v>34805</v>
      </c>
      <c r="I8600" s="20">
        <v>18.738</v>
      </c>
      <c r="J8600" s="44" t="s">
        <v>8</v>
      </c>
      <c r="K8600" s="23" t="s">
        <v>8</v>
      </c>
      <c r="L8600" s="23" t="s">
        <v>8</v>
      </c>
      <c r="M8600" s="23" t="s">
        <v>8</v>
      </c>
    </row>
    <row r="8601" spans="1:13" s="21" customFormat="1" x14ac:dyDescent="0.25">
      <c r="A8601" s="22" t="s">
        <v>8</v>
      </c>
      <c r="B8601" s="18" t="str">
        <f>"335061"</f>
        <v>335061</v>
      </c>
      <c r="C8601" s="19" t="s">
        <v>8477</v>
      </c>
      <c r="D8601" s="19" t="s">
        <v>24018</v>
      </c>
      <c r="E8601" s="19" t="s">
        <v>34037</v>
      </c>
      <c r="F8601" s="19" t="s">
        <v>36006</v>
      </c>
      <c r="G8601" s="18" t="str">
        <f>"10468"</f>
        <v>10468</v>
      </c>
      <c r="H8601" s="19" t="s">
        <v>34037</v>
      </c>
      <c r="I8601" s="20">
        <v>18.768999999999998</v>
      </c>
      <c r="J8601" s="44" t="s">
        <v>8</v>
      </c>
      <c r="K8601" s="23" t="s">
        <v>8</v>
      </c>
      <c r="L8601" s="23" t="s">
        <v>8</v>
      </c>
      <c r="M8601" s="23" t="s">
        <v>8</v>
      </c>
    </row>
    <row r="8602" spans="1:13" s="21" customFormat="1" x14ac:dyDescent="0.25">
      <c r="A8602" s="22" t="s">
        <v>8</v>
      </c>
      <c r="B8602" s="18" t="str">
        <f>"335063"</f>
        <v>335063</v>
      </c>
      <c r="C8602" s="19" t="s">
        <v>8478</v>
      </c>
      <c r="D8602" s="19" t="s">
        <v>24019</v>
      </c>
      <c r="E8602" s="19" t="s">
        <v>34045</v>
      </c>
      <c r="F8602" s="19" t="s">
        <v>36006</v>
      </c>
      <c r="G8602" s="18" t="str">
        <f>"10044"</f>
        <v>10044</v>
      </c>
      <c r="H8602" s="19" t="s">
        <v>34041</v>
      </c>
      <c r="I8602" s="20">
        <v>19.344000000000001</v>
      </c>
      <c r="J8602" s="44" t="s">
        <v>8</v>
      </c>
      <c r="K8602" s="23" t="s">
        <v>8</v>
      </c>
      <c r="L8602" s="23" t="s">
        <v>8</v>
      </c>
      <c r="M8602" s="23" t="s">
        <v>8</v>
      </c>
    </row>
    <row r="8603" spans="1:13" s="21" customFormat="1" x14ac:dyDescent="0.25">
      <c r="A8603" s="22" t="s">
        <v>8</v>
      </c>
      <c r="B8603" s="18" t="str">
        <f>"335067"</f>
        <v>335067</v>
      </c>
      <c r="C8603" s="19" t="s">
        <v>8479</v>
      </c>
      <c r="D8603" s="19" t="s">
        <v>24020</v>
      </c>
      <c r="E8603" s="19" t="s">
        <v>34046</v>
      </c>
      <c r="F8603" s="19" t="s">
        <v>36006</v>
      </c>
      <c r="G8603" s="18" t="str">
        <f>"11746"</f>
        <v>11746</v>
      </c>
      <c r="H8603" s="19" t="s">
        <v>35389</v>
      </c>
      <c r="I8603" s="20">
        <v>18.338000000000001</v>
      </c>
      <c r="J8603" s="44" t="s">
        <v>8</v>
      </c>
      <c r="K8603" s="23" t="s">
        <v>8</v>
      </c>
      <c r="L8603" s="23" t="s">
        <v>8</v>
      </c>
      <c r="M8603" s="23" t="s">
        <v>8</v>
      </c>
    </row>
    <row r="8604" spans="1:13" s="21" customFormat="1" x14ac:dyDescent="0.25">
      <c r="A8604" s="22" t="s">
        <v>8</v>
      </c>
      <c r="B8604" s="18" t="str">
        <f>"335068"</f>
        <v>335068</v>
      </c>
      <c r="C8604" s="19" t="s">
        <v>8480</v>
      </c>
      <c r="D8604" s="19" t="s">
        <v>24021</v>
      </c>
      <c r="E8604" s="19" t="s">
        <v>34047</v>
      </c>
      <c r="F8604" s="19" t="s">
        <v>36006</v>
      </c>
      <c r="G8604" s="18" t="str">
        <f>"13408"</f>
        <v>13408</v>
      </c>
      <c r="H8604" s="19" t="s">
        <v>30899</v>
      </c>
      <c r="I8604" s="20">
        <v>17.068000000000001</v>
      </c>
      <c r="J8604" s="44" t="s">
        <v>8</v>
      </c>
      <c r="K8604" s="23" t="s">
        <v>8</v>
      </c>
      <c r="L8604" s="23" t="s">
        <v>8</v>
      </c>
      <c r="M8604" s="23" t="s">
        <v>8</v>
      </c>
    </row>
    <row r="8605" spans="1:13" s="21" customFormat="1" x14ac:dyDescent="0.25">
      <c r="A8605" s="22" t="s">
        <v>8</v>
      </c>
      <c r="B8605" s="18" t="str">
        <f>"335069"</f>
        <v>335069</v>
      </c>
      <c r="C8605" s="19" t="s">
        <v>8481</v>
      </c>
      <c r="D8605" s="19" t="s">
        <v>24022</v>
      </c>
      <c r="E8605" s="19" t="s">
        <v>33168</v>
      </c>
      <c r="F8605" s="19" t="s">
        <v>36006</v>
      </c>
      <c r="G8605" s="18" t="str">
        <f>"14487"</f>
        <v>14487</v>
      </c>
      <c r="H8605" s="19" t="s">
        <v>33740</v>
      </c>
      <c r="I8605" s="20">
        <v>17.794</v>
      </c>
      <c r="J8605" s="44" t="s">
        <v>8</v>
      </c>
      <c r="K8605" s="23" t="s">
        <v>8</v>
      </c>
      <c r="L8605" s="23" t="s">
        <v>8</v>
      </c>
      <c r="M8605" s="23" t="s">
        <v>8</v>
      </c>
    </row>
    <row r="8606" spans="1:13" s="21" customFormat="1" x14ac:dyDescent="0.25">
      <c r="A8606" s="22" t="s">
        <v>8</v>
      </c>
      <c r="B8606" s="18" t="str">
        <f>"335070"</f>
        <v>335070</v>
      </c>
      <c r="C8606" s="19" t="s">
        <v>8482</v>
      </c>
      <c r="D8606" s="19" t="s">
        <v>24023</v>
      </c>
      <c r="E8606" s="19" t="s">
        <v>31443</v>
      </c>
      <c r="F8606" s="19" t="s">
        <v>36006</v>
      </c>
      <c r="G8606" s="18" t="str">
        <f>"11233"</f>
        <v>11233</v>
      </c>
      <c r="H8606" s="19" t="s">
        <v>36091</v>
      </c>
      <c r="I8606" s="20">
        <v>20.323</v>
      </c>
      <c r="J8606" s="44" t="s">
        <v>8</v>
      </c>
      <c r="K8606" s="23" t="s">
        <v>8</v>
      </c>
      <c r="L8606" s="23" t="s">
        <v>8</v>
      </c>
      <c r="M8606" s="23" t="s">
        <v>8</v>
      </c>
    </row>
    <row r="8607" spans="1:13" s="21" customFormat="1" x14ac:dyDescent="0.25">
      <c r="A8607" s="22" t="s">
        <v>8</v>
      </c>
      <c r="B8607" s="18" t="str">
        <f>"335072"</f>
        <v>335072</v>
      </c>
      <c r="C8607" s="19" t="s">
        <v>8483</v>
      </c>
      <c r="D8607" s="19" t="s">
        <v>24024</v>
      </c>
      <c r="E8607" s="19" t="s">
        <v>34048</v>
      </c>
      <c r="F8607" s="19" t="s">
        <v>36006</v>
      </c>
      <c r="G8607" s="18" t="str">
        <f>"14902"</f>
        <v>14902</v>
      </c>
      <c r="H8607" s="19" t="s">
        <v>36599</v>
      </c>
      <c r="I8607" s="20">
        <v>19.664000000000001</v>
      </c>
      <c r="J8607" s="44" t="s">
        <v>8</v>
      </c>
      <c r="K8607" s="23" t="s">
        <v>8</v>
      </c>
      <c r="L8607" s="23" t="s">
        <v>8</v>
      </c>
      <c r="M8607" s="23" t="s">
        <v>8</v>
      </c>
    </row>
    <row r="8608" spans="1:13" s="21" customFormat="1" x14ac:dyDescent="0.25">
      <c r="A8608" s="22" t="s">
        <v>8</v>
      </c>
      <c r="B8608" s="18" t="str">
        <f>"335074"</f>
        <v>335074</v>
      </c>
      <c r="C8608" s="19" t="s">
        <v>8484</v>
      </c>
      <c r="D8608" s="19" t="s">
        <v>24025</v>
      </c>
      <c r="E8608" s="19" t="s">
        <v>34049</v>
      </c>
      <c r="F8608" s="19" t="s">
        <v>36006</v>
      </c>
      <c r="G8608" s="18" t="str">
        <f>"11758"</f>
        <v>11758</v>
      </c>
      <c r="H8608" s="19" t="s">
        <v>36144</v>
      </c>
      <c r="I8608" s="20">
        <v>16.196999999999999</v>
      </c>
      <c r="J8608" s="44" t="s">
        <v>8</v>
      </c>
      <c r="K8608" s="23" t="s">
        <v>8</v>
      </c>
      <c r="L8608" s="23" t="s">
        <v>8</v>
      </c>
      <c r="M8608" s="23" t="s">
        <v>8</v>
      </c>
    </row>
    <row r="8609" spans="1:13" s="21" customFormat="1" x14ac:dyDescent="0.25">
      <c r="A8609" s="22" t="s">
        <v>8</v>
      </c>
      <c r="B8609" s="18" t="str">
        <f>"335077"</f>
        <v>335077</v>
      </c>
      <c r="C8609" s="19" t="s">
        <v>8485</v>
      </c>
      <c r="D8609" s="19" t="s">
        <v>24026</v>
      </c>
      <c r="E8609" s="19" t="s">
        <v>34050</v>
      </c>
      <c r="F8609" s="19" t="s">
        <v>36006</v>
      </c>
      <c r="G8609" s="18" t="str">
        <f>"13118"</f>
        <v>13118</v>
      </c>
      <c r="H8609" s="19" t="s">
        <v>36597</v>
      </c>
      <c r="I8609" s="20">
        <v>20.495999999999999</v>
      </c>
      <c r="J8609" s="44" t="s">
        <v>8</v>
      </c>
      <c r="K8609" s="23" t="s">
        <v>8</v>
      </c>
      <c r="L8609" s="23" t="s">
        <v>8</v>
      </c>
      <c r="M8609" s="23" t="s">
        <v>8</v>
      </c>
    </row>
    <row r="8610" spans="1:13" s="21" customFormat="1" x14ac:dyDescent="0.25">
      <c r="A8610" s="22" t="s">
        <v>8</v>
      </c>
      <c r="B8610" s="18" t="str">
        <f>"335078"</f>
        <v>335078</v>
      </c>
      <c r="C8610" s="19" t="s">
        <v>8486</v>
      </c>
      <c r="D8610" s="19" t="s">
        <v>24027</v>
      </c>
      <c r="E8610" s="19" t="s">
        <v>34051</v>
      </c>
      <c r="F8610" s="19" t="s">
        <v>36006</v>
      </c>
      <c r="G8610" s="18" t="str">
        <f>"10567"</f>
        <v>10567</v>
      </c>
      <c r="H8610" s="19" t="s">
        <v>32061</v>
      </c>
      <c r="I8610" s="20">
        <v>18.440000000000001</v>
      </c>
      <c r="J8610" s="44" t="s">
        <v>8</v>
      </c>
      <c r="K8610" s="23" t="s">
        <v>8</v>
      </c>
      <c r="L8610" s="23" t="s">
        <v>8</v>
      </c>
      <c r="M8610" s="23" t="s">
        <v>8</v>
      </c>
    </row>
    <row r="8611" spans="1:13" s="21" customFormat="1" x14ac:dyDescent="0.25">
      <c r="A8611" s="22" t="s">
        <v>8</v>
      </c>
      <c r="B8611" s="18" t="str">
        <f>"335079"</f>
        <v>335079</v>
      </c>
      <c r="C8611" s="19" t="s">
        <v>8487</v>
      </c>
      <c r="D8611" s="19" t="s">
        <v>24028</v>
      </c>
      <c r="E8611" s="19" t="s">
        <v>34037</v>
      </c>
      <c r="F8611" s="19" t="s">
        <v>36006</v>
      </c>
      <c r="G8611" s="18" t="str">
        <f>"10469"</f>
        <v>10469</v>
      </c>
      <c r="H8611" s="19" t="s">
        <v>34037</v>
      </c>
      <c r="I8611" s="20">
        <v>21.648</v>
      </c>
      <c r="J8611" s="44" t="s">
        <v>8</v>
      </c>
      <c r="K8611" s="23" t="s">
        <v>8</v>
      </c>
      <c r="L8611" s="23" t="s">
        <v>8</v>
      </c>
      <c r="M8611" s="23" t="s">
        <v>8</v>
      </c>
    </row>
    <row r="8612" spans="1:13" s="21" customFormat="1" x14ac:dyDescent="0.25">
      <c r="A8612" s="22" t="s">
        <v>8</v>
      </c>
      <c r="B8612" s="18" t="str">
        <f>"335080"</f>
        <v>335080</v>
      </c>
      <c r="C8612" s="19" t="s">
        <v>8488</v>
      </c>
      <c r="D8612" s="19" t="s">
        <v>24029</v>
      </c>
      <c r="E8612" s="19" t="s">
        <v>34052</v>
      </c>
      <c r="F8612" s="19" t="s">
        <v>36006</v>
      </c>
      <c r="G8612" s="18" t="str">
        <f>"10701"</f>
        <v>10701</v>
      </c>
      <c r="H8612" s="19" t="s">
        <v>32061</v>
      </c>
      <c r="I8612" s="20">
        <v>20.16</v>
      </c>
      <c r="J8612" s="44" t="s">
        <v>8</v>
      </c>
      <c r="K8612" s="23" t="s">
        <v>8</v>
      </c>
      <c r="L8612" s="23" t="s">
        <v>8</v>
      </c>
      <c r="M8612" s="23" t="s">
        <v>8</v>
      </c>
    </row>
    <row r="8613" spans="1:13" s="21" customFormat="1" x14ac:dyDescent="0.25">
      <c r="A8613" s="22" t="s">
        <v>8</v>
      </c>
      <c r="B8613" s="18" t="str">
        <f>"335081"</f>
        <v>335081</v>
      </c>
      <c r="C8613" s="19" t="s">
        <v>8489</v>
      </c>
      <c r="D8613" s="19" t="s">
        <v>24030</v>
      </c>
      <c r="E8613" s="19" t="s">
        <v>32267</v>
      </c>
      <c r="F8613" s="19" t="s">
        <v>36006</v>
      </c>
      <c r="G8613" s="18" t="str">
        <f>"14621"</f>
        <v>14621</v>
      </c>
      <c r="H8613" s="19" t="s">
        <v>31711</v>
      </c>
      <c r="I8613" s="20">
        <v>18.096</v>
      </c>
      <c r="J8613" s="44" t="s">
        <v>8</v>
      </c>
      <c r="K8613" s="23" t="s">
        <v>8</v>
      </c>
      <c r="L8613" s="23" t="s">
        <v>8</v>
      </c>
      <c r="M8613" s="23" t="s">
        <v>8</v>
      </c>
    </row>
    <row r="8614" spans="1:13" s="21" customFormat="1" x14ac:dyDescent="0.25">
      <c r="A8614" s="22" t="s">
        <v>8</v>
      </c>
      <c r="B8614" s="18" t="str">
        <f>"335082"</f>
        <v>335082</v>
      </c>
      <c r="C8614" s="19" t="s">
        <v>8490</v>
      </c>
      <c r="D8614" s="19" t="s">
        <v>24031</v>
      </c>
      <c r="E8614" s="19" t="s">
        <v>32267</v>
      </c>
      <c r="F8614" s="19" t="s">
        <v>36006</v>
      </c>
      <c r="G8614" s="18" t="str">
        <f>"14612"</f>
        <v>14612</v>
      </c>
      <c r="H8614" s="19" t="s">
        <v>31711</v>
      </c>
      <c r="I8614" s="20">
        <v>16.288</v>
      </c>
      <c r="J8614" s="44" t="s">
        <v>8</v>
      </c>
      <c r="K8614" s="23" t="s">
        <v>8</v>
      </c>
      <c r="L8614" s="23" t="s">
        <v>8</v>
      </c>
      <c r="M8614" s="23" t="s">
        <v>8</v>
      </c>
    </row>
    <row r="8615" spans="1:13" s="21" customFormat="1" x14ac:dyDescent="0.25">
      <c r="A8615" s="22" t="s">
        <v>8</v>
      </c>
      <c r="B8615" s="18" t="str">
        <f>"335083"</f>
        <v>335083</v>
      </c>
      <c r="C8615" s="19" t="s">
        <v>8491</v>
      </c>
      <c r="D8615" s="19" t="s">
        <v>24032</v>
      </c>
      <c r="E8615" s="19" t="s">
        <v>34053</v>
      </c>
      <c r="F8615" s="19" t="s">
        <v>36006</v>
      </c>
      <c r="G8615" s="18" t="str">
        <f>"11704"</f>
        <v>11704</v>
      </c>
      <c r="H8615" s="19" t="s">
        <v>35389</v>
      </c>
      <c r="I8615" s="20">
        <v>20.260999999999999</v>
      </c>
      <c r="J8615" s="44" t="s">
        <v>8</v>
      </c>
      <c r="K8615" s="23" t="s">
        <v>8</v>
      </c>
      <c r="L8615" s="23" t="s">
        <v>8</v>
      </c>
      <c r="M8615" s="23" t="s">
        <v>8</v>
      </c>
    </row>
    <row r="8616" spans="1:13" s="21" customFormat="1" x14ac:dyDescent="0.25">
      <c r="A8616" s="22" t="s">
        <v>8</v>
      </c>
      <c r="B8616" s="18" t="str">
        <f>"335087"</f>
        <v>335087</v>
      </c>
      <c r="C8616" s="19" t="s">
        <v>8492</v>
      </c>
      <c r="D8616" s="19" t="s">
        <v>24033</v>
      </c>
      <c r="E8616" s="19" t="s">
        <v>34032</v>
      </c>
      <c r="F8616" s="19" t="s">
        <v>36006</v>
      </c>
      <c r="G8616" s="18" t="str">
        <f>"13669"</f>
        <v>13669</v>
      </c>
      <c r="H8616" s="19" t="s">
        <v>36594</v>
      </c>
      <c r="I8616" s="20">
        <v>17.297000000000001</v>
      </c>
      <c r="J8616" s="44" t="s">
        <v>8</v>
      </c>
      <c r="K8616" s="23" t="s">
        <v>8</v>
      </c>
      <c r="L8616" s="23" t="s">
        <v>8</v>
      </c>
      <c r="M8616" s="23" t="s">
        <v>8</v>
      </c>
    </row>
    <row r="8617" spans="1:13" s="21" customFormat="1" x14ac:dyDescent="0.25">
      <c r="A8617" s="22" t="s">
        <v>8</v>
      </c>
      <c r="B8617" s="18" t="str">
        <f>"335090"</f>
        <v>335090</v>
      </c>
      <c r="C8617" s="19" t="s">
        <v>8493</v>
      </c>
      <c r="D8617" s="19" t="s">
        <v>24034</v>
      </c>
      <c r="E8617" s="19" t="s">
        <v>34054</v>
      </c>
      <c r="F8617" s="19" t="s">
        <v>36006</v>
      </c>
      <c r="G8617" s="18" t="str">
        <f>"13905"</f>
        <v>13905</v>
      </c>
      <c r="H8617" s="19" t="s">
        <v>36600</v>
      </c>
      <c r="I8617" s="20">
        <v>14.558999999999999</v>
      </c>
      <c r="J8617" s="44" t="s">
        <v>8</v>
      </c>
      <c r="K8617" s="23" t="s">
        <v>8</v>
      </c>
      <c r="L8617" s="23" t="s">
        <v>8</v>
      </c>
      <c r="M8617" s="23" t="s">
        <v>8</v>
      </c>
    </row>
    <row r="8618" spans="1:13" s="21" customFormat="1" x14ac:dyDescent="0.25">
      <c r="A8618" s="22" t="s">
        <v>8</v>
      </c>
      <c r="B8618" s="18" t="str">
        <f>"335091"</f>
        <v>335091</v>
      </c>
      <c r="C8618" s="19" t="s">
        <v>8494</v>
      </c>
      <c r="D8618" s="19" t="s">
        <v>24035</v>
      </c>
      <c r="E8618" s="19" t="s">
        <v>34055</v>
      </c>
      <c r="F8618" s="19" t="s">
        <v>36006</v>
      </c>
      <c r="G8618" s="18" t="str">
        <f>"12078"</f>
        <v>12078</v>
      </c>
      <c r="H8618" s="19" t="s">
        <v>32194</v>
      </c>
      <c r="I8618" s="20">
        <v>18.395</v>
      </c>
      <c r="J8618" s="44" t="s">
        <v>8</v>
      </c>
      <c r="K8618" s="23" t="s">
        <v>8</v>
      </c>
      <c r="L8618" s="23" t="s">
        <v>8</v>
      </c>
      <c r="M8618" s="23" t="s">
        <v>8</v>
      </c>
    </row>
    <row r="8619" spans="1:13" s="21" customFormat="1" x14ac:dyDescent="0.25">
      <c r="A8619" s="22" t="s">
        <v>8</v>
      </c>
      <c r="B8619" s="18" t="str">
        <f>"335092"</f>
        <v>335092</v>
      </c>
      <c r="C8619" s="19" t="s">
        <v>8495</v>
      </c>
      <c r="D8619" s="19" t="s">
        <v>24036</v>
      </c>
      <c r="E8619" s="19" t="s">
        <v>32558</v>
      </c>
      <c r="F8619" s="19" t="s">
        <v>36006</v>
      </c>
      <c r="G8619" s="18" t="str">
        <f>"10035"</f>
        <v>10035</v>
      </c>
      <c r="H8619" s="19" t="s">
        <v>34041</v>
      </c>
      <c r="I8619" s="20">
        <v>20.062000000000001</v>
      </c>
      <c r="J8619" s="44" t="s">
        <v>8</v>
      </c>
      <c r="K8619" s="23" t="s">
        <v>8</v>
      </c>
      <c r="L8619" s="23" t="s">
        <v>8</v>
      </c>
      <c r="M8619" s="23" t="s">
        <v>8</v>
      </c>
    </row>
    <row r="8620" spans="1:13" s="21" customFormat="1" x14ac:dyDescent="0.25">
      <c r="A8620" s="22" t="s">
        <v>8</v>
      </c>
      <c r="B8620" s="18" t="str">
        <f>"335093"</f>
        <v>335093</v>
      </c>
      <c r="C8620" s="19" t="s">
        <v>8496</v>
      </c>
      <c r="D8620" s="19" t="s">
        <v>24037</v>
      </c>
      <c r="E8620" s="19" t="s">
        <v>34056</v>
      </c>
      <c r="F8620" s="19" t="s">
        <v>36006</v>
      </c>
      <c r="G8620" s="18" t="str">
        <f>"11694"</f>
        <v>11694</v>
      </c>
      <c r="H8620" s="19" t="s">
        <v>36598</v>
      </c>
      <c r="I8620" s="20">
        <v>21.286999999999999</v>
      </c>
      <c r="J8620" s="44" t="s">
        <v>8</v>
      </c>
      <c r="K8620" s="23" t="s">
        <v>8</v>
      </c>
      <c r="L8620" s="23" t="s">
        <v>8</v>
      </c>
      <c r="M8620" s="23" t="s">
        <v>8</v>
      </c>
    </row>
    <row r="8621" spans="1:13" s="21" customFormat="1" x14ac:dyDescent="0.25">
      <c r="A8621" s="22" t="s">
        <v>8</v>
      </c>
      <c r="B8621" s="18" t="str">
        <f>"335096"</f>
        <v>335096</v>
      </c>
      <c r="C8621" s="19" t="s">
        <v>8497</v>
      </c>
      <c r="D8621" s="19" t="s">
        <v>24038</v>
      </c>
      <c r="E8621" s="19" t="s">
        <v>34037</v>
      </c>
      <c r="F8621" s="19" t="s">
        <v>36006</v>
      </c>
      <c r="G8621" s="18" t="str">
        <f>"10463"</f>
        <v>10463</v>
      </c>
      <c r="H8621" s="19" t="s">
        <v>34037</v>
      </c>
      <c r="I8621" s="20">
        <v>19.068000000000001</v>
      </c>
      <c r="J8621" s="44" t="s">
        <v>8</v>
      </c>
      <c r="K8621" s="23" t="s">
        <v>8</v>
      </c>
      <c r="L8621" s="23" t="s">
        <v>8</v>
      </c>
      <c r="M8621" s="23" t="s">
        <v>8</v>
      </c>
    </row>
    <row r="8622" spans="1:13" s="21" customFormat="1" x14ac:dyDescent="0.25">
      <c r="A8622" s="22" t="s">
        <v>8</v>
      </c>
      <c r="B8622" s="18" t="str">
        <f>"335097"</f>
        <v>335097</v>
      </c>
      <c r="C8622" s="19" t="s">
        <v>8498</v>
      </c>
      <c r="D8622" s="19" t="s">
        <v>24039</v>
      </c>
      <c r="E8622" s="19" t="s">
        <v>30861</v>
      </c>
      <c r="F8622" s="19" t="s">
        <v>36006</v>
      </c>
      <c r="G8622" s="18" t="str">
        <f>"13830"</f>
        <v>13830</v>
      </c>
      <c r="H8622" s="19" t="s">
        <v>36601</v>
      </c>
      <c r="I8622" s="20">
        <v>16.908000000000001</v>
      </c>
      <c r="J8622" s="44" t="s">
        <v>8</v>
      </c>
      <c r="K8622" s="23" t="s">
        <v>8</v>
      </c>
      <c r="L8622" s="23" t="s">
        <v>8</v>
      </c>
      <c r="M8622" s="23" t="s">
        <v>8</v>
      </c>
    </row>
    <row r="8623" spans="1:13" s="21" customFormat="1" x14ac:dyDescent="0.25">
      <c r="A8623" s="22" t="s">
        <v>8</v>
      </c>
      <c r="B8623" s="18" t="str">
        <f>"335098"</f>
        <v>335098</v>
      </c>
      <c r="C8623" s="19" t="s">
        <v>8499</v>
      </c>
      <c r="D8623" s="19" t="s">
        <v>24040</v>
      </c>
      <c r="E8623" s="19" t="s">
        <v>30870</v>
      </c>
      <c r="F8623" s="19" t="s">
        <v>36006</v>
      </c>
      <c r="G8623" s="18" t="str">
        <f>"14456"</f>
        <v>14456</v>
      </c>
      <c r="H8623" s="19" t="s">
        <v>31239</v>
      </c>
      <c r="I8623" s="20">
        <v>20.594000000000001</v>
      </c>
      <c r="J8623" s="44" t="s">
        <v>8</v>
      </c>
      <c r="K8623" s="23" t="s">
        <v>8</v>
      </c>
      <c r="L8623" s="23" t="s">
        <v>8</v>
      </c>
      <c r="M8623" s="23" t="s">
        <v>8</v>
      </c>
    </row>
    <row r="8624" spans="1:13" s="21" customFormat="1" x14ac:dyDescent="0.25">
      <c r="A8624" s="22" t="s">
        <v>8</v>
      </c>
      <c r="B8624" s="18" t="str">
        <f>"335100"</f>
        <v>335100</v>
      </c>
      <c r="C8624" s="19" t="s">
        <v>8500</v>
      </c>
      <c r="D8624" s="19" t="s">
        <v>24041</v>
      </c>
      <c r="E8624" s="19" t="s">
        <v>34041</v>
      </c>
      <c r="F8624" s="19" t="s">
        <v>36006</v>
      </c>
      <c r="G8624" s="18" t="str">
        <f>"10040"</f>
        <v>10040</v>
      </c>
      <c r="H8624" s="19" t="s">
        <v>34041</v>
      </c>
      <c r="I8624" s="20">
        <v>18.798999999999999</v>
      </c>
      <c r="J8624" s="44" t="s">
        <v>8</v>
      </c>
      <c r="K8624" s="23" t="s">
        <v>8</v>
      </c>
      <c r="L8624" s="23" t="s">
        <v>8</v>
      </c>
      <c r="M8624" s="23" t="s">
        <v>8</v>
      </c>
    </row>
    <row r="8625" spans="1:13" s="21" customFormat="1" x14ac:dyDescent="0.25">
      <c r="A8625" s="22" t="s">
        <v>8</v>
      </c>
      <c r="B8625" s="18" t="str">
        <f>"335103"</f>
        <v>335103</v>
      </c>
      <c r="C8625" s="19" t="s">
        <v>8501</v>
      </c>
      <c r="D8625" s="19" t="s">
        <v>24042</v>
      </c>
      <c r="E8625" s="19" t="s">
        <v>34057</v>
      </c>
      <c r="F8625" s="19" t="s">
        <v>36006</v>
      </c>
      <c r="G8625" s="18" t="str">
        <f>"13827"</f>
        <v>13827</v>
      </c>
      <c r="H8625" s="19" t="s">
        <v>34367</v>
      </c>
      <c r="I8625" s="20">
        <v>22.077999999999999</v>
      </c>
      <c r="J8625" s="44" t="s">
        <v>8</v>
      </c>
      <c r="K8625" s="23" t="s">
        <v>8</v>
      </c>
      <c r="L8625" s="23" t="s">
        <v>8</v>
      </c>
      <c r="M8625" s="23" t="s">
        <v>8</v>
      </c>
    </row>
    <row r="8626" spans="1:13" s="21" customFormat="1" x14ac:dyDescent="0.25">
      <c r="A8626" s="22" t="s">
        <v>8</v>
      </c>
      <c r="B8626" s="18" t="str">
        <f>"335104"</f>
        <v>335104</v>
      </c>
      <c r="C8626" s="19" t="s">
        <v>8502</v>
      </c>
      <c r="D8626" s="19" t="s">
        <v>24043</v>
      </c>
      <c r="E8626" s="19" t="s">
        <v>31443</v>
      </c>
      <c r="F8626" s="19" t="s">
        <v>36006</v>
      </c>
      <c r="G8626" s="18" t="str">
        <f>"11219"</f>
        <v>11219</v>
      </c>
      <c r="H8626" s="19" t="s">
        <v>36091</v>
      </c>
      <c r="I8626" s="20">
        <v>22.491</v>
      </c>
      <c r="J8626" s="44" t="s">
        <v>8</v>
      </c>
      <c r="K8626" s="23" t="s">
        <v>8</v>
      </c>
      <c r="L8626" s="23" t="s">
        <v>8</v>
      </c>
      <c r="M8626" s="23" t="s">
        <v>8</v>
      </c>
    </row>
    <row r="8627" spans="1:13" s="21" customFormat="1" x14ac:dyDescent="0.25">
      <c r="A8627" s="22" t="s">
        <v>8</v>
      </c>
      <c r="B8627" s="18" t="str">
        <f>"335105"</f>
        <v>335105</v>
      </c>
      <c r="C8627" s="19" t="s">
        <v>8503</v>
      </c>
      <c r="D8627" s="19" t="s">
        <v>24044</v>
      </c>
      <c r="E8627" s="19" t="s">
        <v>32267</v>
      </c>
      <c r="F8627" s="19" t="s">
        <v>36006</v>
      </c>
      <c r="G8627" s="18" t="str">
        <f>"14618"</f>
        <v>14618</v>
      </c>
      <c r="H8627" s="19" t="s">
        <v>31711</v>
      </c>
      <c r="I8627" s="20">
        <v>21.582999999999998</v>
      </c>
      <c r="J8627" s="44" t="s">
        <v>8</v>
      </c>
      <c r="K8627" s="23" t="s">
        <v>8</v>
      </c>
      <c r="L8627" s="23" t="s">
        <v>8</v>
      </c>
      <c r="M8627" s="23" t="s">
        <v>8</v>
      </c>
    </row>
    <row r="8628" spans="1:13" s="21" customFormat="1" x14ac:dyDescent="0.25">
      <c r="A8628" s="22" t="s">
        <v>8</v>
      </c>
      <c r="B8628" s="18" t="str">
        <f>"335108"</f>
        <v>335108</v>
      </c>
      <c r="C8628" s="19" t="s">
        <v>8504</v>
      </c>
      <c r="D8628" s="19" t="s">
        <v>24045</v>
      </c>
      <c r="E8628" s="19" t="s">
        <v>34058</v>
      </c>
      <c r="F8628" s="19" t="s">
        <v>36006</v>
      </c>
      <c r="G8628" s="18" t="str">
        <f>"10314"</f>
        <v>10314</v>
      </c>
      <c r="H8628" s="19" t="s">
        <v>31178</v>
      </c>
      <c r="I8628" s="20">
        <v>16.271000000000001</v>
      </c>
      <c r="J8628" s="44" t="s">
        <v>8</v>
      </c>
      <c r="K8628" s="23" t="s">
        <v>8</v>
      </c>
      <c r="L8628" s="23" t="s">
        <v>8</v>
      </c>
      <c r="M8628" s="23" t="s">
        <v>8</v>
      </c>
    </row>
    <row r="8629" spans="1:13" s="21" customFormat="1" x14ac:dyDescent="0.25">
      <c r="A8629" s="22" t="s">
        <v>8</v>
      </c>
      <c r="B8629" s="18" t="str">
        <f>"335110"</f>
        <v>335110</v>
      </c>
      <c r="C8629" s="19" t="s">
        <v>8505</v>
      </c>
      <c r="D8629" s="19" t="s">
        <v>24046</v>
      </c>
      <c r="E8629" s="19" t="s">
        <v>34059</v>
      </c>
      <c r="F8629" s="19" t="s">
        <v>36006</v>
      </c>
      <c r="G8629" s="18" t="str">
        <f>"12061"</f>
        <v>12061</v>
      </c>
      <c r="H8629" s="19" t="s">
        <v>32254</v>
      </c>
      <c r="I8629" s="20">
        <v>17.536999999999999</v>
      </c>
      <c r="J8629" s="44" t="s">
        <v>8</v>
      </c>
      <c r="K8629" s="23" t="s">
        <v>8</v>
      </c>
      <c r="L8629" s="23" t="s">
        <v>8</v>
      </c>
      <c r="M8629" s="23" t="s">
        <v>8</v>
      </c>
    </row>
    <row r="8630" spans="1:13" s="21" customFormat="1" x14ac:dyDescent="0.25">
      <c r="A8630" s="22" t="s">
        <v>8</v>
      </c>
      <c r="B8630" s="18" t="str">
        <f>"335112"</f>
        <v>335112</v>
      </c>
      <c r="C8630" s="19" t="s">
        <v>8506</v>
      </c>
      <c r="D8630" s="19" t="s">
        <v>24047</v>
      </c>
      <c r="E8630" s="19" t="s">
        <v>32544</v>
      </c>
      <c r="F8630" s="19" t="s">
        <v>36006</v>
      </c>
      <c r="G8630" s="18" t="str">
        <f>"14031"</f>
        <v>14031</v>
      </c>
      <c r="H8630" s="19" t="s">
        <v>34805</v>
      </c>
      <c r="I8630" s="20">
        <v>17.331</v>
      </c>
      <c r="J8630" s="44" t="s">
        <v>8</v>
      </c>
      <c r="K8630" s="23" t="s">
        <v>8</v>
      </c>
      <c r="L8630" s="23" t="s">
        <v>8</v>
      </c>
      <c r="M8630" s="23" t="s">
        <v>8</v>
      </c>
    </row>
    <row r="8631" spans="1:13" s="21" customFormat="1" x14ac:dyDescent="0.25">
      <c r="A8631" s="22" t="s">
        <v>8</v>
      </c>
      <c r="B8631" s="18" t="str">
        <f>"335125"</f>
        <v>335125</v>
      </c>
      <c r="C8631" s="19" t="s">
        <v>8507</v>
      </c>
      <c r="D8631" s="19" t="s">
        <v>24048</v>
      </c>
      <c r="E8631" s="19" t="s">
        <v>31443</v>
      </c>
      <c r="F8631" s="19" t="s">
        <v>36006</v>
      </c>
      <c r="G8631" s="18" t="str">
        <f>"11239"</f>
        <v>11239</v>
      </c>
      <c r="H8631" s="19" t="s">
        <v>36091</v>
      </c>
      <c r="I8631" s="20">
        <v>22.427</v>
      </c>
      <c r="J8631" s="44" t="s">
        <v>8</v>
      </c>
      <c r="K8631" s="23" t="s">
        <v>8</v>
      </c>
      <c r="L8631" s="23" t="s">
        <v>8</v>
      </c>
      <c r="M8631" s="23" t="s">
        <v>8</v>
      </c>
    </row>
    <row r="8632" spans="1:13" s="21" customFormat="1" x14ac:dyDescent="0.25">
      <c r="A8632" s="22" t="s">
        <v>8</v>
      </c>
      <c r="B8632" s="18" t="str">
        <f>"335127"</f>
        <v>335127</v>
      </c>
      <c r="C8632" s="19" t="s">
        <v>8508</v>
      </c>
      <c r="D8632" s="19" t="s">
        <v>24049</v>
      </c>
      <c r="E8632" s="19" t="s">
        <v>34060</v>
      </c>
      <c r="F8632" s="19" t="s">
        <v>36006</v>
      </c>
      <c r="G8632" s="18" t="str">
        <f>"12953"</f>
        <v>12953</v>
      </c>
      <c r="H8632" s="19" t="s">
        <v>5</v>
      </c>
      <c r="I8632" s="20">
        <v>19.227</v>
      </c>
      <c r="J8632" s="44" t="s">
        <v>8</v>
      </c>
      <c r="K8632" s="23" t="s">
        <v>8</v>
      </c>
      <c r="L8632" s="23" t="s">
        <v>8</v>
      </c>
      <c r="M8632" s="23" t="s">
        <v>8</v>
      </c>
    </row>
    <row r="8633" spans="1:13" s="21" customFormat="1" x14ac:dyDescent="0.25">
      <c r="A8633" s="22" t="s">
        <v>8</v>
      </c>
      <c r="B8633" s="18" t="str">
        <f>"335128"</f>
        <v>335128</v>
      </c>
      <c r="C8633" s="19" t="s">
        <v>8509</v>
      </c>
      <c r="D8633" s="19" t="s">
        <v>24050</v>
      </c>
      <c r="E8633" s="19" t="s">
        <v>31834</v>
      </c>
      <c r="F8633" s="19" t="s">
        <v>36006</v>
      </c>
      <c r="G8633" s="18" t="str">
        <f>"12208"</f>
        <v>12208</v>
      </c>
      <c r="H8633" s="19" t="s">
        <v>31834</v>
      </c>
      <c r="I8633" s="20">
        <v>19.706</v>
      </c>
      <c r="J8633" s="44" t="s">
        <v>8</v>
      </c>
      <c r="K8633" s="23" t="s">
        <v>8</v>
      </c>
      <c r="L8633" s="23" t="s">
        <v>8</v>
      </c>
      <c r="M8633" s="23" t="s">
        <v>8</v>
      </c>
    </row>
    <row r="8634" spans="1:13" s="21" customFormat="1" x14ac:dyDescent="0.25">
      <c r="A8634" s="22" t="s">
        <v>8</v>
      </c>
      <c r="B8634" s="18" t="str">
        <f>"335130"</f>
        <v>335130</v>
      </c>
      <c r="C8634" s="19" t="s">
        <v>8510</v>
      </c>
      <c r="D8634" s="19" t="s">
        <v>24051</v>
      </c>
      <c r="E8634" s="19" t="s">
        <v>34061</v>
      </c>
      <c r="F8634" s="19" t="s">
        <v>36006</v>
      </c>
      <c r="G8634" s="18" t="str">
        <f>"11357"</f>
        <v>11357</v>
      </c>
      <c r="H8634" s="19" t="s">
        <v>36598</v>
      </c>
      <c r="I8634" s="20">
        <v>19.870999999999999</v>
      </c>
      <c r="J8634" s="44" t="s">
        <v>8</v>
      </c>
      <c r="K8634" s="23" t="s">
        <v>8</v>
      </c>
      <c r="L8634" s="23" t="s">
        <v>8</v>
      </c>
      <c r="M8634" s="23" t="s">
        <v>8</v>
      </c>
    </row>
    <row r="8635" spans="1:13" s="21" customFormat="1" x14ac:dyDescent="0.25">
      <c r="A8635" s="22" t="s">
        <v>8</v>
      </c>
      <c r="B8635" s="18" t="str">
        <f>"335131"</f>
        <v>335131</v>
      </c>
      <c r="C8635" s="19" t="s">
        <v>8511</v>
      </c>
      <c r="D8635" s="19" t="s">
        <v>24052</v>
      </c>
      <c r="E8635" s="19" t="s">
        <v>31443</v>
      </c>
      <c r="F8635" s="19" t="s">
        <v>36006</v>
      </c>
      <c r="G8635" s="18" t="str">
        <f>"11238"</f>
        <v>11238</v>
      </c>
      <c r="H8635" s="19" t="s">
        <v>36091</v>
      </c>
      <c r="I8635" s="20">
        <v>19.509</v>
      </c>
      <c r="J8635" s="44" t="s">
        <v>8</v>
      </c>
      <c r="K8635" s="23" t="s">
        <v>8</v>
      </c>
      <c r="L8635" s="23" t="s">
        <v>8</v>
      </c>
      <c r="M8635" s="23" t="s">
        <v>8</v>
      </c>
    </row>
    <row r="8636" spans="1:13" s="21" customFormat="1" x14ac:dyDescent="0.25">
      <c r="A8636" s="22" t="s">
        <v>8</v>
      </c>
      <c r="B8636" s="18" t="str">
        <f>"335132"</f>
        <v>335132</v>
      </c>
      <c r="C8636" s="19" t="s">
        <v>8512</v>
      </c>
      <c r="D8636" s="19" t="s">
        <v>24053</v>
      </c>
      <c r="E8636" s="19" t="s">
        <v>34062</v>
      </c>
      <c r="F8636" s="19" t="s">
        <v>36006</v>
      </c>
      <c r="G8636" s="18" t="str">
        <f>"11040"</f>
        <v>11040</v>
      </c>
      <c r="H8636" s="19" t="s">
        <v>36144</v>
      </c>
      <c r="I8636" s="20">
        <v>16.791</v>
      </c>
      <c r="J8636" s="44" t="s">
        <v>8</v>
      </c>
      <c r="K8636" s="23" t="s">
        <v>8</v>
      </c>
      <c r="L8636" s="23" t="s">
        <v>8</v>
      </c>
      <c r="M8636" s="23" t="s">
        <v>8</v>
      </c>
    </row>
    <row r="8637" spans="1:13" s="21" customFormat="1" x14ac:dyDescent="0.25">
      <c r="A8637" s="22" t="s">
        <v>8</v>
      </c>
      <c r="B8637" s="18" t="str">
        <f>"335133"</f>
        <v>335133</v>
      </c>
      <c r="C8637" s="19" t="s">
        <v>8513</v>
      </c>
      <c r="D8637" s="19" t="s">
        <v>24054</v>
      </c>
      <c r="E8637" s="19" t="s">
        <v>33182</v>
      </c>
      <c r="F8637" s="19" t="s">
        <v>36006</v>
      </c>
      <c r="G8637" s="18" t="str">
        <f>"11354"</f>
        <v>11354</v>
      </c>
      <c r="H8637" s="19" t="s">
        <v>36598</v>
      </c>
      <c r="I8637" s="20">
        <v>17.920999999999999</v>
      </c>
      <c r="J8637" s="44" t="s">
        <v>8</v>
      </c>
      <c r="K8637" s="23" t="s">
        <v>8</v>
      </c>
      <c r="L8637" s="23" t="s">
        <v>8</v>
      </c>
      <c r="M8637" s="23" t="s">
        <v>8</v>
      </c>
    </row>
    <row r="8638" spans="1:13" s="21" customFormat="1" x14ac:dyDescent="0.25">
      <c r="A8638" s="22" t="s">
        <v>8</v>
      </c>
      <c r="B8638" s="18" t="str">
        <f>"335136"</f>
        <v>335136</v>
      </c>
      <c r="C8638" s="19" t="s">
        <v>8514</v>
      </c>
      <c r="D8638" s="19" t="s">
        <v>24055</v>
      </c>
      <c r="E8638" s="19" t="s">
        <v>32305</v>
      </c>
      <c r="F8638" s="19" t="s">
        <v>36006</v>
      </c>
      <c r="G8638" s="18" t="str">
        <f>"13205"</f>
        <v>13205</v>
      </c>
      <c r="H8638" s="19" t="s">
        <v>36602</v>
      </c>
      <c r="I8638" s="20">
        <v>18.649999999999999</v>
      </c>
      <c r="J8638" s="44" t="s">
        <v>8</v>
      </c>
      <c r="K8638" s="23" t="s">
        <v>8</v>
      </c>
      <c r="L8638" s="23" t="s">
        <v>8</v>
      </c>
      <c r="M8638" s="23" t="s">
        <v>8</v>
      </c>
    </row>
    <row r="8639" spans="1:13" s="21" customFormat="1" x14ac:dyDescent="0.25">
      <c r="A8639" s="22" t="s">
        <v>8</v>
      </c>
      <c r="B8639" s="18" t="str">
        <f>"335139"</f>
        <v>335139</v>
      </c>
      <c r="C8639" s="19" t="s">
        <v>8515</v>
      </c>
      <c r="D8639" s="19" t="s">
        <v>24056</v>
      </c>
      <c r="E8639" s="19" t="s">
        <v>34063</v>
      </c>
      <c r="F8639" s="19" t="s">
        <v>36006</v>
      </c>
      <c r="G8639" s="18" t="str">
        <f>"11375"</f>
        <v>11375</v>
      </c>
      <c r="H8639" s="19" t="s">
        <v>36598</v>
      </c>
      <c r="I8639" s="20">
        <v>21.76</v>
      </c>
      <c r="J8639" s="44" t="s">
        <v>8</v>
      </c>
      <c r="K8639" s="23" t="s">
        <v>8</v>
      </c>
      <c r="L8639" s="23" t="s">
        <v>8</v>
      </c>
      <c r="M8639" s="23" t="s">
        <v>8</v>
      </c>
    </row>
    <row r="8640" spans="1:13" s="21" customFormat="1" x14ac:dyDescent="0.25">
      <c r="A8640" s="22" t="s">
        <v>8</v>
      </c>
      <c r="B8640" s="18" t="str">
        <f>"335140"</f>
        <v>335140</v>
      </c>
      <c r="C8640" s="19" t="s">
        <v>8516</v>
      </c>
      <c r="D8640" s="19" t="s">
        <v>24057</v>
      </c>
      <c r="E8640" s="19" t="s">
        <v>34064</v>
      </c>
      <c r="F8640" s="19" t="s">
        <v>36006</v>
      </c>
      <c r="G8640" s="18" t="str">
        <f>"11710"</f>
        <v>11710</v>
      </c>
      <c r="H8640" s="19" t="s">
        <v>36144</v>
      </c>
      <c r="I8640" s="20">
        <v>18.411000000000001</v>
      </c>
      <c r="J8640" s="44" t="s">
        <v>8</v>
      </c>
      <c r="K8640" s="23" t="s">
        <v>8</v>
      </c>
      <c r="L8640" s="23" t="s">
        <v>8</v>
      </c>
      <c r="M8640" s="23" t="s">
        <v>8</v>
      </c>
    </row>
    <row r="8641" spans="1:13" s="21" customFormat="1" x14ac:dyDescent="0.25">
      <c r="A8641" s="22" t="s">
        <v>8</v>
      </c>
      <c r="B8641" s="18" t="str">
        <f>"335141"</f>
        <v>335141</v>
      </c>
      <c r="C8641" s="19" t="s">
        <v>8517</v>
      </c>
      <c r="D8641" s="19" t="s">
        <v>24058</v>
      </c>
      <c r="E8641" s="19" t="s">
        <v>34065</v>
      </c>
      <c r="F8641" s="19" t="s">
        <v>36006</v>
      </c>
      <c r="G8641" s="18" t="str">
        <f>"11542"</f>
        <v>11542</v>
      </c>
      <c r="H8641" s="19" t="s">
        <v>36144</v>
      </c>
      <c r="I8641" s="20">
        <v>21.068999999999999</v>
      </c>
      <c r="J8641" s="44" t="s">
        <v>8</v>
      </c>
      <c r="K8641" s="23" t="s">
        <v>8</v>
      </c>
      <c r="L8641" s="23" t="s">
        <v>8</v>
      </c>
      <c r="M8641" s="23" t="s">
        <v>8</v>
      </c>
    </row>
    <row r="8642" spans="1:13" s="21" customFormat="1" x14ac:dyDescent="0.25">
      <c r="A8642" s="22" t="s">
        <v>8</v>
      </c>
      <c r="B8642" s="18" t="str">
        <f>"335142"</f>
        <v>335142</v>
      </c>
      <c r="C8642" s="19" t="s">
        <v>8518</v>
      </c>
      <c r="D8642" s="19" t="s">
        <v>24059</v>
      </c>
      <c r="E8642" s="19" t="s">
        <v>32741</v>
      </c>
      <c r="F8642" s="19" t="s">
        <v>36006</v>
      </c>
      <c r="G8642" s="18" t="str">
        <f>"14701"</f>
        <v>14701</v>
      </c>
      <c r="H8642" s="19" t="s">
        <v>36302</v>
      </c>
      <c r="I8642" s="20">
        <v>18.471</v>
      </c>
      <c r="J8642" s="44" t="s">
        <v>8</v>
      </c>
      <c r="K8642" s="23" t="s">
        <v>8</v>
      </c>
      <c r="L8642" s="23" t="s">
        <v>8</v>
      </c>
      <c r="M8642" s="23" t="s">
        <v>8</v>
      </c>
    </row>
    <row r="8643" spans="1:13" s="21" customFormat="1" x14ac:dyDescent="0.25">
      <c r="A8643" s="22" t="s">
        <v>8</v>
      </c>
      <c r="B8643" s="18" t="str">
        <f>"335143"</f>
        <v>335143</v>
      </c>
      <c r="C8643" s="19" t="s">
        <v>8519</v>
      </c>
      <c r="D8643" s="19" t="s">
        <v>24060</v>
      </c>
      <c r="E8643" s="19" t="s">
        <v>33182</v>
      </c>
      <c r="F8643" s="19" t="s">
        <v>36006</v>
      </c>
      <c r="G8643" s="18" t="str">
        <f>"11366"</f>
        <v>11366</v>
      </c>
      <c r="H8643" s="19" t="s">
        <v>36598</v>
      </c>
      <c r="I8643" s="20">
        <v>26.253</v>
      </c>
      <c r="J8643" s="44" t="s">
        <v>8</v>
      </c>
      <c r="K8643" s="23" t="s">
        <v>8</v>
      </c>
      <c r="L8643" s="23" t="s">
        <v>8</v>
      </c>
      <c r="M8643" s="23" t="s">
        <v>8</v>
      </c>
    </row>
    <row r="8644" spans="1:13" s="21" customFormat="1" x14ac:dyDescent="0.25">
      <c r="A8644" s="22" t="s">
        <v>8</v>
      </c>
      <c r="B8644" s="18" t="str">
        <f>"335146"</f>
        <v>335146</v>
      </c>
      <c r="C8644" s="19" t="s">
        <v>8520</v>
      </c>
      <c r="D8644" s="19" t="s">
        <v>24061</v>
      </c>
      <c r="E8644" s="19" t="s">
        <v>34063</v>
      </c>
      <c r="F8644" s="19" t="s">
        <v>36006</v>
      </c>
      <c r="G8644" s="18" t="str">
        <f>"11375"</f>
        <v>11375</v>
      </c>
      <c r="H8644" s="19" t="s">
        <v>36598</v>
      </c>
      <c r="I8644" s="20">
        <v>19.614999999999998</v>
      </c>
      <c r="J8644" s="44" t="s">
        <v>8</v>
      </c>
      <c r="K8644" s="23" t="s">
        <v>8</v>
      </c>
      <c r="L8644" s="23" t="s">
        <v>8</v>
      </c>
      <c r="M8644" s="23" t="s">
        <v>8</v>
      </c>
    </row>
    <row r="8645" spans="1:13" s="21" customFormat="1" x14ac:dyDescent="0.25">
      <c r="A8645" s="22" t="s">
        <v>8</v>
      </c>
      <c r="B8645" s="18" t="str">
        <f>"335148"</f>
        <v>335148</v>
      </c>
      <c r="C8645" s="19" t="s">
        <v>8521</v>
      </c>
      <c r="D8645" s="19" t="s">
        <v>24062</v>
      </c>
      <c r="E8645" s="19" t="s">
        <v>34066</v>
      </c>
      <c r="F8645" s="19" t="s">
        <v>36006</v>
      </c>
      <c r="G8645" s="18" t="str">
        <f>"10901"</f>
        <v>10901</v>
      </c>
      <c r="H8645" s="19" t="s">
        <v>32912</v>
      </c>
      <c r="I8645" s="20">
        <v>20.986000000000001</v>
      </c>
      <c r="J8645" s="44" t="s">
        <v>8</v>
      </c>
      <c r="K8645" s="23" t="s">
        <v>8</v>
      </c>
      <c r="L8645" s="23" t="s">
        <v>8</v>
      </c>
      <c r="M8645" s="23" t="s">
        <v>8</v>
      </c>
    </row>
    <row r="8646" spans="1:13" s="21" customFormat="1" x14ac:dyDescent="0.25">
      <c r="A8646" s="22" t="s">
        <v>8</v>
      </c>
      <c r="B8646" s="18" t="str">
        <f>"335154"</f>
        <v>335154</v>
      </c>
      <c r="C8646" s="19" t="s">
        <v>8522</v>
      </c>
      <c r="D8646" s="19" t="s">
        <v>24063</v>
      </c>
      <c r="E8646" s="19" t="s">
        <v>33182</v>
      </c>
      <c r="F8646" s="19" t="s">
        <v>36006</v>
      </c>
      <c r="G8646" s="18" t="str">
        <f>"11354"</f>
        <v>11354</v>
      </c>
      <c r="H8646" s="19" t="s">
        <v>36598</v>
      </c>
      <c r="I8646" s="20">
        <v>19.113</v>
      </c>
      <c r="J8646" s="44" t="s">
        <v>8</v>
      </c>
      <c r="K8646" s="23" t="s">
        <v>8</v>
      </c>
      <c r="L8646" s="23" t="s">
        <v>8</v>
      </c>
      <c r="M8646" s="23" t="s">
        <v>8</v>
      </c>
    </row>
    <row r="8647" spans="1:13" s="21" customFormat="1" x14ac:dyDescent="0.25">
      <c r="A8647" s="22" t="s">
        <v>8</v>
      </c>
      <c r="B8647" s="18" t="str">
        <f>"335155"</f>
        <v>335155</v>
      </c>
      <c r="C8647" s="19" t="s">
        <v>8523</v>
      </c>
      <c r="D8647" s="19" t="s">
        <v>24064</v>
      </c>
      <c r="E8647" s="19" t="s">
        <v>34067</v>
      </c>
      <c r="F8647" s="19" t="s">
        <v>36006</v>
      </c>
      <c r="G8647" s="18" t="str">
        <f>"11427"</f>
        <v>11427</v>
      </c>
      <c r="H8647" s="19" t="s">
        <v>36598</v>
      </c>
      <c r="I8647" s="20">
        <v>21.745000000000001</v>
      </c>
      <c r="J8647" s="44" t="s">
        <v>8</v>
      </c>
      <c r="K8647" s="23" t="s">
        <v>8</v>
      </c>
      <c r="L8647" s="23" t="s">
        <v>8</v>
      </c>
      <c r="M8647" s="23" t="s">
        <v>8</v>
      </c>
    </row>
    <row r="8648" spans="1:13" s="21" customFormat="1" x14ac:dyDescent="0.25">
      <c r="A8648" s="22" t="s">
        <v>8</v>
      </c>
      <c r="B8648" s="18" t="str">
        <f>"335156"</f>
        <v>335156</v>
      </c>
      <c r="C8648" s="19" t="s">
        <v>8524</v>
      </c>
      <c r="D8648" s="19" t="s">
        <v>24065</v>
      </c>
      <c r="E8648" s="19" t="s">
        <v>31947</v>
      </c>
      <c r="F8648" s="19" t="s">
        <v>36006</v>
      </c>
      <c r="G8648" s="18" t="str">
        <f>"11520"</f>
        <v>11520</v>
      </c>
      <c r="H8648" s="19" t="s">
        <v>36144</v>
      </c>
      <c r="I8648" s="20">
        <v>20.273</v>
      </c>
      <c r="J8648" s="44" t="s">
        <v>8</v>
      </c>
      <c r="K8648" s="23" t="s">
        <v>8</v>
      </c>
      <c r="L8648" s="23" t="s">
        <v>8</v>
      </c>
      <c r="M8648" s="23" t="s">
        <v>8</v>
      </c>
    </row>
    <row r="8649" spans="1:13" s="21" customFormat="1" x14ac:dyDescent="0.25">
      <c r="A8649" s="22" t="s">
        <v>8</v>
      </c>
      <c r="B8649" s="18" t="str">
        <f>"335158"</f>
        <v>335158</v>
      </c>
      <c r="C8649" s="19" t="s">
        <v>8525</v>
      </c>
      <c r="D8649" s="19" t="s">
        <v>24066</v>
      </c>
      <c r="E8649" s="19" t="s">
        <v>31189</v>
      </c>
      <c r="F8649" s="19" t="s">
        <v>36006</v>
      </c>
      <c r="G8649" s="18" t="str">
        <f>"11572"</f>
        <v>11572</v>
      </c>
      <c r="H8649" s="19" t="s">
        <v>36144</v>
      </c>
      <c r="I8649" s="20">
        <v>21.603000000000002</v>
      </c>
      <c r="J8649" s="44" t="s">
        <v>8</v>
      </c>
      <c r="K8649" s="23" t="s">
        <v>8</v>
      </c>
      <c r="L8649" s="23" t="s">
        <v>8</v>
      </c>
      <c r="M8649" s="23" t="s">
        <v>8</v>
      </c>
    </row>
    <row r="8650" spans="1:13" s="21" customFormat="1" x14ac:dyDescent="0.25">
      <c r="A8650" s="22" t="s">
        <v>8</v>
      </c>
      <c r="B8650" s="18" t="str">
        <f>"335159"</f>
        <v>335159</v>
      </c>
      <c r="C8650" s="19" t="s">
        <v>8526</v>
      </c>
      <c r="D8650" s="19" t="s">
        <v>24067</v>
      </c>
      <c r="E8650" s="19" t="s">
        <v>33855</v>
      </c>
      <c r="F8650" s="19" t="s">
        <v>36006</v>
      </c>
      <c r="G8650" s="18" t="str">
        <f>"11717"</f>
        <v>11717</v>
      </c>
      <c r="H8650" s="19" t="s">
        <v>35389</v>
      </c>
      <c r="I8650" s="20">
        <v>17.736999999999998</v>
      </c>
      <c r="J8650" s="44" t="s">
        <v>8</v>
      </c>
      <c r="K8650" s="23" t="s">
        <v>8</v>
      </c>
      <c r="L8650" s="23" t="s">
        <v>8</v>
      </c>
      <c r="M8650" s="23" t="s">
        <v>8</v>
      </c>
    </row>
    <row r="8651" spans="1:13" s="21" customFormat="1" x14ac:dyDescent="0.25">
      <c r="A8651" s="22" t="s">
        <v>8</v>
      </c>
      <c r="B8651" s="18" t="str">
        <f>"335160"</f>
        <v>335160</v>
      </c>
      <c r="C8651" s="19" t="s">
        <v>8527</v>
      </c>
      <c r="D8651" s="19" t="s">
        <v>24068</v>
      </c>
      <c r="E8651" s="19" t="s">
        <v>34068</v>
      </c>
      <c r="F8651" s="19" t="s">
        <v>36006</v>
      </c>
      <c r="G8651" s="18" t="str">
        <f>"11563"</f>
        <v>11563</v>
      </c>
      <c r="H8651" s="19" t="s">
        <v>36144</v>
      </c>
      <c r="I8651" s="20">
        <v>19.030999999999999</v>
      </c>
      <c r="J8651" s="44" t="s">
        <v>8</v>
      </c>
      <c r="K8651" s="23" t="s">
        <v>8</v>
      </c>
      <c r="L8651" s="23" t="s">
        <v>8</v>
      </c>
      <c r="M8651" s="23" t="s">
        <v>8</v>
      </c>
    </row>
    <row r="8652" spans="1:13" s="21" customFormat="1" x14ac:dyDescent="0.25">
      <c r="A8652" s="22" t="s">
        <v>8</v>
      </c>
      <c r="B8652" s="18" t="str">
        <f>"335161"</f>
        <v>335161</v>
      </c>
      <c r="C8652" s="19" t="s">
        <v>8528</v>
      </c>
      <c r="D8652" s="19" t="s">
        <v>24069</v>
      </c>
      <c r="E8652" s="19" t="s">
        <v>34069</v>
      </c>
      <c r="F8652" s="19" t="s">
        <v>36006</v>
      </c>
      <c r="G8652" s="18" t="str">
        <f>"11735"</f>
        <v>11735</v>
      </c>
      <c r="H8652" s="19" t="s">
        <v>36144</v>
      </c>
      <c r="I8652" s="20">
        <v>19.413</v>
      </c>
      <c r="J8652" s="44" t="s">
        <v>8</v>
      </c>
      <c r="K8652" s="23" t="s">
        <v>8</v>
      </c>
      <c r="L8652" s="23" t="s">
        <v>8</v>
      </c>
      <c r="M8652" s="23" t="s">
        <v>8</v>
      </c>
    </row>
    <row r="8653" spans="1:13" s="21" customFormat="1" x14ac:dyDescent="0.25">
      <c r="A8653" s="22" t="s">
        <v>8</v>
      </c>
      <c r="B8653" s="18" t="str">
        <f>"335162"</f>
        <v>335162</v>
      </c>
      <c r="C8653" s="19" t="s">
        <v>8529</v>
      </c>
      <c r="D8653" s="19" t="s">
        <v>24070</v>
      </c>
      <c r="E8653" s="19" t="s">
        <v>34070</v>
      </c>
      <c r="F8653" s="19" t="s">
        <v>36006</v>
      </c>
      <c r="G8653" s="18" t="str">
        <f>"11558"</f>
        <v>11558</v>
      </c>
      <c r="H8653" s="19" t="s">
        <v>36144</v>
      </c>
      <c r="I8653" s="20">
        <v>17.716000000000001</v>
      </c>
      <c r="J8653" s="44" t="s">
        <v>8</v>
      </c>
      <c r="K8653" s="23" t="s">
        <v>8</v>
      </c>
      <c r="L8653" s="23" t="s">
        <v>8</v>
      </c>
      <c r="M8653" s="23" t="s">
        <v>8</v>
      </c>
    </row>
    <row r="8654" spans="1:13" s="21" customFormat="1" x14ac:dyDescent="0.25">
      <c r="A8654" s="22" t="s">
        <v>8</v>
      </c>
      <c r="B8654" s="18" t="str">
        <f>"335163"</f>
        <v>335163</v>
      </c>
      <c r="C8654" s="19" t="s">
        <v>8530</v>
      </c>
      <c r="D8654" s="19" t="s">
        <v>24071</v>
      </c>
      <c r="E8654" s="19" t="s">
        <v>31443</v>
      </c>
      <c r="F8654" s="19" t="s">
        <v>36006</v>
      </c>
      <c r="G8654" s="18" t="str">
        <f>"11217"</f>
        <v>11217</v>
      </c>
      <c r="H8654" s="19" t="s">
        <v>36091</v>
      </c>
      <c r="I8654" s="20">
        <v>20.672000000000001</v>
      </c>
      <c r="J8654" s="44" t="s">
        <v>8</v>
      </c>
      <c r="K8654" s="23" t="s">
        <v>8</v>
      </c>
      <c r="L8654" s="23" t="s">
        <v>8</v>
      </c>
      <c r="M8654" s="23" t="s">
        <v>8</v>
      </c>
    </row>
    <row r="8655" spans="1:13" s="21" customFormat="1" x14ac:dyDescent="0.25">
      <c r="A8655" s="22" t="s">
        <v>8</v>
      </c>
      <c r="B8655" s="18" t="str">
        <f>"335164"</f>
        <v>335164</v>
      </c>
      <c r="C8655" s="19" t="s">
        <v>8531</v>
      </c>
      <c r="D8655" s="19" t="s">
        <v>24072</v>
      </c>
      <c r="E8655" s="19" t="s">
        <v>33453</v>
      </c>
      <c r="F8655" s="19" t="s">
        <v>36006</v>
      </c>
      <c r="G8655" s="18" t="str">
        <f>"14208"</f>
        <v>14208</v>
      </c>
      <c r="H8655" s="19" t="s">
        <v>34805</v>
      </c>
      <c r="I8655" s="20">
        <v>25.416</v>
      </c>
      <c r="J8655" s="44" t="s">
        <v>8</v>
      </c>
      <c r="K8655" s="23" t="s">
        <v>8</v>
      </c>
      <c r="L8655" s="23" t="s">
        <v>8</v>
      </c>
      <c r="M8655" s="23" t="s">
        <v>8</v>
      </c>
    </row>
    <row r="8656" spans="1:13" s="21" customFormat="1" x14ac:dyDescent="0.25">
      <c r="A8656" s="22" t="s">
        <v>8</v>
      </c>
      <c r="B8656" s="18" t="str">
        <f>"335165"</f>
        <v>335165</v>
      </c>
      <c r="C8656" s="19" t="s">
        <v>8532</v>
      </c>
      <c r="D8656" s="19" t="s">
        <v>24073</v>
      </c>
      <c r="E8656" s="19" t="s">
        <v>34042</v>
      </c>
      <c r="F8656" s="19" t="s">
        <v>36006</v>
      </c>
      <c r="G8656" s="18" t="str">
        <f>"11691"</f>
        <v>11691</v>
      </c>
      <c r="H8656" s="19" t="s">
        <v>36598</v>
      </c>
      <c r="I8656" s="20">
        <v>19.622</v>
      </c>
      <c r="J8656" s="44" t="s">
        <v>8</v>
      </c>
      <c r="K8656" s="23" t="s">
        <v>8</v>
      </c>
      <c r="L8656" s="23" t="s">
        <v>8</v>
      </c>
      <c r="M8656" s="23" t="s">
        <v>8</v>
      </c>
    </row>
    <row r="8657" spans="1:13" s="21" customFormat="1" x14ac:dyDescent="0.25">
      <c r="A8657" s="22" t="s">
        <v>8</v>
      </c>
      <c r="B8657" s="18" t="str">
        <f>"335168"</f>
        <v>335168</v>
      </c>
      <c r="C8657" s="19" t="s">
        <v>8533</v>
      </c>
      <c r="D8657" s="19" t="s">
        <v>24074</v>
      </c>
      <c r="E8657" s="19" t="s">
        <v>34042</v>
      </c>
      <c r="F8657" s="19" t="s">
        <v>36006</v>
      </c>
      <c r="G8657" s="18" t="str">
        <f>"11691"</f>
        <v>11691</v>
      </c>
      <c r="H8657" s="19" t="s">
        <v>36598</v>
      </c>
      <c r="I8657" s="20">
        <v>19.777999999999999</v>
      </c>
      <c r="J8657" s="44" t="s">
        <v>8</v>
      </c>
      <c r="K8657" s="23" t="s">
        <v>8</v>
      </c>
      <c r="L8657" s="23" t="s">
        <v>8</v>
      </c>
      <c r="M8657" s="23" t="s">
        <v>8</v>
      </c>
    </row>
    <row r="8658" spans="1:13" s="21" customFormat="1" x14ac:dyDescent="0.25">
      <c r="A8658" s="22" t="s">
        <v>8</v>
      </c>
      <c r="B8658" s="18" t="str">
        <f>"335172"</f>
        <v>335172</v>
      </c>
      <c r="C8658" s="19" t="s">
        <v>8534</v>
      </c>
      <c r="D8658" s="19" t="s">
        <v>24075</v>
      </c>
      <c r="E8658" s="19" t="s">
        <v>34071</v>
      </c>
      <c r="F8658" s="19" t="s">
        <v>36006</v>
      </c>
      <c r="G8658" s="18" t="str">
        <f>"14221"</f>
        <v>14221</v>
      </c>
      <c r="H8658" s="19" t="s">
        <v>34805</v>
      </c>
      <c r="I8658" s="20">
        <v>17.591000000000001</v>
      </c>
      <c r="J8658" s="44" t="s">
        <v>8</v>
      </c>
      <c r="K8658" s="23" t="s">
        <v>8</v>
      </c>
      <c r="L8658" s="23" t="s">
        <v>8</v>
      </c>
      <c r="M8658" s="23" t="s">
        <v>8</v>
      </c>
    </row>
    <row r="8659" spans="1:13" s="21" customFormat="1" x14ac:dyDescent="0.25">
      <c r="A8659" s="22" t="s">
        <v>8</v>
      </c>
      <c r="B8659" s="18" t="str">
        <f>"335174"</f>
        <v>335174</v>
      </c>
      <c r="C8659" s="19" t="s">
        <v>8535</v>
      </c>
      <c r="D8659" s="19" t="s">
        <v>24076</v>
      </c>
      <c r="E8659" s="19" t="s">
        <v>31443</v>
      </c>
      <c r="F8659" s="19" t="s">
        <v>36006</v>
      </c>
      <c r="G8659" s="18" t="str">
        <f>"11201"</f>
        <v>11201</v>
      </c>
      <c r="H8659" s="19" t="s">
        <v>36091</v>
      </c>
      <c r="I8659" s="20">
        <v>19.010999999999999</v>
      </c>
      <c r="J8659" s="44" t="s">
        <v>8</v>
      </c>
      <c r="K8659" s="23" t="s">
        <v>8</v>
      </c>
      <c r="L8659" s="23" t="s">
        <v>8</v>
      </c>
      <c r="M8659" s="23" t="s">
        <v>8</v>
      </c>
    </row>
    <row r="8660" spans="1:13" s="21" customFormat="1" x14ac:dyDescent="0.25">
      <c r="A8660" s="22" t="s">
        <v>8</v>
      </c>
      <c r="B8660" s="18" t="str">
        <f>"335175"</f>
        <v>335175</v>
      </c>
      <c r="C8660" s="19" t="s">
        <v>8536</v>
      </c>
      <c r="D8660" s="19" t="s">
        <v>24077</v>
      </c>
      <c r="E8660" s="19" t="s">
        <v>34072</v>
      </c>
      <c r="F8660" s="19" t="s">
        <v>36006</v>
      </c>
      <c r="G8660" s="18" t="str">
        <f>"11787"</f>
        <v>11787</v>
      </c>
      <c r="H8660" s="19" t="s">
        <v>35389</v>
      </c>
      <c r="I8660" s="20">
        <v>17.282</v>
      </c>
      <c r="J8660" s="44" t="s">
        <v>8</v>
      </c>
      <c r="K8660" s="23" t="s">
        <v>8</v>
      </c>
      <c r="L8660" s="23" t="s">
        <v>8</v>
      </c>
      <c r="M8660" s="23" t="s">
        <v>8</v>
      </c>
    </row>
    <row r="8661" spans="1:13" s="21" customFormat="1" x14ac:dyDescent="0.25">
      <c r="A8661" s="22" t="s">
        <v>8</v>
      </c>
      <c r="B8661" s="18" t="str">
        <f>"335176"</f>
        <v>335176</v>
      </c>
      <c r="C8661" s="19" t="s">
        <v>8537</v>
      </c>
      <c r="D8661" s="19" t="s">
        <v>24078</v>
      </c>
      <c r="E8661" s="19" t="s">
        <v>34073</v>
      </c>
      <c r="F8661" s="19" t="s">
        <v>36006</v>
      </c>
      <c r="G8661" s="18" t="str">
        <f>"14068"</f>
        <v>14068</v>
      </c>
      <c r="H8661" s="19" t="s">
        <v>34805</v>
      </c>
      <c r="I8661" s="20">
        <v>21.466999999999999</v>
      </c>
      <c r="J8661" s="44" t="s">
        <v>8</v>
      </c>
      <c r="K8661" s="23" t="s">
        <v>8</v>
      </c>
      <c r="L8661" s="23" t="s">
        <v>8</v>
      </c>
      <c r="M8661" s="23" t="s">
        <v>8</v>
      </c>
    </row>
    <row r="8662" spans="1:13" s="21" customFormat="1" x14ac:dyDescent="0.25">
      <c r="A8662" s="22" t="s">
        <v>8</v>
      </c>
      <c r="B8662" s="18" t="str">
        <f>"335178"</f>
        <v>335178</v>
      </c>
      <c r="C8662" s="19" t="s">
        <v>8538</v>
      </c>
      <c r="D8662" s="19" t="s">
        <v>24079</v>
      </c>
      <c r="E8662" s="19" t="s">
        <v>31443</v>
      </c>
      <c r="F8662" s="19" t="s">
        <v>36006</v>
      </c>
      <c r="G8662" s="18" t="str">
        <f>"11230"</f>
        <v>11230</v>
      </c>
      <c r="H8662" s="19" t="s">
        <v>36091</v>
      </c>
      <c r="I8662" s="20">
        <v>17.884</v>
      </c>
      <c r="J8662" s="44" t="s">
        <v>8</v>
      </c>
      <c r="K8662" s="23" t="s">
        <v>8</v>
      </c>
      <c r="L8662" s="23" t="s">
        <v>8</v>
      </c>
      <c r="M8662" s="23" t="s">
        <v>8</v>
      </c>
    </row>
    <row r="8663" spans="1:13" s="21" customFormat="1" x14ac:dyDescent="0.25">
      <c r="A8663" s="22" t="s">
        <v>8</v>
      </c>
      <c r="B8663" s="18" t="str">
        <f>"335180"</f>
        <v>335180</v>
      </c>
      <c r="C8663" s="19" t="s">
        <v>8539</v>
      </c>
      <c r="D8663" s="19" t="s">
        <v>24080</v>
      </c>
      <c r="E8663" s="19" t="s">
        <v>34074</v>
      </c>
      <c r="F8663" s="19" t="s">
        <v>36006</v>
      </c>
      <c r="G8663" s="18" t="str">
        <f>"14150"</f>
        <v>14150</v>
      </c>
      <c r="H8663" s="19" t="s">
        <v>34805</v>
      </c>
      <c r="I8663" s="20">
        <v>18.471</v>
      </c>
      <c r="J8663" s="44" t="s">
        <v>8</v>
      </c>
      <c r="K8663" s="23" t="s">
        <v>8</v>
      </c>
      <c r="L8663" s="23" t="s">
        <v>8</v>
      </c>
      <c r="M8663" s="23" t="s">
        <v>8</v>
      </c>
    </row>
    <row r="8664" spans="1:13" s="21" customFormat="1" x14ac:dyDescent="0.25">
      <c r="A8664" s="22" t="s">
        <v>8</v>
      </c>
      <c r="B8664" s="18" t="str">
        <f>"335182"</f>
        <v>335182</v>
      </c>
      <c r="C8664" s="19" t="s">
        <v>8540</v>
      </c>
      <c r="D8664" s="19" t="s">
        <v>24081</v>
      </c>
      <c r="E8664" s="19" t="s">
        <v>31184</v>
      </c>
      <c r="F8664" s="19" t="s">
        <v>36006</v>
      </c>
      <c r="G8664" s="18" t="str">
        <f>"14086"</f>
        <v>14086</v>
      </c>
      <c r="H8664" s="19" t="s">
        <v>34805</v>
      </c>
      <c r="I8664" s="20">
        <v>16.245000000000001</v>
      </c>
      <c r="J8664" s="44" t="s">
        <v>8</v>
      </c>
      <c r="K8664" s="23" t="s">
        <v>8</v>
      </c>
      <c r="L8664" s="23" t="s">
        <v>8</v>
      </c>
      <c r="M8664" s="23" t="s">
        <v>8</v>
      </c>
    </row>
    <row r="8665" spans="1:13" s="21" customFormat="1" x14ac:dyDescent="0.25">
      <c r="A8665" s="22" t="s">
        <v>8</v>
      </c>
      <c r="B8665" s="18" t="str">
        <f>"335184"</f>
        <v>335184</v>
      </c>
      <c r="C8665" s="19" t="s">
        <v>8541</v>
      </c>
      <c r="D8665" s="19" t="s">
        <v>24082</v>
      </c>
      <c r="E8665" s="19" t="s">
        <v>32305</v>
      </c>
      <c r="F8665" s="19" t="s">
        <v>36006</v>
      </c>
      <c r="G8665" s="18" t="str">
        <f>"13215"</f>
        <v>13215</v>
      </c>
      <c r="H8665" s="19" t="s">
        <v>36602</v>
      </c>
      <c r="I8665" s="20">
        <v>17.225999999999999</v>
      </c>
      <c r="J8665" s="44" t="s">
        <v>8</v>
      </c>
      <c r="K8665" s="23" t="s">
        <v>8</v>
      </c>
      <c r="L8665" s="23" t="s">
        <v>8</v>
      </c>
      <c r="M8665" s="23" t="s">
        <v>8</v>
      </c>
    </row>
    <row r="8666" spans="1:13" s="21" customFormat="1" x14ac:dyDescent="0.25">
      <c r="A8666" s="22" t="s">
        <v>8</v>
      </c>
      <c r="B8666" s="18" t="str">
        <f>"335185"</f>
        <v>335185</v>
      </c>
      <c r="C8666" s="19" t="s">
        <v>8542</v>
      </c>
      <c r="D8666" s="19" t="s">
        <v>24083</v>
      </c>
      <c r="E8666" s="19" t="s">
        <v>34075</v>
      </c>
      <c r="F8666" s="19" t="s">
        <v>36006</v>
      </c>
      <c r="G8666" s="18" t="str">
        <f>"10562"</f>
        <v>10562</v>
      </c>
      <c r="H8666" s="19" t="s">
        <v>32061</v>
      </c>
      <c r="I8666" s="20">
        <v>19.027000000000001</v>
      </c>
      <c r="J8666" s="44" t="s">
        <v>8</v>
      </c>
      <c r="K8666" s="23" t="s">
        <v>8</v>
      </c>
      <c r="L8666" s="23" t="s">
        <v>8</v>
      </c>
      <c r="M8666" s="23" t="s">
        <v>8</v>
      </c>
    </row>
    <row r="8667" spans="1:13" s="21" customFormat="1" x14ac:dyDescent="0.25">
      <c r="A8667" s="22" t="s">
        <v>8</v>
      </c>
      <c r="B8667" s="18" t="str">
        <f>"335187"</f>
        <v>335187</v>
      </c>
      <c r="C8667" s="19" t="s">
        <v>8543</v>
      </c>
      <c r="D8667" s="19" t="s">
        <v>24084</v>
      </c>
      <c r="E8667" s="19" t="s">
        <v>34037</v>
      </c>
      <c r="F8667" s="19" t="s">
        <v>36006</v>
      </c>
      <c r="G8667" s="18" t="str">
        <f>"10463"</f>
        <v>10463</v>
      </c>
      <c r="H8667" s="19" t="s">
        <v>34037</v>
      </c>
      <c r="I8667" s="20">
        <v>20.22</v>
      </c>
      <c r="J8667" s="44" t="s">
        <v>8</v>
      </c>
      <c r="K8667" s="23" t="s">
        <v>8</v>
      </c>
      <c r="L8667" s="23" t="s">
        <v>8</v>
      </c>
      <c r="M8667" s="23" t="s">
        <v>8</v>
      </c>
    </row>
    <row r="8668" spans="1:13" s="21" customFormat="1" x14ac:dyDescent="0.25">
      <c r="A8668" s="22" t="s">
        <v>8</v>
      </c>
      <c r="B8668" s="18" t="str">
        <f>"335188"</f>
        <v>335188</v>
      </c>
      <c r="C8668" s="19" t="s">
        <v>8544</v>
      </c>
      <c r="D8668" s="19" t="s">
        <v>24085</v>
      </c>
      <c r="E8668" s="19" t="s">
        <v>34076</v>
      </c>
      <c r="F8668" s="19" t="s">
        <v>36006</v>
      </c>
      <c r="G8668" s="18" t="str">
        <f>"12561"</f>
        <v>12561</v>
      </c>
      <c r="H8668" s="19" t="s">
        <v>36603</v>
      </c>
      <c r="I8668" s="20">
        <v>22.79</v>
      </c>
      <c r="J8668" s="44" t="s">
        <v>8</v>
      </c>
      <c r="K8668" s="23" t="s">
        <v>8</v>
      </c>
      <c r="L8668" s="23" t="s">
        <v>8</v>
      </c>
      <c r="M8668" s="23" t="s">
        <v>8</v>
      </c>
    </row>
    <row r="8669" spans="1:13" s="21" customFormat="1" x14ac:dyDescent="0.25">
      <c r="A8669" s="22" t="s">
        <v>8</v>
      </c>
      <c r="B8669" s="18" t="str">
        <f>"335190"</f>
        <v>335190</v>
      </c>
      <c r="C8669" s="19" t="s">
        <v>8545</v>
      </c>
      <c r="D8669" s="19" t="s">
        <v>24086</v>
      </c>
      <c r="E8669" s="19" t="s">
        <v>32305</v>
      </c>
      <c r="F8669" s="19" t="s">
        <v>36006</v>
      </c>
      <c r="G8669" s="18" t="str">
        <f>"13214"</f>
        <v>13214</v>
      </c>
      <c r="H8669" s="19" t="s">
        <v>36602</v>
      </c>
      <c r="I8669" s="20">
        <v>18.334</v>
      </c>
      <c r="J8669" s="44" t="s">
        <v>8</v>
      </c>
      <c r="K8669" s="23" t="s">
        <v>8</v>
      </c>
      <c r="L8669" s="23" t="s">
        <v>8</v>
      </c>
      <c r="M8669" s="23" t="s">
        <v>8</v>
      </c>
    </row>
    <row r="8670" spans="1:13" s="21" customFormat="1" x14ac:dyDescent="0.25">
      <c r="A8670" s="22" t="s">
        <v>8</v>
      </c>
      <c r="B8670" s="18" t="str">
        <f>"335196"</f>
        <v>335196</v>
      </c>
      <c r="C8670" s="19" t="s">
        <v>8546</v>
      </c>
      <c r="D8670" s="19" t="s">
        <v>24087</v>
      </c>
      <c r="E8670" s="19" t="s">
        <v>34058</v>
      </c>
      <c r="F8670" s="19" t="s">
        <v>36006</v>
      </c>
      <c r="G8670" s="18" t="str">
        <f>"10301"</f>
        <v>10301</v>
      </c>
      <c r="H8670" s="19" t="s">
        <v>31178</v>
      </c>
      <c r="I8670" s="20">
        <v>20.78</v>
      </c>
      <c r="J8670" s="44" t="s">
        <v>8</v>
      </c>
      <c r="K8670" s="23" t="s">
        <v>8</v>
      </c>
      <c r="L8670" s="23" t="s">
        <v>8</v>
      </c>
      <c r="M8670" s="23" t="s">
        <v>8</v>
      </c>
    </row>
    <row r="8671" spans="1:13" s="21" customFormat="1" x14ac:dyDescent="0.25">
      <c r="A8671" s="22" t="s">
        <v>8</v>
      </c>
      <c r="B8671" s="18" t="str">
        <f>"335197"</f>
        <v>335197</v>
      </c>
      <c r="C8671" s="19" t="s">
        <v>8547</v>
      </c>
      <c r="D8671" s="19" t="s">
        <v>24088</v>
      </c>
      <c r="E8671" s="19" t="s">
        <v>32267</v>
      </c>
      <c r="F8671" s="19" t="s">
        <v>36006</v>
      </c>
      <c r="G8671" s="18" t="str">
        <f>"14620"</f>
        <v>14620</v>
      </c>
      <c r="H8671" s="19" t="s">
        <v>31711</v>
      </c>
      <c r="I8671" s="20">
        <v>17.699000000000002</v>
      </c>
      <c r="J8671" s="44" t="s">
        <v>8</v>
      </c>
      <c r="K8671" s="23" t="s">
        <v>8</v>
      </c>
      <c r="L8671" s="23" t="s">
        <v>8</v>
      </c>
      <c r="M8671" s="23" t="s">
        <v>8</v>
      </c>
    </row>
    <row r="8672" spans="1:13" s="21" customFormat="1" x14ac:dyDescent="0.25">
      <c r="A8672" s="22" t="s">
        <v>8</v>
      </c>
      <c r="B8672" s="18" t="str">
        <f>"335199"</f>
        <v>335199</v>
      </c>
      <c r="C8672" s="19" t="s">
        <v>8548</v>
      </c>
      <c r="D8672" s="19" t="s">
        <v>24089</v>
      </c>
      <c r="E8672" s="19" t="s">
        <v>34077</v>
      </c>
      <c r="F8672" s="19" t="s">
        <v>36006</v>
      </c>
      <c r="G8672" s="18" t="str">
        <f>"11692"</f>
        <v>11692</v>
      </c>
      <c r="H8672" s="19" t="s">
        <v>36598</v>
      </c>
      <c r="I8672" s="20">
        <v>24.314</v>
      </c>
      <c r="J8672" s="44" t="s">
        <v>8</v>
      </c>
      <c r="K8672" s="23" t="s">
        <v>8</v>
      </c>
      <c r="L8672" s="23" t="s">
        <v>8</v>
      </c>
      <c r="M8672" s="23" t="s">
        <v>8</v>
      </c>
    </row>
    <row r="8673" spans="1:13" s="21" customFormat="1" x14ac:dyDescent="0.25">
      <c r="A8673" s="22" t="s">
        <v>8</v>
      </c>
      <c r="B8673" s="18" t="str">
        <f>"335201"</f>
        <v>335201</v>
      </c>
      <c r="C8673" s="19" t="s">
        <v>8549</v>
      </c>
      <c r="D8673" s="19" t="s">
        <v>24090</v>
      </c>
      <c r="E8673" s="19" t="s">
        <v>34037</v>
      </c>
      <c r="F8673" s="19" t="s">
        <v>36006</v>
      </c>
      <c r="G8673" s="18" t="str">
        <f>"10467"</f>
        <v>10467</v>
      </c>
      <c r="H8673" s="19" t="s">
        <v>34037</v>
      </c>
      <c r="I8673" s="20">
        <v>17.968</v>
      </c>
      <c r="J8673" s="44" t="s">
        <v>8</v>
      </c>
      <c r="K8673" s="23" t="s">
        <v>8</v>
      </c>
      <c r="L8673" s="23" t="s">
        <v>8</v>
      </c>
      <c r="M8673" s="23" t="s">
        <v>8</v>
      </c>
    </row>
    <row r="8674" spans="1:13" s="21" customFormat="1" x14ac:dyDescent="0.25">
      <c r="A8674" s="22" t="s">
        <v>8</v>
      </c>
      <c r="B8674" s="18" t="str">
        <f>"335202"</f>
        <v>335202</v>
      </c>
      <c r="C8674" s="19" t="s">
        <v>8550</v>
      </c>
      <c r="D8674" s="19" t="s">
        <v>24091</v>
      </c>
      <c r="E8674" s="19" t="s">
        <v>31985</v>
      </c>
      <c r="F8674" s="19" t="s">
        <v>36006</v>
      </c>
      <c r="G8674" s="18" t="str">
        <f>"14020"</f>
        <v>14020</v>
      </c>
      <c r="H8674" s="19" t="s">
        <v>36432</v>
      </c>
      <c r="I8674" s="20">
        <v>22.741</v>
      </c>
      <c r="J8674" s="44" t="s">
        <v>8</v>
      </c>
      <c r="K8674" s="23" t="s">
        <v>8</v>
      </c>
      <c r="L8674" s="23" t="s">
        <v>8</v>
      </c>
      <c r="M8674" s="23" t="s">
        <v>8</v>
      </c>
    </row>
    <row r="8675" spans="1:13" s="21" customFormat="1" x14ac:dyDescent="0.25">
      <c r="A8675" s="22" t="s">
        <v>8</v>
      </c>
      <c r="B8675" s="18" t="str">
        <f>"335204"</f>
        <v>335204</v>
      </c>
      <c r="C8675" s="19" t="s">
        <v>8551</v>
      </c>
      <c r="D8675" s="19" t="s">
        <v>24092</v>
      </c>
      <c r="E8675" s="19" t="s">
        <v>30873</v>
      </c>
      <c r="F8675" s="19" t="s">
        <v>36006</v>
      </c>
      <c r="G8675" s="18" t="str">
        <f>"13820"</f>
        <v>13820</v>
      </c>
      <c r="H8675" s="19" t="s">
        <v>36417</v>
      </c>
      <c r="I8675" s="20">
        <v>17.928999999999998</v>
      </c>
      <c r="J8675" s="44" t="s">
        <v>8</v>
      </c>
      <c r="K8675" s="23" t="s">
        <v>8</v>
      </c>
      <c r="L8675" s="23" t="s">
        <v>8</v>
      </c>
      <c r="M8675" s="23" t="s">
        <v>8</v>
      </c>
    </row>
    <row r="8676" spans="1:13" s="21" customFormat="1" x14ac:dyDescent="0.25">
      <c r="A8676" s="22" t="s">
        <v>8</v>
      </c>
      <c r="B8676" s="18" t="str">
        <f>"335208"</f>
        <v>335208</v>
      </c>
      <c r="C8676" s="19" t="s">
        <v>8552</v>
      </c>
      <c r="D8676" s="19" t="s">
        <v>24093</v>
      </c>
      <c r="E8676" s="19" t="s">
        <v>31409</v>
      </c>
      <c r="F8676" s="19" t="s">
        <v>36006</v>
      </c>
      <c r="G8676" s="18" t="str">
        <f>"13815"</f>
        <v>13815</v>
      </c>
      <c r="H8676" s="19" t="s">
        <v>36601</v>
      </c>
      <c r="I8676" s="20">
        <v>16.119</v>
      </c>
      <c r="J8676" s="44" t="s">
        <v>8</v>
      </c>
      <c r="K8676" s="23" t="s">
        <v>8</v>
      </c>
      <c r="L8676" s="23" t="s">
        <v>8</v>
      </c>
      <c r="M8676" s="23" t="s">
        <v>8</v>
      </c>
    </row>
    <row r="8677" spans="1:13" s="21" customFormat="1" x14ac:dyDescent="0.25">
      <c r="A8677" s="22" t="s">
        <v>8</v>
      </c>
      <c r="B8677" s="18" t="str">
        <f>"335210"</f>
        <v>335210</v>
      </c>
      <c r="C8677" s="19" t="s">
        <v>8553</v>
      </c>
      <c r="D8677" s="19" t="s">
        <v>24094</v>
      </c>
      <c r="E8677" s="19" t="s">
        <v>32594</v>
      </c>
      <c r="F8677" s="19" t="s">
        <v>36006</v>
      </c>
      <c r="G8677" s="18" t="str">
        <f>"14895"</f>
        <v>14895</v>
      </c>
      <c r="H8677" s="19" t="s">
        <v>34178</v>
      </c>
      <c r="I8677" s="20">
        <v>16.231999999999999</v>
      </c>
      <c r="J8677" s="44" t="s">
        <v>8</v>
      </c>
      <c r="K8677" s="23" t="s">
        <v>8</v>
      </c>
      <c r="L8677" s="23" t="s">
        <v>8</v>
      </c>
      <c r="M8677" s="23" t="s">
        <v>8</v>
      </c>
    </row>
    <row r="8678" spans="1:13" s="21" customFormat="1" x14ac:dyDescent="0.25">
      <c r="A8678" s="22" t="s">
        <v>8</v>
      </c>
      <c r="B8678" s="18" t="str">
        <f>"335211"</f>
        <v>335211</v>
      </c>
      <c r="C8678" s="19" t="s">
        <v>8554</v>
      </c>
      <c r="D8678" s="19" t="s">
        <v>24095</v>
      </c>
      <c r="E8678" s="19" t="s">
        <v>34065</v>
      </c>
      <c r="F8678" s="19" t="s">
        <v>36006</v>
      </c>
      <c r="G8678" s="18" t="str">
        <f>"11542"</f>
        <v>11542</v>
      </c>
      <c r="H8678" s="19" t="s">
        <v>36144</v>
      </c>
      <c r="I8678" s="20">
        <v>20.542999999999999</v>
      </c>
      <c r="J8678" s="44" t="s">
        <v>8</v>
      </c>
      <c r="K8678" s="23" t="s">
        <v>8</v>
      </c>
      <c r="L8678" s="23" t="s">
        <v>8</v>
      </c>
      <c r="M8678" s="23" t="s">
        <v>8</v>
      </c>
    </row>
    <row r="8679" spans="1:13" s="21" customFormat="1" x14ac:dyDescent="0.25">
      <c r="A8679" s="22" t="s">
        <v>8</v>
      </c>
      <c r="B8679" s="18" t="str">
        <f>"335212"</f>
        <v>335212</v>
      </c>
      <c r="C8679" s="19" t="s">
        <v>8555</v>
      </c>
      <c r="D8679" s="19" t="s">
        <v>24096</v>
      </c>
      <c r="E8679" s="19" t="s">
        <v>32329</v>
      </c>
      <c r="F8679" s="19" t="s">
        <v>36006</v>
      </c>
      <c r="G8679" s="18" t="str">
        <f>"14411"</f>
        <v>14411</v>
      </c>
      <c r="H8679" s="19" t="s">
        <v>36365</v>
      </c>
      <c r="I8679" s="20">
        <v>18.038</v>
      </c>
      <c r="J8679" s="44" t="s">
        <v>8</v>
      </c>
      <c r="K8679" s="23" t="s">
        <v>8</v>
      </c>
      <c r="L8679" s="23" t="s">
        <v>8</v>
      </c>
      <c r="M8679" s="23" t="s">
        <v>8</v>
      </c>
    </row>
    <row r="8680" spans="1:13" s="21" customFormat="1" x14ac:dyDescent="0.25">
      <c r="A8680" s="22" t="s">
        <v>8</v>
      </c>
      <c r="B8680" s="18" t="str">
        <f>"335213"</f>
        <v>335213</v>
      </c>
      <c r="C8680" s="19" t="s">
        <v>8556</v>
      </c>
      <c r="D8680" s="19" t="s">
        <v>24097</v>
      </c>
      <c r="E8680" s="19" t="s">
        <v>34078</v>
      </c>
      <c r="F8680" s="19" t="s">
        <v>36006</v>
      </c>
      <c r="G8680" s="18" t="str">
        <f>"11701"</f>
        <v>11701</v>
      </c>
      <c r="H8680" s="19" t="s">
        <v>35389</v>
      </c>
      <c r="I8680" s="20">
        <v>17.289000000000001</v>
      </c>
      <c r="J8680" s="44" t="s">
        <v>8</v>
      </c>
      <c r="K8680" s="23" t="s">
        <v>8</v>
      </c>
      <c r="L8680" s="23" t="s">
        <v>8</v>
      </c>
      <c r="M8680" s="23" t="s">
        <v>8</v>
      </c>
    </row>
    <row r="8681" spans="1:13" s="21" customFormat="1" x14ac:dyDescent="0.25">
      <c r="A8681" s="22" t="s">
        <v>8</v>
      </c>
      <c r="B8681" s="18" t="str">
        <f>"335214"</f>
        <v>335214</v>
      </c>
      <c r="C8681" s="19" t="s">
        <v>8557</v>
      </c>
      <c r="D8681" s="19" t="s">
        <v>24098</v>
      </c>
      <c r="E8681" s="19" t="s">
        <v>34037</v>
      </c>
      <c r="F8681" s="19" t="s">
        <v>36006</v>
      </c>
      <c r="G8681" s="18" t="str">
        <f>"10469"</f>
        <v>10469</v>
      </c>
      <c r="H8681" s="19" t="s">
        <v>34037</v>
      </c>
      <c r="I8681" s="20">
        <v>16.495999999999999</v>
      </c>
      <c r="J8681" s="44" t="s">
        <v>8</v>
      </c>
      <c r="K8681" s="23" t="s">
        <v>8</v>
      </c>
      <c r="L8681" s="23" t="s">
        <v>8</v>
      </c>
      <c r="M8681" s="23" t="s">
        <v>8</v>
      </c>
    </row>
    <row r="8682" spans="1:13" s="21" customFormat="1" x14ac:dyDescent="0.25">
      <c r="A8682" s="22" t="s">
        <v>8</v>
      </c>
      <c r="B8682" s="18" t="str">
        <f>"335216"</f>
        <v>335216</v>
      </c>
      <c r="C8682" s="19" t="s">
        <v>8558</v>
      </c>
      <c r="D8682" s="19" t="s">
        <v>24099</v>
      </c>
      <c r="E8682" s="19" t="s">
        <v>31444</v>
      </c>
      <c r="F8682" s="19" t="s">
        <v>36006</v>
      </c>
      <c r="G8682" s="18" t="str">
        <f>"14414"</f>
        <v>14414</v>
      </c>
      <c r="H8682" s="19" t="s">
        <v>33740</v>
      </c>
      <c r="I8682" s="20">
        <v>19.084</v>
      </c>
      <c r="J8682" s="44" t="s">
        <v>8</v>
      </c>
      <c r="K8682" s="23" t="s">
        <v>8</v>
      </c>
      <c r="L8682" s="23" t="s">
        <v>8</v>
      </c>
      <c r="M8682" s="23" t="s">
        <v>8</v>
      </c>
    </row>
    <row r="8683" spans="1:13" s="21" customFormat="1" x14ac:dyDescent="0.25">
      <c r="A8683" s="22" t="s">
        <v>8</v>
      </c>
      <c r="B8683" s="18" t="str">
        <f>"335218"</f>
        <v>335218</v>
      </c>
      <c r="C8683" s="19" t="s">
        <v>8559</v>
      </c>
      <c r="D8683" s="19" t="s">
        <v>24100</v>
      </c>
      <c r="E8683" s="19" t="s">
        <v>34030</v>
      </c>
      <c r="F8683" s="19" t="s">
        <v>36006</v>
      </c>
      <c r="G8683" s="18" t="str">
        <f>"13045"</f>
        <v>13045</v>
      </c>
      <c r="H8683" s="19" t="s">
        <v>34030</v>
      </c>
      <c r="I8683" s="20">
        <v>16.417999999999999</v>
      </c>
      <c r="J8683" s="44" t="s">
        <v>8</v>
      </c>
      <c r="K8683" s="23" t="s">
        <v>8</v>
      </c>
      <c r="L8683" s="23" t="s">
        <v>8</v>
      </c>
      <c r="M8683" s="23" t="s">
        <v>8</v>
      </c>
    </row>
    <row r="8684" spans="1:13" s="21" customFormat="1" x14ac:dyDescent="0.25">
      <c r="A8684" s="22" t="s">
        <v>8</v>
      </c>
      <c r="B8684" s="18" t="str">
        <f>"335219"</f>
        <v>335219</v>
      </c>
      <c r="C8684" s="19" t="s">
        <v>8560</v>
      </c>
      <c r="D8684" s="19" t="s">
        <v>24101</v>
      </c>
      <c r="E8684" s="19" t="s">
        <v>31494</v>
      </c>
      <c r="F8684" s="19" t="s">
        <v>36006</v>
      </c>
      <c r="G8684" s="18" t="str">
        <f>"14513"</f>
        <v>14513</v>
      </c>
      <c r="H8684" s="19" t="s">
        <v>33280</v>
      </c>
      <c r="I8684" s="20">
        <v>18.427</v>
      </c>
      <c r="J8684" s="44" t="s">
        <v>8</v>
      </c>
      <c r="K8684" s="23" t="s">
        <v>8</v>
      </c>
      <c r="L8684" s="23" t="s">
        <v>8</v>
      </c>
      <c r="M8684" s="23" t="s">
        <v>8</v>
      </c>
    </row>
    <row r="8685" spans="1:13" s="21" customFormat="1" x14ac:dyDescent="0.25">
      <c r="A8685" s="22" t="s">
        <v>8</v>
      </c>
      <c r="B8685" s="18" t="str">
        <f>"335220"</f>
        <v>335220</v>
      </c>
      <c r="C8685" s="19" t="s">
        <v>8561</v>
      </c>
      <c r="D8685" s="19" t="s">
        <v>24102</v>
      </c>
      <c r="E8685" s="19" t="s">
        <v>34079</v>
      </c>
      <c r="F8685" s="19" t="s">
        <v>36006</v>
      </c>
      <c r="G8685" s="18" t="str">
        <f>"12986"</f>
        <v>12986</v>
      </c>
      <c r="H8685" s="19" t="s">
        <v>5</v>
      </c>
      <c r="I8685" s="20">
        <v>18.015000000000001</v>
      </c>
      <c r="J8685" s="44" t="s">
        <v>8</v>
      </c>
      <c r="K8685" s="23" t="s">
        <v>8</v>
      </c>
      <c r="L8685" s="23" t="s">
        <v>8</v>
      </c>
      <c r="M8685" s="23" t="s">
        <v>8</v>
      </c>
    </row>
    <row r="8686" spans="1:13" s="21" customFormat="1" x14ac:dyDescent="0.25">
      <c r="A8686" s="22" t="s">
        <v>8</v>
      </c>
      <c r="B8686" s="18" t="str">
        <f>"335224"</f>
        <v>335224</v>
      </c>
      <c r="C8686" s="19" t="s">
        <v>8562</v>
      </c>
      <c r="D8686" s="19" t="s">
        <v>24103</v>
      </c>
      <c r="E8686" s="19" t="s">
        <v>32998</v>
      </c>
      <c r="F8686" s="19" t="s">
        <v>36006</v>
      </c>
      <c r="G8686" s="18" t="str">
        <f>"10606"</f>
        <v>10606</v>
      </c>
      <c r="H8686" s="19" t="s">
        <v>32061</v>
      </c>
      <c r="I8686" s="20">
        <v>17.495999999999999</v>
      </c>
      <c r="J8686" s="44" t="s">
        <v>8</v>
      </c>
      <c r="K8686" s="23" t="s">
        <v>8</v>
      </c>
      <c r="L8686" s="23" t="s">
        <v>8</v>
      </c>
      <c r="M8686" s="23" t="s">
        <v>8</v>
      </c>
    </row>
    <row r="8687" spans="1:13" s="21" customFormat="1" x14ac:dyDescent="0.25">
      <c r="A8687" s="22" t="s">
        <v>8</v>
      </c>
      <c r="B8687" s="18" t="str">
        <f>"335225"</f>
        <v>335225</v>
      </c>
      <c r="C8687" s="19" t="s">
        <v>8563</v>
      </c>
      <c r="D8687" s="19" t="s">
        <v>24104</v>
      </c>
      <c r="E8687" s="19" t="s">
        <v>34034</v>
      </c>
      <c r="F8687" s="19" t="s">
        <v>36006</v>
      </c>
      <c r="G8687" s="18" t="str">
        <f>"14850"</f>
        <v>14850</v>
      </c>
      <c r="H8687" s="19" t="s">
        <v>36596</v>
      </c>
      <c r="I8687" s="20">
        <v>16.001999999999999</v>
      </c>
      <c r="J8687" s="44" t="s">
        <v>8</v>
      </c>
      <c r="K8687" s="23" t="s">
        <v>8</v>
      </c>
      <c r="L8687" s="23" t="s">
        <v>8</v>
      </c>
      <c r="M8687" s="23" t="s">
        <v>8</v>
      </c>
    </row>
    <row r="8688" spans="1:13" s="21" customFormat="1" x14ac:dyDescent="0.25">
      <c r="A8688" s="22" t="s">
        <v>8</v>
      </c>
      <c r="B8688" s="18" t="str">
        <f>"335226"</f>
        <v>335226</v>
      </c>
      <c r="C8688" s="19" t="s">
        <v>8564</v>
      </c>
      <c r="D8688" s="19" t="s">
        <v>24105</v>
      </c>
      <c r="E8688" s="19" t="s">
        <v>34080</v>
      </c>
      <c r="F8688" s="19" t="s">
        <v>36006</v>
      </c>
      <c r="G8688" s="18" t="str">
        <f>"13850"</f>
        <v>13850</v>
      </c>
      <c r="H8688" s="19" t="s">
        <v>36600</v>
      </c>
      <c r="I8688" s="20">
        <v>19.323</v>
      </c>
      <c r="J8688" s="44" t="s">
        <v>8</v>
      </c>
      <c r="K8688" s="23" t="s">
        <v>8</v>
      </c>
      <c r="L8688" s="23" t="s">
        <v>8</v>
      </c>
      <c r="M8688" s="23" t="s">
        <v>8</v>
      </c>
    </row>
    <row r="8689" spans="1:13" s="21" customFormat="1" x14ac:dyDescent="0.25">
      <c r="A8689" s="22" t="s">
        <v>8</v>
      </c>
      <c r="B8689" s="18" t="str">
        <f>"335227"</f>
        <v>335227</v>
      </c>
      <c r="C8689" s="19" t="s">
        <v>8565</v>
      </c>
      <c r="D8689" s="19" t="s">
        <v>24106</v>
      </c>
      <c r="E8689" s="19" t="s">
        <v>34037</v>
      </c>
      <c r="F8689" s="19" t="s">
        <v>36006</v>
      </c>
      <c r="G8689" s="18" t="str">
        <f>"10469"</f>
        <v>10469</v>
      </c>
      <c r="H8689" s="19" t="s">
        <v>34037</v>
      </c>
      <c r="I8689" s="20">
        <v>21.059000000000001</v>
      </c>
      <c r="J8689" s="44" t="s">
        <v>8</v>
      </c>
      <c r="K8689" s="23" t="s">
        <v>8</v>
      </c>
      <c r="L8689" s="23" t="s">
        <v>8</v>
      </c>
      <c r="M8689" s="23" t="s">
        <v>8</v>
      </c>
    </row>
    <row r="8690" spans="1:13" s="21" customFormat="1" x14ac:dyDescent="0.25">
      <c r="A8690" s="22" t="s">
        <v>8</v>
      </c>
      <c r="B8690" s="18" t="str">
        <f>"335228"</f>
        <v>335228</v>
      </c>
      <c r="C8690" s="19" t="s">
        <v>8566</v>
      </c>
      <c r="D8690" s="19" t="s">
        <v>24107</v>
      </c>
      <c r="E8690" s="19" t="s">
        <v>34054</v>
      </c>
      <c r="F8690" s="19" t="s">
        <v>36006</v>
      </c>
      <c r="G8690" s="18" t="str">
        <f>"13902"</f>
        <v>13902</v>
      </c>
      <c r="H8690" s="19" t="s">
        <v>36600</v>
      </c>
      <c r="I8690" s="20">
        <v>19.518000000000001</v>
      </c>
      <c r="J8690" s="44" t="s">
        <v>8</v>
      </c>
      <c r="K8690" s="23" t="s">
        <v>8</v>
      </c>
      <c r="L8690" s="23" t="s">
        <v>8</v>
      </c>
      <c r="M8690" s="23" t="s">
        <v>8</v>
      </c>
    </row>
    <row r="8691" spans="1:13" s="21" customFormat="1" x14ac:dyDescent="0.25">
      <c r="A8691" s="22" t="s">
        <v>8</v>
      </c>
      <c r="B8691" s="18" t="str">
        <f>"335229"</f>
        <v>335229</v>
      </c>
      <c r="C8691" s="19" t="s">
        <v>8567</v>
      </c>
      <c r="D8691" s="19" t="s">
        <v>24108</v>
      </c>
      <c r="E8691" s="19" t="s">
        <v>34081</v>
      </c>
      <c r="F8691" s="19" t="s">
        <v>36006</v>
      </c>
      <c r="G8691" s="18" t="str">
        <f>"12531"</f>
        <v>12531</v>
      </c>
      <c r="H8691" s="19" t="s">
        <v>36604</v>
      </c>
      <c r="I8691" s="20">
        <v>23.152000000000001</v>
      </c>
      <c r="J8691" s="44" t="s">
        <v>8</v>
      </c>
      <c r="K8691" s="23" t="s">
        <v>8</v>
      </c>
      <c r="L8691" s="23" t="s">
        <v>8</v>
      </c>
      <c r="M8691" s="23" t="s">
        <v>8</v>
      </c>
    </row>
    <row r="8692" spans="1:13" s="21" customFormat="1" x14ac:dyDescent="0.25">
      <c r="A8692" s="22" t="s">
        <v>8</v>
      </c>
      <c r="B8692" s="18" t="str">
        <f>"335231"</f>
        <v>335231</v>
      </c>
      <c r="C8692" s="19" t="s">
        <v>8568</v>
      </c>
      <c r="D8692" s="19" t="s">
        <v>24109</v>
      </c>
      <c r="E8692" s="19" t="s">
        <v>33348</v>
      </c>
      <c r="F8692" s="19" t="s">
        <v>36006</v>
      </c>
      <c r="G8692" s="18" t="str">
        <f>"11797"</f>
        <v>11797</v>
      </c>
      <c r="H8692" s="19" t="s">
        <v>36144</v>
      </c>
      <c r="I8692" s="20">
        <v>17.018999999999998</v>
      </c>
      <c r="J8692" s="44" t="s">
        <v>8</v>
      </c>
      <c r="K8692" s="23" t="s">
        <v>8</v>
      </c>
      <c r="L8692" s="23" t="s">
        <v>8</v>
      </c>
      <c r="M8692" s="23" t="s">
        <v>8</v>
      </c>
    </row>
    <row r="8693" spans="1:13" s="21" customFormat="1" x14ac:dyDescent="0.25">
      <c r="A8693" s="22" t="s">
        <v>8</v>
      </c>
      <c r="B8693" s="18" t="str">
        <f>"335232"</f>
        <v>335232</v>
      </c>
      <c r="C8693" s="19" t="s">
        <v>8569</v>
      </c>
      <c r="D8693" s="19" t="s">
        <v>24110</v>
      </c>
      <c r="E8693" s="19" t="s">
        <v>34041</v>
      </c>
      <c r="F8693" s="19" t="s">
        <v>36006</v>
      </c>
      <c r="G8693" s="18" t="str">
        <f>"10021"</f>
        <v>10021</v>
      </c>
      <c r="H8693" s="19" t="s">
        <v>34041</v>
      </c>
      <c r="I8693" s="20">
        <v>20.887</v>
      </c>
      <c r="J8693" s="44" t="s">
        <v>8</v>
      </c>
      <c r="K8693" s="23" t="s">
        <v>8</v>
      </c>
      <c r="L8693" s="23" t="s">
        <v>8</v>
      </c>
      <c r="M8693" s="23" t="s">
        <v>8</v>
      </c>
    </row>
    <row r="8694" spans="1:13" s="21" customFormat="1" x14ac:dyDescent="0.25">
      <c r="A8694" s="22" t="s">
        <v>8</v>
      </c>
      <c r="B8694" s="18" t="str">
        <f>"335233"</f>
        <v>335233</v>
      </c>
      <c r="C8694" s="19" t="s">
        <v>8570</v>
      </c>
      <c r="D8694" s="19" t="s">
        <v>24111</v>
      </c>
      <c r="E8694" s="19" t="s">
        <v>31732</v>
      </c>
      <c r="F8694" s="19" t="s">
        <v>36006</v>
      </c>
      <c r="G8694" s="18" t="str">
        <f>"13440"</f>
        <v>13440</v>
      </c>
      <c r="H8694" s="19" t="s">
        <v>34140</v>
      </c>
      <c r="I8694" s="20">
        <v>19.667000000000002</v>
      </c>
      <c r="J8694" s="44" t="s">
        <v>8</v>
      </c>
      <c r="K8694" s="23" t="s">
        <v>8</v>
      </c>
      <c r="L8694" s="23" t="s">
        <v>8</v>
      </c>
      <c r="M8694" s="23" t="s">
        <v>8</v>
      </c>
    </row>
    <row r="8695" spans="1:13" s="21" customFormat="1" x14ac:dyDescent="0.25">
      <c r="A8695" s="22" t="s">
        <v>8</v>
      </c>
      <c r="B8695" s="18" t="str">
        <f>"335236"</f>
        <v>335236</v>
      </c>
      <c r="C8695" s="19" t="s">
        <v>8571</v>
      </c>
      <c r="D8695" s="19" t="s">
        <v>24112</v>
      </c>
      <c r="E8695" s="19" t="s">
        <v>31404</v>
      </c>
      <c r="F8695" s="19" t="s">
        <v>36006</v>
      </c>
      <c r="G8695" s="18" t="str">
        <f>"12167"</f>
        <v>12167</v>
      </c>
      <c r="H8695" s="19" t="s">
        <v>34462</v>
      </c>
      <c r="I8695" s="20">
        <v>17.344999999999999</v>
      </c>
      <c r="J8695" s="44" t="s">
        <v>8</v>
      </c>
      <c r="K8695" s="23" t="s">
        <v>8</v>
      </c>
      <c r="L8695" s="23" t="s">
        <v>8</v>
      </c>
      <c r="M8695" s="23" t="s">
        <v>8</v>
      </c>
    </row>
    <row r="8696" spans="1:13" s="21" customFormat="1" x14ac:dyDescent="0.25">
      <c r="A8696" s="22" t="s">
        <v>8</v>
      </c>
      <c r="B8696" s="18" t="str">
        <f>"335238"</f>
        <v>335238</v>
      </c>
      <c r="C8696" s="19" t="s">
        <v>8572</v>
      </c>
      <c r="D8696" s="19" t="s">
        <v>24113</v>
      </c>
      <c r="E8696" s="19" t="s">
        <v>32233</v>
      </c>
      <c r="F8696" s="19" t="s">
        <v>36006</v>
      </c>
      <c r="G8696" s="18" t="str">
        <f>"10924"</f>
        <v>10924</v>
      </c>
      <c r="H8696" s="19" t="s">
        <v>31169</v>
      </c>
      <c r="I8696" s="20">
        <v>19.193000000000001</v>
      </c>
      <c r="J8696" s="44" t="s">
        <v>8</v>
      </c>
      <c r="K8696" s="23" t="s">
        <v>8</v>
      </c>
      <c r="L8696" s="23" t="s">
        <v>8</v>
      </c>
      <c r="M8696" s="23" t="s">
        <v>8</v>
      </c>
    </row>
    <row r="8697" spans="1:13" s="21" customFormat="1" x14ac:dyDescent="0.25">
      <c r="A8697" s="22" t="s">
        <v>8</v>
      </c>
      <c r="B8697" s="18" t="str">
        <f>"335239"</f>
        <v>335239</v>
      </c>
      <c r="C8697" s="19" t="s">
        <v>8573</v>
      </c>
      <c r="D8697" s="19" t="s">
        <v>24114</v>
      </c>
      <c r="E8697" s="19" t="s">
        <v>34058</v>
      </c>
      <c r="F8697" s="19" t="s">
        <v>36006</v>
      </c>
      <c r="G8697" s="18" t="str">
        <f>"10314"</f>
        <v>10314</v>
      </c>
      <c r="H8697" s="19" t="s">
        <v>31178</v>
      </c>
      <c r="I8697" s="20">
        <v>20.654</v>
      </c>
      <c r="J8697" s="44" t="s">
        <v>8</v>
      </c>
      <c r="K8697" s="23" t="s">
        <v>8</v>
      </c>
      <c r="L8697" s="23" t="s">
        <v>8</v>
      </c>
      <c r="M8697" s="23" t="s">
        <v>8</v>
      </c>
    </row>
    <row r="8698" spans="1:13" s="21" customFormat="1" x14ac:dyDescent="0.25">
      <c r="A8698" s="22" t="s">
        <v>8</v>
      </c>
      <c r="B8698" s="18" t="str">
        <f>"335243"</f>
        <v>335243</v>
      </c>
      <c r="C8698" s="19" t="s">
        <v>8574</v>
      </c>
      <c r="D8698" s="19" t="s">
        <v>24115</v>
      </c>
      <c r="E8698" s="19" t="s">
        <v>30873</v>
      </c>
      <c r="F8698" s="19" t="s">
        <v>36006</v>
      </c>
      <c r="G8698" s="18" t="str">
        <f>"13820"</f>
        <v>13820</v>
      </c>
      <c r="H8698" s="19" t="s">
        <v>36417</v>
      </c>
      <c r="I8698" s="20">
        <v>18.402999999999999</v>
      </c>
      <c r="J8698" s="44" t="s">
        <v>8</v>
      </c>
      <c r="K8698" s="23" t="s">
        <v>8</v>
      </c>
      <c r="L8698" s="23" t="s">
        <v>8</v>
      </c>
      <c r="M8698" s="23" t="s">
        <v>8</v>
      </c>
    </row>
    <row r="8699" spans="1:13" s="21" customFormat="1" x14ac:dyDescent="0.25">
      <c r="A8699" s="22" t="s">
        <v>8</v>
      </c>
      <c r="B8699" s="18" t="str">
        <f>"335245"</f>
        <v>335245</v>
      </c>
      <c r="C8699" s="19" t="s">
        <v>8575</v>
      </c>
      <c r="D8699" s="19" t="s">
        <v>24116</v>
      </c>
      <c r="E8699" s="19" t="s">
        <v>31443</v>
      </c>
      <c r="F8699" s="19" t="s">
        <v>36006</v>
      </c>
      <c r="G8699" s="18" t="str">
        <f>"11226"</f>
        <v>11226</v>
      </c>
      <c r="H8699" s="19" t="s">
        <v>36091</v>
      </c>
      <c r="I8699" s="20">
        <v>17.763999999999999</v>
      </c>
      <c r="J8699" s="44" t="s">
        <v>8</v>
      </c>
      <c r="K8699" s="23" t="s">
        <v>8</v>
      </c>
      <c r="L8699" s="23" t="s">
        <v>8</v>
      </c>
      <c r="M8699" s="23" t="s">
        <v>8</v>
      </c>
    </row>
    <row r="8700" spans="1:13" s="21" customFormat="1" x14ac:dyDescent="0.25">
      <c r="A8700" s="22" t="s">
        <v>8</v>
      </c>
      <c r="B8700" s="18" t="str">
        <f>"335247"</f>
        <v>335247</v>
      </c>
      <c r="C8700" s="19" t="s">
        <v>2793</v>
      </c>
      <c r="D8700" s="19" t="s">
        <v>24117</v>
      </c>
      <c r="E8700" s="19" t="s">
        <v>33048</v>
      </c>
      <c r="F8700" s="19" t="s">
        <v>36006</v>
      </c>
      <c r="G8700" s="18" t="str">
        <f>"14580"</f>
        <v>14580</v>
      </c>
      <c r="H8700" s="19" t="s">
        <v>31711</v>
      </c>
      <c r="I8700" s="20">
        <v>18.757999999999999</v>
      </c>
      <c r="J8700" s="44" t="s">
        <v>8</v>
      </c>
      <c r="K8700" s="23" t="s">
        <v>8</v>
      </c>
      <c r="L8700" s="23" t="s">
        <v>8</v>
      </c>
      <c r="M8700" s="23" t="s">
        <v>8</v>
      </c>
    </row>
    <row r="8701" spans="1:13" s="21" customFormat="1" x14ac:dyDescent="0.25">
      <c r="A8701" s="22" t="s">
        <v>8</v>
      </c>
      <c r="B8701" s="18" t="str">
        <f>"335248"</f>
        <v>335248</v>
      </c>
      <c r="C8701" s="19" t="s">
        <v>8576</v>
      </c>
      <c r="D8701" s="19" t="s">
        <v>24118</v>
      </c>
      <c r="E8701" s="19" t="s">
        <v>31721</v>
      </c>
      <c r="F8701" s="19" t="s">
        <v>36006</v>
      </c>
      <c r="G8701" s="18" t="str">
        <f>"10463"</f>
        <v>10463</v>
      </c>
      <c r="H8701" s="19" t="s">
        <v>34037</v>
      </c>
      <c r="I8701" s="20">
        <v>19.43</v>
      </c>
      <c r="J8701" s="44" t="s">
        <v>8</v>
      </c>
      <c r="K8701" s="23" t="s">
        <v>8</v>
      </c>
      <c r="L8701" s="23" t="s">
        <v>8</v>
      </c>
      <c r="M8701" s="23" t="s">
        <v>8</v>
      </c>
    </row>
    <row r="8702" spans="1:13" s="21" customFormat="1" x14ac:dyDescent="0.25">
      <c r="A8702" s="22" t="s">
        <v>8</v>
      </c>
      <c r="B8702" s="18" t="str">
        <f>"335249"</f>
        <v>335249</v>
      </c>
      <c r="C8702" s="19" t="s">
        <v>8577</v>
      </c>
      <c r="D8702" s="19" t="s">
        <v>24119</v>
      </c>
      <c r="E8702" s="19" t="s">
        <v>34034</v>
      </c>
      <c r="F8702" s="19" t="s">
        <v>36006</v>
      </c>
      <c r="G8702" s="18" t="str">
        <f>"14850"</f>
        <v>14850</v>
      </c>
      <c r="H8702" s="19" t="s">
        <v>36596</v>
      </c>
      <c r="I8702" s="20">
        <v>18.623999999999999</v>
      </c>
      <c r="J8702" s="44" t="s">
        <v>8</v>
      </c>
      <c r="K8702" s="23" t="s">
        <v>8</v>
      </c>
      <c r="L8702" s="23" t="s">
        <v>8</v>
      </c>
      <c r="M8702" s="23" t="s">
        <v>8</v>
      </c>
    </row>
    <row r="8703" spans="1:13" s="21" customFormat="1" x14ac:dyDescent="0.25">
      <c r="A8703" s="22" t="s">
        <v>8</v>
      </c>
      <c r="B8703" s="18" t="str">
        <f>"335250"</f>
        <v>335250</v>
      </c>
      <c r="C8703" s="19" t="s">
        <v>8578</v>
      </c>
      <c r="D8703" s="19" t="s">
        <v>24120</v>
      </c>
      <c r="E8703" s="19" t="s">
        <v>34082</v>
      </c>
      <c r="F8703" s="19" t="s">
        <v>36006</v>
      </c>
      <c r="G8703" s="18" t="str">
        <f>"11021"</f>
        <v>11021</v>
      </c>
      <c r="H8703" s="19" t="s">
        <v>36144</v>
      </c>
      <c r="I8703" s="20">
        <v>19.617999999999999</v>
      </c>
      <c r="J8703" s="44" t="s">
        <v>8</v>
      </c>
      <c r="K8703" s="23" t="s">
        <v>8</v>
      </c>
      <c r="L8703" s="23" t="s">
        <v>8</v>
      </c>
      <c r="M8703" s="23" t="s">
        <v>8</v>
      </c>
    </row>
    <row r="8704" spans="1:13" s="21" customFormat="1" x14ac:dyDescent="0.25">
      <c r="A8704" s="22" t="s">
        <v>8</v>
      </c>
      <c r="B8704" s="18" t="str">
        <f>"335252"</f>
        <v>335252</v>
      </c>
      <c r="C8704" s="19" t="s">
        <v>8579</v>
      </c>
      <c r="D8704" s="19" t="s">
        <v>24121</v>
      </c>
      <c r="E8704" s="19" t="s">
        <v>34083</v>
      </c>
      <c r="F8704" s="19" t="s">
        <v>36006</v>
      </c>
      <c r="G8704" s="18" t="str">
        <f>"12302"</f>
        <v>12302</v>
      </c>
      <c r="H8704" s="19" t="s">
        <v>34038</v>
      </c>
      <c r="I8704" s="20">
        <v>18.381</v>
      </c>
      <c r="J8704" s="44" t="s">
        <v>8</v>
      </c>
      <c r="K8704" s="23" t="s">
        <v>8</v>
      </c>
      <c r="L8704" s="23" t="s">
        <v>8</v>
      </c>
      <c r="M8704" s="23" t="s">
        <v>8</v>
      </c>
    </row>
    <row r="8705" spans="1:13" s="21" customFormat="1" x14ac:dyDescent="0.25">
      <c r="A8705" s="22" t="s">
        <v>8</v>
      </c>
      <c r="B8705" s="18" t="str">
        <f>"335253"</f>
        <v>335253</v>
      </c>
      <c r="C8705" s="19" t="s">
        <v>8580</v>
      </c>
      <c r="D8705" s="19" t="s">
        <v>24122</v>
      </c>
      <c r="E8705" s="19" t="s">
        <v>32305</v>
      </c>
      <c r="F8705" s="19" t="s">
        <v>36006</v>
      </c>
      <c r="G8705" s="18" t="str">
        <f>"13205"</f>
        <v>13205</v>
      </c>
      <c r="H8705" s="19" t="s">
        <v>36602</v>
      </c>
      <c r="I8705" s="20">
        <v>18.798999999999999</v>
      </c>
      <c r="J8705" s="44" t="s">
        <v>8</v>
      </c>
      <c r="K8705" s="23" t="s">
        <v>8</v>
      </c>
      <c r="L8705" s="23" t="s">
        <v>8</v>
      </c>
      <c r="M8705" s="23" t="s">
        <v>8</v>
      </c>
    </row>
    <row r="8706" spans="1:13" s="21" customFormat="1" x14ac:dyDescent="0.25">
      <c r="A8706" s="22" t="s">
        <v>8</v>
      </c>
      <c r="B8706" s="18" t="str">
        <f>"335254"</f>
        <v>335254</v>
      </c>
      <c r="C8706" s="19" t="s">
        <v>8581</v>
      </c>
      <c r="D8706" s="19" t="s">
        <v>24123</v>
      </c>
      <c r="E8706" s="19" t="s">
        <v>34084</v>
      </c>
      <c r="F8706" s="19" t="s">
        <v>36006</v>
      </c>
      <c r="G8706" s="18" t="str">
        <f>"11901"</f>
        <v>11901</v>
      </c>
      <c r="H8706" s="19" t="s">
        <v>35389</v>
      </c>
      <c r="I8706" s="20">
        <v>18.931999999999999</v>
      </c>
      <c r="J8706" s="44" t="s">
        <v>8</v>
      </c>
      <c r="K8706" s="23" t="s">
        <v>8</v>
      </c>
      <c r="L8706" s="23" t="s">
        <v>8</v>
      </c>
      <c r="M8706" s="23" t="s">
        <v>8</v>
      </c>
    </row>
    <row r="8707" spans="1:13" s="21" customFormat="1" x14ac:dyDescent="0.25">
      <c r="A8707" s="22" t="s">
        <v>8</v>
      </c>
      <c r="B8707" s="18" t="str">
        <f>"335255"</f>
        <v>335255</v>
      </c>
      <c r="C8707" s="19" t="s">
        <v>8582</v>
      </c>
      <c r="D8707" s="19" t="s">
        <v>24124</v>
      </c>
      <c r="E8707" s="19" t="s">
        <v>34085</v>
      </c>
      <c r="F8707" s="19" t="s">
        <v>36006</v>
      </c>
      <c r="G8707" s="18" t="str">
        <f>"14424"</f>
        <v>14424</v>
      </c>
      <c r="H8707" s="19" t="s">
        <v>31239</v>
      </c>
      <c r="I8707" s="20">
        <v>19.608000000000001</v>
      </c>
      <c r="J8707" s="44" t="s">
        <v>8</v>
      </c>
      <c r="K8707" s="23" t="s">
        <v>8</v>
      </c>
      <c r="L8707" s="23" t="s">
        <v>8</v>
      </c>
      <c r="M8707" s="23" t="s">
        <v>8</v>
      </c>
    </row>
    <row r="8708" spans="1:13" s="21" customFormat="1" x14ac:dyDescent="0.25">
      <c r="A8708" s="22" t="s">
        <v>8</v>
      </c>
      <c r="B8708" s="18" t="str">
        <f>"335256"</f>
        <v>335256</v>
      </c>
      <c r="C8708" s="19" t="s">
        <v>8583</v>
      </c>
      <c r="D8708" s="19" t="s">
        <v>24125</v>
      </c>
      <c r="E8708" s="19" t="s">
        <v>34086</v>
      </c>
      <c r="F8708" s="19" t="s">
        <v>36006</v>
      </c>
      <c r="G8708" s="18" t="str">
        <f>"12414"</f>
        <v>12414</v>
      </c>
      <c r="H8708" s="19" t="s">
        <v>32455</v>
      </c>
      <c r="I8708" s="20">
        <v>17.081</v>
      </c>
      <c r="J8708" s="44" t="s">
        <v>8</v>
      </c>
      <c r="K8708" s="23" t="s">
        <v>8</v>
      </c>
      <c r="L8708" s="23" t="s">
        <v>8</v>
      </c>
      <c r="M8708" s="23" t="s">
        <v>8</v>
      </c>
    </row>
    <row r="8709" spans="1:13" s="21" customFormat="1" x14ac:dyDescent="0.25">
      <c r="A8709" s="22" t="s">
        <v>8</v>
      </c>
      <c r="B8709" s="18" t="str">
        <f>"335257"</f>
        <v>335257</v>
      </c>
      <c r="C8709" s="19" t="s">
        <v>8584</v>
      </c>
      <c r="D8709" s="19" t="s">
        <v>24126</v>
      </c>
      <c r="E8709" s="19" t="s">
        <v>34041</v>
      </c>
      <c r="F8709" s="19" t="s">
        <v>36006</v>
      </c>
      <c r="G8709" s="18" t="str">
        <f>"10040"</f>
        <v>10040</v>
      </c>
      <c r="H8709" s="19" t="s">
        <v>34041</v>
      </c>
      <c r="I8709" s="20">
        <v>19.196999999999999</v>
      </c>
      <c r="J8709" s="44" t="s">
        <v>8</v>
      </c>
      <c r="K8709" s="23" t="s">
        <v>8</v>
      </c>
      <c r="L8709" s="23" t="s">
        <v>8</v>
      </c>
      <c r="M8709" s="23" t="s">
        <v>8</v>
      </c>
    </row>
    <row r="8710" spans="1:13" s="21" customFormat="1" x14ac:dyDescent="0.25">
      <c r="A8710" s="22" t="s">
        <v>8</v>
      </c>
      <c r="B8710" s="18" t="str">
        <f>"335259"</f>
        <v>335259</v>
      </c>
      <c r="C8710" s="19" t="s">
        <v>8585</v>
      </c>
      <c r="D8710" s="19" t="s">
        <v>24127</v>
      </c>
      <c r="E8710" s="19" t="s">
        <v>34087</v>
      </c>
      <c r="F8710" s="19" t="s">
        <v>36006</v>
      </c>
      <c r="G8710" s="18" t="str">
        <f>"10578"</f>
        <v>10578</v>
      </c>
      <c r="H8710" s="19" t="s">
        <v>32061</v>
      </c>
      <c r="I8710" s="20">
        <v>19.245999999999999</v>
      </c>
      <c r="J8710" s="44" t="s">
        <v>8</v>
      </c>
      <c r="K8710" s="23" t="s">
        <v>8</v>
      </c>
      <c r="L8710" s="23" t="s">
        <v>8</v>
      </c>
      <c r="M8710" s="23" t="s">
        <v>8</v>
      </c>
    </row>
    <row r="8711" spans="1:13" s="21" customFormat="1" x14ac:dyDescent="0.25">
      <c r="A8711" s="22" t="s">
        <v>8</v>
      </c>
      <c r="B8711" s="18" t="str">
        <f>"335260"</f>
        <v>335260</v>
      </c>
      <c r="C8711" s="19" t="s">
        <v>8586</v>
      </c>
      <c r="D8711" s="19" t="s">
        <v>24128</v>
      </c>
      <c r="E8711" s="19" t="s">
        <v>31104</v>
      </c>
      <c r="F8711" s="19" t="s">
        <v>36006</v>
      </c>
      <c r="G8711" s="18" t="str">
        <f>"10970"</f>
        <v>10970</v>
      </c>
      <c r="H8711" s="19" t="s">
        <v>32912</v>
      </c>
      <c r="I8711" s="20">
        <v>19.777999999999999</v>
      </c>
      <c r="J8711" s="44" t="s">
        <v>8</v>
      </c>
      <c r="K8711" s="23" t="s">
        <v>8</v>
      </c>
      <c r="L8711" s="23" t="s">
        <v>8</v>
      </c>
      <c r="M8711" s="23" t="s">
        <v>8</v>
      </c>
    </row>
    <row r="8712" spans="1:13" s="21" customFormat="1" x14ac:dyDescent="0.25">
      <c r="A8712" s="22" t="s">
        <v>8</v>
      </c>
      <c r="B8712" s="18" t="str">
        <f>"335261"</f>
        <v>335261</v>
      </c>
      <c r="C8712" s="19" t="s">
        <v>8587</v>
      </c>
      <c r="D8712" s="19" t="s">
        <v>24129</v>
      </c>
      <c r="E8712" s="19" t="s">
        <v>34088</v>
      </c>
      <c r="F8712" s="19" t="s">
        <v>36006</v>
      </c>
      <c r="G8712" s="18" t="str">
        <f>"10589"</f>
        <v>10589</v>
      </c>
      <c r="H8712" s="19" t="s">
        <v>32061</v>
      </c>
      <c r="I8712" s="20">
        <v>22.268000000000001</v>
      </c>
      <c r="J8712" s="44" t="s">
        <v>8</v>
      </c>
      <c r="K8712" s="23" t="s">
        <v>8</v>
      </c>
      <c r="L8712" s="23" t="s">
        <v>8</v>
      </c>
      <c r="M8712" s="23" t="s">
        <v>8</v>
      </c>
    </row>
    <row r="8713" spans="1:13" s="21" customFormat="1" x14ac:dyDescent="0.25">
      <c r="A8713" s="22" t="s">
        <v>8</v>
      </c>
      <c r="B8713" s="18" t="str">
        <f>"335263"</f>
        <v>335263</v>
      </c>
      <c r="C8713" s="19" t="s">
        <v>8588</v>
      </c>
      <c r="D8713" s="19" t="s">
        <v>24130</v>
      </c>
      <c r="E8713" s="19" t="s">
        <v>32267</v>
      </c>
      <c r="F8713" s="19" t="s">
        <v>36006</v>
      </c>
      <c r="G8713" s="18" t="str">
        <f>"14620"</f>
        <v>14620</v>
      </c>
      <c r="H8713" s="19" t="s">
        <v>31711</v>
      </c>
      <c r="I8713" s="20">
        <v>17.14</v>
      </c>
      <c r="J8713" s="44" t="s">
        <v>8</v>
      </c>
      <c r="K8713" s="23" t="s">
        <v>8</v>
      </c>
      <c r="L8713" s="23" t="s">
        <v>8</v>
      </c>
      <c r="M8713" s="23" t="s">
        <v>8</v>
      </c>
    </row>
    <row r="8714" spans="1:13" s="21" customFormat="1" x14ac:dyDescent="0.25">
      <c r="A8714" s="22" t="s">
        <v>8</v>
      </c>
      <c r="B8714" s="18" t="str">
        <f>"335265"</f>
        <v>335265</v>
      </c>
      <c r="C8714" s="19" t="s">
        <v>8589</v>
      </c>
      <c r="D8714" s="19" t="s">
        <v>24131</v>
      </c>
      <c r="E8714" s="19" t="s">
        <v>30815</v>
      </c>
      <c r="F8714" s="19" t="s">
        <v>36006</v>
      </c>
      <c r="G8714" s="18" t="str">
        <f>"12180"</f>
        <v>12180</v>
      </c>
      <c r="H8714" s="19" t="s">
        <v>32254</v>
      </c>
      <c r="I8714" s="20">
        <v>17.777999999999999</v>
      </c>
      <c r="J8714" s="44" t="s">
        <v>8</v>
      </c>
      <c r="K8714" s="23" t="s">
        <v>8</v>
      </c>
      <c r="L8714" s="23" t="s">
        <v>8</v>
      </c>
      <c r="M8714" s="23" t="s">
        <v>8</v>
      </c>
    </row>
    <row r="8715" spans="1:13" s="21" customFormat="1" x14ac:dyDescent="0.25">
      <c r="A8715" s="22" t="s">
        <v>8</v>
      </c>
      <c r="B8715" s="18" t="str">
        <f>"335266"</f>
        <v>335266</v>
      </c>
      <c r="C8715" s="19" t="s">
        <v>8590</v>
      </c>
      <c r="D8715" s="19" t="s">
        <v>24132</v>
      </c>
      <c r="E8715" s="19" t="s">
        <v>33182</v>
      </c>
      <c r="F8715" s="19" t="s">
        <v>36006</v>
      </c>
      <c r="G8715" s="18" t="str">
        <f>"11354"</f>
        <v>11354</v>
      </c>
      <c r="H8715" s="19" t="s">
        <v>36598</v>
      </c>
      <c r="I8715" s="20">
        <v>20.184999999999999</v>
      </c>
      <c r="J8715" s="44" t="s">
        <v>8</v>
      </c>
      <c r="K8715" s="23" t="s">
        <v>8</v>
      </c>
      <c r="L8715" s="23" t="s">
        <v>8</v>
      </c>
      <c r="M8715" s="23" t="s">
        <v>8</v>
      </c>
    </row>
    <row r="8716" spans="1:13" s="21" customFormat="1" x14ac:dyDescent="0.25">
      <c r="A8716" s="22" t="s">
        <v>8</v>
      </c>
      <c r="B8716" s="18" t="str">
        <f>"335267"</f>
        <v>335267</v>
      </c>
      <c r="C8716" s="19" t="s">
        <v>8591</v>
      </c>
      <c r="D8716" s="19" t="s">
        <v>24133</v>
      </c>
      <c r="E8716" s="19" t="s">
        <v>31606</v>
      </c>
      <c r="F8716" s="19" t="s">
        <v>36006</v>
      </c>
      <c r="G8716" s="18" t="str">
        <f>"12946"</f>
        <v>12946</v>
      </c>
      <c r="H8716" s="19" t="s">
        <v>31458</v>
      </c>
      <c r="I8716" s="20">
        <v>16.821000000000002</v>
      </c>
      <c r="J8716" s="44" t="s">
        <v>8</v>
      </c>
      <c r="K8716" s="23" t="s">
        <v>8</v>
      </c>
      <c r="L8716" s="23" t="s">
        <v>8</v>
      </c>
      <c r="M8716" s="23" t="s">
        <v>8</v>
      </c>
    </row>
    <row r="8717" spans="1:13" s="21" customFormat="1" x14ac:dyDescent="0.25">
      <c r="A8717" s="22" t="s">
        <v>8</v>
      </c>
      <c r="B8717" s="18" t="str">
        <f>"335268"</f>
        <v>335268</v>
      </c>
      <c r="C8717" s="19" t="s">
        <v>4436</v>
      </c>
      <c r="D8717" s="19" t="s">
        <v>24134</v>
      </c>
      <c r="E8717" s="19" t="s">
        <v>32741</v>
      </c>
      <c r="F8717" s="19" t="s">
        <v>36006</v>
      </c>
      <c r="G8717" s="18" t="str">
        <f>"14701"</f>
        <v>14701</v>
      </c>
      <c r="H8717" s="19" t="s">
        <v>36302</v>
      </c>
      <c r="I8717" s="20">
        <v>18.103000000000002</v>
      </c>
      <c r="J8717" s="44" t="s">
        <v>8</v>
      </c>
      <c r="K8717" s="23" t="s">
        <v>8</v>
      </c>
      <c r="L8717" s="23" t="s">
        <v>8</v>
      </c>
      <c r="M8717" s="23" t="s">
        <v>8</v>
      </c>
    </row>
    <row r="8718" spans="1:13" s="21" customFormat="1" x14ac:dyDescent="0.25">
      <c r="A8718" s="22" t="s">
        <v>8</v>
      </c>
      <c r="B8718" s="18" t="str">
        <f>"335269"</f>
        <v>335269</v>
      </c>
      <c r="C8718" s="19" t="s">
        <v>8592</v>
      </c>
      <c r="D8718" s="19" t="s">
        <v>24135</v>
      </c>
      <c r="E8718" s="19" t="s">
        <v>32023</v>
      </c>
      <c r="F8718" s="19" t="s">
        <v>36006</v>
      </c>
      <c r="G8718" s="18" t="str">
        <f>"10552"</f>
        <v>10552</v>
      </c>
      <c r="H8718" s="19" t="s">
        <v>32061</v>
      </c>
      <c r="I8718" s="20">
        <v>21.626999999999999</v>
      </c>
      <c r="J8718" s="44" t="s">
        <v>8</v>
      </c>
      <c r="K8718" s="23" t="s">
        <v>8</v>
      </c>
      <c r="L8718" s="23" t="s">
        <v>8</v>
      </c>
      <c r="M8718" s="23" t="s">
        <v>8</v>
      </c>
    </row>
    <row r="8719" spans="1:13" s="21" customFormat="1" x14ac:dyDescent="0.25">
      <c r="A8719" s="22" t="s">
        <v>8</v>
      </c>
      <c r="B8719" s="18" t="str">
        <f>"335271"</f>
        <v>335271</v>
      </c>
      <c r="C8719" s="19" t="s">
        <v>8593</v>
      </c>
      <c r="D8719" s="19" t="s">
        <v>24136</v>
      </c>
      <c r="E8719" s="19" t="s">
        <v>34089</v>
      </c>
      <c r="F8719" s="19" t="s">
        <v>36006</v>
      </c>
      <c r="G8719" s="18" t="str">
        <f>"10805"</f>
        <v>10805</v>
      </c>
      <c r="H8719" s="19" t="s">
        <v>32061</v>
      </c>
      <c r="I8719" s="20">
        <v>21.706</v>
      </c>
      <c r="J8719" s="44" t="s">
        <v>8</v>
      </c>
      <c r="K8719" s="23" t="s">
        <v>8</v>
      </c>
      <c r="L8719" s="23" t="s">
        <v>8</v>
      </c>
      <c r="M8719" s="23" t="s">
        <v>8</v>
      </c>
    </row>
    <row r="8720" spans="1:13" s="21" customFormat="1" x14ac:dyDescent="0.25">
      <c r="A8720" s="22" t="s">
        <v>8</v>
      </c>
      <c r="B8720" s="18" t="str">
        <f>"335273"</f>
        <v>335273</v>
      </c>
      <c r="C8720" s="19" t="s">
        <v>8594</v>
      </c>
      <c r="D8720" s="19" t="s">
        <v>24137</v>
      </c>
      <c r="E8720" s="19" t="s">
        <v>34058</v>
      </c>
      <c r="F8720" s="19" t="s">
        <v>36006</v>
      </c>
      <c r="G8720" s="18" t="str">
        <f>"10301"</f>
        <v>10301</v>
      </c>
      <c r="H8720" s="19" t="s">
        <v>31178</v>
      </c>
      <c r="I8720" s="20">
        <v>18.940999999999999</v>
      </c>
      <c r="J8720" s="44" t="s">
        <v>8</v>
      </c>
      <c r="K8720" s="23" t="s">
        <v>8</v>
      </c>
      <c r="L8720" s="23" t="s">
        <v>8</v>
      </c>
      <c r="M8720" s="23" t="s">
        <v>8</v>
      </c>
    </row>
    <row r="8721" spans="1:13" s="21" customFormat="1" x14ac:dyDescent="0.25">
      <c r="A8721" s="22" t="s">
        <v>8</v>
      </c>
      <c r="B8721" s="18" t="str">
        <f>"335274"</f>
        <v>335274</v>
      </c>
      <c r="C8721" s="19" t="s">
        <v>8595</v>
      </c>
      <c r="D8721" s="19" t="s">
        <v>24138</v>
      </c>
      <c r="E8721" s="19" t="s">
        <v>34090</v>
      </c>
      <c r="F8721" s="19" t="s">
        <v>36006</v>
      </c>
      <c r="G8721" s="18" t="str">
        <f>"11944"</f>
        <v>11944</v>
      </c>
      <c r="H8721" s="19" t="s">
        <v>35389</v>
      </c>
      <c r="I8721" s="20">
        <v>15.861000000000001</v>
      </c>
      <c r="J8721" s="44" t="s">
        <v>8</v>
      </c>
      <c r="K8721" s="23" t="s">
        <v>8</v>
      </c>
      <c r="L8721" s="23" t="s">
        <v>8</v>
      </c>
      <c r="M8721" s="23" t="s">
        <v>8</v>
      </c>
    </row>
    <row r="8722" spans="1:13" s="21" customFormat="1" x14ac:dyDescent="0.25">
      <c r="A8722" s="22" t="s">
        <v>8</v>
      </c>
      <c r="B8722" s="18" t="str">
        <f>"335275"</f>
        <v>335275</v>
      </c>
      <c r="C8722" s="19" t="s">
        <v>8596</v>
      </c>
      <c r="D8722" s="19" t="s">
        <v>24139</v>
      </c>
      <c r="E8722" s="19" t="s">
        <v>34091</v>
      </c>
      <c r="F8722" s="19" t="s">
        <v>36006</v>
      </c>
      <c r="G8722" s="18" t="str">
        <f>"12590"</f>
        <v>12590</v>
      </c>
      <c r="H8722" s="19" t="s">
        <v>36604</v>
      </c>
      <c r="I8722" s="20">
        <v>22.439</v>
      </c>
      <c r="J8722" s="44" t="s">
        <v>8</v>
      </c>
      <c r="K8722" s="23" t="s">
        <v>8</v>
      </c>
      <c r="L8722" s="23" t="s">
        <v>8</v>
      </c>
      <c r="M8722" s="23" t="s">
        <v>8</v>
      </c>
    </row>
    <row r="8723" spans="1:13" s="21" customFormat="1" x14ac:dyDescent="0.25">
      <c r="A8723" s="22" t="s">
        <v>8</v>
      </c>
      <c r="B8723" s="18" t="str">
        <f>"335279"</f>
        <v>335279</v>
      </c>
      <c r="C8723" s="19" t="s">
        <v>8597</v>
      </c>
      <c r="D8723" s="19" t="s">
        <v>24140</v>
      </c>
      <c r="E8723" s="19" t="s">
        <v>34092</v>
      </c>
      <c r="F8723" s="19" t="s">
        <v>36006</v>
      </c>
      <c r="G8723" s="18" t="str">
        <f>"11550"</f>
        <v>11550</v>
      </c>
      <c r="H8723" s="19" t="s">
        <v>36144</v>
      </c>
      <c r="I8723" s="20">
        <v>18.795000000000002</v>
      </c>
      <c r="J8723" s="44" t="s">
        <v>8</v>
      </c>
      <c r="K8723" s="23" t="s">
        <v>8</v>
      </c>
      <c r="L8723" s="23" t="s">
        <v>8</v>
      </c>
      <c r="M8723" s="23" t="s">
        <v>8</v>
      </c>
    </row>
    <row r="8724" spans="1:13" s="21" customFormat="1" x14ac:dyDescent="0.25">
      <c r="A8724" s="22" t="s">
        <v>8</v>
      </c>
      <c r="B8724" s="18" t="str">
        <f>"335280"</f>
        <v>335280</v>
      </c>
      <c r="C8724" s="19" t="s">
        <v>8598</v>
      </c>
      <c r="D8724" s="19" t="s">
        <v>24141</v>
      </c>
      <c r="E8724" s="19" t="s">
        <v>30815</v>
      </c>
      <c r="F8724" s="19" t="s">
        <v>36006</v>
      </c>
      <c r="G8724" s="18" t="str">
        <f>"12180"</f>
        <v>12180</v>
      </c>
      <c r="H8724" s="19" t="s">
        <v>32254</v>
      </c>
      <c r="I8724" s="20">
        <v>19.936</v>
      </c>
      <c r="J8724" s="44" t="s">
        <v>8</v>
      </c>
      <c r="K8724" s="23" t="s">
        <v>8</v>
      </c>
      <c r="L8724" s="23" t="s">
        <v>8</v>
      </c>
      <c r="M8724" s="23" t="s">
        <v>8</v>
      </c>
    </row>
    <row r="8725" spans="1:13" s="21" customFormat="1" x14ac:dyDescent="0.25">
      <c r="A8725" s="22" t="s">
        <v>8</v>
      </c>
      <c r="B8725" s="18" t="str">
        <f>"335281"</f>
        <v>335281</v>
      </c>
      <c r="C8725" s="19" t="s">
        <v>8599</v>
      </c>
      <c r="D8725" s="19" t="s">
        <v>24142</v>
      </c>
      <c r="E8725" s="19" t="s">
        <v>34093</v>
      </c>
      <c r="F8725" s="19" t="s">
        <v>36006</v>
      </c>
      <c r="G8725" s="18" t="str">
        <f>"14052"</f>
        <v>14052</v>
      </c>
      <c r="H8725" s="19" t="s">
        <v>34805</v>
      </c>
      <c r="I8725" s="20">
        <v>20.949000000000002</v>
      </c>
      <c r="J8725" s="44" t="s">
        <v>8</v>
      </c>
      <c r="K8725" s="23" t="s">
        <v>8</v>
      </c>
      <c r="L8725" s="23" t="s">
        <v>8</v>
      </c>
      <c r="M8725" s="23" t="s">
        <v>8</v>
      </c>
    </row>
    <row r="8726" spans="1:13" s="21" customFormat="1" x14ac:dyDescent="0.25">
      <c r="A8726" s="22" t="s">
        <v>8</v>
      </c>
      <c r="B8726" s="18" t="str">
        <f>"335283"</f>
        <v>335283</v>
      </c>
      <c r="C8726" s="19" t="s">
        <v>8600</v>
      </c>
      <c r="D8726" s="19" t="s">
        <v>24143</v>
      </c>
      <c r="E8726" s="19" t="s">
        <v>32305</v>
      </c>
      <c r="F8726" s="19" t="s">
        <v>36006</v>
      </c>
      <c r="G8726" s="18" t="str">
        <f>"13219"</f>
        <v>13219</v>
      </c>
      <c r="H8726" s="19" t="s">
        <v>36602</v>
      </c>
      <c r="I8726" s="20">
        <v>20.053999999999998</v>
      </c>
      <c r="J8726" s="44" t="s">
        <v>8</v>
      </c>
      <c r="K8726" s="23" t="s">
        <v>8</v>
      </c>
      <c r="L8726" s="23" t="s">
        <v>8</v>
      </c>
      <c r="M8726" s="23" t="s">
        <v>8</v>
      </c>
    </row>
    <row r="8727" spans="1:13" s="21" customFormat="1" x14ac:dyDescent="0.25">
      <c r="A8727" s="22" t="s">
        <v>8</v>
      </c>
      <c r="B8727" s="18" t="str">
        <f>"335284"</f>
        <v>335284</v>
      </c>
      <c r="C8727" s="19" t="s">
        <v>8601</v>
      </c>
      <c r="D8727" s="19" t="s">
        <v>24144</v>
      </c>
      <c r="E8727" s="19" t="s">
        <v>33396</v>
      </c>
      <c r="F8727" s="19" t="s">
        <v>36006</v>
      </c>
      <c r="G8727" s="18" t="str">
        <f>"11803"</f>
        <v>11803</v>
      </c>
      <c r="H8727" s="19" t="s">
        <v>36144</v>
      </c>
      <c r="I8727" s="20">
        <v>21.285</v>
      </c>
      <c r="J8727" s="44" t="s">
        <v>8</v>
      </c>
      <c r="K8727" s="23" t="s">
        <v>8</v>
      </c>
      <c r="L8727" s="23" t="s">
        <v>8</v>
      </c>
      <c r="M8727" s="23" t="s">
        <v>8</v>
      </c>
    </row>
    <row r="8728" spans="1:13" s="21" customFormat="1" x14ac:dyDescent="0.25">
      <c r="A8728" s="22" t="s">
        <v>8</v>
      </c>
      <c r="B8728" s="18" t="str">
        <f>"335285"</f>
        <v>335285</v>
      </c>
      <c r="C8728" s="19" t="s">
        <v>8602</v>
      </c>
      <c r="D8728" s="19" t="s">
        <v>24145</v>
      </c>
      <c r="E8728" s="19" t="s">
        <v>31247</v>
      </c>
      <c r="F8728" s="19" t="s">
        <v>36006</v>
      </c>
      <c r="G8728" s="18" t="str">
        <f>"10977"</f>
        <v>10977</v>
      </c>
      <c r="H8728" s="19" t="s">
        <v>32912</v>
      </c>
      <c r="I8728" s="20">
        <v>19.888999999999999</v>
      </c>
      <c r="J8728" s="44" t="s">
        <v>8</v>
      </c>
      <c r="K8728" s="23" t="s">
        <v>8</v>
      </c>
      <c r="L8728" s="23" t="s">
        <v>8</v>
      </c>
      <c r="M8728" s="23" t="s">
        <v>8</v>
      </c>
    </row>
    <row r="8729" spans="1:13" s="21" customFormat="1" x14ac:dyDescent="0.25">
      <c r="A8729" s="22" t="s">
        <v>8</v>
      </c>
      <c r="B8729" s="18" t="str">
        <f>"335286"</f>
        <v>335286</v>
      </c>
      <c r="C8729" s="19" t="s">
        <v>8603</v>
      </c>
      <c r="D8729" s="19" t="s">
        <v>24146</v>
      </c>
      <c r="E8729" s="19" t="s">
        <v>32207</v>
      </c>
      <c r="F8729" s="19" t="s">
        <v>36006</v>
      </c>
      <c r="G8729" s="18" t="str">
        <f>"11743"</f>
        <v>11743</v>
      </c>
      <c r="H8729" s="19" t="s">
        <v>35389</v>
      </c>
      <c r="I8729" s="20">
        <v>19.577000000000002</v>
      </c>
      <c r="J8729" s="44" t="s">
        <v>8</v>
      </c>
      <c r="K8729" s="23" t="s">
        <v>8</v>
      </c>
      <c r="L8729" s="23" t="s">
        <v>8</v>
      </c>
      <c r="M8729" s="23" t="s">
        <v>8</v>
      </c>
    </row>
    <row r="8730" spans="1:13" s="21" customFormat="1" x14ac:dyDescent="0.25">
      <c r="A8730" s="22" t="s">
        <v>8</v>
      </c>
      <c r="B8730" s="18" t="str">
        <f>"335287"</f>
        <v>335287</v>
      </c>
      <c r="C8730" s="19" t="s">
        <v>8604</v>
      </c>
      <c r="D8730" s="19" t="s">
        <v>24147</v>
      </c>
      <c r="E8730" s="19" t="s">
        <v>31721</v>
      </c>
      <c r="F8730" s="19" t="s">
        <v>36006</v>
      </c>
      <c r="G8730" s="18" t="str">
        <f>"10471"</f>
        <v>10471</v>
      </c>
      <c r="H8730" s="19" t="s">
        <v>34037</v>
      </c>
      <c r="I8730" s="20">
        <v>15.641</v>
      </c>
      <c r="J8730" s="44" t="s">
        <v>8</v>
      </c>
      <c r="K8730" s="23" t="s">
        <v>8</v>
      </c>
      <c r="L8730" s="23" t="s">
        <v>8</v>
      </c>
      <c r="M8730" s="23" t="s">
        <v>8</v>
      </c>
    </row>
    <row r="8731" spans="1:13" s="21" customFormat="1" x14ac:dyDescent="0.25">
      <c r="A8731" s="22" t="s">
        <v>8</v>
      </c>
      <c r="B8731" s="18" t="str">
        <f>"335288"</f>
        <v>335288</v>
      </c>
      <c r="C8731" s="19" t="s">
        <v>8605</v>
      </c>
      <c r="D8731" s="19" t="s">
        <v>24148</v>
      </c>
      <c r="E8731" s="19" t="s">
        <v>31443</v>
      </c>
      <c r="F8731" s="19" t="s">
        <v>36006</v>
      </c>
      <c r="G8731" s="18" t="str">
        <f>"11235"</f>
        <v>11235</v>
      </c>
      <c r="H8731" s="19" t="s">
        <v>36091</v>
      </c>
      <c r="I8731" s="20">
        <v>22.167000000000002</v>
      </c>
      <c r="J8731" s="44" t="s">
        <v>8</v>
      </c>
      <c r="K8731" s="23" t="s">
        <v>8</v>
      </c>
      <c r="L8731" s="23" t="s">
        <v>8</v>
      </c>
      <c r="M8731" s="23" t="s">
        <v>8</v>
      </c>
    </row>
    <row r="8732" spans="1:13" s="21" customFormat="1" x14ac:dyDescent="0.25">
      <c r="A8732" s="22" t="s">
        <v>8</v>
      </c>
      <c r="B8732" s="18" t="str">
        <f>"335289"</f>
        <v>335289</v>
      </c>
      <c r="C8732" s="19" t="s">
        <v>8606</v>
      </c>
      <c r="D8732" s="19" t="s">
        <v>24149</v>
      </c>
      <c r="E8732" s="19" t="s">
        <v>34094</v>
      </c>
      <c r="F8732" s="19" t="s">
        <v>36006</v>
      </c>
      <c r="G8732" s="18" t="str">
        <f>"14527"</f>
        <v>14527</v>
      </c>
      <c r="H8732" s="19" t="s">
        <v>36605</v>
      </c>
      <c r="I8732" s="20">
        <v>16.693000000000001</v>
      </c>
      <c r="J8732" s="44" t="s">
        <v>8</v>
      </c>
      <c r="K8732" s="23" t="s">
        <v>8</v>
      </c>
      <c r="L8732" s="23" t="s">
        <v>8</v>
      </c>
      <c r="M8732" s="23" t="s">
        <v>8</v>
      </c>
    </row>
    <row r="8733" spans="1:13" s="21" customFormat="1" x14ac:dyDescent="0.25">
      <c r="A8733" s="22" t="s">
        <v>8</v>
      </c>
      <c r="B8733" s="18" t="str">
        <f>"335290"</f>
        <v>335290</v>
      </c>
      <c r="C8733" s="19" t="s">
        <v>8607</v>
      </c>
      <c r="D8733" s="19" t="s">
        <v>24150</v>
      </c>
      <c r="E8733" s="19" t="s">
        <v>31443</v>
      </c>
      <c r="F8733" s="19" t="s">
        <v>36006</v>
      </c>
      <c r="G8733" s="18" t="str">
        <f>"11229"</f>
        <v>11229</v>
      </c>
      <c r="H8733" s="19" t="s">
        <v>36091</v>
      </c>
      <c r="I8733" s="20">
        <v>19.129000000000001</v>
      </c>
      <c r="J8733" s="44" t="s">
        <v>8</v>
      </c>
      <c r="K8733" s="23" t="s">
        <v>8</v>
      </c>
      <c r="L8733" s="23" t="s">
        <v>8</v>
      </c>
      <c r="M8733" s="23" t="s">
        <v>8</v>
      </c>
    </row>
    <row r="8734" spans="1:13" s="21" customFormat="1" x14ac:dyDescent="0.25">
      <c r="A8734" s="22" t="s">
        <v>8</v>
      </c>
      <c r="B8734" s="18" t="str">
        <f>"335291"</f>
        <v>335291</v>
      </c>
      <c r="C8734" s="19" t="s">
        <v>8608</v>
      </c>
      <c r="D8734" s="19" t="s">
        <v>24151</v>
      </c>
      <c r="E8734" s="19" t="s">
        <v>34080</v>
      </c>
      <c r="F8734" s="19" t="s">
        <v>36006</v>
      </c>
      <c r="G8734" s="18" t="str">
        <f>"13850"</f>
        <v>13850</v>
      </c>
      <c r="H8734" s="19" t="s">
        <v>36600</v>
      </c>
      <c r="I8734" s="20">
        <v>16.934999999999999</v>
      </c>
      <c r="J8734" s="44" t="s">
        <v>8</v>
      </c>
      <c r="K8734" s="23" t="s">
        <v>8</v>
      </c>
      <c r="L8734" s="23" t="s">
        <v>8</v>
      </c>
      <c r="M8734" s="23" t="s">
        <v>8</v>
      </c>
    </row>
    <row r="8735" spans="1:13" s="21" customFormat="1" x14ac:dyDescent="0.25">
      <c r="A8735" s="22" t="s">
        <v>8</v>
      </c>
      <c r="B8735" s="18" t="str">
        <f>"335292"</f>
        <v>335292</v>
      </c>
      <c r="C8735" s="19" t="s">
        <v>8609</v>
      </c>
      <c r="D8735" s="19" t="s">
        <v>24152</v>
      </c>
      <c r="E8735" s="19" t="s">
        <v>34056</v>
      </c>
      <c r="F8735" s="19" t="s">
        <v>36006</v>
      </c>
      <c r="G8735" s="18" t="str">
        <f>"11694"</f>
        <v>11694</v>
      </c>
      <c r="H8735" s="19" t="s">
        <v>36598</v>
      </c>
      <c r="I8735" s="20">
        <v>23.120999999999999</v>
      </c>
      <c r="J8735" s="44" t="s">
        <v>8</v>
      </c>
      <c r="K8735" s="23" t="s">
        <v>8</v>
      </c>
      <c r="L8735" s="23" t="s">
        <v>8</v>
      </c>
      <c r="M8735" s="23" t="s">
        <v>8</v>
      </c>
    </row>
    <row r="8736" spans="1:13" s="21" customFormat="1" x14ac:dyDescent="0.25">
      <c r="A8736" s="22" t="s">
        <v>8</v>
      </c>
      <c r="B8736" s="18" t="str">
        <f>"335293"</f>
        <v>335293</v>
      </c>
      <c r="C8736" s="19" t="s">
        <v>8610</v>
      </c>
      <c r="D8736" s="19" t="s">
        <v>24153</v>
      </c>
      <c r="E8736" s="19" t="s">
        <v>34060</v>
      </c>
      <c r="F8736" s="19" t="s">
        <v>36006</v>
      </c>
      <c r="G8736" s="18" t="str">
        <f>"12953"</f>
        <v>12953</v>
      </c>
      <c r="H8736" s="19" t="s">
        <v>5</v>
      </c>
      <c r="I8736" s="20">
        <v>19.414000000000001</v>
      </c>
      <c r="J8736" s="44" t="s">
        <v>8</v>
      </c>
      <c r="K8736" s="23" t="s">
        <v>8</v>
      </c>
      <c r="L8736" s="23" t="s">
        <v>8</v>
      </c>
      <c r="M8736" s="23" t="s">
        <v>8</v>
      </c>
    </row>
    <row r="8737" spans="1:13" s="21" customFormat="1" x14ac:dyDescent="0.25">
      <c r="A8737" s="22" t="s">
        <v>8</v>
      </c>
      <c r="B8737" s="18" t="str">
        <f>"335294"</f>
        <v>335294</v>
      </c>
      <c r="C8737" s="19" t="s">
        <v>8611</v>
      </c>
      <c r="D8737" s="19" t="s">
        <v>24154</v>
      </c>
      <c r="E8737" s="19" t="s">
        <v>33182</v>
      </c>
      <c r="F8737" s="19" t="s">
        <v>36006</v>
      </c>
      <c r="G8737" s="18" t="str">
        <f>"11354"</f>
        <v>11354</v>
      </c>
      <c r="H8737" s="19" t="s">
        <v>36598</v>
      </c>
      <c r="I8737" s="20">
        <v>15.757</v>
      </c>
      <c r="J8737" s="44" t="s">
        <v>8</v>
      </c>
      <c r="K8737" s="23" t="s">
        <v>8</v>
      </c>
      <c r="L8737" s="23" t="s">
        <v>8</v>
      </c>
      <c r="M8737" s="23" t="s">
        <v>8</v>
      </c>
    </row>
    <row r="8738" spans="1:13" s="21" customFormat="1" x14ac:dyDescent="0.25">
      <c r="A8738" s="22" t="s">
        <v>8</v>
      </c>
      <c r="B8738" s="18" t="str">
        <f>"335296"</f>
        <v>335296</v>
      </c>
      <c r="C8738" s="19" t="s">
        <v>8612</v>
      </c>
      <c r="D8738" s="19" t="s">
        <v>24155</v>
      </c>
      <c r="E8738" s="19" t="s">
        <v>34095</v>
      </c>
      <c r="F8738" s="19" t="s">
        <v>36006</v>
      </c>
      <c r="G8738" s="18" t="str">
        <f>"10543"</f>
        <v>10543</v>
      </c>
      <c r="H8738" s="19" t="s">
        <v>32061</v>
      </c>
      <c r="I8738" s="20">
        <v>19.419</v>
      </c>
      <c r="J8738" s="44" t="s">
        <v>8</v>
      </c>
      <c r="K8738" s="23" t="s">
        <v>8</v>
      </c>
      <c r="L8738" s="23" t="s">
        <v>8</v>
      </c>
      <c r="M8738" s="23" t="s">
        <v>8</v>
      </c>
    </row>
    <row r="8739" spans="1:13" s="21" customFormat="1" x14ac:dyDescent="0.25">
      <c r="A8739" s="22" t="s">
        <v>8</v>
      </c>
      <c r="B8739" s="18" t="str">
        <f>"335297"</f>
        <v>335297</v>
      </c>
      <c r="C8739" s="19" t="s">
        <v>8613</v>
      </c>
      <c r="D8739" s="19" t="s">
        <v>24156</v>
      </c>
      <c r="E8739" s="19" t="s">
        <v>34096</v>
      </c>
      <c r="F8739" s="19" t="s">
        <v>36006</v>
      </c>
      <c r="G8739" s="18" t="str">
        <f>"11570"</f>
        <v>11570</v>
      </c>
      <c r="H8739" s="19" t="s">
        <v>36144</v>
      </c>
      <c r="I8739" s="20">
        <v>23.983000000000001</v>
      </c>
      <c r="J8739" s="44" t="s">
        <v>8</v>
      </c>
      <c r="K8739" s="23" t="s">
        <v>8</v>
      </c>
      <c r="L8739" s="23" t="s">
        <v>8</v>
      </c>
      <c r="M8739" s="23" t="s">
        <v>8</v>
      </c>
    </row>
    <row r="8740" spans="1:13" s="21" customFormat="1" x14ac:dyDescent="0.25">
      <c r="A8740" s="22" t="s">
        <v>8</v>
      </c>
      <c r="B8740" s="18" t="str">
        <f>"335299"</f>
        <v>335299</v>
      </c>
      <c r="C8740" s="19" t="s">
        <v>8614</v>
      </c>
      <c r="D8740" s="19" t="s">
        <v>24157</v>
      </c>
      <c r="E8740" s="19" t="s">
        <v>34097</v>
      </c>
      <c r="F8740" s="19" t="s">
        <v>36006</v>
      </c>
      <c r="G8740" s="18" t="str">
        <f>"11004"</f>
        <v>11004</v>
      </c>
      <c r="H8740" s="19" t="s">
        <v>36598</v>
      </c>
      <c r="I8740" s="20">
        <v>18.742999999999999</v>
      </c>
      <c r="J8740" s="44" t="s">
        <v>8</v>
      </c>
      <c r="K8740" s="23" t="s">
        <v>8</v>
      </c>
      <c r="L8740" s="23" t="s">
        <v>8</v>
      </c>
      <c r="M8740" s="23" t="s">
        <v>8</v>
      </c>
    </row>
    <row r="8741" spans="1:13" s="21" customFormat="1" x14ac:dyDescent="0.25">
      <c r="A8741" s="22" t="s">
        <v>8</v>
      </c>
      <c r="B8741" s="18" t="str">
        <f>"335300"</f>
        <v>335300</v>
      </c>
      <c r="C8741" s="19" t="s">
        <v>8615</v>
      </c>
      <c r="D8741" s="19" t="s">
        <v>24158</v>
      </c>
      <c r="E8741" s="19" t="s">
        <v>34098</v>
      </c>
      <c r="F8741" s="19" t="s">
        <v>36006</v>
      </c>
      <c r="G8741" s="18" t="str">
        <f>"12828"</f>
        <v>12828</v>
      </c>
      <c r="H8741" s="19" t="s">
        <v>31500</v>
      </c>
      <c r="I8741" s="20">
        <v>16.975000000000001</v>
      </c>
      <c r="J8741" s="44" t="s">
        <v>8</v>
      </c>
      <c r="K8741" s="23" t="s">
        <v>8</v>
      </c>
      <c r="L8741" s="23" t="s">
        <v>8</v>
      </c>
      <c r="M8741" s="23" t="s">
        <v>8</v>
      </c>
    </row>
    <row r="8742" spans="1:13" s="21" customFormat="1" x14ac:dyDescent="0.25">
      <c r="A8742" s="22" t="s">
        <v>8</v>
      </c>
      <c r="B8742" s="18" t="str">
        <f>"335301"</f>
        <v>335301</v>
      </c>
      <c r="C8742" s="19" t="s">
        <v>8616</v>
      </c>
      <c r="D8742" s="19" t="s">
        <v>24159</v>
      </c>
      <c r="E8742" s="19" t="s">
        <v>33504</v>
      </c>
      <c r="F8742" s="19" t="s">
        <v>36006</v>
      </c>
      <c r="G8742" s="18" t="str">
        <f>"11780"</f>
        <v>11780</v>
      </c>
      <c r="H8742" s="19" t="s">
        <v>35389</v>
      </c>
      <c r="I8742" s="20">
        <v>18.88</v>
      </c>
      <c r="J8742" s="44" t="s">
        <v>8</v>
      </c>
      <c r="K8742" s="23" t="s">
        <v>8</v>
      </c>
      <c r="L8742" s="23" t="s">
        <v>8</v>
      </c>
      <c r="M8742" s="23" t="s">
        <v>8</v>
      </c>
    </row>
    <row r="8743" spans="1:13" s="21" customFormat="1" x14ac:dyDescent="0.25">
      <c r="A8743" s="22" t="s">
        <v>8</v>
      </c>
      <c r="B8743" s="18" t="str">
        <f>"335306"</f>
        <v>335306</v>
      </c>
      <c r="C8743" s="19" t="s">
        <v>8617</v>
      </c>
      <c r="D8743" s="19" t="s">
        <v>24160</v>
      </c>
      <c r="E8743" s="19" t="s">
        <v>34099</v>
      </c>
      <c r="F8743" s="19" t="s">
        <v>36006</v>
      </c>
      <c r="G8743" s="18" t="str">
        <f>"12801"</f>
        <v>12801</v>
      </c>
      <c r="H8743" s="19" t="s">
        <v>31025</v>
      </c>
      <c r="I8743" s="20">
        <v>18.623999999999999</v>
      </c>
      <c r="J8743" s="44" t="s">
        <v>8</v>
      </c>
      <c r="K8743" s="23" t="s">
        <v>8</v>
      </c>
      <c r="L8743" s="23" t="s">
        <v>8</v>
      </c>
      <c r="M8743" s="23" t="s">
        <v>8</v>
      </c>
    </row>
    <row r="8744" spans="1:13" s="21" customFormat="1" x14ac:dyDescent="0.25">
      <c r="A8744" s="22" t="s">
        <v>8</v>
      </c>
      <c r="B8744" s="18" t="str">
        <f>"335309"</f>
        <v>335309</v>
      </c>
      <c r="C8744" s="19" t="s">
        <v>8618</v>
      </c>
      <c r="D8744" s="19" t="s">
        <v>24161</v>
      </c>
      <c r="E8744" s="19" t="s">
        <v>32893</v>
      </c>
      <c r="F8744" s="19" t="s">
        <v>36006</v>
      </c>
      <c r="G8744" s="18" t="str">
        <f>"14810"</f>
        <v>14810</v>
      </c>
      <c r="H8744" s="19" t="s">
        <v>36262</v>
      </c>
      <c r="I8744" s="20">
        <v>16.853000000000002</v>
      </c>
      <c r="J8744" s="44" t="s">
        <v>8</v>
      </c>
      <c r="K8744" s="23" t="s">
        <v>8</v>
      </c>
      <c r="L8744" s="23" t="s">
        <v>8</v>
      </c>
      <c r="M8744" s="23" t="s">
        <v>8</v>
      </c>
    </row>
    <row r="8745" spans="1:13" s="21" customFormat="1" x14ac:dyDescent="0.25">
      <c r="A8745" s="22" t="s">
        <v>8</v>
      </c>
      <c r="B8745" s="18" t="str">
        <f>"335310"</f>
        <v>335310</v>
      </c>
      <c r="C8745" s="19" t="s">
        <v>8619</v>
      </c>
      <c r="D8745" s="19" t="s">
        <v>24162</v>
      </c>
      <c r="E8745" s="19" t="s">
        <v>34063</v>
      </c>
      <c r="F8745" s="19" t="s">
        <v>36006</v>
      </c>
      <c r="G8745" s="18" t="str">
        <f>"11375"</f>
        <v>11375</v>
      </c>
      <c r="H8745" s="19" t="s">
        <v>36598</v>
      </c>
      <c r="I8745" s="20">
        <v>21.209</v>
      </c>
      <c r="J8745" s="44" t="s">
        <v>8</v>
      </c>
      <c r="K8745" s="23" t="s">
        <v>8</v>
      </c>
      <c r="L8745" s="23" t="s">
        <v>8</v>
      </c>
      <c r="M8745" s="23" t="s">
        <v>8</v>
      </c>
    </row>
    <row r="8746" spans="1:13" s="21" customFormat="1" x14ac:dyDescent="0.25">
      <c r="A8746" s="22" t="s">
        <v>8</v>
      </c>
      <c r="B8746" s="18" t="str">
        <f>"335311"</f>
        <v>335311</v>
      </c>
      <c r="C8746" s="19" t="s">
        <v>8620</v>
      </c>
      <c r="D8746" s="19" t="s">
        <v>24163</v>
      </c>
      <c r="E8746" s="19" t="s">
        <v>34100</v>
      </c>
      <c r="F8746" s="19" t="s">
        <v>36006</v>
      </c>
      <c r="G8746" s="18" t="str">
        <f>"10989"</f>
        <v>10989</v>
      </c>
      <c r="H8746" s="19" t="s">
        <v>32912</v>
      </c>
      <c r="I8746" s="20">
        <v>19.675000000000001</v>
      </c>
      <c r="J8746" s="44" t="s">
        <v>8</v>
      </c>
      <c r="K8746" s="23" t="s">
        <v>8</v>
      </c>
      <c r="L8746" s="23" t="s">
        <v>8</v>
      </c>
      <c r="M8746" s="23" t="s">
        <v>8</v>
      </c>
    </row>
    <row r="8747" spans="1:13" s="21" customFormat="1" x14ac:dyDescent="0.25">
      <c r="A8747" s="22" t="s">
        <v>8</v>
      </c>
      <c r="B8747" s="18" t="str">
        <f>"335312"</f>
        <v>335312</v>
      </c>
      <c r="C8747" s="19" t="s">
        <v>8621</v>
      </c>
      <c r="D8747" s="19" t="s">
        <v>24164</v>
      </c>
      <c r="E8747" s="19" t="s">
        <v>34101</v>
      </c>
      <c r="F8747" s="19" t="s">
        <v>36006</v>
      </c>
      <c r="G8747" s="18" t="str">
        <f>"10573"</f>
        <v>10573</v>
      </c>
      <c r="H8747" s="19" t="s">
        <v>32061</v>
      </c>
      <c r="I8747" s="20">
        <v>21.802</v>
      </c>
      <c r="J8747" s="44" t="s">
        <v>8</v>
      </c>
      <c r="K8747" s="23" t="s">
        <v>8</v>
      </c>
      <c r="L8747" s="23" t="s">
        <v>8</v>
      </c>
      <c r="M8747" s="23" t="s">
        <v>8</v>
      </c>
    </row>
    <row r="8748" spans="1:13" s="21" customFormat="1" x14ac:dyDescent="0.25">
      <c r="A8748" s="22" t="s">
        <v>8</v>
      </c>
      <c r="B8748" s="18" t="str">
        <f>"335313"</f>
        <v>335313</v>
      </c>
      <c r="C8748" s="19" t="s">
        <v>8622</v>
      </c>
      <c r="D8748" s="19" t="s">
        <v>24165</v>
      </c>
      <c r="E8748" s="19" t="s">
        <v>34102</v>
      </c>
      <c r="F8748" s="19" t="s">
        <v>36006</v>
      </c>
      <c r="G8748" s="18" t="str">
        <f>"14103"</f>
        <v>14103</v>
      </c>
      <c r="H8748" s="19" t="s">
        <v>36365</v>
      </c>
      <c r="I8748" s="20">
        <v>18.802</v>
      </c>
      <c r="J8748" s="44" t="s">
        <v>8</v>
      </c>
      <c r="K8748" s="23" t="s">
        <v>8</v>
      </c>
      <c r="L8748" s="23" t="s">
        <v>8</v>
      </c>
      <c r="M8748" s="23" t="s">
        <v>8</v>
      </c>
    </row>
    <row r="8749" spans="1:13" s="21" customFormat="1" x14ac:dyDescent="0.25">
      <c r="A8749" s="22" t="s">
        <v>8</v>
      </c>
      <c r="B8749" s="18" t="str">
        <f>"335314"</f>
        <v>335314</v>
      </c>
      <c r="C8749" s="19" t="s">
        <v>8623</v>
      </c>
      <c r="D8749" s="19" t="s">
        <v>24166</v>
      </c>
      <c r="E8749" s="19" t="s">
        <v>34103</v>
      </c>
      <c r="F8749" s="19" t="s">
        <v>36006</v>
      </c>
      <c r="G8749" s="18" t="str">
        <f>"12095"</f>
        <v>12095</v>
      </c>
      <c r="H8749" s="19" t="s">
        <v>32194</v>
      </c>
      <c r="I8749" s="20">
        <v>18.178999999999998</v>
      </c>
      <c r="J8749" s="44" t="s">
        <v>8</v>
      </c>
      <c r="K8749" s="23" t="s">
        <v>8</v>
      </c>
      <c r="L8749" s="23" t="s">
        <v>8</v>
      </c>
      <c r="M8749" s="23" t="s">
        <v>8</v>
      </c>
    </row>
    <row r="8750" spans="1:13" s="21" customFormat="1" x14ac:dyDescent="0.25">
      <c r="A8750" s="22" t="s">
        <v>8</v>
      </c>
      <c r="B8750" s="18" t="str">
        <f>"335316"</f>
        <v>335316</v>
      </c>
      <c r="C8750" s="19" t="s">
        <v>8624</v>
      </c>
      <c r="D8750" s="19" t="s">
        <v>24167</v>
      </c>
      <c r="E8750" s="19" t="s">
        <v>34104</v>
      </c>
      <c r="F8750" s="19" t="s">
        <v>36006</v>
      </c>
      <c r="G8750" s="18" t="str">
        <f>"12776"</f>
        <v>12776</v>
      </c>
      <c r="H8750" s="19" t="s">
        <v>31976</v>
      </c>
      <c r="I8750" s="20">
        <v>17.093</v>
      </c>
      <c r="J8750" s="44" t="s">
        <v>8</v>
      </c>
      <c r="K8750" s="23" t="s">
        <v>8</v>
      </c>
      <c r="L8750" s="23" t="s">
        <v>8</v>
      </c>
      <c r="M8750" s="23" t="s">
        <v>8</v>
      </c>
    </row>
    <row r="8751" spans="1:13" s="21" customFormat="1" x14ac:dyDescent="0.25">
      <c r="A8751" s="22" t="s">
        <v>8</v>
      </c>
      <c r="B8751" s="18" t="str">
        <f>"335317"</f>
        <v>335317</v>
      </c>
      <c r="C8751" s="19" t="s">
        <v>8625</v>
      </c>
      <c r="D8751" s="19" t="s">
        <v>24168</v>
      </c>
      <c r="E8751" s="19" t="s">
        <v>31170</v>
      </c>
      <c r="F8751" s="19" t="s">
        <v>36006</v>
      </c>
      <c r="G8751" s="18" t="str">
        <f>"11368"</f>
        <v>11368</v>
      </c>
      <c r="H8751" s="19" t="s">
        <v>36598</v>
      </c>
      <c r="I8751" s="20">
        <v>20.457999999999998</v>
      </c>
      <c r="J8751" s="44" t="s">
        <v>8</v>
      </c>
      <c r="K8751" s="23" t="s">
        <v>8</v>
      </c>
      <c r="L8751" s="23" t="s">
        <v>8</v>
      </c>
      <c r="M8751" s="23" t="s">
        <v>8</v>
      </c>
    </row>
    <row r="8752" spans="1:13" s="21" customFormat="1" x14ac:dyDescent="0.25">
      <c r="A8752" s="22" t="s">
        <v>8</v>
      </c>
      <c r="B8752" s="18" t="str">
        <f>"335320"</f>
        <v>335320</v>
      </c>
      <c r="C8752" s="19" t="s">
        <v>8626</v>
      </c>
      <c r="D8752" s="19" t="s">
        <v>24169</v>
      </c>
      <c r="E8752" s="19" t="s">
        <v>34105</v>
      </c>
      <c r="F8752" s="19" t="s">
        <v>36006</v>
      </c>
      <c r="G8752" s="18" t="str">
        <f>"10583"</f>
        <v>10583</v>
      </c>
      <c r="H8752" s="19" t="s">
        <v>32061</v>
      </c>
      <c r="I8752" s="20">
        <v>23.388000000000002</v>
      </c>
      <c r="J8752" s="44" t="s">
        <v>8</v>
      </c>
      <c r="K8752" s="23" t="s">
        <v>8</v>
      </c>
      <c r="L8752" s="23" t="s">
        <v>8</v>
      </c>
      <c r="M8752" s="23" t="s">
        <v>8</v>
      </c>
    </row>
    <row r="8753" spans="1:13" s="21" customFormat="1" x14ac:dyDescent="0.25">
      <c r="A8753" s="22" t="s">
        <v>8</v>
      </c>
      <c r="B8753" s="18" t="str">
        <f>"335321"</f>
        <v>335321</v>
      </c>
      <c r="C8753" s="19" t="s">
        <v>8627</v>
      </c>
      <c r="D8753" s="19" t="s">
        <v>24170</v>
      </c>
      <c r="E8753" s="19" t="s">
        <v>34037</v>
      </c>
      <c r="F8753" s="19" t="s">
        <v>36006</v>
      </c>
      <c r="G8753" s="18" t="str">
        <f>"10466"</f>
        <v>10466</v>
      </c>
      <c r="H8753" s="19" t="s">
        <v>34037</v>
      </c>
      <c r="I8753" s="20">
        <v>19.300999999999998</v>
      </c>
      <c r="J8753" s="44" t="s">
        <v>8</v>
      </c>
      <c r="K8753" s="23" t="s">
        <v>8</v>
      </c>
      <c r="L8753" s="23" t="s">
        <v>8</v>
      </c>
      <c r="M8753" s="23" t="s">
        <v>8</v>
      </c>
    </row>
    <row r="8754" spans="1:13" s="21" customFormat="1" x14ac:dyDescent="0.25">
      <c r="A8754" s="22" t="s">
        <v>8</v>
      </c>
      <c r="B8754" s="18" t="str">
        <f>"335322"</f>
        <v>335322</v>
      </c>
      <c r="C8754" s="19" t="s">
        <v>8628</v>
      </c>
      <c r="D8754" s="19" t="s">
        <v>24171</v>
      </c>
      <c r="E8754" s="19" t="s">
        <v>34106</v>
      </c>
      <c r="F8754" s="19" t="s">
        <v>36006</v>
      </c>
      <c r="G8754" s="18" t="str">
        <f>"14843"</f>
        <v>14843</v>
      </c>
      <c r="H8754" s="19" t="s">
        <v>36262</v>
      </c>
      <c r="I8754" s="20">
        <v>16.283000000000001</v>
      </c>
      <c r="J8754" s="44" t="s">
        <v>8</v>
      </c>
      <c r="K8754" s="23" t="s">
        <v>8</v>
      </c>
      <c r="L8754" s="23" t="s">
        <v>8</v>
      </c>
      <c r="M8754" s="23" t="s">
        <v>8</v>
      </c>
    </row>
    <row r="8755" spans="1:13" s="21" customFormat="1" x14ac:dyDescent="0.25">
      <c r="A8755" s="22" t="s">
        <v>8</v>
      </c>
      <c r="B8755" s="18" t="str">
        <f>"335323"</f>
        <v>335323</v>
      </c>
      <c r="C8755" s="19" t="s">
        <v>4776</v>
      </c>
      <c r="D8755" s="19" t="s">
        <v>24172</v>
      </c>
      <c r="E8755" s="19" t="s">
        <v>33017</v>
      </c>
      <c r="F8755" s="19" t="s">
        <v>36006</v>
      </c>
      <c r="G8755" s="18" t="str">
        <f>"12538"</f>
        <v>12538</v>
      </c>
      <c r="H8755" s="19" t="s">
        <v>36604</v>
      </c>
      <c r="I8755" s="20">
        <v>23.288</v>
      </c>
      <c r="J8755" s="44" t="s">
        <v>8</v>
      </c>
      <c r="K8755" s="23" t="s">
        <v>8</v>
      </c>
      <c r="L8755" s="23" t="s">
        <v>8</v>
      </c>
      <c r="M8755" s="23" t="s">
        <v>8</v>
      </c>
    </row>
    <row r="8756" spans="1:13" s="21" customFormat="1" x14ac:dyDescent="0.25">
      <c r="A8756" s="22" t="s">
        <v>8</v>
      </c>
      <c r="B8756" s="18" t="str">
        <f>"335325"</f>
        <v>335325</v>
      </c>
      <c r="C8756" s="19" t="s">
        <v>8629</v>
      </c>
      <c r="D8756" s="19" t="s">
        <v>24173</v>
      </c>
      <c r="E8756" s="19" t="s">
        <v>34099</v>
      </c>
      <c r="F8756" s="19" t="s">
        <v>36006</v>
      </c>
      <c r="G8756" s="18" t="str">
        <f>"12801"</f>
        <v>12801</v>
      </c>
      <c r="H8756" s="19" t="s">
        <v>31025</v>
      </c>
      <c r="I8756" s="20">
        <v>17.852</v>
      </c>
      <c r="J8756" s="44" t="s">
        <v>8</v>
      </c>
      <c r="K8756" s="23" t="s">
        <v>8</v>
      </c>
      <c r="L8756" s="23" t="s">
        <v>8</v>
      </c>
      <c r="M8756" s="23" t="s">
        <v>8</v>
      </c>
    </row>
    <row r="8757" spans="1:13" s="21" customFormat="1" x14ac:dyDescent="0.25">
      <c r="A8757" s="22" t="s">
        <v>8</v>
      </c>
      <c r="B8757" s="18" t="str">
        <f>"335326"</f>
        <v>335326</v>
      </c>
      <c r="C8757" s="19" t="s">
        <v>8630</v>
      </c>
      <c r="D8757" s="19" t="s">
        <v>24174</v>
      </c>
      <c r="E8757" s="19" t="s">
        <v>34071</v>
      </c>
      <c r="F8757" s="19" t="s">
        <v>36006</v>
      </c>
      <c r="G8757" s="18" t="str">
        <f>"14221"</f>
        <v>14221</v>
      </c>
      <c r="H8757" s="19" t="s">
        <v>34805</v>
      </c>
      <c r="I8757" s="20">
        <v>17.922000000000001</v>
      </c>
      <c r="J8757" s="44" t="s">
        <v>8</v>
      </c>
      <c r="K8757" s="23" t="s">
        <v>8</v>
      </c>
      <c r="L8757" s="23" t="s">
        <v>8</v>
      </c>
      <c r="M8757" s="23" t="s">
        <v>8</v>
      </c>
    </row>
    <row r="8758" spans="1:13" s="21" customFormat="1" x14ac:dyDescent="0.25">
      <c r="A8758" s="22" t="s">
        <v>8</v>
      </c>
      <c r="B8758" s="18" t="str">
        <f>"335327"</f>
        <v>335327</v>
      </c>
      <c r="C8758" s="19" t="s">
        <v>8631</v>
      </c>
      <c r="D8758" s="19" t="s">
        <v>24175</v>
      </c>
      <c r="E8758" s="19" t="s">
        <v>34061</v>
      </c>
      <c r="F8758" s="19" t="s">
        <v>36006</v>
      </c>
      <c r="G8758" s="18" t="str">
        <f>"11357"</f>
        <v>11357</v>
      </c>
      <c r="H8758" s="19" t="s">
        <v>36598</v>
      </c>
      <c r="I8758" s="20">
        <v>21.888000000000002</v>
      </c>
      <c r="J8758" s="44" t="s">
        <v>8</v>
      </c>
      <c r="K8758" s="23" t="s">
        <v>8</v>
      </c>
      <c r="L8758" s="23" t="s">
        <v>8</v>
      </c>
      <c r="M8758" s="23" t="s">
        <v>8</v>
      </c>
    </row>
    <row r="8759" spans="1:13" s="21" customFormat="1" x14ac:dyDescent="0.25">
      <c r="A8759" s="22" t="s">
        <v>8</v>
      </c>
      <c r="B8759" s="18" t="str">
        <f>"335328"</f>
        <v>335328</v>
      </c>
      <c r="C8759" s="19" t="s">
        <v>8632</v>
      </c>
      <c r="D8759" s="19" t="s">
        <v>24176</v>
      </c>
      <c r="E8759" s="19" t="s">
        <v>31443</v>
      </c>
      <c r="F8759" s="19" t="s">
        <v>36006</v>
      </c>
      <c r="G8759" s="18" t="str">
        <f>"11218"</f>
        <v>11218</v>
      </c>
      <c r="H8759" s="19" t="s">
        <v>36091</v>
      </c>
      <c r="I8759" s="20">
        <v>26.202000000000002</v>
      </c>
      <c r="J8759" s="44" t="s">
        <v>8</v>
      </c>
      <c r="K8759" s="23" t="s">
        <v>8</v>
      </c>
      <c r="L8759" s="23" t="s">
        <v>8</v>
      </c>
      <c r="M8759" s="23" t="s">
        <v>8</v>
      </c>
    </row>
    <row r="8760" spans="1:13" s="21" customFormat="1" x14ac:dyDescent="0.25">
      <c r="A8760" s="22" t="s">
        <v>8</v>
      </c>
      <c r="B8760" s="18" t="str">
        <f>"335330"</f>
        <v>335330</v>
      </c>
      <c r="C8760" s="19" t="s">
        <v>8633</v>
      </c>
      <c r="D8760" s="19" t="s">
        <v>24177</v>
      </c>
      <c r="E8760" s="19" t="s">
        <v>31087</v>
      </c>
      <c r="F8760" s="19" t="s">
        <v>36006</v>
      </c>
      <c r="G8760" s="18" t="str">
        <f>"14830"</f>
        <v>14830</v>
      </c>
      <c r="H8760" s="19" t="s">
        <v>36262</v>
      </c>
      <c r="I8760" s="20">
        <v>16.419</v>
      </c>
      <c r="J8760" s="44" t="s">
        <v>8</v>
      </c>
      <c r="K8760" s="23" t="s">
        <v>8</v>
      </c>
      <c r="L8760" s="23" t="s">
        <v>8</v>
      </c>
      <c r="M8760" s="23" t="s">
        <v>8</v>
      </c>
    </row>
    <row r="8761" spans="1:13" s="21" customFormat="1" x14ac:dyDescent="0.25">
      <c r="A8761" s="22" t="s">
        <v>8</v>
      </c>
      <c r="B8761" s="18" t="str">
        <f>"335331"</f>
        <v>335331</v>
      </c>
      <c r="C8761" s="19" t="s">
        <v>8634</v>
      </c>
      <c r="D8761" s="19" t="s">
        <v>24178</v>
      </c>
      <c r="E8761" s="19" t="s">
        <v>34107</v>
      </c>
      <c r="F8761" s="19" t="s">
        <v>36006</v>
      </c>
      <c r="G8761" s="18" t="str">
        <f>"12832"</f>
        <v>12832</v>
      </c>
      <c r="H8761" s="19" t="s">
        <v>31500</v>
      </c>
      <c r="I8761" s="20">
        <v>17.898</v>
      </c>
      <c r="J8761" s="44" t="s">
        <v>8</v>
      </c>
      <c r="K8761" s="23" t="s">
        <v>8</v>
      </c>
      <c r="L8761" s="23" t="s">
        <v>8</v>
      </c>
      <c r="M8761" s="23" t="s">
        <v>8</v>
      </c>
    </row>
    <row r="8762" spans="1:13" s="21" customFormat="1" x14ac:dyDescent="0.25">
      <c r="A8762" s="22" t="s">
        <v>8</v>
      </c>
      <c r="B8762" s="18" t="str">
        <f>"335332"</f>
        <v>335332</v>
      </c>
      <c r="C8762" s="19" t="s">
        <v>8635</v>
      </c>
      <c r="D8762" s="19" t="s">
        <v>24179</v>
      </c>
      <c r="E8762" s="19" t="s">
        <v>34058</v>
      </c>
      <c r="F8762" s="19" t="s">
        <v>36006</v>
      </c>
      <c r="G8762" s="18" t="str">
        <f>"10306"</f>
        <v>10306</v>
      </c>
      <c r="H8762" s="19" t="s">
        <v>31178</v>
      </c>
      <c r="I8762" s="20">
        <v>17.899999999999999</v>
      </c>
      <c r="J8762" s="44" t="s">
        <v>8</v>
      </c>
      <c r="K8762" s="23" t="s">
        <v>8</v>
      </c>
      <c r="L8762" s="23" t="s">
        <v>8</v>
      </c>
      <c r="M8762" s="23" t="s">
        <v>8</v>
      </c>
    </row>
    <row r="8763" spans="1:13" s="21" customFormat="1" x14ac:dyDescent="0.25">
      <c r="A8763" s="22" t="s">
        <v>8</v>
      </c>
      <c r="B8763" s="18" t="str">
        <f>"335333"</f>
        <v>335333</v>
      </c>
      <c r="C8763" s="19" t="s">
        <v>8636</v>
      </c>
      <c r="D8763" s="19" t="s">
        <v>24180</v>
      </c>
      <c r="E8763" s="19" t="s">
        <v>34108</v>
      </c>
      <c r="F8763" s="19" t="s">
        <v>36006</v>
      </c>
      <c r="G8763" s="18" t="str">
        <f>"11423"</f>
        <v>11423</v>
      </c>
      <c r="H8763" s="19" t="s">
        <v>36598</v>
      </c>
      <c r="I8763" s="20">
        <v>23.385999999999999</v>
      </c>
      <c r="J8763" s="44" t="s">
        <v>8</v>
      </c>
      <c r="K8763" s="23" t="s">
        <v>8</v>
      </c>
      <c r="L8763" s="23" t="s">
        <v>8</v>
      </c>
      <c r="M8763" s="23" t="s">
        <v>8</v>
      </c>
    </row>
    <row r="8764" spans="1:13" s="21" customFormat="1" x14ac:dyDescent="0.25">
      <c r="A8764" s="22" t="s">
        <v>8</v>
      </c>
      <c r="B8764" s="18" t="str">
        <f>"335334"</f>
        <v>335334</v>
      </c>
      <c r="C8764" s="19" t="s">
        <v>8637</v>
      </c>
      <c r="D8764" s="19" t="s">
        <v>24181</v>
      </c>
      <c r="E8764" s="19" t="s">
        <v>34041</v>
      </c>
      <c r="F8764" s="19" t="s">
        <v>36006</v>
      </c>
      <c r="G8764" s="18" t="str">
        <f>"10024"</f>
        <v>10024</v>
      </c>
      <c r="H8764" s="19" t="s">
        <v>34041</v>
      </c>
      <c r="I8764" s="20">
        <v>19.856999999999999</v>
      </c>
      <c r="J8764" s="44" t="s">
        <v>8</v>
      </c>
      <c r="K8764" s="23" t="s">
        <v>8</v>
      </c>
      <c r="L8764" s="23" t="s">
        <v>8</v>
      </c>
      <c r="M8764" s="23" t="s">
        <v>8</v>
      </c>
    </row>
    <row r="8765" spans="1:13" s="21" customFormat="1" x14ac:dyDescent="0.25">
      <c r="A8765" s="22" t="s">
        <v>8</v>
      </c>
      <c r="B8765" s="18" t="str">
        <f>"335336"</f>
        <v>335336</v>
      </c>
      <c r="C8765" s="19" t="s">
        <v>8638</v>
      </c>
      <c r="D8765" s="19" t="s">
        <v>24182</v>
      </c>
      <c r="E8765" s="19" t="s">
        <v>34109</v>
      </c>
      <c r="F8765" s="19" t="s">
        <v>36006</v>
      </c>
      <c r="G8765" s="18" t="str">
        <f>"11432"</f>
        <v>11432</v>
      </c>
      <c r="H8765" s="19" t="s">
        <v>36598</v>
      </c>
      <c r="I8765" s="20">
        <v>17.213000000000001</v>
      </c>
      <c r="J8765" s="44" t="s">
        <v>8</v>
      </c>
      <c r="K8765" s="23" t="s">
        <v>8</v>
      </c>
      <c r="L8765" s="23" t="s">
        <v>8</v>
      </c>
      <c r="M8765" s="23" t="s">
        <v>8</v>
      </c>
    </row>
    <row r="8766" spans="1:13" s="21" customFormat="1" x14ac:dyDescent="0.25">
      <c r="A8766" s="22" t="s">
        <v>8</v>
      </c>
      <c r="B8766" s="18" t="str">
        <f>"335337"</f>
        <v>335337</v>
      </c>
      <c r="C8766" s="19" t="s">
        <v>8639</v>
      </c>
      <c r="D8766" s="19" t="s">
        <v>24183</v>
      </c>
      <c r="E8766" s="19" t="s">
        <v>34089</v>
      </c>
      <c r="F8766" s="19" t="s">
        <v>36006</v>
      </c>
      <c r="G8766" s="18" t="str">
        <f>"10802"</f>
        <v>10802</v>
      </c>
      <c r="H8766" s="19" t="s">
        <v>32061</v>
      </c>
      <c r="I8766" s="20">
        <v>19.36</v>
      </c>
      <c r="J8766" s="44" t="s">
        <v>8</v>
      </c>
      <c r="K8766" s="23" t="s">
        <v>8</v>
      </c>
      <c r="L8766" s="23" t="s">
        <v>8</v>
      </c>
      <c r="M8766" s="23" t="s">
        <v>8</v>
      </c>
    </row>
    <row r="8767" spans="1:13" s="21" customFormat="1" x14ac:dyDescent="0.25">
      <c r="A8767" s="22" t="s">
        <v>8</v>
      </c>
      <c r="B8767" s="18" t="str">
        <f>"335338"</f>
        <v>335338</v>
      </c>
      <c r="C8767" s="19" t="s">
        <v>8640</v>
      </c>
      <c r="D8767" s="19" t="s">
        <v>24184</v>
      </c>
      <c r="E8767" s="19" t="s">
        <v>32305</v>
      </c>
      <c r="F8767" s="19" t="s">
        <v>36006</v>
      </c>
      <c r="G8767" s="18" t="str">
        <f>"13203"</f>
        <v>13203</v>
      </c>
      <c r="H8767" s="19" t="s">
        <v>36602</v>
      </c>
      <c r="I8767" s="20">
        <v>19.29</v>
      </c>
      <c r="J8767" s="44" t="s">
        <v>8</v>
      </c>
      <c r="K8767" s="23" t="s">
        <v>8</v>
      </c>
      <c r="L8767" s="23" t="s">
        <v>8</v>
      </c>
      <c r="M8767" s="23" t="s">
        <v>8</v>
      </c>
    </row>
    <row r="8768" spans="1:13" s="21" customFormat="1" x14ac:dyDescent="0.25">
      <c r="A8768" s="22" t="s">
        <v>8</v>
      </c>
      <c r="B8768" s="18" t="str">
        <f>"335339"</f>
        <v>335339</v>
      </c>
      <c r="C8768" s="19" t="s">
        <v>8641</v>
      </c>
      <c r="D8768" s="19" t="s">
        <v>24185</v>
      </c>
      <c r="E8768" s="19" t="s">
        <v>34110</v>
      </c>
      <c r="F8768" s="19" t="s">
        <v>36006</v>
      </c>
      <c r="G8768" s="18" t="str">
        <f>"12455"</f>
        <v>12455</v>
      </c>
      <c r="H8768" s="19" t="s">
        <v>34462</v>
      </c>
      <c r="I8768" s="20">
        <v>18.297999999999998</v>
      </c>
      <c r="J8768" s="44" t="s">
        <v>8</v>
      </c>
      <c r="K8768" s="23" t="s">
        <v>8</v>
      </c>
      <c r="L8768" s="23" t="s">
        <v>8</v>
      </c>
      <c r="M8768" s="23" t="s">
        <v>8</v>
      </c>
    </row>
    <row r="8769" spans="1:13" s="21" customFormat="1" x14ac:dyDescent="0.25">
      <c r="A8769" s="22" t="s">
        <v>8</v>
      </c>
      <c r="B8769" s="18" t="str">
        <f>"335340"</f>
        <v>335340</v>
      </c>
      <c r="C8769" s="19" t="s">
        <v>8642</v>
      </c>
      <c r="D8769" s="19" t="s">
        <v>24186</v>
      </c>
      <c r="E8769" s="19" t="s">
        <v>32086</v>
      </c>
      <c r="F8769" s="19" t="s">
        <v>36006</v>
      </c>
      <c r="G8769" s="18" t="str">
        <f>"13039"</f>
        <v>13039</v>
      </c>
      <c r="H8769" s="19" t="s">
        <v>36602</v>
      </c>
      <c r="I8769" s="20">
        <v>18.754999999999999</v>
      </c>
      <c r="J8769" s="44" t="s">
        <v>8</v>
      </c>
      <c r="K8769" s="23" t="s">
        <v>8</v>
      </c>
      <c r="L8769" s="23" t="s">
        <v>8</v>
      </c>
      <c r="M8769" s="23" t="s">
        <v>8</v>
      </c>
    </row>
    <row r="8770" spans="1:13" s="21" customFormat="1" x14ac:dyDescent="0.25">
      <c r="A8770" s="22" t="s">
        <v>8</v>
      </c>
      <c r="B8770" s="18" t="str">
        <f>"335341"</f>
        <v>335341</v>
      </c>
      <c r="C8770" s="19" t="s">
        <v>8643</v>
      </c>
      <c r="D8770" s="19" t="s">
        <v>24187</v>
      </c>
      <c r="E8770" s="19" t="s">
        <v>32267</v>
      </c>
      <c r="F8770" s="19" t="s">
        <v>36006</v>
      </c>
      <c r="G8770" s="18" t="str">
        <f>"14623"</f>
        <v>14623</v>
      </c>
      <c r="H8770" s="19" t="s">
        <v>31711</v>
      </c>
      <c r="I8770" s="20">
        <v>16.725000000000001</v>
      </c>
      <c r="J8770" s="44" t="s">
        <v>8</v>
      </c>
      <c r="K8770" s="23" t="s">
        <v>8</v>
      </c>
      <c r="L8770" s="23" t="s">
        <v>8</v>
      </c>
      <c r="M8770" s="23" t="s">
        <v>8</v>
      </c>
    </row>
    <row r="8771" spans="1:13" s="21" customFormat="1" x14ac:dyDescent="0.25">
      <c r="A8771" s="22" t="s">
        <v>8</v>
      </c>
      <c r="B8771" s="18" t="str">
        <f>"335342"</f>
        <v>335342</v>
      </c>
      <c r="C8771" s="19" t="s">
        <v>8644</v>
      </c>
      <c r="D8771" s="19" t="s">
        <v>24188</v>
      </c>
      <c r="E8771" s="19" t="s">
        <v>34111</v>
      </c>
      <c r="F8771" s="19" t="s">
        <v>36006</v>
      </c>
      <c r="G8771" s="18" t="str">
        <f>"10547"</f>
        <v>10547</v>
      </c>
      <c r="H8771" s="19" t="s">
        <v>32061</v>
      </c>
      <c r="I8771" s="20">
        <v>19.532</v>
      </c>
      <c r="J8771" s="44" t="s">
        <v>8</v>
      </c>
      <c r="K8771" s="23" t="s">
        <v>8</v>
      </c>
      <c r="L8771" s="23" t="s">
        <v>8</v>
      </c>
      <c r="M8771" s="23" t="s">
        <v>8</v>
      </c>
    </row>
    <row r="8772" spans="1:13" s="21" customFormat="1" x14ac:dyDescent="0.25">
      <c r="A8772" s="22" t="s">
        <v>8</v>
      </c>
      <c r="B8772" s="18" t="str">
        <f>"335344"</f>
        <v>335344</v>
      </c>
      <c r="C8772" s="19" t="s">
        <v>8645</v>
      </c>
      <c r="D8772" s="19" t="s">
        <v>24189</v>
      </c>
      <c r="E8772" s="19" t="s">
        <v>34112</v>
      </c>
      <c r="F8772" s="19" t="s">
        <v>36006</v>
      </c>
      <c r="G8772" s="18" t="str">
        <f>"13411"</f>
        <v>13411</v>
      </c>
      <c r="H8772" s="19" t="s">
        <v>36601</v>
      </c>
      <c r="I8772" s="20">
        <v>19.277000000000001</v>
      </c>
      <c r="J8772" s="44" t="s">
        <v>8</v>
      </c>
      <c r="K8772" s="23" t="s">
        <v>8</v>
      </c>
      <c r="L8772" s="23" t="s">
        <v>8</v>
      </c>
      <c r="M8772" s="23" t="s">
        <v>8</v>
      </c>
    </row>
    <row r="8773" spans="1:13" s="21" customFormat="1" x14ac:dyDescent="0.25">
      <c r="A8773" s="22" t="s">
        <v>8</v>
      </c>
      <c r="B8773" s="18" t="str">
        <f>"335345"</f>
        <v>335345</v>
      </c>
      <c r="C8773" s="19" t="s">
        <v>8646</v>
      </c>
      <c r="D8773" s="19" t="s">
        <v>24190</v>
      </c>
      <c r="E8773" s="19" t="s">
        <v>34085</v>
      </c>
      <c r="F8773" s="19" t="s">
        <v>36006</v>
      </c>
      <c r="G8773" s="18" t="str">
        <f>"14424"</f>
        <v>14424</v>
      </c>
      <c r="H8773" s="19" t="s">
        <v>31239</v>
      </c>
      <c r="I8773" s="20">
        <v>22.323</v>
      </c>
      <c r="J8773" s="44" t="s">
        <v>8</v>
      </c>
      <c r="K8773" s="23" t="s">
        <v>8</v>
      </c>
      <c r="L8773" s="23" t="s">
        <v>8</v>
      </c>
      <c r="M8773" s="23" t="s">
        <v>8</v>
      </c>
    </row>
    <row r="8774" spans="1:13" s="21" customFormat="1" x14ac:dyDescent="0.25">
      <c r="A8774" s="22" t="s">
        <v>8</v>
      </c>
      <c r="B8774" s="18" t="str">
        <f>"335346"</f>
        <v>335346</v>
      </c>
      <c r="C8774" s="19" t="s">
        <v>8647</v>
      </c>
      <c r="D8774" s="19" t="s">
        <v>24191</v>
      </c>
      <c r="E8774" s="19" t="s">
        <v>32500</v>
      </c>
      <c r="F8774" s="19" t="s">
        <v>36006</v>
      </c>
      <c r="G8774" s="18" t="str">
        <f>"14892"</f>
        <v>14892</v>
      </c>
      <c r="H8774" s="19" t="s">
        <v>34367</v>
      </c>
      <c r="I8774" s="20">
        <v>19.154</v>
      </c>
      <c r="J8774" s="44" t="s">
        <v>8</v>
      </c>
      <c r="K8774" s="23" t="s">
        <v>8</v>
      </c>
      <c r="L8774" s="23" t="s">
        <v>8</v>
      </c>
      <c r="M8774" s="23" t="s">
        <v>8</v>
      </c>
    </row>
    <row r="8775" spans="1:13" s="21" customFormat="1" x14ac:dyDescent="0.25">
      <c r="A8775" s="22" t="s">
        <v>8</v>
      </c>
      <c r="B8775" s="18" t="str">
        <f>"335347"</f>
        <v>335347</v>
      </c>
      <c r="C8775" s="19" t="s">
        <v>8648</v>
      </c>
      <c r="D8775" s="19" t="s">
        <v>24192</v>
      </c>
      <c r="E8775" s="19" t="s">
        <v>34037</v>
      </c>
      <c r="F8775" s="19" t="s">
        <v>36006</v>
      </c>
      <c r="G8775" s="18" t="str">
        <f>"10469"</f>
        <v>10469</v>
      </c>
      <c r="H8775" s="19" t="s">
        <v>34037</v>
      </c>
      <c r="I8775" s="20">
        <v>19.645</v>
      </c>
      <c r="J8775" s="44" t="s">
        <v>8</v>
      </c>
      <c r="K8775" s="23" t="s">
        <v>8</v>
      </c>
      <c r="L8775" s="23" t="s">
        <v>8</v>
      </c>
      <c r="M8775" s="23" t="s">
        <v>8</v>
      </c>
    </row>
    <row r="8776" spans="1:13" s="21" customFormat="1" x14ac:dyDescent="0.25">
      <c r="A8776" s="22" t="s">
        <v>8</v>
      </c>
      <c r="B8776" s="18" t="str">
        <f>"335348"</f>
        <v>335348</v>
      </c>
      <c r="C8776" s="19" t="s">
        <v>8649</v>
      </c>
      <c r="D8776" s="19" t="s">
        <v>24193</v>
      </c>
      <c r="E8776" s="19" t="s">
        <v>34113</v>
      </c>
      <c r="F8776" s="19" t="s">
        <v>36006</v>
      </c>
      <c r="G8776" s="18" t="str">
        <f>"12572"</f>
        <v>12572</v>
      </c>
      <c r="H8776" s="19" t="s">
        <v>36604</v>
      </c>
      <c r="I8776" s="20">
        <v>19.132000000000001</v>
      </c>
      <c r="J8776" s="44" t="s">
        <v>8</v>
      </c>
      <c r="K8776" s="23" t="s">
        <v>8</v>
      </c>
      <c r="L8776" s="23" t="s">
        <v>8</v>
      </c>
      <c r="M8776" s="23" t="s">
        <v>8</v>
      </c>
    </row>
    <row r="8777" spans="1:13" s="21" customFormat="1" x14ac:dyDescent="0.25">
      <c r="A8777" s="22" t="s">
        <v>8</v>
      </c>
      <c r="B8777" s="18" t="str">
        <f>"335349"</f>
        <v>335349</v>
      </c>
      <c r="C8777" s="19" t="s">
        <v>8650</v>
      </c>
      <c r="D8777" s="19" t="s">
        <v>24194</v>
      </c>
      <c r="E8777" s="19" t="s">
        <v>33182</v>
      </c>
      <c r="F8777" s="19" t="s">
        <v>36006</v>
      </c>
      <c r="G8777" s="18" t="str">
        <f>"11354"</f>
        <v>11354</v>
      </c>
      <c r="H8777" s="19" t="s">
        <v>36598</v>
      </c>
      <c r="I8777" s="20">
        <v>20.34</v>
      </c>
      <c r="J8777" s="44" t="s">
        <v>8</v>
      </c>
      <c r="K8777" s="23" t="s">
        <v>8</v>
      </c>
      <c r="L8777" s="23" t="s">
        <v>8</v>
      </c>
      <c r="M8777" s="23" t="s">
        <v>8</v>
      </c>
    </row>
    <row r="8778" spans="1:13" s="21" customFormat="1" x14ac:dyDescent="0.25">
      <c r="A8778" s="22" t="s">
        <v>8</v>
      </c>
      <c r="B8778" s="18" t="str">
        <f>"335350"</f>
        <v>335350</v>
      </c>
      <c r="C8778" s="19" t="s">
        <v>8651</v>
      </c>
      <c r="D8778" s="19" t="s">
        <v>24195</v>
      </c>
      <c r="E8778" s="19" t="s">
        <v>34089</v>
      </c>
      <c r="F8778" s="19" t="s">
        <v>36006</v>
      </c>
      <c r="G8778" s="18" t="str">
        <f>"10801"</f>
        <v>10801</v>
      </c>
      <c r="H8778" s="19" t="s">
        <v>32061</v>
      </c>
      <c r="I8778" s="20">
        <v>19.989999999999998</v>
      </c>
      <c r="J8778" s="44" t="s">
        <v>8</v>
      </c>
      <c r="K8778" s="23" t="s">
        <v>8</v>
      </c>
      <c r="L8778" s="23" t="s">
        <v>8</v>
      </c>
      <c r="M8778" s="23" t="s">
        <v>8</v>
      </c>
    </row>
    <row r="8779" spans="1:13" s="21" customFormat="1" x14ac:dyDescent="0.25">
      <c r="A8779" s="22" t="s">
        <v>8</v>
      </c>
      <c r="B8779" s="18" t="str">
        <f>"335351"</f>
        <v>335351</v>
      </c>
      <c r="C8779" s="19" t="s">
        <v>8652</v>
      </c>
      <c r="D8779" s="19" t="s">
        <v>24196</v>
      </c>
      <c r="E8779" s="19" t="s">
        <v>34055</v>
      </c>
      <c r="F8779" s="19" t="s">
        <v>36006</v>
      </c>
      <c r="G8779" s="18" t="str">
        <f>"12078"</f>
        <v>12078</v>
      </c>
      <c r="H8779" s="19" t="s">
        <v>32194</v>
      </c>
      <c r="I8779" s="20">
        <v>19.103000000000002</v>
      </c>
      <c r="J8779" s="44" t="s">
        <v>8</v>
      </c>
      <c r="K8779" s="23" t="s">
        <v>8</v>
      </c>
      <c r="L8779" s="23" t="s">
        <v>8</v>
      </c>
      <c r="M8779" s="23" t="s">
        <v>8</v>
      </c>
    </row>
    <row r="8780" spans="1:13" s="21" customFormat="1" x14ac:dyDescent="0.25">
      <c r="A8780" s="22" t="s">
        <v>8</v>
      </c>
      <c r="B8780" s="18" t="str">
        <f>"335353"</f>
        <v>335353</v>
      </c>
      <c r="C8780" s="19" t="s">
        <v>8653</v>
      </c>
      <c r="D8780" s="19" t="s">
        <v>24197</v>
      </c>
      <c r="E8780" s="19" t="s">
        <v>34114</v>
      </c>
      <c r="F8780" s="19" t="s">
        <v>36006</v>
      </c>
      <c r="G8780" s="18" t="str">
        <f>"14740"</f>
        <v>14740</v>
      </c>
      <c r="H8780" s="19" t="s">
        <v>36302</v>
      </c>
      <c r="I8780" s="20">
        <v>16.684000000000001</v>
      </c>
      <c r="J8780" s="44" t="s">
        <v>8</v>
      </c>
      <c r="K8780" s="23" t="s">
        <v>8</v>
      </c>
      <c r="L8780" s="23" t="s">
        <v>8</v>
      </c>
      <c r="M8780" s="23" t="s">
        <v>8</v>
      </c>
    </row>
    <row r="8781" spans="1:13" s="21" customFormat="1" x14ac:dyDescent="0.25">
      <c r="A8781" s="22" t="s">
        <v>8</v>
      </c>
      <c r="B8781" s="18" t="str">
        <f>"335355"</f>
        <v>335355</v>
      </c>
      <c r="C8781" s="19" t="s">
        <v>8654</v>
      </c>
      <c r="D8781" s="19" t="s">
        <v>24198</v>
      </c>
      <c r="E8781" s="19" t="s">
        <v>31409</v>
      </c>
      <c r="F8781" s="19" t="s">
        <v>36006</v>
      </c>
      <c r="G8781" s="18" t="str">
        <f>"13815"</f>
        <v>13815</v>
      </c>
      <c r="H8781" s="19" t="s">
        <v>36601</v>
      </c>
      <c r="I8781" s="20">
        <v>17.756</v>
      </c>
      <c r="J8781" s="44" t="s">
        <v>8</v>
      </c>
      <c r="K8781" s="23" t="s">
        <v>8</v>
      </c>
      <c r="L8781" s="23" t="s">
        <v>8</v>
      </c>
      <c r="M8781" s="23" t="s">
        <v>8</v>
      </c>
    </row>
    <row r="8782" spans="1:13" s="21" customFormat="1" x14ac:dyDescent="0.25">
      <c r="A8782" s="22" t="s">
        <v>8</v>
      </c>
      <c r="B8782" s="18" t="str">
        <f>"335357"</f>
        <v>335357</v>
      </c>
      <c r="C8782" s="19" t="s">
        <v>8655</v>
      </c>
      <c r="D8782" s="19" t="s">
        <v>24199</v>
      </c>
      <c r="E8782" s="19" t="s">
        <v>34029</v>
      </c>
      <c r="F8782" s="19" t="s">
        <v>36006</v>
      </c>
      <c r="G8782" s="18" t="str">
        <f>"14760"</f>
        <v>14760</v>
      </c>
      <c r="H8782" s="19" t="s">
        <v>36593</v>
      </c>
      <c r="I8782" s="20">
        <v>17.154</v>
      </c>
      <c r="J8782" s="44" t="s">
        <v>8</v>
      </c>
      <c r="K8782" s="23" t="s">
        <v>8</v>
      </c>
      <c r="L8782" s="23" t="s">
        <v>8</v>
      </c>
      <c r="M8782" s="23" t="s">
        <v>8</v>
      </c>
    </row>
    <row r="8783" spans="1:13" s="21" customFormat="1" x14ac:dyDescent="0.25">
      <c r="A8783" s="22" t="s">
        <v>8</v>
      </c>
      <c r="B8783" s="18" t="str">
        <f>"335358"</f>
        <v>335358</v>
      </c>
      <c r="C8783" s="19" t="s">
        <v>8656</v>
      </c>
      <c r="D8783" s="19" t="s">
        <v>24200</v>
      </c>
      <c r="E8783" s="19" t="s">
        <v>34037</v>
      </c>
      <c r="F8783" s="19" t="s">
        <v>36006</v>
      </c>
      <c r="G8783" s="18" t="str">
        <f>"10467"</f>
        <v>10467</v>
      </c>
      <c r="H8783" s="19" t="s">
        <v>34037</v>
      </c>
      <c r="I8783" s="20">
        <v>19.853000000000002</v>
      </c>
      <c r="J8783" s="44" t="s">
        <v>8</v>
      </c>
      <c r="K8783" s="23" t="s">
        <v>8</v>
      </c>
      <c r="L8783" s="23" t="s">
        <v>8</v>
      </c>
      <c r="M8783" s="23" t="s">
        <v>8</v>
      </c>
    </row>
    <row r="8784" spans="1:13" s="21" customFormat="1" x14ac:dyDescent="0.25">
      <c r="A8784" s="22" t="s">
        <v>8</v>
      </c>
      <c r="B8784" s="18" t="str">
        <f>"335359"</f>
        <v>335359</v>
      </c>
      <c r="C8784" s="19" t="s">
        <v>8657</v>
      </c>
      <c r="D8784" s="19" t="s">
        <v>24201</v>
      </c>
      <c r="E8784" s="19" t="s">
        <v>34115</v>
      </c>
      <c r="F8784" s="19" t="s">
        <v>36006</v>
      </c>
      <c r="G8784" s="18" t="str">
        <f>"12866"</f>
        <v>12866</v>
      </c>
      <c r="H8784" s="19" t="s">
        <v>31201</v>
      </c>
      <c r="I8784" s="20">
        <v>15.28</v>
      </c>
      <c r="J8784" s="44" t="s">
        <v>8</v>
      </c>
      <c r="K8784" s="23" t="s">
        <v>8</v>
      </c>
      <c r="L8784" s="23" t="s">
        <v>8</v>
      </c>
      <c r="M8784" s="23" t="s">
        <v>8</v>
      </c>
    </row>
    <row r="8785" spans="1:13" s="21" customFormat="1" x14ac:dyDescent="0.25">
      <c r="A8785" s="22" t="s">
        <v>8</v>
      </c>
      <c r="B8785" s="18" t="str">
        <f>"335361"</f>
        <v>335361</v>
      </c>
      <c r="C8785" s="19" t="s">
        <v>8658</v>
      </c>
      <c r="D8785" s="19" t="s">
        <v>24202</v>
      </c>
      <c r="E8785" s="19" t="s">
        <v>34116</v>
      </c>
      <c r="F8785" s="19" t="s">
        <v>36006</v>
      </c>
      <c r="G8785" s="18" t="str">
        <f>"14432"</f>
        <v>14432</v>
      </c>
      <c r="H8785" s="19" t="s">
        <v>31239</v>
      </c>
      <c r="I8785" s="20">
        <v>15.534000000000001</v>
      </c>
      <c r="J8785" s="44" t="s">
        <v>8</v>
      </c>
      <c r="K8785" s="23" t="s">
        <v>8</v>
      </c>
      <c r="L8785" s="23" t="s">
        <v>8</v>
      </c>
      <c r="M8785" s="23" t="s">
        <v>8</v>
      </c>
    </row>
    <row r="8786" spans="1:13" s="21" customFormat="1" x14ac:dyDescent="0.25">
      <c r="A8786" s="22" t="s">
        <v>8</v>
      </c>
      <c r="B8786" s="18" t="str">
        <f>"335363"</f>
        <v>335363</v>
      </c>
      <c r="C8786" s="19" t="s">
        <v>8659</v>
      </c>
      <c r="D8786" s="19" t="s">
        <v>24203</v>
      </c>
      <c r="E8786" s="19" t="s">
        <v>34117</v>
      </c>
      <c r="F8786" s="19" t="s">
        <v>36006</v>
      </c>
      <c r="G8786" s="18" t="str">
        <f>"11361"</f>
        <v>11361</v>
      </c>
      <c r="H8786" s="19" t="s">
        <v>36598</v>
      </c>
      <c r="I8786" s="20">
        <v>20.722999999999999</v>
      </c>
      <c r="J8786" s="44" t="s">
        <v>8</v>
      </c>
      <c r="K8786" s="23" t="s">
        <v>8</v>
      </c>
      <c r="L8786" s="23" t="s">
        <v>8</v>
      </c>
      <c r="M8786" s="23" t="s">
        <v>8</v>
      </c>
    </row>
    <row r="8787" spans="1:13" s="21" customFormat="1" x14ac:dyDescent="0.25">
      <c r="A8787" s="22" t="s">
        <v>8</v>
      </c>
      <c r="B8787" s="18" t="str">
        <f>"335364"</f>
        <v>335364</v>
      </c>
      <c r="C8787" s="19" t="s">
        <v>8660</v>
      </c>
      <c r="D8787" s="19" t="s">
        <v>24204</v>
      </c>
      <c r="E8787" s="19" t="s">
        <v>32192</v>
      </c>
      <c r="F8787" s="19" t="s">
        <v>36006</v>
      </c>
      <c r="G8787" s="18" t="str">
        <f>"14727"</f>
        <v>14727</v>
      </c>
      <c r="H8787" s="19" t="s">
        <v>34178</v>
      </c>
      <c r="I8787" s="20">
        <v>19.401</v>
      </c>
      <c r="J8787" s="44" t="s">
        <v>8</v>
      </c>
      <c r="K8787" s="23" t="s">
        <v>8</v>
      </c>
      <c r="L8787" s="23" t="s">
        <v>8</v>
      </c>
      <c r="M8787" s="23" t="s">
        <v>8</v>
      </c>
    </row>
    <row r="8788" spans="1:13" s="21" customFormat="1" x14ac:dyDescent="0.25">
      <c r="A8788" s="22" t="s">
        <v>8</v>
      </c>
      <c r="B8788" s="18" t="str">
        <f>"335365"</f>
        <v>335365</v>
      </c>
      <c r="C8788" s="19" t="s">
        <v>8661</v>
      </c>
      <c r="D8788" s="19" t="s">
        <v>24205</v>
      </c>
      <c r="E8788" s="19" t="s">
        <v>34100</v>
      </c>
      <c r="F8788" s="19" t="s">
        <v>36006</v>
      </c>
      <c r="G8788" s="18" t="str">
        <f>"10989"</f>
        <v>10989</v>
      </c>
      <c r="H8788" s="19" t="s">
        <v>32912</v>
      </c>
      <c r="I8788" s="20">
        <v>20.876000000000001</v>
      </c>
      <c r="J8788" s="44" t="s">
        <v>8</v>
      </c>
      <c r="K8788" s="23" t="s">
        <v>8</v>
      </c>
      <c r="L8788" s="23" t="s">
        <v>8</v>
      </c>
      <c r="M8788" s="23" t="s">
        <v>8</v>
      </c>
    </row>
    <row r="8789" spans="1:13" s="21" customFormat="1" x14ac:dyDescent="0.25">
      <c r="A8789" s="22" t="s">
        <v>8</v>
      </c>
      <c r="B8789" s="18" t="str">
        <f>"335366"</f>
        <v>335366</v>
      </c>
      <c r="C8789" s="19" t="s">
        <v>8662</v>
      </c>
      <c r="D8789" s="19" t="s">
        <v>24206</v>
      </c>
      <c r="E8789" s="19" t="s">
        <v>32267</v>
      </c>
      <c r="F8789" s="19" t="s">
        <v>36006</v>
      </c>
      <c r="G8789" s="18" t="str">
        <f>"14618"</f>
        <v>14618</v>
      </c>
      <c r="H8789" s="19" t="s">
        <v>31711</v>
      </c>
      <c r="I8789" s="20">
        <v>17.640999999999998</v>
      </c>
      <c r="J8789" s="44" t="s">
        <v>8</v>
      </c>
      <c r="K8789" s="23" t="s">
        <v>8</v>
      </c>
      <c r="L8789" s="23" t="s">
        <v>8</v>
      </c>
      <c r="M8789" s="23" t="s">
        <v>8</v>
      </c>
    </row>
    <row r="8790" spans="1:13" s="21" customFormat="1" x14ac:dyDescent="0.25">
      <c r="A8790" s="22" t="s">
        <v>8</v>
      </c>
      <c r="B8790" s="18" t="str">
        <f>"335369"</f>
        <v>335369</v>
      </c>
      <c r="C8790" s="19" t="s">
        <v>8663</v>
      </c>
      <c r="D8790" s="19" t="s">
        <v>24207</v>
      </c>
      <c r="E8790" s="19" t="s">
        <v>32267</v>
      </c>
      <c r="F8790" s="19" t="s">
        <v>36006</v>
      </c>
      <c r="G8790" s="18" t="str">
        <f>"14626"</f>
        <v>14626</v>
      </c>
      <c r="H8790" s="19" t="s">
        <v>31711</v>
      </c>
      <c r="I8790" s="20">
        <v>17.274000000000001</v>
      </c>
      <c r="J8790" s="44" t="s">
        <v>8</v>
      </c>
      <c r="K8790" s="23" t="s">
        <v>8</v>
      </c>
      <c r="L8790" s="23" t="s">
        <v>8</v>
      </c>
      <c r="M8790" s="23" t="s">
        <v>8</v>
      </c>
    </row>
    <row r="8791" spans="1:13" s="21" customFormat="1" x14ac:dyDescent="0.25">
      <c r="A8791" s="22" t="s">
        <v>8</v>
      </c>
      <c r="B8791" s="18" t="str">
        <f>"335371"</f>
        <v>335371</v>
      </c>
      <c r="C8791" s="19" t="s">
        <v>8664</v>
      </c>
      <c r="D8791" s="19" t="s">
        <v>24208</v>
      </c>
      <c r="E8791" s="19" t="s">
        <v>34118</v>
      </c>
      <c r="F8791" s="19" t="s">
        <v>36006</v>
      </c>
      <c r="G8791" s="18" t="str">
        <f>"13760"</f>
        <v>13760</v>
      </c>
      <c r="H8791" s="19" t="s">
        <v>36600</v>
      </c>
      <c r="I8791" s="20">
        <v>18.437000000000001</v>
      </c>
      <c r="J8791" s="44" t="s">
        <v>8</v>
      </c>
      <c r="K8791" s="23" t="s">
        <v>8</v>
      </c>
      <c r="L8791" s="23" t="s">
        <v>8</v>
      </c>
      <c r="M8791" s="23" t="s">
        <v>8</v>
      </c>
    </row>
    <row r="8792" spans="1:13" s="21" customFormat="1" x14ac:dyDescent="0.25">
      <c r="A8792" s="22" t="s">
        <v>8</v>
      </c>
      <c r="B8792" s="18" t="str">
        <f>"335372"</f>
        <v>335372</v>
      </c>
      <c r="C8792" s="19" t="s">
        <v>8665</v>
      </c>
      <c r="D8792" s="19" t="s">
        <v>24209</v>
      </c>
      <c r="E8792" s="19" t="s">
        <v>34058</v>
      </c>
      <c r="F8792" s="19" t="s">
        <v>36006</v>
      </c>
      <c r="G8792" s="18" t="str">
        <f>"10304"</f>
        <v>10304</v>
      </c>
      <c r="H8792" s="19" t="s">
        <v>31178</v>
      </c>
      <c r="I8792" s="20">
        <v>21.722000000000001</v>
      </c>
      <c r="J8792" s="44" t="s">
        <v>8</v>
      </c>
      <c r="K8792" s="23" t="s">
        <v>8</v>
      </c>
      <c r="L8792" s="23" t="s">
        <v>8</v>
      </c>
      <c r="M8792" s="23" t="s">
        <v>8</v>
      </c>
    </row>
    <row r="8793" spans="1:13" s="21" customFormat="1" x14ac:dyDescent="0.25">
      <c r="A8793" s="22" t="s">
        <v>8</v>
      </c>
      <c r="B8793" s="18" t="str">
        <f>"335373"</f>
        <v>335373</v>
      </c>
      <c r="C8793" s="19" t="s">
        <v>8666</v>
      </c>
      <c r="D8793" s="19" t="s">
        <v>24210</v>
      </c>
      <c r="E8793" s="19" t="s">
        <v>34037</v>
      </c>
      <c r="F8793" s="19" t="s">
        <v>36006</v>
      </c>
      <c r="G8793" s="18" t="str">
        <f>"10467"</f>
        <v>10467</v>
      </c>
      <c r="H8793" s="19" t="s">
        <v>34037</v>
      </c>
      <c r="I8793" s="20">
        <v>21.004999999999999</v>
      </c>
      <c r="J8793" s="44" t="s">
        <v>8</v>
      </c>
      <c r="K8793" s="23" t="s">
        <v>8</v>
      </c>
      <c r="L8793" s="23" t="s">
        <v>8</v>
      </c>
      <c r="M8793" s="23" t="s">
        <v>8</v>
      </c>
    </row>
    <row r="8794" spans="1:13" s="21" customFormat="1" x14ac:dyDescent="0.25">
      <c r="A8794" s="22" t="s">
        <v>8</v>
      </c>
      <c r="B8794" s="18" t="str">
        <f>"335374"</f>
        <v>335374</v>
      </c>
      <c r="C8794" s="19" t="s">
        <v>8667</v>
      </c>
      <c r="D8794" s="19" t="s">
        <v>24211</v>
      </c>
      <c r="E8794" s="19" t="s">
        <v>33304</v>
      </c>
      <c r="F8794" s="19" t="s">
        <v>36006</v>
      </c>
      <c r="G8794" s="18" t="str">
        <f>"13501"</f>
        <v>13501</v>
      </c>
      <c r="H8794" s="19" t="s">
        <v>34140</v>
      </c>
      <c r="I8794" s="20">
        <v>19.295000000000002</v>
      </c>
      <c r="J8794" s="44" t="s">
        <v>8</v>
      </c>
      <c r="K8794" s="23" t="s">
        <v>8</v>
      </c>
      <c r="L8794" s="23" t="s">
        <v>8</v>
      </c>
      <c r="M8794" s="23" t="s">
        <v>8</v>
      </c>
    </row>
    <row r="8795" spans="1:13" s="21" customFormat="1" x14ac:dyDescent="0.25">
      <c r="A8795" s="22" t="s">
        <v>8</v>
      </c>
      <c r="B8795" s="18" t="str">
        <f>"335375"</f>
        <v>335375</v>
      </c>
      <c r="C8795" s="19" t="s">
        <v>8668</v>
      </c>
      <c r="D8795" s="19" t="s">
        <v>24212</v>
      </c>
      <c r="E8795" s="19" t="s">
        <v>34119</v>
      </c>
      <c r="F8795" s="19" t="s">
        <v>36006</v>
      </c>
      <c r="G8795" s="18" t="str">
        <f>"14865"</f>
        <v>14865</v>
      </c>
      <c r="H8795" s="19" t="s">
        <v>33783</v>
      </c>
      <c r="I8795" s="20">
        <v>15.621</v>
      </c>
      <c r="J8795" s="44" t="s">
        <v>8</v>
      </c>
      <c r="K8795" s="23" t="s">
        <v>8</v>
      </c>
      <c r="L8795" s="23" t="s">
        <v>8</v>
      </c>
      <c r="M8795" s="23" t="s">
        <v>8</v>
      </c>
    </row>
    <row r="8796" spans="1:13" s="21" customFormat="1" x14ac:dyDescent="0.25">
      <c r="A8796" s="22" t="s">
        <v>8</v>
      </c>
      <c r="B8796" s="18" t="str">
        <f>"335376"</f>
        <v>335376</v>
      </c>
      <c r="C8796" s="19" t="s">
        <v>8669</v>
      </c>
      <c r="D8796" s="19" t="s">
        <v>24213</v>
      </c>
      <c r="E8796" s="19" t="s">
        <v>34120</v>
      </c>
      <c r="F8796" s="19" t="s">
        <v>36006</v>
      </c>
      <c r="G8796" s="18" t="str">
        <f>"14302"</f>
        <v>14302</v>
      </c>
      <c r="H8796" s="19" t="s">
        <v>35632</v>
      </c>
      <c r="I8796" s="20">
        <v>18.914999999999999</v>
      </c>
      <c r="J8796" s="44" t="s">
        <v>8</v>
      </c>
      <c r="K8796" s="23" t="s">
        <v>8</v>
      </c>
      <c r="L8796" s="23" t="s">
        <v>8</v>
      </c>
      <c r="M8796" s="23" t="s">
        <v>8</v>
      </c>
    </row>
    <row r="8797" spans="1:13" s="21" customFormat="1" x14ac:dyDescent="0.25">
      <c r="A8797" s="22" t="s">
        <v>8</v>
      </c>
      <c r="B8797" s="18" t="str">
        <f>"335377"</f>
        <v>335377</v>
      </c>
      <c r="C8797" s="19" t="s">
        <v>8670</v>
      </c>
      <c r="D8797" s="19" t="s">
        <v>24214</v>
      </c>
      <c r="E8797" s="19" t="s">
        <v>30815</v>
      </c>
      <c r="F8797" s="19" t="s">
        <v>36006</v>
      </c>
      <c r="G8797" s="18" t="str">
        <f>"12182"</f>
        <v>12182</v>
      </c>
      <c r="H8797" s="19" t="s">
        <v>32254</v>
      </c>
      <c r="I8797" s="20">
        <v>20.893999999999998</v>
      </c>
      <c r="J8797" s="44" t="s">
        <v>8</v>
      </c>
      <c r="K8797" s="23" t="s">
        <v>8</v>
      </c>
      <c r="L8797" s="23" t="s">
        <v>8</v>
      </c>
      <c r="M8797" s="23" t="s">
        <v>8</v>
      </c>
    </row>
    <row r="8798" spans="1:13" s="21" customFormat="1" x14ac:dyDescent="0.25">
      <c r="A8798" s="22" t="s">
        <v>8</v>
      </c>
      <c r="B8798" s="18" t="str">
        <f>"335378"</f>
        <v>335378</v>
      </c>
      <c r="C8798" s="19" t="s">
        <v>8671</v>
      </c>
      <c r="D8798" s="19" t="s">
        <v>24215</v>
      </c>
      <c r="E8798" s="19" t="s">
        <v>34121</v>
      </c>
      <c r="F8798" s="19" t="s">
        <v>36006</v>
      </c>
      <c r="G8798" s="18" t="str">
        <f>"14551"</f>
        <v>14551</v>
      </c>
      <c r="H8798" s="19" t="s">
        <v>33280</v>
      </c>
      <c r="I8798" s="20">
        <v>20.297999999999998</v>
      </c>
      <c r="J8798" s="44" t="s">
        <v>8</v>
      </c>
      <c r="K8798" s="23" t="s">
        <v>8</v>
      </c>
      <c r="L8798" s="23" t="s">
        <v>8</v>
      </c>
      <c r="M8798" s="23" t="s">
        <v>8</v>
      </c>
    </row>
    <row r="8799" spans="1:13" s="21" customFormat="1" x14ac:dyDescent="0.25">
      <c r="A8799" s="22" t="s">
        <v>8</v>
      </c>
      <c r="B8799" s="18" t="str">
        <f>"335379"</f>
        <v>335379</v>
      </c>
      <c r="C8799" s="19" t="s">
        <v>8672</v>
      </c>
      <c r="D8799" s="19" t="s">
        <v>24216</v>
      </c>
      <c r="E8799" s="19" t="s">
        <v>33182</v>
      </c>
      <c r="F8799" s="19" t="s">
        <v>36006</v>
      </c>
      <c r="G8799" s="18" t="str">
        <f>"11368"</f>
        <v>11368</v>
      </c>
      <c r="H8799" s="19" t="s">
        <v>36598</v>
      </c>
      <c r="I8799" s="20">
        <v>20.361000000000001</v>
      </c>
      <c r="J8799" s="44" t="s">
        <v>8</v>
      </c>
      <c r="K8799" s="23" t="s">
        <v>8</v>
      </c>
      <c r="L8799" s="23" t="s">
        <v>8</v>
      </c>
      <c r="M8799" s="23" t="s">
        <v>8</v>
      </c>
    </row>
    <row r="8800" spans="1:13" s="21" customFormat="1" x14ac:dyDescent="0.25">
      <c r="A8800" s="22" t="s">
        <v>8</v>
      </c>
      <c r="B8800" s="18" t="str">
        <f>"335380"</f>
        <v>335380</v>
      </c>
      <c r="C8800" s="19" t="s">
        <v>8673</v>
      </c>
      <c r="D8800" s="19" t="s">
        <v>24217</v>
      </c>
      <c r="E8800" s="19" t="s">
        <v>34122</v>
      </c>
      <c r="F8800" s="19" t="s">
        <v>36006</v>
      </c>
      <c r="G8800" s="18" t="str">
        <f>"10952"</f>
        <v>10952</v>
      </c>
      <c r="H8800" s="19" t="s">
        <v>32912</v>
      </c>
      <c r="I8800" s="20">
        <v>17.434999999999999</v>
      </c>
      <c r="J8800" s="44" t="s">
        <v>8</v>
      </c>
      <c r="K8800" s="23" t="s">
        <v>8</v>
      </c>
      <c r="L8800" s="23" t="s">
        <v>8</v>
      </c>
      <c r="M8800" s="23" t="s">
        <v>8</v>
      </c>
    </row>
    <row r="8801" spans="1:13" s="21" customFormat="1" x14ac:dyDescent="0.25">
      <c r="A8801" s="22" t="s">
        <v>8</v>
      </c>
      <c r="B8801" s="18" t="str">
        <f>"335381"</f>
        <v>335381</v>
      </c>
      <c r="C8801" s="19" t="s">
        <v>8674</v>
      </c>
      <c r="D8801" s="19" t="s">
        <v>24218</v>
      </c>
      <c r="E8801" s="19" t="s">
        <v>31443</v>
      </c>
      <c r="F8801" s="19" t="s">
        <v>36006</v>
      </c>
      <c r="G8801" s="18" t="str">
        <f>"11212"</f>
        <v>11212</v>
      </c>
      <c r="H8801" s="19" t="s">
        <v>36091</v>
      </c>
      <c r="I8801" s="20">
        <v>17.861000000000001</v>
      </c>
      <c r="J8801" s="44" t="s">
        <v>8</v>
      </c>
      <c r="K8801" s="23" t="s">
        <v>8</v>
      </c>
      <c r="L8801" s="23" t="s">
        <v>8</v>
      </c>
      <c r="M8801" s="23" t="s">
        <v>8</v>
      </c>
    </row>
    <row r="8802" spans="1:13" s="21" customFormat="1" x14ac:dyDescent="0.25">
      <c r="A8802" s="22" t="s">
        <v>8</v>
      </c>
      <c r="B8802" s="18" t="str">
        <f>"335382"</f>
        <v>335382</v>
      </c>
      <c r="C8802" s="19" t="s">
        <v>8675</v>
      </c>
      <c r="D8802" s="19" t="s">
        <v>24219</v>
      </c>
      <c r="E8802" s="19" t="s">
        <v>30926</v>
      </c>
      <c r="F8802" s="19" t="s">
        <v>36006</v>
      </c>
      <c r="G8802" s="18" t="str">
        <f>"13021"</f>
        <v>13021</v>
      </c>
      <c r="H8802" s="19" t="s">
        <v>36597</v>
      </c>
      <c r="I8802" s="20">
        <v>15.146000000000001</v>
      </c>
      <c r="J8802" s="44" t="s">
        <v>8</v>
      </c>
      <c r="K8802" s="23" t="s">
        <v>8</v>
      </c>
      <c r="L8802" s="23" t="s">
        <v>8</v>
      </c>
      <c r="M8802" s="23" t="s">
        <v>8</v>
      </c>
    </row>
    <row r="8803" spans="1:13" s="21" customFormat="1" x14ac:dyDescent="0.25">
      <c r="A8803" s="22" t="s">
        <v>8</v>
      </c>
      <c r="B8803" s="18" t="str">
        <f>"335383"</f>
        <v>335383</v>
      </c>
      <c r="C8803" s="19" t="s">
        <v>8676</v>
      </c>
      <c r="D8803" s="19" t="s">
        <v>24220</v>
      </c>
      <c r="E8803" s="19" t="s">
        <v>34123</v>
      </c>
      <c r="F8803" s="19" t="s">
        <v>36006</v>
      </c>
      <c r="G8803" s="18" t="str">
        <f>"10522"</f>
        <v>10522</v>
      </c>
      <c r="H8803" s="19" t="s">
        <v>32061</v>
      </c>
      <c r="I8803" s="20">
        <v>19.975999999999999</v>
      </c>
      <c r="J8803" s="44" t="s">
        <v>8</v>
      </c>
      <c r="K8803" s="23" t="s">
        <v>8</v>
      </c>
      <c r="L8803" s="23" t="s">
        <v>8</v>
      </c>
      <c r="M8803" s="23" t="s">
        <v>8</v>
      </c>
    </row>
    <row r="8804" spans="1:13" s="21" customFormat="1" x14ac:dyDescent="0.25">
      <c r="A8804" s="22" t="s">
        <v>8</v>
      </c>
      <c r="B8804" s="18" t="str">
        <f>"335386"</f>
        <v>335386</v>
      </c>
      <c r="C8804" s="19" t="s">
        <v>8677</v>
      </c>
      <c r="D8804" s="19" t="s">
        <v>24221</v>
      </c>
      <c r="E8804" s="19" t="s">
        <v>34124</v>
      </c>
      <c r="F8804" s="19" t="s">
        <v>36006</v>
      </c>
      <c r="G8804" s="18" t="str">
        <f>"13357"</f>
        <v>13357</v>
      </c>
      <c r="H8804" s="19" t="s">
        <v>34159</v>
      </c>
      <c r="I8804" s="20">
        <v>18.312000000000001</v>
      </c>
      <c r="J8804" s="44" t="s">
        <v>8</v>
      </c>
      <c r="K8804" s="23" t="s">
        <v>8</v>
      </c>
      <c r="L8804" s="23" t="s">
        <v>8</v>
      </c>
      <c r="M8804" s="23" t="s">
        <v>8</v>
      </c>
    </row>
    <row r="8805" spans="1:13" s="21" customFormat="1" x14ac:dyDescent="0.25">
      <c r="A8805" s="22" t="s">
        <v>8</v>
      </c>
      <c r="B8805" s="18" t="str">
        <f>"335387"</f>
        <v>335387</v>
      </c>
      <c r="C8805" s="19" t="s">
        <v>8678</v>
      </c>
      <c r="D8805" s="19" t="s">
        <v>24222</v>
      </c>
      <c r="E8805" s="19" t="s">
        <v>34042</v>
      </c>
      <c r="F8805" s="19" t="s">
        <v>36006</v>
      </c>
      <c r="G8805" s="18" t="str">
        <f>"11691"</f>
        <v>11691</v>
      </c>
      <c r="H8805" s="19" t="s">
        <v>36598</v>
      </c>
      <c r="I8805" s="20">
        <v>21.177</v>
      </c>
      <c r="J8805" s="44" t="s">
        <v>8</v>
      </c>
      <c r="K8805" s="23" t="s">
        <v>8</v>
      </c>
      <c r="L8805" s="23" t="s">
        <v>8</v>
      </c>
      <c r="M8805" s="23" t="s">
        <v>8</v>
      </c>
    </row>
    <row r="8806" spans="1:13" s="21" customFormat="1" x14ac:dyDescent="0.25">
      <c r="A8806" s="22" t="s">
        <v>8</v>
      </c>
      <c r="B8806" s="18" t="str">
        <f>"335388"</f>
        <v>335388</v>
      </c>
      <c r="C8806" s="19" t="s">
        <v>8679</v>
      </c>
      <c r="D8806" s="19" t="s">
        <v>24223</v>
      </c>
      <c r="E8806" s="19" t="s">
        <v>34037</v>
      </c>
      <c r="F8806" s="19" t="s">
        <v>36006</v>
      </c>
      <c r="G8806" s="18" t="str">
        <f>"10466"</f>
        <v>10466</v>
      </c>
      <c r="H8806" s="19" t="s">
        <v>34037</v>
      </c>
      <c r="I8806" s="20">
        <v>19.152999999999999</v>
      </c>
      <c r="J8806" s="44" t="s">
        <v>8</v>
      </c>
      <c r="K8806" s="23" t="s">
        <v>8</v>
      </c>
      <c r="L8806" s="23" t="s">
        <v>8</v>
      </c>
      <c r="M8806" s="23" t="s">
        <v>8</v>
      </c>
    </row>
    <row r="8807" spans="1:13" s="21" customFormat="1" x14ac:dyDescent="0.25">
      <c r="A8807" s="22" t="s">
        <v>8</v>
      </c>
      <c r="B8807" s="18" t="str">
        <f>"335389"</f>
        <v>335389</v>
      </c>
      <c r="C8807" s="19" t="s">
        <v>8680</v>
      </c>
      <c r="D8807" s="19" t="s">
        <v>24224</v>
      </c>
      <c r="E8807" s="19" t="s">
        <v>33740</v>
      </c>
      <c r="F8807" s="19" t="s">
        <v>36006</v>
      </c>
      <c r="G8807" s="18" t="str">
        <f>"12541"</f>
        <v>12541</v>
      </c>
      <c r="H8807" s="19" t="s">
        <v>32076</v>
      </c>
      <c r="I8807" s="20">
        <v>24.029</v>
      </c>
      <c r="J8807" s="44" t="s">
        <v>8</v>
      </c>
      <c r="K8807" s="23" t="s">
        <v>8</v>
      </c>
      <c r="L8807" s="23" t="s">
        <v>8</v>
      </c>
      <c r="M8807" s="23" t="s">
        <v>8</v>
      </c>
    </row>
    <row r="8808" spans="1:13" s="21" customFormat="1" x14ac:dyDescent="0.25">
      <c r="A8808" s="22" t="s">
        <v>8</v>
      </c>
      <c r="B8808" s="18" t="str">
        <f>"335390"</f>
        <v>335390</v>
      </c>
      <c r="C8808" s="19" t="s">
        <v>8681</v>
      </c>
      <c r="D8808" s="19" t="s">
        <v>24225</v>
      </c>
      <c r="E8808" s="19" t="s">
        <v>34125</v>
      </c>
      <c r="F8808" s="19" t="s">
        <v>36006</v>
      </c>
      <c r="G8808" s="18" t="str">
        <f>"11953"</f>
        <v>11953</v>
      </c>
      <c r="H8808" s="19" t="s">
        <v>35389</v>
      </c>
      <c r="I8808" s="20">
        <v>20.422999999999998</v>
      </c>
      <c r="J8808" s="44" t="s">
        <v>8</v>
      </c>
      <c r="K8808" s="23" t="s">
        <v>8</v>
      </c>
      <c r="L8808" s="23" t="s">
        <v>8</v>
      </c>
      <c r="M8808" s="23" t="s">
        <v>8</v>
      </c>
    </row>
    <row r="8809" spans="1:13" s="21" customFormat="1" x14ac:dyDescent="0.25">
      <c r="A8809" s="22" t="s">
        <v>8</v>
      </c>
      <c r="B8809" s="18" t="str">
        <f>"335391"</f>
        <v>335391</v>
      </c>
      <c r="C8809" s="19" t="s">
        <v>8682</v>
      </c>
      <c r="D8809" s="19" t="s">
        <v>24226</v>
      </c>
      <c r="E8809" s="19" t="s">
        <v>33772</v>
      </c>
      <c r="F8809" s="19" t="s">
        <v>36006</v>
      </c>
      <c r="G8809" s="18" t="str">
        <f>"14072"</f>
        <v>14072</v>
      </c>
      <c r="H8809" s="19" t="s">
        <v>34805</v>
      </c>
      <c r="I8809" s="20">
        <v>18.619</v>
      </c>
      <c r="J8809" s="44" t="s">
        <v>8</v>
      </c>
      <c r="K8809" s="23" t="s">
        <v>8</v>
      </c>
      <c r="L8809" s="23" t="s">
        <v>8</v>
      </c>
      <c r="M8809" s="23" t="s">
        <v>8</v>
      </c>
    </row>
    <row r="8810" spans="1:13" s="21" customFormat="1" x14ac:dyDescent="0.25">
      <c r="A8810" s="22" t="s">
        <v>8</v>
      </c>
      <c r="B8810" s="18" t="str">
        <f>"335392"</f>
        <v>335392</v>
      </c>
      <c r="C8810" s="19" t="s">
        <v>8683</v>
      </c>
      <c r="D8810" s="19" t="s">
        <v>24227</v>
      </c>
      <c r="E8810" s="19" t="s">
        <v>34030</v>
      </c>
      <c r="F8810" s="19" t="s">
        <v>36006</v>
      </c>
      <c r="G8810" s="18" t="str">
        <f>"13045"</f>
        <v>13045</v>
      </c>
      <c r="H8810" s="19" t="s">
        <v>34030</v>
      </c>
      <c r="I8810" s="20">
        <v>17.71</v>
      </c>
      <c r="J8810" s="44" t="s">
        <v>8</v>
      </c>
      <c r="K8810" s="23" t="s">
        <v>8</v>
      </c>
      <c r="L8810" s="23" t="s">
        <v>8</v>
      </c>
      <c r="M8810" s="23" t="s">
        <v>8</v>
      </c>
    </row>
    <row r="8811" spans="1:13" s="21" customFormat="1" x14ac:dyDescent="0.25">
      <c r="A8811" s="22" t="s">
        <v>8</v>
      </c>
      <c r="B8811" s="18" t="str">
        <f>"335393"</f>
        <v>335393</v>
      </c>
      <c r="C8811" s="19" t="s">
        <v>8684</v>
      </c>
      <c r="D8811" s="19" t="s">
        <v>24228</v>
      </c>
      <c r="E8811" s="19" t="s">
        <v>34126</v>
      </c>
      <c r="F8811" s="19" t="s">
        <v>36006</v>
      </c>
      <c r="G8811" s="18" t="str">
        <f>"13790"</f>
        <v>13790</v>
      </c>
      <c r="H8811" s="19" t="s">
        <v>36600</v>
      </c>
      <c r="I8811" s="20">
        <v>20.120999999999999</v>
      </c>
      <c r="J8811" s="44" t="s">
        <v>8</v>
      </c>
      <c r="K8811" s="23" t="s">
        <v>8</v>
      </c>
      <c r="L8811" s="23" t="s">
        <v>8</v>
      </c>
      <c r="M8811" s="23" t="s">
        <v>8</v>
      </c>
    </row>
    <row r="8812" spans="1:13" s="21" customFormat="1" x14ac:dyDescent="0.25">
      <c r="A8812" s="22" t="s">
        <v>8</v>
      </c>
      <c r="B8812" s="18" t="str">
        <f>"335394"</f>
        <v>335394</v>
      </c>
      <c r="C8812" s="19" t="s">
        <v>8685</v>
      </c>
      <c r="D8812" s="19" t="s">
        <v>24229</v>
      </c>
      <c r="E8812" s="19" t="s">
        <v>34115</v>
      </c>
      <c r="F8812" s="19" t="s">
        <v>36006</v>
      </c>
      <c r="G8812" s="18" t="str">
        <f>"12866"</f>
        <v>12866</v>
      </c>
      <c r="H8812" s="19" t="s">
        <v>31201</v>
      </c>
      <c r="I8812" s="20">
        <v>16.925999999999998</v>
      </c>
      <c r="J8812" s="44" t="s">
        <v>8</v>
      </c>
      <c r="K8812" s="23" t="s">
        <v>8</v>
      </c>
      <c r="L8812" s="23" t="s">
        <v>8</v>
      </c>
      <c r="M8812" s="23" t="s">
        <v>8</v>
      </c>
    </row>
    <row r="8813" spans="1:13" s="21" customFormat="1" x14ac:dyDescent="0.25">
      <c r="A8813" s="22" t="s">
        <v>8</v>
      </c>
      <c r="B8813" s="18" t="str">
        <f>"335396"</f>
        <v>335396</v>
      </c>
      <c r="C8813" s="19" t="s">
        <v>8686</v>
      </c>
      <c r="D8813" s="19" t="s">
        <v>24230</v>
      </c>
      <c r="E8813" s="19" t="s">
        <v>30833</v>
      </c>
      <c r="F8813" s="19" t="s">
        <v>36006</v>
      </c>
      <c r="G8813" s="18" t="str">
        <f>"12549"</f>
        <v>12549</v>
      </c>
      <c r="H8813" s="19" t="s">
        <v>31169</v>
      </c>
      <c r="I8813" s="20">
        <v>20.661999999999999</v>
      </c>
      <c r="J8813" s="44" t="s">
        <v>8</v>
      </c>
      <c r="K8813" s="23" t="s">
        <v>8</v>
      </c>
      <c r="L8813" s="23" t="s">
        <v>8</v>
      </c>
      <c r="M8813" s="23" t="s">
        <v>8</v>
      </c>
    </row>
    <row r="8814" spans="1:13" s="21" customFormat="1" x14ac:dyDescent="0.25">
      <c r="A8814" s="22" t="s">
        <v>8</v>
      </c>
      <c r="B8814" s="18" t="str">
        <f>"335397"</f>
        <v>335397</v>
      </c>
      <c r="C8814" s="19" t="s">
        <v>8687</v>
      </c>
      <c r="D8814" s="19" t="s">
        <v>24231</v>
      </c>
      <c r="E8814" s="19" t="s">
        <v>34102</v>
      </c>
      <c r="F8814" s="19" t="s">
        <v>36006</v>
      </c>
      <c r="G8814" s="18" t="str">
        <f>"14103"</f>
        <v>14103</v>
      </c>
      <c r="H8814" s="19" t="s">
        <v>36365</v>
      </c>
      <c r="I8814" s="20">
        <v>20.782</v>
      </c>
      <c r="J8814" s="44" t="s">
        <v>8</v>
      </c>
      <c r="K8814" s="23" t="s">
        <v>8</v>
      </c>
      <c r="L8814" s="23" t="s">
        <v>8</v>
      </c>
      <c r="M8814" s="23" t="s">
        <v>8</v>
      </c>
    </row>
    <row r="8815" spans="1:13" s="21" customFormat="1" x14ac:dyDescent="0.25">
      <c r="A8815" s="22" t="s">
        <v>8</v>
      </c>
      <c r="B8815" s="18" t="str">
        <f>"335398"</f>
        <v>335398</v>
      </c>
      <c r="C8815" s="19" t="s">
        <v>8688</v>
      </c>
      <c r="D8815" s="19" t="s">
        <v>24232</v>
      </c>
      <c r="E8815" s="19" t="s">
        <v>34052</v>
      </c>
      <c r="F8815" s="19" t="s">
        <v>36006</v>
      </c>
      <c r="G8815" s="18" t="str">
        <f>"10703"</f>
        <v>10703</v>
      </c>
      <c r="H8815" s="19" t="s">
        <v>32061</v>
      </c>
      <c r="I8815" s="20">
        <v>22.048999999999999</v>
      </c>
      <c r="J8815" s="44" t="s">
        <v>8</v>
      </c>
      <c r="K8815" s="23" t="s">
        <v>8</v>
      </c>
      <c r="L8815" s="23" t="s">
        <v>8</v>
      </c>
      <c r="M8815" s="23" t="s">
        <v>8</v>
      </c>
    </row>
    <row r="8816" spans="1:13" s="21" customFormat="1" x14ac:dyDescent="0.25">
      <c r="A8816" s="22" t="s">
        <v>8</v>
      </c>
      <c r="B8816" s="18" t="str">
        <f>"335399"</f>
        <v>335399</v>
      </c>
      <c r="C8816" s="19" t="s">
        <v>8689</v>
      </c>
      <c r="D8816" s="19" t="s">
        <v>24233</v>
      </c>
      <c r="E8816" s="19" t="s">
        <v>31280</v>
      </c>
      <c r="F8816" s="19" t="s">
        <v>36006</v>
      </c>
      <c r="G8816" s="18" t="str">
        <f>"12528"</f>
        <v>12528</v>
      </c>
      <c r="H8816" s="19" t="s">
        <v>36603</v>
      </c>
      <c r="I8816" s="20">
        <v>17.742000000000001</v>
      </c>
      <c r="J8816" s="44" t="s">
        <v>8</v>
      </c>
      <c r="K8816" s="23" t="s">
        <v>8</v>
      </c>
      <c r="L8816" s="23" t="s">
        <v>8</v>
      </c>
      <c r="M8816" s="23" t="s">
        <v>8</v>
      </c>
    </row>
    <row r="8817" spans="1:13" s="21" customFormat="1" x14ac:dyDescent="0.25">
      <c r="A8817" s="22" t="s">
        <v>8</v>
      </c>
      <c r="B8817" s="18" t="str">
        <f>"335400"</f>
        <v>335400</v>
      </c>
      <c r="C8817" s="19" t="s">
        <v>8690</v>
      </c>
      <c r="D8817" s="19" t="s">
        <v>24234</v>
      </c>
      <c r="E8817" s="19" t="s">
        <v>32003</v>
      </c>
      <c r="F8817" s="19" t="s">
        <v>36006</v>
      </c>
      <c r="G8817" s="18" t="str">
        <f>"13165"</f>
        <v>13165</v>
      </c>
      <c r="H8817" s="19" t="s">
        <v>32641</v>
      </c>
      <c r="I8817" s="20">
        <v>20.949000000000002</v>
      </c>
      <c r="J8817" s="44" t="s">
        <v>8</v>
      </c>
      <c r="K8817" s="23" t="s">
        <v>8</v>
      </c>
      <c r="L8817" s="23" t="s">
        <v>8</v>
      </c>
      <c r="M8817" s="23" t="s">
        <v>8</v>
      </c>
    </row>
    <row r="8818" spans="1:13" s="21" customFormat="1" x14ac:dyDescent="0.25">
      <c r="A8818" s="22" t="s">
        <v>8</v>
      </c>
      <c r="B8818" s="18" t="str">
        <f>"335401"</f>
        <v>335401</v>
      </c>
      <c r="C8818" s="19" t="s">
        <v>8691</v>
      </c>
      <c r="D8818" s="19" t="s">
        <v>24235</v>
      </c>
      <c r="E8818" s="19" t="s">
        <v>34127</v>
      </c>
      <c r="F8818" s="19" t="s">
        <v>36006</v>
      </c>
      <c r="G8818" s="18" t="str">
        <f>"11730"</f>
        <v>11730</v>
      </c>
      <c r="H8818" s="19" t="s">
        <v>35389</v>
      </c>
      <c r="I8818" s="20">
        <v>21.672000000000001</v>
      </c>
      <c r="J8818" s="44" t="s">
        <v>8</v>
      </c>
      <c r="K8818" s="23" t="s">
        <v>8</v>
      </c>
      <c r="L8818" s="23" t="s">
        <v>8</v>
      </c>
      <c r="M8818" s="23" t="s">
        <v>8</v>
      </c>
    </row>
    <row r="8819" spans="1:13" s="21" customFormat="1" x14ac:dyDescent="0.25">
      <c r="A8819" s="22" t="s">
        <v>8</v>
      </c>
      <c r="B8819" s="18" t="str">
        <f>"335402"</f>
        <v>335402</v>
      </c>
      <c r="C8819" s="19" t="s">
        <v>8692</v>
      </c>
      <c r="D8819" s="19" t="s">
        <v>24236</v>
      </c>
      <c r="E8819" s="19" t="s">
        <v>34128</v>
      </c>
      <c r="F8819" s="19" t="s">
        <v>36006</v>
      </c>
      <c r="G8819" s="18" t="str">
        <f>"11934"</f>
        <v>11934</v>
      </c>
      <c r="H8819" s="19" t="s">
        <v>35389</v>
      </c>
      <c r="I8819" s="20">
        <v>19.193000000000001</v>
      </c>
      <c r="J8819" s="44" t="s">
        <v>8</v>
      </c>
      <c r="K8819" s="23" t="s">
        <v>8</v>
      </c>
      <c r="L8819" s="23" t="s">
        <v>8</v>
      </c>
      <c r="M8819" s="23" t="s">
        <v>8</v>
      </c>
    </row>
    <row r="8820" spans="1:13" s="21" customFormat="1" x14ac:dyDescent="0.25">
      <c r="A8820" s="22" t="s">
        <v>8</v>
      </c>
      <c r="B8820" s="18" t="str">
        <f>"335403"</f>
        <v>335403</v>
      </c>
      <c r="C8820" s="19" t="s">
        <v>8693</v>
      </c>
      <c r="D8820" s="19" t="s">
        <v>24237</v>
      </c>
      <c r="E8820" s="19" t="s">
        <v>31494</v>
      </c>
      <c r="F8820" s="19" t="s">
        <v>36006</v>
      </c>
      <c r="G8820" s="18" t="str">
        <f>"14513"</f>
        <v>14513</v>
      </c>
      <c r="H8820" s="19" t="s">
        <v>33280</v>
      </c>
      <c r="I8820" s="20">
        <v>22.085000000000001</v>
      </c>
      <c r="J8820" s="44" t="s">
        <v>8</v>
      </c>
      <c r="K8820" s="23" t="s">
        <v>8</v>
      </c>
      <c r="L8820" s="23" t="s">
        <v>8</v>
      </c>
      <c r="M8820" s="23" t="s">
        <v>8</v>
      </c>
    </row>
    <row r="8821" spans="1:13" s="21" customFormat="1" x14ac:dyDescent="0.25">
      <c r="A8821" s="22" t="s">
        <v>8</v>
      </c>
      <c r="B8821" s="18" t="str">
        <f>"335404"</f>
        <v>335404</v>
      </c>
      <c r="C8821" s="19" t="s">
        <v>8694</v>
      </c>
      <c r="D8821" s="19" t="s">
        <v>24238</v>
      </c>
      <c r="E8821" s="19" t="s">
        <v>34129</v>
      </c>
      <c r="F8821" s="19" t="s">
        <v>36006</v>
      </c>
      <c r="G8821" s="18" t="str">
        <f>"12580"</f>
        <v>12580</v>
      </c>
      <c r="H8821" s="19" t="s">
        <v>36604</v>
      </c>
      <c r="I8821" s="20">
        <v>20.189</v>
      </c>
      <c r="J8821" s="44" t="s">
        <v>8</v>
      </c>
      <c r="K8821" s="23" t="s">
        <v>8</v>
      </c>
      <c r="L8821" s="23" t="s">
        <v>8</v>
      </c>
      <c r="M8821" s="23" t="s">
        <v>8</v>
      </c>
    </row>
    <row r="8822" spans="1:13" s="21" customFormat="1" x14ac:dyDescent="0.25">
      <c r="A8822" s="22" t="s">
        <v>8</v>
      </c>
      <c r="B8822" s="18" t="str">
        <f>"335405"</f>
        <v>335405</v>
      </c>
      <c r="C8822" s="19" t="s">
        <v>8695</v>
      </c>
      <c r="D8822" s="19" t="s">
        <v>24239</v>
      </c>
      <c r="E8822" s="19" t="s">
        <v>34113</v>
      </c>
      <c r="F8822" s="19" t="s">
        <v>36006</v>
      </c>
      <c r="G8822" s="18" t="str">
        <f>"12572"</f>
        <v>12572</v>
      </c>
      <c r="H8822" s="19" t="s">
        <v>36604</v>
      </c>
      <c r="I8822" s="20">
        <v>17.126999999999999</v>
      </c>
      <c r="J8822" s="44" t="s">
        <v>8</v>
      </c>
      <c r="K8822" s="23" t="s">
        <v>8</v>
      </c>
      <c r="L8822" s="23" t="s">
        <v>8</v>
      </c>
      <c r="M8822" s="23" t="s">
        <v>8</v>
      </c>
    </row>
    <row r="8823" spans="1:13" s="21" customFormat="1" x14ac:dyDescent="0.25">
      <c r="A8823" s="22" t="s">
        <v>8</v>
      </c>
      <c r="B8823" s="18" t="str">
        <f>"335406"</f>
        <v>335406</v>
      </c>
      <c r="C8823" s="19" t="s">
        <v>8696</v>
      </c>
      <c r="D8823" s="19" t="s">
        <v>24240</v>
      </c>
      <c r="E8823" s="19" t="s">
        <v>31757</v>
      </c>
      <c r="F8823" s="19" t="s">
        <v>36006</v>
      </c>
      <c r="G8823" s="18" t="str">
        <f>"14489"</f>
        <v>14489</v>
      </c>
      <c r="H8823" s="19" t="s">
        <v>33280</v>
      </c>
      <c r="I8823" s="20">
        <v>18.997</v>
      </c>
      <c r="J8823" s="44" t="s">
        <v>8</v>
      </c>
      <c r="K8823" s="23" t="s">
        <v>8</v>
      </c>
      <c r="L8823" s="23" t="s">
        <v>8</v>
      </c>
      <c r="M8823" s="23" t="s">
        <v>8</v>
      </c>
    </row>
    <row r="8824" spans="1:13" s="21" customFormat="1" x14ac:dyDescent="0.25">
      <c r="A8824" s="22" t="s">
        <v>8</v>
      </c>
      <c r="B8824" s="18" t="str">
        <f>"335407"</f>
        <v>335407</v>
      </c>
      <c r="C8824" s="19" t="s">
        <v>8697</v>
      </c>
      <c r="D8824" s="19" t="s">
        <v>24241</v>
      </c>
      <c r="E8824" s="19" t="s">
        <v>34130</v>
      </c>
      <c r="F8824" s="19" t="s">
        <v>36006</v>
      </c>
      <c r="G8824" s="18" t="str">
        <f>"14526"</f>
        <v>14526</v>
      </c>
      <c r="H8824" s="19" t="s">
        <v>31711</v>
      </c>
      <c r="I8824" s="20">
        <v>18.486000000000001</v>
      </c>
      <c r="J8824" s="44" t="s">
        <v>8</v>
      </c>
      <c r="K8824" s="23" t="s">
        <v>8</v>
      </c>
      <c r="L8824" s="23" t="s">
        <v>8</v>
      </c>
      <c r="M8824" s="23" t="s">
        <v>8</v>
      </c>
    </row>
    <row r="8825" spans="1:13" s="21" customFormat="1" x14ac:dyDescent="0.25">
      <c r="A8825" s="22" t="s">
        <v>8</v>
      </c>
      <c r="B8825" s="18" t="str">
        <f>"335408"</f>
        <v>335408</v>
      </c>
      <c r="C8825" s="19" t="s">
        <v>8698</v>
      </c>
      <c r="D8825" s="19" t="s">
        <v>24242</v>
      </c>
      <c r="E8825" s="19" t="s">
        <v>34131</v>
      </c>
      <c r="F8825" s="19" t="s">
        <v>36006</v>
      </c>
      <c r="G8825" s="18" t="str">
        <f>"14559"</f>
        <v>14559</v>
      </c>
      <c r="H8825" s="19" t="s">
        <v>31711</v>
      </c>
      <c r="I8825" s="20">
        <v>18.574999999999999</v>
      </c>
      <c r="J8825" s="44" t="s">
        <v>8</v>
      </c>
      <c r="K8825" s="23" t="s">
        <v>8</v>
      </c>
      <c r="L8825" s="23" t="s">
        <v>8</v>
      </c>
      <c r="M8825" s="23" t="s">
        <v>8</v>
      </c>
    </row>
    <row r="8826" spans="1:13" s="21" customFormat="1" x14ac:dyDescent="0.25">
      <c r="A8826" s="22" t="s">
        <v>8</v>
      </c>
      <c r="B8826" s="18" t="str">
        <f>"335409"</f>
        <v>335409</v>
      </c>
      <c r="C8826" s="19" t="s">
        <v>6922</v>
      </c>
      <c r="D8826" s="19" t="s">
        <v>24243</v>
      </c>
      <c r="E8826" s="19" t="s">
        <v>34132</v>
      </c>
      <c r="F8826" s="19" t="s">
        <v>36006</v>
      </c>
      <c r="G8826" s="18" t="str">
        <f>"13057"</f>
        <v>13057</v>
      </c>
      <c r="H8826" s="19" t="s">
        <v>36602</v>
      </c>
      <c r="I8826" s="20">
        <v>20.018999999999998</v>
      </c>
      <c r="J8826" s="44" t="s">
        <v>8</v>
      </c>
      <c r="K8826" s="23" t="s">
        <v>8</v>
      </c>
      <c r="L8826" s="23" t="s">
        <v>8</v>
      </c>
      <c r="M8826" s="23" t="s">
        <v>8</v>
      </c>
    </row>
    <row r="8827" spans="1:13" s="21" customFormat="1" x14ac:dyDescent="0.25">
      <c r="A8827" s="22" t="s">
        <v>8</v>
      </c>
      <c r="B8827" s="18" t="str">
        <f>"335410"</f>
        <v>335410</v>
      </c>
      <c r="C8827" s="19" t="s">
        <v>8699</v>
      </c>
      <c r="D8827" s="19" t="s">
        <v>24244</v>
      </c>
      <c r="E8827" s="19" t="s">
        <v>34133</v>
      </c>
      <c r="F8827" s="19" t="s">
        <v>36006</v>
      </c>
      <c r="G8827" s="18" t="str">
        <f>"11777"</f>
        <v>11777</v>
      </c>
      <c r="H8827" s="19" t="s">
        <v>35389</v>
      </c>
      <c r="I8827" s="20">
        <v>20.204000000000001</v>
      </c>
      <c r="J8827" s="44" t="s">
        <v>8</v>
      </c>
      <c r="K8827" s="23" t="s">
        <v>8</v>
      </c>
      <c r="L8827" s="23" t="s">
        <v>8</v>
      </c>
      <c r="M8827" s="23" t="s">
        <v>8</v>
      </c>
    </row>
    <row r="8828" spans="1:13" s="21" customFormat="1" x14ac:dyDescent="0.25">
      <c r="A8828" s="22" t="s">
        <v>8</v>
      </c>
      <c r="B8828" s="18" t="str">
        <f>"335411"</f>
        <v>335411</v>
      </c>
      <c r="C8828" s="19" t="s">
        <v>8700</v>
      </c>
      <c r="D8828" s="19" t="s">
        <v>24245</v>
      </c>
      <c r="E8828" s="19" t="s">
        <v>31443</v>
      </c>
      <c r="F8828" s="19" t="s">
        <v>36006</v>
      </c>
      <c r="G8828" s="18" t="str">
        <f>"11224"</f>
        <v>11224</v>
      </c>
      <c r="H8828" s="19" t="s">
        <v>36091</v>
      </c>
      <c r="I8828" s="20">
        <v>19.064</v>
      </c>
      <c r="J8828" s="44" t="s">
        <v>8</v>
      </c>
      <c r="K8828" s="23" t="s">
        <v>8</v>
      </c>
      <c r="L8828" s="23" t="s">
        <v>8</v>
      </c>
      <c r="M8828" s="23" t="s">
        <v>8</v>
      </c>
    </row>
    <row r="8829" spans="1:13" s="21" customFormat="1" x14ac:dyDescent="0.25">
      <c r="A8829" s="22" t="s">
        <v>8</v>
      </c>
      <c r="B8829" s="18" t="str">
        <f>"335412"</f>
        <v>335412</v>
      </c>
      <c r="C8829" s="19" t="s">
        <v>8701</v>
      </c>
      <c r="D8829" s="19" t="s">
        <v>24246</v>
      </c>
      <c r="E8829" s="19" t="s">
        <v>34134</v>
      </c>
      <c r="F8829" s="19" t="s">
        <v>36006</v>
      </c>
      <c r="G8829" s="18" t="str">
        <f>"13326"</f>
        <v>13326</v>
      </c>
      <c r="H8829" s="19" t="s">
        <v>36417</v>
      </c>
      <c r="I8829" s="20">
        <v>15.654999999999999</v>
      </c>
      <c r="J8829" s="44" t="s">
        <v>8</v>
      </c>
      <c r="K8829" s="23" t="s">
        <v>8</v>
      </c>
      <c r="L8829" s="23" t="s">
        <v>8</v>
      </c>
      <c r="M8829" s="23" t="s">
        <v>8</v>
      </c>
    </row>
    <row r="8830" spans="1:13" s="21" customFormat="1" x14ac:dyDescent="0.25">
      <c r="A8830" s="22" t="s">
        <v>8</v>
      </c>
      <c r="B8830" s="18" t="str">
        <f>"335413"</f>
        <v>335413</v>
      </c>
      <c r="C8830" s="19" t="s">
        <v>8702</v>
      </c>
      <c r="D8830" s="19" t="s">
        <v>24247</v>
      </c>
      <c r="E8830" s="19" t="s">
        <v>34135</v>
      </c>
      <c r="F8830" s="19" t="s">
        <v>36006</v>
      </c>
      <c r="G8830" s="18" t="str">
        <f>"12809"</f>
        <v>12809</v>
      </c>
      <c r="H8830" s="19" t="s">
        <v>31500</v>
      </c>
      <c r="I8830" s="20">
        <v>19.657</v>
      </c>
      <c r="J8830" s="44" t="s">
        <v>8</v>
      </c>
      <c r="K8830" s="23" t="s">
        <v>8</v>
      </c>
      <c r="L8830" s="23" t="s">
        <v>8</v>
      </c>
      <c r="M8830" s="23" t="s">
        <v>8</v>
      </c>
    </row>
    <row r="8831" spans="1:13" s="21" customFormat="1" x14ac:dyDescent="0.25">
      <c r="A8831" s="22" t="s">
        <v>8</v>
      </c>
      <c r="B8831" s="18" t="str">
        <f>"335415"</f>
        <v>335415</v>
      </c>
      <c r="C8831" s="19" t="s">
        <v>8703</v>
      </c>
      <c r="D8831" s="19" t="s">
        <v>24248</v>
      </c>
      <c r="E8831" s="19" t="s">
        <v>34077</v>
      </c>
      <c r="F8831" s="19" t="s">
        <v>36006</v>
      </c>
      <c r="G8831" s="18" t="str">
        <f>"11692"</f>
        <v>11692</v>
      </c>
      <c r="H8831" s="19" t="s">
        <v>36598</v>
      </c>
      <c r="I8831" s="20">
        <v>20.858000000000001</v>
      </c>
      <c r="J8831" s="44" t="s">
        <v>8</v>
      </c>
      <c r="K8831" s="23" t="s">
        <v>8</v>
      </c>
      <c r="L8831" s="23" t="s">
        <v>8</v>
      </c>
      <c r="M8831" s="23" t="s">
        <v>8</v>
      </c>
    </row>
    <row r="8832" spans="1:13" s="21" customFormat="1" x14ac:dyDescent="0.25">
      <c r="A8832" s="22" t="s">
        <v>8</v>
      </c>
      <c r="B8832" s="18" t="str">
        <f>"335416"</f>
        <v>335416</v>
      </c>
      <c r="C8832" s="19" t="s">
        <v>8704</v>
      </c>
      <c r="D8832" s="19" t="s">
        <v>24249</v>
      </c>
      <c r="E8832" s="19" t="s">
        <v>34136</v>
      </c>
      <c r="F8832" s="19" t="s">
        <v>36006</v>
      </c>
      <c r="G8832" s="18" t="str">
        <f>"11379"</f>
        <v>11379</v>
      </c>
      <c r="H8832" s="19" t="s">
        <v>36598</v>
      </c>
      <c r="I8832" s="20">
        <v>19.466999999999999</v>
      </c>
      <c r="J8832" s="44" t="s">
        <v>8</v>
      </c>
      <c r="K8832" s="23" t="s">
        <v>8</v>
      </c>
      <c r="L8832" s="23" t="s">
        <v>8</v>
      </c>
      <c r="M8832" s="23" t="s">
        <v>8</v>
      </c>
    </row>
    <row r="8833" spans="1:13" s="21" customFormat="1" x14ac:dyDescent="0.25">
      <c r="A8833" s="22" t="s">
        <v>8</v>
      </c>
      <c r="B8833" s="18" t="str">
        <f>"335418"</f>
        <v>335418</v>
      </c>
      <c r="C8833" s="19" t="s">
        <v>8705</v>
      </c>
      <c r="D8833" s="19" t="s">
        <v>24250</v>
      </c>
      <c r="E8833" s="19" t="s">
        <v>34137</v>
      </c>
      <c r="F8833" s="19" t="s">
        <v>36006</v>
      </c>
      <c r="G8833" s="18" t="str">
        <f>"10927"</f>
        <v>10927</v>
      </c>
      <c r="H8833" s="19" t="s">
        <v>32912</v>
      </c>
      <c r="I8833" s="20">
        <v>19.893000000000001</v>
      </c>
      <c r="J8833" s="44" t="s">
        <v>8</v>
      </c>
      <c r="K8833" s="23" t="s">
        <v>8</v>
      </c>
      <c r="L8833" s="23" t="s">
        <v>8</v>
      </c>
      <c r="M8833" s="23" t="s">
        <v>8</v>
      </c>
    </row>
    <row r="8834" spans="1:13" s="21" customFormat="1" x14ac:dyDescent="0.25">
      <c r="A8834" s="22" t="s">
        <v>8</v>
      </c>
      <c r="B8834" s="18" t="str">
        <f>"335419"</f>
        <v>335419</v>
      </c>
      <c r="C8834" s="19" t="s">
        <v>8706</v>
      </c>
      <c r="D8834" s="19" t="s">
        <v>24251</v>
      </c>
      <c r="E8834" s="19" t="s">
        <v>33453</v>
      </c>
      <c r="F8834" s="19" t="s">
        <v>36006</v>
      </c>
      <c r="G8834" s="18" t="str">
        <f>"14214"</f>
        <v>14214</v>
      </c>
      <c r="H8834" s="19" t="s">
        <v>34805</v>
      </c>
      <c r="I8834" s="20">
        <v>18.225000000000001</v>
      </c>
      <c r="J8834" s="44" t="s">
        <v>8</v>
      </c>
      <c r="K8834" s="23" t="s">
        <v>8</v>
      </c>
      <c r="L8834" s="23" t="s">
        <v>8</v>
      </c>
      <c r="M8834" s="23" t="s">
        <v>8</v>
      </c>
    </row>
    <row r="8835" spans="1:13" s="21" customFormat="1" x14ac:dyDescent="0.25">
      <c r="A8835" s="22" t="s">
        <v>8</v>
      </c>
      <c r="B8835" s="18" t="str">
        <f>"335421"</f>
        <v>335421</v>
      </c>
      <c r="C8835" s="19" t="s">
        <v>8707</v>
      </c>
      <c r="D8835" s="19" t="s">
        <v>24252</v>
      </c>
      <c r="E8835" s="19" t="s">
        <v>34138</v>
      </c>
      <c r="F8835" s="19" t="s">
        <v>36006</v>
      </c>
      <c r="G8835" s="18" t="str">
        <f>"10591"</f>
        <v>10591</v>
      </c>
      <c r="H8835" s="19" t="s">
        <v>32061</v>
      </c>
      <c r="I8835" s="20">
        <v>18.405999999999999</v>
      </c>
      <c r="J8835" s="44" t="s">
        <v>8</v>
      </c>
      <c r="K8835" s="23" t="s">
        <v>8</v>
      </c>
      <c r="L8835" s="23" t="s">
        <v>8</v>
      </c>
      <c r="M8835" s="23" t="s">
        <v>8</v>
      </c>
    </row>
    <row r="8836" spans="1:13" s="21" customFormat="1" x14ac:dyDescent="0.25">
      <c r="A8836" s="22" t="s">
        <v>8</v>
      </c>
      <c r="B8836" s="18" t="str">
        <f>"335422"</f>
        <v>335422</v>
      </c>
      <c r="C8836" s="19" t="s">
        <v>8708</v>
      </c>
      <c r="D8836" s="19" t="s">
        <v>24253</v>
      </c>
      <c r="E8836" s="19" t="s">
        <v>34139</v>
      </c>
      <c r="F8836" s="19" t="s">
        <v>36006</v>
      </c>
      <c r="G8836" s="18" t="str">
        <f>"12010"</f>
        <v>12010</v>
      </c>
      <c r="H8836" s="19" t="s">
        <v>30833</v>
      </c>
      <c r="I8836" s="20">
        <v>19.856000000000002</v>
      </c>
      <c r="J8836" s="44" t="s">
        <v>8</v>
      </c>
      <c r="K8836" s="23" t="s">
        <v>8</v>
      </c>
      <c r="L8836" s="23" t="s">
        <v>8</v>
      </c>
      <c r="M8836" s="23" t="s">
        <v>8</v>
      </c>
    </row>
    <row r="8837" spans="1:13" s="21" customFormat="1" x14ac:dyDescent="0.25">
      <c r="A8837" s="22" t="s">
        <v>8</v>
      </c>
      <c r="B8837" s="18" t="str">
        <f>"335423"</f>
        <v>335423</v>
      </c>
      <c r="C8837" s="19" t="s">
        <v>8709</v>
      </c>
      <c r="D8837" s="19" t="s">
        <v>24254</v>
      </c>
      <c r="E8837" s="19" t="s">
        <v>31985</v>
      </c>
      <c r="F8837" s="19" t="s">
        <v>36006</v>
      </c>
      <c r="G8837" s="18" t="str">
        <f>"14020"</f>
        <v>14020</v>
      </c>
      <c r="H8837" s="19" t="s">
        <v>36432</v>
      </c>
      <c r="I8837" s="20">
        <v>17.327999999999999</v>
      </c>
      <c r="J8837" s="44" t="s">
        <v>8</v>
      </c>
      <c r="K8837" s="23" t="s">
        <v>8</v>
      </c>
      <c r="L8837" s="23" t="s">
        <v>8</v>
      </c>
      <c r="M8837" s="23" t="s">
        <v>8</v>
      </c>
    </row>
    <row r="8838" spans="1:13" s="21" customFormat="1" x14ac:dyDescent="0.25">
      <c r="A8838" s="22" t="s">
        <v>8</v>
      </c>
      <c r="B8838" s="18" t="str">
        <f>"335424"</f>
        <v>335424</v>
      </c>
      <c r="C8838" s="19" t="s">
        <v>8710</v>
      </c>
      <c r="D8838" s="19" t="s">
        <v>24255</v>
      </c>
      <c r="E8838" s="19" t="s">
        <v>32998</v>
      </c>
      <c r="F8838" s="19" t="s">
        <v>36006</v>
      </c>
      <c r="G8838" s="18" t="str">
        <f>"10606"</f>
        <v>10606</v>
      </c>
      <c r="H8838" s="19" t="s">
        <v>32061</v>
      </c>
      <c r="I8838" s="20">
        <v>19.757000000000001</v>
      </c>
      <c r="J8838" s="44" t="s">
        <v>8</v>
      </c>
      <c r="K8838" s="23" t="s">
        <v>8</v>
      </c>
      <c r="L8838" s="23" t="s">
        <v>8</v>
      </c>
      <c r="M8838" s="23" t="s">
        <v>8</v>
      </c>
    </row>
    <row r="8839" spans="1:13" s="21" customFormat="1" x14ac:dyDescent="0.25">
      <c r="A8839" s="22" t="s">
        <v>8</v>
      </c>
      <c r="B8839" s="18" t="str">
        <f>"335425"</f>
        <v>335425</v>
      </c>
      <c r="C8839" s="19" t="s">
        <v>8711</v>
      </c>
      <c r="D8839" s="19" t="s">
        <v>24256</v>
      </c>
      <c r="E8839" s="19" t="s">
        <v>31834</v>
      </c>
      <c r="F8839" s="19" t="s">
        <v>36006</v>
      </c>
      <c r="G8839" s="18" t="str">
        <f>"12211"</f>
        <v>12211</v>
      </c>
      <c r="H8839" s="19" t="s">
        <v>31834</v>
      </c>
      <c r="I8839" s="20">
        <v>18.988</v>
      </c>
      <c r="J8839" s="44" t="s">
        <v>8</v>
      </c>
      <c r="K8839" s="23" t="s">
        <v>8</v>
      </c>
      <c r="L8839" s="23" t="s">
        <v>8</v>
      </c>
      <c r="M8839" s="23" t="s">
        <v>8</v>
      </c>
    </row>
    <row r="8840" spans="1:13" s="21" customFormat="1" x14ac:dyDescent="0.25">
      <c r="A8840" s="22" t="s">
        <v>8</v>
      </c>
      <c r="B8840" s="18" t="str">
        <f>"335426"</f>
        <v>335426</v>
      </c>
      <c r="C8840" s="19" t="s">
        <v>8712</v>
      </c>
      <c r="D8840" s="19" t="s">
        <v>24257</v>
      </c>
      <c r="E8840" s="19" t="s">
        <v>33182</v>
      </c>
      <c r="F8840" s="19" t="s">
        <v>36006</v>
      </c>
      <c r="G8840" s="18" t="str">
        <f>"11355"</f>
        <v>11355</v>
      </c>
      <c r="H8840" s="19" t="s">
        <v>36598</v>
      </c>
      <c r="I8840" s="20">
        <v>22.641999999999999</v>
      </c>
      <c r="J8840" s="44" t="s">
        <v>8</v>
      </c>
      <c r="K8840" s="23" t="s">
        <v>8</v>
      </c>
      <c r="L8840" s="23" t="s">
        <v>8</v>
      </c>
      <c r="M8840" s="23" t="s">
        <v>8</v>
      </c>
    </row>
    <row r="8841" spans="1:13" s="21" customFormat="1" x14ac:dyDescent="0.25">
      <c r="A8841" s="22" t="s">
        <v>8</v>
      </c>
      <c r="B8841" s="18" t="str">
        <f>"335427"</f>
        <v>335427</v>
      </c>
      <c r="C8841" s="19" t="s">
        <v>8713</v>
      </c>
      <c r="D8841" s="19" t="s">
        <v>24258</v>
      </c>
      <c r="E8841" s="19" t="s">
        <v>34140</v>
      </c>
      <c r="F8841" s="19" t="s">
        <v>36006</v>
      </c>
      <c r="G8841" s="18" t="str">
        <f>"13421"</f>
        <v>13421</v>
      </c>
      <c r="H8841" s="19" t="s">
        <v>30899</v>
      </c>
      <c r="I8841" s="20">
        <v>14.686</v>
      </c>
      <c r="J8841" s="44" t="s">
        <v>8</v>
      </c>
      <c r="K8841" s="23" t="s">
        <v>8</v>
      </c>
      <c r="L8841" s="23" t="s">
        <v>8</v>
      </c>
      <c r="M8841" s="23" t="s">
        <v>8</v>
      </c>
    </row>
    <row r="8842" spans="1:13" s="21" customFormat="1" x14ac:dyDescent="0.25">
      <c r="A8842" s="22" t="s">
        <v>8</v>
      </c>
      <c r="B8842" s="18" t="str">
        <f>"335428"</f>
        <v>335428</v>
      </c>
      <c r="C8842" s="19" t="s">
        <v>8714</v>
      </c>
      <c r="D8842" s="19" t="s">
        <v>24259</v>
      </c>
      <c r="E8842" s="19" t="s">
        <v>34141</v>
      </c>
      <c r="F8842" s="19" t="s">
        <v>36006</v>
      </c>
      <c r="G8842" s="18" t="str">
        <f>"13367"</f>
        <v>13367</v>
      </c>
      <c r="H8842" s="19" t="s">
        <v>36336</v>
      </c>
      <c r="I8842" s="20">
        <v>18.835000000000001</v>
      </c>
      <c r="J8842" s="44" t="s">
        <v>8</v>
      </c>
      <c r="K8842" s="23" t="s">
        <v>8</v>
      </c>
      <c r="L8842" s="23" t="s">
        <v>8</v>
      </c>
      <c r="M8842" s="23" t="s">
        <v>8</v>
      </c>
    </row>
    <row r="8843" spans="1:13" s="21" customFormat="1" x14ac:dyDescent="0.25">
      <c r="A8843" s="22" t="s">
        <v>8</v>
      </c>
      <c r="B8843" s="18" t="str">
        <f>"335429"</f>
        <v>335429</v>
      </c>
      <c r="C8843" s="19" t="s">
        <v>8715</v>
      </c>
      <c r="D8843" s="19" t="s">
        <v>24260</v>
      </c>
      <c r="E8843" s="19" t="s">
        <v>34142</v>
      </c>
      <c r="F8843" s="19" t="s">
        <v>36006</v>
      </c>
      <c r="G8843" s="18" t="str">
        <f>"12853"</f>
        <v>12853</v>
      </c>
      <c r="H8843" s="19" t="s">
        <v>31025</v>
      </c>
      <c r="I8843" s="20">
        <v>18.677</v>
      </c>
      <c r="J8843" s="44" t="s">
        <v>8</v>
      </c>
      <c r="K8843" s="23" t="s">
        <v>8</v>
      </c>
      <c r="L8843" s="23" t="s">
        <v>8</v>
      </c>
      <c r="M8843" s="23" t="s">
        <v>8</v>
      </c>
    </row>
    <row r="8844" spans="1:13" s="21" customFormat="1" x14ac:dyDescent="0.25">
      <c r="A8844" s="22" t="s">
        <v>8</v>
      </c>
      <c r="B8844" s="18" t="str">
        <f>"335431"</f>
        <v>335431</v>
      </c>
      <c r="C8844" s="19" t="s">
        <v>8716</v>
      </c>
      <c r="D8844" s="19" t="s">
        <v>24261</v>
      </c>
      <c r="E8844" s="19" t="s">
        <v>31419</v>
      </c>
      <c r="F8844" s="19" t="s">
        <v>36006</v>
      </c>
      <c r="G8844" s="18" t="str">
        <f>"13601"</f>
        <v>13601</v>
      </c>
      <c r="H8844" s="19" t="s">
        <v>32391</v>
      </c>
      <c r="I8844" s="20">
        <v>15.528</v>
      </c>
      <c r="J8844" s="44" t="s">
        <v>8</v>
      </c>
      <c r="K8844" s="23" t="s">
        <v>8</v>
      </c>
      <c r="L8844" s="23" t="s">
        <v>8</v>
      </c>
      <c r="M8844" s="23" t="s">
        <v>8</v>
      </c>
    </row>
    <row r="8845" spans="1:13" s="21" customFormat="1" x14ac:dyDescent="0.25">
      <c r="A8845" s="22" t="s">
        <v>8</v>
      </c>
      <c r="B8845" s="18" t="str">
        <f>"335432"</f>
        <v>335432</v>
      </c>
      <c r="C8845" s="19" t="s">
        <v>8717</v>
      </c>
      <c r="D8845" s="19" t="s">
        <v>24262</v>
      </c>
      <c r="E8845" s="19" t="s">
        <v>31111</v>
      </c>
      <c r="F8845" s="19" t="s">
        <v>36006</v>
      </c>
      <c r="G8845" s="18" t="str">
        <f>"11561"</f>
        <v>11561</v>
      </c>
      <c r="H8845" s="19" t="s">
        <v>36144</v>
      </c>
      <c r="I8845" s="20">
        <v>17.861999999999998</v>
      </c>
      <c r="J8845" s="44" t="s">
        <v>8</v>
      </c>
      <c r="K8845" s="23" t="s">
        <v>8</v>
      </c>
      <c r="L8845" s="23" t="s">
        <v>8</v>
      </c>
      <c r="M8845" s="23" t="s">
        <v>8</v>
      </c>
    </row>
    <row r="8846" spans="1:13" s="21" customFormat="1" x14ac:dyDescent="0.25">
      <c r="A8846" s="22" t="s">
        <v>8</v>
      </c>
      <c r="B8846" s="18" t="str">
        <f>"335433"</f>
        <v>335433</v>
      </c>
      <c r="C8846" s="19" t="s">
        <v>8718</v>
      </c>
      <c r="D8846" s="19" t="s">
        <v>24263</v>
      </c>
      <c r="E8846" s="19" t="s">
        <v>34143</v>
      </c>
      <c r="F8846" s="19" t="s">
        <v>36006</v>
      </c>
      <c r="G8846" s="18" t="str">
        <f>"14217"</f>
        <v>14217</v>
      </c>
      <c r="H8846" s="19" t="s">
        <v>34805</v>
      </c>
      <c r="I8846" s="20">
        <v>18.504999999999999</v>
      </c>
      <c r="J8846" s="44" t="s">
        <v>8</v>
      </c>
      <c r="K8846" s="23" t="s">
        <v>8</v>
      </c>
      <c r="L8846" s="23" t="s">
        <v>8</v>
      </c>
      <c r="M8846" s="23" t="s">
        <v>8</v>
      </c>
    </row>
    <row r="8847" spans="1:13" s="21" customFormat="1" x14ac:dyDescent="0.25">
      <c r="A8847" s="22" t="s">
        <v>8</v>
      </c>
      <c r="B8847" s="18" t="str">
        <f>"335434"</f>
        <v>335434</v>
      </c>
      <c r="C8847" s="19" t="s">
        <v>8719</v>
      </c>
      <c r="D8847" s="19" t="s">
        <v>24264</v>
      </c>
      <c r="E8847" s="19" t="s">
        <v>34144</v>
      </c>
      <c r="F8847" s="19" t="s">
        <v>36006</v>
      </c>
      <c r="G8847" s="18" t="str">
        <f>"11362"</f>
        <v>11362</v>
      </c>
      <c r="H8847" s="19" t="s">
        <v>36598</v>
      </c>
      <c r="I8847" s="20">
        <v>19.757999999999999</v>
      </c>
      <c r="J8847" s="44" t="s">
        <v>8</v>
      </c>
      <c r="K8847" s="23" t="s">
        <v>8</v>
      </c>
      <c r="L8847" s="23" t="s">
        <v>8</v>
      </c>
      <c r="M8847" s="23" t="s">
        <v>8</v>
      </c>
    </row>
    <row r="8848" spans="1:13" s="21" customFormat="1" x14ac:dyDescent="0.25">
      <c r="A8848" s="22" t="s">
        <v>8</v>
      </c>
      <c r="B8848" s="18" t="str">
        <f>"335435"</f>
        <v>335435</v>
      </c>
      <c r="C8848" s="19" t="s">
        <v>8720</v>
      </c>
      <c r="D8848" s="19" t="s">
        <v>24265</v>
      </c>
      <c r="E8848" s="19" t="s">
        <v>34145</v>
      </c>
      <c r="F8848" s="19" t="s">
        <v>36006</v>
      </c>
      <c r="G8848" s="18" t="str">
        <f>"14141"</f>
        <v>14141</v>
      </c>
      <c r="H8848" s="19" t="s">
        <v>34805</v>
      </c>
      <c r="I8848" s="20">
        <v>19.763999999999999</v>
      </c>
      <c r="J8848" s="44" t="s">
        <v>8</v>
      </c>
      <c r="K8848" s="23" t="s">
        <v>8</v>
      </c>
      <c r="L8848" s="23" t="s">
        <v>8</v>
      </c>
      <c r="M8848" s="23" t="s">
        <v>8</v>
      </c>
    </row>
    <row r="8849" spans="1:13" s="21" customFormat="1" x14ac:dyDescent="0.25">
      <c r="A8849" s="22" t="s">
        <v>8</v>
      </c>
      <c r="B8849" s="18" t="str">
        <f>"335436"</f>
        <v>335436</v>
      </c>
      <c r="C8849" s="19" t="s">
        <v>8721</v>
      </c>
      <c r="D8849" s="19" t="s">
        <v>24266</v>
      </c>
      <c r="E8849" s="19" t="s">
        <v>34109</v>
      </c>
      <c r="F8849" s="19" t="s">
        <v>36006</v>
      </c>
      <c r="G8849" s="18" t="str">
        <f>"11418"</f>
        <v>11418</v>
      </c>
      <c r="H8849" s="19" t="s">
        <v>36598</v>
      </c>
      <c r="I8849" s="20">
        <v>17.603999999999999</v>
      </c>
      <c r="J8849" s="44" t="s">
        <v>8</v>
      </c>
      <c r="K8849" s="23" t="s">
        <v>8</v>
      </c>
      <c r="L8849" s="23" t="s">
        <v>8</v>
      </c>
      <c r="M8849" s="23" t="s">
        <v>8</v>
      </c>
    </row>
    <row r="8850" spans="1:13" s="21" customFormat="1" x14ac:dyDescent="0.25">
      <c r="A8850" s="22" t="s">
        <v>8</v>
      </c>
      <c r="B8850" s="18" t="str">
        <f>"335437"</f>
        <v>335437</v>
      </c>
      <c r="C8850" s="19" t="s">
        <v>8722</v>
      </c>
      <c r="D8850" s="19" t="s">
        <v>24267</v>
      </c>
      <c r="E8850" s="19" t="s">
        <v>33453</v>
      </c>
      <c r="F8850" s="19" t="s">
        <v>36006</v>
      </c>
      <c r="G8850" s="18" t="str">
        <f>"14201"</f>
        <v>14201</v>
      </c>
      <c r="H8850" s="19" t="s">
        <v>34805</v>
      </c>
      <c r="I8850" s="20">
        <v>18.324999999999999</v>
      </c>
      <c r="J8850" s="44" t="s">
        <v>8</v>
      </c>
      <c r="K8850" s="23" t="s">
        <v>8</v>
      </c>
      <c r="L8850" s="23" t="s">
        <v>8</v>
      </c>
      <c r="M8850" s="23" t="s">
        <v>8</v>
      </c>
    </row>
    <row r="8851" spans="1:13" s="21" customFormat="1" x14ac:dyDescent="0.25">
      <c r="A8851" s="22" t="s">
        <v>8</v>
      </c>
      <c r="B8851" s="18" t="str">
        <f>"335438"</f>
        <v>335438</v>
      </c>
      <c r="C8851" s="19" t="s">
        <v>8723</v>
      </c>
      <c r="D8851" s="19" t="s">
        <v>24268</v>
      </c>
      <c r="E8851" s="19" t="s">
        <v>34146</v>
      </c>
      <c r="F8851" s="19" t="s">
        <v>36006</v>
      </c>
      <c r="G8851" s="18" t="str">
        <f>"12901"</f>
        <v>12901</v>
      </c>
      <c r="H8851" s="19" t="s">
        <v>31081</v>
      </c>
      <c r="I8851" s="20">
        <v>21.908000000000001</v>
      </c>
      <c r="J8851" s="44" t="s">
        <v>8</v>
      </c>
      <c r="K8851" s="23" t="s">
        <v>8</v>
      </c>
      <c r="L8851" s="23" t="s">
        <v>8</v>
      </c>
      <c r="M8851" s="23" t="s">
        <v>8</v>
      </c>
    </row>
    <row r="8852" spans="1:13" s="21" customFormat="1" x14ac:dyDescent="0.25">
      <c r="A8852" s="22" t="s">
        <v>8</v>
      </c>
      <c r="B8852" s="18" t="str">
        <f>"335439"</f>
        <v>335439</v>
      </c>
      <c r="C8852" s="19" t="s">
        <v>8724</v>
      </c>
      <c r="D8852" s="19" t="s">
        <v>24269</v>
      </c>
      <c r="E8852" s="19" t="s">
        <v>32267</v>
      </c>
      <c r="F8852" s="19" t="s">
        <v>36006</v>
      </c>
      <c r="G8852" s="18" t="str">
        <f>"14621"</f>
        <v>14621</v>
      </c>
      <c r="H8852" s="19" t="s">
        <v>31711</v>
      </c>
      <c r="I8852" s="20">
        <v>19.331</v>
      </c>
      <c r="J8852" s="44" t="s">
        <v>8</v>
      </c>
      <c r="K8852" s="23" t="s">
        <v>8</v>
      </c>
      <c r="L8852" s="23" t="s">
        <v>8</v>
      </c>
      <c r="M8852" s="23" t="s">
        <v>8</v>
      </c>
    </row>
    <row r="8853" spans="1:13" s="21" customFormat="1" x14ac:dyDescent="0.25">
      <c r="A8853" s="22" t="s">
        <v>8</v>
      </c>
      <c r="B8853" s="18" t="str">
        <f>"335440"</f>
        <v>335440</v>
      </c>
      <c r="C8853" s="19" t="s">
        <v>8725</v>
      </c>
      <c r="D8853" s="19" t="s">
        <v>24270</v>
      </c>
      <c r="E8853" s="19" t="s">
        <v>34147</v>
      </c>
      <c r="F8853" s="19" t="s">
        <v>36006</v>
      </c>
      <c r="G8853" s="18" t="str">
        <f>"12601"</f>
        <v>12601</v>
      </c>
      <c r="H8853" s="19" t="s">
        <v>36604</v>
      </c>
      <c r="I8853" s="20">
        <v>22.527999999999999</v>
      </c>
      <c r="J8853" s="44" t="s">
        <v>8</v>
      </c>
      <c r="K8853" s="23" t="s">
        <v>8</v>
      </c>
      <c r="L8853" s="23" t="s">
        <v>8</v>
      </c>
      <c r="M8853" s="23" t="s">
        <v>8</v>
      </c>
    </row>
    <row r="8854" spans="1:13" s="21" customFormat="1" x14ac:dyDescent="0.25">
      <c r="A8854" s="22" t="s">
        <v>8</v>
      </c>
      <c r="B8854" s="18" t="str">
        <f>"335441"</f>
        <v>335441</v>
      </c>
      <c r="C8854" s="19" t="s">
        <v>8726</v>
      </c>
      <c r="D8854" s="19" t="s">
        <v>24271</v>
      </c>
      <c r="E8854" s="19" t="s">
        <v>34051</v>
      </c>
      <c r="F8854" s="19" t="s">
        <v>36006</v>
      </c>
      <c r="G8854" s="18" t="str">
        <f>"10567"</f>
        <v>10567</v>
      </c>
      <c r="H8854" s="19" t="s">
        <v>32061</v>
      </c>
      <c r="I8854" s="20">
        <v>22.268999999999998</v>
      </c>
      <c r="J8854" s="44" t="s">
        <v>8</v>
      </c>
      <c r="K8854" s="23" t="s">
        <v>8</v>
      </c>
      <c r="L8854" s="23" t="s">
        <v>8</v>
      </c>
      <c r="M8854" s="23" t="s">
        <v>8</v>
      </c>
    </row>
    <row r="8855" spans="1:13" s="21" customFormat="1" x14ac:dyDescent="0.25">
      <c r="A8855" s="22" t="s">
        <v>8</v>
      </c>
      <c r="B8855" s="18" t="str">
        <f>"335442"</f>
        <v>335442</v>
      </c>
      <c r="C8855" s="19" t="s">
        <v>8727</v>
      </c>
      <c r="D8855" s="19" t="s">
        <v>24272</v>
      </c>
      <c r="E8855" s="19" t="s">
        <v>34146</v>
      </c>
      <c r="F8855" s="19" t="s">
        <v>36006</v>
      </c>
      <c r="G8855" s="18" t="str">
        <f>"12901"</f>
        <v>12901</v>
      </c>
      <c r="H8855" s="19" t="s">
        <v>31081</v>
      </c>
      <c r="I8855" s="20">
        <v>17.922999999999998</v>
      </c>
      <c r="J8855" s="44" t="s">
        <v>8</v>
      </c>
      <c r="K8855" s="23" t="s">
        <v>8</v>
      </c>
      <c r="L8855" s="23" t="s">
        <v>8</v>
      </c>
      <c r="M8855" s="23" t="s">
        <v>8</v>
      </c>
    </row>
    <row r="8856" spans="1:13" s="21" customFormat="1" x14ac:dyDescent="0.25">
      <c r="A8856" s="22" t="s">
        <v>8</v>
      </c>
      <c r="B8856" s="18" t="str">
        <f>"335445"</f>
        <v>335445</v>
      </c>
      <c r="C8856" s="19" t="s">
        <v>8728</v>
      </c>
      <c r="D8856" s="19" t="s">
        <v>24273</v>
      </c>
      <c r="E8856" s="19" t="s">
        <v>34037</v>
      </c>
      <c r="F8856" s="19" t="s">
        <v>36006</v>
      </c>
      <c r="G8856" s="18" t="str">
        <f>"10456"</f>
        <v>10456</v>
      </c>
      <c r="H8856" s="19" t="s">
        <v>34037</v>
      </c>
      <c r="I8856" s="20">
        <v>18.672999999999998</v>
      </c>
      <c r="J8856" s="44" t="s">
        <v>8</v>
      </c>
      <c r="K8856" s="23" t="s">
        <v>8</v>
      </c>
      <c r="L8856" s="23" t="s">
        <v>8</v>
      </c>
      <c r="M8856" s="23" t="s">
        <v>8</v>
      </c>
    </row>
    <row r="8857" spans="1:13" s="21" customFormat="1" x14ac:dyDescent="0.25">
      <c r="A8857" s="22" t="s">
        <v>8</v>
      </c>
      <c r="B8857" s="18" t="str">
        <f>"335446"</f>
        <v>335446</v>
      </c>
      <c r="C8857" s="19" t="s">
        <v>8729</v>
      </c>
      <c r="D8857" s="19" t="s">
        <v>24274</v>
      </c>
      <c r="E8857" s="19" t="s">
        <v>33182</v>
      </c>
      <c r="F8857" s="19" t="s">
        <v>36006</v>
      </c>
      <c r="G8857" s="18" t="str">
        <f>"11354"</f>
        <v>11354</v>
      </c>
      <c r="H8857" s="19" t="s">
        <v>36598</v>
      </c>
      <c r="I8857" s="20">
        <v>17.988</v>
      </c>
      <c r="J8857" s="44" t="s">
        <v>8</v>
      </c>
      <c r="K8857" s="23" t="s">
        <v>8</v>
      </c>
      <c r="L8857" s="23" t="s">
        <v>8</v>
      </c>
      <c r="M8857" s="23" t="s">
        <v>8</v>
      </c>
    </row>
    <row r="8858" spans="1:13" s="21" customFormat="1" x14ac:dyDescent="0.25">
      <c r="A8858" s="22" t="s">
        <v>8</v>
      </c>
      <c r="B8858" s="18" t="str">
        <f>"335447"</f>
        <v>335447</v>
      </c>
      <c r="C8858" s="19" t="s">
        <v>8730</v>
      </c>
      <c r="D8858" s="19" t="s">
        <v>24275</v>
      </c>
      <c r="E8858" s="19" t="s">
        <v>34101</v>
      </c>
      <c r="F8858" s="19" t="s">
        <v>36006</v>
      </c>
      <c r="G8858" s="18" t="str">
        <f>"10573"</f>
        <v>10573</v>
      </c>
      <c r="H8858" s="19" t="s">
        <v>32061</v>
      </c>
      <c r="I8858" s="20">
        <v>22.238</v>
      </c>
      <c r="J8858" s="44" t="s">
        <v>8</v>
      </c>
      <c r="K8858" s="23" t="s">
        <v>8</v>
      </c>
      <c r="L8858" s="23" t="s">
        <v>8</v>
      </c>
      <c r="M8858" s="23" t="s">
        <v>8</v>
      </c>
    </row>
    <row r="8859" spans="1:13" s="21" customFormat="1" x14ac:dyDescent="0.25">
      <c r="A8859" s="22" t="s">
        <v>8</v>
      </c>
      <c r="B8859" s="18" t="str">
        <f>"335448"</f>
        <v>335448</v>
      </c>
      <c r="C8859" s="19" t="s">
        <v>8731</v>
      </c>
      <c r="D8859" s="19" t="s">
        <v>24276</v>
      </c>
      <c r="E8859" s="19" t="s">
        <v>34042</v>
      </c>
      <c r="F8859" s="19" t="s">
        <v>36006</v>
      </c>
      <c r="G8859" s="18" t="str">
        <f>"11691"</f>
        <v>11691</v>
      </c>
      <c r="H8859" s="19" t="s">
        <v>36598</v>
      </c>
      <c r="I8859" s="20">
        <v>18.957999999999998</v>
      </c>
      <c r="J8859" s="44" t="s">
        <v>8</v>
      </c>
      <c r="K8859" s="23" t="s">
        <v>8</v>
      </c>
      <c r="L8859" s="23" t="s">
        <v>8</v>
      </c>
      <c r="M8859" s="23" t="s">
        <v>8</v>
      </c>
    </row>
    <row r="8860" spans="1:13" s="21" customFormat="1" x14ac:dyDescent="0.25">
      <c r="A8860" s="22" t="s">
        <v>8</v>
      </c>
      <c r="B8860" s="18" t="str">
        <f>"335449"</f>
        <v>335449</v>
      </c>
      <c r="C8860" s="19" t="s">
        <v>8732</v>
      </c>
      <c r="D8860" s="19" t="s">
        <v>24277</v>
      </c>
      <c r="E8860" s="19" t="s">
        <v>32284</v>
      </c>
      <c r="F8860" s="19" t="s">
        <v>36006</v>
      </c>
      <c r="G8860" s="18" t="str">
        <f>"12754"</f>
        <v>12754</v>
      </c>
      <c r="H8860" s="19" t="s">
        <v>31976</v>
      </c>
      <c r="I8860" s="20">
        <v>19.811</v>
      </c>
      <c r="J8860" s="44" t="s">
        <v>8</v>
      </c>
      <c r="K8860" s="23" t="s">
        <v>8</v>
      </c>
      <c r="L8860" s="23" t="s">
        <v>8</v>
      </c>
      <c r="M8860" s="23" t="s">
        <v>8</v>
      </c>
    </row>
    <row r="8861" spans="1:13" s="21" customFormat="1" x14ac:dyDescent="0.25">
      <c r="A8861" s="22" t="s">
        <v>8</v>
      </c>
      <c r="B8861" s="18" t="str">
        <f>"335451"</f>
        <v>335451</v>
      </c>
      <c r="C8861" s="19" t="s">
        <v>8733</v>
      </c>
      <c r="D8861" s="19" t="s">
        <v>24278</v>
      </c>
      <c r="E8861" s="19" t="s">
        <v>33111</v>
      </c>
      <c r="F8861" s="19" t="s">
        <v>36006</v>
      </c>
      <c r="G8861" s="18" t="str">
        <f>"12401"</f>
        <v>12401</v>
      </c>
      <c r="H8861" s="19" t="s">
        <v>36603</v>
      </c>
      <c r="I8861" s="20">
        <v>19.649000000000001</v>
      </c>
      <c r="J8861" s="44" t="s">
        <v>8</v>
      </c>
      <c r="K8861" s="23" t="s">
        <v>8</v>
      </c>
      <c r="L8861" s="23" t="s">
        <v>8</v>
      </c>
      <c r="M8861" s="23" t="s">
        <v>8</v>
      </c>
    </row>
    <row r="8862" spans="1:13" s="21" customFormat="1" x14ac:dyDescent="0.25">
      <c r="A8862" s="22" t="s">
        <v>8</v>
      </c>
      <c r="B8862" s="18" t="str">
        <f>"335453"</f>
        <v>335453</v>
      </c>
      <c r="C8862" s="19" t="s">
        <v>8734</v>
      </c>
      <c r="D8862" s="19" t="s">
        <v>24279</v>
      </c>
      <c r="E8862" s="19" t="s">
        <v>33527</v>
      </c>
      <c r="F8862" s="19" t="s">
        <v>36006</v>
      </c>
      <c r="G8862" s="18" t="str">
        <f>"13619"</f>
        <v>13619</v>
      </c>
      <c r="H8862" s="19" t="s">
        <v>32391</v>
      </c>
      <c r="I8862" s="20">
        <v>18.131</v>
      </c>
      <c r="J8862" s="44" t="s">
        <v>8</v>
      </c>
      <c r="K8862" s="23" t="s">
        <v>8</v>
      </c>
      <c r="L8862" s="23" t="s">
        <v>8</v>
      </c>
      <c r="M8862" s="23" t="s">
        <v>8</v>
      </c>
    </row>
    <row r="8863" spans="1:13" s="21" customFormat="1" x14ac:dyDescent="0.25">
      <c r="A8863" s="22" t="s">
        <v>8</v>
      </c>
      <c r="B8863" s="18" t="str">
        <f>"335454"</f>
        <v>335454</v>
      </c>
      <c r="C8863" s="19" t="s">
        <v>8735</v>
      </c>
      <c r="D8863" s="19" t="s">
        <v>24280</v>
      </c>
      <c r="E8863" s="19" t="s">
        <v>34032</v>
      </c>
      <c r="F8863" s="19" t="s">
        <v>36006</v>
      </c>
      <c r="G8863" s="18" t="str">
        <f>"13669"</f>
        <v>13669</v>
      </c>
      <c r="H8863" s="19" t="s">
        <v>36594</v>
      </c>
      <c r="I8863" s="20">
        <v>16.529</v>
      </c>
      <c r="J8863" s="44" t="s">
        <v>8</v>
      </c>
      <c r="K8863" s="23" t="s">
        <v>8</v>
      </c>
      <c r="L8863" s="23" t="s">
        <v>8</v>
      </c>
      <c r="M8863" s="23" t="s">
        <v>8</v>
      </c>
    </row>
    <row r="8864" spans="1:13" s="21" customFormat="1" x14ac:dyDescent="0.25">
      <c r="A8864" s="22" t="s">
        <v>8</v>
      </c>
      <c r="B8864" s="18" t="str">
        <f>"335455"</f>
        <v>335455</v>
      </c>
      <c r="C8864" s="19" t="s">
        <v>8736</v>
      </c>
      <c r="D8864" s="19" t="s">
        <v>24281</v>
      </c>
      <c r="E8864" s="19" t="s">
        <v>34058</v>
      </c>
      <c r="F8864" s="19" t="s">
        <v>36006</v>
      </c>
      <c r="G8864" s="18" t="str">
        <f>"10304"</f>
        <v>10304</v>
      </c>
      <c r="H8864" s="19" t="s">
        <v>31178</v>
      </c>
      <c r="I8864" s="20">
        <v>18.192</v>
      </c>
      <c r="J8864" s="44" t="s">
        <v>8</v>
      </c>
      <c r="K8864" s="23" t="s">
        <v>8</v>
      </c>
      <c r="L8864" s="23" t="s">
        <v>8</v>
      </c>
      <c r="M8864" s="23" t="s">
        <v>8</v>
      </c>
    </row>
    <row r="8865" spans="1:13" s="21" customFormat="1" x14ac:dyDescent="0.25">
      <c r="A8865" s="22" t="s">
        <v>8</v>
      </c>
      <c r="B8865" s="18" t="str">
        <f>"335457"</f>
        <v>335457</v>
      </c>
      <c r="C8865" s="19" t="s">
        <v>8737</v>
      </c>
      <c r="D8865" s="19" t="s">
        <v>24282</v>
      </c>
      <c r="E8865" s="19" t="s">
        <v>34145</v>
      </c>
      <c r="F8865" s="19" t="s">
        <v>36006</v>
      </c>
      <c r="G8865" s="18" t="str">
        <f>"14141"</f>
        <v>14141</v>
      </c>
      <c r="H8865" s="19" t="s">
        <v>34805</v>
      </c>
      <c r="I8865" s="20">
        <v>20.757000000000001</v>
      </c>
      <c r="J8865" s="44" t="s">
        <v>8</v>
      </c>
      <c r="K8865" s="23" t="s">
        <v>8</v>
      </c>
      <c r="L8865" s="23" t="s">
        <v>8</v>
      </c>
      <c r="M8865" s="23" t="s">
        <v>8</v>
      </c>
    </row>
    <row r="8866" spans="1:13" s="21" customFormat="1" x14ac:dyDescent="0.25">
      <c r="A8866" s="22" t="s">
        <v>8</v>
      </c>
      <c r="B8866" s="18" t="str">
        <f>"335458"</f>
        <v>335458</v>
      </c>
      <c r="C8866" s="19" t="s">
        <v>8738</v>
      </c>
      <c r="D8866" s="19" t="s">
        <v>24283</v>
      </c>
      <c r="E8866" s="19" t="s">
        <v>34148</v>
      </c>
      <c r="F8866" s="19" t="s">
        <v>36006</v>
      </c>
      <c r="G8866" s="18" t="str">
        <f>"12564"</f>
        <v>12564</v>
      </c>
      <c r="H8866" s="19" t="s">
        <v>36604</v>
      </c>
      <c r="I8866" s="20">
        <v>20.308</v>
      </c>
      <c r="J8866" s="44" t="s">
        <v>8</v>
      </c>
      <c r="K8866" s="23" t="s">
        <v>8</v>
      </c>
      <c r="L8866" s="23" t="s">
        <v>8</v>
      </c>
      <c r="M8866" s="23" t="s">
        <v>8</v>
      </c>
    </row>
    <row r="8867" spans="1:13" s="21" customFormat="1" x14ac:dyDescent="0.25">
      <c r="A8867" s="22" t="s">
        <v>8</v>
      </c>
      <c r="B8867" s="18" t="str">
        <f>"335459"</f>
        <v>335459</v>
      </c>
      <c r="C8867" s="19" t="s">
        <v>8739</v>
      </c>
      <c r="D8867" s="19" t="s">
        <v>24284</v>
      </c>
      <c r="E8867" s="19" t="s">
        <v>32023</v>
      </c>
      <c r="F8867" s="19" t="s">
        <v>36006</v>
      </c>
      <c r="G8867" s="18" t="str">
        <f>"10550"</f>
        <v>10550</v>
      </c>
      <c r="H8867" s="19" t="s">
        <v>32061</v>
      </c>
      <c r="I8867" s="20">
        <v>21.105</v>
      </c>
      <c r="J8867" s="44" t="s">
        <v>8</v>
      </c>
      <c r="K8867" s="23" t="s">
        <v>8</v>
      </c>
      <c r="L8867" s="23" t="s">
        <v>8</v>
      </c>
      <c r="M8867" s="23" t="s">
        <v>8</v>
      </c>
    </row>
    <row r="8868" spans="1:13" s="21" customFormat="1" x14ac:dyDescent="0.25">
      <c r="A8868" s="22" t="s">
        <v>8</v>
      </c>
      <c r="B8868" s="18" t="str">
        <f>"335460"</f>
        <v>335460</v>
      </c>
      <c r="C8868" s="19" t="s">
        <v>8740</v>
      </c>
      <c r="D8868" s="19" t="s">
        <v>24285</v>
      </c>
      <c r="E8868" s="19" t="s">
        <v>32194</v>
      </c>
      <c r="F8868" s="19" t="s">
        <v>36006</v>
      </c>
      <c r="G8868" s="18" t="str">
        <f>"13069"</f>
        <v>13069</v>
      </c>
      <c r="H8868" s="19" t="s">
        <v>32150</v>
      </c>
      <c r="I8868" s="20">
        <v>19.056000000000001</v>
      </c>
      <c r="J8868" s="44" t="s">
        <v>8</v>
      </c>
      <c r="K8868" s="23" t="s">
        <v>8</v>
      </c>
      <c r="L8868" s="23" t="s">
        <v>8</v>
      </c>
      <c r="M8868" s="23" t="s">
        <v>8</v>
      </c>
    </row>
    <row r="8869" spans="1:13" s="21" customFormat="1" x14ac:dyDescent="0.25">
      <c r="A8869" s="22" t="s">
        <v>8</v>
      </c>
      <c r="B8869" s="18" t="str">
        <f>"335461"</f>
        <v>335461</v>
      </c>
      <c r="C8869" s="19" t="s">
        <v>8741</v>
      </c>
      <c r="D8869" s="19" t="s">
        <v>24286</v>
      </c>
      <c r="E8869" s="19" t="s">
        <v>34041</v>
      </c>
      <c r="F8869" s="19" t="s">
        <v>36006</v>
      </c>
      <c r="G8869" s="18" t="str">
        <f>"10002"</f>
        <v>10002</v>
      </c>
      <c r="H8869" s="19" t="s">
        <v>34041</v>
      </c>
      <c r="I8869" s="20">
        <v>17.012</v>
      </c>
      <c r="J8869" s="44" t="s">
        <v>8</v>
      </c>
      <c r="K8869" s="23" t="s">
        <v>8</v>
      </c>
      <c r="L8869" s="23" t="s">
        <v>8</v>
      </c>
      <c r="M8869" s="23" t="s">
        <v>8</v>
      </c>
    </row>
    <row r="8870" spans="1:13" s="21" customFormat="1" x14ac:dyDescent="0.25">
      <c r="A8870" s="22" t="s">
        <v>8</v>
      </c>
      <c r="B8870" s="18" t="str">
        <f>"335462"</f>
        <v>335462</v>
      </c>
      <c r="C8870" s="19" t="s">
        <v>8742</v>
      </c>
      <c r="D8870" s="19" t="s">
        <v>24287</v>
      </c>
      <c r="E8870" s="19" t="s">
        <v>34037</v>
      </c>
      <c r="F8870" s="19" t="s">
        <v>36006</v>
      </c>
      <c r="G8870" s="18" t="str">
        <f>"10468"</f>
        <v>10468</v>
      </c>
      <c r="H8870" s="19" t="s">
        <v>34037</v>
      </c>
      <c r="I8870" s="20">
        <v>18.829000000000001</v>
      </c>
      <c r="J8870" s="44" t="s">
        <v>8</v>
      </c>
      <c r="K8870" s="23" t="s">
        <v>8</v>
      </c>
      <c r="L8870" s="23" t="s">
        <v>8</v>
      </c>
      <c r="M8870" s="23" t="s">
        <v>8</v>
      </c>
    </row>
    <row r="8871" spans="1:13" s="21" customFormat="1" x14ac:dyDescent="0.25">
      <c r="A8871" s="22" t="s">
        <v>8</v>
      </c>
      <c r="B8871" s="18" t="str">
        <f>"335464"</f>
        <v>335464</v>
      </c>
      <c r="C8871" s="19" t="s">
        <v>8743</v>
      </c>
      <c r="D8871" s="19" t="s">
        <v>24288</v>
      </c>
      <c r="E8871" s="19" t="s">
        <v>32245</v>
      </c>
      <c r="F8871" s="19" t="s">
        <v>36006</v>
      </c>
      <c r="G8871" s="18" t="str">
        <f>"12550"</f>
        <v>12550</v>
      </c>
      <c r="H8871" s="19" t="s">
        <v>31169</v>
      </c>
      <c r="I8871" s="20">
        <v>18.925999999999998</v>
      </c>
      <c r="J8871" s="44" t="s">
        <v>8</v>
      </c>
      <c r="K8871" s="23" t="s">
        <v>8</v>
      </c>
      <c r="L8871" s="23" t="s">
        <v>8</v>
      </c>
      <c r="M8871" s="23" t="s">
        <v>8</v>
      </c>
    </row>
    <row r="8872" spans="1:13" s="21" customFormat="1" x14ac:dyDescent="0.25">
      <c r="A8872" s="22" t="s">
        <v>8</v>
      </c>
      <c r="B8872" s="18" t="str">
        <f>"335465"</f>
        <v>335465</v>
      </c>
      <c r="C8872" s="19" t="s">
        <v>8744</v>
      </c>
      <c r="D8872" s="19" t="s">
        <v>24289</v>
      </c>
      <c r="E8872" s="19" t="s">
        <v>31834</v>
      </c>
      <c r="F8872" s="19" t="s">
        <v>36006</v>
      </c>
      <c r="G8872" s="18" t="str">
        <f>"12203"</f>
        <v>12203</v>
      </c>
      <c r="H8872" s="19" t="s">
        <v>31834</v>
      </c>
      <c r="I8872" s="20">
        <v>18.855</v>
      </c>
      <c r="J8872" s="44" t="s">
        <v>8</v>
      </c>
      <c r="K8872" s="23" t="s">
        <v>8</v>
      </c>
      <c r="L8872" s="23" t="s">
        <v>8</v>
      </c>
      <c r="M8872" s="23" t="s">
        <v>8</v>
      </c>
    </row>
    <row r="8873" spans="1:13" s="21" customFormat="1" x14ac:dyDescent="0.25">
      <c r="A8873" s="22" t="s">
        <v>8</v>
      </c>
      <c r="B8873" s="18" t="str">
        <f>"335466"</f>
        <v>335466</v>
      </c>
      <c r="C8873" s="19" t="s">
        <v>8745</v>
      </c>
      <c r="D8873" s="19" t="s">
        <v>24290</v>
      </c>
      <c r="E8873" s="19" t="s">
        <v>34038</v>
      </c>
      <c r="F8873" s="19" t="s">
        <v>36006</v>
      </c>
      <c r="G8873" s="18" t="str">
        <f>"12304"</f>
        <v>12304</v>
      </c>
      <c r="H8873" s="19" t="s">
        <v>34038</v>
      </c>
      <c r="I8873" s="20">
        <v>16.251999999999999</v>
      </c>
      <c r="J8873" s="44" t="s">
        <v>8</v>
      </c>
      <c r="K8873" s="23" t="s">
        <v>8</v>
      </c>
      <c r="L8873" s="23" t="s">
        <v>8</v>
      </c>
      <c r="M8873" s="23" t="s">
        <v>8</v>
      </c>
    </row>
    <row r="8874" spans="1:13" s="21" customFormat="1" x14ac:dyDescent="0.25">
      <c r="A8874" s="22" t="s">
        <v>8</v>
      </c>
      <c r="B8874" s="18" t="str">
        <f>"335467"</f>
        <v>335467</v>
      </c>
      <c r="C8874" s="19" t="s">
        <v>8746</v>
      </c>
      <c r="D8874" s="19" t="s">
        <v>24291</v>
      </c>
      <c r="E8874" s="19" t="s">
        <v>34149</v>
      </c>
      <c r="F8874" s="19" t="s">
        <v>36006</v>
      </c>
      <c r="G8874" s="18" t="str">
        <f>"14450"</f>
        <v>14450</v>
      </c>
      <c r="H8874" s="19" t="s">
        <v>31711</v>
      </c>
      <c r="I8874" s="20">
        <v>18.012</v>
      </c>
      <c r="J8874" s="44" t="s">
        <v>8</v>
      </c>
      <c r="K8874" s="23" t="s">
        <v>8</v>
      </c>
      <c r="L8874" s="23" t="s">
        <v>8</v>
      </c>
      <c r="M8874" s="23" t="s">
        <v>8</v>
      </c>
    </row>
    <row r="8875" spans="1:13" s="21" customFormat="1" x14ac:dyDescent="0.25">
      <c r="A8875" s="22" t="s">
        <v>8</v>
      </c>
      <c r="B8875" s="18" t="str">
        <f>"335468"</f>
        <v>335468</v>
      </c>
      <c r="C8875" s="19" t="s">
        <v>8747</v>
      </c>
      <c r="D8875" s="19" t="s">
        <v>24292</v>
      </c>
      <c r="E8875" s="19" t="s">
        <v>34073</v>
      </c>
      <c r="F8875" s="19" t="s">
        <v>36006</v>
      </c>
      <c r="G8875" s="18" t="str">
        <f>"14068"</f>
        <v>14068</v>
      </c>
      <c r="H8875" s="19" t="s">
        <v>34805</v>
      </c>
      <c r="I8875" s="20">
        <v>17.245999999999999</v>
      </c>
      <c r="J8875" s="44" t="s">
        <v>8</v>
      </c>
      <c r="K8875" s="23" t="s">
        <v>8</v>
      </c>
      <c r="L8875" s="23" t="s">
        <v>8</v>
      </c>
      <c r="M8875" s="23" t="s">
        <v>8</v>
      </c>
    </row>
    <row r="8876" spans="1:13" s="21" customFormat="1" x14ac:dyDescent="0.25">
      <c r="A8876" s="22" t="s">
        <v>8</v>
      </c>
      <c r="B8876" s="18" t="str">
        <f>"335470"</f>
        <v>335470</v>
      </c>
      <c r="C8876" s="19" t="s">
        <v>8748</v>
      </c>
      <c r="D8876" s="19" t="s">
        <v>24293</v>
      </c>
      <c r="E8876" s="19" t="s">
        <v>31443</v>
      </c>
      <c r="F8876" s="19" t="s">
        <v>36006</v>
      </c>
      <c r="G8876" s="18" t="str">
        <f>"11219"</f>
        <v>11219</v>
      </c>
      <c r="H8876" s="19" t="s">
        <v>36091</v>
      </c>
      <c r="I8876" s="20">
        <v>22.023</v>
      </c>
      <c r="J8876" s="44" t="s">
        <v>8</v>
      </c>
      <c r="K8876" s="23" t="s">
        <v>8</v>
      </c>
      <c r="L8876" s="23" t="s">
        <v>8</v>
      </c>
      <c r="M8876" s="23" t="s">
        <v>8</v>
      </c>
    </row>
    <row r="8877" spans="1:13" s="21" customFormat="1" x14ac:dyDescent="0.25">
      <c r="A8877" s="22" t="s">
        <v>8</v>
      </c>
      <c r="B8877" s="18" t="str">
        <f>"335471"</f>
        <v>335471</v>
      </c>
      <c r="C8877" s="19" t="s">
        <v>8749</v>
      </c>
      <c r="D8877" s="19" t="s">
        <v>24294</v>
      </c>
      <c r="E8877" s="19" t="s">
        <v>33304</v>
      </c>
      <c r="F8877" s="19" t="s">
        <v>36006</v>
      </c>
      <c r="G8877" s="18" t="str">
        <f>"13501"</f>
        <v>13501</v>
      </c>
      <c r="H8877" s="19" t="s">
        <v>34140</v>
      </c>
      <c r="I8877" s="20">
        <v>20.492000000000001</v>
      </c>
      <c r="J8877" s="44" t="s">
        <v>8</v>
      </c>
      <c r="K8877" s="23" t="s">
        <v>8</v>
      </c>
      <c r="L8877" s="23" t="s">
        <v>8</v>
      </c>
      <c r="M8877" s="23" t="s">
        <v>8</v>
      </c>
    </row>
    <row r="8878" spans="1:13" s="21" customFormat="1" x14ac:dyDescent="0.25">
      <c r="A8878" s="22" t="s">
        <v>8</v>
      </c>
      <c r="B8878" s="18" t="str">
        <f>"335472"</f>
        <v>335472</v>
      </c>
      <c r="C8878" s="19" t="s">
        <v>8750</v>
      </c>
      <c r="D8878" s="19" t="s">
        <v>24295</v>
      </c>
      <c r="E8878" s="19" t="s">
        <v>34150</v>
      </c>
      <c r="F8878" s="19" t="s">
        <v>36006</v>
      </c>
      <c r="G8878" s="18" t="str">
        <f>"11378"</f>
        <v>11378</v>
      </c>
      <c r="H8878" s="19" t="s">
        <v>36598</v>
      </c>
      <c r="I8878" s="20">
        <v>20.876000000000001</v>
      </c>
      <c r="J8878" s="44" t="s">
        <v>8</v>
      </c>
      <c r="K8878" s="23" t="s">
        <v>8</v>
      </c>
      <c r="L8878" s="23" t="s">
        <v>8</v>
      </c>
      <c r="M8878" s="23" t="s">
        <v>8</v>
      </c>
    </row>
    <row r="8879" spans="1:13" s="21" customFormat="1" x14ac:dyDescent="0.25">
      <c r="A8879" s="22" t="s">
        <v>8</v>
      </c>
      <c r="B8879" s="18" t="str">
        <f>"335473"</f>
        <v>335473</v>
      </c>
      <c r="C8879" s="19" t="s">
        <v>8751</v>
      </c>
      <c r="D8879" s="19" t="s">
        <v>24296</v>
      </c>
      <c r="E8879" s="19" t="s">
        <v>32267</v>
      </c>
      <c r="F8879" s="19" t="s">
        <v>36006</v>
      </c>
      <c r="G8879" s="18" t="str">
        <f>"14610"</f>
        <v>14610</v>
      </c>
      <c r="H8879" s="19" t="s">
        <v>31711</v>
      </c>
      <c r="I8879" s="20">
        <v>21.893999999999998</v>
      </c>
      <c r="J8879" s="44" t="s">
        <v>8</v>
      </c>
      <c r="K8879" s="23" t="s">
        <v>8</v>
      </c>
      <c r="L8879" s="23" t="s">
        <v>8</v>
      </c>
      <c r="M8879" s="23" t="s">
        <v>8</v>
      </c>
    </row>
    <row r="8880" spans="1:13" s="21" customFormat="1" x14ac:dyDescent="0.25">
      <c r="A8880" s="22" t="s">
        <v>8</v>
      </c>
      <c r="B8880" s="18" t="str">
        <f>"335475"</f>
        <v>335475</v>
      </c>
      <c r="C8880" s="19" t="s">
        <v>8752</v>
      </c>
      <c r="D8880" s="19" t="s">
        <v>24297</v>
      </c>
      <c r="E8880" s="19" t="s">
        <v>34151</v>
      </c>
      <c r="F8880" s="19" t="s">
        <v>36006</v>
      </c>
      <c r="G8880" s="18" t="str">
        <f>"13413"</f>
        <v>13413</v>
      </c>
      <c r="H8880" s="19" t="s">
        <v>34140</v>
      </c>
      <c r="I8880" s="20">
        <v>19.358000000000001</v>
      </c>
      <c r="J8880" s="44" t="s">
        <v>8</v>
      </c>
      <c r="K8880" s="23" t="s">
        <v>8</v>
      </c>
      <c r="L8880" s="23" t="s">
        <v>8</v>
      </c>
      <c r="M8880" s="23" t="s">
        <v>8</v>
      </c>
    </row>
    <row r="8881" spans="1:13" s="21" customFormat="1" x14ac:dyDescent="0.25">
      <c r="A8881" s="22" t="s">
        <v>8</v>
      </c>
      <c r="B8881" s="18" t="str">
        <f>"335476"</f>
        <v>335476</v>
      </c>
      <c r="C8881" s="19" t="s">
        <v>8753</v>
      </c>
      <c r="D8881" s="19" t="s">
        <v>24298</v>
      </c>
      <c r="E8881" s="19" t="s">
        <v>32267</v>
      </c>
      <c r="F8881" s="19" t="s">
        <v>36006</v>
      </c>
      <c r="G8881" s="18" t="str">
        <f>"14618"</f>
        <v>14618</v>
      </c>
      <c r="H8881" s="19" t="s">
        <v>31711</v>
      </c>
      <c r="I8881" s="20">
        <v>18.283000000000001</v>
      </c>
      <c r="J8881" s="44" t="s">
        <v>8</v>
      </c>
      <c r="K8881" s="23" t="s">
        <v>8</v>
      </c>
      <c r="L8881" s="23" t="s">
        <v>8</v>
      </c>
      <c r="M8881" s="23" t="s">
        <v>8</v>
      </c>
    </row>
    <row r="8882" spans="1:13" s="21" customFormat="1" x14ac:dyDescent="0.25">
      <c r="A8882" s="22" t="s">
        <v>8</v>
      </c>
      <c r="B8882" s="18" t="str">
        <f>"335478"</f>
        <v>335478</v>
      </c>
      <c r="C8882" s="19" t="s">
        <v>8754</v>
      </c>
      <c r="D8882" s="19" t="s">
        <v>24299</v>
      </c>
      <c r="E8882" s="19" t="s">
        <v>32698</v>
      </c>
      <c r="F8882" s="19" t="s">
        <v>36006</v>
      </c>
      <c r="G8882" s="18" t="str">
        <f>"12932"</f>
        <v>12932</v>
      </c>
      <c r="H8882" s="19" t="s">
        <v>31458</v>
      </c>
      <c r="I8882" s="20">
        <v>18.829000000000001</v>
      </c>
      <c r="J8882" s="44" t="s">
        <v>8</v>
      </c>
      <c r="K8882" s="23" t="s">
        <v>8</v>
      </c>
      <c r="L8882" s="23" t="s">
        <v>8</v>
      </c>
      <c r="M8882" s="23" t="s">
        <v>8</v>
      </c>
    </row>
    <row r="8883" spans="1:13" s="21" customFormat="1" x14ac:dyDescent="0.25">
      <c r="A8883" s="22" t="s">
        <v>8</v>
      </c>
      <c r="B8883" s="18" t="str">
        <f>"335480"</f>
        <v>335480</v>
      </c>
      <c r="C8883" s="19" t="s">
        <v>8755</v>
      </c>
      <c r="D8883" s="19" t="s">
        <v>24300</v>
      </c>
      <c r="E8883" s="19" t="s">
        <v>34048</v>
      </c>
      <c r="F8883" s="19" t="s">
        <v>36006</v>
      </c>
      <c r="G8883" s="18" t="str">
        <f>"14901"</f>
        <v>14901</v>
      </c>
      <c r="H8883" s="19" t="s">
        <v>36599</v>
      </c>
      <c r="I8883" s="20">
        <v>18.884</v>
      </c>
      <c r="J8883" s="44" t="s">
        <v>8</v>
      </c>
      <c r="K8883" s="23" t="s">
        <v>8</v>
      </c>
      <c r="L8883" s="23" t="s">
        <v>8</v>
      </c>
      <c r="M8883" s="23" t="s">
        <v>8</v>
      </c>
    </row>
    <row r="8884" spans="1:13" s="21" customFormat="1" x14ac:dyDescent="0.25">
      <c r="A8884" s="22" t="s">
        <v>8</v>
      </c>
      <c r="B8884" s="18" t="str">
        <f>"335481"</f>
        <v>335481</v>
      </c>
      <c r="C8884" s="19" t="s">
        <v>8756</v>
      </c>
      <c r="D8884" s="19" t="s">
        <v>24301</v>
      </c>
      <c r="E8884" s="19" t="s">
        <v>34152</v>
      </c>
      <c r="F8884" s="19" t="s">
        <v>36006</v>
      </c>
      <c r="G8884" s="18" t="str">
        <f>"14108"</f>
        <v>14108</v>
      </c>
      <c r="H8884" s="19" t="s">
        <v>35632</v>
      </c>
      <c r="I8884" s="20">
        <v>19.841000000000001</v>
      </c>
      <c r="J8884" s="44" t="s">
        <v>8</v>
      </c>
      <c r="K8884" s="23" t="s">
        <v>8</v>
      </c>
      <c r="L8884" s="23" t="s">
        <v>8</v>
      </c>
      <c r="M8884" s="23" t="s">
        <v>8</v>
      </c>
    </row>
    <row r="8885" spans="1:13" s="21" customFormat="1" x14ac:dyDescent="0.25">
      <c r="A8885" s="22" t="s">
        <v>8</v>
      </c>
      <c r="B8885" s="18" t="str">
        <f>"335482"</f>
        <v>335482</v>
      </c>
      <c r="C8885" s="19" t="s">
        <v>8757</v>
      </c>
      <c r="D8885" s="19" t="s">
        <v>24302</v>
      </c>
      <c r="E8885" s="19" t="s">
        <v>34153</v>
      </c>
      <c r="F8885" s="19" t="s">
        <v>36006</v>
      </c>
      <c r="G8885" s="18" t="str">
        <f>"12883"</f>
        <v>12883</v>
      </c>
      <c r="H8885" s="19" t="s">
        <v>31458</v>
      </c>
      <c r="I8885" s="20">
        <v>20.876000000000001</v>
      </c>
      <c r="J8885" s="44" t="s">
        <v>8</v>
      </c>
      <c r="K8885" s="23" t="s">
        <v>8</v>
      </c>
      <c r="L8885" s="23" t="s">
        <v>8</v>
      </c>
      <c r="M8885" s="23" t="s">
        <v>8</v>
      </c>
    </row>
    <row r="8886" spans="1:13" s="21" customFormat="1" x14ac:dyDescent="0.25">
      <c r="A8886" s="22" t="s">
        <v>8</v>
      </c>
      <c r="B8886" s="18" t="str">
        <f>"335483"</f>
        <v>335483</v>
      </c>
      <c r="C8886" s="19" t="s">
        <v>8758</v>
      </c>
      <c r="D8886" s="19" t="s">
        <v>24303</v>
      </c>
      <c r="E8886" s="19" t="s">
        <v>34082</v>
      </c>
      <c r="F8886" s="19" t="s">
        <v>36006</v>
      </c>
      <c r="G8886" s="18" t="str">
        <f>"11021"</f>
        <v>11021</v>
      </c>
      <c r="H8886" s="19" t="s">
        <v>36144</v>
      </c>
      <c r="I8886" s="20">
        <v>15.795999999999999</v>
      </c>
      <c r="J8886" s="44" t="s">
        <v>8</v>
      </c>
      <c r="K8886" s="23" t="s">
        <v>8</v>
      </c>
      <c r="L8886" s="23" t="s">
        <v>8</v>
      </c>
      <c r="M8886" s="23" t="s">
        <v>8</v>
      </c>
    </row>
    <row r="8887" spans="1:13" s="21" customFormat="1" x14ac:dyDescent="0.25">
      <c r="A8887" s="22" t="s">
        <v>8</v>
      </c>
      <c r="B8887" s="18" t="str">
        <f>"335484"</f>
        <v>335484</v>
      </c>
      <c r="C8887" s="19" t="s">
        <v>8759</v>
      </c>
      <c r="D8887" s="19" t="s">
        <v>24304</v>
      </c>
      <c r="E8887" s="19" t="s">
        <v>34037</v>
      </c>
      <c r="F8887" s="19" t="s">
        <v>36006</v>
      </c>
      <c r="G8887" s="18" t="str">
        <f>"10461"</f>
        <v>10461</v>
      </c>
      <c r="H8887" s="19" t="s">
        <v>34037</v>
      </c>
      <c r="I8887" s="20">
        <v>18.882999999999999</v>
      </c>
      <c r="J8887" s="44" t="s">
        <v>8</v>
      </c>
      <c r="K8887" s="23" t="s">
        <v>8</v>
      </c>
      <c r="L8887" s="23" t="s">
        <v>8</v>
      </c>
      <c r="M8887" s="23" t="s">
        <v>8</v>
      </c>
    </row>
    <row r="8888" spans="1:13" s="21" customFormat="1" x14ac:dyDescent="0.25">
      <c r="A8888" s="22" t="s">
        <v>8</v>
      </c>
      <c r="B8888" s="18" t="str">
        <f>"335485"</f>
        <v>335485</v>
      </c>
      <c r="C8888" s="19" t="s">
        <v>8760</v>
      </c>
      <c r="D8888" s="19" t="s">
        <v>24305</v>
      </c>
      <c r="E8888" s="19" t="s">
        <v>32300</v>
      </c>
      <c r="F8888" s="19" t="s">
        <v>36006</v>
      </c>
      <c r="G8888" s="18" t="str">
        <f>"14048"</f>
        <v>14048</v>
      </c>
      <c r="H8888" s="19" t="s">
        <v>36302</v>
      </c>
      <c r="I8888" s="20">
        <v>17.579000000000001</v>
      </c>
      <c r="J8888" s="44" t="s">
        <v>8</v>
      </c>
      <c r="K8888" s="23" t="s">
        <v>8</v>
      </c>
      <c r="L8888" s="23" t="s">
        <v>8</v>
      </c>
      <c r="M8888" s="23" t="s">
        <v>8</v>
      </c>
    </row>
    <row r="8889" spans="1:13" s="21" customFormat="1" x14ac:dyDescent="0.25">
      <c r="A8889" s="22" t="s">
        <v>8</v>
      </c>
      <c r="B8889" s="18" t="str">
        <f>"335486"</f>
        <v>335486</v>
      </c>
      <c r="C8889" s="19" t="s">
        <v>8761</v>
      </c>
      <c r="D8889" s="19" t="s">
        <v>24306</v>
      </c>
      <c r="E8889" s="19" t="s">
        <v>34037</v>
      </c>
      <c r="F8889" s="19" t="s">
        <v>36006</v>
      </c>
      <c r="G8889" s="18" t="str">
        <f>"10469"</f>
        <v>10469</v>
      </c>
      <c r="H8889" s="19" t="s">
        <v>34037</v>
      </c>
      <c r="I8889" s="20">
        <v>17.454000000000001</v>
      </c>
      <c r="J8889" s="44" t="s">
        <v>8</v>
      </c>
      <c r="K8889" s="23" t="s">
        <v>8</v>
      </c>
      <c r="L8889" s="23" t="s">
        <v>8</v>
      </c>
      <c r="M8889" s="23" t="s">
        <v>8</v>
      </c>
    </row>
    <row r="8890" spans="1:13" s="21" customFormat="1" x14ac:dyDescent="0.25">
      <c r="A8890" s="22" t="s">
        <v>8</v>
      </c>
      <c r="B8890" s="18" t="str">
        <f>"335487"</f>
        <v>335487</v>
      </c>
      <c r="C8890" s="19" t="s">
        <v>8762</v>
      </c>
      <c r="D8890" s="19" t="s">
        <v>24307</v>
      </c>
      <c r="E8890" s="19" t="s">
        <v>34154</v>
      </c>
      <c r="F8890" s="19" t="s">
        <v>36006</v>
      </c>
      <c r="G8890" s="18" t="str">
        <f>"11754"</f>
        <v>11754</v>
      </c>
      <c r="H8890" s="19" t="s">
        <v>35389</v>
      </c>
      <c r="I8890" s="20">
        <v>21.827999999999999</v>
      </c>
      <c r="J8890" s="44" t="s">
        <v>8</v>
      </c>
      <c r="K8890" s="23" t="s">
        <v>8</v>
      </c>
      <c r="L8890" s="23" t="s">
        <v>8</v>
      </c>
      <c r="M8890" s="23" t="s">
        <v>8</v>
      </c>
    </row>
    <row r="8891" spans="1:13" s="21" customFormat="1" x14ac:dyDescent="0.25">
      <c r="A8891" s="22" t="s">
        <v>8</v>
      </c>
      <c r="B8891" s="18" t="str">
        <f>"335488"</f>
        <v>335488</v>
      </c>
      <c r="C8891" s="19" t="s">
        <v>8763</v>
      </c>
      <c r="D8891" s="19" t="s">
        <v>24308</v>
      </c>
      <c r="E8891" s="19" t="s">
        <v>32267</v>
      </c>
      <c r="F8891" s="19" t="s">
        <v>36006</v>
      </c>
      <c r="G8891" s="18" t="str">
        <f>"14607"</f>
        <v>14607</v>
      </c>
      <c r="H8891" s="19" t="s">
        <v>31711</v>
      </c>
      <c r="I8891" s="20">
        <v>18.411999999999999</v>
      </c>
      <c r="J8891" s="44" t="s">
        <v>8</v>
      </c>
      <c r="K8891" s="23" t="s">
        <v>8</v>
      </c>
      <c r="L8891" s="23" t="s">
        <v>8</v>
      </c>
      <c r="M8891" s="23" t="s">
        <v>8</v>
      </c>
    </row>
    <row r="8892" spans="1:13" s="21" customFormat="1" x14ac:dyDescent="0.25">
      <c r="A8892" s="22" t="s">
        <v>8</v>
      </c>
      <c r="B8892" s="18" t="str">
        <f>"335489"</f>
        <v>335489</v>
      </c>
      <c r="C8892" s="19" t="s">
        <v>8764</v>
      </c>
      <c r="D8892" s="19" t="s">
        <v>24309</v>
      </c>
      <c r="E8892" s="19" t="s">
        <v>32150</v>
      </c>
      <c r="F8892" s="19" t="s">
        <v>36006</v>
      </c>
      <c r="G8892" s="18" t="str">
        <f>"13126"</f>
        <v>13126</v>
      </c>
      <c r="H8892" s="19" t="s">
        <v>32150</v>
      </c>
      <c r="I8892" s="20">
        <v>17.443999999999999</v>
      </c>
      <c r="J8892" s="44" t="s">
        <v>8</v>
      </c>
      <c r="K8892" s="23" t="s">
        <v>8</v>
      </c>
      <c r="L8892" s="23" t="s">
        <v>8</v>
      </c>
      <c r="M8892" s="23" t="s">
        <v>8</v>
      </c>
    </row>
    <row r="8893" spans="1:13" s="21" customFormat="1" x14ac:dyDescent="0.25">
      <c r="A8893" s="22" t="s">
        <v>8</v>
      </c>
      <c r="B8893" s="18" t="str">
        <f>"335490"</f>
        <v>335490</v>
      </c>
      <c r="C8893" s="19" t="s">
        <v>8765</v>
      </c>
      <c r="D8893" s="19" t="s">
        <v>24310</v>
      </c>
      <c r="E8893" s="19" t="s">
        <v>34075</v>
      </c>
      <c r="F8893" s="19" t="s">
        <v>36006</v>
      </c>
      <c r="G8893" s="18" t="str">
        <f>"10562"</f>
        <v>10562</v>
      </c>
      <c r="H8893" s="19" t="s">
        <v>32061</v>
      </c>
      <c r="I8893" s="20">
        <v>17.542000000000002</v>
      </c>
      <c r="J8893" s="44" t="s">
        <v>8</v>
      </c>
      <c r="K8893" s="23" t="s">
        <v>8</v>
      </c>
      <c r="L8893" s="23" t="s">
        <v>8</v>
      </c>
      <c r="M8893" s="23" t="s">
        <v>8</v>
      </c>
    </row>
    <row r="8894" spans="1:13" s="21" customFormat="1" x14ac:dyDescent="0.25">
      <c r="A8894" s="22" t="s">
        <v>8</v>
      </c>
      <c r="B8894" s="18" t="str">
        <f>"335491"</f>
        <v>335491</v>
      </c>
      <c r="C8894" s="19" t="s">
        <v>8766</v>
      </c>
      <c r="D8894" s="19" t="s">
        <v>24311</v>
      </c>
      <c r="E8894" s="19" t="s">
        <v>34041</v>
      </c>
      <c r="F8894" s="19" t="s">
        <v>36006</v>
      </c>
      <c r="G8894" s="18" t="str">
        <f>"10025"</f>
        <v>10025</v>
      </c>
      <c r="H8894" s="19" t="s">
        <v>34041</v>
      </c>
      <c r="I8894" s="20">
        <v>20.573</v>
      </c>
      <c r="J8894" s="44" t="s">
        <v>8</v>
      </c>
      <c r="K8894" s="23" t="s">
        <v>8</v>
      </c>
      <c r="L8894" s="23" t="s">
        <v>8</v>
      </c>
      <c r="M8894" s="23" t="s">
        <v>8</v>
      </c>
    </row>
    <row r="8895" spans="1:13" s="21" customFormat="1" x14ac:dyDescent="0.25">
      <c r="A8895" s="22" t="s">
        <v>8</v>
      </c>
      <c r="B8895" s="18" t="str">
        <f>"335493"</f>
        <v>335493</v>
      </c>
      <c r="C8895" s="19" t="s">
        <v>8767</v>
      </c>
      <c r="D8895" s="19" t="s">
        <v>24312</v>
      </c>
      <c r="E8895" s="19" t="s">
        <v>34037</v>
      </c>
      <c r="F8895" s="19" t="s">
        <v>36006</v>
      </c>
      <c r="G8895" s="18" t="str">
        <f>"10456"</f>
        <v>10456</v>
      </c>
      <c r="H8895" s="19" t="s">
        <v>34037</v>
      </c>
      <c r="I8895" s="20">
        <v>20.808</v>
      </c>
      <c r="J8895" s="44" t="s">
        <v>8</v>
      </c>
      <c r="K8895" s="23" t="s">
        <v>8</v>
      </c>
      <c r="L8895" s="23" t="s">
        <v>8</v>
      </c>
      <c r="M8895" s="23" t="s">
        <v>8</v>
      </c>
    </row>
    <row r="8896" spans="1:13" s="21" customFormat="1" x14ac:dyDescent="0.25">
      <c r="A8896" s="22" t="s">
        <v>8</v>
      </c>
      <c r="B8896" s="18" t="str">
        <f>"335494"</f>
        <v>335494</v>
      </c>
      <c r="C8896" s="19" t="s">
        <v>8768</v>
      </c>
      <c r="D8896" s="19" t="s">
        <v>24313</v>
      </c>
      <c r="E8896" s="19" t="s">
        <v>34094</v>
      </c>
      <c r="F8896" s="19" t="s">
        <v>36006</v>
      </c>
      <c r="G8896" s="18" t="str">
        <f>"14527"</f>
        <v>14527</v>
      </c>
      <c r="H8896" s="19" t="s">
        <v>36605</v>
      </c>
      <c r="I8896" s="20">
        <v>18.882000000000001</v>
      </c>
      <c r="J8896" s="44" t="s">
        <v>8</v>
      </c>
      <c r="K8896" s="23" t="s">
        <v>8</v>
      </c>
      <c r="L8896" s="23" t="s">
        <v>8</v>
      </c>
      <c r="M8896" s="23" t="s">
        <v>8</v>
      </c>
    </row>
    <row r="8897" spans="1:13" s="21" customFormat="1" x14ac:dyDescent="0.25">
      <c r="A8897" s="22" t="s">
        <v>8</v>
      </c>
      <c r="B8897" s="18" t="str">
        <f>"335495"</f>
        <v>335495</v>
      </c>
      <c r="C8897" s="19" t="s">
        <v>8769</v>
      </c>
      <c r="D8897" s="19" t="s">
        <v>24314</v>
      </c>
      <c r="E8897" s="19" t="s">
        <v>34037</v>
      </c>
      <c r="F8897" s="19" t="s">
        <v>36006</v>
      </c>
      <c r="G8897" s="18" t="str">
        <f>"10467"</f>
        <v>10467</v>
      </c>
      <c r="H8897" s="19" t="s">
        <v>34037</v>
      </c>
      <c r="I8897" s="20">
        <v>18.922000000000001</v>
      </c>
      <c r="J8897" s="44" t="s">
        <v>8</v>
      </c>
      <c r="K8897" s="23" t="s">
        <v>8</v>
      </c>
      <c r="L8897" s="23" t="s">
        <v>8</v>
      </c>
      <c r="M8897" s="23" t="s">
        <v>8</v>
      </c>
    </row>
    <row r="8898" spans="1:13" s="21" customFormat="1" x14ac:dyDescent="0.25">
      <c r="A8898" s="22" t="s">
        <v>8</v>
      </c>
      <c r="B8898" s="18" t="str">
        <f>"335497"</f>
        <v>335497</v>
      </c>
      <c r="C8898" s="19" t="s">
        <v>8770</v>
      </c>
      <c r="D8898" s="19" t="s">
        <v>24315</v>
      </c>
      <c r="E8898" s="19" t="s">
        <v>34155</v>
      </c>
      <c r="F8898" s="19" t="s">
        <v>36006</v>
      </c>
      <c r="G8898" s="18" t="str">
        <f>"13424"</f>
        <v>13424</v>
      </c>
      <c r="H8898" s="19" t="s">
        <v>34140</v>
      </c>
      <c r="I8898" s="20">
        <v>20.765999999999998</v>
      </c>
      <c r="J8898" s="44" t="s">
        <v>8</v>
      </c>
      <c r="K8898" s="23" t="s">
        <v>8</v>
      </c>
      <c r="L8898" s="23" t="s">
        <v>8</v>
      </c>
      <c r="M8898" s="23" t="s">
        <v>8</v>
      </c>
    </row>
    <row r="8899" spans="1:13" s="21" customFormat="1" x14ac:dyDescent="0.25">
      <c r="A8899" s="22" t="s">
        <v>8</v>
      </c>
      <c r="B8899" s="18" t="str">
        <f>"335498"</f>
        <v>335498</v>
      </c>
      <c r="C8899" s="19" t="s">
        <v>8771</v>
      </c>
      <c r="D8899" s="19" t="s">
        <v>24316</v>
      </c>
      <c r="E8899" s="19" t="s">
        <v>31111</v>
      </c>
      <c r="F8899" s="19" t="s">
        <v>36006</v>
      </c>
      <c r="G8899" s="18" t="str">
        <f>"11561"</f>
        <v>11561</v>
      </c>
      <c r="H8899" s="19" t="s">
        <v>36144</v>
      </c>
      <c r="I8899" s="20">
        <v>25.364000000000001</v>
      </c>
      <c r="J8899" s="44" t="s">
        <v>8</v>
      </c>
      <c r="K8899" s="23" t="s">
        <v>8</v>
      </c>
      <c r="L8899" s="23" t="s">
        <v>8</v>
      </c>
      <c r="M8899" s="23" t="s">
        <v>8</v>
      </c>
    </row>
    <row r="8900" spans="1:13" s="21" customFormat="1" x14ac:dyDescent="0.25">
      <c r="A8900" s="22" t="s">
        <v>8</v>
      </c>
      <c r="B8900" s="18" t="str">
        <f>"335500"</f>
        <v>335500</v>
      </c>
      <c r="C8900" s="19" t="s">
        <v>8772</v>
      </c>
      <c r="D8900" s="19" t="s">
        <v>24317</v>
      </c>
      <c r="E8900" s="19" t="s">
        <v>32869</v>
      </c>
      <c r="F8900" s="19" t="s">
        <v>36006</v>
      </c>
      <c r="G8900" s="18" t="str">
        <f>"14094"</f>
        <v>14094</v>
      </c>
      <c r="H8900" s="19" t="s">
        <v>35632</v>
      </c>
      <c r="I8900" s="20">
        <v>19.706</v>
      </c>
      <c r="J8900" s="44" t="s">
        <v>8</v>
      </c>
      <c r="K8900" s="23" t="s">
        <v>8</v>
      </c>
      <c r="L8900" s="23" t="s">
        <v>8</v>
      </c>
      <c r="M8900" s="23" t="s">
        <v>8</v>
      </c>
    </row>
    <row r="8901" spans="1:13" s="21" customFormat="1" x14ac:dyDescent="0.25">
      <c r="A8901" s="22" t="s">
        <v>8</v>
      </c>
      <c r="B8901" s="18" t="str">
        <f>"335502"</f>
        <v>335502</v>
      </c>
      <c r="C8901" s="19" t="s">
        <v>8773</v>
      </c>
      <c r="D8901" s="19" t="s">
        <v>24318</v>
      </c>
      <c r="E8901" s="19" t="s">
        <v>34058</v>
      </c>
      <c r="F8901" s="19" t="s">
        <v>36006</v>
      </c>
      <c r="G8901" s="18" t="str">
        <f>"10314"</f>
        <v>10314</v>
      </c>
      <c r="H8901" s="19" t="s">
        <v>31178</v>
      </c>
      <c r="I8901" s="20">
        <v>19.356999999999999</v>
      </c>
      <c r="J8901" s="44" t="s">
        <v>8</v>
      </c>
      <c r="K8901" s="23" t="s">
        <v>8</v>
      </c>
      <c r="L8901" s="23" t="s">
        <v>8</v>
      </c>
      <c r="M8901" s="23" t="s">
        <v>8</v>
      </c>
    </row>
    <row r="8902" spans="1:13" s="21" customFormat="1" x14ac:dyDescent="0.25">
      <c r="A8902" s="22" t="s">
        <v>8</v>
      </c>
      <c r="B8902" s="18" t="str">
        <f>"335503"</f>
        <v>335503</v>
      </c>
      <c r="C8902" s="19" t="s">
        <v>8774</v>
      </c>
      <c r="D8902" s="19" t="s">
        <v>24319</v>
      </c>
      <c r="E8902" s="19" t="s">
        <v>34108</v>
      </c>
      <c r="F8902" s="19" t="s">
        <v>36006</v>
      </c>
      <c r="G8902" s="18" t="str">
        <f>"11423"</f>
        <v>11423</v>
      </c>
      <c r="H8902" s="19" t="s">
        <v>36598</v>
      </c>
      <c r="I8902" s="20">
        <v>19.652000000000001</v>
      </c>
      <c r="J8902" s="44" t="s">
        <v>8</v>
      </c>
      <c r="K8902" s="23" t="s">
        <v>8</v>
      </c>
      <c r="L8902" s="23" t="s">
        <v>8</v>
      </c>
      <c r="M8902" s="23" t="s">
        <v>8</v>
      </c>
    </row>
    <row r="8903" spans="1:13" s="21" customFormat="1" x14ac:dyDescent="0.25">
      <c r="A8903" s="22" t="s">
        <v>8</v>
      </c>
      <c r="B8903" s="18" t="str">
        <f>"335504"</f>
        <v>335504</v>
      </c>
      <c r="C8903" s="19" t="s">
        <v>8775</v>
      </c>
      <c r="D8903" s="19" t="s">
        <v>24320</v>
      </c>
      <c r="E8903" s="19" t="s">
        <v>34156</v>
      </c>
      <c r="F8903" s="19" t="s">
        <v>36006</v>
      </c>
      <c r="G8903" s="18" t="str">
        <f>"14224"</f>
        <v>14224</v>
      </c>
      <c r="H8903" s="19" t="s">
        <v>34805</v>
      </c>
      <c r="I8903" s="20">
        <v>20.463999999999999</v>
      </c>
      <c r="J8903" s="44" t="s">
        <v>8</v>
      </c>
      <c r="K8903" s="23" t="s">
        <v>8</v>
      </c>
      <c r="L8903" s="23" t="s">
        <v>8</v>
      </c>
      <c r="M8903" s="23" t="s">
        <v>8</v>
      </c>
    </row>
    <row r="8904" spans="1:13" s="21" customFormat="1" x14ac:dyDescent="0.25">
      <c r="A8904" s="22" t="s">
        <v>8</v>
      </c>
      <c r="B8904" s="18" t="str">
        <f>"335505"</f>
        <v>335505</v>
      </c>
      <c r="C8904" s="19" t="s">
        <v>8776</v>
      </c>
      <c r="D8904" s="19" t="s">
        <v>24321</v>
      </c>
      <c r="E8904" s="19" t="s">
        <v>34109</v>
      </c>
      <c r="F8904" s="19" t="s">
        <v>36006</v>
      </c>
      <c r="G8904" s="18" t="str">
        <f>"11432"</f>
        <v>11432</v>
      </c>
      <c r="H8904" s="19" t="s">
        <v>36598</v>
      </c>
      <c r="I8904" s="20">
        <v>21.434000000000001</v>
      </c>
      <c r="J8904" s="44" t="s">
        <v>8</v>
      </c>
      <c r="K8904" s="23" t="s">
        <v>8</v>
      </c>
      <c r="L8904" s="23" t="s">
        <v>8</v>
      </c>
      <c r="M8904" s="23" t="s">
        <v>8</v>
      </c>
    </row>
    <row r="8905" spans="1:13" s="21" customFormat="1" x14ac:dyDescent="0.25">
      <c r="A8905" s="22" t="s">
        <v>8</v>
      </c>
      <c r="B8905" s="18" t="str">
        <f>"335506"</f>
        <v>335506</v>
      </c>
      <c r="C8905" s="19" t="s">
        <v>8777</v>
      </c>
      <c r="D8905" s="19" t="s">
        <v>24322</v>
      </c>
      <c r="E8905" s="19" t="s">
        <v>34037</v>
      </c>
      <c r="F8905" s="19" t="s">
        <v>36006</v>
      </c>
      <c r="G8905" s="18" t="str">
        <f>"10472"</f>
        <v>10472</v>
      </c>
      <c r="H8905" s="19" t="s">
        <v>34037</v>
      </c>
      <c r="I8905" s="20">
        <v>23.123000000000001</v>
      </c>
      <c r="J8905" s="44" t="s">
        <v>8</v>
      </c>
      <c r="K8905" s="23" t="s">
        <v>8</v>
      </c>
      <c r="L8905" s="23" t="s">
        <v>8</v>
      </c>
      <c r="M8905" s="23" t="s">
        <v>8</v>
      </c>
    </row>
    <row r="8906" spans="1:13" s="21" customFormat="1" x14ac:dyDescent="0.25">
      <c r="A8906" s="22" t="s">
        <v>8</v>
      </c>
      <c r="B8906" s="18" t="str">
        <f>"335507"</f>
        <v>335507</v>
      </c>
      <c r="C8906" s="19" t="s">
        <v>8778</v>
      </c>
      <c r="D8906" s="19" t="s">
        <v>24323</v>
      </c>
      <c r="E8906" s="19" t="s">
        <v>34157</v>
      </c>
      <c r="F8906" s="19" t="s">
        <v>36006</v>
      </c>
      <c r="G8906" s="18" t="str">
        <f>"14127"</f>
        <v>14127</v>
      </c>
      <c r="H8906" s="19" t="s">
        <v>34805</v>
      </c>
      <c r="I8906" s="20">
        <v>18.37</v>
      </c>
      <c r="J8906" s="44" t="s">
        <v>8</v>
      </c>
      <c r="K8906" s="23" t="s">
        <v>8</v>
      </c>
      <c r="L8906" s="23" t="s">
        <v>8</v>
      </c>
      <c r="M8906" s="23" t="s">
        <v>8</v>
      </c>
    </row>
    <row r="8907" spans="1:13" s="21" customFormat="1" x14ac:dyDescent="0.25">
      <c r="A8907" s="22" t="s">
        <v>8</v>
      </c>
      <c r="B8907" s="18" t="str">
        <f>"335508"</f>
        <v>335508</v>
      </c>
      <c r="C8907" s="19" t="s">
        <v>8779</v>
      </c>
      <c r="D8907" s="19" t="s">
        <v>24324</v>
      </c>
      <c r="E8907" s="19" t="s">
        <v>34158</v>
      </c>
      <c r="F8907" s="19" t="s">
        <v>36006</v>
      </c>
      <c r="G8907" s="18" t="str">
        <f>"10520"</f>
        <v>10520</v>
      </c>
      <c r="H8907" s="19" t="s">
        <v>32061</v>
      </c>
      <c r="I8907" s="20">
        <v>20.420999999999999</v>
      </c>
      <c r="J8907" s="44" t="s">
        <v>8</v>
      </c>
      <c r="K8907" s="23" t="s">
        <v>8</v>
      </c>
      <c r="L8907" s="23" t="s">
        <v>8</v>
      </c>
      <c r="M8907" s="23" t="s">
        <v>8</v>
      </c>
    </row>
    <row r="8908" spans="1:13" s="21" customFormat="1" x14ac:dyDescent="0.25">
      <c r="A8908" s="22" t="s">
        <v>8</v>
      </c>
      <c r="B8908" s="18" t="str">
        <f>"335510"</f>
        <v>335510</v>
      </c>
      <c r="C8908" s="19" t="s">
        <v>8780</v>
      </c>
      <c r="D8908" s="19" t="s">
        <v>24325</v>
      </c>
      <c r="E8908" s="19" t="s">
        <v>34159</v>
      </c>
      <c r="F8908" s="19" t="s">
        <v>36006</v>
      </c>
      <c r="G8908" s="18" t="str">
        <f>"13350"</f>
        <v>13350</v>
      </c>
      <c r="H8908" s="19" t="s">
        <v>34159</v>
      </c>
      <c r="I8908" s="20">
        <v>19.658999999999999</v>
      </c>
      <c r="J8908" s="44" t="s">
        <v>8</v>
      </c>
      <c r="K8908" s="23" t="s">
        <v>8</v>
      </c>
      <c r="L8908" s="23" t="s">
        <v>8</v>
      </c>
      <c r="M8908" s="23" t="s">
        <v>8</v>
      </c>
    </row>
    <row r="8909" spans="1:13" s="21" customFormat="1" x14ac:dyDescent="0.25">
      <c r="A8909" s="22" t="s">
        <v>8</v>
      </c>
      <c r="B8909" s="18" t="str">
        <f>"335511"</f>
        <v>335511</v>
      </c>
      <c r="C8909" s="19" t="s">
        <v>8781</v>
      </c>
      <c r="D8909" s="19" t="s">
        <v>24326</v>
      </c>
      <c r="E8909" s="19" t="s">
        <v>32201</v>
      </c>
      <c r="F8909" s="19" t="s">
        <v>36006</v>
      </c>
      <c r="G8909" s="18" t="str">
        <f>"14569"</f>
        <v>14569</v>
      </c>
      <c r="H8909" s="19" t="s">
        <v>33261</v>
      </c>
      <c r="I8909" s="20">
        <v>18.968</v>
      </c>
      <c r="J8909" s="44" t="s">
        <v>8</v>
      </c>
      <c r="K8909" s="23" t="s">
        <v>8</v>
      </c>
      <c r="L8909" s="23" t="s">
        <v>8</v>
      </c>
      <c r="M8909" s="23" t="s">
        <v>8</v>
      </c>
    </row>
    <row r="8910" spans="1:13" s="21" customFormat="1" x14ac:dyDescent="0.25">
      <c r="A8910" s="22" t="s">
        <v>8</v>
      </c>
      <c r="B8910" s="18" t="str">
        <f>"335513"</f>
        <v>335513</v>
      </c>
      <c r="C8910" s="19" t="s">
        <v>8782</v>
      </c>
      <c r="D8910" s="19" t="s">
        <v>24327</v>
      </c>
      <c r="E8910" s="19" t="s">
        <v>31443</v>
      </c>
      <c r="F8910" s="19" t="s">
        <v>36006</v>
      </c>
      <c r="G8910" s="18" t="str">
        <f>"11224"</f>
        <v>11224</v>
      </c>
      <c r="H8910" s="19" t="s">
        <v>36091</v>
      </c>
      <c r="I8910" s="20">
        <v>16.855</v>
      </c>
      <c r="J8910" s="44" t="s">
        <v>8</v>
      </c>
      <c r="K8910" s="23" t="s">
        <v>8</v>
      </c>
      <c r="L8910" s="23" t="s">
        <v>8</v>
      </c>
      <c r="M8910" s="23" t="s">
        <v>8</v>
      </c>
    </row>
    <row r="8911" spans="1:13" s="21" customFormat="1" x14ac:dyDescent="0.25">
      <c r="A8911" s="22" t="s">
        <v>8</v>
      </c>
      <c r="B8911" s="18" t="str">
        <f>"335514"</f>
        <v>335514</v>
      </c>
      <c r="C8911" s="19" t="s">
        <v>8783</v>
      </c>
      <c r="D8911" s="19" t="s">
        <v>24328</v>
      </c>
      <c r="E8911" s="19" t="s">
        <v>34160</v>
      </c>
      <c r="F8911" s="19" t="s">
        <v>36006</v>
      </c>
      <c r="G8911" s="18" t="str">
        <f>"11776"</f>
        <v>11776</v>
      </c>
      <c r="H8911" s="19" t="s">
        <v>35389</v>
      </c>
      <c r="I8911" s="20">
        <v>25.675999999999998</v>
      </c>
      <c r="J8911" s="44" t="s">
        <v>8</v>
      </c>
      <c r="K8911" s="23" t="s">
        <v>8</v>
      </c>
      <c r="L8911" s="23" t="s">
        <v>8</v>
      </c>
      <c r="M8911" s="23" t="s">
        <v>8</v>
      </c>
    </row>
    <row r="8912" spans="1:13" s="21" customFormat="1" x14ac:dyDescent="0.25">
      <c r="A8912" s="22" t="s">
        <v>8</v>
      </c>
      <c r="B8912" s="18" t="str">
        <f>"335515"</f>
        <v>335515</v>
      </c>
      <c r="C8912" s="19" t="s">
        <v>8784</v>
      </c>
      <c r="D8912" s="19" t="s">
        <v>24329</v>
      </c>
      <c r="E8912" s="19" t="s">
        <v>34052</v>
      </c>
      <c r="F8912" s="19" t="s">
        <v>36006</v>
      </c>
      <c r="G8912" s="18" t="str">
        <f>"10701"</f>
        <v>10701</v>
      </c>
      <c r="H8912" s="19" t="s">
        <v>32061</v>
      </c>
      <c r="I8912" s="20">
        <v>17.285</v>
      </c>
      <c r="J8912" s="44" t="s">
        <v>8</v>
      </c>
      <c r="K8912" s="23" t="s">
        <v>8</v>
      </c>
      <c r="L8912" s="23" t="s">
        <v>8</v>
      </c>
      <c r="M8912" s="23" t="s">
        <v>8</v>
      </c>
    </row>
    <row r="8913" spans="1:13" s="21" customFormat="1" x14ac:dyDescent="0.25">
      <c r="A8913" s="22" t="s">
        <v>8</v>
      </c>
      <c r="B8913" s="18" t="str">
        <f>"335516"</f>
        <v>335516</v>
      </c>
      <c r="C8913" s="19" t="s">
        <v>8785</v>
      </c>
      <c r="D8913" s="19" t="s">
        <v>24330</v>
      </c>
      <c r="E8913" s="19" t="s">
        <v>31443</v>
      </c>
      <c r="F8913" s="19" t="s">
        <v>36006</v>
      </c>
      <c r="G8913" s="18" t="str">
        <f>"11201"</f>
        <v>11201</v>
      </c>
      <c r="H8913" s="19" t="s">
        <v>36091</v>
      </c>
      <c r="I8913" s="20">
        <v>23.936</v>
      </c>
      <c r="J8913" s="44" t="s">
        <v>8</v>
      </c>
      <c r="K8913" s="23" t="s">
        <v>8</v>
      </c>
      <c r="L8913" s="23" t="s">
        <v>8</v>
      </c>
      <c r="M8913" s="23" t="s">
        <v>8</v>
      </c>
    </row>
    <row r="8914" spans="1:13" s="21" customFormat="1" x14ac:dyDescent="0.25">
      <c r="A8914" s="22" t="s">
        <v>8</v>
      </c>
      <c r="B8914" s="18" t="str">
        <f>"335517"</f>
        <v>335517</v>
      </c>
      <c r="C8914" s="19" t="s">
        <v>8786</v>
      </c>
      <c r="D8914" s="19" t="s">
        <v>24331</v>
      </c>
      <c r="E8914" s="19" t="s">
        <v>34041</v>
      </c>
      <c r="F8914" s="19" t="s">
        <v>36006</v>
      </c>
      <c r="G8914" s="18" t="str">
        <f>"10002"</f>
        <v>10002</v>
      </c>
      <c r="H8914" s="19" t="s">
        <v>34041</v>
      </c>
      <c r="I8914" s="20">
        <v>24.599</v>
      </c>
      <c r="J8914" s="44" t="s">
        <v>8</v>
      </c>
      <c r="K8914" s="23" t="s">
        <v>8</v>
      </c>
      <c r="L8914" s="23" t="s">
        <v>8</v>
      </c>
      <c r="M8914" s="23" t="s">
        <v>8</v>
      </c>
    </row>
    <row r="8915" spans="1:13" s="21" customFormat="1" x14ac:dyDescent="0.25">
      <c r="A8915" s="22" t="s">
        <v>8</v>
      </c>
      <c r="B8915" s="18" t="str">
        <f>"335518"</f>
        <v>335518</v>
      </c>
      <c r="C8915" s="19" t="s">
        <v>8787</v>
      </c>
      <c r="D8915" s="19" t="s">
        <v>24332</v>
      </c>
      <c r="E8915" s="19" t="s">
        <v>34161</v>
      </c>
      <c r="F8915" s="19" t="s">
        <v>36006</v>
      </c>
      <c r="G8915" s="18" t="str">
        <f>"12020"</f>
        <v>12020</v>
      </c>
      <c r="H8915" s="19" t="s">
        <v>31201</v>
      </c>
      <c r="I8915" s="20">
        <v>14.874000000000001</v>
      </c>
      <c r="J8915" s="44" t="s">
        <v>8</v>
      </c>
      <c r="K8915" s="23" t="s">
        <v>8</v>
      </c>
      <c r="L8915" s="23" t="s">
        <v>8</v>
      </c>
      <c r="M8915" s="23" t="s">
        <v>8</v>
      </c>
    </row>
    <row r="8916" spans="1:13" s="21" customFormat="1" x14ac:dyDescent="0.25">
      <c r="A8916" s="22" t="s">
        <v>8</v>
      </c>
      <c r="B8916" s="18" t="str">
        <f>"335520"</f>
        <v>335520</v>
      </c>
      <c r="C8916" s="19" t="s">
        <v>8788</v>
      </c>
      <c r="D8916" s="19" t="s">
        <v>24333</v>
      </c>
      <c r="E8916" s="19" t="s">
        <v>34118</v>
      </c>
      <c r="F8916" s="19" t="s">
        <v>36006</v>
      </c>
      <c r="G8916" s="18" t="str">
        <f>"13760"</f>
        <v>13760</v>
      </c>
      <c r="H8916" s="19" t="s">
        <v>36600</v>
      </c>
      <c r="I8916" s="20">
        <v>19.385000000000002</v>
      </c>
      <c r="J8916" s="44" t="s">
        <v>8</v>
      </c>
      <c r="K8916" s="23" t="s">
        <v>8</v>
      </c>
      <c r="L8916" s="23" t="s">
        <v>8</v>
      </c>
      <c r="M8916" s="23" t="s">
        <v>8</v>
      </c>
    </row>
    <row r="8917" spans="1:13" s="21" customFormat="1" x14ac:dyDescent="0.25">
      <c r="A8917" s="22" t="s">
        <v>8</v>
      </c>
      <c r="B8917" s="18" t="str">
        <f>"335521"</f>
        <v>335521</v>
      </c>
      <c r="C8917" s="19" t="s">
        <v>8789</v>
      </c>
      <c r="D8917" s="19" t="s">
        <v>24334</v>
      </c>
      <c r="E8917" s="19" t="s">
        <v>31443</v>
      </c>
      <c r="F8917" s="19" t="s">
        <v>36006</v>
      </c>
      <c r="G8917" s="18" t="str">
        <f>"11204"</f>
        <v>11204</v>
      </c>
      <c r="H8917" s="19" t="s">
        <v>36091</v>
      </c>
      <c r="I8917" s="20">
        <v>14.983000000000001</v>
      </c>
      <c r="J8917" s="44" t="s">
        <v>8</v>
      </c>
      <c r="K8917" s="23" t="s">
        <v>8</v>
      </c>
      <c r="L8917" s="23" t="s">
        <v>8</v>
      </c>
      <c r="M8917" s="23" t="s">
        <v>8</v>
      </c>
    </row>
    <row r="8918" spans="1:13" s="21" customFormat="1" x14ac:dyDescent="0.25">
      <c r="A8918" s="22" t="s">
        <v>8</v>
      </c>
      <c r="B8918" s="18" t="str">
        <f>"335522"</f>
        <v>335522</v>
      </c>
      <c r="C8918" s="19" t="s">
        <v>8790</v>
      </c>
      <c r="D8918" s="19" t="s">
        <v>24335</v>
      </c>
      <c r="E8918" s="19" t="s">
        <v>34041</v>
      </c>
      <c r="F8918" s="19" t="s">
        <v>36006</v>
      </c>
      <c r="G8918" s="18" t="str">
        <f>"10037"</f>
        <v>10037</v>
      </c>
      <c r="H8918" s="19" t="s">
        <v>34041</v>
      </c>
      <c r="I8918" s="20">
        <v>18.945</v>
      </c>
      <c r="J8918" s="44" t="s">
        <v>8</v>
      </c>
      <c r="K8918" s="23" t="s">
        <v>8</v>
      </c>
      <c r="L8918" s="23" t="s">
        <v>8</v>
      </c>
      <c r="M8918" s="23" t="s">
        <v>8</v>
      </c>
    </row>
    <row r="8919" spans="1:13" s="21" customFormat="1" x14ac:dyDescent="0.25">
      <c r="A8919" s="22" t="s">
        <v>8</v>
      </c>
      <c r="B8919" s="18" t="str">
        <f>"335523"</f>
        <v>335523</v>
      </c>
      <c r="C8919" s="19" t="s">
        <v>8791</v>
      </c>
      <c r="D8919" s="19" t="s">
        <v>24336</v>
      </c>
      <c r="E8919" s="19" t="s">
        <v>31443</v>
      </c>
      <c r="F8919" s="19" t="s">
        <v>36006</v>
      </c>
      <c r="G8919" s="18" t="str">
        <f>"11219"</f>
        <v>11219</v>
      </c>
      <c r="H8919" s="19" t="s">
        <v>36091</v>
      </c>
      <c r="I8919" s="20">
        <v>23.472999999999999</v>
      </c>
      <c r="J8919" s="44" t="s">
        <v>8</v>
      </c>
      <c r="K8919" s="23" t="s">
        <v>8</v>
      </c>
      <c r="L8919" s="23" t="s">
        <v>8</v>
      </c>
      <c r="M8919" s="23" t="s">
        <v>8</v>
      </c>
    </row>
    <row r="8920" spans="1:13" s="21" customFormat="1" x14ac:dyDescent="0.25">
      <c r="A8920" s="22" t="s">
        <v>8</v>
      </c>
      <c r="B8920" s="18" t="str">
        <f>"335524"</f>
        <v>335524</v>
      </c>
      <c r="C8920" s="19" t="s">
        <v>8792</v>
      </c>
      <c r="D8920" s="19" t="s">
        <v>24337</v>
      </c>
      <c r="E8920" s="19" t="s">
        <v>34037</v>
      </c>
      <c r="F8920" s="19" t="s">
        <v>36006</v>
      </c>
      <c r="G8920" s="18" t="str">
        <f>"10471"</f>
        <v>10471</v>
      </c>
      <c r="H8920" s="19" t="s">
        <v>34037</v>
      </c>
      <c r="I8920" s="20">
        <v>16.57</v>
      </c>
      <c r="J8920" s="44" t="s">
        <v>8</v>
      </c>
      <c r="K8920" s="23" t="s">
        <v>8</v>
      </c>
      <c r="L8920" s="23" t="s">
        <v>8</v>
      </c>
      <c r="M8920" s="23" t="s">
        <v>8</v>
      </c>
    </row>
    <row r="8921" spans="1:13" s="21" customFormat="1" x14ac:dyDescent="0.25">
      <c r="A8921" s="22" t="s">
        <v>8</v>
      </c>
      <c r="B8921" s="18" t="str">
        <f>"335525"</f>
        <v>335525</v>
      </c>
      <c r="C8921" s="19" t="s">
        <v>8793</v>
      </c>
      <c r="D8921" s="19" t="s">
        <v>24338</v>
      </c>
      <c r="E8921" s="19" t="s">
        <v>34162</v>
      </c>
      <c r="F8921" s="19" t="s">
        <v>36006</v>
      </c>
      <c r="G8921" s="18" t="str">
        <f>"12033"</f>
        <v>12033</v>
      </c>
      <c r="H8921" s="19" t="s">
        <v>32254</v>
      </c>
      <c r="I8921" s="20">
        <v>17.959</v>
      </c>
      <c r="J8921" s="44" t="s">
        <v>8</v>
      </c>
      <c r="K8921" s="23" t="s">
        <v>8</v>
      </c>
      <c r="L8921" s="23" t="s">
        <v>8</v>
      </c>
      <c r="M8921" s="23" t="s">
        <v>8</v>
      </c>
    </row>
    <row r="8922" spans="1:13" s="21" customFormat="1" x14ac:dyDescent="0.25">
      <c r="A8922" s="22" t="s">
        <v>8</v>
      </c>
      <c r="B8922" s="18" t="str">
        <f>"335526"</f>
        <v>335526</v>
      </c>
      <c r="C8922" s="19" t="s">
        <v>8794</v>
      </c>
      <c r="D8922" s="19" t="s">
        <v>24339</v>
      </c>
      <c r="E8922" s="19" t="s">
        <v>31412</v>
      </c>
      <c r="F8922" s="19" t="s">
        <v>36006</v>
      </c>
      <c r="G8922" s="18" t="str">
        <f>"10940"</f>
        <v>10940</v>
      </c>
      <c r="H8922" s="19" t="s">
        <v>31169</v>
      </c>
      <c r="I8922" s="20">
        <v>19.062000000000001</v>
      </c>
      <c r="J8922" s="44" t="s">
        <v>8</v>
      </c>
      <c r="K8922" s="23" t="s">
        <v>8</v>
      </c>
      <c r="L8922" s="23" t="s">
        <v>8</v>
      </c>
      <c r="M8922" s="23" t="s">
        <v>8</v>
      </c>
    </row>
    <row r="8923" spans="1:13" s="21" customFormat="1" x14ac:dyDescent="0.25">
      <c r="A8923" s="22" t="s">
        <v>8</v>
      </c>
      <c r="B8923" s="18" t="str">
        <f>"335527"</f>
        <v>335527</v>
      </c>
      <c r="C8923" s="19" t="s">
        <v>8795</v>
      </c>
      <c r="D8923" s="19" t="s">
        <v>24340</v>
      </c>
      <c r="E8923" s="19" t="s">
        <v>34054</v>
      </c>
      <c r="F8923" s="19" t="s">
        <v>36006</v>
      </c>
      <c r="G8923" s="18" t="str">
        <f>"13904"</f>
        <v>13904</v>
      </c>
      <c r="H8923" s="19" t="s">
        <v>36600</v>
      </c>
      <c r="I8923" s="20">
        <v>21.710999999999999</v>
      </c>
      <c r="J8923" s="44" t="s">
        <v>8</v>
      </c>
      <c r="K8923" s="23" t="s">
        <v>8</v>
      </c>
      <c r="L8923" s="23" t="s">
        <v>8</v>
      </c>
      <c r="M8923" s="23" t="s">
        <v>8</v>
      </c>
    </row>
    <row r="8924" spans="1:13" s="21" customFormat="1" x14ac:dyDescent="0.25">
      <c r="A8924" s="22" t="s">
        <v>8</v>
      </c>
      <c r="B8924" s="18" t="str">
        <f>"335528"</f>
        <v>335528</v>
      </c>
      <c r="C8924" s="19" t="s">
        <v>8796</v>
      </c>
      <c r="D8924" s="19" t="s">
        <v>24341</v>
      </c>
      <c r="E8924" s="19" t="s">
        <v>34146</v>
      </c>
      <c r="F8924" s="19" t="s">
        <v>36006</v>
      </c>
      <c r="G8924" s="18" t="str">
        <f>"12901"</f>
        <v>12901</v>
      </c>
      <c r="H8924" s="19" t="s">
        <v>31081</v>
      </c>
      <c r="I8924" s="20">
        <v>18.347000000000001</v>
      </c>
      <c r="J8924" s="44" t="s">
        <v>8</v>
      </c>
      <c r="K8924" s="23" t="s">
        <v>8</v>
      </c>
      <c r="L8924" s="23" t="s">
        <v>8</v>
      </c>
      <c r="M8924" s="23" t="s">
        <v>8</v>
      </c>
    </row>
    <row r="8925" spans="1:13" s="21" customFormat="1" x14ac:dyDescent="0.25">
      <c r="A8925" s="22" t="s">
        <v>8</v>
      </c>
      <c r="B8925" s="18" t="str">
        <f>"335531"</f>
        <v>335531</v>
      </c>
      <c r="C8925" s="19" t="s">
        <v>8797</v>
      </c>
      <c r="D8925" s="19" t="s">
        <v>24342</v>
      </c>
      <c r="E8925" s="19" t="s">
        <v>34163</v>
      </c>
      <c r="F8925" s="19" t="s">
        <v>36006</v>
      </c>
      <c r="G8925" s="18" t="str">
        <f>"11432"</f>
        <v>11432</v>
      </c>
      <c r="H8925" s="19" t="s">
        <v>36598</v>
      </c>
      <c r="I8925" s="20">
        <v>16.34</v>
      </c>
      <c r="J8925" s="44" t="s">
        <v>8</v>
      </c>
      <c r="K8925" s="23" t="s">
        <v>8</v>
      </c>
      <c r="L8925" s="23" t="s">
        <v>8</v>
      </c>
      <c r="M8925" s="23" t="s">
        <v>8</v>
      </c>
    </row>
    <row r="8926" spans="1:13" s="21" customFormat="1" x14ac:dyDescent="0.25">
      <c r="A8926" s="22" t="s">
        <v>8</v>
      </c>
      <c r="B8926" s="18" t="str">
        <f>"335532"</f>
        <v>335532</v>
      </c>
      <c r="C8926" s="19" t="s">
        <v>8798</v>
      </c>
      <c r="D8926" s="19" t="s">
        <v>24343</v>
      </c>
      <c r="E8926" s="19" t="s">
        <v>34149</v>
      </c>
      <c r="F8926" s="19" t="s">
        <v>36006</v>
      </c>
      <c r="G8926" s="18" t="str">
        <f>"14450"</f>
        <v>14450</v>
      </c>
      <c r="H8926" s="19" t="s">
        <v>31711</v>
      </c>
      <c r="I8926" s="20">
        <v>20.157</v>
      </c>
      <c r="J8926" s="44" t="s">
        <v>8</v>
      </c>
      <c r="K8926" s="23" t="s">
        <v>8</v>
      </c>
      <c r="L8926" s="23" t="s">
        <v>8</v>
      </c>
      <c r="M8926" s="23" t="s">
        <v>8</v>
      </c>
    </row>
    <row r="8927" spans="1:13" s="21" customFormat="1" x14ac:dyDescent="0.25">
      <c r="A8927" s="22" t="s">
        <v>8</v>
      </c>
      <c r="B8927" s="18" t="str">
        <f>"335533"</f>
        <v>335533</v>
      </c>
      <c r="C8927" s="19" t="s">
        <v>8799</v>
      </c>
      <c r="D8927" s="19" t="s">
        <v>24344</v>
      </c>
      <c r="E8927" s="19" t="s">
        <v>34164</v>
      </c>
      <c r="F8927" s="19" t="s">
        <v>36006</v>
      </c>
      <c r="G8927" s="18" t="str">
        <f>"14067"</f>
        <v>14067</v>
      </c>
      <c r="H8927" s="19" t="s">
        <v>35632</v>
      </c>
      <c r="I8927" s="20">
        <v>20.850999999999999</v>
      </c>
      <c r="J8927" s="44" t="s">
        <v>8</v>
      </c>
      <c r="K8927" s="23" t="s">
        <v>8</v>
      </c>
      <c r="L8927" s="23" t="s">
        <v>8</v>
      </c>
      <c r="M8927" s="23" t="s">
        <v>8</v>
      </c>
    </row>
    <row r="8928" spans="1:13" s="21" customFormat="1" x14ac:dyDescent="0.25">
      <c r="A8928" s="22" t="s">
        <v>8</v>
      </c>
      <c r="B8928" s="18" t="str">
        <f>"335534"</f>
        <v>335534</v>
      </c>
      <c r="C8928" s="19" t="s">
        <v>8800</v>
      </c>
      <c r="D8928" s="19" t="s">
        <v>24345</v>
      </c>
      <c r="E8928" s="19" t="s">
        <v>34165</v>
      </c>
      <c r="F8928" s="19" t="s">
        <v>36006</v>
      </c>
      <c r="G8928" s="18" t="str">
        <f>"14779"</f>
        <v>14779</v>
      </c>
      <c r="H8928" s="19" t="s">
        <v>36593</v>
      </c>
      <c r="I8928" s="20">
        <v>18.940000000000001</v>
      </c>
      <c r="J8928" s="44" t="s">
        <v>8</v>
      </c>
      <c r="K8928" s="23" t="s">
        <v>8</v>
      </c>
      <c r="L8928" s="23" t="s">
        <v>8</v>
      </c>
      <c r="M8928" s="23" t="s">
        <v>8</v>
      </c>
    </row>
    <row r="8929" spans="1:13" s="21" customFormat="1" x14ac:dyDescent="0.25">
      <c r="A8929" s="22" t="s">
        <v>8</v>
      </c>
      <c r="B8929" s="18" t="str">
        <f>"335537"</f>
        <v>335537</v>
      </c>
      <c r="C8929" s="19" t="s">
        <v>8801</v>
      </c>
      <c r="D8929" s="19" t="s">
        <v>24346</v>
      </c>
      <c r="E8929" s="19" t="s">
        <v>31443</v>
      </c>
      <c r="F8929" s="19" t="s">
        <v>36006</v>
      </c>
      <c r="G8929" s="18" t="str">
        <f>"11203"</f>
        <v>11203</v>
      </c>
      <c r="H8929" s="19" t="s">
        <v>36091</v>
      </c>
      <c r="I8929" s="20">
        <v>18.568999999999999</v>
      </c>
      <c r="J8929" s="44" t="s">
        <v>8</v>
      </c>
      <c r="K8929" s="23" t="s">
        <v>8</v>
      </c>
      <c r="L8929" s="23" t="s">
        <v>8</v>
      </c>
      <c r="M8929" s="23" t="s">
        <v>8</v>
      </c>
    </row>
    <row r="8930" spans="1:13" s="21" customFormat="1" x14ac:dyDescent="0.25">
      <c r="A8930" s="22" t="s">
        <v>8</v>
      </c>
      <c r="B8930" s="18" t="str">
        <f>"335538"</f>
        <v>335538</v>
      </c>
      <c r="C8930" s="19" t="s">
        <v>8802</v>
      </c>
      <c r="D8930" s="19" t="s">
        <v>24347</v>
      </c>
      <c r="E8930" s="19" t="s">
        <v>31443</v>
      </c>
      <c r="F8930" s="19" t="s">
        <v>36006</v>
      </c>
      <c r="G8930" s="18" t="str">
        <f>"11216"</f>
        <v>11216</v>
      </c>
      <c r="H8930" s="19" t="s">
        <v>36091</v>
      </c>
      <c r="I8930" s="20">
        <v>21.289000000000001</v>
      </c>
      <c r="J8930" s="44" t="s">
        <v>8</v>
      </c>
      <c r="K8930" s="23" t="s">
        <v>8</v>
      </c>
      <c r="L8930" s="23" t="s">
        <v>8</v>
      </c>
      <c r="M8930" s="23" t="s">
        <v>8</v>
      </c>
    </row>
    <row r="8931" spans="1:13" s="21" customFormat="1" x14ac:dyDescent="0.25">
      <c r="A8931" s="22" t="s">
        <v>8</v>
      </c>
      <c r="B8931" s="18" t="str">
        <f>"335539"</f>
        <v>335539</v>
      </c>
      <c r="C8931" s="19" t="s">
        <v>8803</v>
      </c>
      <c r="D8931" s="19" t="s">
        <v>24348</v>
      </c>
      <c r="E8931" s="19" t="s">
        <v>34166</v>
      </c>
      <c r="F8931" s="19" t="s">
        <v>36006</v>
      </c>
      <c r="G8931" s="18" t="str">
        <f>"11795"</f>
        <v>11795</v>
      </c>
      <c r="H8931" s="19" t="s">
        <v>35389</v>
      </c>
      <c r="I8931" s="20">
        <v>23.952000000000002</v>
      </c>
      <c r="J8931" s="44" t="s">
        <v>8</v>
      </c>
      <c r="K8931" s="23" t="s">
        <v>8</v>
      </c>
      <c r="L8931" s="23" t="s">
        <v>8</v>
      </c>
      <c r="M8931" s="23" t="s">
        <v>8</v>
      </c>
    </row>
    <row r="8932" spans="1:13" s="21" customFormat="1" x14ac:dyDescent="0.25">
      <c r="A8932" s="22" t="s">
        <v>8</v>
      </c>
      <c r="B8932" s="18" t="str">
        <f>"335540"</f>
        <v>335540</v>
      </c>
      <c r="C8932" s="19" t="s">
        <v>8804</v>
      </c>
      <c r="D8932" s="19" t="s">
        <v>24349</v>
      </c>
      <c r="E8932" s="19" t="s">
        <v>31978</v>
      </c>
      <c r="F8932" s="19" t="s">
        <v>36006</v>
      </c>
      <c r="G8932" s="18" t="str">
        <f>"12009"</f>
        <v>12009</v>
      </c>
      <c r="H8932" s="19" t="s">
        <v>31834</v>
      </c>
      <c r="I8932" s="20">
        <v>18.486999999999998</v>
      </c>
      <c r="J8932" s="44" t="s">
        <v>8</v>
      </c>
      <c r="K8932" s="23" t="s">
        <v>8</v>
      </c>
      <c r="L8932" s="23" t="s">
        <v>8</v>
      </c>
      <c r="M8932" s="23" t="s">
        <v>8</v>
      </c>
    </row>
    <row r="8933" spans="1:13" s="21" customFormat="1" x14ac:dyDescent="0.25">
      <c r="A8933" s="22" t="s">
        <v>8</v>
      </c>
      <c r="B8933" s="18" t="str">
        <f>"335541"</f>
        <v>335541</v>
      </c>
      <c r="C8933" s="19" t="s">
        <v>8805</v>
      </c>
      <c r="D8933" s="19" t="s">
        <v>24350</v>
      </c>
      <c r="E8933" s="19" t="s">
        <v>33304</v>
      </c>
      <c r="F8933" s="19" t="s">
        <v>36006</v>
      </c>
      <c r="G8933" s="18" t="str">
        <f>"13501"</f>
        <v>13501</v>
      </c>
      <c r="H8933" s="19" t="s">
        <v>34140</v>
      </c>
      <c r="I8933" s="20">
        <v>18.702000000000002</v>
      </c>
      <c r="J8933" s="44" t="s">
        <v>8</v>
      </c>
      <c r="K8933" s="23" t="s">
        <v>8</v>
      </c>
      <c r="L8933" s="23" t="s">
        <v>8</v>
      </c>
      <c r="M8933" s="23" t="s">
        <v>8</v>
      </c>
    </row>
    <row r="8934" spans="1:13" s="21" customFormat="1" x14ac:dyDescent="0.25">
      <c r="A8934" s="22" t="s">
        <v>8</v>
      </c>
      <c r="B8934" s="18" t="str">
        <f>"335543"</f>
        <v>335543</v>
      </c>
      <c r="C8934" s="19" t="s">
        <v>8806</v>
      </c>
      <c r="D8934" s="19" t="s">
        <v>24351</v>
      </c>
      <c r="E8934" s="19" t="s">
        <v>34139</v>
      </c>
      <c r="F8934" s="19" t="s">
        <v>36006</v>
      </c>
      <c r="G8934" s="18" t="str">
        <f>"12010"</f>
        <v>12010</v>
      </c>
      <c r="H8934" s="19" t="s">
        <v>30833</v>
      </c>
      <c r="I8934" s="20">
        <v>21.884</v>
      </c>
      <c r="J8934" s="44" t="s">
        <v>8</v>
      </c>
      <c r="K8934" s="23" t="s">
        <v>8</v>
      </c>
      <c r="L8934" s="23" t="s">
        <v>8</v>
      </c>
      <c r="M8934" s="23" t="s">
        <v>8</v>
      </c>
    </row>
    <row r="8935" spans="1:13" s="21" customFormat="1" x14ac:dyDescent="0.25">
      <c r="A8935" s="22" t="s">
        <v>8</v>
      </c>
      <c r="B8935" s="18" t="str">
        <f>"335545"</f>
        <v>335545</v>
      </c>
      <c r="C8935" s="19" t="s">
        <v>8807</v>
      </c>
      <c r="D8935" s="19" t="s">
        <v>24352</v>
      </c>
      <c r="E8935" s="19" t="s">
        <v>31443</v>
      </c>
      <c r="F8935" s="19" t="s">
        <v>36006</v>
      </c>
      <c r="G8935" s="18" t="str">
        <f>"11214"</f>
        <v>11214</v>
      </c>
      <c r="H8935" s="19" t="s">
        <v>36091</v>
      </c>
      <c r="I8935" s="20">
        <v>18.710999999999999</v>
      </c>
      <c r="J8935" s="44" t="s">
        <v>8</v>
      </c>
      <c r="K8935" s="23" t="s">
        <v>8</v>
      </c>
      <c r="L8935" s="23" t="s">
        <v>8</v>
      </c>
      <c r="M8935" s="23" t="s">
        <v>8</v>
      </c>
    </row>
    <row r="8936" spans="1:13" s="21" customFormat="1" x14ac:dyDescent="0.25">
      <c r="A8936" s="22" t="s">
        <v>8</v>
      </c>
      <c r="B8936" s="18" t="str">
        <f>"335546"</f>
        <v>335546</v>
      </c>
      <c r="C8936" s="19" t="s">
        <v>8808</v>
      </c>
      <c r="D8936" s="19" t="s">
        <v>24353</v>
      </c>
      <c r="E8936" s="19" t="s">
        <v>34151</v>
      </c>
      <c r="F8936" s="19" t="s">
        <v>36006</v>
      </c>
      <c r="G8936" s="18" t="str">
        <f>"13413"</f>
        <v>13413</v>
      </c>
      <c r="H8936" s="19" t="s">
        <v>34140</v>
      </c>
      <c r="I8936" s="20">
        <v>20.934000000000001</v>
      </c>
      <c r="J8936" s="44" t="s">
        <v>8</v>
      </c>
      <c r="K8936" s="23" t="s">
        <v>8</v>
      </c>
      <c r="L8936" s="23" t="s">
        <v>8</v>
      </c>
      <c r="M8936" s="23" t="s">
        <v>8</v>
      </c>
    </row>
    <row r="8937" spans="1:13" s="21" customFormat="1" x14ac:dyDescent="0.25">
      <c r="A8937" s="22" t="s">
        <v>8</v>
      </c>
      <c r="B8937" s="18" t="str">
        <f>"335548"</f>
        <v>335548</v>
      </c>
      <c r="C8937" s="19" t="s">
        <v>8809</v>
      </c>
      <c r="D8937" s="19" t="s">
        <v>24354</v>
      </c>
      <c r="E8937" s="19" t="s">
        <v>34167</v>
      </c>
      <c r="F8937" s="19" t="s">
        <v>36006</v>
      </c>
      <c r="G8937" s="18" t="str">
        <f>"13116"</f>
        <v>13116</v>
      </c>
      <c r="H8937" s="19" t="s">
        <v>36602</v>
      </c>
      <c r="I8937" s="20">
        <v>19.844000000000001</v>
      </c>
      <c r="J8937" s="44" t="s">
        <v>8</v>
      </c>
      <c r="K8937" s="23" t="s">
        <v>8</v>
      </c>
      <c r="L8937" s="23" t="s">
        <v>8</v>
      </c>
      <c r="M8937" s="23" t="s">
        <v>8</v>
      </c>
    </row>
    <row r="8938" spans="1:13" s="21" customFormat="1" x14ac:dyDescent="0.25">
      <c r="A8938" s="22" t="s">
        <v>8</v>
      </c>
      <c r="B8938" s="18" t="str">
        <f>"335549"</f>
        <v>335549</v>
      </c>
      <c r="C8938" s="19" t="s">
        <v>8810</v>
      </c>
      <c r="D8938" s="19" t="s">
        <v>24355</v>
      </c>
      <c r="E8938" s="19" t="s">
        <v>34168</v>
      </c>
      <c r="F8938" s="19" t="s">
        <v>36006</v>
      </c>
      <c r="G8938" s="18" t="str">
        <f>"12804"</f>
        <v>12804</v>
      </c>
      <c r="H8938" s="19" t="s">
        <v>31025</v>
      </c>
      <c r="I8938" s="20">
        <v>19.082000000000001</v>
      </c>
      <c r="J8938" s="44" t="s">
        <v>8</v>
      </c>
      <c r="K8938" s="23" t="s">
        <v>8</v>
      </c>
      <c r="L8938" s="23" t="s">
        <v>8</v>
      </c>
      <c r="M8938" s="23" t="s">
        <v>8</v>
      </c>
    </row>
    <row r="8939" spans="1:13" s="21" customFormat="1" x14ac:dyDescent="0.25">
      <c r="A8939" s="22" t="s">
        <v>8</v>
      </c>
      <c r="B8939" s="18" t="str">
        <f>"335550"</f>
        <v>335550</v>
      </c>
      <c r="C8939" s="19" t="s">
        <v>8811</v>
      </c>
      <c r="D8939" s="19" t="s">
        <v>24356</v>
      </c>
      <c r="E8939" s="19" t="s">
        <v>31443</v>
      </c>
      <c r="F8939" s="19" t="s">
        <v>36006</v>
      </c>
      <c r="G8939" s="18" t="str">
        <f>"11205"</f>
        <v>11205</v>
      </c>
      <c r="H8939" s="19" t="s">
        <v>36091</v>
      </c>
      <c r="I8939" s="20">
        <v>19.088000000000001</v>
      </c>
      <c r="J8939" s="44" t="s">
        <v>8</v>
      </c>
      <c r="K8939" s="23" t="s">
        <v>8</v>
      </c>
      <c r="L8939" s="23" t="s">
        <v>8</v>
      </c>
      <c r="M8939" s="23" t="s">
        <v>8</v>
      </c>
    </row>
    <row r="8940" spans="1:13" s="21" customFormat="1" x14ac:dyDescent="0.25">
      <c r="A8940" s="22" t="s">
        <v>8</v>
      </c>
      <c r="B8940" s="18" t="str">
        <f>"335554"</f>
        <v>335554</v>
      </c>
      <c r="C8940" s="19" t="s">
        <v>8812</v>
      </c>
      <c r="D8940" s="19" t="s">
        <v>24357</v>
      </c>
      <c r="E8940" s="19" t="s">
        <v>32267</v>
      </c>
      <c r="F8940" s="19" t="s">
        <v>36006</v>
      </c>
      <c r="G8940" s="18" t="str">
        <f>"14620"</f>
        <v>14620</v>
      </c>
      <c r="H8940" s="19" t="s">
        <v>31711</v>
      </c>
      <c r="I8940" s="20">
        <v>16.815000000000001</v>
      </c>
      <c r="J8940" s="44" t="s">
        <v>8</v>
      </c>
      <c r="K8940" s="23" t="s">
        <v>8</v>
      </c>
      <c r="L8940" s="23" t="s">
        <v>8</v>
      </c>
      <c r="M8940" s="23" t="s">
        <v>8</v>
      </c>
    </row>
    <row r="8941" spans="1:13" s="21" customFormat="1" x14ac:dyDescent="0.25">
      <c r="A8941" s="22" t="s">
        <v>8</v>
      </c>
      <c r="B8941" s="18" t="str">
        <f>"335555"</f>
        <v>335555</v>
      </c>
      <c r="C8941" s="19" t="s">
        <v>8813</v>
      </c>
      <c r="D8941" s="19" t="s">
        <v>24358</v>
      </c>
      <c r="E8941" s="19" t="s">
        <v>33348</v>
      </c>
      <c r="F8941" s="19" t="s">
        <v>36006</v>
      </c>
      <c r="G8941" s="18" t="str">
        <f>"11797"</f>
        <v>11797</v>
      </c>
      <c r="H8941" s="19" t="s">
        <v>36144</v>
      </c>
      <c r="I8941" s="20">
        <v>15.666</v>
      </c>
      <c r="J8941" s="44" t="s">
        <v>8</v>
      </c>
      <c r="K8941" s="23" t="s">
        <v>8</v>
      </c>
      <c r="L8941" s="23" t="s">
        <v>8</v>
      </c>
      <c r="M8941" s="23" t="s">
        <v>8</v>
      </c>
    </row>
    <row r="8942" spans="1:13" s="21" customFormat="1" x14ac:dyDescent="0.25">
      <c r="A8942" s="22" t="s">
        <v>8</v>
      </c>
      <c r="B8942" s="18" t="str">
        <f>"335556"</f>
        <v>335556</v>
      </c>
      <c r="C8942" s="19" t="s">
        <v>8814</v>
      </c>
      <c r="D8942" s="19" t="s">
        <v>24359</v>
      </c>
      <c r="E8942" s="19" t="s">
        <v>32267</v>
      </c>
      <c r="F8942" s="19" t="s">
        <v>36006</v>
      </c>
      <c r="G8942" s="18" t="str">
        <f>"14624"</f>
        <v>14624</v>
      </c>
      <c r="H8942" s="19" t="s">
        <v>31711</v>
      </c>
      <c r="I8942" s="20">
        <v>18.692</v>
      </c>
      <c r="J8942" s="44" t="s">
        <v>8</v>
      </c>
      <c r="K8942" s="23" t="s">
        <v>8</v>
      </c>
      <c r="L8942" s="23" t="s">
        <v>8</v>
      </c>
      <c r="M8942" s="23" t="s">
        <v>8</v>
      </c>
    </row>
    <row r="8943" spans="1:13" s="21" customFormat="1" x14ac:dyDescent="0.25">
      <c r="A8943" s="22" t="s">
        <v>8</v>
      </c>
      <c r="B8943" s="18" t="str">
        <f>"335557"</f>
        <v>335557</v>
      </c>
      <c r="C8943" s="19" t="s">
        <v>8815</v>
      </c>
      <c r="D8943" s="19" t="s">
        <v>24360</v>
      </c>
      <c r="E8943" s="19" t="s">
        <v>34037</v>
      </c>
      <c r="F8943" s="19" t="s">
        <v>36006</v>
      </c>
      <c r="G8943" s="18" t="str">
        <f>"10462"</f>
        <v>10462</v>
      </c>
      <c r="H8943" s="19" t="s">
        <v>34037</v>
      </c>
      <c r="I8943" s="20">
        <v>19.210999999999999</v>
      </c>
      <c r="J8943" s="44" t="s">
        <v>8</v>
      </c>
      <c r="K8943" s="23" t="s">
        <v>8</v>
      </c>
      <c r="L8943" s="23" t="s">
        <v>8</v>
      </c>
      <c r="M8943" s="23" t="s">
        <v>8</v>
      </c>
    </row>
    <row r="8944" spans="1:13" s="21" customFormat="1" x14ac:dyDescent="0.25">
      <c r="A8944" s="22" t="s">
        <v>8</v>
      </c>
      <c r="B8944" s="18" t="str">
        <f>"335558"</f>
        <v>335558</v>
      </c>
      <c r="C8944" s="19" t="s">
        <v>8816</v>
      </c>
      <c r="D8944" s="19" t="s">
        <v>24361</v>
      </c>
      <c r="E8944" s="19" t="s">
        <v>31443</v>
      </c>
      <c r="F8944" s="19" t="s">
        <v>36006</v>
      </c>
      <c r="G8944" s="18" t="str">
        <f>"11214"</f>
        <v>11214</v>
      </c>
      <c r="H8944" s="19" t="s">
        <v>36091</v>
      </c>
      <c r="I8944" s="20">
        <v>19.111999999999998</v>
      </c>
      <c r="J8944" s="44" t="s">
        <v>8</v>
      </c>
      <c r="K8944" s="23" t="s">
        <v>8</v>
      </c>
      <c r="L8944" s="23" t="s">
        <v>8</v>
      </c>
      <c r="M8944" s="23" t="s">
        <v>8</v>
      </c>
    </row>
    <row r="8945" spans="1:13" s="21" customFormat="1" x14ac:dyDescent="0.25">
      <c r="A8945" s="22" t="s">
        <v>8</v>
      </c>
      <c r="B8945" s="18" t="str">
        <f>"335559"</f>
        <v>335559</v>
      </c>
      <c r="C8945" s="19" t="s">
        <v>8817</v>
      </c>
      <c r="D8945" s="19" t="s">
        <v>24362</v>
      </c>
      <c r="E8945" s="19" t="s">
        <v>34169</v>
      </c>
      <c r="F8945" s="19" t="s">
        <v>36006</v>
      </c>
      <c r="G8945" s="18" t="str">
        <f>"11577"</f>
        <v>11577</v>
      </c>
      <c r="H8945" s="19" t="s">
        <v>36144</v>
      </c>
      <c r="I8945" s="20">
        <v>20.216999999999999</v>
      </c>
      <c r="J8945" s="44" t="s">
        <v>8</v>
      </c>
      <c r="K8945" s="23" t="s">
        <v>8</v>
      </c>
      <c r="L8945" s="23" t="s">
        <v>8</v>
      </c>
      <c r="M8945" s="23" t="s">
        <v>8</v>
      </c>
    </row>
    <row r="8946" spans="1:13" s="21" customFormat="1" x14ac:dyDescent="0.25">
      <c r="A8946" s="22" t="s">
        <v>8</v>
      </c>
      <c r="B8946" s="18" t="str">
        <f>"335560"</f>
        <v>335560</v>
      </c>
      <c r="C8946" s="19" t="s">
        <v>8818</v>
      </c>
      <c r="D8946" s="19" t="s">
        <v>24363</v>
      </c>
      <c r="E8946" s="19" t="s">
        <v>31443</v>
      </c>
      <c r="F8946" s="19" t="s">
        <v>36006</v>
      </c>
      <c r="G8946" s="18" t="str">
        <f>"11226"</f>
        <v>11226</v>
      </c>
      <c r="H8946" s="19" t="s">
        <v>36091</v>
      </c>
      <c r="I8946" s="20">
        <v>19.658000000000001</v>
      </c>
      <c r="J8946" s="44" t="s">
        <v>8</v>
      </c>
      <c r="K8946" s="23" t="s">
        <v>8</v>
      </c>
      <c r="L8946" s="23" t="s">
        <v>8</v>
      </c>
      <c r="M8946" s="23" t="s">
        <v>8</v>
      </c>
    </row>
    <row r="8947" spans="1:13" s="21" customFormat="1" x14ac:dyDescent="0.25">
      <c r="A8947" s="22" t="s">
        <v>8</v>
      </c>
      <c r="B8947" s="18" t="str">
        <f>"335561"</f>
        <v>335561</v>
      </c>
      <c r="C8947" s="19" t="s">
        <v>8819</v>
      </c>
      <c r="D8947" s="19" t="s">
        <v>24364</v>
      </c>
      <c r="E8947" s="19" t="s">
        <v>34058</v>
      </c>
      <c r="F8947" s="19" t="s">
        <v>36006</v>
      </c>
      <c r="G8947" s="18" t="str">
        <f>"10301"</f>
        <v>10301</v>
      </c>
      <c r="H8947" s="19" t="s">
        <v>31178</v>
      </c>
      <c r="I8947" s="20">
        <v>18.402999999999999</v>
      </c>
      <c r="J8947" s="44" t="s">
        <v>8</v>
      </c>
      <c r="K8947" s="23" t="s">
        <v>8</v>
      </c>
      <c r="L8947" s="23" t="s">
        <v>8</v>
      </c>
      <c r="M8947" s="23" t="s">
        <v>8</v>
      </c>
    </row>
    <row r="8948" spans="1:13" s="21" customFormat="1" x14ac:dyDescent="0.25">
      <c r="A8948" s="22" t="s">
        <v>8</v>
      </c>
      <c r="B8948" s="18" t="str">
        <f>"335562"</f>
        <v>335562</v>
      </c>
      <c r="C8948" s="19" t="s">
        <v>8820</v>
      </c>
      <c r="D8948" s="19" t="s">
        <v>24365</v>
      </c>
      <c r="E8948" s="19" t="s">
        <v>31920</v>
      </c>
      <c r="F8948" s="19" t="s">
        <v>36006</v>
      </c>
      <c r="G8948" s="18" t="str">
        <f>"14510"</f>
        <v>14510</v>
      </c>
      <c r="H8948" s="19" t="s">
        <v>33740</v>
      </c>
      <c r="I8948" s="20">
        <v>19.620999999999999</v>
      </c>
      <c r="J8948" s="44" t="s">
        <v>8</v>
      </c>
      <c r="K8948" s="23" t="s">
        <v>8</v>
      </c>
      <c r="L8948" s="23" t="s">
        <v>8</v>
      </c>
      <c r="M8948" s="23" t="s">
        <v>8</v>
      </c>
    </row>
    <row r="8949" spans="1:13" s="21" customFormat="1" x14ac:dyDescent="0.25">
      <c r="A8949" s="22" t="s">
        <v>8</v>
      </c>
      <c r="B8949" s="18" t="str">
        <f>"335563"</f>
        <v>335563</v>
      </c>
      <c r="C8949" s="19" t="s">
        <v>8821</v>
      </c>
      <c r="D8949" s="19" t="s">
        <v>24366</v>
      </c>
      <c r="E8949" s="19" t="s">
        <v>31732</v>
      </c>
      <c r="F8949" s="19" t="s">
        <v>36006</v>
      </c>
      <c r="G8949" s="18" t="str">
        <f>"13440"</f>
        <v>13440</v>
      </c>
      <c r="H8949" s="19" t="s">
        <v>34140</v>
      </c>
      <c r="I8949" s="20">
        <v>22.146999999999998</v>
      </c>
      <c r="J8949" s="44" t="s">
        <v>8</v>
      </c>
      <c r="K8949" s="23" t="s">
        <v>8</v>
      </c>
      <c r="L8949" s="23" t="s">
        <v>8</v>
      </c>
      <c r="M8949" s="23" t="s">
        <v>8</v>
      </c>
    </row>
    <row r="8950" spans="1:13" s="21" customFormat="1" x14ac:dyDescent="0.25">
      <c r="A8950" s="22" t="s">
        <v>8</v>
      </c>
      <c r="B8950" s="18" t="str">
        <f>"335564"</f>
        <v>335564</v>
      </c>
      <c r="C8950" s="19" t="s">
        <v>8822</v>
      </c>
      <c r="D8950" s="19" t="s">
        <v>24367</v>
      </c>
      <c r="E8950" s="19" t="s">
        <v>34085</v>
      </c>
      <c r="F8950" s="19" t="s">
        <v>36006</v>
      </c>
      <c r="G8950" s="18" t="str">
        <f>"14424"</f>
        <v>14424</v>
      </c>
      <c r="H8950" s="19" t="s">
        <v>31239</v>
      </c>
      <c r="I8950" s="20">
        <v>19.516999999999999</v>
      </c>
      <c r="J8950" s="44" t="s">
        <v>8</v>
      </c>
      <c r="K8950" s="23" t="s">
        <v>8</v>
      </c>
      <c r="L8950" s="23" t="s">
        <v>8</v>
      </c>
      <c r="M8950" s="23" t="s">
        <v>8</v>
      </c>
    </row>
    <row r="8951" spans="1:13" s="21" customFormat="1" x14ac:dyDescent="0.25">
      <c r="A8951" s="22" t="s">
        <v>8</v>
      </c>
      <c r="B8951" s="18" t="str">
        <f>"335565"</f>
        <v>335565</v>
      </c>
      <c r="C8951" s="19" t="s">
        <v>8823</v>
      </c>
      <c r="D8951" s="19" t="s">
        <v>24368</v>
      </c>
      <c r="E8951" s="19" t="s">
        <v>34170</v>
      </c>
      <c r="F8951" s="19" t="s">
        <v>36006</v>
      </c>
      <c r="G8951" s="18" t="str">
        <f>"12184"</f>
        <v>12184</v>
      </c>
      <c r="H8951" s="19" t="s">
        <v>32076</v>
      </c>
      <c r="I8951" s="20">
        <v>24.181000000000001</v>
      </c>
      <c r="J8951" s="44" t="s">
        <v>8</v>
      </c>
      <c r="K8951" s="23" t="s">
        <v>8</v>
      </c>
      <c r="L8951" s="23" t="s">
        <v>8</v>
      </c>
      <c r="M8951" s="23" t="s">
        <v>8</v>
      </c>
    </row>
    <row r="8952" spans="1:13" s="21" customFormat="1" x14ac:dyDescent="0.25">
      <c r="A8952" s="22" t="s">
        <v>8</v>
      </c>
      <c r="B8952" s="18" t="str">
        <f>"335566"</f>
        <v>335566</v>
      </c>
      <c r="C8952" s="19" t="s">
        <v>8824</v>
      </c>
      <c r="D8952" s="19" t="s">
        <v>24369</v>
      </c>
      <c r="E8952" s="19" t="s">
        <v>31791</v>
      </c>
      <c r="F8952" s="19" t="s">
        <v>36006</v>
      </c>
      <c r="G8952" s="18" t="str">
        <f>"13617"</f>
        <v>13617</v>
      </c>
      <c r="H8952" s="19" t="s">
        <v>36594</v>
      </c>
      <c r="I8952" s="20">
        <v>17.204000000000001</v>
      </c>
      <c r="J8952" s="44" t="s">
        <v>8</v>
      </c>
      <c r="K8952" s="23" t="s">
        <v>8</v>
      </c>
      <c r="L8952" s="23" t="s">
        <v>8</v>
      </c>
      <c r="M8952" s="23" t="s">
        <v>8</v>
      </c>
    </row>
    <row r="8953" spans="1:13" s="21" customFormat="1" x14ac:dyDescent="0.25">
      <c r="A8953" s="22" t="s">
        <v>8</v>
      </c>
      <c r="B8953" s="18" t="str">
        <f>"335568"</f>
        <v>335568</v>
      </c>
      <c r="C8953" s="19" t="s">
        <v>8825</v>
      </c>
      <c r="D8953" s="19" t="s">
        <v>24370</v>
      </c>
      <c r="E8953" s="19" t="s">
        <v>34171</v>
      </c>
      <c r="F8953" s="19" t="s">
        <v>36006</v>
      </c>
      <c r="G8953" s="18" t="str">
        <f>"11706"</f>
        <v>11706</v>
      </c>
      <c r="H8953" s="19" t="s">
        <v>35389</v>
      </c>
      <c r="I8953" s="20">
        <v>21.782</v>
      </c>
      <c r="J8953" s="44" t="s">
        <v>8</v>
      </c>
      <c r="K8953" s="23" t="s">
        <v>8</v>
      </c>
      <c r="L8953" s="23" t="s">
        <v>8</v>
      </c>
      <c r="M8953" s="23" t="s">
        <v>8</v>
      </c>
    </row>
    <row r="8954" spans="1:13" s="21" customFormat="1" x14ac:dyDescent="0.25">
      <c r="A8954" s="22" t="s">
        <v>8</v>
      </c>
      <c r="B8954" s="18" t="str">
        <f>"335569"</f>
        <v>335569</v>
      </c>
      <c r="C8954" s="19" t="s">
        <v>8826</v>
      </c>
      <c r="D8954" s="19" t="s">
        <v>24371</v>
      </c>
      <c r="E8954" s="19" t="s">
        <v>34172</v>
      </c>
      <c r="F8954" s="19" t="s">
        <v>36006</v>
      </c>
      <c r="G8954" s="18" t="str">
        <f>"14420"</f>
        <v>14420</v>
      </c>
      <c r="H8954" s="19" t="s">
        <v>31711</v>
      </c>
      <c r="I8954" s="20">
        <v>18.242000000000001</v>
      </c>
      <c r="J8954" s="44" t="s">
        <v>8</v>
      </c>
      <c r="K8954" s="23" t="s">
        <v>8</v>
      </c>
      <c r="L8954" s="23" t="s">
        <v>8</v>
      </c>
      <c r="M8954" s="23" t="s">
        <v>8</v>
      </c>
    </row>
    <row r="8955" spans="1:13" s="21" customFormat="1" x14ac:dyDescent="0.25">
      <c r="A8955" s="22" t="s">
        <v>8</v>
      </c>
      <c r="B8955" s="18" t="str">
        <f>"335570"</f>
        <v>335570</v>
      </c>
      <c r="C8955" s="19" t="s">
        <v>8827</v>
      </c>
      <c r="D8955" s="19" t="s">
        <v>24372</v>
      </c>
      <c r="E8955" s="19" t="s">
        <v>34041</v>
      </c>
      <c r="F8955" s="19" t="s">
        <v>36006</v>
      </c>
      <c r="G8955" s="18" t="str">
        <f>"10025"</f>
        <v>10025</v>
      </c>
      <c r="H8955" s="19" t="s">
        <v>34041</v>
      </c>
      <c r="I8955" s="20">
        <v>16.582999999999998</v>
      </c>
      <c r="J8955" s="44" t="s">
        <v>8</v>
      </c>
      <c r="K8955" s="23" t="s">
        <v>8</v>
      </c>
      <c r="L8955" s="23" t="s">
        <v>8</v>
      </c>
      <c r="M8955" s="23" t="s">
        <v>8</v>
      </c>
    </row>
    <row r="8956" spans="1:13" s="21" customFormat="1" x14ac:dyDescent="0.25">
      <c r="A8956" s="22" t="s">
        <v>8</v>
      </c>
      <c r="B8956" s="18" t="str">
        <f>"335571"</f>
        <v>335571</v>
      </c>
      <c r="C8956" s="19" t="s">
        <v>8828</v>
      </c>
      <c r="D8956" s="19" t="s">
        <v>24373</v>
      </c>
      <c r="E8956" s="19" t="s">
        <v>34042</v>
      </c>
      <c r="F8956" s="19" t="s">
        <v>36006</v>
      </c>
      <c r="G8956" s="18" t="str">
        <f>"11691"</f>
        <v>11691</v>
      </c>
      <c r="H8956" s="19" t="s">
        <v>36598</v>
      </c>
      <c r="I8956" s="20">
        <v>19.103000000000002</v>
      </c>
      <c r="J8956" s="44" t="s">
        <v>8</v>
      </c>
      <c r="K8956" s="23" t="s">
        <v>8</v>
      </c>
      <c r="L8956" s="23" t="s">
        <v>8</v>
      </c>
      <c r="M8956" s="23" t="s">
        <v>8</v>
      </c>
    </row>
    <row r="8957" spans="1:13" s="21" customFormat="1" x14ac:dyDescent="0.25">
      <c r="A8957" s="22" t="s">
        <v>8</v>
      </c>
      <c r="B8957" s="18" t="str">
        <f>"335572"</f>
        <v>335572</v>
      </c>
      <c r="C8957" s="19" t="s">
        <v>8829</v>
      </c>
      <c r="D8957" s="19" t="s">
        <v>24374</v>
      </c>
      <c r="E8957" s="19" t="s">
        <v>33048</v>
      </c>
      <c r="F8957" s="19" t="s">
        <v>36006</v>
      </c>
      <c r="G8957" s="18" t="str">
        <f>"14580"</f>
        <v>14580</v>
      </c>
      <c r="H8957" s="19" t="s">
        <v>31711</v>
      </c>
      <c r="I8957" s="20">
        <v>17.558</v>
      </c>
      <c r="J8957" s="44" t="s">
        <v>8</v>
      </c>
      <c r="K8957" s="23" t="s">
        <v>8</v>
      </c>
      <c r="L8957" s="23" t="s">
        <v>8</v>
      </c>
      <c r="M8957" s="23" t="s">
        <v>8</v>
      </c>
    </row>
    <row r="8958" spans="1:13" s="21" customFormat="1" x14ac:dyDescent="0.25">
      <c r="A8958" s="22" t="s">
        <v>8</v>
      </c>
      <c r="B8958" s="18" t="str">
        <f>"335573"</f>
        <v>335573</v>
      </c>
      <c r="C8958" s="19" t="s">
        <v>8830</v>
      </c>
      <c r="D8958" s="19" t="s">
        <v>24375</v>
      </c>
      <c r="E8958" s="19" t="s">
        <v>32869</v>
      </c>
      <c r="F8958" s="19" t="s">
        <v>36006</v>
      </c>
      <c r="G8958" s="18" t="str">
        <f>"14094"</f>
        <v>14094</v>
      </c>
      <c r="H8958" s="19" t="s">
        <v>35632</v>
      </c>
      <c r="I8958" s="20">
        <v>16.489000000000001</v>
      </c>
      <c r="J8958" s="44" t="s">
        <v>8</v>
      </c>
      <c r="K8958" s="23" t="s">
        <v>8</v>
      </c>
      <c r="L8958" s="23" t="s">
        <v>8</v>
      </c>
      <c r="M8958" s="23" t="s">
        <v>8</v>
      </c>
    </row>
    <row r="8959" spans="1:13" s="21" customFormat="1" x14ac:dyDescent="0.25">
      <c r="A8959" s="22" t="s">
        <v>8</v>
      </c>
      <c r="B8959" s="18" t="str">
        <f>"335574"</f>
        <v>335574</v>
      </c>
      <c r="C8959" s="19" t="s">
        <v>8831</v>
      </c>
      <c r="D8959" s="19" t="s">
        <v>24376</v>
      </c>
      <c r="E8959" s="19" t="s">
        <v>34086</v>
      </c>
      <c r="F8959" s="19" t="s">
        <v>36006</v>
      </c>
      <c r="G8959" s="18" t="str">
        <f>"12414"</f>
        <v>12414</v>
      </c>
      <c r="H8959" s="19" t="s">
        <v>32455</v>
      </c>
      <c r="I8959" s="20">
        <v>19.393999999999998</v>
      </c>
      <c r="J8959" s="44" t="s">
        <v>8</v>
      </c>
      <c r="K8959" s="23" t="s">
        <v>8</v>
      </c>
      <c r="L8959" s="23" t="s">
        <v>8</v>
      </c>
      <c r="M8959" s="23" t="s">
        <v>8</v>
      </c>
    </row>
    <row r="8960" spans="1:13" s="21" customFormat="1" x14ac:dyDescent="0.25">
      <c r="A8960" s="22" t="s">
        <v>8</v>
      </c>
      <c r="B8960" s="18" t="str">
        <f>"335576"</f>
        <v>335576</v>
      </c>
      <c r="C8960" s="19" t="s">
        <v>8832</v>
      </c>
      <c r="D8960" s="19" t="s">
        <v>24377</v>
      </c>
      <c r="E8960" s="19" t="s">
        <v>34149</v>
      </c>
      <c r="F8960" s="19" t="s">
        <v>36006</v>
      </c>
      <c r="G8960" s="18" t="str">
        <f>"14450"</f>
        <v>14450</v>
      </c>
      <c r="H8960" s="19" t="s">
        <v>31711</v>
      </c>
      <c r="I8960" s="20">
        <v>17.838999999999999</v>
      </c>
      <c r="J8960" s="44" t="s">
        <v>8</v>
      </c>
      <c r="K8960" s="23" t="s">
        <v>8</v>
      </c>
      <c r="L8960" s="23" t="s">
        <v>8</v>
      </c>
      <c r="M8960" s="23" t="s">
        <v>8</v>
      </c>
    </row>
    <row r="8961" spans="1:13" s="21" customFormat="1" x14ac:dyDescent="0.25">
      <c r="A8961" s="22" t="s">
        <v>8</v>
      </c>
      <c r="B8961" s="18" t="str">
        <f>"335577"</f>
        <v>335577</v>
      </c>
      <c r="C8961" s="19" t="s">
        <v>8833</v>
      </c>
      <c r="D8961" s="19" t="s">
        <v>24378</v>
      </c>
      <c r="E8961" s="19" t="s">
        <v>31184</v>
      </c>
      <c r="F8961" s="19" t="s">
        <v>36006</v>
      </c>
      <c r="G8961" s="18" t="str">
        <f>"14086"</f>
        <v>14086</v>
      </c>
      <c r="H8961" s="19" t="s">
        <v>34805</v>
      </c>
      <c r="I8961" s="20">
        <v>15.837999999999999</v>
      </c>
      <c r="J8961" s="44" t="s">
        <v>8</v>
      </c>
      <c r="K8961" s="23" t="s">
        <v>8</v>
      </c>
      <c r="L8961" s="23" t="s">
        <v>8</v>
      </c>
      <c r="M8961" s="23" t="s">
        <v>8</v>
      </c>
    </row>
    <row r="8962" spans="1:13" s="21" customFormat="1" x14ac:dyDescent="0.25">
      <c r="A8962" s="22" t="s">
        <v>8</v>
      </c>
      <c r="B8962" s="18" t="str">
        <f>"335578"</f>
        <v>335578</v>
      </c>
      <c r="C8962" s="19" t="s">
        <v>8834</v>
      </c>
      <c r="D8962" s="19" t="s">
        <v>24379</v>
      </c>
      <c r="E8962" s="19" t="s">
        <v>32903</v>
      </c>
      <c r="F8962" s="19" t="s">
        <v>36006</v>
      </c>
      <c r="G8962" s="18" t="str">
        <f>"14101"</f>
        <v>14101</v>
      </c>
      <c r="H8962" s="19" t="s">
        <v>36593</v>
      </c>
      <c r="I8962" s="20">
        <v>18.213999999999999</v>
      </c>
      <c r="J8962" s="44" t="s">
        <v>8</v>
      </c>
      <c r="K8962" s="23" t="s">
        <v>8</v>
      </c>
      <c r="L8962" s="23" t="s">
        <v>8</v>
      </c>
      <c r="M8962" s="23" t="s">
        <v>8</v>
      </c>
    </row>
    <row r="8963" spans="1:13" s="21" customFormat="1" x14ac:dyDescent="0.25">
      <c r="A8963" s="22" t="s">
        <v>8</v>
      </c>
      <c r="B8963" s="18" t="str">
        <f>"335579"</f>
        <v>335579</v>
      </c>
      <c r="C8963" s="19" t="s">
        <v>8835</v>
      </c>
      <c r="D8963" s="19" t="s">
        <v>24380</v>
      </c>
      <c r="E8963" s="19" t="s">
        <v>33527</v>
      </c>
      <c r="F8963" s="19" t="s">
        <v>36006</v>
      </c>
      <c r="G8963" s="18" t="str">
        <f>"13619"</f>
        <v>13619</v>
      </c>
      <c r="H8963" s="19" t="s">
        <v>32391</v>
      </c>
      <c r="I8963" s="20">
        <v>17.122</v>
      </c>
      <c r="J8963" s="44" t="s">
        <v>8</v>
      </c>
      <c r="K8963" s="23" t="s">
        <v>8</v>
      </c>
      <c r="L8963" s="23" t="s">
        <v>8</v>
      </c>
      <c r="M8963" s="23" t="s">
        <v>8</v>
      </c>
    </row>
    <row r="8964" spans="1:13" s="21" customFormat="1" x14ac:dyDescent="0.25">
      <c r="A8964" s="22" t="s">
        <v>8</v>
      </c>
      <c r="B8964" s="18" t="str">
        <f>"335581"</f>
        <v>335581</v>
      </c>
      <c r="C8964" s="19" t="s">
        <v>8836</v>
      </c>
      <c r="D8964" s="19" t="s">
        <v>24381</v>
      </c>
      <c r="E8964" s="19" t="s">
        <v>34037</v>
      </c>
      <c r="F8964" s="19" t="s">
        <v>36006</v>
      </c>
      <c r="G8964" s="18" t="str">
        <f>"10475"</f>
        <v>10475</v>
      </c>
      <c r="H8964" s="19" t="s">
        <v>34037</v>
      </c>
      <c r="I8964" s="20">
        <v>17.923999999999999</v>
      </c>
      <c r="J8964" s="44" t="s">
        <v>8</v>
      </c>
      <c r="K8964" s="23" t="s">
        <v>8</v>
      </c>
      <c r="L8964" s="23" t="s">
        <v>8</v>
      </c>
      <c r="M8964" s="23" t="s">
        <v>8</v>
      </c>
    </row>
    <row r="8965" spans="1:13" s="21" customFormat="1" x14ac:dyDescent="0.25">
      <c r="A8965" s="22" t="s">
        <v>8</v>
      </c>
      <c r="B8965" s="18" t="str">
        <f>"335582"</f>
        <v>335582</v>
      </c>
      <c r="C8965" s="19" t="s">
        <v>8837</v>
      </c>
      <c r="D8965" s="19" t="s">
        <v>24382</v>
      </c>
      <c r="E8965" s="19" t="s">
        <v>34042</v>
      </c>
      <c r="F8965" s="19" t="s">
        <v>36006</v>
      </c>
      <c r="G8965" s="18" t="str">
        <f>"11691"</f>
        <v>11691</v>
      </c>
      <c r="H8965" s="19" t="s">
        <v>36598</v>
      </c>
      <c r="I8965" s="20">
        <v>16.684999999999999</v>
      </c>
      <c r="J8965" s="44" t="s">
        <v>8</v>
      </c>
      <c r="K8965" s="23" t="s">
        <v>8</v>
      </c>
      <c r="L8965" s="23" t="s">
        <v>8</v>
      </c>
      <c r="M8965" s="23" t="s">
        <v>8</v>
      </c>
    </row>
    <row r="8966" spans="1:13" s="21" customFormat="1" x14ac:dyDescent="0.25">
      <c r="A8966" s="22" t="s">
        <v>8</v>
      </c>
      <c r="B8966" s="18" t="str">
        <f>"335583"</f>
        <v>335583</v>
      </c>
      <c r="C8966" s="19" t="s">
        <v>8838</v>
      </c>
      <c r="D8966" s="19" t="s">
        <v>24383</v>
      </c>
      <c r="E8966" s="19" t="s">
        <v>34037</v>
      </c>
      <c r="F8966" s="19" t="s">
        <v>36006</v>
      </c>
      <c r="G8966" s="18" t="str">
        <f>"10465"</f>
        <v>10465</v>
      </c>
      <c r="H8966" s="19" t="s">
        <v>34037</v>
      </c>
      <c r="I8966" s="20">
        <v>17.359000000000002</v>
      </c>
      <c r="J8966" s="44" t="s">
        <v>8</v>
      </c>
      <c r="K8966" s="23" t="s">
        <v>8</v>
      </c>
      <c r="L8966" s="23" t="s">
        <v>8</v>
      </c>
      <c r="M8966" s="23" t="s">
        <v>8</v>
      </c>
    </row>
    <row r="8967" spans="1:13" s="21" customFormat="1" x14ac:dyDescent="0.25">
      <c r="A8967" s="22" t="s">
        <v>8</v>
      </c>
      <c r="B8967" s="18" t="str">
        <f>"335585"</f>
        <v>335585</v>
      </c>
      <c r="C8967" s="19" t="s">
        <v>8839</v>
      </c>
      <c r="D8967" s="19" t="s">
        <v>24384</v>
      </c>
      <c r="E8967" s="19" t="s">
        <v>32897</v>
      </c>
      <c r="F8967" s="19" t="s">
        <v>36006</v>
      </c>
      <c r="G8967" s="18" t="str">
        <f>"13480"</f>
        <v>13480</v>
      </c>
      <c r="H8967" s="19" t="s">
        <v>34140</v>
      </c>
      <c r="I8967" s="20">
        <v>18.975999999999999</v>
      </c>
      <c r="J8967" s="44" t="s">
        <v>8</v>
      </c>
      <c r="K8967" s="23" t="s">
        <v>8</v>
      </c>
      <c r="L8967" s="23" t="s">
        <v>8</v>
      </c>
      <c r="M8967" s="23" t="s">
        <v>8</v>
      </c>
    </row>
    <row r="8968" spans="1:13" s="21" customFormat="1" x14ac:dyDescent="0.25">
      <c r="A8968" s="22" t="s">
        <v>8</v>
      </c>
      <c r="B8968" s="18" t="str">
        <f>"335586"</f>
        <v>335586</v>
      </c>
      <c r="C8968" s="19" t="s">
        <v>8840</v>
      </c>
      <c r="D8968" s="19" t="s">
        <v>24385</v>
      </c>
      <c r="E8968" s="19" t="s">
        <v>33360</v>
      </c>
      <c r="F8968" s="19" t="s">
        <v>36006</v>
      </c>
      <c r="G8968" s="18" t="str">
        <f>"13365"</f>
        <v>13365</v>
      </c>
      <c r="H8968" s="19" t="s">
        <v>34159</v>
      </c>
      <c r="I8968" s="20">
        <v>17.998999999999999</v>
      </c>
      <c r="J8968" s="44" t="s">
        <v>8</v>
      </c>
      <c r="K8968" s="23" t="s">
        <v>8</v>
      </c>
      <c r="L8968" s="23" t="s">
        <v>8</v>
      </c>
      <c r="M8968" s="23" t="s">
        <v>8</v>
      </c>
    </row>
    <row r="8969" spans="1:13" s="21" customFormat="1" x14ac:dyDescent="0.25">
      <c r="A8969" s="22" t="s">
        <v>8</v>
      </c>
      <c r="B8969" s="18" t="str">
        <f>"335587"</f>
        <v>335587</v>
      </c>
      <c r="C8969" s="19" t="s">
        <v>8841</v>
      </c>
      <c r="D8969" s="19" t="s">
        <v>24386</v>
      </c>
      <c r="E8969" s="19" t="s">
        <v>32285</v>
      </c>
      <c r="F8969" s="19" t="s">
        <v>36006</v>
      </c>
      <c r="G8969" s="18" t="str">
        <f>"13309"</f>
        <v>13309</v>
      </c>
      <c r="H8969" s="19" t="s">
        <v>34140</v>
      </c>
      <c r="I8969" s="20">
        <v>19.991</v>
      </c>
      <c r="J8969" s="44" t="s">
        <v>8</v>
      </c>
      <c r="K8969" s="23" t="s">
        <v>8</v>
      </c>
      <c r="L8969" s="23" t="s">
        <v>8</v>
      </c>
      <c r="M8969" s="23" t="s">
        <v>8</v>
      </c>
    </row>
    <row r="8970" spans="1:13" s="21" customFormat="1" x14ac:dyDescent="0.25">
      <c r="A8970" s="22" t="s">
        <v>8</v>
      </c>
      <c r="B8970" s="18" t="str">
        <f>"335588"</f>
        <v>335588</v>
      </c>
      <c r="C8970" s="19" t="s">
        <v>8842</v>
      </c>
      <c r="D8970" s="19" t="s">
        <v>24387</v>
      </c>
      <c r="E8970" s="19" t="s">
        <v>34173</v>
      </c>
      <c r="F8970" s="19" t="s">
        <v>36006</v>
      </c>
      <c r="G8970" s="18" t="str">
        <f>"13037"</f>
        <v>13037</v>
      </c>
      <c r="H8970" s="19" t="s">
        <v>30899</v>
      </c>
      <c r="I8970" s="20">
        <v>16.95</v>
      </c>
      <c r="J8970" s="44" t="s">
        <v>8</v>
      </c>
      <c r="K8970" s="23" t="s">
        <v>8</v>
      </c>
      <c r="L8970" s="23" t="s">
        <v>8</v>
      </c>
      <c r="M8970" s="23" t="s">
        <v>8</v>
      </c>
    </row>
    <row r="8971" spans="1:13" s="21" customFormat="1" x14ac:dyDescent="0.25">
      <c r="A8971" s="22" t="s">
        <v>8</v>
      </c>
      <c r="B8971" s="18" t="str">
        <f>"335589"</f>
        <v>335589</v>
      </c>
      <c r="C8971" s="19" t="s">
        <v>8843</v>
      </c>
      <c r="D8971" s="19" t="s">
        <v>24388</v>
      </c>
      <c r="E8971" s="19" t="s">
        <v>31732</v>
      </c>
      <c r="F8971" s="19" t="s">
        <v>36006</v>
      </c>
      <c r="G8971" s="18" t="str">
        <f>"13440"</f>
        <v>13440</v>
      </c>
      <c r="H8971" s="19" t="s">
        <v>34140</v>
      </c>
      <c r="I8971" s="20">
        <v>20.238</v>
      </c>
      <c r="J8971" s="44" t="s">
        <v>8</v>
      </c>
      <c r="K8971" s="23" t="s">
        <v>8</v>
      </c>
      <c r="L8971" s="23" t="s">
        <v>8</v>
      </c>
      <c r="M8971" s="23" t="s">
        <v>8</v>
      </c>
    </row>
    <row r="8972" spans="1:13" s="21" customFormat="1" x14ac:dyDescent="0.25">
      <c r="A8972" s="22" t="s">
        <v>8</v>
      </c>
      <c r="B8972" s="18" t="str">
        <f>"335590"</f>
        <v>335590</v>
      </c>
      <c r="C8972" s="19" t="s">
        <v>8844</v>
      </c>
      <c r="D8972" s="19" t="s">
        <v>24389</v>
      </c>
      <c r="E8972" s="19" t="s">
        <v>32150</v>
      </c>
      <c r="F8972" s="19" t="s">
        <v>36006</v>
      </c>
      <c r="G8972" s="18" t="str">
        <f>"13126"</f>
        <v>13126</v>
      </c>
      <c r="H8972" s="19" t="s">
        <v>32150</v>
      </c>
      <c r="I8972" s="20">
        <v>18.420000000000002</v>
      </c>
      <c r="J8972" s="44" t="s">
        <v>8</v>
      </c>
      <c r="K8972" s="23" t="s">
        <v>8</v>
      </c>
      <c r="L8972" s="23" t="s">
        <v>8</v>
      </c>
      <c r="M8972" s="23" t="s">
        <v>8</v>
      </c>
    </row>
    <row r="8973" spans="1:13" s="21" customFormat="1" x14ac:dyDescent="0.25">
      <c r="A8973" s="22" t="s">
        <v>8</v>
      </c>
      <c r="B8973" s="18" t="str">
        <f>"335592"</f>
        <v>335592</v>
      </c>
      <c r="C8973" s="19" t="s">
        <v>8845</v>
      </c>
      <c r="D8973" s="19" t="s">
        <v>24390</v>
      </c>
      <c r="E8973" s="19" t="s">
        <v>34174</v>
      </c>
      <c r="F8973" s="19" t="s">
        <v>36006</v>
      </c>
      <c r="G8973" s="18" t="str">
        <f>"13662"</f>
        <v>13662</v>
      </c>
      <c r="H8973" s="19" t="s">
        <v>36594</v>
      </c>
      <c r="I8973" s="20">
        <v>19.786000000000001</v>
      </c>
      <c r="J8973" s="44" t="s">
        <v>8</v>
      </c>
      <c r="K8973" s="23" t="s">
        <v>8</v>
      </c>
      <c r="L8973" s="23" t="s">
        <v>8</v>
      </c>
      <c r="M8973" s="23" t="s">
        <v>8</v>
      </c>
    </row>
    <row r="8974" spans="1:13" s="21" customFormat="1" x14ac:dyDescent="0.25">
      <c r="A8974" s="22" t="s">
        <v>8</v>
      </c>
      <c r="B8974" s="18" t="str">
        <f>"335593"</f>
        <v>335593</v>
      </c>
      <c r="C8974" s="19" t="s">
        <v>8846</v>
      </c>
      <c r="D8974" s="19" t="s">
        <v>24391</v>
      </c>
      <c r="E8974" s="19" t="s">
        <v>33453</v>
      </c>
      <c r="F8974" s="19" t="s">
        <v>36006</v>
      </c>
      <c r="G8974" s="18" t="str">
        <f>"14209"</f>
        <v>14209</v>
      </c>
      <c r="H8974" s="19" t="s">
        <v>34805</v>
      </c>
      <c r="I8974" s="20">
        <v>19.231999999999999</v>
      </c>
      <c r="J8974" s="44" t="s">
        <v>8</v>
      </c>
      <c r="K8974" s="23" t="s">
        <v>8</v>
      </c>
      <c r="L8974" s="23" t="s">
        <v>8</v>
      </c>
      <c r="M8974" s="23" t="s">
        <v>8</v>
      </c>
    </row>
    <row r="8975" spans="1:13" s="21" customFormat="1" x14ac:dyDescent="0.25">
      <c r="A8975" s="22" t="s">
        <v>8</v>
      </c>
      <c r="B8975" s="18" t="str">
        <f>"335595"</f>
        <v>335595</v>
      </c>
      <c r="C8975" s="19" t="s">
        <v>8847</v>
      </c>
      <c r="D8975" s="19" t="s">
        <v>24392</v>
      </c>
      <c r="E8975" s="19" t="s">
        <v>32300</v>
      </c>
      <c r="F8975" s="19" t="s">
        <v>36006</v>
      </c>
      <c r="G8975" s="18" t="str">
        <f>"14048"</f>
        <v>14048</v>
      </c>
      <c r="H8975" s="19" t="s">
        <v>36302</v>
      </c>
      <c r="I8975" s="20">
        <v>23.53</v>
      </c>
      <c r="J8975" s="44" t="s">
        <v>8</v>
      </c>
      <c r="K8975" s="23" t="s">
        <v>8</v>
      </c>
      <c r="L8975" s="23" t="s">
        <v>8</v>
      </c>
      <c r="M8975" s="23" t="s">
        <v>8</v>
      </c>
    </row>
    <row r="8976" spans="1:13" s="21" customFormat="1" x14ac:dyDescent="0.25">
      <c r="A8976" s="22" t="s">
        <v>8</v>
      </c>
      <c r="B8976" s="18" t="str">
        <f>"335596"</f>
        <v>335596</v>
      </c>
      <c r="C8976" s="19" t="s">
        <v>8848</v>
      </c>
      <c r="D8976" s="19" t="s">
        <v>24393</v>
      </c>
      <c r="E8976" s="19" t="s">
        <v>34175</v>
      </c>
      <c r="F8976" s="19" t="s">
        <v>36006</v>
      </c>
      <c r="G8976" s="18" t="str">
        <f>"11772"</f>
        <v>11772</v>
      </c>
      <c r="H8976" s="19" t="s">
        <v>35389</v>
      </c>
      <c r="I8976" s="20">
        <v>20.056000000000001</v>
      </c>
      <c r="J8976" s="44" t="s">
        <v>8</v>
      </c>
      <c r="K8976" s="23" t="s">
        <v>8</v>
      </c>
      <c r="L8976" s="23" t="s">
        <v>8</v>
      </c>
      <c r="M8976" s="23" t="s">
        <v>8</v>
      </c>
    </row>
    <row r="8977" spans="1:13" s="21" customFormat="1" x14ac:dyDescent="0.25">
      <c r="A8977" s="22" t="s">
        <v>8</v>
      </c>
      <c r="B8977" s="18" t="str">
        <f>"335598"</f>
        <v>335598</v>
      </c>
      <c r="C8977" s="19" t="s">
        <v>8849</v>
      </c>
      <c r="D8977" s="19" t="s">
        <v>24394</v>
      </c>
      <c r="E8977" s="19" t="s">
        <v>34146</v>
      </c>
      <c r="F8977" s="19" t="s">
        <v>36006</v>
      </c>
      <c r="G8977" s="18" t="str">
        <f>"12901"</f>
        <v>12901</v>
      </c>
      <c r="H8977" s="19" t="s">
        <v>31081</v>
      </c>
      <c r="I8977" s="20">
        <v>18.308</v>
      </c>
      <c r="J8977" s="44" t="s">
        <v>8</v>
      </c>
      <c r="K8977" s="23" t="s">
        <v>8</v>
      </c>
      <c r="L8977" s="23" t="s">
        <v>8</v>
      </c>
      <c r="M8977" s="23" t="s">
        <v>8</v>
      </c>
    </row>
    <row r="8978" spans="1:13" s="21" customFormat="1" x14ac:dyDescent="0.25">
      <c r="A8978" s="22" t="s">
        <v>8</v>
      </c>
      <c r="B8978" s="18" t="str">
        <f>"335600"</f>
        <v>335600</v>
      </c>
      <c r="C8978" s="19" t="s">
        <v>324</v>
      </c>
      <c r="D8978" s="19" t="s">
        <v>24395</v>
      </c>
      <c r="E8978" s="19" t="s">
        <v>33304</v>
      </c>
      <c r="F8978" s="19" t="s">
        <v>36006</v>
      </c>
      <c r="G8978" s="18" t="str">
        <f>"13502"</f>
        <v>13502</v>
      </c>
      <c r="H8978" s="19" t="s">
        <v>34140</v>
      </c>
      <c r="I8978" s="20">
        <v>22.43</v>
      </c>
      <c r="J8978" s="44" t="s">
        <v>8</v>
      </c>
      <c r="K8978" s="23" t="s">
        <v>8</v>
      </c>
      <c r="L8978" s="23" t="s">
        <v>8</v>
      </c>
      <c r="M8978" s="23" t="s">
        <v>8</v>
      </c>
    </row>
    <row r="8979" spans="1:13" s="21" customFormat="1" x14ac:dyDescent="0.25">
      <c r="A8979" s="22" t="s">
        <v>8</v>
      </c>
      <c r="B8979" s="18" t="str">
        <f>"335601"</f>
        <v>335601</v>
      </c>
      <c r="C8979" s="19" t="s">
        <v>8850</v>
      </c>
      <c r="D8979" s="19" t="s">
        <v>24396</v>
      </c>
      <c r="E8979" s="19" t="s">
        <v>34176</v>
      </c>
      <c r="F8979" s="19" t="s">
        <v>36006</v>
      </c>
      <c r="G8979" s="18" t="str">
        <f>"12090"</f>
        <v>12090</v>
      </c>
      <c r="H8979" s="19" t="s">
        <v>32254</v>
      </c>
      <c r="I8979" s="20">
        <v>19.658000000000001</v>
      </c>
      <c r="J8979" s="44" t="s">
        <v>8</v>
      </c>
      <c r="K8979" s="23" t="s">
        <v>8</v>
      </c>
      <c r="L8979" s="23" t="s">
        <v>8</v>
      </c>
      <c r="M8979" s="23" t="s">
        <v>8</v>
      </c>
    </row>
    <row r="8980" spans="1:13" s="21" customFormat="1" x14ac:dyDescent="0.25">
      <c r="A8980" s="22" t="s">
        <v>8</v>
      </c>
      <c r="B8980" s="18" t="str">
        <f>"335603"</f>
        <v>335603</v>
      </c>
      <c r="C8980" s="19" t="s">
        <v>8851</v>
      </c>
      <c r="D8980" s="19" t="s">
        <v>24397</v>
      </c>
      <c r="E8980" s="19" t="s">
        <v>34143</v>
      </c>
      <c r="F8980" s="19" t="s">
        <v>36006</v>
      </c>
      <c r="G8980" s="18" t="str">
        <f>"14217"</f>
        <v>14217</v>
      </c>
      <c r="H8980" s="19" t="s">
        <v>34805</v>
      </c>
      <c r="I8980" s="20">
        <v>15.946999999999999</v>
      </c>
      <c r="J8980" s="44" t="s">
        <v>8</v>
      </c>
      <c r="K8980" s="23" t="s">
        <v>8</v>
      </c>
      <c r="L8980" s="23" t="s">
        <v>8</v>
      </c>
      <c r="M8980" s="23" t="s">
        <v>8</v>
      </c>
    </row>
    <row r="8981" spans="1:13" s="21" customFormat="1" x14ac:dyDescent="0.25">
      <c r="A8981" s="22" t="s">
        <v>8</v>
      </c>
      <c r="B8981" s="18" t="str">
        <f>"335604"</f>
        <v>335604</v>
      </c>
      <c r="C8981" s="19" t="s">
        <v>8852</v>
      </c>
      <c r="D8981" s="19" t="s">
        <v>24398</v>
      </c>
      <c r="E8981" s="19" t="s">
        <v>31443</v>
      </c>
      <c r="F8981" s="19" t="s">
        <v>36006</v>
      </c>
      <c r="G8981" s="18" t="str">
        <f>"11208"</f>
        <v>11208</v>
      </c>
      <c r="H8981" s="19" t="s">
        <v>36091</v>
      </c>
      <c r="I8981" s="20">
        <v>24.398</v>
      </c>
      <c r="J8981" s="44" t="s">
        <v>8</v>
      </c>
      <c r="K8981" s="23" t="s">
        <v>8</v>
      </c>
      <c r="L8981" s="23" t="s">
        <v>8</v>
      </c>
      <c r="M8981" s="23" t="s">
        <v>8</v>
      </c>
    </row>
    <row r="8982" spans="1:13" s="21" customFormat="1" x14ac:dyDescent="0.25">
      <c r="A8982" s="22" t="s">
        <v>8</v>
      </c>
      <c r="B8982" s="18" t="str">
        <f>"335606"</f>
        <v>335606</v>
      </c>
      <c r="C8982" s="19" t="s">
        <v>8853</v>
      </c>
      <c r="D8982" s="19" t="s">
        <v>24399</v>
      </c>
      <c r="E8982" s="19" t="s">
        <v>34067</v>
      </c>
      <c r="F8982" s="19" t="s">
        <v>36006</v>
      </c>
      <c r="G8982" s="18" t="str">
        <f>"11429"</f>
        <v>11429</v>
      </c>
      <c r="H8982" s="19" t="s">
        <v>36598</v>
      </c>
      <c r="I8982" s="20">
        <v>19.683</v>
      </c>
      <c r="J8982" s="44" t="s">
        <v>8</v>
      </c>
      <c r="K8982" s="23" t="s">
        <v>8</v>
      </c>
      <c r="L8982" s="23" t="s">
        <v>8</v>
      </c>
      <c r="M8982" s="23" t="s">
        <v>8</v>
      </c>
    </row>
    <row r="8983" spans="1:13" s="21" customFormat="1" x14ac:dyDescent="0.25">
      <c r="A8983" s="22" t="s">
        <v>8</v>
      </c>
      <c r="B8983" s="18" t="str">
        <f>"335607"</f>
        <v>335607</v>
      </c>
      <c r="C8983" s="19" t="s">
        <v>8854</v>
      </c>
      <c r="D8983" s="19" t="s">
        <v>24400</v>
      </c>
      <c r="E8983" s="19" t="s">
        <v>34177</v>
      </c>
      <c r="F8983" s="19" t="s">
        <v>36006</v>
      </c>
      <c r="G8983" s="18" t="str">
        <f>"14057"</f>
        <v>14057</v>
      </c>
      <c r="H8983" s="19" t="s">
        <v>34805</v>
      </c>
      <c r="I8983" s="20">
        <v>18.893000000000001</v>
      </c>
      <c r="J8983" s="44" t="s">
        <v>8</v>
      </c>
      <c r="K8983" s="23" t="s">
        <v>8</v>
      </c>
      <c r="L8983" s="23" t="s">
        <v>8</v>
      </c>
      <c r="M8983" s="23" t="s">
        <v>8</v>
      </c>
    </row>
    <row r="8984" spans="1:13" s="21" customFormat="1" x14ac:dyDescent="0.25">
      <c r="A8984" s="22" t="s">
        <v>8</v>
      </c>
      <c r="B8984" s="18" t="str">
        <f>"335609"</f>
        <v>335609</v>
      </c>
      <c r="C8984" s="19" t="s">
        <v>8855</v>
      </c>
      <c r="D8984" s="19" t="s">
        <v>24401</v>
      </c>
      <c r="E8984" s="19" t="s">
        <v>31443</v>
      </c>
      <c r="F8984" s="19" t="s">
        <v>36006</v>
      </c>
      <c r="G8984" s="18" t="str">
        <f>"11213"</f>
        <v>11213</v>
      </c>
      <c r="H8984" s="19" t="s">
        <v>36091</v>
      </c>
      <c r="I8984" s="20">
        <v>20.526</v>
      </c>
      <c r="J8984" s="44" t="s">
        <v>8</v>
      </c>
      <c r="K8984" s="23" t="s">
        <v>8</v>
      </c>
      <c r="L8984" s="23" t="s">
        <v>8</v>
      </c>
      <c r="M8984" s="23" t="s">
        <v>8</v>
      </c>
    </row>
    <row r="8985" spans="1:13" s="21" customFormat="1" x14ac:dyDescent="0.25">
      <c r="A8985" s="22" t="s">
        <v>8</v>
      </c>
      <c r="B8985" s="18" t="str">
        <f>"335610"</f>
        <v>335610</v>
      </c>
      <c r="C8985" s="19" t="s">
        <v>8856</v>
      </c>
      <c r="D8985" s="19" t="s">
        <v>24402</v>
      </c>
      <c r="E8985" s="19" t="s">
        <v>34178</v>
      </c>
      <c r="F8985" s="19" t="s">
        <v>36006</v>
      </c>
      <c r="G8985" s="18" t="str">
        <f>"14706"</f>
        <v>14706</v>
      </c>
      <c r="H8985" s="19" t="s">
        <v>36593</v>
      </c>
      <c r="I8985" s="20">
        <v>19.797000000000001</v>
      </c>
      <c r="J8985" s="44" t="s">
        <v>8</v>
      </c>
      <c r="K8985" s="23" t="s">
        <v>8</v>
      </c>
      <c r="L8985" s="23" t="s">
        <v>8</v>
      </c>
      <c r="M8985" s="23" t="s">
        <v>8</v>
      </c>
    </row>
    <row r="8986" spans="1:13" s="21" customFormat="1" x14ac:dyDescent="0.25">
      <c r="A8986" s="22" t="s">
        <v>8</v>
      </c>
      <c r="B8986" s="18" t="str">
        <f>"335611"</f>
        <v>335611</v>
      </c>
      <c r="C8986" s="19" t="s">
        <v>8857</v>
      </c>
      <c r="D8986" s="19" t="s">
        <v>24403</v>
      </c>
      <c r="E8986" s="19" t="s">
        <v>34089</v>
      </c>
      <c r="F8986" s="19" t="s">
        <v>36006</v>
      </c>
      <c r="G8986" s="18" t="str">
        <f>"10805"</f>
        <v>10805</v>
      </c>
      <c r="H8986" s="19" t="s">
        <v>32061</v>
      </c>
      <c r="I8986" s="20">
        <v>18.782</v>
      </c>
      <c r="J8986" s="44" t="s">
        <v>8</v>
      </c>
      <c r="K8986" s="23" t="s">
        <v>8</v>
      </c>
      <c r="L8986" s="23" t="s">
        <v>8</v>
      </c>
      <c r="M8986" s="23" t="s">
        <v>8</v>
      </c>
    </row>
    <row r="8987" spans="1:13" s="21" customFormat="1" x14ac:dyDescent="0.25">
      <c r="A8987" s="22" t="s">
        <v>8</v>
      </c>
      <c r="B8987" s="18" t="str">
        <f>"335612"</f>
        <v>335612</v>
      </c>
      <c r="C8987" s="19" t="s">
        <v>8858</v>
      </c>
      <c r="D8987" s="19" t="s">
        <v>24404</v>
      </c>
      <c r="E8987" s="19" t="s">
        <v>34083</v>
      </c>
      <c r="F8987" s="19" t="s">
        <v>36006</v>
      </c>
      <c r="G8987" s="18" t="str">
        <f>"12302"</f>
        <v>12302</v>
      </c>
      <c r="H8987" s="19" t="s">
        <v>34038</v>
      </c>
      <c r="I8987" s="20">
        <v>19.763000000000002</v>
      </c>
      <c r="J8987" s="44" t="s">
        <v>8</v>
      </c>
      <c r="K8987" s="23" t="s">
        <v>8</v>
      </c>
      <c r="L8987" s="23" t="s">
        <v>8</v>
      </c>
      <c r="M8987" s="23" t="s">
        <v>8</v>
      </c>
    </row>
    <row r="8988" spans="1:13" s="21" customFormat="1" x14ac:dyDescent="0.25">
      <c r="A8988" s="22" t="s">
        <v>8</v>
      </c>
      <c r="B8988" s="18" t="str">
        <f>"335613"</f>
        <v>335613</v>
      </c>
      <c r="C8988" s="19" t="s">
        <v>8859</v>
      </c>
      <c r="D8988" s="19" t="s">
        <v>24405</v>
      </c>
      <c r="E8988" s="19" t="s">
        <v>34113</v>
      </c>
      <c r="F8988" s="19" t="s">
        <v>36006</v>
      </c>
      <c r="G8988" s="18" t="str">
        <f>"12572"</f>
        <v>12572</v>
      </c>
      <c r="H8988" s="19" t="s">
        <v>36604</v>
      </c>
      <c r="I8988" s="20">
        <v>17.548999999999999</v>
      </c>
      <c r="J8988" s="44" t="s">
        <v>8</v>
      </c>
      <c r="K8988" s="23" t="s">
        <v>8</v>
      </c>
      <c r="L8988" s="23" t="s">
        <v>8</v>
      </c>
      <c r="M8988" s="23" t="s">
        <v>8</v>
      </c>
    </row>
    <row r="8989" spans="1:13" s="21" customFormat="1" x14ac:dyDescent="0.25">
      <c r="A8989" s="22" t="s">
        <v>8</v>
      </c>
      <c r="B8989" s="18" t="str">
        <f>"335614"</f>
        <v>335614</v>
      </c>
      <c r="C8989" s="19" t="s">
        <v>8860</v>
      </c>
      <c r="D8989" s="19" t="s">
        <v>24406</v>
      </c>
      <c r="E8989" s="19" t="s">
        <v>34089</v>
      </c>
      <c r="F8989" s="19" t="s">
        <v>36006</v>
      </c>
      <c r="G8989" s="18" t="str">
        <f>"10805"</f>
        <v>10805</v>
      </c>
      <c r="H8989" s="19" t="s">
        <v>32061</v>
      </c>
      <c r="I8989" s="20">
        <v>19.419</v>
      </c>
      <c r="J8989" s="44" t="s">
        <v>8</v>
      </c>
      <c r="K8989" s="23" t="s">
        <v>8</v>
      </c>
      <c r="L8989" s="23" t="s">
        <v>8</v>
      </c>
      <c r="M8989" s="23" t="s">
        <v>8</v>
      </c>
    </row>
    <row r="8990" spans="1:13" s="21" customFormat="1" x14ac:dyDescent="0.25">
      <c r="A8990" s="22" t="s">
        <v>8</v>
      </c>
      <c r="B8990" s="18" t="str">
        <f>"335619"</f>
        <v>335619</v>
      </c>
      <c r="C8990" s="19" t="s">
        <v>8861</v>
      </c>
      <c r="D8990" s="19" t="s">
        <v>24407</v>
      </c>
      <c r="E8990" s="19" t="s">
        <v>34174</v>
      </c>
      <c r="F8990" s="19" t="s">
        <v>36006</v>
      </c>
      <c r="G8990" s="18" t="str">
        <f>"13662"</f>
        <v>13662</v>
      </c>
      <c r="H8990" s="19" t="s">
        <v>36594</v>
      </c>
      <c r="I8990" s="20">
        <v>19.451000000000001</v>
      </c>
      <c r="J8990" s="44" t="s">
        <v>8</v>
      </c>
      <c r="K8990" s="23" t="s">
        <v>8</v>
      </c>
      <c r="L8990" s="23" t="s">
        <v>8</v>
      </c>
      <c r="M8990" s="23" t="s">
        <v>8</v>
      </c>
    </row>
    <row r="8991" spans="1:13" s="21" customFormat="1" x14ac:dyDescent="0.25">
      <c r="A8991" s="22" t="s">
        <v>8</v>
      </c>
      <c r="B8991" s="18" t="str">
        <f>"335620"</f>
        <v>335620</v>
      </c>
      <c r="C8991" s="19" t="s">
        <v>8862</v>
      </c>
      <c r="D8991" s="19" t="s">
        <v>24408</v>
      </c>
      <c r="E8991" s="19" t="s">
        <v>32267</v>
      </c>
      <c r="F8991" s="19" t="s">
        <v>36006</v>
      </c>
      <c r="G8991" s="18" t="str">
        <f>"14611"</f>
        <v>14611</v>
      </c>
      <c r="H8991" s="19" t="s">
        <v>31711</v>
      </c>
      <c r="I8991" s="20">
        <v>17.658000000000001</v>
      </c>
      <c r="J8991" s="44" t="s">
        <v>8</v>
      </c>
      <c r="K8991" s="23" t="s">
        <v>8</v>
      </c>
      <c r="L8991" s="23" t="s">
        <v>8</v>
      </c>
      <c r="M8991" s="23" t="s">
        <v>8</v>
      </c>
    </row>
    <row r="8992" spans="1:13" s="21" customFormat="1" x14ac:dyDescent="0.25">
      <c r="A8992" s="22" t="s">
        <v>8</v>
      </c>
      <c r="B8992" s="18" t="str">
        <f>"335621"</f>
        <v>335621</v>
      </c>
      <c r="C8992" s="19" t="s">
        <v>8863</v>
      </c>
      <c r="D8992" s="19" t="s">
        <v>24409</v>
      </c>
      <c r="E8992" s="19" t="s">
        <v>34089</v>
      </c>
      <c r="F8992" s="19" t="s">
        <v>36006</v>
      </c>
      <c r="G8992" s="18" t="str">
        <f>"10805"</f>
        <v>10805</v>
      </c>
      <c r="H8992" s="19" t="s">
        <v>32061</v>
      </c>
      <c r="I8992" s="20">
        <v>19.73</v>
      </c>
      <c r="J8992" s="44" t="s">
        <v>8</v>
      </c>
      <c r="K8992" s="23" t="s">
        <v>8</v>
      </c>
      <c r="L8992" s="23" t="s">
        <v>8</v>
      </c>
      <c r="M8992" s="23" t="s">
        <v>8</v>
      </c>
    </row>
    <row r="8993" spans="1:13" s="21" customFormat="1" x14ac:dyDescent="0.25">
      <c r="A8993" s="22" t="s">
        <v>8</v>
      </c>
      <c r="B8993" s="18" t="str">
        <f>"335625"</f>
        <v>335625</v>
      </c>
      <c r="C8993" s="19" t="s">
        <v>8864</v>
      </c>
      <c r="D8993" s="19" t="s">
        <v>24410</v>
      </c>
      <c r="E8993" s="19" t="s">
        <v>31443</v>
      </c>
      <c r="F8993" s="19" t="s">
        <v>36006</v>
      </c>
      <c r="G8993" s="18" t="str">
        <f>"11238"</f>
        <v>11238</v>
      </c>
      <c r="H8993" s="19" t="s">
        <v>36091</v>
      </c>
      <c r="I8993" s="20">
        <v>19.14</v>
      </c>
      <c r="J8993" s="44" t="s">
        <v>8</v>
      </c>
      <c r="K8993" s="23" t="s">
        <v>8</v>
      </c>
      <c r="L8993" s="23" t="s">
        <v>8</v>
      </c>
      <c r="M8993" s="23" t="s">
        <v>8</v>
      </c>
    </row>
    <row r="8994" spans="1:13" s="21" customFormat="1" x14ac:dyDescent="0.25">
      <c r="A8994" s="22" t="s">
        <v>8</v>
      </c>
      <c r="B8994" s="18" t="str">
        <f>"335626"</f>
        <v>335626</v>
      </c>
      <c r="C8994" s="19" t="s">
        <v>8865</v>
      </c>
      <c r="D8994" s="19" t="s">
        <v>24411</v>
      </c>
      <c r="E8994" s="19" t="s">
        <v>31443</v>
      </c>
      <c r="F8994" s="19" t="s">
        <v>36006</v>
      </c>
      <c r="G8994" s="18" t="str">
        <f>"11249"</f>
        <v>11249</v>
      </c>
      <c r="H8994" s="19" t="s">
        <v>36091</v>
      </c>
      <c r="I8994" s="20">
        <v>24.86</v>
      </c>
      <c r="J8994" s="44" t="s">
        <v>8</v>
      </c>
      <c r="K8994" s="23" t="s">
        <v>8</v>
      </c>
      <c r="L8994" s="23" t="s">
        <v>8</v>
      </c>
      <c r="M8994" s="23" t="s">
        <v>8</v>
      </c>
    </row>
    <row r="8995" spans="1:13" s="21" customFormat="1" x14ac:dyDescent="0.25">
      <c r="A8995" s="22" t="s">
        <v>8</v>
      </c>
      <c r="B8995" s="18" t="str">
        <f>"335627"</f>
        <v>335627</v>
      </c>
      <c r="C8995" s="19" t="s">
        <v>8866</v>
      </c>
      <c r="D8995" s="19" t="s">
        <v>24412</v>
      </c>
      <c r="E8995" s="19" t="s">
        <v>31834</v>
      </c>
      <c r="F8995" s="19" t="s">
        <v>36006</v>
      </c>
      <c r="G8995" s="18" t="str">
        <f>"12203"</f>
        <v>12203</v>
      </c>
      <c r="H8995" s="19" t="s">
        <v>31834</v>
      </c>
      <c r="I8995" s="20">
        <v>17.445</v>
      </c>
      <c r="J8995" s="44" t="s">
        <v>8</v>
      </c>
      <c r="K8995" s="23" t="s">
        <v>8</v>
      </c>
      <c r="L8995" s="23" t="s">
        <v>8</v>
      </c>
      <c r="M8995" s="23" t="s">
        <v>8</v>
      </c>
    </row>
    <row r="8996" spans="1:13" s="21" customFormat="1" x14ac:dyDescent="0.25">
      <c r="A8996" s="22" t="s">
        <v>8</v>
      </c>
      <c r="B8996" s="18" t="str">
        <f>"335628"</f>
        <v>335628</v>
      </c>
      <c r="C8996" s="19" t="s">
        <v>8867</v>
      </c>
      <c r="D8996" s="19" t="s">
        <v>24413</v>
      </c>
      <c r="E8996" s="19" t="s">
        <v>32284</v>
      </c>
      <c r="F8996" s="19" t="s">
        <v>36006</v>
      </c>
      <c r="G8996" s="18" t="str">
        <f>"12754"</f>
        <v>12754</v>
      </c>
      <c r="H8996" s="19" t="s">
        <v>31976</v>
      </c>
      <c r="I8996" s="20">
        <v>24.027999999999999</v>
      </c>
      <c r="J8996" s="44" t="s">
        <v>8</v>
      </c>
      <c r="K8996" s="23" t="s">
        <v>8</v>
      </c>
      <c r="L8996" s="23" t="s">
        <v>8</v>
      </c>
      <c r="M8996" s="23" t="s">
        <v>8</v>
      </c>
    </row>
    <row r="8997" spans="1:13" s="21" customFormat="1" x14ac:dyDescent="0.25">
      <c r="A8997" s="22" t="s">
        <v>8</v>
      </c>
      <c r="B8997" s="18" t="str">
        <f>"335629"</f>
        <v>335629</v>
      </c>
      <c r="C8997" s="19" t="s">
        <v>8868</v>
      </c>
      <c r="D8997" s="19" t="s">
        <v>24003</v>
      </c>
      <c r="E8997" s="19" t="s">
        <v>34037</v>
      </c>
      <c r="F8997" s="19" t="s">
        <v>36006</v>
      </c>
      <c r="G8997" s="18" t="str">
        <f>"10471"</f>
        <v>10471</v>
      </c>
      <c r="H8997" s="19" t="s">
        <v>34037</v>
      </c>
      <c r="I8997" s="20">
        <v>16.771000000000001</v>
      </c>
      <c r="J8997" s="44" t="s">
        <v>8</v>
      </c>
      <c r="K8997" s="23" t="s">
        <v>8</v>
      </c>
      <c r="L8997" s="23" t="s">
        <v>8</v>
      </c>
      <c r="M8997" s="23" t="s">
        <v>8</v>
      </c>
    </row>
    <row r="8998" spans="1:13" s="21" customFormat="1" x14ac:dyDescent="0.25">
      <c r="A8998" s="22" t="s">
        <v>8</v>
      </c>
      <c r="B8998" s="18" t="str">
        <f>"335631"</f>
        <v>335631</v>
      </c>
      <c r="C8998" s="19" t="s">
        <v>8869</v>
      </c>
      <c r="D8998" s="19" t="s">
        <v>24414</v>
      </c>
      <c r="E8998" s="19" t="s">
        <v>34109</v>
      </c>
      <c r="F8998" s="19" t="s">
        <v>36006</v>
      </c>
      <c r="G8998" s="18" t="str">
        <f>"11432"</f>
        <v>11432</v>
      </c>
      <c r="H8998" s="19" t="s">
        <v>36598</v>
      </c>
      <c r="I8998" s="20">
        <v>16.940000000000001</v>
      </c>
      <c r="J8998" s="44" t="s">
        <v>8</v>
      </c>
      <c r="K8998" s="23" t="s">
        <v>8</v>
      </c>
      <c r="L8998" s="23" t="s">
        <v>8</v>
      </c>
      <c r="M8998" s="23" t="s">
        <v>8</v>
      </c>
    </row>
    <row r="8999" spans="1:13" s="21" customFormat="1" x14ac:dyDescent="0.25">
      <c r="A8999" s="22" t="s">
        <v>8</v>
      </c>
      <c r="B8999" s="18" t="str">
        <f>"335632"</f>
        <v>335632</v>
      </c>
      <c r="C8999" s="19" t="s">
        <v>8870</v>
      </c>
      <c r="D8999" s="19" t="s">
        <v>24415</v>
      </c>
      <c r="E8999" s="19" t="s">
        <v>34179</v>
      </c>
      <c r="F8999" s="19" t="s">
        <v>36006</v>
      </c>
      <c r="G8999" s="18" t="str">
        <f>"12565"</f>
        <v>12565</v>
      </c>
      <c r="H8999" s="19" t="s">
        <v>32076</v>
      </c>
      <c r="I8999" s="20">
        <v>17.966000000000001</v>
      </c>
      <c r="J8999" s="44" t="s">
        <v>8</v>
      </c>
      <c r="K8999" s="23" t="s">
        <v>8</v>
      </c>
      <c r="L8999" s="23" t="s">
        <v>8</v>
      </c>
      <c r="M8999" s="23" t="s">
        <v>8</v>
      </c>
    </row>
    <row r="9000" spans="1:13" s="21" customFormat="1" x14ac:dyDescent="0.25">
      <c r="A9000" s="22" t="s">
        <v>8</v>
      </c>
      <c r="B9000" s="18" t="str">
        <f>"335634"</f>
        <v>335634</v>
      </c>
      <c r="C9000" s="19" t="s">
        <v>8871</v>
      </c>
      <c r="D9000" s="19" t="s">
        <v>24416</v>
      </c>
      <c r="E9000" s="19" t="s">
        <v>34180</v>
      </c>
      <c r="F9000" s="19" t="s">
        <v>36006</v>
      </c>
      <c r="G9000" s="18" t="str">
        <f>"14227"</f>
        <v>14227</v>
      </c>
      <c r="H9000" s="19" t="s">
        <v>34805</v>
      </c>
      <c r="I9000" s="20">
        <v>19.236000000000001</v>
      </c>
      <c r="J9000" s="44" t="s">
        <v>8</v>
      </c>
      <c r="K9000" s="23" t="s">
        <v>8</v>
      </c>
      <c r="L9000" s="23" t="s">
        <v>8</v>
      </c>
      <c r="M9000" s="23" t="s">
        <v>8</v>
      </c>
    </row>
    <row r="9001" spans="1:13" s="21" customFormat="1" x14ac:dyDescent="0.25">
      <c r="A9001" s="22" t="s">
        <v>8</v>
      </c>
      <c r="B9001" s="18" t="str">
        <f>"335635"</f>
        <v>335635</v>
      </c>
      <c r="C9001" s="19" t="s">
        <v>8872</v>
      </c>
      <c r="D9001" s="19" t="s">
        <v>24417</v>
      </c>
      <c r="E9001" s="19" t="s">
        <v>34181</v>
      </c>
      <c r="F9001" s="19" t="s">
        <v>36006</v>
      </c>
      <c r="G9001" s="18" t="str">
        <f>"14482"</f>
        <v>14482</v>
      </c>
      <c r="H9001" s="19" t="s">
        <v>36432</v>
      </c>
      <c r="I9001" s="20">
        <v>19.405999999999999</v>
      </c>
      <c r="J9001" s="44" t="s">
        <v>8</v>
      </c>
      <c r="K9001" s="23" t="s">
        <v>8</v>
      </c>
      <c r="L9001" s="23" t="s">
        <v>8</v>
      </c>
      <c r="M9001" s="23" t="s">
        <v>8</v>
      </c>
    </row>
    <row r="9002" spans="1:13" s="21" customFormat="1" x14ac:dyDescent="0.25">
      <c r="A9002" s="22" t="s">
        <v>8</v>
      </c>
      <c r="B9002" s="18" t="str">
        <f>"335636"</f>
        <v>335636</v>
      </c>
      <c r="C9002" s="19" t="s">
        <v>8873</v>
      </c>
      <c r="D9002" s="19" t="s">
        <v>24418</v>
      </c>
      <c r="E9002" s="19" t="s">
        <v>34182</v>
      </c>
      <c r="F9002" s="19" t="s">
        <v>36006</v>
      </c>
      <c r="G9002" s="18" t="str">
        <f>"11782"</f>
        <v>11782</v>
      </c>
      <c r="H9002" s="19" t="s">
        <v>35389</v>
      </c>
      <c r="I9002" s="20">
        <v>18.693000000000001</v>
      </c>
      <c r="J9002" s="44" t="s">
        <v>8</v>
      </c>
      <c r="K9002" s="23" t="s">
        <v>8</v>
      </c>
      <c r="L9002" s="23" t="s">
        <v>8</v>
      </c>
      <c r="M9002" s="23" t="s">
        <v>8</v>
      </c>
    </row>
    <row r="9003" spans="1:13" s="21" customFormat="1" x14ac:dyDescent="0.25">
      <c r="A9003" s="22" t="s">
        <v>8</v>
      </c>
      <c r="B9003" s="18" t="str">
        <f>"335637"</f>
        <v>335637</v>
      </c>
      <c r="C9003" s="19" t="s">
        <v>8874</v>
      </c>
      <c r="D9003" s="19" t="s">
        <v>24419</v>
      </c>
      <c r="E9003" s="19" t="s">
        <v>31443</v>
      </c>
      <c r="F9003" s="19" t="s">
        <v>36006</v>
      </c>
      <c r="G9003" s="18" t="str">
        <f>"11208"</f>
        <v>11208</v>
      </c>
      <c r="H9003" s="19" t="s">
        <v>36091</v>
      </c>
      <c r="I9003" s="20">
        <v>18.942</v>
      </c>
      <c r="J9003" s="44" t="s">
        <v>8</v>
      </c>
      <c r="K9003" s="23" t="s">
        <v>8</v>
      </c>
      <c r="L9003" s="23" t="s">
        <v>8</v>
      </c>
      <c r="M9003" s="23" t="s">
        <v>8</v>
      </c>
    </row>
    <row r="9004" spans="1:13" s="21" customFormat="1" x14ac:dyDescent="0.25">
      <c r="A9004" s="22" t="s">
        <v>8</v>
      </c>
      <c r="B9004" s="18" t="str">
        <f>"335638"</f>
        <v>335638</v>
      </c>
      <c r="C9004" s="19" t="s">
        <v>8875</v>
      </c>
      <c r="D9004" s="19" t="s">
        <v>24420</v>
      </c>
      <c r="E9004" s="19" t="s">
        <v>33453</v>
      </c>
      <c r="F9004" s="19" t="s">
        <v>36006</v>
      </c>
      <c r="G9004" s="18" t="str">
        <f>"14209"</f>
        <v>14209</v>
      </c>
      <c r="H9004" s="19" t="s">
        <v>34805</v>
      </c>
      <c r="I9004" s="20">
        <v>15.662000000000001</v>
      </c>
      <c r="J9004" s="44" t="s">
        <v>8</v>
      </c>
      <c r="K9004" s="23" t="s">
        <v>8</v>
      </c>
      <c r="L9004" s="23" t="s">
        <v>8</v>
      </c>
      <c r="M9004" s="23" t="s">
        <v>8</v>
      </c>
    </row>
    <row r="9005" spans="1:13" s="21" customFormat="1" x14ac:dyDescent="0.25">
      <c r="A9005" s="22" t="s">
        <v>8</v>
      </c>
      <c r="B9005" s="18" t="str">
        <f>"335639"</f>
        <v>335639</v>
      </c>
      <c r="C9005" s="19" t="s">
        <v>8876</v>
      </c>
      <c r="D9005" s="19" t="s">
        <v>24421</v>
      </c>
      <c r="E9005" s="19" t="s">
        <v>34183</v>
      </c>
      <c r="F9005" s="19" t="s">
        <v>36006</v>
      </c>
      <c r="G9005" s="18" t="str">
        <f>"12742"</f>
        <v>12742</v>
      </c>
      <c r="H9005" s="19" t="s">
        <v>31976</v>
      </c>
      <c r="I9005" s="20">
        <v>16.571000000000002</v>
      </c>
      <c r="J9005" s="44" t="s">
        <v>8</v>
      </c>
      <c r="K9005" s="23" t="s">
        <v>8</v>
      </c>
      <c r="L9005" s="23" t="s">
        <v>8</v>
      </c>
      <c r="M9005" s="23" t="s">
        <v>8</v>
      </c>
    </row>
    <row r="9006" spans="1:13" s="21" customFormat="1" x14ac:dyDescent="0.25">
      <c r="A9006" s="22" t="s">
        <v>8</v>
      </c>
      <c r="B9006" s="18" t="str">
        <f>"335640"</f>
        <v>335640</v>
      </c>
      <c r="C9006" s="19" t="s">
        <v>8877</v>
      </c>
      <c r="D9006" s="19" t="s">
        <v>24422</v>
      </c>
      <c r="E9006" s="19" t="s">
        <v>33453</v>
      </c>
      <c r="F9006" s="19" t="s">
        <v>36006</v>
      </c>
      <c r="G9006" s="18" t="str">
        <f>"14209"</f>
        <v>14209</v>
      </c>
      <c r="H9006" s="19" t="s">
        <v>34805</v>
      </c>
      <c r="I9006" s="20">
        <v>18.28</v>
      </c>
      <c r="J9006" s="44" t="s">
        <v>8</v>
      </c>
      <c r="K9006" s="23" t="s">
        <v>8</v>
      </c>
      <c r="L9006" s="23" t="s">
        <v>8</v>
      </c>
      <c r="M9006" s="23" t="s">
        <v>8</v>
      </c>
    </row>
    <row r="9007" spans="1:13" s="21" customFormat="1" x14ac:dyDescent="0.25">
      <c r="A9007" s="22" t="s">
        <v>8</v>
      </c>
      <c r="B9007" s="18" t="str">
        <f>"335641"</f>
        <v>335641</v>
      </c>
      <c r="C9007" s="19" t="s">
        <v>8878</v>
      </c>
      <c r="D9007" s="19" t="s">
        <v>24423</v>
      </c>
      <c r="E9007" s="19" t="s">
        <v>34184</v>
      </c>
      <c r="F9007" s="19" t="s">
        <v>36006</v>
      </c>
      <c r="G9007" s="18" t="str">
        <f>"14744"</f>
        <v>14744</v>
      </c>
      <c r="H9007" s="19" t="s">
        <v>34178</v>
      </c>
      <c r="I9007" s="20">
        <v>16.649999999999999</v>
      </c>
      <c r="J9007" s="44" t="s">
        <v>8</v>
      </c>
      <c r="K9007" s="23" t="s">
        <v>8</v>
      </c>
      <c r="L9007" s="23" t="s">
        <v>8</v>
      </c>
      <c r="M9007" s="23" t="s">
        <v>8</v>
      </c>
    </row>
    <row r="9008" spans="1:13" s="21" customFormat="1" x14ac:dyDescent="0.25">
      <c r="A9008" s="22" t="s">
        <v>8</v>
      </c>
      <c r="B9008" s="18" t="str">
        <f>"335642"</f>
        <v>335642</v>
      </c>
      <c r="C9008" s="19" t="s">
        <v>8879</v>
      </c>
      <c r="D9008" s="19" t="s">
        <v>24424</v>
      </c>
      <c r="E9008" s="19" t="s">
        <v>34185</v>
      </c>
      <c r="F9008" s="19" t="s">
        <v>36006</v>
      </c>
      <c r="G9008" s="18" t="str">
        <f>"14070"</f>
        <v>14070</v>
      </c>
      <c r="H9008" s="19" t="s">
        <v>36593</v>
      </c>
      <c r="I9008" s="20">
        <v>17.388999999999999</v>
      </c>
      <c r="J9008" s="44" t="s">
        <v>8</v>
      </c>
      <c r="K9008" s="23" t="s">
        <v>8</v>
      </c>
      <c r="L9008" s="23" t="s">
        <v>8</v>
      </c>
      <c r="M9008" s="23" t="s">
        <v>8</v>
      </c>
    </row>
    <row r="9009" spans="1:13" s="21" customFormat="1" x14ac:dyDescent="0.25">
      <c r="A9009" s="22" t="s">
        <v>8</v>
      </c>
      <c r="B9009" s="18" t="str">
        <f>"335644"</f>
        <v>335644</v>
      </c>
      <c r="C9009" s="19" t="s">
        <v>8880</v>
      </c>
      <c r="D9009" s="19" t="s">
        <v>24425</v>
      </c>
      <c r="E9009" s="19" t="s">
        <v>34037</v>
      </c>
      <c r="F9009" s="19" t="s">
        <v>36006</v>
      </c>
      <c r="G9009" s="18" t="str">
        <f>"10469"</f>
        <v>10469</v>
      </c>
      <c r="H9009" s="19" t="s">
        <v>34037</v>
      </c>
      <c r="I9009" s="20">
        <v>18.422000000000001</v>
      </c>
      <c r="J9009" s="44" t="s">
        <v>8</v>
      </c>
      <c r="K9009" s="23" t="s">
        <v>8</v>
      </c>
      <c r="L9009" s="23" t="s">
        <v>8</v>
      </c>
      <c r="M9009" s="23" t="s">
        <v>8</v>
      </c>
    </row>
    <row r="9010" spans="1:13" s="21" customFormat="1" x14ac:dyDescent="0.25">
      <c r="A9010" s="22" t="s">
        <v>8</v>
      </c>
      <c r="B9010" s="18" t="str">
        <f>"335645"</f>
        <v>335645</v>
      </c>
      <c r="C9010" s="19" t="s">
        <v>8881</v>
      </c>
      <c r="D9010" s="19" t="s">
        <v>24426</v>
      </c>
      <c r="E9010" s="19" t="s">
        <v>34044</v>
      </c>
      <c r="F9010" s="19" t="s">
        <v>36006</v>
      </c>
      <c r="G9010" s="18" t="str">
        <f>"14845"</f>
        <v>14845</v>
      </c>
      <c r="H9010" s="19" t="s">
        <v>36599</v>
      </c>
      <c r="I9010" s="20">
        <v>21.082000000000001</v>
      </c>
      <c r="J9010" s="44" t="s">
        <v>8</v>
      </c>
      <c r="K9010" s="23" t="s">
        <v>8</v>
      </c>
      <c r="L9010" s="23" t="s">
        <v>8</v>
      </c>
      <c r="M9010" s="23" t="s">
        <v>8</v>
      </c>
    </row>
    <row r="9011" spans="1:13" s="21" customFormat="1" x14ac:dyDescent="0.25">
      <c r="A9011" s="22" t="s">
        <v>8</v>
      </c>
      <c r="B9011" s="18" t="str">
        <f>"335647"</f>
        <v>335647</v>
      </c>
      <c r="C9011" s="19" t="s">
        <v>8882</v>
      </c>
      <c r="D9011" s="19" t="s">
        <v>24427</v>
      </c>
      <c r="E9011" s="19" t="s">
        <v>34071</v>
      </c>
      <c r="F9011" s="19" t="s">
        <v>36006</v>
      </c>
      <c r="G9011" s="18" t="str">
        <f>"14221"</f>
        <v>14221</v>
      </c>
      <c r="H9011" s="19" t="s">
        <v>34805</v>
      </c>
      <c r="I9011" s="20">
        <v>18.73</v>
      </c>
      <c r="J9011" s="44" t="s">
        <v>8</v>
      </c>
      <c r="K9011" s="23" t="s">
        <v>8</v>
      </c>
      <c r="L9011" s="23" t="s">
        <v>8</v>
      </c>
      <c r="M9011" s="23" t="s">
        <v>8</v>
      </c>
    </row>
    <row r="9012" spans="1:13" s="21" customFormat="1" x14ac:dyDescent="0.25">
      <c r="A9012" s="22" t="s">
        <v>8</v>
      </c>
      <c r="B9012" s="18" t="str">
        <f>"335648"</f>
        <v>335648</v>
      </c>
      <c r="C9012" s="19" t="s">
        <v>8883</v>
      </c>
      <c r="D9012" s="19" t="s">
        <v>24428</v>
      </c>
      <c r="E9012" s="19" t="s">
        <v>31443</v>
      </c>
      <c r="F9012" s="19" t="s">
        <v>36006</v>
      </c>
      <c r="G9012" s="18" t="str">
        <f>"11226"</f>
        <v>11226</v>
      </c>
      <c r="H9012" s="19" t="s">
        <v>36091</v>
      </c>
      <c r="I9012" s="20">
        <v>22.263999999999999</v>
      </c>
      <c r="J9012" s="44" t="s">
        <v>8</v>
      </c>
      <c r="K9012" s="23" t="s">
        <v>8</v>
      </c>
      <c r="L9012" s="23" t="s">
        <v>8</v>
      </c>
      <c r="M9012" s="23" t="s">
        <v>8</v>
      </c>
    </row>
    <row r="9013" spans="1:13" s="21" customFormat="1" x14ac:dyDescent="0.25">
      <c r="A9013" s="22" t="s">
        <v>8</v>
      </c>
      <c r="B9013" s="18" t="str">
        <f>"335649"</f>
        <v>335649</v>
      </c>
      <c r="C9013" s="19" t="s">
        <v>8884</v>
      </c>
      <c r="D9013" s="19" t="s">
        <v>24429</v>
      </c>
      <c r="E9013" s="19" t="s">
        <v>34186</v>
      </c>
      <c r="F9013" s="19" t="s">
        <v>36006</v>
      </c>
      <c r="G9013" s="18" t="str">
        <f>"14120"</f>
        <v>14120</v>
      </c>
      <c r="H9013" s="19" t="s">
        <v>35632</v>
      </c>
      <c r="I9013" s="20">
        <v>17.486999999999998</v>
      </c>
      <c r="J9013" s="44" t="s">
        <v>8</v>
      </c>
      <c r="K9013" s="23" t="s">
        <v>8</v>
      </c>
      <c r="L9013" s="23" t="s">
        <v>8</v>
      </c>
      <c r="M9013" s="23" t="s">
        <v>8</v>
      </c>
    </row>
    <row r="9014" spans="1:13" s="21" customFormat="1" x14ac:dyDescent="0.25">
      <c r="A9014" s="22" t="s">
        <v>8</v>
      </c>
      <c r="B9014" s="18" t="str">
        <f>"335650"</f>
        <v>335650</v>
      </c>
      <c r="C9014" s="19" t="s">
        <v>8885</v>
      </c>
      <c r="D9014" s="19" t="s">
        <v>24430</v>
      </c>
      <c r="E9014" s="19" t="s">
        <v>33453</v>
      </c>
      <c r="F9014" s="19" t="s">
        <v>36006</v>
      </c>
      <c r="G9014" s="18" t="str">
        <f>"14215"</f>
        <v>14215</v>
      </c>
      <c r="H9014" s="19" t="s">
        <v>34805</v>
      </c>
      <c r="I9014" s="20">
        <v>16.399999999999999</v>
      </c>
      <c r="J9014" s="44" t="s">
        <v>8</v>
      </c>
      <c r="K9014" s="23" t="s">
        <v>8</v>
      </c>
      <c r="L9014" s="23" t="s">
        <v>8</v>
      </c>
      <c r="M9014" s="23" t="s">
        <v>8</v>
      </c>
    </row>
    <row r="9015" spans="1:13" s="21" customFormat="1" x14ac:dyDescent="0.25">
      <c r="A9015" s="22" t="s">
        <v>8</v>
      </c>
      <c r="B9015" s="18" t="str">
        <f>"335652"</f>
        <v>335652</v>
      </c>
      <c r="C9015" s="19" t="s">
        <v>8886</v>
      </c>
      <c r="D9015" s="19" t="s">
        <v>24431</v>
      </c>
      <c r="E9015" s="19" t="s">
        <v>34187</v>
      </c>
      <c r="F9015" s="19" t="s">
        <v>36006</v>
      </c>
      <c r="G9015" s="18" t="str">
        <f>"14870"</f>
        <v>14870</v>
      </c>
      <c r="H9015" s="19" t="s">
        <v>36262</v>
      </c>
      <c r="I9015" s="20">
        <v>20.616</v>
      </c>
      <c r="J9015" s="44" t="s">
        <v>8</v>
      </c>
      <c r="K9015" s="23" t="s">
        <v>8</v>
      </c>
      <c r="L9015" s="23" t="s">
        <v>8</v>
      </c>
      <c r="M9015" s="23" t="s">
        <v>8</v>
      </c>
    </row>
    <row r="9016" spans="1:13" s="21" customFormat="1" x14ac:dyDescent="0.25">
      <c r="A9016" s="22" t="s">
        <v>8</v>
      </c>
      <c r="B9016" s="18" t="str">
        <f>"335653"</f>
        <v>335653</v>
      </c>
      <c r="C9016" s="19" t="s">
        <v>8887</v>
      </c>
      <c r="D9016" s="19" t="s">
        <v>24432</v>
      </c>
      <c r="E9016" s="19" t="s">
        <v>31443</v>
      </c>
      <c r="F9016" s="19" t="s">
        <v>36006</v>
      </c>
      <c r="G9016" s="18" t="str">
        <f>"11235"</f>
        <v>11235</v>
      </c>
      <c r="H9016" s="19" t="s">
        <v>36091</v>
      </c>
      <c r="I9016" s="20">
        <v>18.661999999999999</v>
      </c>
      <c r="J9016" s="44" t="s">
        <v>8</v>
      </c>
      <c r="K9016" s="23" t="s">
        <v>8</v>
      </c>
      <c r="L9016" s="23" t="s">
        <v>8</v>
      </c>
      <c r="M9016" s="23" t="s">
        <v>8</v>
      </c>
    </row>
    <row r="9017" spans="1:13" s="21" customFormat="1" x14ac:dyDescent="0.25">
      <c r="A9017" s="22" t="s">
        <v>8</v>
      </c>
      <c r="B9017" s="18" t="str">
        <f>"335655"</f>
        <v>335655</v>
      </c>
      <c r="C9017" s="19" t="s">
        <v>8888</v>
      </c>
      <c r="D9017" s="19" t="s">
        <v>24433</v>
      </c>
      <c r="E9017" s="19" t="s">
        <v>31412</v>
      </c>
      <c r="F9017" s="19" t="s">
        <v>36006</v>
      </c>
      <c r="G9017" s="18" t="str">
        <f>"10940"</f>
        <v>10940</v>
      </c>
      <c r="H9017" s="19" t="s">
        <v>31169</v>
      </c>
      <c r="I9017" s="20">
        <v>16.123999999999999</v>
      </c>
      <c r="J9017" s="44" t="s">
        <v>8</v>
      </c>
      <c r="K9017" s="23" t="s">
        <v>8</v>
      </c>
      <c r="L9017" s="23" t="s">
        <v>8</v>
      </c>
      <c r="M9017" s="23" t="s">
        <v>8</v>
      </c>
    </row>
    <row r="9018" spans="1:13" s="21" customFormat="1" x14ac:dyDescent="0.25">
      <c r="A9018" s="22" t="s">
        <v>8</v>
      </c>
      <c r="B9018" s="18" t="str">
        <f>"335656"</f>
        <v>335656</v>
      </c>
      <c r="C9018" s="19" t="s">
        <v>8889</v>
      </c>
      <c r="D9018" s="19" t="s">
        <v>24434</v>
      </c>
      <c r="E9018" s="19" t="s">
        <v>31443</v>
      </c>
      <c r="F9018" s="19" t="s">
        <v>36006</v>
      </c>
      <c r="G9018" s="18" t="str">
        <f>"11214"</f>
        <v>11214</v>
      </c>
      <c r="H9018" s="19" t="s">
        <v>36091</v>
      </c>
      <c r="I9018" s="20">
        <v>22.728000000000002</v>
      </c>
      <c r="J9018" s="44" t="s">
        <v>8</v>
      </c>
      <c r="K9018" s="23" t="s">
        <v>8</v>
      </c>
      <c r="L9018" s="23" t="s">
        <v>8</v>
      </c>
      <c r="M9018" s="23" t="s">
        <v>8</v>
      </c>
    </row>
    <row r="9019" spans="1:13" s="21" customFormat="1" x14ac:dyDescent="0.25">
      <c r="A9019" s="22" t="s">
        <v>8</v>
      </c>
      <c r="B9019" s="18" t="str">
        <f>"335657"</f>
        <v>335657</v>
      </c>
      <c r="C9019" s="19" t="s">
        <v>8890</v>
      </c>
      <c r="D9019" s="19" t="s">
        <v>24435</v>
      </c>
      <c r="E9019" s="19" t="s">
        <v>34188</v>
      </c>
      <c r="F9019" s="19" t="s">
        <v>36006</v>
      </c>
      <c r="G9019" s="18" t="str">
        <f>"10916"</f>
        <v>10916</v>
      </c>
      <c r="H9019" s="19" t="s">
        <v>31169</v>
      </c>
      <c r="I9019" s="20">
        <v>23.763000000000002</v>
      </c>
      <c r="J9019" s="44" t="s">
        <v>8</v>
      </c>
      <c r="K9019" s="23" t="s">
        <v>8</v>
      </c>
      <c r="L9019" s="23" t="s">
        <v>8</v>
      </c>
      <c r="M9019" s="23" t="s">
        <v>8</v>
      </c>
    </row>
    <row r="9020" spans="1:13" s="21" customFormat="1" x14ac:dyDescent="0.25">
      <c r="A9020" s="22" t="s">
        <v>8</v>
      </c>
      <c r="B9020" s="18" t="str">
        <f>"335658"</f>
        <v>335658</v>
      </c>
      <c r="C9020" s="19" t="s">
        <v>8891</v>
      </c>
      <c r="D9020" s="19" t="s">
        <v>24436</v>
      </c>
      <c r="E9020" s="19" t="s">
        <v>31448</v>
      </c>
      <c r="F9020" s="19" t="s">
        <v>36006</v>
      </c>
      <c r="G9020" s="18" t="str">
        <f>"13073"</f>
        <v>13073</v>
      </c>
      <c r="H9020" s="19" t="s">
        <v>36596</v>
      </c>
      <c r="I9020" s="20">
        <v>18.901</v>
      </c>
      <c r="J9020" s="44" t="s">
        <v>8</v>
      </c>
      <c r="K9020" s="23" t="s">
        <v>8</v>
      </c>
      <c r="L9020" s="23" t="s">
        <v>8</v>
      </c>
      <c r="M9020" s="23" t="s">
        <v>8</v>
      </c>
    </row>
    <row r="9021" spans="1:13" s="21" customFormat="1" x14ac:dyDescent="0.25">
      <c r="A9021" s="22" t="s">
        <v>8</v>
      </c>
      <c r="B9021" s="18" t="str">
        <f>"335659"</f>
        <v>335659</v>
      </c>
      <c r="C9021" s="19" t="s">
        <v>8892</v>
      </c>
      <c r="D9021" s="19" t="s">
        <v>24437</v>
      </c>
      <c r="E9021" s="19" t="s">
        <v>34037</v>
      </c>
      <c r="F9021" s="19" t="s">
        <v>36006</v>
      </c>
      <c r="G9021" s="18" t="str">
        <f>"10463"</f>
        <v>10463</v>
      </c>
      <c r="H9021" s="19" t="s">
        <v>34037</v>
      </c>
      <c r="I9021" s="20">
        <v>19.233000000000001</v>
      </c>
      <c r="J9021" s="44" t="s">
        <v>8</v>
      </c>
      <c r="K9021" s="23" t="s">
        <v>8</v>
      </c>
      <c r="L9021" s="23" t="s">
        <v>8</v>
      </c>
      <c r="M9021" s="23" t="s">
        <v>8</v>
      </c>
    </row>
    <row r="9022" spans="1:13" s="21" customFormat="1" x14ac:dyDescent="0.25">
      <c r="A9022" s="22" t="s">
        <v>8</v>
      </c>
      <c r="B9022" s="18" t="str">
        <f>"335661"</f>
        <v>335661</v>
      </c>
      <c r="C9022" s="19" t="s">
        <v>8893</v>
      </c>
      <c r="D9022" s="19" t="s">
        <v>24438</v>
      </c>
      <c r="E9022" s="19" t="s">
        <v>32594</v>
      </c>
      <c r="F9022" s="19" t="s">
        <v>36006</v>
      </c>
      <c r="G9022" s="18" t="str">
        <f>"14895"</f>
        <v>14895</v>
      </c>
      <c r="H9022" s="19" t="s">
        <v>34178</v>
      </c>
      <c r="I9022" s="20">
        <v>17.373000000000001</v>
      </c>
      <c r="J9022" s="44" t="s">
        <v>8</v>
      </c>
      <c r="K9022" s="23" t="s">
        <v>8</v>
      </c>
      <c r="L9022" s="23" t="s">
        <v>8</v>
      </c>
      <c r="M9022" s="23" t="s">
        <v>8</v>
      </c>
    </row>
    <row r="9023" spans="1:13" s="21" customFormat="1" x14ac:dyDescent="0.25">
      <c r="A9023" s="22" t="s">
        <v>8</v>
      </c>
      <c r="B9023" s="18" t="str">
        <f>"335662"</f>
        <v>335662</v>
      </c>
      <c r="C9023" s="19" t="s">
        <v>8894</v>
      </c>
      <c r="D9023" s="19" t="s">
        <v>24439</v>
      </c>
      <c r="E9023" s="19" t="s">
        <v>34189</v>
      </c>
      <c r="F9023" s="19" t="s">
        <v>36006</v>
      </c>
      <c r="G9023" s="18" t="str">
        <f>"14075"</f>
        <v>14075</v>
      </c>
      <c r="H9023" s="19" t="s">
        <v>34805</v>
      </c>
      <c r="I9023" s="20">
        <v>18.02</v>
      </c>
      <c r="J9023" s="44" t="s">
        <v>8</v>
      </c>
      <c r="K9023" s="23" t="s">
        <v>8</v>
      </c>
      <c r="L9023" s="23" t="s">
        <v>8</v>
      </c>
      <c r="M9023" s="23" t="s">
        <v>8</v>
      </c>
    </row>
    <row r="9024" spans="1:13" s="21" customFormat="1" x14ac:dyDescent="0.25">
      <c r="A9024" s="22" t="s">
        <v>8</v>
      </c>
      <c r="B9024" s="18" t="str">
        <f>"335663"</f>
        <v>335663</v>
      </c>
      <c r="C9024" s="19" t="s">
        <v>8895</v>
      </c>
      <c r="D9024" s="19" t="s">
        <v>24440</v>
      </c>
      <c r="E9024" s="19" t="s">
        <v>33453</v>
      </c>
      <c r="F9024" s="19" t="s">
        <v>36006</v>
      </c>
      <c r="G9024" s="18" t="str">
        <f>"14220"</f>
        <v>14220</v>
      </c>
      <c r="H9024" s="19" t="s">
        <v>34805</v>
      </c>
      <c r="I9024" s="20">
        <v>18.771000000000001</v>
      </c>
      <c r="J9024" s="44" t="s">
        <v>8</v>
      </c>
      <c r="K9024" s="23" t="s">
        <v>8</v>
      </c>
      <c r="L9024" s="23" t="s">
        <v>8</v>
      </c>
      <c r="M9024" s="23" t="s">
        <v>8</v>
      </c>
    </row>
    <row r="9025" spans="1:13" s="21" customFormat="1" x14ac:dyDescent="0.25">
      <c r="A9025" s="22" t="s">
        <v>8</v>
      </c>
      <c r="B9025" s="18" t="str">
        <f>"335665"</f>
        <v>335665</v>
      </c>
      <c r="C9025" s="19" t="s">
        <v>8896</v>
      </c>
      <c r="D9025" s="19" t="s">
        <v>24441</v>
      </c>
      <c r="E9025" s="19" t="s">
        <v>34041</v>
      </c>
      <c r="F9025" s="19" t="s">
        <v>36006</v>
      </c>
      <c r="G9025" s="18" t="str">
        <f>"10029"</f>
        <v>10029</v>
      </c>
      <c r="H9025" s="19" t="s">
        <v>34041</v>
      </c>
      <c r="I9025" s="20">
        <v>21.12</v>
      </c>
      <c r="J9025" s="44" t="s">
        <v>8</v>
      </c>
      <c r="K9025" s="23" t="s">
        <v>8</v>
      </c>
      <c r="L9025" s="23" t="s">
        <v>8</v>
      </c>
      <c r="M9025" s="23" t="s">
        <v>8</v>
      </c>
    </row>
    <row r="9026" spans="1:13" s="21" customFormat="1" x14ac:dyDescent="0.25">
      <c r="A9026" s="22" t="s">
        <v>8</v>
      </c>
      <c r="B9026" s="18" t="str">
        <f>"335666"</f>
        <v>335666</v>
      </c>
      <c r="C9026" s="19" t="s">
        <v>8897</v>
      </c>
      <c r="D9026" s="19" t="s">
        <v>24442</v>
      </c>
      <c r="E9026" s="19" t="s">
        <v>34042</v>
      </c>
      <c r="F9026" s="19" t="s">
        <v>36006</v>
      </c>
      <c r="G9026" s="18" t="str">
        <f>"11691"</f>
        <v>11691</v>
      </c>
      <c r="H9026" s="19" t="s">
        <v>36598</v>
      </c>
      <c r="I9026" s="20">
        <v>18.923999999999999</v>
      </c>
      <c r="J9026" s="44" t="s">
        <v>8</v>
      </c>
      <c r="K9026" s="23" t="s">
        <v>8</v>
      </c>
      <c r="L9026" s="23" t="s">
        <v>8</v>
      </c>
      <c r="M9026" s="23" t="s">
        <v>8</v>
      </c>
    </row>
    <row r="9027" spans="1:13" s="21" customFormat="1" x14ac:dyDescent="0.25">
      <c r="A9027" s="22" t="s">
        <v>8</v>
      </c>
      <c r="B9027" s="18" t="str">
        <f>"335668"</f>
        <v>335668</v>
      </c>
      <c r="C9027" s="19" t="s">
        <v>8898</v>
      </c>
      <c r="D9027" s="19" t="s">
        <v>24443</v>
      </c>
      <c r="E9027" s="19" t="s">
        <v>32267</v>
      </c>
      <c r="F9027" s="19" t="s">
        <v>36006</v>
      </c>
      <c r="G9027" s="18" t="str">
        <f>"14607"</f>
        <v>14607</v>
      </c>
      <c r="H9027" s="19" t="s">
        <v>31711</v>
      </c>
      <c r="I9027" s="20">
        <v>18.059000000000001</v>
      </c>
      <c r="J9027" s="44" t="s">
        <v>8</v>
      </c>
      <c r="K9027" s="23" t="s">
        <v>8</v>
      </c>
      <c r="L9027" s="23" t="s">
        <v>8</v>
      </c>
      <c r="M9027" s="23" t="s">
        <v>8</v>
      </c>
    </row>
    <row r="9028" spans="1:13" s="21" customFormat="1" x14ac:dyDescent="0.25">
      <c r="A9028" s="22" t="s">
        <v>8</v>
      </c>
      <c r="B9028" s="18" t="str">
        <f>"335669"</f>
        <v>335669</v>
      </c>
      <c r="C9028" s="19" t="s">
        <v>8899</v>
      </c>
      <c r="D9028" s="19" t="s">
        <v>24444</v>
      </c>
      <c r="E9028" s="19" t="s">
        <v>34186</v>
      </c>
      <c r="F9028" s="19" t="s">
        <v>36006</v>
      </c>
      <c r="G9028" s="18" t="str">
        <f>"14120"</f>
        <v>14120</v>
      </c>
      <c r="H9028" s="19" t="s">
        <v>35632</v>
      </c>
      <c r="I9028" s="20">
        <v>18.702000000000002</v>
      </c>
      <c r="J9028" s="44" t="s">
        <v>8</v>
      </c>
      <c r="K9028" s="23" t="s">
        <v>8</v>
      </c>
      <c r="L9028" s="23" t="s">
        <v>8</v>
      </c>
      <c r="M9028" s="23" t="s">
        <v>8</v>
      </c>
    </row>
    <row r="9029" spans="1:13" s="21" customFormat="1" x14ac:dyDescent="0.25">
      <c r="A9029" s="22" t="s">
        <v>8</v>
      </c>
      <c r="B9029" s="18" t="str">
        <f>"335670"</f>
        <v>335670</v>
      </c>
      <c r="C9029" s="19" t="s">
        <v>8900</v>
      </c>
      <c r="D9029" s="19" t="s">
        <v>24445</v>
      </c>
      <c r="E9029" s="19" t="s">
        <v>30926</v>
      </c>
      <c r="F9029" s="19" t="s">
        <v>36006</v>
      </c>
      <c r="G9029" s="18" t="str">
        <f>"13021"</f>
        <v>13021</v>
      </c>
      <c r="H9029" s="19" t="s">
        <v>36597</v>
      </c>
      <c r="I9029" s="20">
        <v>19.295000000000002</v>
      </c>
      <c r="J9029" s="44" t="s">
        <v>8</v>
      </c>
      <c r="K9029" s="23" t="s">
        <v>8</v>
      </c>
      <c r="L9029" s="23" t="s">
        <v>8</v>
      </c>
      <c r="M9029" s="23" t="s">
        <v>8</v>
      </c>
    </row>
    <row r="9030" spans="1:13" s="21" customFormat="1" x14ac:dyDescent="0.25">
      <c r="A9030" s="22" t="s">
        <v>8</v>
      </c>
      <c r="B9030" s="18" t="str">
        <f>"335672"</f>
        <v>335672</v>
      </c>
      <c r="C9030" s="19" t="s">
        <v>8901</v>
      </c>
      <c r="D9030" s="19" t="s">
        <v>24446</v>
      </c>
      <c r="E9030" s="19" t="s">
        <v>34159</v>
      </c>
      <c r="F9030" s="19" t="s">
        <v>36006</v>
      </c>
      <c r="G9030" s="18" t="str">
        <f>"13350"</f>
        <v>13350</v>
      </c>
      <c r="H9030" s="19" t="s">
        <v>34159</v>
      </c>
      <c r="I9030" s="20">
        <v>18.559999999999999</v>
      </c>
      <c r="J9030" s="44" t="s">
        <v>8</v>
      </c>
      <c r="K9030" s="23" t="s">
        <v>8</v>
      </c>
      <c r="L9030" s="23" t="s">
        <v>8</v>
      </c>
      <c r="M9030" s="23" t="s">
        <v>8</v>
      </c>
    </row>
    <row r="9031" spans="1:13" s="21" customFormat="1" x14ac:dyDescent="0.25">
      <c r="A9031" s="22" t="s">
        <v>8</v>
      </c>
      <c r="B9031" s="18" t="str">
        <f>"335673"</f>
        <v>335673</v>
      </c>
      <c r="C9031" s="19" t="s">
        <v>8902</v>
      </c>
      <c r="D9031" s="19" t="s">
        <v>24447</v>
      </c>
      <c r="E9031" s="19" t="s">
        <v>31443</v>
      </c>
      <c r="F9031" s="19" t="s">
        <v>36006</v>
      </c>
      <c r="G9031" s="18" t="str">
        <f>"11236"</f>
        <v>11236</v>
      </c>
      <c r="H9031" s="19" t="s">
        <v>36091</v>
      </c>
      <c r="I9031" s="20">
        <v>19.863</v>
      </c>
      <c r="J9031" s="44" t="s">
        <v>8</v>
      </c>
      <c r="K9031" s="23" t="s">
        <v>8</v>
      </c>
      <c r="L9031" s="23" t="s">
        <v>8</v>
      </c>
      <c r="M9031" s="23" t="s">
        <v>8</v>
      </c>
    </row>
    <row r="9032" spans="1:13" s="21" customFormat="1" x14ac:dyDescent="0.25">
      <c r="A9032" s="22" t="s">
        <v>8</v>
      </c>
      <c r="B9032" s="18" t="str">
        <f>"335674"</f>
        <v>335674</v>
      </c>
      <c r="C9032" s="19" t="s">
        <v>8903</v>
      </c>
      <c r="D9032" s="19" t="s">
        <v>24448</v>
      </c>
      <c r="E9032" s="19" t="s">
        <v>34190</v>
      </c>
      <c r="F9032" s="19" t="s">
        <v>36006</v>
      </c>
      <c r="G9032" s="18" t="str">
        <f>"11767"</f>
        <v>11767</v>
      </c>
      <c r="H9032" s="19" t="s">
        <v>35389</v>
      </c>
      <c r="I9032" s="20">
        <v>18.189</v>
      </c>
      <c r="J9032" s="44" t="s">
        <v>8</v>
      </c>
      <c r="K9032" s="23" t="s">
        <v>8</v>
      </c>
      <c r="L9032" s="23" t="s">
        <v>8</v>
      </c>
      <c r="M9032" s="23" t="s">
        <v>8</v>
      </c>
    </row>
    <row r="9033" spans="1:13" s="21" customFormat="1" x14ac:dyDescent="0.25">
      <c r="A9033" s="22" t="s">
        <v>8</v>
      </c>
      <c r="B9033" s="18" t="str">
        <f>"335675"</f>
        <v>335675</v>
      </c>
      <c r="C9033" s="19" t="s">
        <v>8904</v>
      </c>
      <c r="D9033" s="19" t="s">
        <v>24449</v>
      </c>
      <c r="E9033" s="19" t="s">
        <v>34126</v>
      </c>
      <c r="F9033" s="19" t="s">
        <v>36006</v>
      </c>
      <c r="G9033" s="18" t="str">
        <f>"13790"</f>
        <v>13790</v>
      </c>
      <c r="H9033" s="19" t="s">
        <v>36600</v>
      </c>
      <c r="I9033" s="20">
        <v>19.216999999999999</v>
      </c>
      <c r="J9033" s="44" t="s">
        <v>8</v>
      </c>
      <c r="K9033" s="23" t="s">
        <v>8</v>
      </c>
      <c r="L9033" s="23" t="s">
        <v>8</v>
      </c>
      <c r="M9033" s="23" t="s">
        <v>8</v>
      </c>
    </row>
    <row r="9034" spans="1:13" s="21" customFormat="1" x14ac:dyDescent="0.25">
      <c r="A9034" s="22" t="s">
        <v>8</v>
      </c>
      <c r="B9034" s="18" t="str">
        <f>"335676"</f>
        <v>335676</v>
      </c>
      <c r="C9034" s="19" t="s">
        <v>8905</v>
      </c>
      <c r="D9034" s="19" t="s">
        <v>24450</v>
      </c>
      <c r="E9034" s="19" t="s">
        <v>34042</v>
      </c>
      <c r="F9034" s="19" t="s">
        <v>36006</v>
      </c>
      <c r="G9034" s="18" t="str">
        <f>"11691"</f>
        <v>11691</v>
      </c>
      <c r="H9034" s="19" t="s">
        <v>36598</v>
      </c>
      <c r="I9034" s="20">
        <v>18.998000000000001</v>
      </c>
      <c r="J9034" s="44" t="s">
        <v>8</v>
      </c>
      <c r="K9034" s="23" t="s">
        <v>8</v>
      </c>
      <c r="L9034" s="23" t="s">
        <v>8</v>
      </c>
      <c r="M9034" s="23" t="s">
        <v>8</v>
      </c>
    </row>
    <row r="9035" spans="1:13" s="21" customFormat="1" x14ac:dyDescent="0.25">
      <c r="A9035" s="22" t="s">
        <v>8</v>
      </c>
      <c r="B9035" s="18" t="str">
        <f>"335677"</f>
        <v>335677</v>
      </c>
      <c r="C9035" s="19" t="s">
        <v>8906</v>
      </c>
      <c r="D9035" s="19" t="s">
        <v>24451</v>
      </c>
      <c r="E9035" s="19" t="s">
        <v>31443</v>
      </c>
      <c r="F9035" s="19" t="s">
        <v>36006</v>
      </c>
      <c r="G9035" s="18" t="str">
        <f>"11235"</f>
        <v>11235</v>
      </c>
      <c r="H9035" s="19" t="s">
        <v>36091</v>
      </c>
      <c r="I9035" s="20">
        <v>24.094000000000001</v>
      </c>
      <c r="J9035" s="44" t="s">
        <v>8</v>
      </c>
      <c r="K9035" s="23" t="s">
        <v>8</v>
      </c>
      <c r="L9035" s="23" t="s">
        <v>8</v>
      </c>
      <c r="M9035" s="23" t="s">
        <v>8</v>
      </c>
    </row>
    <row r="9036" spans="1:13" s="21" customFormat="1" x14ac:dyDescent="0.25">
      <c r="A9036" s="22" t="s">
        <v>8</v>
      </c>
      <c r="B9036" s="18" t="str">
        <f>"335678"</f>
        <v>335678</v>
      </c>
      <c r="C9036" s="19" t="s">
        <v>8907</v>
      </c>
      <c r="D9036" s="19" t="s">
        <v>24452</v>
      </c>
      <c r="E9036" s="19" t="s">
        <v>34191</v>
      </c>
      <c r="F9036" s="19" t="s">
        <v>36006</v>
      </c>
      <c r="G9036" s="18" t="str">
        <f>"13088"</f>
        <v>13088</v>
      </c>
      <c r="H9036" s="19" t="s">
        <v>36602</v>
      </c>
      <c r="I9036" s="20">
        <v>17.745999999999999</v>
      </c>
      <c r="J9036" s="44" t="s">
        <v>8</v>
      </c>
      <c r="K9036" s="23" t="s">
        <v>8</v>
      </c>
      <c r="L9036" s="23" t="s">
        <v>8</v>
      </c>
      <c r="M9036" s="23" t="s">
        <v>8</v>
      </c>
    </row>
    <row r="9037" spans="1:13" s="21" customFormat="1" x14ac:dyDescent="0.25">
      <c r="A9037" s="22" t="s">
        <v>8</v>
      </c>
      <c r="B9037" s="18" t="str">
        <f>"335679"</f>
        <v>335679</v>
      </c>
      <c r="C9037" s="19" t="s">
        <v>8908</v>
      </c>
      <c r="D9037" s="19" t="s">
        <v>24453</v>
      </c>
      <c r="E9037" s="19" t="s">
        <v>34189</v>
      </c>
      <c r="F9037" s="19" t="s">
        <v>36006</v>
      </c>
      <c r="G9037" s="18" t="str">
        <f>"14075"</f>
        <v>14075</v>
      </c>
      <c r="H9037" s="19" t="s">
        <v>34805</v>
      </c>
      <c r="I9037" s="20">
        <v>16.404</v>
      </c>
      <c r="J9037" s="44" t="s">
        <v>8</v>
      </c>
      <c r="K9037" s="23" t="s">
        <v>8</v>
      </c>
      <c r="L9037" s="23" t="s">
        <v>8</v>
      </c>
      <c r="M9037" s="23" t="s">
        <v>8</v>
      </c>
    </row>
    <row r="9038" spans="1:13" s="21" customFormat="1" x14ac:dyDescent="0.25">
      <c r="A9038" s="22" t="s">
        <v>8</v>
      </c>
      <c r="B9038" s="18" t="str">
        <f>"335680"</f>
        <v>335680</v>
      </c>
      <c r="C9038" s="19" t="s">
        <v>8909</v>
      </c>
      <c r="D9038" s="19" t="s">
        <v>24454</v>
      </c>
      <c r="E9038" s="19" t="s">
        <v>30815</v>
      </c>
      <c r="F9038" s="19" t="s">
        <v>36006</v>
      </c>
      <c r="G9038" s="18" t="str">
        <f>"12180"</f>
        <v>12180</v>
      </c>
      <c r="H9038" s="19" t="s">
        <v>32254</v>
      </c>
      <c r="I9038" s="20">
        <v>18.731999999999999</v>
      </c>
      <c r="J9038" s="44" t="s">
        <v>8</v>
      </c>
      <c r="K9038" s="23" t="s">
        <v>8</v>
      </c>
      <c r="L9038" s="23" t="s">
        <v>8</v>
      </c>
      <c r="M9038" s="23" t="s">
        <v>8</v>
      </c>
    </row>
    <row r="9039" spans="1:13" s="21" customFormat="1" x14ac:dyDescent="0.25">
      <c r="A9039" s="22" t="s">
        <v>8</v>
      </c>
      <c r="B9039" s="18" t="str">
        <f>"335681"</f>
        <v>335681</v>
      </c>
      <c r="C9039" s="19" t="s">
        <v>8910</v>
      </c>
      <c r="D9039" s="19" t="s">
        <v>24455</v>
      </c>
      <c r="E9039" s="19" t="s">
        <v>34053</v>
      </c>
      <c r="F9039" s="19" t="s">
        <v>36006</v>
      </c>
      <c r="G9039" s="18" t="str">
        <f>"11704"</f>
        <v>11704</v>
      </c>
      <c r="H9039" s="19" t="s">
        <v>35389</v>
      </c>
      <c r="I9039" s="20">
        <v>22.027999999999999</v>
      </c>
      <c r="J9039" s="44" t="s">
        <v>8</v>
      </c>
      <c r="K9039" s="23" t="s">
        <v>8</v>
      </c>
      <c r="L9039" s="23" t="s">
        <v>8</v>
      </c>
      <c r="M9039" s="23" t="s">
        <v>8</v>
      </c>
    </row>
    <row r="9040" spans="1:13" s="21" customFormat="1" x14ac:dyDescent="0.25">
      <c r="A9040" s="22" t="s">
        <v>8</v>
      </c>
      <c r="B9040" s="18" t="str">
        <f>"335682"</f>
        <v>335682</v>
      </c>
      <c r="C9040" s="19" t="s">
        <v>8911</v>
      </c>
      <c r="D9040" s="19" t="s">
        <v>24456</v>
      </c>
      <c r="E9040" s="19" t="s">
        <v>34042</v>
      </c>
      <c r="F9040" s="19" t="s">
        <v>36006</v>
      </c>
      <c r="G9040" s="18" t="str">
        <f>"11691"</f>
        <v>11691</v>
      </c>
      <c r="H9040" s="19" t="s">
        <v>36598</v>
      </c>
      <c r="I9040" s="20">
        <v>21.768999999999998</v>
      </c>
      <c r="J9040" s="44" t="s">
        <v>8</v>
      </c>
      <c r="K9040" s="23" t="s">
        <v>8</v>
      </c>
      <c r="L9040" s="23" t="s">
        <v>8</v>
      </c>
      <c r="M9040" s="23" t="s">
        <v>8</v>
      </c>
    </row>
    <row r="9041" spans="1:13" s="21" customFormat="1" x14ac:dyDescent="0.25">
      <c r="A9041" s="22" t="s">
        <v>8</v>
      </c>
      <c r="B9041" s="18" t="str">
        <f>"335683"</f>
        <v>335683</v>
      </c>
      <c r="C9041" s="19" t="s">
        <v>8912</v>
      </c>
      <c r="D9041" s="19" t="s">
        <v>24457</v>
      </c>
      <c r="E9041" s="19" t="s">
        <v>32231</v>
      </c>
      <c r="F9041" s="19" t="s">
        <v>36006</v>
      </c>
      <c r="G9041" s="18" t="str">
        <f>"14787"</f>
        <v>14787</v>
      </c>
      <c r="H9041" s="19" t="s">
        <v>36302</v>
      </c>
      <c r="I9041" s="20">
        <v>19.093</v>
      </c>
      <c r="J9041" s="44" t="s">
        <v>8</v>
      </c>
      <c r="K9041" s="23" t="s">
        <v>8</v>
      </c>
      <c r="L9041" s="23" t="s">
        <v>8</v>
      </c>
      <c r="M9041" s="23" t="s">
        <v>8</v>
      </c>
    </row>
    <row r="9042" spans="1:13" s="21" customFormat="1" x14ac:dyDescent="0.25">
      <c r="A9042" s="22" t="s">
        <v>8</v>
      </c>
      <c r="B9042" s="18" t="str">
        <f>"335684"</f>
        <v>335684</v>
      </c>
      <c r="C9042" s="19" t="s">
        <v>8913</v>
      </c>
      <c r="D9042" s="19" t="s">
        <v>24458</v>
      </c>
      <c r="E9042" s="19" t="s">
        <v>32233</v>
      </c>
      <c r="F9042" s="19" t="s">
        <v>36006</v>
      </c>
      <c r="G9042" s="18" t="str">
        <f>"10924"</f>
        <v>10924</v>
      </c>
      <c r="H9042" s="19" t="s">
        <v>31169</v>
      </c>
      <c r="I9042" s="20">
        <v>19.925000000000001</v>
      </c>
      <c r="J9042" s="44" t="s">
        <v>8</v>
      </c>
      <c r="K9042" s="23" t="s">
        <v>8</v>
      </c>
      <c r="L9042" s="23" t="s">
        <v>8</v>
      </c>
      <c r="M9042" s="23" t="s">
        <v>8</v>
      </c>
    </row>
    <row r="9043" spans="1:13" s="21" customFormat="1" x14ac:dyDescent="0.25">
      <c r="A9043" s="22" t="s">
        <v>8</v>
      </c>
      <c r="B9043" s="18" t="str">
        <f>"335685"</f>
        <v>335685</v>
      </c>
      <c r="C9043" s="19" t="s">
        <v>8914</v>
      </c>
      <c r="D9043" s="19" t="s">
        <v>24459</v>
      </c>
      <c r="E9043" s="19" t="s">
        <v>34192</v>
      </c>
      <c r="F9043" s="19" t="s">
        <v>36006</v>
      </c>
      <c r="G9043" s="18" t="str">
        <f>"13428"</f>
        <v>13428</v>
      </c>
      <c r="H9043" s="19" t="s">
        <v>30833</v>
      </c>
      <c r="I9043" s="20">
        <v>18.594999999999999</v>
      </c>
      <c r="J9043" s="44" t="s">
        <v>8</v>
      </c>
      <c r="K9043" s="23" t="s">
        <v>8</v>
      </c>
      <c r="L9043" s="23" t="s">
        <v>8</v>
      </c>
      <c r="M9043" s="23" t="s">
        <v>8</v>
      </c>
    </row>
    <row r="9044" spans="1:13" s="21" customFormat="1" x14ac:dyDescent="0.25">
      <c r="A9044" s="22" t="s">
        <v>8</v>
      </c>
      <c r="B9044" s="18" t="str">
        <f>"335687"</f>
        <v>335687</v>
      </c>
      <c r="C9044" s="19" t="s">
        <v>8915</v>
      </c>
      <c r="D9044" s="19" t="s">
        <v>24460</v>
      </c>
      <c r="E9044" s="19" t="s">
        <v>34193</v>
      </c>
      <c r="F9044" s="19" t="s">
        <v>36006</v>
      </c>
      <c r="G9044" s="18" t="str">
        <f>"10578"</f>
        <v>10578</v>
      </c>
      <c r="H9044" s="19" t="s">
        <v>32061</v>
      </c>
      <c r="I9044" s="20">
        <v>17.923999999999999</v>
      </c>
      <c r="J9044" s="44" t="s">
        <v>8</v>
      </c>
      <c r="K9044" s="23" t="s">
        <v>8</v>
      </c>
      <c r="L9044" s="23" t="s">
        <v>8</v>
      </c>
      <c r="M9044" s="23" t="s">
        <v>8</v>
      </c>
    </row>
    <row r="9045" spans="1:13" s="21" customFormat="1" x14ac:dyDescent="0.25">
      <c r="A9045" s="22" t="s">
        <v>8</v>
      </c>
      <c r="B9045" s="18" t="str">
        <f>"335688"</f>
        <v>335688</v>
      </c>
      <c r="C9045" s="19" t="s">
        <v>8916</v>
      </c>
      <c r="D9045" s="19" t="s">
        <v>24461</v>
      </c>
      <c r="E9045" s="19" t="s">
        <v>34084</v>
      </c>
      <c r="F9045" s="19" t="s">
        <v>36006</v>
      </c>
      <c r="G9045" s="18" t="str">
        <f>"11901"</f>
        <v>11901</v>
      </c>
      <c r="H9045" s="19" t="s">
        <v>35389</v>
      </c>
      <c r="I9045" s="20">
        <v>19.803000000000001</v>
      </c>
      <c r="J9045" s="44" t="s">
        <v>8</v>
      </c>
      <c r="K9045" s="23" t="s">
        <v>8</v>
      </c>
      <c r="L9045" s="23" t="s">
        <v>8</v>
      </c>
      <c r="M9045" s="23" t="s">
        <v>8</v>
      </c>
    </row>
    <row r="9046" spans="1:13" s="21" customFormat="1" x14ac:dyDescent="0.25">
      <c r="A9046" s="22" t="s">
        <v>8</v>
      </c>
      <c r="B9046" s="18" t="str">
        <f>"335690"</f>
        <v>335690</v>
      </c>
      <c r="C9046" s="19" t="s">
        <v>8917</v>
      </c>
      <c r="D9046" s="19" t="s">
        <v>24462</v>
      </c>
      <c r="E9046" s="19" t="s">
        <v>33348</v>
      </c>
      <c r="F9046" s="19" t="s">
        <v>36006</v>
      </c>
      <c r="G9046" s="18" t="str">
        <f>"11797"</f>
        <v>11797</v>
      </c>
      <c r="H9046" s="19" t="s">
        <v>36144</v>
      </c>
      <c r="I9046" s="20">
        <v>18.192</v>
      </c>
      <c r="J9046" s="44" t="s">
        <v>8</v>
      </c>
      <c r="K9046" s="23" t="s">
        <v>8</v>
      </c>
      <c r="L9046" s="23" t="s">
        <v>8</v>
      </c>
      <c r="M9046" s="23" t="s">
        <v>8</v>
      </c>
    </row>
    <row r="9047" spans="1:13" s="21" customFormat="1" x14ac:dyDescent="0.25">
      <c r="A9047" s="22" t="s">
        <v>8</v>
      </c>
      <c r="B9047" s="18" t="str">
        <f>"335691"</f>
        <v>335691</v>
      </c>
      <c r="C9047" s="19" t="s">
        <v>8918</v>
      </c>
      <c r="D9047" s="19" t="s">
        <v>24463</v>
      </c>
      <c r="E9047" s="19" t="s">
        <v>34106</v>
      </c>
      <c r="F9047" s="19" t="s">
        <v>36006</v>
      </c>
      <c r="G9047" s="18" t="str">
        <f>"14843"</f>
        <v>14843</v>
      </c>
      <c r="H9047" s="19" t="s">
        <v>36262</v>
      </c>
      <c r="I9047" s="20">
        <v>19.279</v>
      </c>
      <c r="J9047" s="44" t="s">
        <v>8</v>
      </c>
      <c r="K9047" s="23" t="s">
        <v>8</v>
      </c>
      <c r="L9047" s="23" t="s">
        <v>8</v>
      </c>
      <c r="M9047" s="23" t="s">
        <v>8</v>
      </c>
    </row>
    <row r="9048" spans="1:13" s="21" customFormat="1" x14ac:dyDescent="0.25">
      <c r="A9048" s="22" t="s">
        <v>8</v>
      </c>
      <c r="B9048" s="18" t="str">
        <f>"335692"</f>
        <v>335692</v>
      </c>
      <c r="C9048" s="19" t="s">
        <v>8919</v>
      </c>
      <c r="D9048" s="19" t="s">
        <v>24464</v>
      </c>
      <c r="E9048" s="19" t="s">
        <v>34194</v>
      </c>
      <c r="F9048" s="19" t="s">
        <v>36006</v>
      </c>
      <c r="G9048" s="18" t="str">
        <f>"12771"</f>
        <v>12771</v>
      </c>
      <c r="H9048" s="19" t="s">
        <v>31976</v>
      </c>
      <c r="I9048" s="20">
        <v>15.284000000000001</v>
      </c>
      <c r="J9048" s="44" t="s">
        <v>8</v>
      </c>
      <c r="K9048" s="23" t="s">
        <v>8</v>
      </c>
      <c r="L9048" s="23" t="s">
        <v>8</v>
      </c>
      <c r="M9048" s="23" t="s">
        <v>8</v>
      </c>
    </row>
    <row r="9049" spans="1:13" s="21" customFormat="1" x14ac:dyDescent="0.25">
      <c r="A9049" s="22" t="s">
        <v>8</v>
      </c>
      <c r="B9049" s="18" t="str">
        <f>"335693"</f>
        <v>335693</v>
      </c>
      <c r="C9049" s="19" t="s">
        <v>8920</v>
      </c>
      <c r="D9049" s="19" t="s">
        <v>24465</v>
      </c>
      <c r="E9049" s="19" t="s">
        <v>32254</v>
      </c>
      <c r="F9049" s="19" t="s">
        <v>36006</v>
      </c>
      <c r="G9049" s="18" t="str">
        <f>"12144"</f>
        <v>12144</v>
      </c>
      <c r="H9049" s="19" t="s">
        <v>32254</v>
      </c>
      <c r="I9049" s="20">
        <v>24.606000000000002</v>
      </c>
      <c r="J9049" s="44" t="s">
        <v>8</v>
      </c>
      <c r="K9049" s="23" t="s">
        <v>8</v>
      </c>
      <c r="L9049" s="23" t="s">
        <v>8</v>
      </c>
      <c r="M9049" s="23" t="s">
        <v>8</v>
      </c>
    </row>
    <row r="9050" spans="1:13" s="21" customFormat="1" x14ac:dyDescent="0.25">
      <c r="A9050" s="22" t="s">
        <v>8</v>
      </c>
      <c r="B9050" s="18" t="str">
        <f>"335694"</f>
        <v>335694</v>
      </c>
      <c r="C9050" s="19" t="s">
        <v>8921</v>
      </c>
      <c r="D9050" s="19" t="s">
        <v>24466</v>
      </c>
      <c r="E9050" s="19" t="s">
        <v>34195</v>
      </c>
      <c r="F9050" s="19" t="s">
        <v>36006</v>
      </c>
      <c r="G9050" s="18" t="str">
        <f>"11772"</f>
        <v>11772</v>
      </c>
      <c r="H9050" s="19" t="s">
        <v>35389</v>
      </c>
      <c r="I9050" s="20">
        <v>21.689</v>
      </c>
      <c r="J9050" s="44" t="s">
        <v>8</v>
      </c>
      <c r="K9050" s="23" t="s">
        <v>8</v>
      </c>
      <c r="L9050" s="23" t="s">
        <v>8</v>
      </c>
      <c r="M9050" s="23" t="s">
        <v>8</v>
      </c>
    </row>
    <row r="9051" spans="1:13" s="21" customFormat="1" x14ac:dyDescent="0.25">
      <c r="A9051" s="22" t="s">
        <v>8</v>
      </c>
      <c r="B9051" s="18" t="str">
        <f>"335695"</f>
        <v>335695</v>
      </c>
      <c r="C9051" s="19" t="s">
        <v>8922</v>
      </c>
      <c r="D9051" s="19" t="s">
        <v>24467</v>
      </c>
      <c r="E9051" s="19" t="s">
        <v>34037</v>
      </c>
      <c r="F9051" s="19" t="s">
        <v>36006</v>
      </c>
      <c r="G9051" s="18" t="str">
        <f>"10463"</f>
        <v>10463</v>
      </c>
      <c r="H9051" s="19" t="s">
        <v>34037</v>
      </c>
      <c r="I9051" s="20">
        <v>21.2</v>
      </c>
      <c r="J9051" s="44" t="s">
        <v>8</v>
      </c>
      <c r="K9051" s="23" t="s">
        <v>8</v>
      </c>
      <c r="L9051" s="23" t="s">
        <v>8</v>
      </c>
      <c r="M9051" s="23" t="s">
        <v>8</v>
      </c>
    </row>
    <row r="9052" spans="1:13" s="21" customFormat="1" x14ac:dyDescent="0.25">
      <c r="A9052" s="22" t="s">
        <v>8</v>
      </c>
      <c r="B9052" s="18" t="str">
        <f>"335696"</f>
        <v>335696</v>
      </c>
      <c r="C9052" s="19" t="s">
        <v>8923</v>
      </c>
      <c r="D9052" s="19" t="s">
        <v>24468</v>
      </c>
      <c r="E9052" s="19" t="s">
        <v>34196</v>
      </c>
      <c r="F9052" s="19" t="s">
        <v>36006</v>
      </c>
      <c r="G9052" s="18" t="str">
        <f>"11725"</f>
        <v>11725</v>
      </c>
      <c r="H9052" s="19" t="s">
        <v>35389</v>
      </c>
      <c r="I9052" s="20">
        <v>16.074999999999999</v>
      </c>
      <c r="J9052" s="44" t="s">
        <v>8</v>
      </c>
      <c r="K9052" s="23" t="s">
        <v>8</v>
      </c>
      <c r="L9052" s="23" t="s">
        <v>8</v>
      </c>
      <c r="M9052" s="23" t="s">
        <v>8</v>
      </c>
    </row>
    <row r="9053" spans="1:13" s="21" customFormat="1" x14ac:dyDescent="0.25">
      <c r="A9053" s="22" t="s">
        <v>8</v>
      </c>
      <c r="B9053" s="18" t="str">
        <f>"335697"</f>
        <v>335697</v>
      </c>
      <c r="C9053" s="19" t="s">
        <v>8924</v>
      </c>
      <c r="D9053" s="19" t="s">
        <v>24469</v>
      </c>
      <c r="E9053" s="19" t="s">
        <v>34197</v>
      </c>
      <c r="F9053" s="19" t="s">
        <v>36006</v>
      </c>
      <c r="G9053" s="18" t="str">
        <f>"12047"</f>
        <v>12047</v>
      </c>
      <c r="H9053" s="19" t="s">
        <v>31834</v>
      </c>
      <c r="I9053" s="20">
        <v>16.411000000000001</v>
      </c>
      <c r="J9053" s="44" t="s">
        <v>8</v>
      </c>
      <c r="K9053" s="23" t="s">
        <v>8</v>
      </c>
      <c r="L9053" s="23" t="s">
        <v>8</v>
      </c>
      <c r="M9053" s="23" t="s">
        <v>8</v>
      </c>
    </row>
    <row r="9054" spans="1:13" s="21" customFormat="1" x14ac:dyDescent="0.25">
      <c r="A9054" s="22" t="s">
        <v>8</v>
      </c>
      <c r="B9054" s="18" t="str">
        <f>"335700"</f>
        <v>335700</v>
      </c>
      <c r="C9054" s="19" t="s">
        <v>8925</v>
      </c>
      <c r="D9054" s="19" t="s">
        <v>24470</v>
      </c>
      <c r="E9054" s="19" t="s">
        <v>34198</v>
      </c>
      <c r="F9054" s="19" t="s">
        <v>36006</v>
      </c>
      <c r="G9054" s="18" t="str">
        <f>"11580"</f>
        <v>11580</v>
      </c>
      <c r="H9054" s="19" t="s">
        <v>36144</v>
      </c>
      <c r="I9054" s="20">
        <v>24.184000000000001</v>
      </c>
      <c r="J9054" s="44" t="s">
        <v>8</v>
      </c>
      <c r="K9054" s="23" t="s">
        <v>8</v>
      </c>
      <c r="L9054" s="23" t="s">
        <v>8</v>
      </c>
      <c r="M9054" s="23" t="s">
        <v>8</v>
      </c>
    </row>
    <row r="9055" spans="1:13" s="21" customFormat="1" x14ac:dyDescent="0.25">
      <c r="A9055" s="22" t="s">
        <v>8</v>
      </c>
      <c r="B9055" s="18" t="str">
        <f>"335701"</f>
        <v>335701</v>
      </c>
      <c r="C9055" s="19" t="s">
        <v>8926</v>
      </c>
      <c r="D9055" s="19" t="s">
        <v>24471</v>
      </c>
      <c r="E9055" s="19" t="s">
        <v>34199</v>
      </c>
      <c r="F9055" s="19" t="s">
        <v>36006</v>
      </c>
      <c r="G9055" s="18" t="str">
        <f>"12309"</f>
        <v>12309</v>
      </c>
      <c r="H9055" s="19" t="s">
        <v>34038</v>
      </c>
      <c r="I9055" s="20">
        <v>20.504000000000001</v>
      </c>
      <c r="J9055" s="44" t="s">
        <v>8</v>
      </c>
      <c r="K9055" s="23" t="s">
        <v>8</v>
      </c>
      <c r="L9055" s="23" t="s">
        <v>8</v>
      </c>
      <c r="M9055" s="23" t="s">
        <v>8</v>
      </c>
    </row>
    <row r="9056" spans="1:13" s="21" customFormat="1" x14ac:dyDescent="0.25">
      <c r="A9056" s="22" t="s">
        <v>8</v>
      </c>
      <c r="B9056" s="18" t="str">
        <f>"335702"</f>
        <v>335702</v>
      </c>
      <c r="C9056" s="19" t="s">
        <v>8927</v>
      </c>
      <c r="D9056" s="19" t="s">
        <v>24472</v>
      </c>
      <c r="E9056" s="19" t="s">
        <v>34200</v>
      </c>
      <c r="F9056" s="19" t="s">
        <v>36006</v>
      </c>
      <c r="G9056" s="18" t="str">
        <f>"11030"</f>
        <v>11030</v>
      </c>
      <c r="H9056" s="19" t="s">
        <v>36144</v>
      </c>
      <c r="I9056" s="20">
        <v>19.61</v>
      </c>
      <c r="J9056" s="44" t="s">
        <v>8</v>
      </c>
      <c r="K9056" s="23" t="s">
        <v>8</v>
      </c>
      <c r="L9056" s="23" t="s">
        <v>8</v>
      </c>
      <c r="M9056" s="23" t="s">
        <v>8</v>
      </c>
    </row>
    <row r="9057" spans="1:13" s="21" customFormat="1" x14ac:dyDescent="0.25">
      <c r="A9057" s="22" t="s">
        <v>8</v>
      </c>
      <c r="B9057" s="18" t="str">
        <f>"335703"</f>
        <v>335703</v>
      </c>
      <c r="C9057" s="19" t="s">
        <v>8928</v>
      </c>
      <c r="D9057" s="19" t="s">
        <v>24473</v>
      </c>
      <c r="E9057" s="19" t="s">
        <v>31443</v>
      </c>
      <c r="F9057" s="19" t="s">
        <v>36006</v>
      </c>
      <c r="G9057" s="18" t="str">
        <f>"11207"</f>
        <v>11207</v>
      </c>
      <c r="H9057" s="19" t="s">
        <v>36091</v>
      </c>
      <c r="I9057" s="20">
        <v>20.138000000000002</v>
      </c>
      <c r="J9057" s="44" t="s">
        <v>8</v>
      </c>
      <c r="K9057" s="23" t="s">
        <v>8</v>
      </c>
      <c r="L9057" s="23" t="s">
        <v>8</v>
      </c>
      <c r="M9057" s="23" t="s">
        <v>8</v>
      </c>
    </row>
    <row r="9058" spans="1:13" s="21" customFormat="1" x14ac:dyDescent="0.25">
      <c r="A9058" s="22" t="s">
        <v>8</v>
      </c>
      <c r="B9058" s="18" t="str">
        <f>"335704"</f>
        <v>335704</v>
      </c>
      <c r="C9058" s="19" t="s">
        <v>8929</v>
      </c>
      <c r="D9058" s="19" t="s">
        <v>24474</v>
      </c>
      <c r="E9058" s="19" t="s">
        <v>34201</v>
      </c>
      <c r="F9058" s="19" t="s">
        <v>36006</v>
      </c>
      <c r="G9058" s="18" t="str">
        <f>"13452"</f>
        <v>13452</v>
      </c>
      <c r="H9058" s="19" t="s">
        <v>30833</v>
      </c>
      <c r="I9058" s="20">
        <v>19.408999999999999</v>
      </c>
      <c r="J9058" s="44" t="s">
        <v>8</v>
      </c>
      <c r="K9058" s="23" t="s">
        <v>8</v>
      </c>
      <c r="L9058" s="23" t="s">
        <v>8</v>
      </c>
      <c r="M9058" s="23" t="s">
        <v>8</v>
      </c>
    </row>
    <row r="9059" spans="1:13" s="21" customFormat="1" x14ac:dyDescent="0.25">
      <c r="A9059" s="22" t="s">
        <v>8</v>
      </c>
      <c r="B9059" s="18" t="str">
        <f>"335705"</f>
        <v>335705</v>
      </c>
      <c r="C9059" s="19" t="s">
        <v>8930</v>
      </c>
      <c r="D9059" s="19" t="s">
        <v>24475</v>
      </c>
      <c r="E9059" s="19" t="s">
        <v>34038</v>
      </c>
      <c r="F9059" s="19" t="s">
        <v>36006</v>
      </c>
      <c r="G9059" s="18" t="str">
        <f>"12304"</f>
        <v>12304</v>
      </c>
      <c r="H9059" s="19" t="s">
        <v>34038</v>
      </c>
      <c r="I9059" s="20">
        <v>18.242000000000001</v>
      </c>
      <c r="J9059" s="44" t="s">
        <v>8</v>
      </c>
      <c r="K9059" s="23" t="s">
        <v>8</v>
      </c>
      <c r="L9059" s="23" t="s">
        <v>8</v>
      </c>
      <c r="M9059" s="23" t="s">
        <v>8</v>
      </c>
    </row>
    <row r="9060" spans="1:13" s="21" customFormat="1" x14ac:dyDescent="0.25">
      <c r="A9060" s="22" t="s">
        <v>8</v>
      </c>
      <c r="B9060" s="18" t="str">
        <f>"335706"</f>
        <v>335706</v>
      </c>
      <c r="C9060" s="19" t="s">
        <v>8931</v>
      </c>
      <c r="D9060" s="19" t="s">
        <v>23987</v>
      </c>
      <c r="E9060" s="19" t="s">
        <v>32893</v>
      </c>
      <c r="F9060" s="19" t="s">
        <v>36006</v>
      </c>
      <c r="G9060" s="18" t="str">
        <f>"14810"</f>
        <v>14810</v>
      </c>
      <c r="H9060" s="19" t="s">
        <v>36262</v>
      </c>
      <c r="I9060" s="20">
        <v>18.234000000000002</v>
      </c>
      <c r="J9060" s="44" t="s">
        <v>8</v>
      </c>
      <c r="K9060" s="23" t="s">
        <v>8</v>
      </c>
      <c r="L9060" s="23" t="s">
        <v>8</v>
      </c>
      <c r="M9060" s="23" t="s">
        <v>8</v>
      </c>
    </row>
    <row r="9061" spans="1:13" s="21" customFormat="1" x14ac:dyDescent="0.25">
      <c r="A9061" s="22" t="s">
        <v>8</v>
      </c>
      <c r="B9061" s="18" t="str">
        <f>"335710"</f>
        <v>335710</v>
      </c>
      <c r="C9061" s="19" t="s">
        <v>8932</v>
      </c>
      <c r="D9061" s="19" t="s">
        <v>24476</v>
      </c>
      <c r="E9061" s="19" t="s">
        <v>31443</v>
      </c>
      <c r="F9061" s="19" t="s">
        <v>36006</v>
      </c>
      <c r="G9061" s="18" t="str">
        <f>"11228"</f>
        <v>11228</v>
      </c>
      <c r="H9061" s="19" t="s">
        <v>36091</v>
      </c>
      <c r="I9061" s="20">
        <v>21.294</v>
      </c>
      <c r="J9061" s="44" t="s">
        <v>8</v>
      </c>
      <c r="K9061" s="23" t="s">
        <v>8</v>
      </c>
      <c r="L9061" s="23" t="s">
        <v>8</v>
      </c>
      <c r="M9061" s="23" t="s">
        <v>8</v>
      </c>
    </row>
    <row r="9062" spans="1:13" s="21" customFormat="1" x14ac:dyDescent="0.25">
      <c r="A9062" s="22" t="s">
        <v>8</v>
      </c>
      <c r="B9062" s="18" t="str">
        <f>"335711"</f>
        <v>335711</v>
      </c>
      <c r="C9062" s="19" t="s">
        <v>8933</v>
      </c>
      <c r="D9062" s="19" t="s">
        <v>24477</v>
      </c>
      <c r="E9062" s="19" t="s">
        <v>34107</v>
      </c>
      <c r="F9062" s="19" t="s">
        <v>36006</v>
      </c>
      <c r="G9062" s="18" t="str">
        <f>"12832"</f>
        <v>12832</v>
      </c>
      <c r="H9062" s="19" t="s">
        <v>31500</v>
      </c>
      <c r="I9062" s="20">
        <v>19.771999999999998</v>
      </c>
      <c r="J9062" s="44" t="s">
        <v>8</v>
      </c>
      <c r="K9062" s="23" t="s">
        <v>8</v>
      </c>
      <c r="L9062" s="23" t="s">
        <v>8</v>
      </c>
      <c r="M9062" s="23" t="s">
        <v>8</v>
      </c>
    </row>
    <row r="9063" spans="1:13" s="21" customFormat="1" x14ac:dyDescent="0.25">
      <c r="A9063" s="22" t="s">
        <v>8</v>
      </c>
      <c r="B9063" s="18" t="str">
        <f>"335713"</f>
        <v>335713</v>
      </c>
      <c r="C9063" s="19" t="s">
        <v>8934</v>
      </c>
      <c r="D9063" s="19" t="s">
        <v>24478</v>
      </c>
      <c r="E9063" s="19" t="s">
        <v>34202</v>
      </c>
      <c r="F9063" s="19" t="s">
        <v>36006</v>
      </c>
      <c r="G9063" s="18" t="str">
        <f>"13027"</f>
        <v>13027</v>
      </c>
      <c r="H9063" s="19" t="s">
        <v>36602</v>
      </c>
      <c r="I9063" s="20">
        <v>17.376999999999999</v>
      </c>
      <c r="J9063" s="44" t="s">
        <v>8</v>
      </c>
      <c r="K9063" s="23" t="s">
        <v>8</v>
      </c>
      <c r="L9063" s="23" t="s">
        <v>8</v>
      </c>
      <c r="M9063" s="23" t="s">
        <v>8</v>
      </c>
    </row>
    <row r="9064" spans="1:13" s="21" customFormat="1" x14ac:dyDescent="0.25">
      <c r="A9064" s="22" t="s">
        <v>8</v>
      </c>
      <c r="B9064" s="18" t="str">
        <f>"335714"</f>
        <v>335714</v>
      </c>
      <c r="C9064" s="19" t="s">
        <v>8935</v>
      </c>
      <c r="D9064" s="19" t="s">
        <v>24479</v>
      </c>
      <c r="E9064" s="19" t="s">
        <v>34075</v>
      </c>
      <c r="F9064" s="19" t="s">
        <v>36006</v>
      </c>
      <c r="G9064" s="18" t="str">
        <f>"10562"</f>
        <v>10562</v>
      </c>
      <c r="H9064" s="19" t="s">
        <v>32061</v>
      </c>
      <c r="I9064" s="20">
        <v>20.736000000000001</v>
      </c>
      <c r="J9064" s="44" t="s">
        <v>8</v>
      </c>
      <c r="K9064" s="23" t="s">
        <v>8</v>
      </c>
      <c r="L9064" s="23" t="s">
        <v>8</v>
      </c>
      <c r="M9064" s="23" t="s">
        <v>8</v>
      </c>
    </row>
    <row r="9065" spans="1:13" s="21" customFormat="1" x14ac:dyDescent="0.25">
      <c r="A9065" s="22" t="s">
        <v>8</v>
      </c>
      <c r="B9065" s="18" t="str">
        <f>"335716"</f>
        <v>335716</v>
      </c>
      <c r="C9065" s="19" t="s">
        <v>8936</v>
      </c>
      <c r="D9065" s="19" t="s">
        <v>24480</v>
      </c>
      <c r="E9065" s="19" t="s">
        <v>34065</v>
      </c>
      <c r="F9065" s="19" t="s">
        <v>36006</v>
      </c>
      <c r="G9065" s="18" t="str">
        <f>"11542"</f>
        <v>11542</v>
      </c>
      <c r="H9065" s="19" t="s">
        <v>36144</v>
      </c>
      <c r="I9065" s="20">
        <v>18.991</v>
      </c>
      <c r="J9065" s="44" t="s">
        <v>8</v>
      </c>
      <c r="K9065" s="23" t="s">
        <v>8</v>
      </c>
      <c r="L9065" s="23" t="s">
        <v>8</v>
      </c>
      <c r="M9065" s="23" t="s">
        <v>8</v>
      </c>
    </row>
    <row r="9066" spans="1:13" s="21" customFormat="1" x14ac:dyDescent="0.25">
      <c r="A9066" s="22" t="s">
        <v>8</v>
      </c>
      <c r="B9066" s="18" t="str">
        <f>"335718"</f>
        <v>335718</v>
      </c>
      <c r="C9066" s="19" t="s">
        <v>8937</v>
      </c>
      <c r="D9066" s="19" t="s">
        <v>24481</v>
      </c>
      <c r="E9066" s="19" t="s">
        <v>34203</v>
      </c>
      <c r="F9066" s="19" t="s">
        <v>36006</v>
      </c>
      <c r="G9066" s="18" t="str">
        <f>"11598"</f>
        <v>11598</v>
      </c>
      <c r="H9066" s="19" t="s">
        <v>36144</v>
      </c>
      <c r="I9066" s="20">
        <v>17.466000000000001</v>
      </c>
      <c r="J9066" s="44" t="s">
        <v>8</v>
      </c>
      <c r="K9066" s="23" t="s">
        <v>8</v>
      </c>
      <c r="L9066" s="23" t="s">
        <v>8</v>
      </c>
      <c r="M9066" s="23" t="s">
        <v>8</v>
      </c>
    </row>
    <row r="9067" spans="1:13" s="21" customFormat="1" x14ac:dyDescent="0.25">
      <c r="A9067" s="22" t="s">
        <v>8</v>
      </c>
      <c r="B9067" s="18" t="str">
        <f>"335719"</f>
        <v>335719</v>
      </c>
      <c r="C9067" s="19" t="s">
        <v>8066</v>
      </c>
      <c r="D9067" s="19" t="s">
        <v>24482</v>
      </c>
      <c r="E9067" s="19" t="s">
        <v>34125</v>
      </c>
      <c r="F9067" s="19" t="s">
        <v>36006</v>
      </c>
      <c r="G9067" s="18" t="str">
        <f>"11953"</f>
        <v>11953</v>
      </c>
      <c r="H9067" s="19" t="s">
        <v>35389</v>
      </c>
      <c r="I9067" s="20">
        <v>19.274000000000001</v>
      </c>
      <c r="J9067" s="44" t="s">
        <v>8</v>
      </c>
      <c r="K9067" s="23" t="s">
        <v>8</v>
      </c>
      <c r="L9067" s="23" t="s">
        <v>8</v>
      </c>
      <c r="M9067" s="23" t="s">
        <v>8</v>
      </c>
    </row>
    <row r="9068" spans="1:13" s="21" customFormat="1" x14ac:dyDescent="0.25">
      <c r="A9068" s="22" t="s">
        <v>8</v>
      </c>
      <c r="B9068" s="18" t="str">
        <f>"335720"</f>
        <v>335720</v>
      </c>
      <c r="C9068" s="19" t="s">
        <v>8938</v>
      </c>
      <c r="D9068" s="19" t="s">
        <v>24483</v>
      </c>
      <c r="E9068" s="19" t="s">
        <v>31443</v>
      </c>
      <c r="F9068" s="19" t="s">
        <v>36006</v>
      </c>
      <c r="G9068" s="18" t="str">
        <f>"11236"</f>
        <v>11236</v>
      </c>
      <c r="H9068" s="19" t="s">
        <v>36091</v>
      </c>
      <c r="I9068" s="20">
        <v>18.728000000000002</v>
      </c>
      <c r="J9068" s="44" t="s">
        <v>8</v>
      </c>
      <c r="K9068" s="23" t="s">
        <v>8</v>
      </c>
      <c r="L9068" s="23" t="s">
        <v>8</v>
      </c>
      <c r="M9068" s="23" t="s">
        <v>8</v>
      </c>
    </row>
    <row r="9069" spans="1:13" s="21" customFormat="1" x14ac:dyDescent="0.25">
      <c r="A9069" s="22" t="s">
        <v>8</v>
      </c>
      <c r="B9069" s="18" t="str">
        <f>"335721"</f>
        <v>335721</v>
      </c>
      <c r="C9069" s="19" t="s">
        <v>8939</v>
      </c>
      <c r="D9069" s="19" t="s">
        <v>24484</v>
      </c>
      <c r="E9069" s="19" t="s">
        <v>34204</v>
      </c>
      <c r="F9069" s="19" t="s">
        <v>36006</v>
      </c>
      <c r="G9069" s="18" t="str">
        <f>"14742"</f>
        <v>14742</v>
      </c>
      <c r="H9069" s="19" t="s">
        <v>36302</v>
      </c>
      <c r="I9069" s="20">
        <v>16.896999999999998</v>
      </c>
      <c r="J9069" s="44" t="s">
        <v>8</v>
      </c>
      <c r="K9069" s="23" t="s">
        <v>8</v>
      </c>
      <c r="L9069" s="23" t="s">
        <v>8</v>
      </c>
      <c r="M9069" s="23" t="s">
        <v>8</v>
      </c>
    </row>
    <row r="9070" spans="1:13" s="21" customFormat="1" x14ac:dyDescent="0.25">
      <c r="A9070" s="22" t="s">
        <v>8</v>
      </c>
      <c r="B9070" s="18" t="str">
        <f>"335723"</f>
        <v>335723</v>
      </c>
      <c r="C9070" s="19" t="s">
        <v>8940</v>
      </c>
      <c r="D9070" s="19" t="s">
        <v>24485</v>
      </c>
      <c r="E9070" s="19" t="s">
        <v>34037</v>
      </c>
      <c r="F9070" s="19" t="s">
        <v>36006</v>
      </c>
      <c r="G9070" s="18" t="str">
        <f>"10469"</f>
        <v>10469</v>
      </c>
      <c r="H9070" s="19" t="s">
        <v>34037</v>
      </c>
      <c r="I9070" s="20">
        <v>21.385999999999999</v>
      </c>
      <c r="J9070" s="44" t="s">
        <v>8</v>
      </c>
      <c r="K9070" s="23" t="s">
        <v>8</v>
      </c>
      <c r="L9070" s="23" t="s">
        <v>8</v>
      </c>
      <c r="M9070" s="23" t="s">
        <v>8</v>
      </c>
    </row>
    <row r="9071" spans="1:13" s="21" customFormat="1" x14ac:dyDescent="0.25">
      <c r="A9071" s="22" t="s">
        <v>8</v>
      </c>
      <c r="B9071" s="18" t="str">
        <f>"335724"</f>
        <v>335724</v>
      </c>
      <c r="C9071" s="19" t="s">
        <v>8941</v>
      </c>
      <c r="D9071" s="19" t="s">
        <v>24486</v>
      </c>
      <c r="E9071" s="19" t="s">
        <v>34109</v>
      </c>
      <c r="F9071" s="19" t="s">
        <v>36006</v>
      </c>
      <c r="G9071" s="18" t="str">
        <f>"11435"</f>
        <v>11435</v>
      </c>
      <c r="H9071" s="19" t="s">
        <v>36598</v>
      </c>
      <c r="I9071" s="20">
        <v>21.081</v>
      </c>
      <c r="J9071" s="44" t="s">
        <v>8</v>
      </c>
      <c r="K9071" s="23" t="s">
        <v>8</v>
      </c>
      <c r="L9071" s="23" t="s">
        <v>8</v>
      </c>
      <c r="M9071" s="23" t="s">
        <v>8</v>
      </c>
    </row>
    <row r="9072" spans="1:13" s="21" customFormat="1" x14ac:dyDescent="0.25">
      <c r="A9072" s="22" t="s">
        <v>8</v>
      </c>
      <c r="B9072" s="18" t="str">
        <f>"335725"</f>
        <v>335725</v>
      </c>
      <c r="C9072" s="19" t="s">
        <v>8942</v>
      </c>
      <c r="D9072" s="19" t="s">
        <v>24487</v>
      </c>
      <c r="E9072" s="19" t="s">
        <v>34037</v>
      </c>
      <c r="F9072" s="19" t="s">
        <v>36006</v>
      </c>
      <c r="G9072" s="18" t="str">
        <f>"10452"</f>
        <v>10452</v>
      </c>
      <c r="H9072" s="19" t="s">
        <v>34037</v>
      </c>
      <c r="I9072" s="20">
        <v>18.16</v>
      </c>
      <c r="J9072" s="44" t="s">
        <v>8</v>
      </c>
      <c r="K9072" s="23" t="s">
        <v>8</v>
      </c>
      <c r="L9072" s="23" t="s">
        <v>8</v>
      </c>
      <c r="M9072" s="23" t="s">
        <v>8</v>
      </c>
    </row>
    <row r="9073" spans="1:13" s="21" customFormat="1" x14ac:dyDescent="0.25">
      <c r="A9073" s="22" t="s">
        <v>8</v>
      </c>
      <c r="B9073" s="18" t="str">
        <f>"335726"</f>
        <v>335726</v>
      </c>
      <c r="C9073" s="19" t="s">
        <v>8943</v>
      </c>
      <c r="D9073" s="19" t="s">
        <v>24488</v>
      </c>
      <c r="E9073" s="19" t="s">
        <v>34056</v>
      </c>
      <c r="F9073" s="19" t="s">
        <v>36006</v>
      </c>
      <c r="G9073" s="18" t="str">
        <f>"11694"</f>
        <v>11694</v>
      </c>
      <c r="H9073" s="19" t="s">
        <v>36598</v>
      </c>
      <c r="I9073" s="20">
        <v>19.504999999999999</v>
      </c>
      <c r="J9073" s="44" t="s">
        <v>8</v>
      </c>
      <c r="K9073" s="23" t="s">
        <v>8</v>
      </c>
      <c r="L9073" s="23" t="s">
        <v>8</v>
      </c>
      <c r="M9073" s="23" t="s">
        <v>8</v>
      </c>
    </row>
    <row r="9074" spans="1:13" s="21" customFormat="1" x14ac:dyDescent="0.25">
      <c r="A9074" s="22" t="s">
        <v>8</v>
      </c>
      <c r="B9074" s="18" t="str">
        <f>"335727"</f>
        <v>335727</v>
      </c>
      <c r="C9074" s="19" t="s">
        <v>8944</v>
      </c>
      <c r="D9074" s="19" t="s">
        <v>24489</v>
      </c>
      <c r="E9074" s="19" t="s">
        <v>31732</v>
      </c>
      <c r="F9074" s="19" t="s">
        <v>36006</v>
      </c>
      <c r="G9074" s="18" t="str">
        <f>"13440"</f>
        <v>13440</v>
      </c>
      <c r="H9074" s="19" t="s">
        <v>34140</v>
      </c>
      <c r="I9074" s="20">
        <v>19.516999999999999</v>
      </c>
      <c r="J9074" s="44" t="s">
        <v>8</v>
      </c>
      <c r="K9074" s="23" t="s">
        <v>8</v>
      </c>
      <c r="L9074" s="23" t="s">
        <v>8</v>
      </c>
      <c r="M9074" s="23" t="s">
        <v>8</v>
      </c>
    </row>
    <row r="9075" spans="1:13" s="21" customFormat="1" x14ac:dyDescent="0.25">
      <c r="A9075" s="22" t="s">
        <v>8</v>
      </c>
      <c r="B9075" s="18" t="str">
        <f>"335730"</f>
        <v>335730</v>
      </c>
      <c r="C9075" s="19" t="s">
        <v>8945</v>
      </c>
      <c r="D9075" s="19" t="s">
        <v>24490</v>
      </c>
      <c r="E9075" s="19" t="s">
        <v>33048</v>
      </c>
      <c r="F9075" s="19" t="s">
        <v>36006</v>
      </c>
      <c r="G9075" s="18" t="str">
        <f>"14580"</f>
        <v>14580</v>
      </c>
      <c r="H9075" s="19" t="s">
        <v>31711</v>
      </c>
      <c r="I9075" s="20">
        <v>19.074999999999999</v>
      </c>
      <c r="J9075" s="44" t="s">
        <v>8</v>
      </c>
      <c r="K9075" s="23" t="s">
        <v>8</v>
      </c>
      <c r="L9075" s="23" t="s">
        <v>8</v>
      </c>
      <c r="M9075" s="23" t="s">
        <v>8</v>
      </c>
    </row>
    <row r="9076" spans="1:13" s="21" customFormat="1" x14ac:dyDescent="0.25">
      <c r="A9076" s="22" t="s">
        <v>8</v>
      </c>
      <c r="B9076" s="18" t="str">
        <f>"335732"</f>
        <v>335732</v>
      </c>
      <c r="C9076" s="19" t="s">
        <v>8946</v>
      </c>
      <c r="D9076" s="19" t="s">
        <v>24491</v>
      </c>
      <c r="E9076" s="19" t="s">
        <v>31732</v>
      </c>
      <c r="F9076" s="19" t="s">
        <v>36006</v>
      </c>
      <c r="G9076" s="18" t="str">
        <f>"13440"</f>
        <v>13440</v>
      </c>
      <c r="H9076" s="19" t="s">
        <v>34140</v>
      </c>
      <c r="I9076" s="20">
        <v>21.052</v>
      </c>
      <c r="J9076" s="44" t="s">
        <v>8</v>
      </c>
      <c r="K9076" s="23" t="s">
        <v>8</v>
      </c>
      <c r="L9076" s="23" t="s">
        <v>8</v>
      </c>
      <c r="M9076" s="23" t="s">
        <v>8</v>
      </c>
    </row>
    <row r="9077" spans="1:13" s="21" customFormat="1" x14ac:dyDescent="0.25">
      <c r="A9077" s="22" t="s">
        <v>8</v>
      </c>
      <c r="B9077" s="18" t="str">
        <f>"335734"</f>
        <v>335734</v>
      </c>
      <c r="C9077" s="19" t="s">
        <v>8947</v>
      </c>
      <c r="D9077" s="19" t="s">
        <v>24492</v>
      </c>
      <c r="E9077" s="19" t="s">
        <v>34205</v>
      </c>
      <c r="F9077" s="19" t="s">
        <v>36006</v>
      </c>
      <c r="G9077" s="18" t="str">
        <f>"10956"</f>
        <v>10956</v>
      </c>
      <c r="H9077" s="19" t="s">
        <v>32912</v>
      </c>
      <c r="I9077" s="20">
        <v>22.855</v>
      </c>
      <c r="J9077" s="44" t="s">
        <v>8</v>
      </c>
      <c r="K9077" s="23" t="s">
        <v>8</v>
      </c>
      <c r="L9077" s="23" t="s">
        <v>8</v>
      </c>
      <c r="M9077" s="23" t="s">
        <v>8</v>
      </c>
    </row>
    <row r="9078" spans="1:13" s="21" customFormat="1" x14ac:dyDescent="0.25">
      <c r="A9078" s="22" t="s">
        <v>8</v>
      </c>
      <c r="B9078" s="18" t="str">
        <f>"335735"</f>
        <v>335735</v>
      </c>
      <c r="C9078" s="19" t="s">
        <v>8948</v>
      </c>
      <c r="D9078" s="19" t="s">
        <v>24493</v>
      </c>
      <c r="E9078" s="19" t="s">
        <v>31499</v>
      </c>
      <c r="F9078" s="19" t="s">
        <v>36006</v>
      </c>
      <c r="G9078" s="18" t="str">
        <f>"12054"</f>
        <v>12054</v>
      </c>
      <c r="H9078" s="19" t="s">
        <v>31834</v>
      </c>
      <c r="I9078" s="20">
        <v>20.266999999999999</v>
      </c>
      <c r="J9078" s="44" t="s">
        <v>8</v>
      </c>
      <c r="K9078" s="23" t="s">
        <v>8</v>
      </c>
      <c r="L9078" s="23" t="s">
        <v>8</v>
      </c>
      <c r="M9078" s="23" t="s">
        <v>8</v>
      </c>
    </row>
    <row r="9079" spans="1:13" s="21" customFormat="1" x14ac:dyDescent="0.25">
      <c r="A9079" s="22" t="s">
        <v>8</v>
      </c>
      <c r="B9079" s="18" t="str">
        <f>"335737"</f>
        <v>335737</v>
      </c>
      <c r="C9079" s="19" t="s">
        <v>8949</v>
      </c>
      <c r="D9079" s="19" t="s">
        <v>24494</v>
      </c>
      <c r="E9079" s="19" t="s">
        <v>34042</v>
      </c>
      <c r="F9079" s="19" t="s">
        <v>36006</v>
      </c>
      <c r="G9079" s="18" t="str">
        <f>"11691"</f>
        <v>11691</v>
      </c>
      <c r="H9079" s="19" t="s">
        <v>36598</v>
      </c>
      <c r="I9079" s="20">
        <v>18.215</v>
      </c>
      <c r="J9079" s="44" t="s">
        <v>8</v>
      </c>
      <c r="K9079" s="23" t="s">
        <v>8</v>
      </c>
      <c r="L9079" s="23" t="s">
        <v>8</v>
      </c>
      <c r="M9079" s="23" t="s">
        <v>8</v>
      </c>
    </row>
    <row r="9080" spans="1:13" s="21" customFormat="1" x14ac:dyDescent="0.25">
      <c r="A9080" s="22" t="s">
        <v>8</v>
      </c>
      <c r="B9080" s="18" t="str">
        <f>"335738"</f>
        <v>335738</v>
      </c>
      <c r="C9080" s="19" t="s">
        <v>8950</v>
      </c>
      <c r="D9080" s="19" t="s">
        <v>24495</v>
      </c>
      <c r="E9080" s="19" t="s">
        <v>34077</v>
      </c>
      <c r="F9080" s="19" t="s">
        <v>36006</v>
      </c>
      <c r="G9080" s="18" t="str">
        <f>"11692"</f>
        <v>11692</v>
      </c>
      <c r="H9080" s="19" t="s">
        <v>36598</v>
      </c>
      <c r="I9080" s="20">
        <v>19.181999999999999</v>
      </c>
      <c r="J9080" s="44" t="s">
        <v>8</v>
      </c>
      <c r="K9080" s="23" t="s">
        <v>8</v>
      </c>
      <c r="L9080" s="23" t="s">
        <v>8</v>
      </c>
      <c r="M9080" s="23" t="s">
        <v>8</v>
      </c>
    </row>
    <row r="9081" spans="1:13" s="21" customFormat="1" x14ac:dyDescent="0.25">
      <c r="A9081" s="22" t="s">
        <v>8</v>
      </c>
      <c r="B9081" s="18" t="str">
        <f>"335739"</f>
        <v>335739</v>
      </c>
      <c r="C9081" s="19" t="s">
        <v>8951</v>
      </c>
      <c r="D9081" s="19" t="s">
        <v>24496</v>
      </c>
      <c r="E9081" s="19" t="s">
        <v>33504</v>
      </c>
      <c r="F9081" s="19" t="s">
        <v>36006</v>
      </c>
      <c r="G9081" s="18" t="str">
        <f>"11780"</f>
        <v>11780</v>
      </c>
      <c r="H9081" s="19" t="s">
        <v>35389</v>
      </c>
      <c r="I9081" s="20">
        <v>22.928999999999998</v>
      </c>
      <c r="J9081" s="44" t="s">
        <v>8</v>
      </c>
      <c r="K9081" s="23" t="s">
        <v>8</v>
      </c>
      <c r="L9081" s="23" t="s">
        <v>8</v>
      </c>
      <c r="M9081" s="23" t="s">
        <v>8</v>
      </c>
    </row>
    <row r="9082" spans="1:13" s="21" customFormat="1" x14ac:dyDescent="0.25">
      <c r="A9082" s="22" t="s">
        <v>8</v>
      </c>
      <c r="B9082" s="18" t="str">
        <f>"335742"</f>
        <v>335742</v>
      </c>
      <c r="C9082" s="19" t="s">
        <v>8952</v>
      </c>
      <c r="D9082" s="19" t="s">
        <v>24497</v>
      </c>
      <c r="E9082" s="19" t="s">
        <v>34120</v>
      </c>
      <c r="F9082" s="19" t="s">
        <v>36006</v>
      </c>
      <c r="G9082" s="18" t="str">
        <f>"14301"</f>
        <v>14301</v>
      </c>
      <c r="H9082" s="19" t="s">
        <v>35632</v>
      </c>
      <c r="I9082" s="20">
        <v>19.861999999999998</v>
      </c>
      <c r="J9082" s="44" t="s">
        <v>8</v>
      </c>
      <c r="K9082" s="23" t="s">
        <v>8</v>
      </c>
      <c r="L9082" s="23" t="s">
        <v>8</v>
      </c>
      <c r="M9082" s="23" t="s">
        <v>8</v>
      </c>
    </row>
    <row r="9083" spans="1:13" s="21" customFormat="1" x14ac:dyDescent="0.25">
      <c r="A9083" s="22" t="s">
        <v>8</v>
      </c>
      <c r="B9083" s="18" t="str">
        <f>"335744"</f>
        <v>335744</v>
      </c>
      <c r="C9083" s="19" t="s">
        <v>8953</v>
      </c>
      <c r="D9083" s="19" t="s">
        <v>24498</v>
      </c>
      <c r="E9083" s="19" t="s">
        <v>34037</v>
      </c>
      <c r="F9083" s="19" t="s">
        <v>36006</v>
      </c>
      <c r="G9083" s="18" t="str">
        <f>"10473"</f>
        <v>10473</v>
      </c>
      <c r="H9083" s="19" t="s">
        <v>34037</v>
      </c>
      <c r="I9083" s="20">
        <v>17.951000000000001</v>
      </c>
      <c r="J9083" s="44" t="s">
        <v>8</v>
      </c>
      <c r="K9083" s="23" t="s">
        <v>8</v>
      </c>
      <c r="L9083" s="23" t="s">
        <v>8</v>
      </c>
      <c r="M9083" s="23" t="s">
        <v>8</v>
      </c>
    </row>
    <row r="9084" spans="1:13" s="21" customFormat="1" x14ac:dyDescent="0.25">
      <c r="A9084" s="22" t="s">
        <v>8</v>
      </c>
      <c r="B9084" s="18" t="str">
        <f>"335745"</f>
        <v>335745</v>
      </c>
      <c r="C9084" s="19" t="s">
        <v>8954</v>
      </c>
      <c r="D9084" s="19" t="s">
        <v>24499</v>
      </c>
      <c r="E9084" s="19" t="s">
        <v>34206</v>
      </c>
      <c r="F9084" s="19" t="s">
        <v>36006</v>
      </c>
      <c r="G9084" s="18" t="str">
        <f>"14081"</f>
        <v>14081</v>
      </c>
      <c r="H9084" s="19" t="s">
        <v>36302</v>
      </c>
      <c r="I9084" s="20">
        <v>17.882999999999999</v>
      </c>
      <c r="J9084" s="44" t="s">
        <v>8</v>
      </c>
      <c r="K9084" s="23" t="s">
        <v>8</v>
      </c>
      <c r="L9084" s="23" t="s">
        <v>8</v>
      </c>
      <c r="M9084" s="23" t="s">
        <v>8</v>
      </c>
    </row>
    <row r="9085" spans="1:13" s="21" customFormat="1" x14ac:dyDescent="0.25">
      <c r="A9085" s="22" t="s">
        <v>8</v>
      </c>
      <c r="B9085" s="18" t="str">
        <f>"335746"</f>
        <v>335746</v>
      </c>
      <c r="C9085" s="19" t="s">
        <v>8955</v>
      </c>
      <c r="D9085" s="19" t="s">
        <v>24500</v>
      </c>
      <c r="E9085" s="19" t="s">
        <v>32150</v>
      </c>
      <c r="F9085" s="19" t="s">
        <v>36006</v>
      </c>
      <c r="G9085" s="18" t="str">
        <f>"13126"</f>
        <v>13126</v>
      </c>
      <c r="H9085" s="19" t="s">
        <v>32150</v>
      </c>
      <c r="I9085" s="20">
        <v>17.63</v>
      </c>
      <c r="J9085" s="44" t="s">
        <v>8</v>
      </c>
      <c r="K9085" s="23" t="s">
        <v>8</v>
      </c>
      <c r="L9085" s="23" t="s">
        <v>8</v>
      </c>
      <c r="M9085" s="23" t="s">
        <v>8</v>
      </c>
    </row>
    <row r="9086" spans="1:13" s="21" customFormat="1" x14ac:dyDescent="0.25">
      <c r="A9086" s="22" t="s">
        <v>8</v>
      </c>
      <c r="B9086" s="18" t="str">
        <f>"335747"</f>
        <v>335747</v>
      </c>
      <c r="C9086" s="19" t="s">
        <v>8956</v>
      </c>
      <c r="D9086" s="19" t="s">
        <v>24501</v>
      </c>
      <c r="E9086" s="19" t="s">
        <v>34096</v>
      </c>
      <c r="F9086" s="19" t="s">
        <v>36006</v>
      </c>
      <c r="G9086" s="18" t="str">
        <f>"11570"</f>
        <v>11570</v>
      </c>
      <c r="H9086" s="19" t="s">
        <v>36144</v>
      </c>
      <c r="I9086" s="20">
        <v>21.009</v>
      </c>
      <c r="J9086" s="44" t="s">
        <v>8</v>
      </c>
      <c r="K9086" s="23" t="s">
        <v>8</v>
      </c>
      <c r="L9086" s="23" t="s">
        <v>8</v>
      </c>
      <c r="M9086" s="23" t="s">
        <v>8</v>
      </c>
    </row>
    <row r="9087" spans="1:13" s="21" customFormat="1" x14ac:dyDescent="0.25">
      <c r="A9087" s="22" t="s">
        <v>8</v>
      </c>
      <c r="B9087" s="18" t="str">
        <f>"335748"</f>
        <v>335748</v>
      </c>
      <c r="C9087" s="19" t="s">
        <v>8957</v>
      </c>
      <c r="D9087" s="19" t="s">
        <v>24502</v>
      </c>
      <c r="E9087" s="19" t="s">
        <v>31443</v>
      </c>
      <c r="F9087" s="19" t="s">
        <v>36006</v>
      </c>
      <c r="G9087" s="18" t="str">
        <f>"11224"</f>
        <v>11224</v>
      </c>
      <c r="H9087" s="19" t="s">
        <v>36091</v>
      </c>
      <c r="I9087" s="20">
        <v>25.588000000000001</v>
      </c>
      <c r="J9087" s="44" t="s">
        <v>8</v>
      </c>
      <c r="K9087" s="23" t="s">
        <v>8</v>
      </c>
      <c r="L9087" s="23" t="s">
        <v>8</v>
      </c>
      <c r="M9087" s="23" t="s">
        <v>8</v>
      </c>
    </row>
    <row r="9088" spans="1:13" s="21" customFormat="1" x14ac:dyDescent="0.25">
      <c r="A9088" s="22" t="s">
        <v>8</v>
      </c>
      <c r="B9088" s="18" t="str">
        <f>"335750"</f>
        <v>335750</v>
      </c>
      <c r="C9088" s="19" t="s">
        <v>8958</v>
      </c>
      <c r="D9088" s="19" t="s">
        <v>24503</v>
      </c>
      <c r="E9088" s="19" t="s">
        <v>34207</v>
      </c>
      <c r="F9088" s="19" t="s">
        <v>36006</v>
      </c>
      <c r="G9088" s="18" t="str">
        <f>"12508"</f>
        <v>12508</v>
      </c>
      <c r="H9088" s="19" t="s">
        <v>36604</v>
      </c>
      <c r="I9088" s="20">
        <v>24.407</v>
      </c>
      <c r="J9088" s="44" t="s">
        <v>8</v>
      </c>
      <c r="K9088" s="23" t="s">
        <v>8</v>
      </c>
      <c r="L9088" s="23" t="s">
        <v>8</v>
      </c>
      <c r="M9088" s="23" t="s">
        <v>8</v>
      </c>
    </row>
    <row r="9089" spans="1:13" s="21" customFormat="1" x14ac:dyDescent="0.25">
      <c r="A9089" s="22" t="s">
        <v>8</v>
      </c>
      <c r="B9089" s="18" t="str">
        <f>"335751"</f>
        <v>335751</v>
      </c>
      <c r="C9089" s="19" t="s">
        <v>8959</v>
      </c>
      <c r="D9089" s="19" t="s">
        <v>24504</v>
      </c>
      <c r="E9089" s="19" t="s">
        <v>34037</v>
      </c>
      <c r="F9089" s="19" t="s">
        <v>36006</v>
      </c>
      <c r="G9089" s="18" t="str">
        <f>"10452"</f>
        <v>10452</v>
      </c>
      <c r="H9089" s="19" t="s">
        <v>34037</v>
      </c>
      <c r="I9089" s="20">
        <v>18.405000000000001</v>
      </c>
      <c r="J9089" s="44" t="s">
        <v>8</v>
      </c>
      <c r="K9089" s="23" t="s">
        <v>8</v>
      </c>
      <c r="L9089" s="23" t="s">
        <v>8</v>
      </c>
      <c r="M9089" s="23" t="s">
        <v>8</v>
      </c>
    </row>
    <row r="9090" spans="1:13" s="21" customFormat="1" x14ac:dyDescent="0.25">
      <c r="A9090" s="22" t="s">
        <v>8</v>
      </c>
      <c r="B9090" s="18" t="str">
        <f>"335752"</f>
        <v>335752</v>
      </c>
      <c r="C9090" s="19" t="s">
        <v>8960</v>
      </c>
      <c r="D9090" s="19" t="s">
        <v>24505</v>
      </c>
      <c r="E9090" s="19" t="s">
        <v>34180</v>
      </c>
      <c r="F9090" s="19" t="s">
        <v>36006</v>
      </c>
      <c r="G9090" s="18" t="str">
        <f>"14227"</f>
        <v>14227</v>
      </c>
      <c r="H9090" s="19" t="s">
        <v>34805</v>
      </c>
      <c r="I9090" s="20">
        <v>18.933</v>
      </c>
      <c r="J9090" s="44" t="s">
        <v>8</v>
      </c>
      <c r="K9090" s="23" t="s">
        <v>8</v>
      </c>
      <c r="L9090" s="23" t="s">
        <v>8</v>
      </c>
      <c r="M9090" s="23" t="s">
        <v>8</v>
      </c>
    </row>
    <row r="9091" spans="1:13" s="21" customFormat="1" x14ac:dyDescent="0.25">
      <c r="A9091" s="22" t="s">
        <v>8</v>
      </c>
      <c r="B9091" s="18" t="str">
        <f>"335753"</f>
        <v>335753</v>
      </c>
      <c r="C9091" s="19" t="s">
        <v>8961</v>
      </c>
      <c r="D9091" s="19" t="s">
        <v>24506</v>
      </c>
      <c r="E9091" s="19" t="s">
        <v>34037</v>
      </c>
      <c r="F9091" s="19" t="s">
        <v>36006</v>
      </c>
      <c r="G9091" s="18" t="str">
        <f>"10456"</f>
        <v>10456</v>
      </c>
      <c r="H9091" s="19" t="s">
        <v>34037</v>
      </c>
      <c r="I9091" s="20">
        <v>19.763999999999999</v>
      </c>
      <c r="J9091" s="44" t="s">
        <v>8</v>
      </c>
      <c r="K9091" s="23" t="s">
        <v>8</v>
      </c>
      <c r="L9091" s="23" t="s">
        <v>8</v>
      </c>
      <c r="M9091" s="23" t="s">
        <v>8</v>
      </c>
    </row>
    <row r="9092" spans="1:13" s="21" customFormat="1" x14ac:dyDescent="0.25">
      <c r="A9092" s="22" t="s">
        <v>8</v>
      </c>
      <c r="B9092" s="18" t="str">
        <f>"335755"</f>
        <v>335755</v>
      </c>
      <c r="C9092" s="19" t="s">
        <v>8962</v>
      </c>
      <c r="D9092" s="19" t="s">
        <v>24507</v>
      </c>
      <c r="E9092" s="19" t="s">
        <v>33540</v>
      </c>
      <c r="F9092" s="19" t="s">
        <v>36006</v>
      </c>
      <c r="G9092" s="18" t="str">
        <f>"11719"</f>
        <v>11719</v>
      </c>
      <c r="H9092" s="19" t="s">
        <v>35389</v>
      </c>
      <c r="I9092" s="20">
        <v>18.884</v>
      </c>
      <c r="J9092" s="44" t="s">
        <v>8</v>
      </c>
      <c r="K9092" s="23" t="s">
        <v>8</v>
      </c>
      <c r="L9092" s="23" t="s">
        <v>8</v>
      </c>
      <c r="M9092" s="23" t="s">
        <v>8</v>
      </c>
    </row>
    <row r="9093" spans="1:13" s="21" customFormat="1" x14ac:dyDescent="0.25">
      <c r="A9093" s="22" t="s">
        <v>8</v>
      </c>
      <c r="B9093" s="18" t="str">
        <f>"335756"</f>
        <v>335756</v>
      </c>
      <c r="C9093" s="19" t="s">
        <v>8963</v>
      </c>
      <c r="D9093" s="19" t="s">
        <v>24508</v>
      </c>
      <c r="E9093" s="19" t="s">
        <v>34072</v>
      </c>
      <c r="F9093" s="19" t="s">
        <v>36006</v>
      </c>
      <c r="G9093" s="18" t="str">
        <f>"11787"</f>
        <v>11787</v>
      </c>
      <c r="H9093" s="19" t="s">
        <v>35389</v>
      </c>
      <c r="I9093" s="20">
        <v>17.824000000000002</v>
      </c>
      <c r="J9093" s="44" t="s">
        <v>8</v>
      </c>
      <c r="K9093" s="23" t="s">
        <v>8</v>
      </c>
      <c r="L9093" s="23" t="s">
        <v>8</v>
      </c>
      <c r="M9093" s="23" t="s">
        <v>8</v>
      </c>
    </row>
    <row r="9094" spans="1:13" s="21" customFormat="1" x14ac:dyDescent="0.25">
      <c r="A9094" s="22" t="s">
        <v>8</v>
      </c>
      <c r="B9094" s="18" t="str">
        <f>"335757"</f>
        <v>335757</v>
      </c>
      <c r="C9094" s="19" t="s">
        <v>8964</v>
      </c>
      <c r="D9094" s="19" t="s">
        <v>24509</v>
      </c>
      <c r="E9094" s="19" t="s">
        <v>34071</v>
      </c>
      <c r="F9094" s="19" t="s">
        <v>36006</v>
      </c>
      <c r="G9094" s="18" t="str">
        <f>"14221"</f>
        <v>14221</v>
      </c>
      <c r="H9094" s="19" t="s">
        <v>34805</v>
      </c>
      <c r="I9094" s="20">
        <v>22.053999999999998</v>
      </c>
      <c r="J9094" s="44" t="s">
        <v>8</v>
      </c>
      <c r="K9094" s="23" t="s">
        <v>8</v>
      </c>
      <c r="L9094" s="23" t="s">
        <v>8</v>
      </c>
      <c r="M9094" s="23" t="s">
        <v>8</v>
      </c>
    </row>
    <row r="9095" spans="1:13" s="21" customFormat="1" x14ac:dyDescent="0.25">
      <c r="A9095" s="22" t="s">
        <v>8</v>
      </c>
      <c r="B9095" s="18" t="str">
        <f>"335758"</f>
        <v>335758</v>
      </c>
      <c r="C9095" s="19" t="s">
        <v>8965</v>
      </c>
      <c r="D9095" s="19" t="s">
        <v>24510</v>
      </c>
      <c r="E9095" s="19" t="s">
        <v>34208</v>
      </c>
      <c r="F9095" s="19" t="s">
        <v>36006</v>
      </c>
      <c r="G9095" s="18" t="str">
        <f>"11790"</f>
        <v>11790</v>
      </c>
      <c r="H9095" s="19" t="s">
        <v>35389</v>
      </c>
      <c r="I9095" s="20">
        <v>16.079000000000001</v>
      </c>
      <c r="J9095" s="44" t="s">
        <v>8</v>
      </c>
      <c r="K9095" s="23" t="s">
        <v>8</v>
      </c>
      <c r="L9095" s="23" t="s">
        <v>8</v>
      </c>
      <c r="M9095" s="23" t="s">
        <v>8</v>
      </c>
    </row>
    <row r="9096" spans="1:13" s="21" customFormat="1" x14ac:dyDescent="0.25">
      <c r="A9096" s="22" t="s">
        <v>8</v>
      </c>
      <c r="B9096" s="18" t="str">
        <f>"335759"</f>
        <v>335759</v>
      </c>
      <c r="C9096" s="19" t="s">
        <v>8966</v>
      </c>
      <c r="D9096" s="19" t="s">
        <v>24511</v>
      </c>
      <c r="E9096" s="19" t="s">
        <v>31409</v>
      </c>
      <c r="F9096" s="19" t="s">
        <v>36006</v>
      </c>
      <c r="G9096" s="18" t="str">
        <f>"13815"</f>
        <v>13815</v>
      </c>
      <c r="H9096" s="19" t="s">
        <v>36601</v>
      </c>
      <c r="I9096" s="20">
        <v>21.695</v>
      </c>
      <c r="J9096" s="44" t="s">
        <v>8</v>
      </c>
      <c r="K9096" s="23" t="s">
        <v>8</v>
      </c>
      <c r="L9096" s="23" t="s">
        <v>8</v>
      </c>
      <c r="M9096" s="23" t="s">
        <v>8</v>
      </c>
    </row>
    <row r="9097" spans="1:13" s="21" customFormat="1" x14ac:dyDescent="0.25">
      <c r="A9097" s="22" t="s">
        <v>8</v>
      </c>
      <c r="B9097" s="18" t="str">
        <f>"335760"</f>
        <v>335760</v>
      </c>
      <c r="C9097" s="19" t="s">
        <v>8967</v>
      </c>
      <c r="D9097" s="19" t="s">
        <v>24512</v>
      </c>
      <c r="E9097" s="19" t="s">
        <v>30815</v>
      </c>
      <c r="F9097" s="19" t="s">
        <v>36006</v>
      </c>
      <c r="G9097" s="18" t="str">
        <f>"12180"</f>
        <v>12180</v>
      </c>
      <c r="H9097" s="19" t="s">
        <v>32254</v>
      </c>
      <c r="I9097" s="20">
        <v>17.981000000000002</v>
      </c>
      <c r="J9097" s="44" t="s">
        <v>8</v>
      </c>
      <c r="K9097" s="23" t="s">
        <v>8</v>
      </c>
      <c r="L9097" s="23" t="s">
        <v>8</v>
      </c>
      <c r="M9097" s="23" t="s">
        <v>8</v>
      </c>
    </row>
    <row r="9098" spans="1:13" s="21" customFormat="1" x14ac:dyDescent="0.25">
      <c r="A9098" s="22" t="s">
        <v>8</v>
      </c>
      <c r="B9098" s="18" t="str">
        <f>"335761"</f>
        <v>335761</v>
      </c>
      <c r="C9098" s="19" t="s">
        <v>8968</v>
      </c>
      <c r="D9098" s="19" t="s">
        <v>24513</v>
      </c>
      <c r="E9098" s="19" t="s">
        <v>34182</v>
      </c>
      <c r="F9098" s="19" t="s">
        <v>36006</v>
      </c>
      <c r="G9098" s="18" t="str">
        <f>"11782"</f>
        <v>11782</v>
      </c>
      <c r="H9098" s="19" t="s">
        <v>35389</v>
      </c>
      <c r="I9098" s="20">
        <v>23.574999999999999</v>
      </c>
      <c r="J9098" s="44" t="s">
        <v>8</v>
      </c>
      <c r="K9098" s="23" t="s">
        <v>8</v>
      </c>
      <c r="L9098" s="23" t="s">
        <v>8</v>
      </c>
      <c r="M9098" s="23" t="s">
        <v>8</v>
      </c>
    </row>
    <row r="9099" spans="1:13" s="21" customFormat="1" x14ac:dyDescent="0.25">
      <c r="A9099" s="22" t="s">
        <v>8</v>
      </c>
      <c r="B9099" s="18" t="str">
        <f>"335762"</f>
        <v>335762</v>
      </c>
      <c r="C9099" s="19" t="s">
        <v>8969</v>
      </c>
      <c r="D9099" s="19" t="s">
        <v>24514</v>
      </c>
      <c r="E9099" s="19" t="s">
        <v>34041</v>
      </c>
      <c r="F9099" s="19" t="s">
        <v>36006</v>
      </c>
      <c r="G9099" s="18" t="str">
        <f>"10027"</f>
        <v>10027</v>
      </c>
      <c r="H9099" s="19" t="s">
        <v>34041</v>
      </c>
      <c r="I9099" s="20">
        <v>18.895</v>
      </c>
      <c r="J9099" s="44" t="s">
        <v>8</v>
      </c>
      <c r="K9099" s="23" t="s">
        <v>8</v>
      </c>
      <c r="L9099" s="23" t="s">
        <v>8</v>
      </c>
      <c r="M9099" s="23" t="s">
        <v>8</v>
      </c>
    </row>
    <row r="9100" spans="1:13" s="21" customFormat="1" x14ac:dyDescent="0.25">
      <c r="A9100" s="22" t="s">
        <v>8</v>
      </c>
      <c r="B9100" s="18" t="str">
        <f>"335763"</f>
        <v>335763</v>
      </c>
      <c r="C9100" s="19" t="s">
        <v>8970</v>
      </c>
      <c r="D9100" s="19" t="s">
        <v>24515</v>
      </c>
      <c r="E9100" s="19" t="s">
        <v>34037</v>
      </c>
      <c r="F9100" s="19" t="s">
        <v>36006</v>
      </c>
      <c r="G9100" s="18" t="str">
        <f>"10459"</f>
        <v>10459</v>
      </c>
      <c r="H9100" s="19" t="s">
        <v>34037</v>
      </c>
      <c r="I9100" s="20">
        <v>18.074000000000002</v>
      </c>
      <c r="J9100" s="44" t="s">
        <v>8</v>
      </c>
      <c r="K9100" s="23" t="s">
        <v>8</v>
      </c>
      <c r="L9100" s="23" t="s">
        <v>8</v>
      </c>
      <c r="M9100" s="23" t="s">
        <v>8</v>
      </c>
    </row>
    <row r="9101" spans="1:13" s="21" customFormat="1" x14ac:dyDescent="0.25">
      <c r="A9101" s="22" t="s">
        <v>8</v>
      </c>
      <c r="B9101" s="18" t="str">
        <f>"335764"</f>
        <v>335764</v>
      </c>
      <c r="C9101" s="19" t="s">
        <v>8971</v>
      </c>
      <c r="D9101" s="19" t="s">
        <v>24516</v>
      </c>
      <c r="E9101" s="19" t="s">
        <v>34209</v>
      </c>
      <c r="F9101" s="19" t="s">
        <v>36006</v>
      </c>
      <c r="G9101" s="18" t="str">
        <f>"13078"</f>
        <v>13078</v>
      </c>
      <c r="H9101" s="19" t="s">
        <v>36602</v>
      </c>
      <c r="I9101" s="20">
        <v>15.864000000000001</v>
      </c>
      <c r="J9101" s="44" t="s">
        <v>8</v>
      </c>
      <c r="K9101" s="23" t="s">
        <v>8</v>
      </c>
      <c r="L9101" s="23" t="s">
        <v>8</v>
      </c>
      <c r="M9101" s="23" t="s">
        <v>8</v>
      </c>
    </row>
    <row r="9102" spans="1:13" s="21" customFormat="1" x14ac:dyDescent="0.25">
      <c r="A9102" s="22" t="s">
        <v>8</v>
      </c>
      <c r="B9102" s="18" t="str">
        <f>"335765"</f>
        <v>335765</v>
      </c>
      <c r="C9102" s="19" t="s">
        <v>8972</v>
      </c>
      <c r="D9102" s="19" t="s">
        <v>24517</v>
      </c>
      <c r="E9102" s="19" t="s">
        <v>34210</v>
      </c>
      <c r="F9102" s="19" t="s">
        <v>36006</v>
      </c>
      <c r="G9102" s="18" t="str">
        <f>"12449"</f>
        <v>12449</v>
      </c>
      <c r="H9102" s="19" t="s">
        <v>36603</v>
      </c>
      <c r="I9102" s="20">
        <v>15.781000000000001</v>
      </c>
      <c r="J9102" s="44" t="s">
        <v>8</v>
      </c>
      <c r="K9102" s="23" t="s">
        <v>8</v>
      </c>
      <c r="L9102" s="23" t="s">
        <v>8</v>
      </c>
      <c r="M9102" s="23" t="s">
        <v>8</v>
      </c>
    </row>
    <row r="9103" spans="1:13" s="21" customFormat="1" x14ac:dyDescent="0.25">
      <c r="A9103" s="22" t="s">
        <v>8</v>
      </c>
      <c r="B9103" s="18" t="str">
        <f>"335766"</f>
        <v>335766</v>
      </c>
      <c r="C9103" s="19" t="s">
        <v>8973</v>
      </c>
      <c r="D9103" s="19" t="s">
        <v>24518</v>
      </c>
      <c r="E9103" s="19" t="s">
        <v>34211</v>
      </c>
      <c r="F9103" s="19" t="s">
        <v>36006</v>
      </c>
      <c r="G9103" s="18" t="str">
        <f>"12075"</f>
        <v>12075</v>
      </c>
      <c r="H9103" s="19" t="s">
        <v>32076</v>
      </c>
      <c r="I9103" s="20">
        <v>19.277999999999999</v>
      </c>
      <c r="J9103" s="44" t="s">
        <v>8</v>
      </c>
      <c r="K9103" s="23" t="s">
        <v>8</v>
      </c>
      <c r="L9103" s="23" t="s">
        <v>8</v>
      </c>
      <c r="M9103" s="23" t="s">
        <v>8</v>
      </c>
    </row>
    <row r="9104" spans="1:13" s="21" customFormat="1" x14ac:dyDescent="0.25">
      <c r="A9104" s="22" t="s">
        <v>8</v>
      </c>
      <c r="B9104" s="18" t="str">
        <f>"335767"</f>
        <v>335767</v>
      </c>
      <c r="C9104" s="19" t="s">
        <v>8974</v>
      </c>
      <c r="D9104" s="19" t="s">
        <v>24519</v>
      </c>
      <c r="E9104" s="19" t="s">
        <v>34212</v>
      </c>
      <c r="F9104" s="19" t="s">
        <v>36006</v>
      </c>
      <c r="G9104" s="18" t="str">
        <f>"12084"</f>
        <v>12084</v>
      </c>
      <c r="H9104" s="19" t="s">
        <v>31834</v>
      </c>
      <c r="I9104" s="20">
        <v>16.657</v>
      </c>
      <c r="J9104" s="44" t="s">
        <v>8</v>
      </c>
      <c r="K9104" s="23" t="s">
        <v>8</v>
      </c>
      <c r="L9104" s="23" t="s">
        <v>8</v>
      </c>
      <c r="M9104" s="23" t="s">
        <v>8</v>
      </c>
    </row>
    <row r="9105" spans="1:13" s="21" customFormat="1" x14ac:dyDescent="0.25">
      <c r="A9105" s="22" t="s">
        <v>8</v>
      </c>
      <c r="B9105" s="18" t="str">
        <f>"335768"</f>
        <v>335768</v>
      </c>
      <c r="C9105" s="19" t="s">
        <v>8975</v>
      </c>
      <c r="D9105" s="19" t="s">
        <v>23988</v>
      </c>
      <c r="E9105" s="19" t="s">
        <v>34030</v>
      </c>
      <c r="F9105" s="19" t="s">
        <v>36006</v>
      </c>
      <c r="G9105" s="18" t="str">
        <f>"13045"</f>
        <v>13045</v>
      </c>
      <c r="H9105" s="19" t="s">
        <v>34030</v>
      </c>
      <c r="I9105" s="20">
        <v>21.800999999999998</v>
      </c>
      <c r="J9105" s="44" t="s">
        <v>8</v>
      </c>
      <c r="K9105" s="23" t="s">
        <v>8</v>
      </c>
      <c r="L9105" s="23" t="s">
        <v>8</v>
      </c>
      <c r="M9105" s="23" t="s">
        <v>8</v>
      </c>
    </row>
    <row r="9106" spans="1:13" s="21" customFormat="1" x14ac:dyDescent="0.25">
      <c r="A9106" s="22" t="s">
        <v>8</v>
      </c>
      <c r="B9106" s="18" t="str">
        <f>"335769"</f>
        <v>335769</v>
      </c>
      <c r="C9106" s="19" t="s">
        <v>8976</v>
      </c>
      <c r="D9106" s="19" t="s">
        <v>24520</v>
      </c>
      <c r="E9106" s="19" t="s">
        <v>32267</v>
      </c>
      <c r="F9106" s="19" t="s">
        <v>36006</v>
      </c>
      <c r="G9106" s="18" t="str">
        <f>"14612"</f>
        <v>14612</v>
      </c>
      <c r="H9106" s="19" t="s">
        <v>31711</v>
      </c>
      <c r="I9106" s="20">
        <v>19.021999999999998</v>
      </c>
      <c r="J9106" s="44" t="s">
        <v>8</v>
      </c>
      <c r="K9106" s="23" t="s">
        <v>8</v>
      </c>
      <c r="L9106" s="23" t="s">
        <v>8</v>
      </c>
      <c r="M9106" s="23" t="s">
        <v>8</v>
      </c>
    </row>
    <row r="9107" spans="1:13" s="21" customFormat="1" x14ac:dyDescent="0.25">
      <c r="A9107" s="22" t="s">
        <v>8</v>
      </c>
      <c r="B9107" s="18" t="str">
        <f>"335770"</f>
        <v>335770</v>
      </c>
      <c r="C9107" s="19" t="s">
        <v>8977</v>
      </c>
      <c r="D9107" s="19" t="s">
        <v>24521</v>
      </c>
      <c r="E9107" s="19" t="s">
        <v>34109</v>
      </c>
      <c r="F9107" s="19" t="s">
        <v>36006</v>
      </c>
      <c r="G9107" s="18" t="str">
        <f>"11434"</f>
        <v>11434</v>
      </c>
      <c r="H9107" s="19" t="s">
        <v>36598</v>
      </c>
      <c r="I9107" s="20">
        <v>20.120999999999999</v>
      </c>
      <c r="J9107" s="44" t="s">
        <v>8</v>
      </c>
      <c r="K9107" s="23" t="s">
        <v>8</v>
      </c>
      <c r="L9107" s="23" t="s">
        <v>8</v>
      </c>
      <c r="M9107" s="23" t="s">
        <v>8</v>
      </c>
    </row>
    <row r="9108" spans="1:13" s="21" customFormat="1" x14ac:dyDescent="0.25">
      <c r="A9108" s="22" t="s">
        <v>8</v>
      </c>
      <c r="B9108" s="18" t="str">
        <f>"335771"</f>
        <v>335771</v>
      </c>
      <c r="C9108" s="19" t="s">
        <v>8978</v>
      </c>
      <c r="D9108" s="19" t="s">
        <v>24522</v>
      </c>
      <c r="E9108" s="19" t="s">
        <v>34037</v>
      </c>
      <c r="F9108" s="19" t="s">
        <v>36006</v>
      </c>
      <c r="G9108" s="18" t="str">
        <f>"10465"</f>
        <v>10465</v>
      </c>
      <c r="H9108" s="19" t="s">
        <v>34037</v>
      </c>
      <c r="I9108" s="20">
        <v>17.594999999999999</v>
      </c>
      <c r="J9108" s="44" t="s">
        <v>8</v>
      </c>
      <c r="K9108" s="23" t="s">
        <v>8</v>
      </c>
      <c r="L9108" s="23" t="s">
        <v>8</v>
      </c>
      <c r="M9108" s="23" t="s">
        <v>8</v>
      </c>
    </row>
    <row r="9109" spans="1:13" s="21" customFormat="1" x14ac:dyDescent="0.25">
      <c r="A9109" s="22" t="s">
        <v>8</v>
      </c>
      <c r="B9109" s="18" t="str">
        <f>"335772"</f>
        <v>335772</v>
      </c>
      <c r="C9109" s="19" t="s">
        <v>8979</v>
      </c>
      <c r="D9109" s="19" t="s">
        <v>24523</v>
      </c>
      <c r="E9109" s="19" t="s">
        <v>34058</v>
      </c>
      <c r="F9109" s="19" t="s">
        <v>36006</v>
      </c>
      <c r="G9109" s="18" t="str">
        <f>"10304"</f>
        <v>10304</v>
      </c>
      <c r="H9109" s="19" t="s">
        <v>31178</v>
      </c>
      <c r="I9109" s="20">
        <v>20.984000000000002</v>
      </c>
      <c r="J9109" s="44" t="s">
        <v>8</v>
      </c>
      <c r="K9109" s="23" t="s">
        <v>8</v>
      </c>
      <c r="L9109" s="23" t="s">
        <v>8</v>
      </c>
      <c r="M9109" s="23" t="s">
        <v>8</v>
      </c>
    </row>
    <row r="9110" spans="1:13" s="21" customFormat="1" x14ac:dyDescent="0.25">
      <c r="A9110" s="22" t="s">
        <v>8</v>
      </c>
      <c r="B9110" s="18" t="str">
        <f>"335774"</f>
        <v>335774</v>
      </c>
      <c r="C9110" s="19" t="s">
        <v>8980</v>
      </c>
      <c r="D9110" s="19" t="s">
        <v>24524</v>
      </c>
      <c r="E9110" s="19" t="s">
        <v>34213</v>
      </c>
      <c r="F9110" s="19" t="s">
        <v>36006</v>
      </c>
      <c r="G9110" s="18" t="str">
        <f>"12065"</f>
        <v>12065</v>
      </c>
      <c r="H9110" s="19" t="s">
        <v>31201</v>
      </c>
      <c r="I9110" s="20">
        <v>19.5</v>
      </c>
      <c r="J9110" s="44" t="s">
        <v>8</v>
      </c>
      <c r="K9110" s="23" t="s">
        <v>8</v>
      </c>
      <c r="L9110" s="23" t="s">
        <v>8</v>
      </c>
      <c r="M9110" s="23" t="s">
        <v>8</v>
      </c>
    </row>
    <row r="9111" spans="1:13" s="21" customFormat="1" x14ac:dyDescent="0.25">
      <c r="A9111" s="22" t="s">
        <v>8</v>
      </c>
      <c r="B9111" s="18" t="str">
        <f>"335775"</f>
        <v>335775</v>
      </c>
      <c r="C9111" s="19" t="s">
        <v>8981</v>
      </c>
      <c r="D9111" s="19" t="s">
        <v>24525</v>
      </c>
      <c r="E9111" s="19" t="s">
        <v>34037</v>
      </c>
      <c r="F9111" s="19" t="s">
        <v>36006</v>
      </c>
      <c r="G9111" s="18" t="str">
        <f>"10457"</f>
        <v>10457</v>
      </c>
      <c r="H9111" s="19" t="s">
        <v>34037</v>
      </c>
      <c r="I9111" s="20">
        <v>17.16</v>
      </c>
      <c r="J9111" s="44" t="s">
        <v>8</v>
      </c>
      <c r="K9111" s="23" t="s">
        <v>8</v>
      </c>
      <c r="L9111" s="23" t="s">
        <v>8</v>
      </c>
      <c r="M9111" s="23" t="s">
        <v>8</v>
      </c>
    </row>
    <row r="9112" spans="1:13" s="21" customFormat="1" x14ac:dyDescent="0.25">
      <c r="A9112" s="22" t="s">
        <v>8</v>
      </c>
      <c r="B9112" s="18" t="str">
        <f>"335777"</f>
        <v>335777</v>
      </c>
      <c r="C9112" s="19" t="s">
        <v>8982</v>
      </c>
      <c r="D9112" s="19" t="s">
        <v>24526</v>
      </c>
      <c r="E9112" s="19" t="s">
        <v>34157</v>
      </c>
      <c r="F9112" s="19" t="s">
        <v>36006</v>
      </c>
      <c r="G9112" s="18" t="str">
        <f>"14127"</f>
        <v>14127</v>
      </c>
      <c r="H9112" s="19" t="s">
        <v>34805</v>
      </c>
      <c r="I9112" s="20">
        <v>16.992999999999999</v>
      </c>
      <c r="J9112" s="44" t="s">
        <v>8</v>
      </c>
      <c r="K9112" s="23" t="s">
        <v>8</v>
      </c>
      <c r="L9112" s="23" t="s">
        <v>8</v>
      </c>
      <c r="M9112" s="23" t="s">
        <v>8</v>
      </c>
    </row>
    <row r="9113" spans="1:13" s="21" customFormat="1" x14ac:dyDescent="0.25">
      <c r="A9113" s="22" t="s">
        <v>8</v>
      </c>
      <c r="B9113" s="18" t="str">
        <f>"335778"</f>
        <v>335778</v>
      </c>
      <c r="C9113" s="19" t="s">
        <v>8983</v>
      </c>
      <c r="D9113" s="19" t="s">
        <v>24527</v>
      </c>
      <c r="E9113" s="19" t="s">
        <v>32267</v>
      </c>
      <c r="F9113" s="19" t="s">
        <v>36006</v>
      </c>
      <c r="G9113" s="18" t="str">
        <f>"14618"</f>
        <v>14618</v>
      </c>
      <c r="H9113" s="19" t="s">
        <v>31711</v>
      </c>
      <c r="I9113" s="20">
        <v>16.282</v>
      </c>
      <c r="J9113" s="44" t="s">
        <v>8</v>
      </c>
      <c r="K9113" s="23" t="s">
        <v>8</v>
      </c>
      <c r="L9113" s="23" t="s">
        <v>8</v>
      </c>
      <c r="M9113" s="23" t="s">
        <v>8</v>
      </c>
    </row>
    <row r="9114" spans="1:13" s="21" customFormat="1" x14ac:dyDescent="0.25">
      <c r="A9114" s="22" t="s">
        <v>8</v>
      </c>
      <c r="B9114" s="18" t="str">
        <f>"335780"</f>
        <v>335780</v>
      </c>
      <c r="C9114" s="19" t="s">
        <v>8984</v>
      </c>
      <c r="D9114" s="19" t="s">
        <v>24528</v>
      </c>
      <c r="E9114" s="19" t="s">
        <v>34037</v>
      </c>
      <c r="F9114" s="19" t="s">
        <v>36006</v>
      </c>
      <c r="G9114" s="18" t="str">
        <f>"10457"</f>
        <v>10457</v>
      </c>
      <c r="H9114" s="19" t="s">
        <v>34037</v>
      </c>
      <c r="I9114" s="20">
        <v>19.751000000000001</v>
      </c>
      <c r="J9114" s="44" t="s">
        <v>8</v>
      </c>
      <c r="K9114" s="23" t="s">
        <v>8</v>
      </c>
      <c r="L9114" s="23" t="s">
        <v>8</v>
      </c>
      <c r="M9114" s="23" t="s">
        <v>8</v>
      </c>
    </row>
    <row r="9115" spans="1:13" s="21" customFormat="1" x14ac:dyDescent="0.25">
      <c r="A9115" s="22" t="s">
        <v>8</v>
      </c>
      <c r="B9115" s="18" t="str">
        <f>"335781"</f>
        <v>335781</v>
      </c>
      <c r="C9115" s="19" t="s">
        <v>8985</v>
      </c>
      <c r="D9115" s="19" t="s">
        <v>24529</v>
      </c>
      <c r="E9115" s="19" t="s">
        <v>34041</v>
      </c>
      <c r="F9115" s="19" t="s">
        <v>36006</v>
      </c>
      <c r="G9115" s="18" t="str">
        <f>"10002"</f>
        <v>10002</v>
      </c>
      <c r="H9115" s="19" t="s">
        <v>34041</v>
      </c>
      <c r="I9115" s="20">
        <v>21.696999999999999</v>
      </c>
      <c r="J9115" s="44" t="s">
        <v>8</v>
      </c>
      <c r="K9115" s="23" t="s">
        <v>8</v>
      </c>
      <c r="L9115" s="23" t="s">
        <v>8</v>
      </c>
      <c r="M9115" s="23" t="s">
        <v>8</v>
      </c>
    </row>
    <row r="9116" spans="1:13" s="21" customFormat="1" x14ac:dyDescent="0.25">
      <c r="A9116" s="22" t="s">
        <v>8</v>
      </c>
      <c r="B9116" s="18" t="str">
        <f>"335782"</f>
        <v>335782</v>
      </c>
      <c r="C9116" s="19" t="s">
        <v>8986</v>
      </c>
      <c r="D9116" s="19" t="s">
        <v>24530</v>
      </c>
      <c r="E9116" s="19" t="s">
        <v>34214</v>
      </c>
      <c r="F9116" s="19" t="s">
        <v>36006</v>
      </c>
      <c r="G9116" s="18" t="str">
        <f>"11977"</f>
        <v>11977</v>
      </c>
      <c r="H9116" s="19" t="s">
        <v>35389</v>
      </c>
      <c r="I9116" s="20">
        <v>20.093</v>
      </c>
      <c r="J9116" s="44" t="s">
        <v>8</v>
      </c>
      <c r="K9116" s="23" t="s">
        <v>8</v>
      </c>
      <c r="L9116" s="23" t="s">
        <v>8</v>
      </c>
      <c r="M9116" s="23" t="s">
        <v>8</v>
      </c>
    </row>
    <row r="9117" spans="1:13" s="21" customFormat="1" x14ac:dyDescent="0.25">
      <c r="A9117" s="22" t="s">
        <v>8</v>
      </c>
      <c r="B9117" s="18" t="str">
        <f>"335784"</f>
        <v>335784</v>
      </c>
      <c r="C9117" s="19" t="s">
        <v>8987</v>
      </c>
      <c r="D9117" s="19" t="s">
        <v>24531</v>
      </c>
      <c r="E9117" s="19" t="s">
        <v>34215</v>
      </c>
      <c r="F9117" s="19" t="s">
        <v>36006</v>
      </c>
      <c r="G9117" s="18" t="str">
        <f>"10990"</f>
        <v>10990</v>
      </c>
      <c r="H9117" s="19" t="s">
        <v>31169</v>
      </c>
      <c r="I9117" s="20">
        <v>19.834</v>
      </c>
      <c r="J9117" s="44" t="s">
        <v>8</v>
      </c>
      <c r="K9117" s="23" t="s">
        <v>8</v>
      </c>
      <c r="L9117" s="23" t="s">
        <v>8</v>
      </c>
      <c r="M9117" s="23" t="s">
        <v>8</v>
      </c>
    </row>
    <row r="9118" spans="1:13" s="21" customFormat="1" x14ac:dyDescent="0.25">
      <c r="A9118" s="22" t="s">
        <v>8</v>
      </c>
      <c r="B9118" s="18" t="str">
        <f>"335785"</f>
        <v>335785</v>
      </c>
      <c r="C9118" s="19" t="s">
        <v>8988</v>
      </c>
      <c r="D9118" s="19" t="s">
        <v>24532</v>
      </c>
      <c r="E9118" s="19" t="s">
        <v>30926</v>
      </c>
      <c r="F9118" s="19" t="s">
        <v>36006</v>
      </c>
      <c r="G9118" s="18" t="str">
        <f>"13021"</f>
        <v>13021</v>
      </c>
      <c r="H9118" s="19" t="s">
        <v>36597</v>
      </c>
      <c r="I9118" s="20">
        <v>20.446000000000002</v>
      </c>
      <c r="J9118" s="44" t="s">
        <v>8</v>
      </c>
      <c r="K9118" s="23" t="s">
        <v>8</v>
      </c>
      <c r="L9118" s="23" t="s">
        <v>8</v>
      </c>
      <c r="M9118" s="23" t="s">
        <v>8</v>
      </c>
    </row>
    <row r="9119" spans="1:13" s="21" customFormat="1" x14ac:dyDescent="0.25">
      <c r="A9119" s="22" t="s">
        <v>8</v>
      </c>
      <c r="B9119" s="18" t="str">
        <f>"335786"</f>
        <v>335786</v>
      </c>
      <c r="C9119" s="19" t="s">
        <v>8989</v>
      </c>
      <c r="D9119" s="19" t="s">
        <v>24533</v>
      </c>
      <c r="E9119" s="19" t="s">
        <v>34216</v>
      </c>
      <c r="F9119" s="19" t="s">
        <v>36006</v>
      </c>
      <c r="G9119" s="18" t="str">
        <f>"14534"</f>
        <v>14534</v>
      </c>
      <c r="H9119" s="19" t="s">
        <v>31711</v>
      </c>
      <c r="I9119" s="20">
        <v>17.41</v>
      </c>
      <c r="J9119" s="44" t="s">
        <v>8</v>
      </c>
      <c r="K9119" s="23" t="s">
        <v>8</v>
      </c>
      <c r="L9119" s="23" t="s">
        <v>8</v>
      </c>
      <c r="M9119" s="23" t="s">
        <v>8</v>
      </c>
    </row>
    <row r="9120" spans="1:13" s="21" customFormat="1" x14ac:dyDescent="0.25">
      <c r="A9120" s="22" t="s">
        <v>8</v>
      </c>
      <c r="B9120" s="18" t="str">
        <f>"335787"</f>
        <v>335787</v>
      </c>
      <c r="C9120" s="19" t="s">
        <v>8990</v>
      </c>
      <c r="D9120" s="19" t="s">
        <v>24534</v>
      </c>
      <c r="E9120" s="19" t="s">
        <v>34092</v>
      </c>
      <c r="F9120" s="19" t="s">
        <v>36006</v>
      </c>
      <c r="G9120" s="18" t="str">
        <f>"11550"</f>
        <v>11550</v>
      </c>
      <c r="H9120" s="19" t="s">
        <v>36144</v>
      </c>
      <c r="I9120" s="20">
        <v>18.989999999999998</v>
      </c>
      <c r="J9120" s="44" t="s">
        <v>8</v>
      </c>
      <c r="K9120" s="23" t="s">
        <v>8</v>
      </c>
      <c r="L9120" s="23" t="s">
        <v>8</v>
      </c>
      <c r="M9120" s="23" t="s">
        <v>8</v>
      </c>
    </row>
    <row r="9121" spans="1:13" s="21" customFormat="1" x14ac:dyDescent="0.25">
      <c r="A9121" s="22" t="s">
        <v>8</v>
      </c>
      <c r="B9121" s="18" t="str">
        <f>"335788"</f>
        <v>335788</v>
      </c>
      <c r="C9121" s="19" t="s">
        <v>8991</v>
      </c>
      <c r="D9121" s="19" t="s">
        <v>24535</v>
      </c>
      <c r="E9121" s="19" t="s">
        <v>31985</v>
      </c>
      <c r="F9121" s="19" t="s">
        <v>36006</v>
      </c>
      <c r="G9121" s="18" t="str">
        <f>"14020"</f>
        <v>14020</v>
      </c>
      <c r="H9121" s="19" t="s">
        <v>36432</v>
      </c>
      <c r="I9121" s="20">
        <v>18.472000000000001</v>
      </c>
      <c r="J9121" s="44" t="s">
        <v>8</v>
      </c>
      <c r="K9121" s="23" t="s">
        <v>8</v>
      </c>
      <c r="L9121" s="23" t="s">
        <v>8</v>
      </c>
      <c r="M9121" s="23" t="s">
        <v>8</v>
      </c>
    </row>
    <row r="9122" spans="1:13" s="21" customFormat="1" x14ac:dyDescent="0.25">
      <c r="A9122" s="22" t="s">
        <v>8</v>
      </c>
      <c r="B9122" s="18" t="str">
        <f>"335789"</f>
        <v>335789</v>
      </c>
      <c r="C9122" s="19" t="s">
        <v>8992</v>
      </c>
      <c r="D9122" s="19" t="s">
        <v>24536</v>
      </c>
      <c r="E9122" s="19" t="s">
        <v>34217</v>
      </c>
      <c r="F9122" s="19" t="s">
        <v>36006</v>
      </c>
      <c r="G9122" s="18" t="str">
        <f>"12524"</f>
        <v>12524</v>
      </c>
      <c r="H9122" s="19" t="s">
        <v>36604</v>
      </c>
      <c r="I9122" s="20">
        <v>25.773</v>
      </c>
      <c r="J9122" s="44" t="s">
        <v>8</v>
      </c>
      <c r="K9122" s="23" t="s">
        <v>8</v>
      </c>
      <c r="L9122" s="23" t="s">
        <v>8</v>
      </c>
      <c r="M9122" s="23" t="s">
        <v>8</v>
      </c>
    </row>
    <row r="9123" spans="1:13" s="21" customFormat="1" x14ac:dyDescent="0.25">
      <c r="A9123" s="22" t="s">
        <v>8</v>
      </c>
      <c r="B9123" s="18" t="str">
        <f>"335790"</f>
        <v>335790</v>
      </c>
      <c r="C9123" s="19" t="s">
        <v>8993</v>
      </c>
      <c r="D9123" s="19" t="s">
        <v>24537</v>
      </c>
      <c r="E9123" s="19" t="s">
        <v>34120</v>
      </c>
      <c r="F9123" s="19" t="s">
        <v>36006</v>
      </c>
      <c r="G9123" s="18" t="str">
        <f>"14304"</f>
        <v>14304</v>
      </c>
      <c r="H9123" s="19" t="s">
        <v>35632</v>
      </c>
      <c r="I9123" s="20">
        <v>16.927</v>
      </c>
      <c r="J9123" s="44" t="s">
        <v>8</v>
      </c>
      <c r="K9123" s="23" t="s">
        <v>8</v>
      </c>
      <c r="L9123" s="23" t="s">
        <v>8</v>
      </c>
      <c r="M9123" s="23" t="s">
        <v>8</v>
      </c>
    </row>
    <row r="9124" spans="1:13" s="21" customFormat="1" x14ac:dyDescent="0.25">
      <c r="A9124" s="22" t="s">
        <v>8</v>
      </c>
      <c r="B9124" s="18" t="str">
        <f>"335791"</f>
        <v>335791</v>
      </c>
      <c r="C9124" s="19" t="s">
        <v>8994</v>
      </c>
      <c r="D9124" s="19" t="s">
        <v>24538</v>
      </c>
      <c r="E9124" s="19" t="s">
        <v>34218</v>
      </c>
      <c r="F9124" s="19" t="s">
        <v>36006</v>
      </c>
      <c r="G9124" s="18" t="str">
        <f>"11377"</f>
        <v>11377</v>
      </c>
      <c r="H9124" s="19" t="s">
        <v>36598</v>
      </c>
      <c r="I9124" s="20">
        <v>21.396999999999998</v>
      </c>
      <c r="J9124" s="44" t="s">
        <v>8</v>
      </c>
      <c r="K9124" s="23" t="s">
        <v>8</v>
      </c>
      <c r="L9124" s="23" t="s">
        <v>8</v>
      </c>
      <c r="M9124" s="23" t="s">
        <v>8</v>
      </c>
    </row>
    <row r="9125" spans="1:13" s="21" customFormat="1" x14ac:dyDescent="0.25">
      <c r="A9125" s="22" t="s">
        <v>8</v>
      </c>
      <c r="B9125" s="18" t="str">
        <f>"335792"</f>
        <v>335792</v>
      </c>
      <c r="C9125" s="19" t="s">
        <v>8995</v>
      </c>
      <c r="D9125" s="19" t="s">
        <v>24539</v>
      </c>
      <c r="E9125" s="19" t="s">
        <v>34041</v>
      </c>
      <c r="F9125" s="19" t="s">
        <v>36006</v>
      </c>
      <c r="G9125" s="18" t="str">
        <f>"10035"</f>
        <v>10035</v>
      </c>
      <c r="H9125" s="19" t="s">
        <v>34041</v>
      </c>
      <c r="I9125" s="20">
        <v>21.744</v>
      </c>
      <c r="J9125" s="44" t="s">
        <v>8</v>
      </c>
      <c r="K9125" s="23" t="s">
        <v>8</v>
      </c>
      <c r="L9125" s="23" t="s">
        <v>8</v>
      </c>
      <c r="M9125" s="23" t="s">
        <v>8</v>
      </c>
    </row>
    <row r="9126" spans="1:13" s="21" customFormat="1" x14ac:dyDescent="0.25">
      <c r="A9126" s="22" t="s">
        <v>8</v>
      </c>
      <c r="B9126" s="18" t="str">
        <f>"335793"</f>
        <v>335793</v>
      </c>
      <c r="C9126" s="19" t="s">
        <v>8996</v>
      </c>
      <c r="D9126" s="19" t="s">
        <v>24540</v>
      </c>
      <c r="E9126" s="19" t="s">
        <v>34034</v>
      </c>
      <c r="F9126" s="19" t="s">
        <v>36006</v>
      </c>
      <c r="G9126" s="18" t="str">
        <f>"14850"</f>
        <v>14850</v>
      </c>
      <c r="H9126" s="19" t="s">
        <v>36596</v>
      </c>
      <c r="I9126" s="20">
        <v>18.082999999999998</v>
      </c>
      <c r="J9126" s="44" t="s">
        <v>8</v>
      </c>
      <c r="K9126" s="23" t="s">
        <v>8</v>
      </c>
      <c r="L9126" s="23" t="s">
        <v>8</v>
      </c>
      <c r="M9126" s="23" t="s">
        <v>8</v>
      </c>
    </row>
    <row r="9127" spans="1:13" s="21" customFormat="1" x14ac:dyDescent="0.25">
      <c r="A9127" s="22" t="s">
        <v>8</v>
      </c>
      <c r="B9127" s="18" t="str">
        <f>"335794"</f>
        <v>335794</v>
      </c>
      <c r="C9127" s="19" t="s">
        <v>8997</v>
      </c>
      <c r="D9127" s="19" t="s">
        <v>24541</v>
      </c>
      <c r="E9127" s="19" t="s">
        <v>33304</v>
      </c>
      <c r="F9127" s="19" t="s">
        <v>36006</v>
      </c>
      <c r="G9127" s="18" t="str">
        <f>"13501"</f>
        <v>13501</v>
      </c>
      <c r="H9127" s="19" t="s">
        <v>34140</v>
      </c>
      <c r="I9127" s="20">
        <v>17.963000000000001</v>
      </c>
      <c r="J9127" s="44" t="s">
        <v>8</v>
      </c>
      <c r="K9127" s="23" t="s">
        <v>8</v>
      </c>
      <c r="L9127" s="23" t="s">
        <v>8</v>
      </c>
      <c r="M9127" s="23" t="s">
        <v>8</v>
      </c>
    </row>
    <row r="9128" spans="1:13" s="21" customFormat="1" x14ac:dyDescent="0.25">
      <c r="A9128" s="22" t="s">
        <v>8</v>
      </c>
      <c r="B9128" s="18" t="str">
        <f>"335795"</f>
        <v>335795</v>
      </c>
      <c r="C9128" s="19" t="s">
        <v>8998</v>
      </c>
      <c r="D9128" s="19" t="s">
        <v>24542</v>
      </c>
      <c r="E9128" s="19" t="s">
        <v>34219</v>
      </c>
      <c r="F9128" s="19" t="s">
        <v>36006</v>
      </c>
      <c r="G9128" s="18" t="str">
        <f>"10706"</f>
        <v>10706</v>
      </c>
      <c r="H9128" s="19" t="s">
        <v>32061</v>
      </c>
      <c r="I9128" s="20">
        <v>17.611000000000001</v>
      </c>
      <c r="J9128" s="44" t="s">
        <v>8</v>
      </c>
      <c r="K9128" s="23" t="s">
        <v>8</v>
      </c>
      <c r="L9128" s="23" t="s">
        <v>8</v>
      </c>
      <c r="M9128" s="23" t="s">
        <v>8</v>
      </c>
    </row>
    <row r="9129" spans="1:13" s="21" customFormat="1" x14ac:dyDescent="0.25">
      <c r="A9129" s="22" t="s">
        <v>8</v>
      </c>
      <c r="B9129" s="18" t="str">
        <f>"335796"</f>
        <v>335796</v>
      </c>
      <c r="C9129" s="19" t="s">
        <v>8999</v>
      </c>
      <c r="D9129" s="19" t="s">
        <v>24543</v>
      </c>
      <c r="E9129" s="19" t="s">
        <v>31947</v>
      </c>
      <c r="F9129" s="19" t="s">
        <v>36006</v>
      </c>
      <c r="G9129" s="18" t="str">
        <f>"11520"</f>
        <v>11520</v>
      </c>
      <c r="H9129" s="19" t="s">
        <v>36144</v>
      </c>
      <c r="I9129" s="20">
        <v>20.204999999999998</v>
      </c>
      <c r="J9129" s="44" t="s">
        <v>8</v>
      </c>
      <c r="K9129" s="23" t="s">
        <v>8</v>
      </c>
      <c r="L9129" s="23" t="s">
        <v>8</v>
      </c>
      <c r="M9129" s="23" t="s">
        <v>8</v>
      </c>
    </row>
    <row r="9130" spans="1:13" s="21" customFormat="1" x14ac:dyDescent="0.25">
      <c r="A9130" s="22" t="s">
        <v>8</v>
      </c>
      <c r="B9130" s="18" t="str">
        <f>"335797"</f>
        <v>335797</v>
      </c>
      <c r="C9130" s="19" t="s">
        <v>9000</v>
      </c>
      <c r="D9130" s="19" t="s">
        <v>24544</v>
      </c>
      <c r="E9130" s="19" t="s">
        <v>33869</v>
      </c>
      <c r="F9130" s="19" t="s">
        <v>36006</v>
      </c>
      <c r="G9130" s="18" t="str">
        <f>"10580"</f>
        <v>10580</v>
      </c>
      <c r="H9130" s="19" t="s">
        <v>32061</v>
      </c>
      <c r="I9130" s="20">
        <v>17.334</v>
      </c>
      <c r="J9130" s="44" t="s">
        <v>8</v>
      </c>
      <c r="K9130" s="23" t="s">
        <v>8</v>
      </c>
      <c r="L9130" s="23" t="s">
        <v>8</v>
      </c>
      <c r="M9130" s="23" t="s">
        <v>8</v>
      </c>
    </row>
    <row r="9131" spans="1:13" s="21" customFormat="1" x14ac:dyDescent="0.25">
      <c r="A9131" s="22" t="s">
        <v>8</v>
      </c>
      <c r="B9131" s="18" t="str">
        <f>"335798"</f>
        <v>335798</v>
      </c>
      <c r="C9131" s="19" t="s">
        <v>9001</v>
      </c>
      <c r="D9131" s="19" t="s">
        <v>24545</v>
      </c>
      <c r="E9131" s="19" t="s">
        <v>34040</v>
      </c>
      <c r="F9131" s="19" t="s">
        <v>36006</v>
      </c>
      <c r="G9131" s="18" t="str">
        <f>"11553"</f>
        <v>11553</v>
      </c>
      <c r="H9131" s="19" t="s">
        <v>36144</v>
      </c>
      <c r="I9131" s="20">
        <v>18.794</v>
      </c>
      <c r="J9131" s="44" t="s">
        <v>8</v>
      </c>
      <c r="K9131" s="23" t="s">
        <v>8</v>
      </c>
      <c r="L9131" s="23" t="s">
        <v>8</v>
      </c>
      <c r="M9131" s="23" t="s">
        <v>8</v>
      </c>
    </row>
    <row r="9132" spans="1:13" s="21" customFormat="1" x14ac:dyDescent="0.25">
      <c r="A9132" s="22" t="s">
        <v>8</v>
      </c>
      <c r="B9132" s="18" t="str">
        <f>"335799"</f>
        <v>335799</v>
      </c>
      <c r="C9132" s="19" t="s">
        <v>9002</v>
      </c>
      <c r="D9132" s="19" t="s">
        <v>24546</v>
      </c>
      <c r="E9132" s="19" t="s">
        <v>33182</v>
      </c>
      <c r="F9132" s="19" t="s">
        <v>36006</v>
      </c>
      <c r="G9132" s="18" t="str">
        <f>"11354"</f>
        <v>11354</v>
      </c>
      <c r="H9132" s="19" t="s">
        <v>36598</v>
      </c>
      <c r="I9132" s="20">
        <v>17.933</v>
      </c>
      <c r="J9132" s="44" t="s">
        <v>8</v>
      </c>
      <c r="K9132" s="23" t="s">
        <v>8</v>
      </c>
      <c r="L9132" s="23" t="s">
        <v>8</v>
      </c>
      <c r="M9132" s="23" t="s">
        <v>8</v>
      </c>
    </row>
    <row r="9133" spans="1:13" s="21" customFormat="1" x14ac:dyDescent="0.25">
      <c r="A9133" s="22" t="s">
        <v>8</v>
      </c>
      <c r="B9133" s="18" t="str">
        <f>"335800"</f>
        <v>335800</v>
      </c>
      <c r="C9133" s="19" t="s">
        <v>9003</v>
      </c>
      <c r="D9133" s="19" t="s">
        <v>24547</v>
      </c>
      <c r="E9133" s="19" t="s">
        <v>34209</v>
      </c>
      <c r="F9133" s="19" t="s">
        <v>36006</v>
      </c>
      <c r="G9133" s="18" t="str">
        <f>"13078"</f>
        <v>13078</v>
      </c>
      <c r="H9133" s="19" t="s">
        <v>36602</v>
      </c>
      <c r="I9133" s="20">
        <v>18.023</v>
      </c>
      <c r="J9133" s="44" t="s">
        <v>8</v>
      </c>
      <c r="K9133" s="23" t="s">
        <v>8</v>
      </c>
      <c r="L9133" s="23" t="s">
        <v>8</v>
      </c>
      <c r="M9133" s="23" t="s">
        <v>8</v>
      </c>
    </row>
    <row r="9134" spans="1:13" s="21" customFormat="1" x14ac:dyDescent="0.25">
      <c r="A9134" s="22" t="s">
        <v>8</v>
      </c>
      <c r="B9134" s="18" t="str">
        <f>"335801"</f>
        <v>335801</v>
      </c>
      <c r="C9134" s="19" t="s">
        <v>9004</v>
      </c>
      <c r="D9134" s="19" t="s">
        <v>24548</v>
      </c>
      <c r="E9134" s="19" t="s">
        <v>33304</v>
      </c>
      <c r="F9134" s="19" t="s">
        <v>36006</v>
      </c>
      <c r="G9134" s="18" t="str">
        <f>"13504"</f>
        <v>13504</v>
      </c>
      <c r="H9134" s="19" t="s">
        <v>34140</v>
      </c>
      <c r="I9134" s="20">
        <v>21.530999999999999</v>
      </c>
      <c r="J9134" s="44" t="s">
        <v>8</v>
      </c>
      <c r="K9134" s="23" t="s">
        <v>8</v>
      </c>
      <c r="L9134" s="23" t="s">
        <v>8</v>
      </c>
      <c r="M9134" s="23" t="s">
        <v>8</v>
      </c>
    </row>
    <row r="9135" spans="1:13" s="21" customFormat="1" x14ac:dyDescent="0.25">
      <c r="A9135" s="22" t="s">
        <v>8</v>
      </c>
      <c r="B9135" s="18" t="str">
        <f>"335802"</f>
        <v>335802</v>
      </c>
      <c r="C9135" s="19" t="s">
        <v>9005</v>
      </c>
      <c r="D9135" s="19" t="s">
        <v>24458</v>
      </c>
      <c r="E9135" s="19" t="s">
        <v>32233</v>
      </c>
      <c r="F9135" s="19" t="s">
        <v>36006</v>
      </c>
      <c r="G9135" s="18" t="str">
        <f>"10924"</f>
        <v>10924</v>
      </c>
      <c r="H9135" s="19" t="s">
        <v>31169</v>
      </c>
      <c r="I9135" s="20">
        <v>17.210999999999999</v>
      </c>
      <c r="J9135" s="44" t="s">
        <v>8</v>
      </c>
      <c r="K9135" s="23" t="s">
        <v>8</v>
      </c>
      <c r="L9135" s="23" t="s">
        <v>8</v>
      </c>
      <c r="M9135" s="23" t="s">
        <v>8</v>
      </c>
    </row>
    <row r="9136" spans="1:13" s="21" customFormat="1" x14ac:dyDescent="0.25">
      <c r="A9136" s="22" t="s">
        <v>8</v>
      </c>
      <c r="B9136" s="18" t="str">
        <f>"335803"</f>
        <v>335803</v>
      </c>
      <c r="C9136" s="19" t="s">
        <v>9006</v>
      </c>
      <c r="D9136" s="19" t="s">
        <v>24549</v>
      </c>
      <c r="E9136" s="19" t="s">
        <v>31280</v>
      </c>
      <c r="F9136" s="19" t="s">
        <v>36006</v>
      </c>
      <c r="G9136" s="18" t="str">
        <f>"12528"</f>
        <v>12528</v>
      </c>
      <c r="H9136" s="19" t="s">
        <v>36603</v>
      </c>
      <c r="I9136" s="20">
        <v>18.776</v>
      </c>
      <c r="J9136" s="44" t="s">
        <v>8</v>
      </c>
      <c r="K9136" s="23" t="s">
        <v>8</v>
      </c>
      <c r="L9136" s="23" t="s">
        <v>8</v>
      </c>
      <c r="M9136" s="23" t="s">
        <v>8</v>
      </c>
    </row>
    <row r="9137" spans="1:13" s="21" customFormat="1" x14ac:dyDescent="0.25">
      <c r="A9137" s="22" t="s">
        <v>8</v>
      </c>
      <c r="B9137" s="18" t="str">
        <f>"335804"</f>
        <v>335804</v>
      </c>
      <c r="C9137" s="19" t="s">
        <v>9007</v>
      </c>
      <c r="D9137" s="19" t="s">
        <v>24550</v>
      </c>
      <c r="E9137" s="19" t="s">
        <v>33182</v>
      </c>
      <c r="F9137" s="19" t="s">
        <v>36006</v>
      </c>
      <c r="G9137" s="18" t="str">
        <f>"11354"</f>
        <v>11354</v>
      </c>
      <c r="H9137" s="19" t="s">
        <v>36598</v>
      </c>
      <c r="I9137" s="20">
        <v>18.806000000000001</v>
      </c>
      <c r="J9137" s="44" t="s">
        <v>8</v>
      </c>
      <c r="K9137" s="23" t="s">
        <v>8</v>
      </c>
      <c r="L9137" s="23" t="s">
        <v>8</v>
      </c>
      <c r="M9137" s="23" t="s">
        <v>8</v>
      </c>
    </row>
    <row r="9138" spans="1:13" s="21" customFormat="1" x14ac:dyDescent="0.25">
      <c r="A9138" s="22" t="s">
        <v>8</v>
      </c>
      <c r="B9138" s="18" t="str">
        <f>"335805"</f>
        <v>335805</v>
      </c>
      <c r="C9138" s="19" t="s">
        <v>9008</v>
      </c>
      <c r="D9138" s="19" t="s">
        <v>24551</v>
      </c>
      <c r="E9138" s="19" t="s">
        <v>31443</v>
      </c>
      <c r="F9138" s="19" t="s">
        <v>36006</v>
      </c>
      <c r="G9138" s="18" t="str">
        <f>"11203"</f>
        <v>11203</v>
      </c>
      <c r="H9138" s="19" t="s">
        <v>36091</v>
      </c>
      <c r="I9138" s="20">
        <v>22.347000000000001</v>
      </c>
      <c r="J9138" s="44" t="s">
        <v>8</v>
      </c>
      <c r="K9138" s="23" t="s">
        <v>8</v>
      </c>
      <c r="L9138" s="23" t="s">
        <v>8</v>
      </c>
      <c r="M9138" s="23" t="s">
        <v>8</v>
      </c>
    </row>
    <row r="9139" spans="1:13" s="21" customFormat="1" x14ac:dyDescent="0.25">
      <c r="A9139" s="22" t="s">
        <v>8</v>
      </c>
      <c r="B9139" s="18" t="str">
        <f>"335806"</f>
        <v>335806</v>
      </c>
      <c r="C9139" s="19" t="s">
        <v>9009</v>
      </c>
      <c r="D9139" s="19" t="s">
        <v>24552</v>
      </c>
      <c r="E9139" s="19" t="s">
        <v>34158</v>
      </c>
      <c r="F9139" s="19" t="s">
        <v>36006</v>
      </c>
      <c r="G9139" s="18" t="str">
        <f>"10520"</f>
        <v>10520</v>
      </c>
      <c r="H9139" s="19" t="s">
        <v>32061</v>
      </c>
      <c r="I9139" s="20">
        <v>18.73</v>
      </c>
      <c r="J9139" s="44" t="s">
        <v>8</v>
      </c>
      <c r="K9139" s="23" t="s">
        <v>8</v>
      </c>
      <c r="L9139" s="23" t="s">
        <v>8</v>
      </c>
      <c r="M9139" s="23" t="s">
        <v>8</v>
      </c>
    </row>
    <row r="9140" spans="1:13" s="21" customFormat="1" x14ac:dyDescent="0.25">
      <c r="A9140" s="22" t="s">
        <v>8</v>
      </c>
      <c r="B9140" s="18" t="str">
        <f>"335808"</f>
        <v>335808</v>
      </c>
      <c r="C9140" s="19" t="s">
        <v>9010</v>
      </c>
      <c r="D9140" s="19" t="s">
        <v>24553</v>
      </c>
      <c r="E9140" s="19" t="s">
        <v>34092</v>
      </c>
      <c r="F9140" s="19" t="s">
        <v>36006</v>
      </c>
      <c r="G9140" s="18" t="str">
        <f>"11550"</f>
        <v>11550</v>
      </c>
      <c r="H9140" s="19" t="s">
        <v>36144</v>
      </c>
      <c r="I9140" s="20">
        <v>17.477</v>
      </c>
      <c r="J9140" s="44" t="s">
        <v>8</v>
      </c>
      <c r="K9140" s="23" t="s">
        <v>8</v>
      </c>
      <c r="L9140" s="23" t="s">
        <v>8</v>
      </c>
      <c r="M9140" s="23" t="s">
        <v>8</v>
      </c>
    </row>
    <row r="9141" spans="1:13" s="21" customFormat="1" x14ac:dyDescent="0.25">
      <c r="A9141" s="22" t="s">
        <v>8</v>
      </c>
      <c r="B9141" s="18" t="str">
        <f>"335809"</f>
        <v>335809</v>
      </c>
      <c r="C9141" s="19" t="s">
        <v>9011</v>
      </c>
      <c r="D9141" s="19" t="s">
        <v>24554</v>
      </c>
      <c r="E9141" s="19" t="s">
        <v>34220</v>
      </c>
      <c r="F9141" s="19" t="s">
        <v>36006</v>
      </c>
      <c r="G9141" s="18" t="str">
        <f>"10595"</f>
        <v>10595</v>
      </c>
      <c r="H9141" s="19" t="s">
        <v>32061</v>
      </c>
      <c r="I9141" s="20">
        <v>18.189</v>
      </c>
      <c r="J9141" s="44" t="s">
        <v>8</v>
      </c>
      <c r="K9141" s="23" t="s">
        <v>8</v>
      </c>
      <c r="L9141" s="23" t="s">
        <v>8</v>
      </c>
      <c r="M9141" s="23" t="s">
        <v>8</v>
      </c>
    </row>
    <row r="9142" spans="1:13" s="21" customFormat="1" x14ac:dyDescent="0.25">
      <c r="A9142" s="22" t="s">
        <v>8</v>
      </c>
      <c r="B9142" s="18" t="str">
        <f>"335810"</f>
        <v>335810</v>
      </c>
      <c r="C9142" s="19" t="s">
        <v>9012</v>
      </c>
      <c r="D9142" s="19" t="s">
        <v>24555</v>
      </c>
      <c r="E9142" s="19" t="s">
        <v>34147</v>
      </c>
      <c r="F9142" s="19" t="s">
        <v>36006</v>
      </c>
      <c r="G9142" s="18" t="str">
        <f>"12603"</f>
        <v>12603</v>
      </c>
      <c r="H9142" s="19" t="s">
        <v>36604</v>
      </c>
      <c r="I9142" s="20">
        <v>19.335999999999999</v>
      </c>
      <c r="J9142" s="44" t="s">
        <v>8</v>
      </c>
      <c r="K9142" s="23" t="s">
        <v>8</v>
      </c>
      <c r="L9142" s="23" t="s">
        <v>8</v>
      </c>
      <c r="M9142" s="23" t="s">
        <v>8</v>
      </c>
    </row>
    <row r="9143" spans="1:13" s="21" customFormat="1" x14ac:dyDescent="0.25">
      <c r="A9143" s="22" t="s">
        <v>8</v>
      </c>
      <c r="B9143" s="18" t="str">
        <f>"335811"</f>
        <v>335811</v>
      </c>
      <c r="C9143" s="19" t="s">
        <v>9013</v>
      </c>
      <c r="D9143" s="19" t="s">
        <v>24556</v>
      </c>
      <c r="E9143" s="19" t="s">
        <v>31443</v>
      </c>
      <c r="F9143" s="19" t="s">
        <v>36006</v>
      </c>
      <c r="G9143" s="18" t="str">
        <f>"11207"</f>
        <v>11207</v>
      </c>
      <c r="H9143" s="19" t="s">
        <v>36091</v>
      </c>
      <c r="I9143" s="20">
        <v>19.231999999999999</v>
      </c>
      <c r="J9143" s="44" t="s">
        <v>8</v>
      </c>
      <c r="K9143" s="23" t="s">
        <v>8</v>
      </c>
      <c r="L9143" s="23" t="s">
        <v>8</v>
      </c>
      <c r="M9143" s="23" t="s">
        <v>8</v>
      </c>
    </row>
    <row r="9144" spans="1:13" s="21" customFormat="1" x14ac:dyDescent="0.25">
      <c r="A9144" s="22" t="s">
        <v>8</v>
      </c>
      <c r="B9144" s="18" t="str">
        <f>"335812"</f>
        <v>335812</v>
      </c>
      <c r="C9144" s="19" t="s">
        <v>9014</v>
      </c>
      <c r="D9144" s="19" t="s">
        <v>24557</v>
      </c>
      <c r="E9144" s="19" t="s">
        <v>31834</v>
      </c>
      <c r="F9144" s="19" t="s">
        <v>36006</v>
      </c>
      <c r="G9144" s="18" t="str">
        <f>"12204"</f>
        <v>12204</v>
      </c>
      <c r="H9144" s="19" t="s">
        <v>31834</v>
      </c>
      <c r="I9144" s="20">
        <v>17.533999999999999</v>
      </c>
      <c r="J9144" s="44" t="s">
        <v>8</v>
      </c>
      <c r="K9144" s="23" t="s">
        <v>8</v>
      </c>
      <c r="L9144" s="23" t="s">
        <v>8</v>
      </c>
      <c r="M9144" s="23" t="s">
        <v>8</v>
      </c>
    </row>
    <row r="9145" spans="1:13" s="21" customFormat="1" x14ac:dyDescent="0.25">
      <c r="A9145" s="22" t="s">
        <v>8</v>
      </c>
      <c r="B9145" s="18" t="str">
        <f>"335814"</f>
        <v>335814</v>
      </c>
      <c r="C9145" s="19" t="s">
        <v>9015</v>
      </c>
      <c r="D9145" s="19" t="s">
        <v>24558</v>
      </c>
      <c r="E9145" s="19" t="s">
        <v>34221</v>
      </c>
      <c r="F9145" s="19" t="s">
        <v>36006</v>
      </c>
      <c r="G9145" s="18" t="str">
        <f>"11369"</f>
        <v>11369</v>
      </c>
      <c r="H9145" s="19" t="s">
        <v>36598</v>
      </c>
      <c r="I9145" s="20">
        <v>18.756</v>
      </c>
      <c r="J9145" s="44" t="s">
        <v>8</v>
      </c>
      <c r="K9145" s="23" t="s">
        <v>8</v>
      </c>
      <c r="L9145" s="23" t="s">
        <v>8</v>
      </c>
      <c r="M9145" s="23" t="s">
        <v>8</v>
      </c>
    </row>
    <row r="9146" spans="1:13" s="21" customFormat="1" x14ac:dyDescent="0.25">
      <c r="A9146" s="22" t="s">
        <v>8</v>
      </c>
      <c r="B9146" s="18" t="str">
        <f>"335815"</f>
        <v>335815</v>
      </c>
      <c r="C9146" s="19" t="s">
        <v>9016</v>
      </c>
      <c r="D9146" s="19" t="s">
        <v>24559</v>
      </c>
      <c r="E9146" s="19" t="s">
        <v>32150</v>
      </c>
      <c r="F9146" s="19" t="s">
        <v>36006</v>
      </c>
      <c r="G9146" s="18" t="str">
        <f>"13126"</f>
        <v>13126</v>
      </c>
      <c r="H9146" s="19" t="s">
        <v>32150</v>
      </c>
      <c r="I9146" s="20">
        <v>16.128</v>
      </c>
      <c r="J9146" s="44" t="s">
        <v>8</v>
      </c>
      <c r="K9146" s="23" t="s">
        <v>8</v>
      </c>
      <c r="L9146" s="23" t="s">
        <v>8</v>
      </c>
      <c r="M9146" s="23" t="s">
        <v>8</v>
      </c>
    </row>
    <row r="9147" spans="1:13" s="21" customFormat="1" x14ac:dyDescent="0.25">
      <c r="A9147" s="22" t="s">
        <v>8</v>
      </c>
      <c r="B9147" s="18" t="str">
        <f>"335816"</f>
        <v>335816</v>
      </c>
      <c r="C9147" s="19" t="s">
        <v>766</v>
      </c>
      <c r="D9147" s="19" t="s">
        <v>24560</v>
      </c>
      <c r="E9147" s="19" t="s">
        <v>34071</v>
      </c>
      <c r="F9147" s="19" t="s">
        <v>36006</v>
      </c>
      <c r="G9147" s="18" t="str">
        <f>"14221"</f>
        <v>14221</v>
      </c>
      <c r="H9147" s="19" t="s">
        <v>34805</v>
      </c>
      <c r="I9147" s="20">
        <v>18.395</v>
      </c>
      <c r="J9147" s="44" t="s">
        <v>8</v>
      </c>
      <c r="K9147" s="23" t="s">
        <v>8</v>
      </c>
      <c r="L9147" s="23" t="s">
        <v>8</v>
      </c>
      <c r="M9147" s="23" t="s">
        <v>8</v>
      </c>
    </row>
    <row r="9148" spans="1:13" s="21" customFormat="1" x14ac:dyDescent="0.25">
      <c r="A9148" s="22" t="s">
        <v>8</v>
      </c>
      <c r="B9148" s="18" t="str">
        <f>"335817"</f>
        <v>335817</v>
      </c>
      <c r="C9148" s="19" t="s">
        <v>9017</v>
      </c>
      <c r="D9148" s="19" t="s">
        <v>24561</v>
      </c>
      <c r="E9148" s="19" t="s">
        <v>34222</v>
      </c>
      <c r="F9148" s="19" t="s">
        <v>36006</v>
      </c>
      <c r="G9148" s="18" t="str">
        <f>"11010"</f>
        <v>11010</v>
      </c>
      <c r="H9148" s="19" t="s">
        <v>36144</v>
      </c>
      <c r="I9148" s="20">
        <v>18.536000000000001</v>
      </c>
      <c r="J9148" s="44" t="s">
        <v>8</v>
      </c>
      <c r="K9148" s="23" t="s">
        <v>8</v>
      </c>
      <c r="L9148" s="23" t="s">
        <v>8</v>
      </c>
      <c r="M9148" s="23" t="s">
        <v>8</v>
      </c>
    </row>
    <row r="9149" spans="1:13" s="21" customFormat="1" x14ac:dyDescent="0.25">
      <c r="A9149" s="22" t="s">
        <v>8</v>
      </c>
      <c r="B9149" s="18" t="str">
        <f>"335818"</f>
        <v>335818</v>
      </c>
      <c r="C9149" s="19" t="s">
        <v>9018</v>
      </c>
      <c r="D9149" s="19" t="s">
        <v>24562</v>
      </c>
      <c r="E9149" s="19" t="s">
        <v>34223</v>
      </c>
      <c r="F9149" s="19" t="s">
        <v>36006</v>
      </c>
      <c r="G9149" s="18" t="str">
        <f>"11747"</f>
        <v>11747</v>
      </c>
      <c r="H9149" s="19" t="s">
        <v>35389</v>
      </c>
      <c r="I9149" s="20">
        <v>16.265000000000001</v>
      </c>
      <c r="J9149" s="44" t="s">
        <v>8</v>
      </c>
      <c r="K9149" s="23" t="s">
        <v>8</v>
      </c>
      <c r="L9149" s="23" t="s">
        <v>8</v>
      </c>
      <c r="M9149" s="23" t="s">
        <v>8</v>
      </c>
    </row>
    <row r="9150" spans="1:13" s="21" customFormat="1" x14ac:dyDescent="0.25">
      <c r="A9150" s="22" t="s">
        <v>8</v>
      </c>
      <c r="B9150" s="18" t="str">
        <f>"335819"</f>
        <v>335819</v>
      </c>
      <c r="C9150" s="19" t="s">
        <v>9019</v>
      </c>
      <c r="D9150" s="19" t="s">
        <v>24563</v>
      </c>
      <c r="E9150" s="19" t="s">
        <v>31111</v>
      </c>
      <c r="F9150" s="19" t="s">
        <v>36006</v>
      </c>
      <c r="G9150" s="18" t="str">
        <f>"11561"</f>
        <v>11561</v>
      </c>
      <c r="H9150" s="19" t="s">
        <v>36144</v>
      </c>
      <c r="I9150" s="20">
        <v>15.994</v>
      </c>
      <c r="J9150" s="44" t="s">
        <v>8</v>
      </c>
      <c r="K9150" s="23" t="s">
        <v>8</v>
      </c>
      <c r="L9150" s="23" t="s">
        <v>8</v>
      </c>
      <c r="M9150" s="23" t="s">
        <v>8</v>
      </c>
    </row>
    <row r="9151" spans="1:13" s="21" customFormat="1" x14ac:dyDescent="0.25">
      <c r="A9151" s="22" t="s">
        <v>8</v>
      </c>
      <c r="B9151" s="18" t="str">
        <f>"335820"</f>
        <v>335820</v>
      </c>
      <c r="C9151" s="19" t="s">
        <v>9020</v>
      </c>
      <c r="D9151" s="19" t="s">
        <v>24564</v>
      </c>
      <c r="E9151" s="19" t="s">
        <v>34224</v>
      </c>
      <c r="F9151" s="19" t="s">
        <v>36006</v>
      </c>
      <c r="G9151" s="18" t="str">
        <f>"11372"</f>
        <v>11372</v>
      </c>
      <c r="H9151" s="19" t="s">
        <v>36598</v>
      </c>
      <c r="I9151" s="20">
        <v>18.859000000000002</v>
      </c>
      <c r="J9151" s="44" t="s">
        <v>8</v>
      </c>
      <c r="K9151" s="23" t="s">
        <v>8</v>
      </c>
      <c r="L9151" s="23" t="s">
        <v>8</v>
      </c>
      <c r="M9151" s="23" t="s">
        <v>8</v>
      </c>
    </row>
    <row r="9152" spans="1:13" s="21" customFormat="1" x14ac:dyDescent="0.25">
      <c r="A9152" s="22" t="s">
        <v>8</v>
      </c>
      <c r="B9152" s="18" t="str">
        <f>"335821"</f>
        <v>335821</v>
      </c>
      <c r="C9152" s="19" t="s">
        <v>8333</v>
      </c>
      <c r="D9152" s="19" t="s">
        <v>24565</v>
      </c>
      <c r="E9152" s="19" t="s">
        <v>34072</v>
      </c>
      <c r="F9152" s="19" t="s">
        <v>36006</v>
      </c>
      <c r="G9152" s="18" t="str">
        <f>"11787"</f>
        <v>11787</v>
      </c>
      <c r="H9152" s="19" t="s">
        <v>35389</v>
      </c>
      <c r="I9152" s="20">
        <v>21.117999999999999</v>
      </c>
      <c r="J9152" s="44" t="s">
        <v>8</v>
      </c>
      <c r="K9152" s="23" t="s">
        <v>8</v>
      </c>
      <c r="L9152" s="23" t="s">
        <v>8</v>
      </c>
      <c r="M9152" s="23" t="s">
        <v>8</v>
      </c>
    </row>
    <row r="9153" spans="1:13" s="21" customFormat="1" x14ac:dyDescent="0.25">
      <c r="A9153" s="22" t="s">
        <v>8</v>
      </c>
      <c r="B9153" s="18" t="str">
        <f>"335823"</f>
        <v>335823</v>
      </c>
      <c r="C9153" s="19" t="s">
        <v>9021</v>
      </c>
      <c r="D9153" s="19" t="s">
        <v>24566</v>
      </c>
      <c r="E9153" s="19" t="s">
        <v>34225</v>
      </c>
      <c r="F9153" s="19" t="s">
        <v>36006</v>
      </c>
      <c r="G9153" s="18" t="str">
        <f>"10993"</f>
        <v>10993</v>
      </c>
      <c r="H9153" s="19" t="s">
        <v>32912</v>
      </c>
      <c r="I9153" s="20">
        <v>21.521999999999998</v>
      </c>
      <c r="J9153" s="44" t="s">
        <v>8</v>
      </c>
      <c r="K9153" s="23" t="s">
        <v>8</v>
      </c>
      <c r="L9153" s="23" t="s">
        <v>8</v>
      </c>
      <c r="M9153" s="23" t="s">
        <v>8</v>
      </c>
    </row>
    <row r="9154" spans="1:13" s="21" customFormat="1" x14ac:dyDescent="0.25">
      <c r="A9154" s="22" t="s">
        <v>8</v>
      </c>
      <c r="B9154" s="18" t="str">
        <f>"335824"</f>
        <v>335824</v>
      </c>
      <c r="C9154" s="19" t="s">
        <v>9022</v>
      </c>
      <c r="D9154" s="19" t="s">
        <v>24567</v>
      </c>
      <c r="E9154" s="19" t="s">
        <v>33082</v>
      </c>
      <c r="F9154" s="19" t="s">
        <v>36006</v>
      </c>
      <c r="G9154" s="18" t="str">
        <f>"10509"</f>
        <v>10509</v>
      </c>
      <c r="H9154" s="19" t="s">
        <v>31482</v>
      </c>
      <c r="I9154" s="20">
        <v>21.355</v>
      </c>
      <c r="J9154" s="44" t="s">
        <v>8</v>
      </c>
      <c r="K9154" s="23" t="s">
        <v>8</v>
      </c>
      <c r="L9154" s="23" t="s">
        <v>8</v>
      </c>
      <c r="M9154" s="23" t="s">
        <v>8</v>
      </c>
    </row>
    <row r="9155" spans="1:13" s="21" customFormat="1" x14ac:dyDescent="0.25">
      <c r="A9155" s="22" t="s">
        <v>8</v>
      </c>
      <c r="B9155" s="18" t="str">
        <f>"335825"</f>
        <v>335825</v>
      </c>
      <c r="C9155" s="19" t="s">
        <v>9023</v>
      </c>
      <c r="D9155" s="19" t="s">
        <v>24568</v>
      </c>
      <c r="E9155" s="19" t="s">
        <v>32267</v>
      </c>
      <c r="F9155" s="19" t="s">
        <v>36006</v>
      </c>
      <c r="G9155" s="18" t="str">
        <f>"14621"</f>
        <v>14621</v>
      </c>
      <c r="H9155" s="19" t="s">
        <v>31711</v>
      </c>
      <c r="I9155" s="20">
        <v>19.393000000000001</v>
      </c>
      <c r="J9155" s="44" t="s">
        <v>8</v>
      </c>
      <c r="K9155" s="23" t="s">
        <v>8</v>
      </c>
      <c r="L9155" s="23" t="s">
        <v>8</v>
      </c>
      <c r="M9155" s="23" t="s">
        <v>8</v>
      </c>
    </row>
    <row r="9156" spans="1:13" s="21" customFormat="1" x14ac:dyDescent="0.25">
      <c r="A9156" s="22" t="s">
        <v>8</v>
      </c>
      <c r="B9156" s="18" t="str">
        <f>"335826"</f>
        <v>335826</v>
      </c>
      <c r="C9156" s="19" t="s">
        <v>9024</v>
      </c>
      <c r="D9156" s="19" t="s">
        <v>24569</v>
      </c>
      <c r="E9156" s="19" t="s">
        <v>31443</v>
      </c>
      <c r="F9156" s="19" t="s">
        <v>36006</v>
      </c>
      <c r="G9156" s="18" t="str">
        <f>"11221"</f>
        <v>11221</v>
      </c>
      <c r="H9156" s="19" t="s">
        <v>36091</v>
      </c>
      <c r="I9156" s="20">
        <v>20.27</v>
      </c>
      <c r="J9156" s="44" t="s">
        <v>8</v>
      </c>
      <c r="K9156" s="23" t="s">
        <v>8</v>
      </c>
      <c r="L9156" s="23" t="s">
        <v>8</v>
      </c>
      <c r="M9156" s="23" t="s">
        <v>8</v>
      </c>
    </row>
    <row r="9157" spans="1:13" s="21" customFormat="1" x14ac:dyDescent="0.25">
      <c r="A9157" s="22" t="s">
        <v>8</v>
      </c>
      <c r="B9157" s="18" t="str">
        <f>"335827"</f>
        <v>335827</v>
      </c>
      <c r="C9157" s="19" t="s">
        <v>9025</v>
      </c>
      <c r="D9157" s="19" t="s">
        <v>24570</v>
      </c>
      <c r="E9157" s="19" t="s">
        <v>34147</v>
      </c>
      <c r="F9157" s="19" t="s">
        <v>36006</v>
      </c>
      <c r="G9157" s="18" t="str">
        <f>"12601"</f>
        <v>12601</v>
      </c>
      <c r="H9157" s="19" t="s">
        <v>36604</v>
      </c>
      <c r="I9157" s="20">
        <v>17.707999999999998</v>
      </c>
      <c r="J9157" s="44" t="s">
        <v>8</v>
      </c>
      <c r="K9157" s="23" t="s">
        <v>8</v>
      </c>
      <c r="L9157" s="23" t="s">
        <v>8</v>
      </c>
      <c r="M9157" s="23" t="s">
        <v>8</v>
      </c>
    </row>
    <row r="9158" spans="1:13" s="21" customFormat="1" x14ac:dyDescent="0.25">
      <c r="A9158" s="22" t="s">
        <v>8</v>
      </c>
      <c r="B9158" s="18" t="str">
        <f>"335828"</f>
        <v>335828</v>
      </c>
      <c r="C9158" s="19" t="s">
        <v>9026</v>
      </c>
      <c r="D9158" s="19" t="s">
        <v>24571</v>
      </c>
      <c r="E9158" s="19" t="s">
        <v>34207</v>
      </c>
      <c r="F9158" s="19" t="s">
        <v>36006</v>
      </c>
      <c r="G9158" s="18" t="str">
        <f>"12508"</f>
        <v>12508</v>
      </c>
      <c r="H9158" s="19" t="s">
        <v>36604</v>
      </c>
      <c r="I9158" s="20">
        <v>19.440999999999999</v>
      </c>
      <c r="J9158" s="44" t="s">
        <v>8</v>
      </c>
      <c r="K9158" s="23" t="s">
        <v>8</v>
      </c>
      <c r="L9158" s="23" t="s">
        <v>8</v>
      </c>
      <c r="M9158" s="23" t="s">
        <v>8</v>
      </c>
    </row>
    <row r="9159" spans="1:13" s="21" customFormat="1" x14ac:dyDescent="0.25">
      <c r="A9159" s="22" t="s">
        <v>8</v>
      </c>
      <c r="B9159" s="18" t="str">
        <f>"335829"</f>
        <v>335829</v>
      </c>
      <c r="C9159" s="19" t="s">
        <v>9027</v>
      </c>
      <c r="D9159" s="19" t="s">
        <v>24572</v>
      </c>
      <c r="E9159" s="19" t="s">
        <v>34052</v>
      </c>
      <c r="F9159" s="19" t="s">
        <v>36006</v>
      </c>
      <c r="G9159" s="18" t="str">
        <f>"10701"</f>
        <v>10701</v>
      </c>
      <c r="H9159" s="19" t="s">
        <v>32061</v>
      </c>
      <c r="I9159" s="20">
        <v>23.068999999999999</v>
      </c>
      <c r="J9159" s="44" t="s">
        <v>8</v>
      </c>
      <c r="K9159" s="23" t="s">
        <v>8</v>
      </c>
      <c r="L9159" s="23" t="s">
        <v>8</v>
      </c>
      <c r="M9159" s="23" t="s">
        <v>8</v>
      </c>
    </row>
    <row r="9160" spans="1:13" s="21" customFormat="1" x14ac:dyDescent="0.25">
      <c r="A9160" s="22" t="s">
        <v>8</v>
      </c>
      <c r="B9160" s="18" t="str">
        <f>"335831"</f>
        <v>335831</v>
      </c>
      <c r="C9160" s="19" t="s">
        <v>9028</v>
      </c>
      <c r="D9160" s="19" t="s">
        <v>24573</v>
      </c>
      <c r="E9160" s="19" t="s">
        <v>34226</v>
      </c>
      <c r="F9160" s="19" t="s">
        <v>36006</v>
      </c>
      <c r="G9160" s="18" t="str">
        <f>"11554"</f>
        <v>11554</v>
      </c>
      <c r="H9160" s="19" t="s">
        <v>36144</v>
      </c>
      <c r="I9160" s="20">
        <v>20.494</v>
      </c>
      <c r="J9160" s="44" t="s">
        <v>8</v>
      </c>
      <c r="K9160" s="23" t="s">
        <v>8</v>
      </c>
      <c r="L9160" s="23" t="s">
        <v>8</v>
      </c>
      <c r="M9160" s="23" t="s">
        <v>8</v>
      </c>
    </row>
    <row r="9161" spans="1:13" s="21" customFormat="1" x14ac:dyDescent="0.25">
      <c r="A9161" s="22" t="s">
        <v>8</v>
      </c>
      <c r="B9161" s="18" t="str">
        <f>"335832"</f>
        <v>335832</v>
      </c>
      <c r="C9161" s="19" t="s">
        <v>9029</v>
      </c>
      <c r="D9161" s="19" t="s">
        <v>24574</v>
      </c>
      <c r="E9161" s="19" t="s">
        <v>30923</v>
      </c>
      <c r="F9161" s="19" t="s">
        <v>36006</v>
      </c>
      <c r="G9161" s="18" t="str">
        <f>"10548"</f>
        <v>10548</v>
      </c>
      <c r="H9161" s="19" t="s">
        <v>32061</v>
      </c>
      <c r="I9161" s="20">
        <v>20.431999999999999</v>
      </c>
      <c r="J9161" s="44" t="s">
        <v>8</v>
      </c>
      <c r="K9161" s="23" t="s">
        <v>8</v>
      </c>
      <c r="L9161" s="23" t="s">
        <v>8</v>
      </c>
      <c r="M9161" s="23" t="s">
        <v>8</v>
      </c>
    </row>
    <row r="9162" spans="1:13" s="21" customFormat="1" x14ac:dyDescent="0.25">
      <c r="A9162" s="22" t="s">
        <v>8</v>
      </c>
      <c r="B9162" s="18" t="str">
        <f>"335833"</f>
        <v>335833</v>
      </c>
      <c r="C9162" s="19" t="s">
        <v>9030</v>
      </c>
      <c r="D9162" s="19" t="s">
        <v>24575</v>
      </c>
      <c r="E9162" s="19" t="s">
        <v>34227</v>
      </c>
      <c r="F9162" s="19" t="s">
        <v>36006</v>
      </c>
      <c r="G9162" s="18" t="str">
        <f>"11720"</f>
        <v>11720</v>
      </c>
      <c r="H9162" s="19" t="s">
        <v>35389</v>
      </c>
      <c r="I9162" s="20">
        <v>19.192</v>
      </c>
      <c r="J9162" s="44" t="s">
        <v>8</v>
      </c>
      <c r="K9162" s="23" t="s">
        <v>8</v>
      </c>
      <c r="L9162" s="23" t="s">
        <v>8</v>
      </c>
      <c r="M9162" s="23" t="s">
        <v>8</v>
      </c>
    </row>
    <row r="9163" spans="1:13" s="21" customFormat="1" x14ac:dyDescent="0.25">
      <c r="A9163" s="22" t="s">
        <v>8</v>
      </c>
      <c r="B9163" s="18" t="str">
        <f>"335834"</f>
        <v>335834</v>
      </c>
      <c r="C9163" s="19" t="s">
        <v>9031</v>
      </c>
      <c r="D9163" s="19" t="s">
        <v>24576</v>
      </c>
      <c r="E9163" s="19" t="s">
        <v>33453</v>
      </c>
      <c r="F9163" s="19" t="s">
        <v>36006</v>
      </c>
      <c r="G9163" s="18" t="str">
        <f>"14203"</f>
        <v>14203</v>
      </c>
      <c r="H9163" s="19" t="s">
        <v>34805</v>
      </c>
      <c r="I9163" s="20">
        <v>14.444000000000001</v>
      </c>
      <c r="J9163" s="44" t="s">
        <v>8</v>
      </c>
      <c r="K9163" s="23" t="s">
        <v>8</v>
      </c>
      <c r="L9163" s="23" t="s">
        <v>8</v>
      </c>
      <c r="M9163" s="23" t="s">
        <v>8</v>
      </c>
    </row>
    <row r="9164" spans="1:13" s="21" customFormat="1" x14ac:dyDescent="0.25">
      <c r="A9164" s="22" t="s">
        <v>8</v>
      </c>
      <c r="B9164" s="18" t="str">
        <f>"335835"</f>
        <v>335835</v>
      </c>
      <c r="C9164" s="19" t="s">
        <v>9032</v>
      </c>
      <c r="D9164" s="19" t="s">
        <v>24577</v>
      </c>
      <c r="E9164" s="19" t="s">
        <v>34228</v>
      </c>
      <c r="F9164" s="19" t="s">
        <v>36006</v>
      </c>
      <c r="G9164" s="18" t="str">
        <f>"11742"</f>
        <v>11742</v>
      </c>
      <c r="H9164" s="19" t="s">
        <v>35389</v>
      </c>
      <c r="I9164" s="20">
        <v>23.265999999999998</v>
      </c>
      <c r="J9164" s="44" t="s">
        <v>8</v>
      </c>
      <c r="K9164" s="23" t="s">
        <v>8</v>
      </c>
      <c r="L9164" s="23" t="s">
        <v>8</v>
      </c>
      <c r="M9164" s="23" t="s">
        <v>8</v>
      </c>
    </row>
    <row r="9165" spans="1:13" s="21" customFormat="1" x14ac:dyDescent="0.25">
      <c r="A9165" s="22" t="s">
        <v>8</v>
      </c>
      <c r="B9165" s="18" t="str">
        <f>"335837"</f>
        <v>335837</v>
      </c>
      <c r="C9165" s="19" t="s">
        <v>9033</v>
      </c>
      <c r="D9165" s="19" t="s">
        <v>24578</v>
      </c>
      <c r="E9165" s="19" t="s">
        <v>33855</v>
      </c>
      <c r="F9165" s="19" t="s">
        <v>36006</v>
      </c>
      <c r="G9165" s="18" t="str">
        <f>"11717"</f>
        <v>11717</v>
      </c>
      <c r="H9165" s="19" t="s">
        <v>35389</v>
      </c>
      <c r="I9165" s="20">
        <v>20.893000000000001</v>
      </c>
      <c r="J9165" s="44" t="s">
        <v>8</v>
      </c>
      <c r="K9165" s="23" t="s">
        <v>8</v>
      </c>
      <c r="L9165" s="23" t="s">
        <v>8</v>
      </c>
      <c r="M9165" s="23" t="s">
        <v>8</v>
      </c>
    </row>
    <row r="9166" spans="1:13" s="21" customFormat="1" x14ac:dyDescent="0.25">
      <c r="A9166" s="22" t="s">
        <v>8</v>
      </c>
      <c r="B9166" s="18" t="str">
        <f>"335838"</f>
        <v>335838</v>
      </c>
      <c r="C9166" s="19" t="s">
        <v>9034</v>
      </c>
      <c r="D9166" s="19" t="s">
        <v>24579</v>
      </c>
      <c r="E9166" s="19" t="s">
        <v>34229</v>
      </c>
      <c r="F9166" s="19" t="s">
        <v>36006</v>
      </c>
      <c r="G9166" s="18" t="str">
        <f>"11102"</f>
        <v>11102</v>
      </c>
      <c r="H9166" s="19" t="s">
        <v>36598</v>
      </c>
      <c r="I9166" s="20">
        <v>19.227</v>
      </c>
      <c r="J9166" s="44" t="s">
        <v>8</v>
      </c>
      <c r="K9166" s="23" t="s">
        <v>8</v>
      </c>
      <c r="L9166" s="23" t="s">
        <v>8</v>
      </c>
      <c r="M9166" s="23" t="s">
        <v>8</v>
      </c>
    </row>
    <row r="9167" spans="1:13" s="21" customFormat="1" x14ac:dyDescent="0.25">
      <c r="A9167" s="22" t="s">
        <v>8</v>
      </c>
      <c r="B9167" s="18" t="str">
        <f>"335839"</f>
        <v>335839</v>
      </c>
      <c r="C9167" s="19" t="s">
        <v>9035</v>
      </c>
      <c r="D9167" s="19" t="s">
        <v>24580</v>
      </c>
      <c r="E9167" s="19" t="s">
        <v>31300</v>
      </c>
      <c r="F9167" s="19" t="s">
        <v>36006</v>
      </c>
      <c r="G9167" s="18" t="str">
        <f>"11769"</f>
        <v>11769</v>
      </c>
      <c r="H9167" s="19" t="s">
        <v>35389</v>
      </c>
      <c r="I9167" s="20">
        <v>18.311</v>
      </c>
      <c r="J9167" s="44" t="s">
        <v>8</v>
      </c>
      <c r="K9167" s="23" t="s">
        <v>8</v>
      </c>
      <c r="L9167" s="23" t="s">
        <v>8</v>
      </c>
      <c r="M9167" s="23" t="s">
        <v>8</v>
      </c>
    </row>
    <row r="9168" spans="1:13" s="21" customFormat="1" x14ac:dyDescent="0.25">
      <c r="A9168" s="22" t="s">
        <v>8</v>
      </c>
      <c r="B9168" s="18" t="str">
        <f>"335840"</f>
        <v>335840</v>
      </c>
      <c r="C9168" s="19" t="s">
        <v>9036</v>
      </c>
      <c r="D9168" s="19" t="s">
        <v>24581</v>
      </c>
      <c r="E9168" s="19" t="s">
        <v>33063</v>
      </c>
      <c r="F9168" s="19" t="s">
        <v>36006</v>
      </c>
      <c r="G9168" s="18" t="str">
        <f>"11763"</f>
        <v>11763</v>
      </c>
      <c r="H9168" s="19" t="s">
        <v>35389</v>
      </c>
      <c r="I9168" s="20">
        <v>18.565000000000001</v>
      </c>
      <c r="J9168" s="44" t="s">
        <v>8</v>
      </c>
      <c r="K9168" s="23" t="s">
        <v>8</v>
      </c>
      <c r="L9168" s="23" t="s">
        <v>8</v>
      </c>
      <c r="M9168" s="23" t="s">
        <v>8</v>
      </c>
    </row>
    <row r="9169" spans="1:13" s="21" customFormat="1" x14ac:dyDescent="0.25">
      <c r="A9169" s="22" t="s">
        <v>8</v>
      </c>
      <c r="B9169" s="18" t="str">
        <f>"335842"</f>
        <v>335842</v>
      </c>
      <c r="C9169" s="19" t="s">
        <v>9037</v>
      </c>
      <c r="D9169" s="19" t="s">
        <v>24582</v>
      </c>
      <c r="E9169" s="19" t="s">
        <v>34090</v>
      </c>
      <c r="F9169" s="19" t="s">
        <v>36006</v>
      </c>
      <c r="G9169" s="18" t="str">
        <f>"11944"</f>
        <v>11944</v>
      </c>
      <c r="H9169" s="19" t="s">
        <v>35389</v>
      </c>
      <c r="I9169" s="20">
        <v>17.378</v>
      </c>
      <c r="J9169" s="44" t="s">
        <v>8</v>
      </c>
      <c r="K9169" s="23" t="s">
        <v>8</v>
      </c>
      <c r="L9169" s="23" t="s">
        <v>8</v>
      </c>
      <c r="M9169" s="23" t="s">
        <v>8</v>
      </c>
    </row>
    <row r="9170" spans="1:13" s="21" customFormat="1" x14ac:dyDescent="0.25">
      <c r="A9170" s="22" t="s">
        <v>8</v>
      </c>
      <c r="B9170" s="18" t="str">
        <f>"335843"</f>
        <v>335843</v>
      </c>
      <c r="C9170" s="19" t="s">
        <v>9038</v>
      </c>
      <c r="D9170" s="19" t="s">
        <v>24583</v>
      </c>
      <c r="E9170" s="19" t="s">
        <v>31880</v>
      </c>
      <c r="F9170" s="19" t="s">
        <v>36006</v>
      </c>
      <c r="G9170" s="18" t="str">
        <f>"14092"</f>
        <v>14092</v>
      </c>
      <c r="H9170" s="19" t="s">
        <v>35632</v>
      </c>
      <c r="I9170" s="20">
        <v>20.276</v>
      </c>
      <c r="J9170" s="44" t="s">
        <v>8</v>
      </c>
      <c r="K9170" s="23" t="s">
        <v>8</v>
      </c>
      <c r="L9170" s="23" t="s">
        <v>8</v>
      </c>
      <c r="M9170" s="23" t="s">
        <v>8</v>
      </c>
    </row>
    <row r="9171" spans="1:13" s="21" customFormat="1" x14ac:dyDescent="0.25">
      <c r="A9171" s="22" t="s">
        <v>8</v>
      </c>
      <c r="B9171" s="18" t="str">
        <f>"335844"</f>
        <v>335844</v>
      </c>
      <c r="C9171" s="19" t="s">
        <v>9039</v>
      </c>
      <c r="D9171" s="19" t="s">
        <v>24584</v>
      </c>
      <c r="E9171" s="19" t="s">
        <v>34220</v>
      </c>
      <c r="F9171" s="19" t="s">
        <v>36006</v>
      </c>
      <c r="G9171" s="18" t="str">
        <f>"10595"</f>
        <v>10595</v>
      </c>
      <c r="H9171" s="19" t="s">
        <v>32061</v>
      </c>
      <c r="I9171" s="20">
        <v>18.995000000000001</v>
      </c>
      <c r="J9171" s="44" t="s">
        <v>8</v>
      </c>
      <c r="K9171" s="23" t="s">
        <v>8</v>
      </c>
      <c r="L9171" s="23" t="s">
        <v>8</v>
      </c>
      <c r="M9171" s="23" t="s">
        <v>8</v>
      </c>
    </row>
    <row r="9172" spans="1:13" s="21" customFormat="1" x14ac:dyDescent="0.25">
      <c r="A9172" s="22" t="s">
        <v>8</v>
      </c>
      <c r="B9172" s="18" t="str">
        <f>"335845"</f>
        <v>335845</v>
      </c>
      <c r="C9172" s="19" t="s">
        <v>9040</v>
      </c>
      <c r="D9172" s="19" t="s">
        <v>24585</v>
      </c>
      <c r="E9172" s="19" t="s">
        <v>34210</v>
      </c>
      <c r="F9172" s="19" t="s">
        <v>36006</v>
      </c>
      <c r="G9172" s="18" t="str">
        <f>"12449"</f>
        <v>12449</v>
      </c>
      <c r="H9172" s="19" t="s">
        <v>36603</v>
      </c>
      <c r="I9172" s="20">
        <v>20.907</v>
      </c>
      <c r="J9172" s="44" t="s">
        <v>8</v>
      </c>
      <c r="K9172" s="23" t="s">
        <v>8</v>
      </c>
      <c r="L9172" s="23" t="s">
        <v>8</v>
      </c>
      <c r="M9172" s="23" t="s">
        <v>8</v>
      </c>
    </row>
    <row r="9173" spans="1:13" s="21" customFormat="1" x14ac:dyDescent="0.25">
      <c r="A9173" s="22" t="s">
        <v>8</v>
      </c>
      <c r="B9173" s="18" t="str">
        <f>"335847"</f>
        <v>335847</v>
      </c>
      <c r="C9173" s="19" t="s">
        <v>9041</v>
      </c>
      <c r="D9173" s="19" t="s">
        <v>24586</v>
      </c>
      <c r="E9173" s="19" t="s">
        <v>31443</v>
      </c>
      <c r="F9173" s="19" t="s">
        <v>36006</v>
      </c>
      <c r="G9173" s="18" t="str">
        <f>"11217"</f>
        <v>11217</v>
      </c>
      <c r="H9173" s="19" t="s">
        <v>36091</v>
      </c>
      <c r="I9173" s="20">
        <v>19.832000000000001</v>
      </c>
      <c r="J9173" s="44" t="s">
        <v>8</v>
      </c>
      <c r="K9173" s="23" t="s">
        <v>8</v>
      </c>
      <c r="L9173" s="23" t="s">
        <v>8</v>
      </c>
      <c r="M9173" s="23" t="s">
        <v>8</v>
      </c>
    </row>
    <row r="9174" spans="1:13" s="21" customFormat="1" x14ac:dyDescent="0.25">
      <c r="A9174" s="22" t="s">
        <v>8</v>
      </c>
      <c r="B9174" s="18" t="str">
        <f>"335848"</f>
        <v>335848</v>
      </c>
      <c r="C9174" s="19" t="s">
        <v>9042</v>
      </c>
      <c r="D9174" s="19" t="s">
        <v>24587</v>
      </c>
      <c r="E9174" s="19" t="s">
        <v>34230</v>
      </c>
      <c r="F9174" s="19" t="s">
        <v>36006</v>
      </c>
      <c r="G9174" s="18" t="str">
        <f>"10591"</f>
        <v>10591</v>
      </c>
      <c r="H9174" s="19" t="s">
        <v>32061</v>
      </c>
      <c r="I9174" s="20">
        <v>17.228000000000002</v>
      </c>
      <c r="J9174" s="44" t="s">
        <v>8</v>
      </c>
      <c r="K9174" s="23" t="s">
        <v>8</v>
      </c>
      <c r="L9174" s="23" t="s">
        <v>8</v>
      </c>
      <c r="M9174" s="23" t="s">
        <v>8</v>
      </c>
    </row>
    <row r="9175" spans="1:13" s="21" customFormat="1" x14ac:dyDescent="0.25">
      <c r="A9175" s="22" t="s">
        <v>8</v>
      </c>
      <c r="B9175" s="18" t="str">
        <f>"335849"</f>
        <v>335849</v>
      </c>
      <c r="C9175" s="19" t="s">
        <v>5976</v>
      </c>
      <c r="D9175" s="19" t="s">
        <v>24588</v>
      </c>
      <c r="E9175" s="19" t="s">
        <v>34037</v>
      </c>
      <c r="F9175" s="19" t="s">
        <v>36006</v>
      </c>
      <c r="G9175" s="18" t="str">
        <f>"10465"</f>
        <v>10465</v>
      </c>
      <c r="H9175" s="19" t="s">
        <v>34037</v>
      </c>
      <c r="I9175" s="20">
        <v>19.478999999999999</v>
      </c>
      <c r="J9175" s="44" t="s">
        <v>8</v>
      </c>
      <c r="K9175" s="23" t="s">
        <v>8</v>
      </c>
      <c r="L9175" s="23" t="s">
        <v>8</v>
      </c>
      <c r="M9175" s="23" t="s">
        <v>8</v>
      </c>
    </row>
    <row r="9176" spans="1:13" s="21" customFormat="1" x14ac:dyDescent="0.25">
      <c r="A9176" s="22" t="s">
        <v>8</v>
      </c>
      <c r="B9176" s="18" t="str">
        <f>"335850"</f>
        <v>335850</v>
      </c>
      <c r="C9176" s="19" t="s">
        <v>9043</v>
      </c>
      <c r="D9176" s="19" t="s">
        <v>24589</v>
      </c>
      <c r="E9176" s="19" t="s">
        <v>34231</v>
      </c>
      <c r="F9176" s="19" t="s">
        <v>36006</v>
      </c>
      <c r="G9176" s="18" t="str">
        <f>"11968"</f>
        <v>11968</v>
      </c>
      <c r="H9176" s="19" t="s">
        <v>35389</v>
      </c>
      <c r="I9176" s="20">
        <v>20.651</v>
      </c>
      <c r="J9176" s="44" t="s">
        <v>8</v>
      </c>
      <c r="K9176" s="23" t="s">
        <v>8</v>
      </c>
      <c r="L9176" s="23" t="s">
        <v>8</v>
      </c>
      <c r="M9176" s="23" t="s">
        <v>8</v>
      </c>
    </row>
    <row r="9177" spans="1:13" s="21" customFormat="1" x14ac:dyDescent="0.25">
      <c r="A9177" s="22" t="s">
        <v>8</v>
      </c>
      <c r="B9177" s="18" t="str">
        <f>"335851"</f>
        <v>335851</v>
      </c>
      <c r="C9177" s="19" t="s">
        <v>9044</v>
      </c>
      <c r="D9177" s="19" t="s">
        <v>24590</v>
      </c>
      <c r="E9177" s="19" t="s">
        <v>34054</v>
      </c>
      <c r="F9177" s="19" t="s">
        <v>36006</v>
      </c>
      <c r="G9177" s="18" t="str">
        <f>"13903"</f>
        <v>13903</v>
      </c>
      <c r="H9177" s="19" t="s">
        <v>36600</v>
      </c>
      <c r="I9177" s="20">
        <v>15.202</v>
      </c>
      <c r="J9177" s="44" t="s">
        <v>8</v>
      </c>
      <c r="K9177" s="23" t="s">
        <v>8</v>
      </c>
      <c r="L9177" s="23" t="s">
        <v>8</v>
      </c>
      <c r="M9177" s="23" t="s">
        <v>8</v>
      </c>
    </row>
    <row r="9178" spans="1:13" s="21" customFormat="1" x14ac:dyDescent="0.25">
      <c r="A9178" s="22" t="s">
        <v>8</v>
      </c>
      <c r="B9178" s="18" t="str">
        <f>"335853"</f>
        <v>335853</v>
      </c>
      <c r="C9178" s="19" t="s">
        <v>9045</v>
      </c>
      <c r="D9178" s="19" t="s">
        <v>24591</v>
      </c>
      <c r="E9178" s="19" t="s">
        <v>34133</v>
      </c>
      <c r="F9178" s="19" t="s">
        <v>36006</v>
      </c>
      <c r="G9178" s="18" t="str">
        <f>"11777"</f>
        <v>11777</v>
      </c>
      <c r="H9178" s="19" t="s">
        <v>35389</v>
      </c>
      <c r="I9178" s="20">
        <v>19.341000000000001</v>
      </c>
      <c r="J9178" s="44" t="s">
        <v>8</v>
      </c>
      <c r="K9178" s="23" t="s">
        <v>8</v>
      </c>
      <c r="L9178" s="23" t="s">
        <v>8</v>
      </c>
      <c r="M9178" s="23" t="s">
        <v>8</v>
      </c>
    </row>
    <row r="9179" spans="1:13" s="21" customFormat="1" x14ac:dyDescent="0.25">
      <c r="A9179" s="22" t="s">
        <v>8</v>
      </c>
      <c r="B9179" s="18" t="str">
        <f>"335854"</f>
        <v>335854</v>
      </c>
      <c r="C9179" s="19" t="s">
        <v>9046</v>
      </c>
      <c r="D9179" s="19" t="s">
        <v>24592</v>
      </c>
      <c r="E9179" s="19" t="s">
        <v>34157</v>
      </c>
      <c r="F9179" s="19" t="s">
        <v>36006</v>
      </c>
      <c r="G9179" s="18" t="str">
        <f>"14127"</f>
        <v>14127</v>
      </c>
      <c r="H9179" s="19" t="s">
        <v>34805</v>
      </c>
      <c r="I9179" s="20">
        <v>19.372</v>
      </c>
      <c r="J9179" s="44" t="s">
        <v>8</v>
      </c>
      <c r="K9179" s="23" t="s">
        <v>8</v>
      </c>
      <c r="L9179" s="23" t="s">
        <v>8</v>
      </c>
      <c r="M9179" s="23" t="s">
        <v>8</v>
      </c>
    </row>
    <row r="9180" spans="1:13" s="21" customFormat="1" x14ac:dyDescent="0.25">
      <c r="A9180" s="22" t="s">
        <v>8</v>
      </c>
      <c r="B9180" s="18" t="str">
        <f>"335856"</f>
        <v>335856</v>
      </c>
      <c r="C9180" s="19" t="s">
        <v>9047</v>
      </c>
      <c r="D9180" s="19" t="s">
        <v>24593</v>
      </c>
      <c r="E9180" s="19" t="s">
        <v>34109</v>
      </c>
      <c r="F9180" s="19" t="s">
        <v>36006</v>
      </c>
      <c r="G9180" s="18" t="str">
        <f>"11418"</f>
        <v>11418</v>
      </c>
      <c r="H9180" s="19" t="s">
        <v>36598</v>
      </c>
      <c r="I9180" s="20">
        <v>18.835000000000001</v>
      </c>
      <c r="J9180" s="44" t="s">
        <v>8</v>
      </c>
      <c r="K9180" s="23" t="s">
        <v>8</v>
      </c>
      <c r="L9180" s="23" t="s">
        <v>8</v>
      </c>
      <c r="M9180" s="23" t="s">
        <v>8</v>
      </c>
    </row>
    <row r="9181" spans="1:13" s="21" customFormat="1" x14ac:dyDescent="0.25">
      <c r="A9181" s="22" t="s">
        <v>8</v>
      </c>
      <c r="B9181" s="18" t="str">
        <f>"335857"</f>
        <v>335857</v>
      </c>
      <c r="C9181" s="19" t="s">
        <v>9048</v>
      </c>
      <c r="D9181" s="19" t="s">
        <v>24594</v>
      </c>
      <c r="E9181" s="19" t="s">
        <v>34139</v>
      </c>
      <c r="F9181" s="19" t="s">
        <v>36006</v>
      </c>
      <c r="G9181" s="18" t="str">
        <f>"12010"</f>
        <v>12010</v>
      </c>
      <c r="H9181" s="19" t="s">
        <v>30833</v>
      </c>
      <c r="I9181" s="20">
        <v>15.321999999999999</v>
      </c>
      <c r="J9181" s="44" t="s">
        <v>8</v>
      </c>
      <c r="K9181" s="23" t="s">
        <v>8</v>
      </c>
      <c r="L9181" s="23" t="s">
        <v>8</v>
      </c>
      <c r="M9181" s="23" t="s">
        <v>8</v>
      </c>
    </row>
    <row r="9182" spans="1:13" s="21" customFormat="1" x14ac:dyDescent="0.25">
      <c r="A9182" s="22" t="s">
        <v>8</v>
      </c>
      <c r="B9182" s="18" t="str">
        <f>"335858"</f>
        <v>335858</v>
      </c>
      <c r="C9182" s="19" t="s">
        <v>9049</v>
      </c>
      <c r="D9182" s="19" t="s">
        <v>24595</v>
      </c>
      <c r="E9182" s="19" t="s">
        <v>34076</v>
      </c>
      <c r="F9182" s="19" t="s">
        <v>36006</v>
      </c>
      <c r="G9182" s="18" t="str">
        <f>"12561"</f>
        <v>12561</v>
      </c>
      <c r="H9182" s="19" t="s">
        <v>36603</v>
      </c>
      <c r="I9182" s="20">
        <v>19.506</v>
      </c>
      <c r="J9182" s="44" t="s">
        <v>8</v>
      </c>
      <c r="K9182" s="23" t="s">
        <v>8</v>
      </c>
      <c r="L9182" s="23" t="s">
        <v>8</v>
      </c>
      <c r="M9182" s="23" t="s">
        <v>8</v>
      </c>
    </row>
    <row r="9183" spans="1:13" s="21" customFormat="1" x14ac:dyDescent="0.25">
      <c r="A9183" s="22" t="s">
        <v>8</v>
      </c>
      <c r="B9183" s="18" t="str">
        <f>"335859"</f>
        <v>335859</v>
      </c>
      <c r="C9183" s="19" t="s">
        <v>9050</v>
      </c>
      <c r="D9183" s="19" t="s">
        <v>24596</v>
      </c>
      <c r="E9183" s="19" t="s">
        <v>34232</v>
      </c>
      <c r="F9183" s="19" t="s">
        <v>36006</v>
      </c>
      <c r="G9183" s="18" t="str">
        <f>"13760"</f>
        <v>13760</v>
      </c>
      <c r="H9183" s="19" t="s">
        <v>36600</v>
      </c>
      <c r="I9183" s="20">
        <v>18.710999999999999</v>
      </c>
      <c r="J9183" s="44" t="s">
        <v>8</v>
      </c>
      <c r="K9183" s="23" t="s">
        <v>8</v>
      </c>
      <c r="L9183" s="23" t="s">
        <v>8</v>
      </c>
      <c r="M9183" s="23" t="s">
        <v>8</v>
      </c>
    </row>
    <row r="9184" spans="1:13" s="21" customFormat="1" x14ac:dyDescent="0.25">
      <c r="A9184" s="22" t="s">
        <v>8</v>
      </c>
      <c r="B9184" s="18" t="str">
        <f>"335860"</f>
        <v>335860</v>
      </c>
      <c r="C9184" s="19" t="s">
        <v>9051</v>
      </c>
      <c r="D9184" s="19" t="s">
        <v>24597</v>
      </c>
      <c r="E9184" s="19" t="s">
        <v>34233</v>
      </c>
      <c r="F9184" s="19" t="s">
        <v>36006</v>
      </c>
      <c r="G9184" s="18" t="str">
        <f>"12159"</f>
        <v>12159</v>
      </c>
      <c r="H9184" s="19" t="s">
        <v>31834</v>
      </c>
      <c r="I9184" s="20">
        <v>19.082999999999998</v>
      </c>
      <c r="J9184" s="44" t="s">
        <v>8</v>
      </c>
      <c r="K9184" s="23" t="s">
        <v>8</v>
      </c>
      <c r="L9184" s="23" t="s">
        <v>8</v>
      </c>
      <c r="M9184" s="23" t="s">
        <v>8</v>
      </c>
    </row>
    <row r="9185" spans="1:13" s="21" customFormat="1" x14ac:dyDescent="0.25">
      <c r="A9185" s="22" t="s">
        <v>8</v>
      </c>
      <c r="B9185" s="18" t="str">
        <f>"335861"</f>
        <v>335861</v>
      </c>
      <c r="C9185" s="19" t="s">
        <v>9052</v>
      </c>
      <c r="D9185" s="19" t="s">
        <v>24598</v>
      </c>
      <c r="E9185" s="19" t="s">
        <v>34039</v>
      </c>
      <c r="F9185" s="19" t="s">
        <v>36006</v>
      </c>
      <c r="G9185" s="18" t="str">
        <f>"11050"</f>
        <v>11050</v>
      </c>
      <c r="H9185" s="19" t="s">
        <v>36144</v>
      </c>
      <c r="I9185" s="20">
        <v>18.035</v>
      </c>
      <c r="J9185" s="44" t="s">
        <v>8</v>
      </c>
      <c r="K9185" s="23" t="s">
        <v>8</v>
      </c>
      <c r="L9185" s="23" t="s">
        <v>8</v>
      </c>
      <c r="M9185" s="23" t="s">
        <v>8</v>
      </c>
    </row>
    <row r="9186" spans="1:13" s="21" customFormat="1" x14ac:dyDescent="0.25">
      <c r="A9186" s="22" t="s">
        <v>8</v>
      </c>
      <c r="B9186" s="18" t="str">
        <f>"335862"</f>
        <v>335862</v>
      </c>
      <c r="C9186" s="19" t="s">
        <v>9053</v>
      </c>
      <c r="D9186" s="19" t="s">
        <v>24599</v>
      </c>
      <c r="E9186" s="19" t="s">
        <v>33182</v>
      </c>
      <c r="F9186" s="19" t="s">
        <v>36006</v>
      </c>
      <c r="G9186" s="18" t="str">
        <f>"11355"</f>
        <v>11355</v>
      </c>
      <c r="H9186" s="19" t="s">
        <v>36598</v>
      </c>
      <c r="I9186" s="20">
        <v>19.594000000000001</v>
      </c>
      <c r="J9186" s="44" t="s">
        <v>8</v>
      </c>
      <c r="K9186" s="23" t="s">
        <v>8</v>
      </c>
      <c r="L9186" s="23" t="s">
        <v>8</v>
      </c>
      <c r="M9186" s="23" t="s">
        <v>8</v>
      </c>
    </row>
    <row r="9187" spans="1:13" s="21" customFormat="1" x14ac:dyDescent="0.25">
      <c r="A9187" s="22" t="s">
        <v>8</v>
      </c>
      <c r="B9187" s="18" t="str">
        <f>"335864"</f>
        <v>335864</v>
      </c>
      <c r="C9187" s="19" t="s">
        <v>9054</v>
      </c>
      <c r="D9187" s="19" t="s">
        <v>24600</v>
      </c>
      <c r="E9187" s="19" t="s">
        <v>33182</v>
      </c>
      <c r="F9187" s="19" t="s">
        <v>36006</v>
      </c>
      <c r="G9187" s="18" t="str">
        <f>"11355"</f>
        <v>11355</v>
      </c>
      <c r="H9187" s="19" t="s">
        <v>36598</v>
      </c>
      <c r="I9187" s="20">
        <v>20.597000000000001</v>
      </c>
      <c r="J9187" s="44" t="s">
        <v>8</v>
      </c>
      <c r="K9187" s="23" t="s">
        <v>8</v>
      </c>
      <c r="L9187" s="23" t="s">
        <v>8</v>
      </c>
      <c r="M9187" s="23" t="s">
        <v>8</v>
      </c>
    </row>
    <row r="9188" spans="1:13" s="21" customFormat="1" x14ac:dyDescent="0.25">
      <c r="A9188" s="22" t="s">
        <v>8</v>
      </c>
      <c r="B9188" s="18" t="str">
        <f>"335865"</f>
        <v>335865</v>
      </c>
      <c r="C9188" s="19" t="s">
        <v>9055</v>
      </c>
      <c r="D9188" s="19" t="s">
        <v>24601</v>
      </c>
      <c r="E9188" s="19" t="s">
        <v>31419</v>
      </c>
      <c r="F9188" s="19" t="s">
        <v>36006</v>
      </c>
      <c r="G9188" s="18" t="str">
        <f>"13601"</f>
        <v>13601</v>
      </c>
      <c r="H9188" s="19" t="s">
        <v>32391</v>
      </c>
      <c r="I9188" s="20">
        <v>17.68</v>
      </c>
      <c r="J9188" s="44" t="s">
        <v>8</v>
      </c>
      <c r="K9188" s="23" t="s">
        <v>8</v>
      </c>
      <c r="L9188" s="23" t="s">
        <v>8</v>
      </c>
      <c r="M9188" s="23" t="s">
        <v>8</v>
      </c>
    </row>
    <row r="9189" spans="1:13" s="21" customFormat="1" x14ac:dyDescent="0.25">
      <c r="A9189" s="22" t="s">
        <v>8</v>
      </c>
      <c r="B9189" s="18" t="str">
        <f>"335866"</f>
        <v>335866</v>
      </c>
      <c r="C9189" s="19" t="s">
        <v>9056</v>
      </c>
      <c r="D9189" s="19" t="s">
        <v>24430</v>
      </c>
      <c r="E9189" s="19" t="s">
        <v>33453</v>
      </c>
      <c r="F9189" s="19" t="s">
        <v>36006</v>
      </c>
      <c r="G9189" s="18" t="str">
        <f>"14215"</f>
        <v>14215</v>
      </c>
      <c r="H9189" s="19" t="s">
        <v>34805</v>
      </c>
      <c r="I9189" s="20">
        <v>21.401</v>
      </c>
      <c r="J9189" s="44" t="s">
        <v>8</v>
      </c>
      <c r="K9189" s="23" t="s">
        <v>8</v>
      </c>
      <c r="L9189" s="23" t="s">
        <v>8</v>
      </c>
      <c r="M9189" s="23" t="s">
        <v>8</v>
      </c>
    </row>
    <row r="9190" spans="1:13" s="21" customFormat="1" x14ac:dyDescent="0.25">
      <c r="A9190" s="22" t="s">
        <v>8</v>
      </c>
      <c r="B9190" s="18" t="str">
        <f>"335868"</f>
        <v>335868</v>
      </c>
      <c r="C9190" s="19" t="s">
        <v>9057</v>
      </c>
      <c r="D9190" s="19" t="s">
        <v>24602</v>
      </c>
      <c r="E9190" s="19" t="s">
        <v>34048</v>
      </c>
      <c r="F9190" s="19" t="s">
        <v>36006</v>
      </c>
      <c r="G9190" s="18" t="str">
        <f>"14902"</f>
        <v>14902</v>
      </c>
      <c r="H9190" s="19" t="s">
        <v>36599</v>
      </c>
      <c r="I9190" s="20">
        <v>21.640999999999998</v>
      </c>
      <c r="J9190" s="44" t="s">
        <v>8</v>
      </c>
      <c r="K9190" s="23" t="s">
        <v>8</v>
      </c>
      <c r="L9190" s="23" t="s">
        <v>8</v>
      </c>
      <c r="M9190" s="23" t="s">
        <v>8</v>
      </c>
    </row>
    <row r="9191" spans="1:13" s="21" customFormat="1" x14ac:dyDescent="0.25">
      <c r="A9191" s="22" t="s">
        <v>8</v>
      </c>
      <c r="B9191" s="18" t="str">
        <f>"335869"</f>
        <v>335869</v>
      </c>
      <c r="C9191" s="19" t="s">
        <v>9058</v>
      </c>
      <c r="D9191" s="19" t="s">
        <v>24603</v>
      </c>
      <c r="E9191" s="19" t="s">
        <v>34234</v>
      </c>
      <c r="F9191" s="19" t="s">
        <v>36006</v>
      </c>
      <c r="G9191" s="18" t="str">
        <f>"10549"</f>
        <v>10549</v>
      </c>
      <c r="H9191" s="19" t="s">
        <v>32061</v>
      </c>
      <c r="I9191" s="20">
        <v>19.425000000000001</v>
      </c>
      <c r="J9191" s="44" t="s">
        <v>8</v>
      </c>
      <c r="K9191" s="23" t="s">
        <v>8</v>
      </c>
      <c r="L9191" s="23" t="s">
        <v>8</v>
      </c>
      <c r="M9191" s="23" t="s">
        <v>8</v>
      </c>
    </row>
    <row r="9192" spans="1:13" s="21" customFormat="1" x14ac:dyDescent="0.25">
      <c r="A9192" s="22" t="s">
        <v>8</v>
      </c>
      <c r="B9192" s="18" t="str">
        <f>"335870"</f>
        <v>335870</v>
      </c>
      <c r="C9192" s="19" t="s">
        <v>9059</v>
      </c>
      <c r="D9192" s="19" t="s">
        <v>24604</v>
      </c>
      <c r="E9192" s="19" t="s">
        <v>32305</v>
      </c>
      <c r="F9192" s="19" t="s">
        <v>36006</v>
      </c>
      <c r="G9192" s="18" t="str">
        <f>"13215"</f>
        <v>13215</v>
      </c>
      <c r="H9192" s="19" t="s">
        <v>36602</v>
      </c>
      <c r="I9192" s="20">
        <v>19.945</v>
      </c>
      <c r="J9192" s="44" t="s">
        <v>8</v>
      </c>
      <c r="K9192" s="23" t="s">
        <v>8</v>
      </c>
      <c r="L9192" s="23" t="s">
        <v>8</v>
      </c>
      <c r="M9192" s="23" t="s">
        <v>8</v>
      </c>
    </row>
    <row r="9193" spans="1:13" s="21" customFormat="1" x14ac:dyDescent="0.25">
      <c r="A9193" s="22" t="s">
        <v>8</v>
      </c>
      <c r="B9193" s="18" t="str">
        <f>"335871"</f>
        <v>335871</v>
      </c>
      <c r="C9193" s="19" t="s">
        <v>9060</v>
      </c>
      <c r="D9193" s="19" t="s">
        <v>24605</v>
      </c>
      <c r="E9193" s="19" t="s">
        <v>31189</v>
      </c>
      <c r="F9193" s="19" t="s">
        <v>36006</v>
      </c>
      <c r="G9193" s="18" t="str">
        <f>"11572"</f>
        <v>11572</v>
      </c>
      <c r="H9193" s="19" t="s">
        <v>36144</v>
      </c>
      <c r="I9193" s="20">
        <v>16.577000000000002</v>
      </c>
      <c r="J9193" s="44" t="s">
        <v>8</v>
      </c>
      <c r="K9193" s="23" t="s">
        <v>8</v>
      </c>
      <c r="L9193" s="23" t="s">
        <v>8</v>
      </c>
      <c r="M9193" s="23" t="s">
        <v>8</v>
      </c>
    </row>
    <row r="9194" spans="1:13" s="21" customFormat="1" x14ac:dyDescent="0.25">
      <c r="A9194" s="22" t="s">
        <v>8</v>
      </c>
      <c r="B9194" s="18" t="s">
        <v>15305</v>
      </c>
      <c r="C9194" s="19" t="s">
        <v>9061</v>
      </c>
      <c r="D9194" s="19" t="s">
        <v>24606</v>
      </c>
      <c r="E9194" s="19" t="s">
        <v>31081</v>
      </c>
      <c r="F9194" s="19" t="s">
        <v>36007</v>
      </c>
      <c r="G9194" s="18" t="str">
        <f>"28328"</f>
        <v>28328</v>
      </c>
      <c r="H9194" s="19" t="s">
        <v>36606</v>
      </c>
      <c r="I9194" s="20">
        <v>15.836</v>
      </c>
      <c r="J9194" s="44" t="s">
        <v>8</v>
      </c>
      <c r="K9194" s="23" t="s">
        <v>8</v>
      </c>
      <c r="L9194" s="23" t="s">
        <v>8</v>
      </c>
      <c r="M9194" s="23" t="s">
        <v>8</v>
      </c>
    </row>
    <row r="9195" spans="1:13" s="21" customFormat="1" x14ac:dyDescent="0.25">
      <c r="A9195" s="22" t="s">
        <v>8</v>
      </c>
      <c r="B9195" s="18" t="s">
        <v>15306</v>
      </c>
      <c r="C9195" s="19" t="s">
        <v>9062</v>
      </c>
      <c r="D9195" s="19" t="s">
        <v>24607</v>
      </c>
      <c r="E9195" s="19" t="s">
        <v>34235</v>
      </c>
      <c r="F9195" s="19" t="s">
        <v>36007</v>
      </c>
      <c r="G9195" s="18" t="str">
        <f>"27892"</f>
        <v>27892</v>
      </c>
      <c r="H9195" s="19" t="s">
        <v>35168</v>
      </c>
      <c r="I9195" s="20">
        <v>18.954999999999998</v>
      </c>
      <c r="J9195" s="44" t="s">
        <v>8</v>
      </c>
      <c r="K9195" s="23" t="s">
        <v>8</v>
      </c>
      <c r="L9195" s="23" t="s">
        <v>8</v>
      </c>
      <c r="M9195" s="23" t="s">
        <v>8</v>
      </c>
    </row>
    <row r="9196" spans="1:13" s="21" customFormat="1" x14ac:dyDescent="0.25">
      <c r="A9196" s="22" t="s">
        <v>8</v>
      </c>
      <c r="B9196" s="18" t="s">
        <v>15307</v>
      </c>
      <c r="C9196" s="19" t="s">
        <v>9063</v>
      </c>
      <c r="D9196" s="19" t="s">
        <v>24608</v>
      </c>
      <c r="E9196" s="19" t="s">
        <v>34236</v>
      </c>
      <c r="F9196" s="19" t="s">
        <v>36007</v>
      </c>
      <c r="G9196" s="18" t="str">
        <f>"27028"</f>
        <v>27028</v>
      </c>
      <c r="H9196" s="19" t="s">
        <v>36607</v>
      </c>
      <c r="I9196" s="20">
        <v>19.18</v>
      </c>
      <c r="J9196" s="44" t="s">
        <v>8</v>
      </c>
      <c r="K9196" s="23" t="s">
        <v>8</v>
      </c>
      <c r="L9196" s="23" t="s">
        <v>8</v>
      </c>
      <c r="M9196" s="23" t="s">
        <v>8</v>
      </c>
    </row>
    <row r="9197" spans="1:13" s="21" customFormat="1" x14ac:dyDescent="0.25">
      <c r="A9197" s="22" t="s">
        <v>8</v>
      </c>
      <c r="B9197" s="18" t="str">
        <f>"345000"</f>
        <v>345000</v>
      </c>
      <c r="C9197" s="19" t="s">
        <v>9064</v>
      </c>
      <c r="D9197" s="19" t="s">
        <v>24609</v>
      </c>
      <c r="E9197" s="19" t="s">
        <v>34237</v>
      </c>
      <c r="F9197" s="19" t="s">
        <v>36007</v>
      </c>
      <c r="G9197" s="18" t="str">
        <f>"27209"</f>
        <v>27209</v>
      </c>
      <c r="H9197" s="19" t="s">
        <v>30833</v>
      </c>
      <c r="I9197" s="20">
        <v>18.53</v>
      </c>
      <c r="J9197" s="44" t="s">
        <v>8</v>
      </c>
      <c r="K9197" s="23" t="s">
        <v>8</v>
      </c>
      <c r="L9197" s="23" t="s">
        <v>8</v>
      </c>
      <c r="M9197" s="23" t="s">
        <v>8</v>
      </c>
    </row>
    <row r="9198" spans="1:13" s="21" customFormat="1" x14ac:dyDescent="0.25">
      <c r="A9198" s="22" t="s">
        <v>8</v>
      </c>
      <c r="B9198" s="18" t="str">
        <f>"345001"</f>
        <v>345001</v>
      </c>
      <c r="C9198" s="19" t="s">
        <v>9065</v>
      </c>
      <c r="D9198" s="19" t="s">
        <v>24610</v>
      </c>
      <c r="E9198" s="19" t="s">
        <v>31487</v>
      </c>
      <c r="F9198" s="19" t="s">
        <v>36007</v>
      </c>
      <c r="G9198" s="18" t="str">
        <f>"27705"</f>
        <v>27705</v>
      </c>
      <c r="H9198" s="19" t="s">
        <v>31487</v>
      </c>
      <c r="I9198" s="20">
        <v>23.117000000000001</v>
      </c>
      <c r="J9198" s="44" t="s">
        <v>8</v>
      </c>
      <c r="K9198" s="23" t="s">
        <v>8</v>
      </c>
      <c r="L9198" s="23" t="s">
        <v>8</v>
      </c>
      <c r="M9198" s="23" t="s">
        <v>8</v>
      </c>
    </row>
    <row r="9199" spans="1:13" s="21" customFormat="1" x14ac:dyDescent="0.25">
      <c r="A9199" s="22" t="s">
        <v>8</v>
      </c>
      <c r="B9199" s="18" t="str">
        <f>"345002"</f>
        <v>345002</v>
      </c>
      <c r="C9199" s="19" t="s">
        <v>9066</v>
      </c>
      <c r="D9199" s="19" t="s">
        <v>24611</v>
      </c>
      <c r="E9199" s="19" t="s">
        <v>31489</v>
      </c>
      <c r="F9199" s="19" t="s">
        <v>36007</v>
      </c>
      <c r="G9199" s="18" t="str">
        <f>"28401"</f>
        <v>28401</v>
      </c>
      <c r="H9199" s="19" t="s">
        <v>36608</v>
      </c>
      <c r="I9199" s="20">
        <v>17.710999999999999</v>
      </c>
      <c r="J9199" s="44" t="s">
        <v>8</v>
      </c>
      <c r="K9199" s="23" t="s">
        <v>8</v>
      </c>
      <c r="L9199" s="23" t="s">
        <v>8</v>
      </c>
      <c r="M9199" s="23" t="s">
        <v>8</v>
      </c>
    </row>
    <row r="9200" spans="1:13" s="21" customFormat="1" x14ac:dyDescent="0.25">
      <c r="A9200" s="22" t="s">
        <v>8</v>
      </c>
      <c r="B9200" s="18" t="str">
        <f>"345003"</f>
        <v>345003</v>
      </c>
      <c r="C9200" s="19" t="s">
        <v>9067</v>
      </c>
      <c r="D9200" s="19" t="s">
        <v>24612</v>
      </c>
      <c r="E9200" s="19" t="s">
        <v>34238</v>
      </c>
      <c r="F9200" s="19" t="s">
        <v>36007</v>
      </c>
      <c r="G9200" s="18" t="str">
        <f>"27103"</f>
        <v>27103</v>
      </c>
      <c r="H9200" s="19" t="s">
        <v>31754</v>
      </c>
      <c r="I9200" s="20">
        <v>18.849</v>
      </c>
      <c r="J9200" s="44" t="s">
        <v>8</v>
      </c>
      <c r="K9200" s="23" t="s">
        <v>8</v>
      </c>
      <c r="L9200" s="23" t="s">
        <v>8</v>
      </c>
      <c r="M9200" s="23" t="s">
        <v>8</v>
      </c>
    </row>
    <row r="9201" spans="1:13" s="21" customFormat="1" x14ac:dyDescent="0.25">
      <c r="A9201" s="22" t="s">
        <v>8</v>
      </c>
      <c r="B9201" s="18" t="str">
        <f>"345004"</f>
        <v>345004</v>
      </c>
      <c r="C9201" s="19" t="s">
        <v>9068</v>
      </c>
      <c r="D9201" s="19" t="s">
        <v>24613</v>
      </c>
      <c r="E9201" s="19" t="s">
        <v>34239</v>
      </c>
      <c r="F9201" s="19" t="s">
        <v>36007</v>
      </c>
      <c r="G9201" s="18" t="str">
        <f>"27573"</f>
        <v>27573</v>
      </c>
      <c r="H9201" s="19" t="s">
        <v>36609</v>
      </c>
      <c r="I9201" s="20">
        <v>20.651</v>
      </c>
      <c r="J9201" s="44" t="s">
        <v>8</v>
      </c>
      <c r="K9201" s="23" t="s">
        <v>8</v>
      </c>
      <c r="L9201" s="23" t="s">
        <v>8</v>
      </c>
      <c r="M9201" s="23" t="s">
        <v>8</v>
      </c>
    </row>
    <row r="9202" spans="1:13" s="21" customFormat="1" x14ac:dyDescent="0.25">
      <c r="A9202" s="22" t="s">
        <v>8</v>
      </c>
      <c r="B9202" s="18" t="str">
        <f>"345006"</f>
        <v>345006</v>
      </c>
      <c r="C9202" s="19" t="s">
        <v>9069</v>
      </c>
      <c r="D9202" s="19" t="s">
        <v>24614</v>
      </c>
      <c r="E9202" s="19" t="s">
        <v>30811</v>
      </c>
      <c r="F9202" s="19" t="s">
        <v>36007</v>
      </c>
      <c r="G9202" s="18" t="str">
        <f>"27455"</f>
        <v>27455</v>
      </c>
      <c r="H9202" s="19" t="s">
        <v>31417</v>
      </c>
      <c r="I9202" s="20">
        <v>18.46</v>
      </c>
      <c r="J9202" s="44" t="s">
        <v>8</v>
      </c>
      <c r="K9202" s="23" t="s">
        <v>8</v>
      </c>
      <c r="L9202" s="23" t="s">
        <v>8</v>
      </c>
      <c r="M9202" s="23" t="s">
        <v>8</v>
      </c>
    </row>
    <row r="9203" spans="1:13" s="21" customFormat="1" x14ac:dyDescent="0.25">
      <c r="A9203" s="22" t="s">
        <v>8</v>
      </c>
      <c r="B9203" s="18" t="str">
        <f>"345008"</f>
        <v>345008</v>
      </c>
      <c r="C9203" s="19" t="s">
        <v>9070</v>
      </c>
      <c r="D9203" s="19" t="s">
        <v>24615</v>
      </c>
      <c r="E9203" s="19" t="s">
        <v>33156</v>
      </c>
      <c r="F9203" s="19" t="s">
        <v>36007</v>
      </c>
      <c r="G9203" s="18" t="str">
        <f>"28207"</f>
        <v>28207</v>
      </c>
      <c r="H9203" s="19" t="s">
        <v>36610</v>
      </c>
      <c r="I9203" s="20">
        <v>19.338000000000001</v>
      </c>
      <c r="J9203" s="44" t="s">
        <v>8</v>
      </c>
      <c r="K9203" s="23" t="s">
        <v>8</v>
      </c>
      <c r="L9203" s="23" t="s">
        <v>8</v>
      </c>
      <c r="M9203" s="23" t="s">
        <v>8</v>
      </c>
    </row>
    <row r="9204" spans="1:13" s="21" customFormat="1" x14ac:dyDescent="0.25">
      <c r="A9204" s="22" t="s">
        <v>8</v>
      </c>
      <c r="B9204" s="18" t="str">
        <f>"345009"</f>
        <v>345009</v>
      </c>
      <c r="C9204" s="19" t="s">
        <v>9071</v>
      </c>
      <c r="D9204" s="19" t="s">
        <v>24616</v>
      </c>
      <c r="E9204" s="19" t="s">
        <v>33576</v>
      </c>
      <c r="F9204" s="19" t="s">
        <v>36007</v>
      </c>
      <c r="G9204" s="18" t="str">
        <f>"27608"</f>
        <v>27608</v>
      </c>
      <c r="H9204" s="19" t="s">
        <v>36611</v>
      </c>
      <c r="I9204" s="20">
        <v>16.321999999999999</v>
      </c>
      <c r="J9204" s="44" t="s">
        <v>8</v>
      </c>
      <c r="K9204" s="23" t="s">
        <v>8</v>
      </c>
      <c r="L9204" s="23" t="s">
        <v>8</v>
      </c>
      <c r="M9204" s="23" t="s">
        <v>8</v>
      </c>
    </row>
    <row r="9205" spans="1:13" s="21" customFormat="1" x14ac:dyDescent="0.25">
      <c r="A9205" s="22" t="s">
        <v>8</v>
      </c>
      <c r="B9205" s="18" t="str">
        <f>"345010"</f>
        <v>345010</v>
      </c>
      <c r="C9205" s="19" t="s">
        <v>9072</v>
      </c>
      <c r="D9205" s="19" t="s">
        <v>24617</v>
      </c>
      <c r="E9205" s="19" t="s">
        <v>34240</v>
      </c>
      <c r="F9205" s="19" t="s">
        <v>36007</v>
      </c>
      <c r="G9205" s="18" t="str">
        <f>"28804"</f>
        <v>28804</v>
      </c>
      <c r="H9205" s="19" t="s">
        <v>36612</v>
      </c>
      <c r="I9205" s="20">
        <v>17.983000000000001</v>
      </c>
      <c r="J9205" s="44" t="s">
        <v>8</v>
      </c>
      <c r="K9205" s="23" t="s">
        <v>8</v>
      </c>
      <c r="L9205" s="23" t="s">
        <v>8</v>
      </c>
      <c r="M9205" s="23" t="s">
        <v>8</v>
      </c>
    </row>
    <row r="9206" spans="1:13" s="21" customFormat="1" x14ac:dyDescent="0.25">
      <c r="A9206" s="22" t="s">
        <v>8</v>
      </c>
      <c r="B9206" s="18" t="str">
        <f>"345011"</f>
        <v>345011</v>
      </c>
      <c r="C9206" s="19" t="s">
        <v>9073</v>
      </c>
      <c r="D9206" s="19" t="s">
        <v>24618</v>
      </c>
      <c r="E9206" s="19" t="s">
        <v>32692</v>
      </c>
      <c r="F9206" s="19" t="s">
        <v>36007</v>
      </c>
      <c r="G9206" s="18" t="str">
        <f>"27292"</f>
        <v>27292</v>
      </c>
      <c r="H9206" s="19" t="s">
        <v>36613</v>
      </c>
      <c r="I9206" s="20">
        <v>18.542999999999999</v>
      </c>
      <c r="J9206" s="44" t="s">
        <v>8</v>
      </c>
      <c r="K9206" s="23" t="s">
        <v>8</v>
      </c>
      <c r="L9206" s="23" t="s">
        <v>8</v>
      </c>
      <c r="M9206" s="23" t="s">
        <v>8</v>
      </c>
    </row>
    <row r="9207" spans="1:13" s="21" customFormat="1" x14ac:dyDescent="0.25">
      <c r="A9207" s="22" t="s">
        <v>8</v>
      </c>
      <c r="B9207" s="18" t="str">
        <f>"345013"</f>
        <v>345013</v>
      </c>
      <c r="C9207" s="19" t="s">
        <v>9074</v>
      </c>
      <c r="D9207" s="19" t="s">
        <v>24619</v>
      </c>
      <c r="E9207" s="19" t="s">
        <v>33156</v>
      </c>
      <c r="F9207" s="19" t="s">
        <v>36007</v>
      </c>
      <c r="G9207" s="18" t="str">
        <f>"28205"</f>
        <v>28205</v>
      </c>
      <c r="H9207" s="19" t="s">
        <v>36610</v>
      </c>
      <c r="I9207" s="20">
        <v>18.125</v>
      </c>
      <c r="J9207" s="44" t="s">
        <v>8</v>
      </c>
      <c r="K9207" s="23" t="s">
        <v>8</v>
      </c>
      <c r="L9207" s="23" t="s">
        <v>8</v>
      </c>
      <c r="M9207" s="23" t="s">
        <v>8</v>
      </c>
    </row>
    <row r="9208" spans="1:13" s="21" customFormat="1" x14ac:dyDescent="0.25">
      <c r="A9208" s="22" t="s">
        <v>8</v>
      </c>
      <c r="B9208" s="18" t="str">
        <f>"345014"</f>
        <v>345014</v>
      </c>
      <c r="C9208" s="19" t="s">
        <v>9075</v>
      </c>
      <c r="D9208" s="19" t="s">
        <v>24620</v>
      </c>
      <c r="E9208" s="19" t="s">
        <v>30811</v>
      </c>
      <c r="F9208" s="19" t="s">
        <v>36007</v>
      </c>
      <c r="G9208" s="18" t="str">
        <f>"27401"</f>
        <v>27401</v>
      </c>
      <c r="H9208" s="19" t="s">
        <v>31417</v>
      </c>
      <c r="I9208" s="20">
        <v>17.462</v>
      </c>
      <c r="J9208" s="44" t="s">
        <v>8</v>
      </c>
      <c r="K9208" s="23" t="s">
        <v>8</v>
      </c>
      <c r="L9208" s="23" t="s">
        <v>8</v>
      </c>
      <c r="M9208" s="23" t="s">
        <v>8</v>
      </c>
    </row>
    <row r="9209" spans="1:13" s="21" customFormat="1" x14ac:dyDescent="0.25">
      <c r="A9209" s="22" t="s">
        <v>8</v>
      </c>
      <c r="B9209" s="18" t="str">
        <f>"345015"</f>
        <v>345015</v>
      </c>
      <c r="C9209" s="19" t="s">
        <v>9076</v>
      </c>
      <c r="D9209" s="19" t="s">
        <v>24621</v>
      </c>
      <c r="E9209" s="19" t="s">
        <v>34241</v>
      </c>
      <c r="F9209" s="19" t="s">
        <v>36007</v>
      </c>
      <c r="G9209" s="18" t="str">
        <f>"27203"</f>
        <v>27203</v>
      </c>
      <c r="H9209" s="19" t="s">
        <v>33068</v>
      </c>
      <c r="I9209" s="20">
        <v>16.942</v>
      </c>
      <c r="J9209" s="44" t="s">
        <v>8</v>
      </c>
      <c r="K9209" s="23" t="s">
        <v>8</v>
      </c>
      <c r="L9209" s="23" t="s">
        <v>8</v>
      </c>
      <c r="M9209" s="23" t="s">
        <v>8</v>
      </c>
    </row>
    <row r="9210" spans="1:13" s="21" customFormat="1" x14ac:dyDescent="0.25">
      <c r="A9210" s="22" t="s">
        <v>8</v>
      </c>
      <c r="B9210" s="18" t="str">
        <f>"345024"</f>
        <v>345024</v>
      </c>
      <c r="C9210" s="19" t="s">
        <v>9077</v>
      </c>
      <c r="D9210" s="19" t="s">
        <v>24622</v>
      </c>
      <c r="E9210" s="19" t="s">
        <v>34242</v>
      </c>
      <c r="F9210" s="19" t="s">
        <v>36007</v>
      </c>
      <c r="G9210" s="18" t="str">
        <f>"27313"</f>
        <v>27313</v>
      </c>
      <c r="H9210" s="19" t="s">
        <v>31417</v>
      </c>
      <c r="I9210" s="20">
        <v>19.111999999999998</v>
      </c>
      <c r="J9210" s="44" t="s">
        <v>8</v>
      </c>
      <c r="K9210" s="23" t="s">
        <v>8</v>
      </c>
      <c r="L9210" s="23" t="s">
        <v>8</v>
      </c>
      <c r="M9210" s="23" t="s">
        <v>8</v>
      </c>
    </row>
    <row r="9211" spans="1:13" s="21" customFormat="1" x14ac:dyDescent="0.25">
      <c r="A9211" s="22" t="s">
        <v>8</v>
      </c>
      <c r="B9211" s="18" t="str">
        <f>"345026"</f>
        <v>345026</v>
      </c>
      <c r="C9211" s="19" t="s">
        <v>9078</v>
      </c>
      <c r="D9211" s="19" t="s">
        <v>24623</v>
      </c>
      <c r="E9211" s="19" t="s">
        <v>33719</v>
      </c>
      <c r="F9211" s="19" t="s">
        <v>36007</v>
      </c>
      <c r="G9211" s="18" t="str">
        <f>"28105"</f>
        <v>28105</v>
      </c>
      <c r="H9211" s="19" t="s">
        <v>36610</v>
      </c>
      <c r="I9211" s="20">
        <v>18.716999999999999</v>
      </c>
      <c r="J9211" s="44" t="s">
        <v>8</v>
      </c>
      <c r="K9211" s="23" t="s">
        <v>8</v>
      </c>
      <c r="L9211" s="23" t="s">
        <v>8</v>
      </c>
      <c r="M9211" s="23" t="s">
        <v>8</v>
      </c>
    </row>
    <row r="9212" spans="1:13" s="21" customFormat="1" x14ac:dyDescent="0.25">
      <c r="A9212" s="22" t="s">
        <v>8</v>
      </c>
      <c r="B9212" s="18" t="str">
        <f>"345036"</f>
        <v>345036</v>
      </c>
      <c r="C9212" s="19" t="s">
        <v>9079</v>
      </c>
      <c r="D9212" s="19" t="s">
        <v>24624</v>
      </c>
      <c r="E9212" s="19" t="s">
        <v>34243</v>
      </c>
      <c r="F9212" s="19" t="s">
        <v>36007</v>
      </c>
      <c r="G9212" s="18" t="str">
        <f>"27909"</f>
        <v>27909</v>
      </c>
      <c r="H9212" s="19" t="s">
        <v>36614</v>
      </c>
      <c r="I9212" s="20">
        <v>16.984000000000002</v>
      </c>
      <c r="J9212" s="44" t="s">
        <v>8</v>
      </c>
      <c r="K9212" s="23" t="s">
        <v>8</v>
      </c>
      <c r="L9212" s="23" t="s">
        <v>8</v>
      </c>
      <c r="M9212" s="23" t="s">
        <v>8</v>
      </c>
    </row>
    <row r="9213" spans="1:13" s="21" customFormat="1" x14ac:dyDescent="0.25">
      <c r="A9213" s="22" t="s">
        <v>8</v>
      </c>
      <c r="B9213" s="18" t="str">
        <f>"345039"</f>
        <v>345039</v>
      </c>
      <c r="C9213" s="19" t="s">
        <v>9080</v>
      </c>
      <c r="D9213" s="19" t="s">
        <v>24625</v>
      </c>
      <c r="E9213" s="19" t="s">
        <v>34238</v>
      </c>
      <c r="F9213" s="19" t="s">
        <v>36007</v>
      </c>
      <c r="G9213" s="18" t="str">
        <f>"27105"</f>
        <v>27105</v>
      </c>
      <c r="H9213" s="19" t="s">
        <v>31754</v>
      </c>
      <c r="I9213" s="20">
        <v>18.657</v>
      </c>
      <c r="J9213" s="44" t="s">
        <v>8</v>
      </c>
      <c r="K9213" s="23" t="s">
        <v>8</v>
      </c>
      <c r="L9213" s="23" t="s">
        <v>8</v>
      </c>
      <c r="M9213" s="23" t="s">
        <v>8</v>
      </c>
    </row>
    <row r="9214" spans="1:13" s="21" customFormat="1" x14ac:dyDescent="0.25">
      <c r="A9214" s="22" t="s">
        <v>8</v>
      </c>
      <c r="B9214" s="18" t="str">
        <f>"345044"</f>
        <v>345044</v>
      </c>
      <c r="C9214" s="19" t="s">
        <v>9081</v>
      </c>
      <c r="D9214" s="19" t="s">
        <v>24626</v>
      </c>
      <c r="E9214" s="19" t="s">
        <v>34244</v>
      </c>
      <c r="F9214" s="19" t="s">
        <v>36007</v>
      </c>
      <c r="G9214" s="18" t="str">
        <f>"28387"</f>
        <v>28387</v>
      </c>
      <c r="H9214" s="19" t="s">
        <v>34689</v>
      </c>
      <c r="I9214" s="20">
        <v>14.787000000000001</v>
      </c>
      <c r="J9214" s="44" t="s">
        <v>8</v>
      </c>
      <c r="K9214" s="23" t="s">
        <v>8</v>
      </c>
      <c r="L9214" s="23" t="s">
        <v>8</v>
      </c>
      <c r="M9214" s="23" t="s">
        <v>8</v>
      </c>
    </row>
    <row r="9215" spans="1:13" s="21" customFormat="1" x14ac:dyDescent="0.25">
      <c r="A9215" s="22" t="s">
        <v>8</v>
      </c>
      <c r="B9215" s="18" t="str">
        <f>"345045"</f>
        <v>345045</v>
      </c>
      <c r="C9215" s="19" t="s">
        <v>9082</v>
      </c>
      <c r="D9215" s="19" t="s">
        <v>24627</v>
      </c>
      <c r="E9215" s="19" t="s">
        <v>34245</v>
      </c>
      <c r="F9215" s="19" t="s">
        <v>36007</v>
      </c>
      <c r="G9215" s="18" t="str">
        <f>"28605"</f>
        <v>28605</v>
      </c>
      <c r="H9215" s="19" t="s">
        <v>35923</v>
      </c>
      <c r="I9215" s="20">
        <v>19.199000000000002</v>
      </c>
      <c r="J9215" s="44" t="s">
        <v>8</v>
      </c>
      <c r="K9215" s="23" t="s">
        <v>8</v>
      </c>
      <c r="L9215" s="23" t="s">
        <v>8</v>
      </c>
      <c r="M9215" s="23" t="s">
        <v>8</v>
      </c>
    </row>
    <row r="9216" spans="1:13" s="21" customFormat="1" x14ac:dyDescent="0.25">
      <c r="A9216" s="22" t="s">
        <v>8</v>
      </c>
      <c r="B9216" s="18" t="str">
        <f>"345048"</f>
        <v>345048</v>
      </c>
      <c r="C9216" s="19" t="s">
        <v>9083</v>
      </c>
      <c r="D9216" s="19" t="s">
        <v>24628</v>
      </c>
      <c r="E9216" s="19" t="s">
        <v>34246</v>
      </c>
      <c r="F9216" s="19" t="s">
        <v>36007</v>
      </c>
      <c r="G9216" s="18" t="str">
        <f>"28711"</f>
        <v>28711</v>
      </c>
      <c r="H9216" s="19" t="s">
        <v>36612</v>
      </c>
      <c r="I9216" s="20">
        <v>14.635999999999999</v>
      </c>
      <c r="J9216" s="44" t="s">
        <v>8</v>
      </c>
      <c r="K9216" s="23" t="s">
        <v>8</v>
      </c>
      <c r="L9216" s="23" t="s">
        <v>8</v>
      </c>
      <c r="M9216" s="23" t="s">
        <v>8</v>
      </c>
    </row>
    <row r="9217" spans="1:13" s="21" customFormat="1" x14ac:dyDescent="0.25">
      <c r="A9217" s="22" t="s">
        <v>8</v>
      </c>
      <c r="B9217" s="18" t="str">
        <f>"345049"</f>
        <v>345049</v>
      </c>
      <c r="C9217" s="19" t="s">
        <v>9084</v>
      </c>
      <c r="D9217" s="19" t="s">
        <v>24629</v>
      </c>
      <c r="E9217" s="19" t="s">
        <v>33576</v>
      </c>
      <c r="F9217" s="19" t="s">
        <v>36007</v>
      </c>
      <c r="G9217" s="18" t="str">
        <f>"27605"</f>
        <v>27605</v>
      </c>
      <c r="H9217" s="19" t="s">
        <v>36611</v>
      </c>
      <c r="I9217" s="20">
        <v>14.824</v>
      </c>
      <c r="J9217" s="44" t="s">
        <v>8</v>
      </c>
      <c r="K9217" s="23" t="s">
        <v>8</v>
      </c>
      <c r="L9217" s="23" t="s">
        <v>8</v>
      </c>
      <c r="M9217" s="23" t="s">
        <v>8</v>
      </c>
    </row>
    <row r="9218" spans="1:13" s="21" customFormat="1" x14ac:dyDescent="0.25">
      <c r="A9218" s="22" t="s">
        <v>8</v>
      </c>
      <c r="B9218" s="18" t="str">
        <f>"345050"</f>
        <v>345050</v>
      </c>
      <c r="C9218" s="19" t="s">
        <v>9085</v>
      </c>
      <c r="D9218" s="19" t="s">
        <v>24630</v>
      </c>
      <c r="E9218" s="19" t="s">
        <v>30899</v>
      </c>
      <c r="F9218" s="19" t="s">
        <v>36007</v>
      </c>
      <c r="G9218" s="18" t="str">
        <f>"27025"</f>
        <v>27025</v>
      </c>
      <c r="H9218" s="19" t="s">
        <v>34326</v>
      </c>
      <c r="I9218" s="20">
        <v>20.788</v>
      </c>
      <c r="J9218" s="44" t="s">
        <v>8</v>
      </c>
      <c r="K9218" s="23" t="s">
        <v>8</v>
      </c>
      <c r="L9218" s="23" t="s">
        <v>8</v>
      </c>
      <c r="M9218" s="23" t="s">
        <v>8</v>
      </c>
    </row>
    <row r="9219" spans="1:13" s="21" customFormat="1" x14ac:dyDescent="0.25">
      <c r="A9219" s="22" t="s">
        <v>8</v>
      </c>
      <c r="B9219" s="18" t="str">
        <f>"345051"</f>
        <v>345051</v>
      </c>
      <c r="C9219" s="19" t="s">
        <v>9086</v>
      </c>
      <c r="D9219" s="19" t="s">
        <v>24631</v>
      </c>
      <c r="E9219" s="19" t="s">
        <v>34247</v>
      </c>
      <c r="F9219" s="19" t="s">
        <v>36007</v>
      </c>
      <c r="G9219" s="18" t="str">
        <f>"28170"</f>
        <v>28170</v>
      </c>
      <c r="H9219" s="19" t="s">
        <v>35217</v>
      </c>
      <c r="I9219" s="20">
        <v>20.123999999999999</v>
      </c>
      <c r="J9219" s="44" t="s">
        <v>8</v>
      </c>
      <c r="K9219" s="23" t="s">
        <v>8</v>
      </c>
      <c r="L9219" s="23" t="s">
        <v>8</v>
      </c>
      <c r="M9219" s="23" t="s">
        <v>8</v>
      </c>
    </row>
    <row r="9220" spans="1:13" s="21" customFormat="1" x14ac:dyDescent="0.25">
      <c r="A9220" s="22" t="s">
        <v>8</v>
      </c>
      <c r="B9220" s="18" t="str">
        <f>"345053"</f>
        <v>345053</v>
      </c>
      <c r="C9220" s="19" t="s">
        <v>9087</v>
      </c>
      <c r="D9220" s="19" t="s">
        <v>24632</v>
      </c>
      <c r="E9220" s="19" t="s">
        <v>31487</v>
      </c>
      <c r="F9220" s="19" t="s">
        <v>36007</v>
      </c>
      <c r="G9220" s="18" t="str">
        <f>"27705"</f>
        <v>27705</v>
      </c>
      <c r="H9220" s="19" t="s">
        <v>31487</v>
      </c>
      <c r="I9220" s="20">
        <v>20.303000000000001</v>
      </c>
      <c r="J9220" s="44" t="s">
        <v>8</v>
      </c>
      <c r="K9220" s="23" t="s">
        <v>8</v>
      </c>
      <c r="L9220" s="23" t="s">
        <v>8</v>
      </c>
      <c r="M9220" s="23" t="s">
        <v>8</v>
      </c>
    </row>
    <row r="9221" spans="1:13" s="21" customFormat="1" x14ac:dyDescent="0.25">
      <c r="A9221" s="22" t="s">
        <v>8</v>
      </c>
      <c r="B9221" s="18" t="str">
        <f>"345054"</f>
        <v>345054</v>
      </c>
      <c r="C9221" s="19" t="s">
        <v>9088</v>
      </c>
      <c r="D9221" s="19" t="s">
        <v>24633</v>
      </c>
      <c r="E9221" s="19" t="s">
        <v>33575</v>
      </c>
      <c r="F9221" s="19" t="s">
        <v>36007</v>
      </c>
      <c r="G9221" s="18" t="str">
        <f>"28358"</f>
        <v>28358</v>
      </c>
      <c r="H9221" s="19" t="s">
        <v>36615</v>
      </c>
      <c r="I9221" s="20">
        <v>17.727</v>
      </c>
      <c r="J9221" s="44" t="s">
        <v>8</v>
      </c>
      <c r="K9221" s="23" t="s">
        <v>8</v>
      </c>
      <c r="L9221" s="23" t="s">
        <v>8</v>
      </c>
      <c r="M9221" s="23" t="s">
        <v>8</v>
      </c>
    </row>
    <row r="9222" spans="1:13" s="21" customFormat="1" x14ac:dyDescent="0.25">
      <c r="A9222" s="22" t="s">
        <v>8</v>
      </c>
      <c r="B9222" s="18" t="str">
        <f>"345061"</f>
        <v>345061</v>
      </c>
      <c r="C9222" s="19" t="s">
        <v>9089</v>
      </c>
      <c r="D9222" s="19" t="s">
        <v>24634</v>
      </c>
      <c r="E9222" s="19" t="s">
        <v>31487</v>
      </c>
      <c r="F9222" s="19" t="s">
        <v>36007</v>
      </c>
      <c r="G9222" s="18" t="str">
        <f>"27705"</f>
        <v>27705</v>
      </c>
      <c r="H9222" s="19" t="s">
        <v>31487</v>
      </c>
      <c r="I9222" s="20">
        <v>18.516999999999999</v>
      </c>
      <c r="J9222" s="44" t="s">
        <v>8</v>
      </c>
      <c r="K9222" s="23" t="s">
        <v>8</v>
      </c>
      <c r="L9222" s="23" t="s">
        <v>8</v>
      </c>
      <c r="M9222" s="23" t="s">
        <v>8</v>
      </c>
    </row>
    <row r="9223" spans="1:13" s="21" customFormat="1" x14ac:dyDescent="0.25">
      <c r="A9223" s="22" t="s">
        <v>8</v>
      </c>
      <c r="B9223" s="18" t="str">
        <f>"345063"</f>
        <v>345063</v>
      </c>
      <c r="C9223" s="19" t="s">
        <v>9090</v>
      </c>
      <c r="D9223" s="19" t="s">
        <v>24635</v>
      </c>
      <c r="E9223" s="19" t="s">
        <v>32577</v>
      </c>
      <c r="F9223" s="19" t="s">
        <v>36007</v>
      </c>
      <c r="G9223" s="18" t="str">
        <f>"27893"</f>
        <v>27893</v>
      </c>
      <c r="H9223" s="19" t="s">
        <v>32577</v>
      </c>
      <c r="I9223" s="20">
        <v>17.393000000000001</v>
      </c>
      <c r="J9223" s="44" t="s">
        <v>8</v>
      </c>
      <c r="K9223" s="23" t="s">
        <v>8</v>
      </c>
      <c r="L9223" s="23" t="s">
        <v>8</v>
      </c>
      <c r="M9223" s="23" t="s">
        <v>8</v>
      </c>
    </row>
    <row r="9224" spans="1:13" s="21" customFormat="1" x14ac:dyDescent="0.25">
      <c r="A9224" s="22" t="s">
        <v>8</v>
      </c>
      <c r="B9224" s="18" t="str">
        <f>"345066"</f>
        <v>345066</v>
      </c>
      <c r="C9224" s="19" t="s">
        <v>9091</v>
      </c>
      <c r="D9224" s="19" t="s">
        <v>24636</v>
      </c>
      <c r="E9224" s="19" t="s">
        <v>32692</v>
      </c>
      <c r="F9224" s="19" t="s">
        <v>36007</v>
      </c>
      <c r="G9224" s="18" t="str">
        <f>"27292"</f>
        <v>27292</v>
      </c>
      <c r="H9224" s="19" t="s">
        <v>36613</v>
      </c>
      <c r="I9224" s="20">
        <v>19.027999999999999</v>
      </c>
      <c r="J9224" s="44" t="s">
        <v>8</v>
      </c>
      <c r="K9224" s="23" t="s">
        <v>8</v>
      </c>
      <c r="L9224" s="23" t="s">
        <v>8</v>
      </c>
      <c r="M9224" s="23" t="s">
        <v>8</v>
      </c>
    </row>
    <row r="9225" spans="1:13" s="21" customFormat="1" x14ac:dyDescent="0.25">
      <c r="A9225" s="22" t="s">
        <v>8</v>
      </c>
      <c r="B9225" s="18" t="str">
        <f>"345070"</f>
        <v>345070</v>
      </c>
      <c r="C9225" s="19" t="s">
        <v>9092</v>
      </c>
      <c r="D9225" s="19" t="s">
        <v>24637</v>
      </c>
      <c r="E9225" s="19" t="s">
        <v>31487</v>
      </c>
      <c r="F9225" s="19" t="s">
        <v>36007</v>
      </c>
      <c r="G9225" s="18" t="str">
        <f>"27705"</f>
        <v>27705</v>
      </c>
      <c r="H9225" s="19" t="s">
        <v>31487</v>
      </c>
      <c r="I9225" s="20">
        <v>19.423999999999999</v>
      </c>
      <c r="J9225" s="44" t="s">
        <v>8</v>
      </c>
      <c r="K9225" s="23" t="s">
        <v>8</v>
      </c>
      <c r="L9225" s="23" t="s">
        <v>8</v>
      </c>
      <c r="M9225" s="23" t="s">
        <v>8</v>
      </c>
    </row>
    <row r="9226" spans="1:13" s="21" customFormat="1" x14ac:dyDescent="0.25">
      <c r="A9226" s="22" t="s">
        <v>8</v>
      </c>
      <c r="B9226" s="18" t="str">
        <f>"345072"</f>
        <v>345072</v>
      </c>
      <c r="C9226" s="19" t="s">
        <v>9093</v>
      </c>
      <c r="D9226" s="19" t="s">
        <v>24638</v>
      </c>
      <c r="E9226" s="19" t="s">
        <v>30912</v>
      </c>
      <c r="F9226" s="19" t="s">
        <v>36007</v>
      </c>
      <c r="G9226" s="18" t="str">
        <f>"28540"</f>
        <v>28540</v>
      </c>
      <c r="H9226" s="19" t="s">
        <v>36616</v>
      </c>
      <c r="I9226" s="20">
        <v>19.353000000000002</v>
      </c>
      <c r="J9226" s="44" t="s">
        <v>8</v>
      </c>
      <c r="K9226" s="23" t="s">
        <v>8</v>
      </c>
      <c r="L9226" s="23" t="s">
        <v>8</v>
      </c>
      <c r="M9226" s="23" t="s">
        <v>8</v>
      </c>
    </row>
    <row r="9227" spans="1:13" s="21" customFormat="1" x14ac:dyDescent="0.25">
      <c r="A9227" s="22" t="s">
        <v>8</v>
      </c>
      <c r="B9227" s="18" t="str">
        <f>"345077"</f>
        <v>345077</v>
      </c>
      <c r="C9227" s="19" t="s">
        <v>9094</v>
      </c>
      <c r="D9227" s="19" t="s">
        <v>24639</v>
      </c>
      <c r="E9227" s="19" t="s">
        <v>33576</v>
      </c>
      <c r="F9227" s="19" t="s">
        <v>36007</v>
      </c>
      <c r="G9227" s="18" t="str">
        <f>"27610"</f>
        <v>27610</v>
      </c>
      <c r="H9227" s="19" t="s">
        <v>36611</v>
      </c>
      <c r="I9227" s="20">
        <v>16.861999999999998</v>
      </c>
      <c r="J9227" s="44" t="s">
        <v>8</v>
      </c>
      <c r="K9227" s="23" t="s">
        <v>8</v>
      </c>
      <c r="L9227" s="23" t="s">
        <v>8</v>
      </c>
      <c r="M9227" s="23" t="s">
        <v>8</v>
      </c>
    </row>
    <row r="9228" spans="1:13" s="21" customFormat="1" x14ac:dyDescent="0.25">
      <c r="A9228" s="22" t="s">
        <v>8</v>
      </c>
      <c r="B9228" s="18" t="str">
        <f>"345078"</f>
        <v>345078</v>
      </c>
      <c r="C9228" s="19" t="s">
        <v>9095</v>
      </c>
      <c r="D9228" s="19" t="s">
        <v>24640</v>
      </c>
      <c r="E9228" s="19" t="s">
        <v>34246</v>
      </c>
      <c r="F9228" s="19" t="s">
        <v>36007</v>
      </c>
      <c r="G9228" s="18" t="str">
        <f>"28711"</f>
        <v>28711</v>
      </c>
      <c r="H9228" s="19" t="s">
        <v>36612</v>
      </c>
      <c r="I9228" s="20">
        <v>17.388999999999999</v>
      </c>
      <c r="J9228" s="44" t="s">
        <v>8</v>
      </c>
      <c r="K9228" s="23" t="s">
        <v>8</v>
      </c>
      <c r="L9228" s="23" t="s">
        <v>8</v>
      </c>
      <c r="M9228" s="23" t="s">
        <v>8</v>
      </c>
    </row>
    <row r="9229" spans="1:13" s="21" customFormat="1" x14ac:dyDescent="0.25">
      <c r="A9229" s="22" t="s">
        <v>8</v>
      </c>
      <c r="B9229" s="18" t="str">
        <f>"345080"</f>
        <v>345080</v>
      </c>
      <c r="C9229" s="19" t="s">
        <v>9096</v>
      </c>
      <c r="D9229" s="19" t="s">
        <v>24641</v>
      </c>
      <c r="E9229" s="19" t="s">
        <v>34248</v>
      </c>
      <c r="F9229" s="19" t="s">
        <v>36007</v>
      </c>
      <c r="G9229" s="18" t="str">
        <f>"28601"</f>
        <v>28601</v>
      </c>
      <c r="H9229" s="19" t="s">
        <v>36617</v>
      </c>
      <c r="I9229" s="20">
        <v>17.001000000000001</v>
      </c>
      <c r="J9229" s="44" t="s">
        <v>8</v>
      </c>
      <c r="K9229" s="23" t="s">
        <v>8</v>
      </c>
      <c r="L9229" s="23" t="s">
        <v>8</v>
      </c>
      <c r="M9229" s="23" t="s">
        <v>8</v>
      </c>
    </row>
    <row r="9230" spans="1:13" s="21" customFormat="1" x14ac:dyDescent="0.25">
      <c r="A9230" s="22" t="s">
        <v>8</v>
      </c>
      <c r="B9230" s="18" t="str">
        <f>"345081"</f>
        <v>345081</v>
      </c>
      <c r="C9230" s="19" t="s">
        <v>9097</v>
      </c>
      <c r="D9230" s="19" t="s">
        <v>24642</v>
      </c>
      <c r="E9230" s="19" t="s">
        <v>31487</v>
      </c>
      <c r="F9230" s="19" t="s">
        <v>36007</v>
      </c>
      <c r="G9230" s="18" t="str">
        <f>"27704"</f>
        <v>27704</v>
      </c>
      <c r="H9230" s="19" t="s">
        <v>31487</v>
      </c>
      <c r="I9230" s="20">
        <v>22.748999999999999</v>
      </c>
      <c r="J9230" s="44" t="s">
        <v>8</v>
      </c>
      <c r="K9230" s="23" t="s">
        <v>8</v>
      </c>
      <c r="L9230" s="23" t="s">
        <v>8</v>
      </c>
      <c r="M9230" s="23" t="s">
        <v>8</v>
      </c>
    </row>
    <row r="9231" spans="1:13" s="21" customFormat="1" x14ac:dyDescent="0.25">
      <c r="A9231" s="22" t="s">
        <v>8</v>
      </c>
      <c r="B9231" s="18" t="str">
        <f>"345083"</f>
        <v>345083</v>
      </c>
      <c r="C9231" s="19" t="s">
        <v>9098</v>
      </c>
      <c r="D9231" s="19" t="s">
        <v>24643</v>
      </c>
      <c r="E9231" s="19" t="s">
        <v>34249</v>
      </c>
      <c r="F9231" s="19" t="s">
        <v>36007</v>
      </c>
      <c r="G9231" s="18" t="str">
        <f>"28139"</f>
        <v>28139</v>
      </c>
      <c r="H9231" s="19" t="s">
        <v>36618</v>
      </c>
      <c r="I9231" s="20">
        <v>20.803000000000001</v>
      </c>
      <c r="J9231" s="44" t="s">
        <v>8</v>
      </c>
      <c r="K9231" s="23" t="s">
        <v>8</v>
      </c>
      <c r="L9231" s="23" t="s">
        <v>8</v>
      </c>
      <c r="M9231" s="23" t="s">
        <v>8</v>
      </c>
    </row>
    <row r="9232" spans="1:13" s="21" customFormat="1" x14ac:dyDescent="0.25">
      <c r="A9232" s="22" t="s">
        <v>8</v>
      </c>
      <c r="B9232" s="18" t="str">
        <f>"345088"</f>
        <v>345088</v>
      </c>
      <c r="C9232" s="19" t="s">
        <v>9099</v>
      </c>
      <c r="D9232" s="19" t="s">
        <v>24644</v>
      </c>
      <c r="E9232" s="19" t="s">
        <v>34238</v>
      </c>
      <c r="F9232" s="19" t="s">
        <v>36007</v>
      </c>
      <c r="G9232" s="18" t="str">
        <f>"27105"</f>
        <v>27105</v>
      </c>
      <c r="H9232" s="19" t="s">
        <v>31754</v>
      </c>
      <c r="I9232" s="20">
        <v>17.594999999999999</v>
      </c>
      <c r="J9232" s="44" t="s">
        <v>8</v>
      </c>
      <c r="K9232" s="23" t="s">
        <v>8</v>
      </c>
      <c r="L9232" s="23" t="s">
        <v>8</v>
      </c>
      <c r="M9232" s="23" t="s">
        <v>8</v>
      </c>
    </row>
    <row r="9233" spans="1:13" s="21" customFormat="1" x14ac:dyDescent="0.25">
      <c r="A9233" s="22" t="s">
        <v>8</v>
      </c>
      <c r="B9233" s="18" t="str">
        <f>"345089"</f>
        <v>345089</v>
      </c>
      <c r="C9233" s="19" t="s">
        <v>9100</v>
      </c>
      <c r="D9233" s="19" t="s">
        <v>24645</v>
      </c>
      <c r="E9233" s="19" t="s">
        <v>34250</v>
      </c>
      <c r="F9233" s="19" t="s">
        <v>36007</v>
      </c>
      <c r="G9233" s="18" t="str">
        <f>"27052"</f>
        <v>27052</v>
      </c>
      <c r="H9233" s="19" t="s">
        <v>36619</v>
      </c>
      <c r="I9233" s="20">
        <v>21.492999999999999</v>
      </c>
      <c r="J9233" s="44" t="s">
        <v>8</v>
      </c>
      <c r="K9233" s="23" t="s">
        <v>8</v>
      </c>
      <c r="L9233" s="23" t="s">
        <v>8</v>
      </c>
      <c r="M9233" s="23" t="s">
        <v>8</v>
      </c>
    </row>
    <row r="9234" spans="1:13" s="21" customFormat="1" x14ac:dyDescent="0.25">
      <c r="A9234" s="22" t="s">
        <v>8</v>
      </c>
      <c r="B9234" s="18" t="str">
        <f>"345090"</f>
        <v>345090</v>
      </c>
      <c r="C9234" s="19" t="s">
        <v>9101</v>
      </c>
      <c r="D9234" s="19" t="s">
        <v>24646</v>
      </c>
      <c r="E9234" s="19" t="s">
        <v>34251</v>
      </c>
      <c r="F9234" s="19" t="s">
        <v>36007</v>
      </c>
      <c r="G9234" s="18" t="str">
        <f>"27262"</f>
        <v>27262</v>
      </c>
      <c r="H9234" s="19" t="s">
        <v>31417</v>
      </c>
      <c r="I9234" s="20">
        <v>19.468</v>
      </c>
      <c r="J9234" s="44" t="s">
        <v>8</v>
      </c>
      <c r="K9234" s="23" t="s">
        <v>8</v>
      </c>
      <c r="L9234" s="23" t="s">
        <v>8</v>
      </c>
      <c r="M9234" s="23" t="s">
        <v>8</v>
      </c>
    </row>
    <row r="9235" spans="1:13" s="21" customFormat="1" x14ac:dyDescent="0.25">
      <c r="A9235" s="22" t="s">
        <v>8</v>
      </c>
      <c r="B9235" s="18" t="str">
        <f>"345091"</f>
        <v>345091</v>
      </c>
      <c r="C9235" s="19" t="s">
        <v>9102</v>
      </c>
      <c r="D9235" s="19" t="s">
        <v>24647</v>
      </c>
      <c r="E9235" s="19" t="s">
        <v>31369</v>
      </c>
      <c r="F9235" s="19" t="s">
        <v>36007</v>
      </c>
      <c r="G9235" s="18" t="str">
        <f>"27215"</f>
        <v>27215</v>
      </c>
      <c r="H9235" s="19" t="s">
        <v>36620</v>
      </c>
      <c r="I9235" s="20">
        <v>19.577000000000002</v>
      </c>
      <c r="J9235" s="44" t="s">
        <v>8</v>
      </c>
      <c r="K9235" s="23" t="s">
        <v>8</v>
      </c>
      <c r="L9235" s="23" t="s">
        <v>8</v>
      </c>
      <c r="M9235" s="23" t="s">
        <v>8</v>
      </c>
    </row>
    <row r="9236" spans="1:13" s="21" customFormat="1" x14ac:dyDescent="0.25">
      <c r="A9236" s="22" t="s">
        <v>8</v>
      </c>
      <c r="B9236" s="18" t="str">
        <f>"345092"</f>
        <v>345092</v>
      </c>
      <c r="C9236" s="19" t="s">
        <v>9103</v>
      </c>
      <c r="D9236" s="19" t="s">
        <v>24648</v>
      </c>
      <c r="E9236" s="19" t="s">
        <v>34238</v>
      </c>
      <c r="F9236" s="19" t="s">
        <v>36007</v>
      </c>
      <c r="G9236" s="18" t="str">
        <f>"27104"</f>
        <v>27104</v>
      </c>
      <c r="H9236" s="19" t="s">
        <v>31754</v>
      </c>
      <c r="I9236" s="20">
        <v>17.236999999999998</v>
      </c>
      <c r="J9236" s="44" t="s">
        <v>8</v>
      </c>
      <c r="K9236" s="23" t="s">
        <v>8</v>
      </c>
      <c r="L9236" s="23" t="s">
        <v>8</v>
      </c>
      <c r="M9236" s="23" t="s">
        <v>8</v>
      </c>
    </row>
    <row r="9237" spans="1:13" s="21" customFormat="1" x14ac:dyDescent="0.25">
      <c r="A9237" s="22" t="s">
        <v>8</v>
      </c>
      <c r="B9237" s="18" t="str">
        <f>"345093"</f>
        <v>345093</v>
      </c>
      <c r="C9237" s="19" t="s">
        <v>9104</v>
      </c>
      <c r="D9237" s="19" t="s">
        <v>24649</v>
      </c>
      <c r="E9237" s="19" t="s">
        <v>34251</v>
      </c>
      <c r="F9237" s="19" t="s">
        <v>36007</v>
      </c>
      <c r="G9237" s="18" t="str">
        <f>"27260"</f>
        <v>27260</v>
      </c>
      <c r="H9237" s="19" t="s">
        <v>31417</v>
      </c>
      <c r="I9237" s="20">
        <v>18.655000000000001</v>
      </c>
      <c r="J9237" s="44" t="s">
        <v>8</v>
      </c>
      <c r="K9237" s="23" t="s">
        <v>8</v>
      </c>
      <c r="L9237" s="23" t="s">
        <v>8</v>
      </c>
      <c r="M9237" s="23" t="s">
        <v>8</v>
      </c>
    </row>
    <row r="9238" spans="1:13" s="21" customFormat="1" x14ac:dyDescent="0.25">
      <c r="A9238" s="22" t="s">
        <v>8</v>
      </c>
      <c r="B9238" s="18" t="str">
        <f>"345095"</f>
        <v>345095</v>
      </c>
      <c r="C9238" s="19" t="s">
        <v>9105</v>
      </c>
      <c r="D9238" s="19" t="s">
        <v>24650</v>
      </c>
      <c r="E9238" s="19" t="s">
        <v>34252</v>
      </c>
      <c r="F9238" s="19" t="s">
        <v>36007</v>
      </c>
      <c r="G9238" s="18" t="str">
        <f>"28621"</f>
        <v>28621</v>
      </c>
      <c r="H9238" s="19" t="s">
        <v>36621</v>
      </c>
      <c r="I9238" s="20">
        <v>16.145</v>
      </c>
      <c r="J9238" s="44" t="s">
        <v>8</v>
      </c>
      <c r="K9238" s="23" t="s">
        <v>8</v>
      </c>
      <c r="L9238" s="23" t="s">
        <v>8</v>
      </c>
      <c r="M9238" s="23" t="s">
        <v>8</v>
      </c>
    </row>
    <row r="9239" spans="1:13" s="21" customFormat="1" x14ac:dyDescent="0.25">
      <c r="A9239" s="22" t="s">
        <v>8</v>
      </c>
      <c r="B9239" s="18" t="str">
        <f>"345096"</f>
        <v>345096</v>
      </c>
      <c r="C9239" s="19" t="s">
        <v>9106</v>
      </c>
      <c r="D9239" s="19" t="s">
        <v>24651</v>
      </c>
      <c r="E9239" s="19" t="s">
        <v>34253</v>
      </c>
      <c r="F9239" s="19" t="s">
        <v>36007</v>
      </c>
      <c r="G9239" s="18" t="str">
        <f>"28078"</f>
        <v>28078</v>
      </c>
      <c r="H9239" s="19" t="s">
        <v>36610</v>
      </c>
      <c r="I9239" s="20">
        <v>17.088999999999999</v>
      </c>
      <c r="J9239" s="44" t="s">
        <v>8</v>
      </c>
      <c r="K9239" s="23" t="s">
        <v>8</v>
      </c>
      <c r="L9239" s="23" t="s">
        <v>8</v>
      </c>
      <c r="M9239" s="23" t="s">
        <v>8</v>
      </c>
    </row>
    <row r="9240" spans="1:13" s="21" customFormat="1" x14ac:dyDescent="0.25">
      <c r="A9240" s="22" t="s">
        <v>8</v>
      </c>
      <c r="B9240" s="18" t="str">
        <f>"345097"</f>
        <v>345097</v>
      </c>
      <c r="C9240" s="19" t="s">
        <v>9107</v>
      </c>
      <c r="D9240" s="19" t="s">
        <v>24652</v>
      </c>
      <c r="E9240" s="19" t="s">
        <v>31711</v>
      </c>
      <c r="F9240" s="19" t="s">
        <v>36007</v>
      </c>
      <c r="G9240" s="18" t="str">
        <f>"28111"</f>
        <v>28111</v>
      </c>
      <c r="H9240" s="19" t="s">
        <v>33554</v>
      </c>
      <c r="I9240" s="20">
        <v>13.85</v>
      </c>
      <c r="J9240" s="44" t="s">
        <v>8</v>
      </c>
      <c r="K9240" s="23" t="s">
        <v>8</v>
      </c>
      <c r="L9240" s="23" t="s">
        <v>8</v>
      </c>
      <c r="M9240" s="23" t="s">
        <v>8</v>
      </c>
    </row>
    <row r="9241" spans="1:13" s="21" customFormat="1" x14ac:dyDescent="0.25">
      <c r="A9241" s="22" t="s">
        <v>8</v>
      </c>
      <c r="B9241" s="18" t="str">
        <f>"345101"</f>
        <v>345101</v>
      </c>
      <c r="C9241" s="19" t="s">
        <v>9108</v>
      </c>
      <c r="D9241" s="19" t="s">
        <v>24653</v>
      </c>
      <c r="E9241" s="19" t="s">
        <v>31400</v>
      </c>
      <c r="F9241" s="19" t="s">
        <v>36007</v>
      </c>
      <c r="G9241" s="18" t="str">
        <f>"27823"</f>
        <v>27823</v>
      </c>
      <c r="H9241" s="19" t="s">
        <v>36622</v>
      </c>
      <c r="I9241" s="20">
        <v>19.047000000000001</v>
      </c>
      <c r="J9241" s="44" t="s">
        <v>8</v>
      </c>
      <c r="K9241" s="23" t="s">
        <v>8</v>
      </c>
      <c r="L9241" s="23" t="s">
        <v>8</v>
      </c>
      <c r="M9241" s="23" t="s">
        <v>8</v>
      </c>
    </row>
    <row r="9242" spans="1:13" s="21" customFormat="1" x14ac:dyDescent="0.25">
      <c r="A9242" s="22" t="s">
        <v>8</v>
      </c>
      <c r="B9242" s="18" t="str">
        <f>"345102"</f>
        <v>345102</v>
      </c>
      <c r="C9242" s="19" t="s">
        <v>9109</v>
      </c>
      <c r="D9242" s="19" t="s">
        <v>24654</v>
      </c>
      <c r="E9242" s="19" t="s">
        <v>34254</v>
      </c>
      <c r="F9242" s="19" t="s">
        <v>36007</v>
      </c>
      <c r="G9242" s="18" t="str">
        <f>"28751"</f>
        <v>28751</v>
      </c>
      <c r="H9242" s="19" t="s">
        <v>36623</v>
      </c>
      <c r="I9242" s="20">
        <v>18.411000000000001</v>
      </c>
      <c r="J9242" s="44" t="s">
        <v>8</v>
      </c>
      <c r="K9242" s="23" t="s">
        <v>8</v>
      </c>
      <c r="L9242" s="23" t="s">
        <v>8</v>
      </c>
      <c r="M9242" s="23" t="s">
        <v>8</v>
      </c>
    </row>
    <row r="9243" spans="1:13" s="21" customFormat="1" x14ac:dyDescent="0.25">
      <c r="A9243" s="22" t="s">
        <v>8</v>
      </c>
      <c r="B9243" s="18" t="str">
        <f>"345103"</f>
        <v>345103</v>
      </c>
      <c r="C9243" s="19" t="s">
        <v>9110</v>
      </c>
      <c r="D9243" s="19" t="s">
        <v>24655</v>
      </c>
      <c r="E9243" s="19" t="s">
        <v>33719</v>
      </c>
      <c r="F9243" s="19" t="s">
        <v>36007</v>
      </c>
      <c r="G9243" s="18" t="str">
        <f>"28105"</f>
        <v>28105</v>
      </c>
      <c r="H9243" s="19" t="s">
        <v>36610</v>
      </c>
      <c r="I9243" s="20">
        <v>20.852</v>
      </c>
      <c r="J9243" s="44" t="s">
        <v>8</v>
      </c>
      <c r="K9243" s="23" t="s">
        <v>8</v>
      </c>
      <c r="L9243" s="23" t="s">
        <v>8</v>
      </c>
      <c r="M9243" s="23" t="s">
        <v>8</v>
      </c>
    </row>
    <row r="9244" spans="1:13" s="21" customFormat="1" x14ac:dyDescent="0.25">
      <c r="A9244" s="22" t="s">
        <v>8</v>
      </c>
      <c r="B9244" s="18" t="str">
        <f>"345104"</f>
        <v>345104</v>
      </c>
      <c r="C9244" s="19" t="s">
        <v>9111</v>
      </c>
      <c r="D9244" s="19" t="s">
        <v>24656</v>
      </c>
      <c r="E9244" s="19" t="s">
        <v>34255</v>
      </c>
      <c r="F9244" s="19" t="s">
        <v>36007</v>
      </c>
      <c r="G9244" s="18" t="str">
        <f>"27597"</f>
        <v>27597</v>
      </c>
      <c r="H9244" s="19" t="s">
        <v>36611</v>
      </c>
      <c r="I9244" s="20">
        <v>18.015000000000001</v>
      </c>
      <c r="J9244" s="44" t="s">
        <v>8</v>
      </c>
      <c r="K9244" s="23" t="s">
        <v>8</v>
      </c>
      <c r="L9244" s="23" t="s">
        <v>8</v>
      </c>
      <c r="M9244" s="23" t="s">
        <v>8</v>
      </c>
    </row>
    <row r="9245" spans="1:13" s="21" customFormat="1" x14ac:dyDescent="0.25">
      <c r="A9245" s="22" t="s">
        <v>8</v>
      </c>
      <c r="B9245" s="18" t="str">
        <f>"345105"</f>
        <v>345105</v>
      </c>
      <c r="C9245" s="19" t="s">
        <v>9112</v>
      </c>
      <c r="D9245" s="19" t="s">
        <v>24657</v>
      </c>
      <c r="E9245" s="19" t="s">
        <v>34251</v>
      </c>
      <c r="F9245" s="19" t="s">
        <v>36007</v>
      </c>
      <c r="G9245" s="18" t="str">
        <f>"27265"</f>
        <v>27265</v>
      </c>
      <c r="H9245" s="19" t="s">
        <v>31417</v>
      </c>
      <c r="I9245" s="20">
        <v>17.956</v>
      </c>
      <c r="J9245" s="44" t="s">
        <v>8</v>
      </c>
      <c r="K9245" s="23" t="s">
        <v>8</v>
      </c>
      <c r="L9245" s="23" t="s">
        <v>8</v>
      </c>
      <c r="M9245" s="23" t="s">
        <v>8</v>
      </c>
    </row>
    <row r="9246" spans="1:13" s="21" customFormat="1" x14ac:dyDescent="0.25">
      <c r="A9246" s="22" t="s">
        <v>8</v>
      </c>
      <c r="B9246" s="18" t="str">
        <f>"345106"</f>
        <v>345106</v>
      </c>
      <c r="C9246" s="19" t="s">
        <v>9113</v>
      </c>
      <c r="D9246" s="19" t="s">
        <v>24658</v>
      </c>
      <c r="E9246" s="19" t="s">
        <v>34248</v>
      </c>
      <c r="F9246" s="19" t="s">
        <v>36007</v>
      </c>
      <c r="G9246" s="18" t="str">
        <f>"28602"</f>
        <v>28602</v>
      </c>
      <c r="H9246" s="19" t="s">
        <v>36617</v>
      </c>
      <c r="I9246" s="20">
        <v>16.617000000000001</v>
      </c>
      <c r="J9246" s="44" t="s">
        <v>8</v>
      </c>
      <c r="K9246" s="23" t="s">
        <v>8</v>
      </c>
      <c r="L9246" s="23" t="s">
        <v>8</v>
      </c>
      <c r="M9246" s="23" t="s">
        <v>8</v>
      </c>
    </row>
    <row r="9247" spans="1:13" s="21" customFormat="1" x14ac:dyDescent="0.25">
      <c r="A9247" s="22" t="s">
        <v>8</v>
      </c>
      <c r="B9247" s="18" t="str">
        <f>"345109"</f>
        <v>345109</v>
      </c>
      <c r="C9247" s="19" t="s">
        <v>9114</v>
      </c>
      <c r="D9247" s="19" t="s">
        <v>24659</v>
      </c>
      <c r="E9247" s="19" t="s">
        <v>34256</v>
      </c>
      <c r="F9247" s="19" t="s">
        <v>36007</v>
      </c>
      <c r="G9247" s="18" t="str">
        <f>"28001"</f>
        <v>28001</v>
      </c>
      <c r="H9247" s="19" t="s">
        <v>36624</v>
      </c>
      <c r="I9247" s="20">
        <v>16.812999999999999</v>
      </c>
      <c r="J9247" s="44" t="s">
        <v>8</v>
      </c>
      <c r="K9247" s="23" t="s">
        <v>8</v>
      </c>
      <c r="L9247" s="23" t="s">
        <v>8</v>
      </c>
      <c r="M9247" s="23" t="s">
        <v>8</v>
      </c>
    </row>
    <row r="9248" spans="1:13" s="21" customFormat="1" x14ac:dyDescent="0.25">
      <c r="A9248" s="22" t="s">
        <v>8</v>
      </c>
      <c r="B9248" s="18" t="str">
        <f>"345110"</f>
        <v>345110</v>
      </c>
      <c r="C9248" s="19" t="s">
        <v>9115</v>
      </c>
      <c r="D9248" s="19" t="s">
        <v>24660</v>
      </c>
      <c r="E9248" s="19" t="s">
        <v>33637</v>
      </c>
      <c r="F9248" s="19" t="s">
        <v>36007</v>
      </c>
      <c r="G9248" s="18" t="str">
        <f>"28786"</f>
        <v>28786</v>
      </c>
      <c r="H9248" s="19" t="s">
        <v>36623</v>
      </c>
      <c r="I9248" s="20">
        <v>23.31</v>
      </c>
      <c r="J9248" s="44" t="s">
        <v>8</v>
      </c>
      <c r="K9248" s="23" t="s">
        <v>8</v>
      </c>
      <c r="L9248" s="23" t="s">
        <v>8</v>
      </c>
      <c r="M9248" s="23" t="s">
        <v>8</v>
      </c>
    </row>
    <row r="9249" spans="1:13" s="21" customFormat="1" x14ac:dyDescent="0.25">
      <c r="A9249" s="22" t="s">
        <v>8</v>
      </c>
      <c r="B9249" s="18" t="str">
        <f>"345111"</f>
        <v>345111</v>
      </c>
      <c r="C9249" s="19" t="s">
        <v>9116</v>
      </c>
      <c r="D9249" s="19" t="s">
        <v>24661</v>
      </c>
      <c r="E9249" s="19" t="s">
        <v>34244</v>
      </c>
      <c r="F9249" s="19" t="s">
        <v>36007</v>
      </c>
      <c r="G9249" s="18" t="str">
        <f>"28387"</f>
        <v>28387</v>
      </c>
      <c r="H9249" s="19" t="s">
        <v>34689</v>
      </c>
      <c r="I9249" s="20">
        <v>16.937000000000001</v>
      </c>
      <c r="J9249" s="44" t="s">
        <v>8</v>
      </c>
      <c r="K9249" s="23" t="s">
        <v>8</v>
      </c>
      <c r="L9249" s="23" t="s">
        <v>8</v>
      </c>
      <c r="M9249" s="23" t="s">
        <v>8</v>
      </c>
    </row>
    <row r="9250" spans="1:13" s="21" customFormat="1" x14ac:dyDescent="0.25">
      <c r="A9250" s="22" t="s">
        <v>8</v>
      </c>
      <c r="B9250" s="18" t="str">
        <f>"345113"</f>
        <v>345113</v>
      </c>
      <c r="C9250" s="19" t="s">
        <v>9117</v>
      </c>
      <c r="D9250" s="19" t="s">
        <v>24662</v>
      </c>
      <c r="E9250" s="19" t="s">
        <v>34257</v>
      </c>
      <c r="F9250" s="19" t="s">
        <v>36007</v>
      </c>
      <c r="G9250" s="18" t="str">
        <f>"27534"</f>
        <v>27534</v>
      </c>
      <c r="H9250" s="19" t="s">
        <v>33280</v>
      </c>
      <c r="I9250" s="20">
        <v>20.866</v>
      </c>
      <c r="J9250" s="44" t="s">
        <v>8</v>
      </c>
      <c r="K9250" s="23" t="s">
        <v>8</v>
      </c>
      <c r="L9250" s="23" t="s">
        <v>8</v>
      </c>
      <c r="M9250" s="23" t="s">
        <v>8</v>
      </c>
    </row>
    <row r="9251" spans="1:13" s="21" customFormat="1" x14ac:dyDescent="0.25">
      <c r="A9251" s="22" t="s">
        <v>8</v>
      </c>
      <c r="B9251" s="18" t="str">
        <f>"345115"</f>
        <v>345115</v>
      </c>
      <c r="C9251" s="19" t="s">
        <v>9118</v>
      </c>
      <c r="D9251" s="19" t="s">
        <v>24663</v>
      </c>
      <c r="E9251" s="19" t="s">
        <v>31440</v>
      </c>
      <c r="F9251" s="19" t="s">
        <v>36007</v>
      </c>
      <c r="G9251" s="18" t="str">
        <f>"28144"</f>
        <v>28144</v>
      </c>
      <c r="H9251" s="19" t="s">
        <v>36326</v>
      </c>
      <c r="I9251" s="20">
        <v>19.498999999999999</v>
      </c>
      <c r="J9251" s="44" t="s">
        <v>8</v>
      </c>
      <c r="K9251" s="23" t="s">
        <v>8</v>
      </c>
      <c r="L9251" s="23" t="s">
        <v>8</v>
      </c>
      <c r="M9251" s="23" t="s">
        <v>8</v>
      </c>
    </row>
    <row r="9252" spans="1:13" s="21" customFormat="1" x14ac:dyDescent="0.25">
      <c r="A9252" s="22" t="s">
        <v>8</v>
      </c>
      <c r="B9252" s="18" t="str">
        <f>"345116"</f>
        <v>345116</v>
      </c>
      <c r="C9252" s="19" t="s">
        <v>9119</v>
      </c>
      <c r="D9252" s="19" t="s">
        <v>24664</v>
      </c>
      <c r="E9252" s="19" t="s">
        <v>30811</v>
      </c>
      <c r="F9252" s="19" t="s">
        <v>36007</v>
      </c>
      <c r="G9252" s="18" t="str">
        <f>"27407"</f>
        <v>27407</v>
      </c>
      <c r="H9252" s="19" t="s">
        <v>31417</v>
      </c>
      <c r="I9252" s="20">
        <v>17.66</v>
      </c>
      <c r="J9252" s="44" t="s">
        <v>8</v>
      </c>
      <c r="K9252" s="23" t="s">
        <v>8</v>
      </c>
      <c r="L9252" s="23" t="s">
        <v>8</v>
      </c>
      <c r="M9252" s="23" t="s">
        <v>8</v>
      </c>
    </row>
    <row r="9253" spans="1:13" s="21" customFormat="1" x14ac:dyDescent="0.25">
      <c r="A9253" s="22" t="s">
        <v>8</v>
      </c>
      <c r="B9253" s="18" t="str">
        <f>"345119"</f>
        <v>345119</v>
      </c>
      <c r="C9253" s="19" t="s">
        <v>9120</v>
      </c>
      <c r="D9253" s="19" t="s">
        <v>24665</v>
      </c>
      <c r="E9253" s="19" t="s">
        <v>31489</v>
      </c>
      <c r="F9253" s="19" t="s">
        <v>36007</v>
      </c>
      <c r="G9253" s="18" t="str">
        <f>"28405"</f>
        <v>28405</v>
      </c>
      <c r="H9253" s="19" t="s">
        <v>36608</v>
      </c>
      <c r="I9253" s="20">
        <v>18.074999999999999</v>
      </c>
      <c r="J9253" s="44" t="s">
        <v>8</v>
      </c>
      <c r="K9253" s="23" t="s">
        <v>8</v>
      </c>
      <c r="L9253" s="23" t="s">
        <v>8</v>
      </c>
      <c r="M9253" s="23" t="s">
        <v>8</v>
      </c>
    </row>
    <row r="9254" spans="1:13" s="21" customFormat="1" x14ac:dyDescent="0.25">
      <c r="A9254" s="22" t="s">
        <v>8</v>
      </c>
      <c r="B9254" s="18" t="str">
        <f>"345123"</f>
        <v>345123</v>
      </c>
      <c r="C9254" s="19" t="s">
        <v>9121</v>
      </c>
      <c r="D9254" s="19" t="s">
        <v>24666</v>
      </c>
      <c r="E9254" s="19" t="s">
        <v>34258</v>
      </c>
      <c r="F9254" s="19" t="s">
        <v>36007</v>
      </c>
      <c r="G9254" s="18" t="str">
        <f>"28792"</f>
        <v>28792</v>
      </c>
      <c r="H9254" s="19" t="s">
        <v>32699</v>
      </c>
      <c r="I9254" s="20">
        <v>17.981999999999999</v>
      </c>
      <c r="J9254" s="44" t="s">
        <v>8</v>
      </c>
      <c r="K9254" s="23" t="s">
        <v>8</v>
      </c>
      <c r="L9254" s="23" t="s">
        <v>8</v>
      </c>
      <c r="M9254" s="23" t="s">
        <v>8</v>
      </c>
    </row>
    <row r="9255" spans="1:13" s="21" customFormat="1" x14ac:dyDescent="0.25">
      <c r="A9255" s="22" t="s">
        <v>8</v>
      </c>
      <c r="B9255" s="18" t="str">
        <f>"345124"</f>
        <v>345124</v>
      </c>
      <c r="C9255" s="19" t="s">
        <v>9122</v>
      </c>
      <c r="D9255" s="19" t="s">
        <v>24667</v>
      </c>
      <c r="E9255" s="19" t="s">
        <v>34252</v>
      </c>
      <c r="F9255" s="19" t="s">
        <v>36007</v>
      </c>
      <c r="G9255" s="18" t="str">
        <f>"28621"</f>
        <v>28621</v>
      </c>
      <c r="H9255" s="19" t="s">
        <v>36621</v>
      </c>
      <c r="I9255" s="20">
        <v>18.420000000000002</v>
      </c>
      <c r="J9255" s="44" t="s">
        <v>8</v>
      </c>
      <c r="K9255" s="23" t="s">
        <v>8</v>
      </c>
      <c r="L9255" s="23" t="s">
        <v>8</v>
      </c>
      <c r="M9255" s="23" t="s">
        <v>8</v>
      </c>
    </row>
    <row r="9256" spans="1:13" s="21" customFormat="1" x14ac:dyDescent="0.25">
      <c r="A9256" s="22" t="s">
        <v>8</v>
      </c>
      <c r="B9256" s="18" t="str">
        <f>"345126"</f>
        <v>345126</v>
      </c>
      <c r="C9256" s="19" t="s">
        <v>9123</v>
      </c>
      <c r="D9256" s="19" t="s">
        <v>24668</v>
      </c>
      <c r="E9256" s="19" t="s">
        <v>34259</v>
      </c>
      <c r="F9256" s="19" t="s">
        <v>36007</v>
      </c>
      <c r="G9256" s="18" t="str">
        <f>"28365"</f>
        <v>28365</v>
      </c>
      <c r="H9256" s="19" t="s">
        <v>33280</v>
      </c>
      <c r="I9256" s="20">
        <v>20.356999999999999</v>
      </c>
      <c r="J9256" s="44" t="s">
        <v>8</v>
      </c>
      <c r="K9256" s="23" t="s">
        <v>8</v>
      </c>
      <c r="L9256" s="23" t="s">
        <v>8</v>
      </c>
      <c r="M9256" s="23" t="s">
        <v>8</v>
      </c>
    </row>
    <row r="9257" spans="1:13" s="21" customFormat="1" x14ac:dyDescent="0.25">
      <c r="A9257" s="22" t="s">
        <v>8</v>
      </c>
      <c r="B9257" s="18" t="str">
        <f>"345127"</f>
        <v>345127</v>
      </c>
      <c r="C9257" s="19" t="s">
        <v>9124</v>
      </c>
      <c r="D9257" s="19" t="s">
        <v>24669</v>
      </c>
      <c r="E9257" s="19" t="s">
        <v>34260</v>
      </c>
      <c r="F9257" s="19" t="s">
        <v>36007</v>
      </c>
      <c r="G9257" s="18" t="str">
        <f>"28782"</f>
        <v>28782</v>
      </c>
      <c r="H9257" s="19" t="s">
        <v>36062</v>
      </c>
      <c r="I9257" s="20">
        <v>17.042000000000002</v>
      </c>
      <c r="J9257" s="44" t="s">
        <v>8</v>
      </c>
      <c r="K9257" s="23" t="s">
        <v>8</v>
      </c>
      <c r="L9257" s="23" t="s">
        <v>8</v>
      </c>
      <c r="M9257" s="23" t="s">
        <v>8</v>
      </c>
    </row>
    <row r="9258" spans="1:13" s="21" customFormat="1" x14ac:dyDescent="0.25">
      <c r="A9258" s="22" t="s">
        <v>8</v>
      </c>
      <c r="B9258" s="18" t="str">
        <f>"345128"</f>
        <v>345128</v>
      </c>
      <c r="C9258" s="19" t="s">
        <v>9125</v>
      </c>
      <c r="D9258" s="19" t="s">
        <v>24670</v>
      </c>
      <c r="E9258" s="19" t="s">
        <v>34261</v>
      </c>
      <c r="F9258" s="19" t="s">
        <v>36007</v>
      </c>
      <c r="G9258" s="18" t="str">
        <f>"28677"</f>
        <v>28677</v>
      </c>
      <c r="H9258" s="19" t="s">
        <v>36625</v>
      </c>
      <c r="I9258" s="20">
        <v>20.497</v>
      </c>
      <c r="J9258" s="44" t="s">
        <v>8</v>
      </c>
      <c r="K9258" s="23" t="s">
        <v>8</v>
      </c>
      <c r="L9258" s="23" t="s">
        <v>8</v>
      </c>
      <c r="M9258" s="23" t="s">
        <v>8</v>
      </c>
    </row>
    <row r="9259" spans="1:13" s="21" customFormat="1" x14ac:dyDescent="0.25">
      <c r="A9259" s="22" t="s">
        <v>8</v>
      </c>
      <c r="B9259" s="18" t="str">
        <f>"345129"</f>
        <v>345129</v>
      </c>
      <c r="C9259" s="19" t="s">
        <v>9126</v>
      </c>
      <c r="D9259" s="19" t="s">
        <v>24671</v>
      </c>
      <c r="E9259" s="19" t="s">
        <v>34236</v>
      </c>
      <c r="F9259" s="19" t="s">
        <v>36007</v>
      </c>
      <c r="G9259" s="18" t="str">
        <f>"27028"</f>
        <v>27028</v>
      </c>
      <c r="H9259" s="19" t="s">
        <v>36607</v>
      </c>
      <c r="I9259" s="20">
        <v>16.815999999999999</v>
      </c>
      <c r="J9259" s="44" t="s">
        <v>8</v>
      </c>
      <c r="K9259" s="23" t="s">
        <v>8</v>
      </c>
      <c r="L9259" s="23" t="s">
        <v>8</v>
      </c>
      <c r="M9259" s="23" t="s">
        <v>8</v>
      </c>
    </row>
    <row r="9260" spans="1:13" s="21" customFormat="1" x14ac:dyDescent="0.25">
      <c r="A9260" s="22" t="s">
        <v>8</v>
      </c>
      <c r="B9260" s="18" t="str">
        <f>"345130"</f>
        <v>345130</v>
      </c>
      <c r="C9260" s="19" t="s">
        <v>9127</v>
      </c>
      <c r="D9260" s="19" t="s">
        <v>24672</v>
      </c>
      <c r="E9260" s="19" t="s">
        <v>31141</v>
      </c>
      <c r="F9260" s="19" t="s">
        <v>36007</v>
      </c>
      <c r="G9260" s="18" t="str">
        <f>"28025"</f>
        <v>28025</v>
      </c>
      <c r="H9260" s="19" t="s">
        <v>36626</v>
      </c>
      <c r="I9260" s="20">
        <v>21.08</v>
      </c>
      <c r="J9260" s="44" t="s">
        <v>8</v>
      </c>
      <c r="K9260" s="23" t="s">
        <v>8</v>
      </c>
      <c r="L9260" s="23" t="s">
        <v>8</v>
      </c>
      <c r="M9260" s="23" t="s">
        <v>8</v>
      </c>
    </row>
    <row r="9261" spans="1:13" s="21" customFormat="1" x14ac:dyDescent="0.25">
      <c r="A9261" s="22" t="s">
        <v>8</v>
      </c>
      <c r="B9261" s="18" t="str">
        <f>"345131"</f>
        <v>345131</v>
      </c>
      <c r="C9261" s="19" t="s">
        <v>9128</v>
      </c>
      <c r="D9261" s="19" t="s">
        <v>24673</v>
      </c>
      <c r="E9261" s="19" t="s">
        <v>34262</v>
      </c>
      <c r="F9261" s="19" t="s">
        <v>36007</v>
      </c>
      <c r="G9261" s="18" t="str">
        <f>"27012"</f>
        <v>27012</v>
      </c>
      <c r="H9261" s="19" t="s">
        <v>31754</v>
      </c>
      <c r="I9261" s="20">
        <v>19.282</v>
      </c>
      <c r="J9261" s="44" t="s">
        <v>8</v>
      </c>
      <c r="K9261" s="23" t="s">
        <v>8</v>
      </c>
      <c r="L9261" s="23" t="s">
        <v>8</v>
      </c>
      <c r="M9261" s="23" t="s">
        <v>8</v>
      </c>
    </row>
    <row r="9262" spans="1:13" s="21" customFormat="1" x14ac:dyDescent="0.25">
      <c r="A9262" s="22" t="s">
        <v>8</v>
      </c>
      <c r="B9262" s="18" t="str">
        <f>"345132"</f>
        <v>345132</v>
      </c>
      <c r="C9262" s="19" t="s">
        <v>9129</v>
      </c>
      <c r="D9262" s="19" t="s">
        <v>24674</v>
      </c>
      <c r="E9262" s="19" t="s">
        <v>30811</v>
      </c>
      <c r="F9262" s="19" t="s">
        <v>36007</v>
      </c>
      <c r="G9262" s="18" t="str">
        <f>"27406"</f>
        <v>27406</v>
      </c>
      <c r="H9262" s="19" t="s">
        <v>31417</v>
      </c>
      <c r="I9262" s="20">
        <v>18.199000000000002</v>
      </c>
      <c r="J9262" s="44" t="s">
        <v>8</v>
      </c>
      <c r="K9262" s="23" t="s">
        <v>8</v>
      </c>
      <c r="L9262" s="23" t="s">
        <v>8</v>
      </c>
      <c r="M9262" s="23" t="s">
        <v>8</v>
      </c>
    </row>
    <row r="9263" spans="1:13" s="21" customFormat="1" x14ac:dyDescent="0.25">
      <c r="A9263" s="22" t="s">
        <v>8</v>
      </c>
      <c r="B9263" s="18" t="str">
        <f>"345133"</f>
        <v>345133</v>
      </c>
      <c r="C9263" s="19" t="s">
        <v>9130</v>
      </c>
      <c r="D9263" s="19" t="s">
        <v>24675</v>
      </c>
      <c r="E9263" s="19" t="s">
        <v>34263</v>
      </c>
      <c r="F9263" s="19" t="s">
        <v>36007</v>
      </c>
      <c r="G9263" s="18" t="str">
        <f>"28697"</f>
        <v>28697</v>
      </c>
      <c r="H9263" s="19" t="s">
        <v>36162</v>
      </c>
      <c r="I9263" s="20">
        <v>19.782</v>
      </c>
      <c r="J9263" s="44" t="s">
        <v>8</v>
      </c>
      <c r="K9263" s="23" t="s">
        <v>8</v>
      </c>
      <c r="L9263" s="23" t="s">
        <v>8</v>
      </c>
      <c r="M9263" s="23" t="s">
        <v>8</v>
      </c>
    </row>
    <row r="9264" spans="1:13" s="21" customFormat="1" x14ac:dyDescent="0.25">
      <c r="A9264" s="22" t="s">
        <v>8</v>
      </c>
      <c r="B9264" s="18" t="str">
        <f>"345134"</f>
        <v>345134</v>
      </c>
      <c r="C9264" s="19" t="s">
        <v>9131</v>
      </c>
      <c r="D9264" s="19" t="s">
        <v>24676</v>
      </c>
      <c r="E9264" s="19" t="s">
        <v>33156</v>
      </c>
      <c r="F9264" s="19" t="s">
        <v>36007</v>
      </c>
      <c r="G9264" s="18" t="str">
        <f>"28211"</f>
        <v>28211</v>
      </c>
      <c r="H9264" s="19" t="s">
        <v>36610</v>
      </c>
      <c r="I9264" s="20">
        <v>18.189</v>
      </c>
      <c r="J9264" s="44" t="s">
        <v>8</v>
      </c>
      <c r="K9264" s="23" t="s">
        <v>8</v>
      </c>
      <c r="L9264" s="23" t="s">
        <v>8</v>
      </c>
      <c r="M9264" s="23" t="s">
        <v>8</v>
      </c>
    </row>
    <row r="9265" spans="1:13" s="21" customFormat="1" x14ac:dyDescent="0.25">
      <c r="A9265" s="22" t="s">
        <v>8</v>
      </c>
      <c r="B9265" s="18" t="str">
        <f>"345137"</f>
        <v>345137</v>
      </c>
      <c r="C9265" s="19" t="s">
        <v>9132</v>
      </c>
      <c r="D9265" s="19" t="s">
        <v>24677</v>
      </c>
      <c r="E9265" s="19" t="s">
        <v>34264</v>
      </c>
      <c r="F9265" s="19" t="s">
        <v>36007</v>
      </c>
      <c r="G9265" s="18" t="str">
        <f>"27803"</f>
        <v>27803</v>
      </c>
      <c r="H9265" s="19" t="s">
        <v>36627</v>
      </c>
      <c r="I9265" s="20">
        <v>20.175999999999998</v>
      </c>
      <c r="J9265" s="44" t="s">
        <v>8</v>
      </c>
      <c r="K9265" s="23" t="s">
        <v>8</v>
      </c>
      <c r="L9265" s="23" t="s">
        <v>8</v>
      </c>
      <c r="M9265" s="23" t="s">
        <v>8</v>
      </c>
    </row>
    <row r="9266" spans="1:13" s="21" customFormat="1" x14ac:dyDescent="0.25">
      <c r="A9266" s="22" t="s">
        <v>8</v>
      </c>
      <c r="B9266" s="18" t="str">
        <f>"345138"</f>
        <v>345138</v>
      </c>
      <c r="C9266" s="19" t="s">
        <v>9133</v>
      </c>
      <c r="D9266" s="19" t="s">
        <v>24678</v>
      </c>
      <c r="E9266" s="19" t="s">
        <v>34265</v>
      </c>
      <c r="F9266" s="19" t="s">
        <v>36007</v>
      </c>
      <c r="G9266" s="18" t="str">
        <f>"28645"</f>
        <v>28645</v>
      </c>
      <c r="H9266" s="19" t="s">
        <v>31876</v>
      </c>
      <c r="I9266" s="20">
        <v>16.463999999999999</v>
      </c>
      <c r="J9266" s="44" t="s">
        <v>8</v>
      </c>
      <c r="K9266" s="23" t="s">
        <v>8</v>
      </c>
      <c r="L9266" s="23" t="s">
        <v>8</v>
      </c>
      <c r="M9266" s="23" t="s">
        <v>8</v>
      </c>
    </row>
    <row r="9267" spans="1:13" s="21" customFormat="1" x14ac:dyDescent="0.25">
      <c r="A9267" s="22" t="s">
        <v>8</v>
      </c>
      <c r="B9267" s="18" t="str">
        <f>"345140"</f>
        <v>345140</v>
      </c>
      <c r="C9267" s="19" t="s">
        <v>9134</v>
      </c>
      <c r="D9267" s="19" t="s">
        <v>24679</v>
      </c>
      <c r="E9267" s="19" t="s">
        <v>31440</v>
      </c>
      <c r="F9267" s="19" t="s">
        <v>36007</v>
      </c>
      <c r="G9267" s="18" t="str">
        <f>"28145"</f>
        <v>28145</v>
      </c>
      <c r="H9267" s="19" t="s">
        <v>36326</v>
      </c>
      <c r="I9267" s="20">
        <v>18.917999999999999</v>
      </c>
      <c r="J9267" s="44" t="s">
        <v>8</v>
      </c>
      <c r="K9267" s="23" t="s">
        <v>8</v>
      </c>
      <c r="L9267" s="23" t="s">
        <v>8</v>
      </c>
      <c r="M9267" s="23" t="s">
        <v>8</v>
      </c>
    </row>
    <row r="9268" spans="1:13" s="21" customFormat="1" x14ac:dyDescent="0.25">
      <c r="A9268" s="22" t="s">
        <v>8</v>
      </c>
      <c r="B9268" s="18" t="str">
        <f>"345142"</f>
        <v>345142</v>
      </c>
      <c r="C9268" s="19" t="s">
        <v>9135</v>
      </c>
      <c r="D9268" s="19" t="s">
        <v>24680</v>
      </c>
      <c r="E9268" s="19" t="s">
        <v>33156</v>
      </c>
      <c r="F9268" s="19" t="s">
        <v>36007</v>
      </c>
      <c r="G9268" s="18" t="str">
        <f>"28262"</f>
        <v>28262</v>
      </c>
      <c r="H9268" s="19" t="s">
        <v>36610</v>
      </c>
      <c r="I9268" s="20">
        <v>19.135000000000002</v>
      </c>
      <c r="J9268" s="44" t="s">
        <v>8</v>
      </c>
      <c r="K9268" s="23" t="s">
        <v>8</v>
      </c>
      <c r="L9268" s="23" t="s">
        <v>8</v>
      </c>
      <c r="M9268" s="23" t="s">
        <v>8</v>
      </c>
    </row>
    <row r="9269" spans="1:13" s="21" customFormat="1" x14ac:dyDescent="0.25">
      <c r="A9269" s="22" t="s">
        <v>8</v>
      </c>
      <c r="B9269" s="18" t="str">
        <f>"345143"</f>
        <v>345143</v>
      </c>
      <c r="C9269" s="19" t="s">
        <v>9136</v>
      </c>
      <c r="D9269" s="19" t="s">
        <v>24681</v>
      </c>
      <c r="E9269" s="19" t="s">
        <v>34266</v>
      </c>
      <c r="F9269" s="19" t="s">
        <v>36007</v>
      </c>
      <c r="G9269" s="18" t="str">
        <f>"27344"</f>
        <v>27344</v>
      </c>
      <c r="H9269" s="19" t="s">
        <v>33903</v>
      </c>
      <c r="I9269" s="20">
        <v>22.161999999999999</v>
      </c>
      <c r="J9269" s="44" t="s">
        <v>8</v>
      </c>
      <c r="K9269" s="23" t="s">
        <v>8</v>
      </c>
      <c r="L9269" s="23" t="s">
        <v>8</v>
      </c>
      <c r="M9269" s="23" t="s">
        <v>8</v>
      </c>
    </row>
    <row r="9270" spans="1:13" s="21" customFormat="1" x14ac:dyDescent="0.25">
      <c r="A9270" s="22" t="s">
        <v>8</v>
      </c>
      <c r="B9270" s="18" t="str">
        <f>"345144"</f>
        <v>345144</v>
      </c>
      <c r="C9270" s="19" t="s">
        <v>9137</v>
      </c>
      <c r="D9270" s="19" t="s">
        <v>24682</v>
      </c>
      <c r="E9270" s="19" t="s">
        <v>30900</v>
      </c>
      <c r="F9270" s="19" t="s">
        <v>36007</v>
      </c>
      <c r="G9270" s="18" t="str">
        <f>"27360"</f>
        <v>27360</v>
      </c>
      <c r="H9270" s="19" t="s">
        <v>36613</v>
      </c>
      <c r="I9270" s="20">
        <v>20.411999999999999</v>
      </c>
      <c r="J9270" s="44" t="s">
        <v>8</v>
      </c>
      <c r="K9270" s="23" t="s">
        <v>8</v>
      </c>
      <c r="L9270" s="23" t="s">
        <v>8</v>
      </c>
      <c r="M9270" s="23" t="s">
        <v>8</v>
      </c>
    </row>
    <row r="9271" spans="1:13" s="21" customFormat="1" x14ac:dyDescent="0.25">
      <c r="A9271" s="22" t="s">
        <v>8</v>
      </c>
      <c r="B9271" s="18" t="str">
        <f>"345145"</f>
        <v>345145</v>
      </c>
      <c r="C9271" s="19" t="s">
        <v>9138</v>
      </c>
      <c r="D9271" s="19" t="s">
        <v>24683</v>
      </c>
      <c r="E9271" s="19" t="s">
        <v>34235</v>
      </c>
      <c r="F9271" s="19" t="s">
        <v>36007</v>
      </c>
      <c r="G9271" s="18" t="str">
        <f>"27892"</f>
        <v>27892</v>
      </c>
      <c r="H9271" s="19" t="s">
        <v>35168</v>
      </c>
      <c r="I9271" s="20">
        <v>20.53</v>
      </c>
      <c r="J9271" s="44" t="s">
        <v>8</v>
      </c>
      <c r="K9271" s="23" t="s">
        <v>8</v>
      </c>
      <c r="L9271" s="23" t="s">
        <v>8</v>
      </c>
      <c r="M9271" s="23" t="s">
        <v>8</v>
      </c>
    </row>
    <row r="9272" spans="1:13" s="21" customFormat="1" x14ac:dyDescent="0.25">
      <c r="A9272" s="22" t="s">
        <v>8</v>
      </c>
      <c r="B9272" s="18" t="str">
        <f>"345146"</f>
        <v>345146</v>
      </c>
      <c r="C9272" s="19" t="s">
        <v>9139</v>
      </c>
      <c r="D9272" s="19" t="s">
        <v>24684</v>
      </c>
      <c r="E9272" s="19" t="s">
        <v>34256</v>
      </c>
      <c r="F9272" s="19" t="s">
        <v>36007</v>
      </c>
      <c r="G9272" s="18" t="str">
        <f>"28002"</f>
        <v>28002</v>
      </c>
      <c r="H9272" s="19" t="s">
        <v>36624</v>
      </c>
      <c r="I9272" s="20">
        <v>17.565000000000001</v>
      </c>
      <c r="J9272" s="44" t="s">
        <v>8</v>
      </c>
      <c r="K9272" s="23" t="s">
        <v>8</v>
      </c>
      <c r="L9272" s="23" t="s">
        <v>8</v>
      </c>
      <c r="M9272" s="23" t="s">
        <v>8</v>
      </c>
    </row>
    <row r="9273" spans="1:13" s="21" customFormat="1" x14ac:dyDescent="0.25">
      <c r="A9273" s="22" t="s">
        <v>8</v>
      </c>
      <c r="B9273" s="18" t="str">
        <f>"345148"</f>
        <v>345148</v>
      </c>
      <c r="C9273" s="19" t="s">
        <v>9140</v>
      </c>
      <c r="D9273" s="19" t="s">
        <v>24685</v>
      </c>
      <c r="E9273" s="19" t="s">
        <v>30811</v>
      </c>
      <c r="F9273" s="19" t="s">
        <v>36007</v>
      </c>
      <c r="G9273" s="18" t="str">
        <f>"27410"</f>
        <v>27410</v>
      </c>
      <c r="H9273" s="19" t="s">
        <v>31417</v>
      </c>
      <c r="I9273" s="20">
        <v>18.777999999999999</v>
      </c>
      <c r="J9273" s="44" t="s">
        <v>8</v>
      </c>
      <c r="K9273" s="23" t="s">
        <v>8</v>
      </c>
      <c r="L9273" s="23" t="s">
        <v>8</v>
      </c>
      <c r="M9273" s="23" t="s">
        <v>8</v>
      </c>
    </row>
    <row r="9274" spans="1:13" s="21" customFormat="1" x14ac:dyDescent="0.25">
      <c r="A9274" s="22" t="s">
        <v>8</v>
      </c>
      <c r="B9274" s="18" t="str">
        <f>"345149"</f>
        <v>345149</v>
      </c>
      <c r="C9274" s="19" t="s">
        <v>9141</v>
      </c>
      <c r="D9274" s="19" t="s">
        <v>24686</v>
      </c>
      <c r="E9274" s="19" t="s">
        <v>34238</v>
      </c>
      <c r="F9274" s="19" t="s">
        <v>36007</v>
      </c>
      <c r="G9274" s="18" t="str">
        <f>"27106"</f>
        <v>27106</v>
      </c>
      <c r="H9274" s="19" t="s">
        <v>31754</v>
      </c>
      <c r="I9274" s="20">
        <v>21.501999999999999</v>
      </c>
      <c r="J9274" s="44" t="s">
        <v>8</v>
      </c>
      <c r="K9274" s="23" t="s">
        <v>8</v>
      </c>
      <c r="L9274" s="23" t="s">
        <v>8</v>
      </c>
      <c r="M9274" s="23" t="s">
        <v>8</v>
      </c>
    </row>
    <row r="9275" spans="1:13" s="21" customFormat="1" x14ac:dyDescent="0.25">
      <c r="A9275" s="22" t="s">
        <v>8</v>
      </c>
      <c r="B9275" s="18" t="str">
        <f>"345150"</f>
        <v>345150</v>
      </c>
      <c r="C9275" s="19" t="s">
        <v>9142</v>
      </c>
      <c r="D9275" s="19" t="s">
        <v>24687</v>
      </c>
      <c r="E9275" s="19" t="s">
        <v>34267</v>
      </c>
      <c r="F9275" s="19" t="s">
        <v>36007</v>
      </c>
      <c r="G9275" s="18" t="str">
        <f>"28349"</f>
        <v>28349</v>
      </c>
      <c r="H9275" s="19" t="s">
        <v>36628</v>
      </c>
      <c r="I9275" s="20">
        <v>20.420999999999999</v>
      </c>
      <c r="J9275" s="44" t="s">
        <v>8</v>
      </c>
      <c r="K9275" s="23" t="s">
        <v>8</v>
      </c>
      <c r="L9275" s="23" t="s">
        <v>8</v>
      </c>
      <c r="M9275" s="23" t="s">
        <v>8</v>
      </c>
    </row>
    <row r="9276" spans="1:13" s="21" customFormat="1" x14ac:dyDescent="0.25">
      <c r="A9276" s="22" t="s">
        <v>8</v>
      </c>
      <c r="B9276" s="18" t="str">
        <f>"345151"</f>
        <v>345151</v>
      </c>
      <c r="C9276" s="19" t="s">
        <v>9143</v>
      </c>
      <c r="D9276" s="19" t="s">
        <v>24688</v>
      </c>
      <c r="E9276" s="19" t="s">
        <v>34268</v>
      </c>
      <c r="F9276" s="19" t="s">
        <v>36007</v>
      </c>
      <c r="G9276" s="18" t="str">
        <f>"28086"</f>
        <v>28086</v>
      </c>
      <c r="H9276" s="19" t="s">
        <v>31810</v>
      </c>
      <c r="I9276" s="20">
        <v>18.826000000000001</v>
      </c>
      <c r="J9276" s="44" t="s">
        <v>8</v>
      </c>
      <c r="K9276" s="23" t="s">
        <v>8</v>
      </c>
      <c r="L9276" s="23" t="s">
        <v>8</v>
      </c>
      <c r="M9276" s="23" t="s">
        <v>8</v>
      </c>
    </row>
    <row r="9277" spans="1:13" s="21" customFormat="1" x14ac:dyDescent="0.25">
      <c r="A9277" s="22" t="s">
        <v>8</v>
      </c>
      <c r="B9277" s="18" t="str">
        <f>"345152"</f>
        <v>345152</v>
      </c>
      <c r="C9277" s="19" t="s">
        <v>9144</v>
      </c>
      <c r="D9277" s="19" t="s">
        <v>24689</v>
      </c>
      <c r="E9277" s="19" t="s">
        <v>34248</v>
      </c>
      <c r="F9277" s="19" t="s">
        <v>36007</v>
      </c>
      <c r="G9277" s="18" t="str">
        <f>"28601"</f>
        <v>28601</v>
      </c>
      <c r="H9277" s="19" t="s">
        <v>36617</v>
      </c>
      <c r="I9277" s="20">
        <v>16.748000000000001</v>
      </c>
      <c r="J9277" s="44" t="s">
        <v>8</v>
      </c>
      <c r="K9277" s="23" t="s">
        <v>8</v>
      </c>
      <c r="L9277" s="23" t="s">
        <v>8</v>
      </c>
      <c r="M9277" s="23" t="s">
        <v>8</v>
      </c>
    </row>
    <row r="9278" spans="1:13" s="21" customFormat="1" x14ac:dyDescent="0.25">
      <c r="A9278" s="22" t="s">
        <v>8</v>
      </c>
      <c r="B9278" s="18" t="str">
        <f>"345153"</f>
        <v>345153</v>
      </c>
      <c r="C9278" s="19" t="s">
        <v>9145</v>
      </c>
      <c r="D9278" s="19" t="s">
        <v>24690</v>
      </c>
      <c r="E9278" s="19" t="s">
        <v>31440</v>
      </c>
      <c r="F9278" s="19" t="s">
        <v>36007</v>
      </c>
      <c r="G9278" s="18" t="str">
        <f>"28144"</f>
        <v>28144</v>
      </c>
      <c r="H9278" s="19" t="s">
        <v>36326</v>
      </c>
      <c r="I9278" s="20">
        <v>21.263999999999999</v>
      </c>
      <c r="J9278" s="44" t="s">
        <v>8</v>
      </c>
      <c r="K9278" s="23" t="s">
        <v>8</v>
      </c>
      <c r="L9278" s="23" t="s">
        <v>8</v>
      </c>
      <c r="M9278" s="23" t="s">
        <v>8</v>
      </c>
    </row>
    <row r="9279" spans="1:13" s="21" customFormat="1" x14ac:dyDescent="0.25">
      <c r="A9279" s="22" t="s">
        <v>8</v>
      </c>
      <c r="B9279" s="18" t="str">
        <f>"345155"</f>
        <v>345155</v>
      </c>
      <c r="C9279" s="19" t="s">
        <v>9146</v>
      </c>
      <c r="D9279" s="19" t="s">
        <v>24691</v>
      </c>
      <c r="E9279" s="19" t="s">
        <v>34241</v>
      </c>
      <c r="F9279" s="19" t="s">
        <v>36007</v>
      </c>
      <c r="G9279" s="18" t="str">
        <f>"27203"</f>
        <v>27203</v>
      </c>
      <c r="H9279" s="19" t="s">
        <v>33068</v>
      </c>
      <c r="I9279" s="20">
        <v>19.302</v>
      </c>
      <c r="J9279" s="44" t="s">
        <v>8</v>
      </c>
      <c r="K9279" s="23" t="s">
        <v>8</v>
      </c>
      <c r="L9279" s="23" t="s">
        <v>8</v>
      </c>
      <c r="M9279" s="23" t="s">
        <v>8</v>
      </c>
    </row>
    <row r="9280" spans="1:13" s="21" customFormat="1" x14ac:dyDescent="0.25">
      <c r="A9280" s="22" t="s">
        <v>8</v>
      </c>
      <c r="B9280" s="18" t="str">
        <f>"345156"</f>
        <v>345156</v>
      </c>
      <c r="C9280" s="19" t="s">
        <v>9147</v>
      </c>
      <c r="D9280" s="19" t="s">
        <v>24692</v>
      </c>
      <c r="E9280" s="19" t="s">
        <v>34269</v>
      </c>
      <c r="F9280" s="19" t="s">
        <v>36007</v>
      </c>
      <c r="G9280" s="18" t="str">
        <f>"28502"</f>
        <v>28502</v>
      </c>
      <c r="H9280" s="19" t="s">
        <v>34265</v>
      </c>
      <c r="I9280" s="20">
        <v>23.893000000000001</v>
      </c>
      <c r="J9280" s="44" t="s">
        <v>8</v>
      </c>
      <c r="K9280" s="23" t="s">
        <v>8</v>
      </c>
      <c r="L9280" s="23" t="s">
        <v>8</v>
      </c>
      <c r="M9280" s="23" t="s">
        <v>8</v>
      </c>
    </row>
    <row r="9281" spans="1:13" s="21" customFormat="1" x14ac:dyDescent="0.25">
      <c r="A9281" s="22" t="s">
        <v>8</v>
      </c>
      <c r="B9281" s="18" t="str">
        <f>"345159"</f>
        <v>345159</v>
      </c>
      <c r="C9281" s="19" t="s">
        <v>9148</v>
      </c>
      <c r="D9281" s="19" t="s">
        <v>24693</v>
      </c>
      <c r="E9281" s="19" t="s">
        <v>34270</v>
      </c>
      <c r="F9281" s="19" t="s">
        <v>36007</v>
      </c>
      <c r="G9281" s="18" t="str">
        <f>"28092"</f>
        <v>28092</v>
      </c>
      <c r="H9281" s="19" t="s">
        <v>31995</v>
      </c>
      <c r="I9281" s="20">
        <v>21.709</v>
      </c>
      <c r="J9281" s="44" t="s">
        <v>8</v>
      </c>
      <c r="K9281" s="23" t="s">
        <v>8</v>
      </c>
      <c r="L9281" s="23" t="s">
        <v>8</v>
      </c>
      <c r="M9281" s="23" t="s">
        <v>8</v>
      </c>
    </row>
    <row r="9282" spans="1:13" s="21" customFormat="1" x14ac:dyDescent="0.25">
      <c r="A9282" s="22" t="s">
        <v>8</v>
      </c>
      <c r="B9282" s="18" t="str">
        <f>"345160"</f>
        <v>345160</v>
      </c>
      <c r="C9282" s="19" t="s">
        <v>9149</v>
      </c>
      <c r="D9282" s="19" t="s">
        <v>24694</v>
      </c>
      <c r="E9282" s="19" t="s">
        <v>31489</v>
      </c>
      <c r="F9282" s="19" t="s">
        <v>36007</v>
      </c>
      <c r="G9282" s="18" t="str">
        <f>"28411"</f>
        <v>28411</v>
      </c>
      <c r="H9282" s="19" t="s">
        <v>36608</v>
      </c>
      <c r="I9282" s="20">
        <v>16.164999999999999</v>
      </c>
      <c r="J9282" s="44" t="s">
        <v>8</v>
      </c>
      <c r="K9282" s="23" t="s">
        <v>8</v>
      </c>
      <c r="L9282" s="23" t="s">
        <v>8</v>
      </c>
      <c r="M9282" s="23" t="s">
        <v>8</v>
      </c>
    </row>
    <row r="9283" spans="1:13" s="21" customFormat="1" x14ac:dyDescent="0.25">
      <c r="A9283" s="22" t="s">
        <v>8</v>
      </c>
      <c r="B9283" s="18" t="str">
        <f>"345161"</f>
        <v>345161</v>
      </c>
      <c r="C9283" s="19" t="s">
        <v>9150</v>
      </c>
      <c r="D9283" s="19" t="s">
        <v>24695</v>
      </c>
      <c r="E9283" s="19" t="s">
        <v>32101</v>
      </c>
      <c r="F9283" s="19" t="s">
        <v>36007</v>
      </c>
      <c r="G9283" s="18" t="str">
        <f>"28658"</f>
        <v>28658</v>
      </c>
      <c r="H9283" s="19" t="s">
        <v>36617</v>
      </c>
      <c r="I9283" s="20">
        <v>15.743</v>
      </c>
      <c r="J9283" s="44" t="s">
        <v>8</v>
      </c>
      <c r="K9283" s="23" t="s">
        <v>8</v>
      </c>
      <c r="L9283" s="23" t="s">
        <v>8</v>
      </c>
      <c r="M9283" s="23" t="s">
        <v>8</v>
      </c>
    </row>
    <row r="9284" spans="1:13" s="21" customFormat="1" x14ac:dyDescent="0.25">
      <c r="A9284" s="22" t="s">
        <v>8</v>
      </c>
      <c r="B9284" s="18" t="str">
        <f>"345162"</f>
        <v>345162</v>
      </c>
      <c r="C9284" s="19" t="s">
        <v>9151</v>
      </c>
      <c r="D9284" s="19" t="s">
        <v>24696</v>
      </c>
      <c r="E9284" s="19" t="s">
        <v>34271</v>
      </c>
      <c r="F9284" s="19" t="s">
        <v>36007</v>
      </c>
      <c r="G9284" s="18" t="str">
        <f>"28052"</f>
        <v>28052</v>
      </c>
      <c r="H9284" s="19" t="s">
        <v>36629</v>
      </c>
      <c r="I9284" s="20">
        <v>18.199000000000002</v>
      </c>
      <c r="J9284" s="44" t="s">
        <v>8</v>
      </c>
      <c r="K9284" s="23" t="s">
        <v>8</v>
      </c>
      <c r="L9284" s="23" t="s">
        <v>8</v>
      </c>
      <c r="M9284" s="23" t="s">
        <v>8</v>
      </c>
    </row>
    <row r="9285" spans="1:13" s="21" customFormat="1" x14ac:dyDescent="0.25">
      <c r="A9285" s="22" t="s">
        <v>8</v>
      </c>
      <c r="B9285" s="18" t="str">
        <f>"345163"</f>
        <v>345163</v>
      </c>
      <c r="C9285" s="19" t="s">
        <v>9152</v>
      </c>
      <c r="D9285" s="19" t="s">
        <v>24697</v>
      </c>
      <c r="E9285" s="19" t="s">
        <v>32513</v>
      </c>
      <c r="F9285" s="19" t="s">
        <v>36007</v>
      </c>
      <c r="G9285" s="18" t="str">
        <f>"28607"</f>
        <v>28607</v>
      </c>
      <c r="H9285" s="19" t="s">
        <v>35923</v>
      </c>
      <c r="I9285" s="20">
        <v>19.239000000000001</v>
      </c>
      <c r="J9285" s="44" t="s">
        <v>8</v>
      </c>
      <c r="K9285" s="23" t="s">
        <v>8</v>
      </c>
      <c r="L9285" s="23" t="s">
        <v>8</v>
      </c>
      <c r="M9285" s="23" t="s">
        <v>8</v>
      </c>
    </row>
    <row r="9286" spans="1:13" s="21" customFormat="1" x14ac:dyDescent="0.25">
      <c r="A9286" s="22" t="s">
        <v>8</v>
      </c>
      <c r="B9286" s="18" t="str">
        <f>"345164"</f>
        <v>345164</v>
      </c>
      <c r="C9286" s="19" t="s">
        <v>9153</v>
      </c>
      <c r="D9286" s="19" t="s">
        <v>24698</v>
      </c>
      <c r="E9286" s="19" t="s">
        <v>34272</v>
      </c>
      <c r="F9286" s="19" t="s">
        <v>36007</v>
      </c>
      <c r="G9286" s="18" t="str">
        <f>"27932"</f>
        <v>27932</v>
      </c>
      <c r="H9286" s="19" t="s">
        <v>36630</v>
      </c>
      <c r="I9286" s="20">
        <v>20.074999999999999</v>
      </c>
      <c r="J9286" s="44" t="s">
        <v>8</v>
      </c>
      <c r="K9286" s="23" t="s">
        <v>8</v>
      </c>
      <c r="L9286" s="23" t="s">
        <v>8</v>
      </c>
      <c r="M9286" s="23" t="s">
        <v>8</v>
      </c>
    </row>
    <row r="9287" spans="1:13" s="21" customFormat="1" x14ac:dyDescent="0.25">
      <c r="A9287" s="22" t="s">
        <v>8</v>
      </c>
      <c r="B9287" s="18" t="str">
        <f>"345165"</f>
        <v>345165</v>
      </c>
      <c r="C9287" s="19" t="s">
        <v>9154</v>
      </c>
      <c r="D9287" s="19" t="s">
        <v>24699</v>
      </c>
      <c r="E9287" s="19" t="s">
        <v>30850</v>
      </c>
      <c r="F9287" s="19" t="s">
        <v>36007</v>
      </c>
      <c r="G9287" s="18" t="str">
        <f>"28752"</f>
        <v>28752</v>
      </c>
      <c r="H9287" s="19" t="s">
        <v>36631</v>
      </c>
      <c r="I9287" s="20">
        <v>16.533000000000001</v>
      </c>
      <c r="J9287" s="44" t="s">
        <v>8</v>
      </c>
      <c r="K9287" s="23" t="s">
        <v>8</v>
      </c>
      <c r="L9287" s="23" t="s">
        <v>8</v>
      </c>
      <c r="M9287" s="23" t="s">
        <v>8</v>
      </c>
    </row>
    <row r="9288" spans="1:13" s="21" customFormat="1" x14ac:dyDescent="0.25">
      <c r="A9288" s="22" t="s">
        <v>8</v>
      </c>
      <c r="B9288" s="18" t="str">
        <f>"345167"</f>
        <v>345167</v>
      </c>
      <c r="C9288" s="19" t="s">
        <v>9155</v>
      </c>
      <c r="D9288" s="19" t="s">
        <v>24700</v>
      </c>
      <c r="E9288" s="19" t="s">
        <v>34273</v>
      </c>
      <c r="F9288" s="19" t="s">
        <v>36007</v>
      </c>
      <c r="G9288" s="18" t="str">
        <f>"27055"</f>
        <v>27055</v>
      </c>
      <c r="H9288" s="19" t="s">
        <v>36632</v>
      </c>
      <c r="I9288" s="20">
        <v>17.670999999999999</v>
      </c>
      <c r="J9288" s="44" t="s">
        <v>8</v>
      </c>
      <c r="K9288" s="23" t="s">
        <v>8</v>
      </c>
      <c r="L9288" s="23" t="s">
        <v>8</v>
      </c>
      <c r="M9288" s="23" t="s">
        <v>8</v>
      </c>
    </row>
    <row r="9289" spans="1:13" s="21" customFormat="1" x14ac:dyDescent="0.25">
      <c r="A9289" s="22" t="s">
        <v>8</v>
      </c>
      <c r="B9289" s="18" t="str">
        <f>"345168"</f>
        <v>345168</v>
      </c>
      <c r="C9289" s="19" t="s">
        <v>9156</v>
      </c>
      <c r="D9289" s="19" t="s">
        <v>24701</v>
      </c>
      <c r="E9289" s="19" t="s">
        <v>30817</v>
      </c>
      <c r="F9289" s="19" t="s">
        <v>36007</v>
      </c>
      <c r="G9289" s="18" t="str">
        <f>"27834"</f>
        <v>27834</v>
      </c>
      <c r="H9289" s="19" t="s">
        <v>36633</v>
      </c>
      <c r="I9289" s="20">
        <v>23.99</v>
      </c>
      <c r="J9289" s="44" t="s">
        <v>8</v>
      </c>
      <c r="K9289" s="23" t="s">
        <v>8</v>
      </c>
      <c r="L9289" s="23" t="s">
        <v>8</v>
      </c>
      <c r="M9289" s="23" t="s">
        <v>8</v>
      </c>
    </row>
    <row r="9290" spans="1:13" s="21" customFormat="1" x14ac:dyDescent="0.25">
      <c r="A9290" s="22" t="s">
        <v>8</v>
      </c>
      <c r="B9290" s="18" t="str">
        <f>"345169"</f>
        <v>345169</v>
      </c>
      <c r="C9290" s="19" t="s">
        <v>9157</v>
      </c>
      <c r="D9290" s="19" t="s">
        <v>24702</v>
      </c>
      <c r="E9290" s="19" t="s">
        <v>34271</v>
      </c>
      <c r="F9290" s="19" t="s">
        <v>36007</v>
      </c>
      <c r="G9290" s="18" t="str">
        <f>"28054"</f>
        <v>28054</v>
      </c>
      <c r="H9290" s="19" t="s">
        <v>36629</v>
      </c>
      <c r="I9290" s="20">
        <v>14.085000000000001</v>
      </c>
      <c r="J9290" s="44" t="s">
        <v>8</v>
      </c>
      <c r="K9290" s="23" t="s">
        <v>8</v>
      </c>
      <c r="L9290" s="23" t="s">
        <v>8</v>
      </c>
      <c r="M9290" s="23" t="s">
        <v>8</v>
      </c>
    </row>
    <row r="9291" spans="1:13" s="21" customFormat="1" x14ac:dyDescent="0.25">
      <c r="A9291" s="22" t="s">
        <v>8</v>
      </c>
      <c r="B9291" s="18" t="str">
        <f>"345170"</f>
        <v>345170</v>
      </c>
      <c r="C9291" s="19" t="s">
        <v>9158</v>
      </c>
      <c r="D9291" s="19" t="s">
        <v>24703</v>
      </c>
      <c r="E9291" s="19" t="s">
        <v>34274</v>
      </c>
      <c r="F9291" s="19" t="s">
        <v>36007</v>
      </c>
      <c r="G9291" s="18" t="str">
        <f>"28557"</f>
        <v>28557</v>
      </c>
      <c r="H9291" s="19" t="s">
        <v>36634</v>
      </c>
      <c r="I9291" s="20">
        <v>16.547000000000001</v>
      </c>
      <c r="J9291" s="44" t="s">
        <v>8</v>
      </c>
      <c r="K9291" s="23" t="s">
        <v>8</v>
      </c>
      <c r="L9291" s="23" t="s">
        <v>8</v>
      </c>
      <c r="M9291" s="23" t="s">
        <v>8</v>
      </c>
    </row>
    <row r="9292" spans="1:13" s="21" customFormat="1" x14ac:dyDescent="0.25">
      <c r="A9292" s="22" t="s">
        <v>8</v>
      </c>
      <c r="B9292" s="18" t="str">
        <f>"345171"</f>
        <v>345171</v>
      </c>
      <c r="C9292" s="19" t="s">
        <v>9159</v>
      </c>
      <c r="D9292" s="19" t="s">
        <v>24704</v>
      </c>
      <c r="E9292" s="19" t="s">
        <v>33565</v>
      </c>
      <c r="F9292" s="19" t="s">
        <v>36007</v>
      </c>
      <c r="G9292" s="18" t="str">
        <f>"28150"</f>
        <v>28150</v>
      </c>
      <c r="H9292" s="19" t="s">
        <v>31810</v>
      </c>
      <c r="I9292" s="20">
        <v>21.97</v>
      </c>
      <c r="J9292" s="44" t="s">
        <v>8</v>
      </c>
      <c r="K9292" s="23" t="s">
        <v>8</v>
      </c>
      <c r="L9292" s="23" t="s">
        <v>8</v>
      </c>
      <c r="M9292" s="23" t="s">
        <v>8</v>
      </c>
    </row>
    <row r="9293" spans="1:13" s="21" customFormat="1" x14ac:dyDescent="0.25">
      <c r="A9293" s="22" t="s">
        <v>8</v>
      </c>
      <c r="B9293" s="18" t="str">
        <f>"345172"</f>
        <v>345172</v>
      </c>
      <c r="C9293" s="19" t="s">
        <v>9160</v>
      </c>
      <c r="D9293" s="19" t="s">
        <v>24705</v>
      </c>
      <c r="E9293" s="19" t="s">
        <v>34251</v>
      </c>
      <c r="F9293" s="19" t="s">
        <v>36007</v>
      </c>
      <c r="G9293" s="18" t="str">
        <f>"27262"</f>
        <v>27262</v>
      </c>
      <c r="H9293" s="19" t="s">
        <v>31417</v>
      </c>
      <c r="I9293" s="20">
        <v>17.774000000000001</v>
      </c>
      <c r="J9293" s="44" t="s">
        <v>8</v>
      </c>
      <c r="K9293" s="23" t="s">
        <v>8</v>
      </c>
      <c r="L9293" s="23" t="s">
        <v>8</v>
      </c>
      <c r="M9293" s="23" t="s">
        <v>8</v>
      </c>
    </row>
    <row r="9294" spans="1:13" s="21" customFormat="1" x14ac:dyDescent="0.25">
      <c r="A9294" s="22" t="s">
        <v>8</v>
      </c>
      <c r="B9294" s="18" t="str">
        <f>"345173"</f>
        <v>345173</v>
      </c>
      <c r="C9294" s="19" t="s">
        <v>9161</v>
      </c>
      <c r="D9294" s="19" t="s">
        <v>24706</v>
      </c>
      <c r="E9294" s="19" t="s">
        <v>34275</v>
      </c>
      <c r="F9294" s="19" t="s">
        <v>36007</v>
      </c>
      <c r="G9294" s="18" t="str">
        <f>"27546"</f>
        <v>27546</v>
      </c>
      <c r="H9294" s="19" t="s">
        <v>36635</v>
      </c>
      <c r="I9294" s="20">
        <v>17.741</v>
      </c>
      <c r="J9294" s="44" t="s">
        <v>8</v>
      </c>
      <c r="K9294" s="23" t="s">
        <v>8</v>
      </c>
      <c r="L9294" s="23" t="s">
        <v>8</v>
      </c>
      <c r="M9294" s="23" t="s">
        <v>8</v>
      </c>
    </row>
    <row r="9295" spans="1:13" s="21" customFormat="1" x14ac:dyDescent="0.25">
      <c r="A9295" s="22" t="s">
        <v>8</v>
      </c>
      <c r="B9295" s="18" t="str">
        <f>"345174"</f>
        <v>345174</v>
      </c>
      <c r="C9295" s="19" t="s">
        <v>9162</v>
      </c>
      <c r="D9295" s="19" t="s">
        <v>24707</v>
      </c>
      <c r="E9295" s="19" t="s">
        <v>34240</v>
      </c>
      <c r="F9295" s="19" t="s">
        <v>36007</v>
      </c>
      <c r="G9295" s="18" t="str">
        <f>"28801"</f>
        <v>28801</v>
      </c>
      <c r="H9295" s="19" t="s">
        <v>36612</v>
      </c>
      <c r="I9295" s="20">
        <v>17.934999999999999</v>
      </c>
      <c r="J9295" s="44" t="s">
        <v>8</v>
      </c>
      <c r="K9295" s="23" t="s">
        <v>8</v>
      </c>
      <c r="L9295" s="23" t="s">
        <v>8</v>
      </c>
      <c r="M9295" s="23" t="s">
        <v>8</v>
      </c>
    </row>
    <row r="9296" spans="1:13" s="21" customFormat="1" x14ac:dyDescent="0.25">
      <c r="A9296" s="22" t="s">
        <v>8</v>
      </c>
      <c r="B9296" s="18" t="str">
        <f>"345175"</f>
        <v>345175</v>
      </c>
      <c r="C9296" s="19" t="s">
        <v>9163</v>
      </c>
      <c r="D9296" s="19" t="s">
        <v>24708</v>
      </c>
      <c r="E9296" s="19" t="s">
        <v>34276</v>
      </c>
      <c r="F9296" s="19" t="s">
        <v>36007</v>
      </c>
      <c r="G9296" s="18" t="str">
        <f>"27577"</f>
        <v>27577</v>
      </c>
      <c r="H9296" s="19" t="s">
        <v>32504</v>
      </c>
      <c r="I9296" s="20">
        <v>18.779</v>
      </c>
      <c r="J9296" s="44" t="s">
        <v>8</v>
      </c>
      <c r="K9296" s="23" t="s">
        <v>8</v>
      </c>
      <c r="L9296" s="23" t="s">
        <v>8</v>
      </c>
      <c r="M9296" s="23" t="s">
        <v>8</v>
      </c>
    </row>
    <row r="9297" spans="1:13" s="21" customFormat="1" x14ac:dyDescent="0.25">
      <c r="A9297" s="22" t="s">
        <v>8</v>
      </c>
      <c r="B9297" s="18" t="str">
        <f>"345177"</f>
        <v>345177</v>
      </c>
      <c r="C9297" s="19" t="s">
        <v>9164</v>
      </c>
      <c r="D9297" s="19" t="s">
        <v>24709</v>
      </c>
      <c r="E9297" s="19" t="s">
        <v>34277</v>
      </c>
      <c r="F9297" s="19" t="s">
        <v>36007</v>
      </c>
      <c r="G9297" s="18" t="str">
        <f>"28374"</f>
        <v>28374</v>
      </c>
      <c r="H9297" s="19" t="s">
        <v>34689</v>
      </c>
      <c r="I9297" s="20">
        <v>19.010999999999999</v>
      </c>
      <c r="J9297" s="44" t="s">
        <v>8</v>
      </c>
      <c r="K9297" s="23" t="s">
        <v>8</v>
      </c>
      <c r="L9297" s="23" t="s">
        <v>8</v>
      </c>
      <c r="M9297" s="23" t="s">
        <v>8</v>
      </c>
    </row>
    <row r="9298" spans="1:13" s="21" customFormat="1" x14ac:dyDescent="0.25">
      <c r="A9298" s="22" t="s">
        <v>8</v>
      </c>
      <c r="B9298" s="18" t="str">
        <f>"345179"</f>
        <v>345179</v>
      </c>
      <c r="C9298" s="19" t="s">
        <v>9165</v>
      </c>
      <c r="D9298" s="19" t="s">
        <v>24710</v>
      </c>
      <c r="E9298" s="19" t="s">
        <v>32297</v>
      </c>
      <c r="F9298" s="19" t="s">
        <v>36007</v>
      </c>
      <c r="G9298" s="18" t="str">
        <f>"28115"</f>
        <v>28115</v>
      </c>
      <c r="H9298" s="19" t="s">
        <v>36625</v>
      </c>
      <c r="I9298" s="20">
        <v>21.625</v>
      </c>
      <c r="J9298" s="44" t="s">
        <v>8</v>
      </c>
      <c r="K9298" s="23" t="s">
        <v>8</v>
      </c>
      <c r="L9298" s="23" t="s">
        <v>8</v>
      </c>
      <c r="M9298" s="23" t="s">
        <v>8</v>
      </c>
    </row>
    <row r="9299" spans="1:13" s="21" customFormat="1" x14ac:dyDescent="0.25">
      <c r="A9299" s="22" t="s">
        <v>8</v>
      </c>
      <c r="B9299" s="18" t="str">
        <f>"345180"</f>
        <v>345180</v>
      </c>
      <c r="C9299" s="19" t="s">
        <v>9166</v>
      </c>
      <c r="D9299" s="19" t="s">
        <v>24711</v>
      </c>
      <c r="E9299" s="19" t="s">
        <v>33575</v>
      </c>
      <c r="F9299" s="19" t="s">
        <v>36007</v>
      </c>
      <c r="G9299" s="18" t="str">
        <f>"28358"</f>
        <v>28358</v>
      </c>
      <c r="H9299" s="19" t="s">
        <v>36615</v>
      </c>
      <c r="I9299" s="20">
        <v>20.556000000000001</v>
      </c>
      <c r="J9299" s="44" t="s">
        <v>8</v>
      </c>
      <c r="K9299" s="23" t="s">
        <v>8</v>
      </c>
      <c r="L9299" s="23" t="s">
        <v>8</v>
      </c>
      <c r="M9299" s="23" t="s">
        <v>8</v>
      </c>
    </row>
    <row r="9300" spans="1:13" s="21" customFormat="1" x14ac:dyDescent="0.25">
      <c r="A9300" s="22" t="s">
        <v>8</v>
      </c>
      <c r="B9300" s="18" t="str">
        <f>"345181"</f>
        <v>345181</v>
      </c>
      <c r="C9300" s="19" t="s">
        <v>9167</v>
      </c>
      <c r="D9300" s="19" t="s">
        <v>24712</v>
      </c>
      <c r="E9300" s="19" t="s">
        <v>30817</v>
      </c>
      <c r="F9300" s="19" t="s">
        <v>36007</v>
      </c>
      <c r="G9300" s="18" t="str">
        <f>"27834"</f>
        <v>27834</v>
      </c>
      <c r="H9300" s="19" t="s">
        <v>36633</v>
      </c>
      <c r="I9300" s="20">
        <v>21.376000000000001</v>
      </c>
      <c r="J9300" s="44" t="s">
        <v>8</v>
      </c>
      <c r="K9300" s="23" t="s">
        <v>8</v>
      </c>
      <c r="L9300" s="23" t="s">
        <v>8</v>
      </c>
      <c r="M9300" s="23" t="s">
        <v>8</v>
      </c>
    </row>
    <row r="9301" spans="1:13" s="21" customFormat="1" x14ac:dyDescent="0.25">
      <c r="A9301" s="22" t="s">
        <v>8</v>
      </c>
      <c r="B9301" s="18" t="str">
        <f>"345182"</f>
        <v>345182</v>
      </c>
      <c r="C9301" s="19" t="s">
        <v>9168</v>
      </c>
      <c r="D9301" s="19" t="s">
        <v>24713</v>
      </c>
      <c r="E9301" s="19" t="s">
        <v>34278</v>
      </c>
      <c r="F9301" s="19" t="s">
        <v>36007</v>
      </c>
      <c r="G9301" s="18" t="str">
        <f>"28577"</f>
        <v>28577</v>
      </c>
      <c r="H9301" s="19" t="s">
        <v>36634</v>
      </c>
      <c r="I9301" s="20">
        <v>17.879000000000001</v>
      </c>
      <c r="J9301" s="44" t="s">
        <v>8</v>
      </c>
      <c r="K9301" s="23" t="s">
        <v>8</v>
      </c>
      <c r="L9301" s="23" t="s">
        <v>8</v>
      </c>
      <c r="M9301" s="23" t="s">
        <v>8</v>
      </c>
    </row>
    <row r="9302" spans="1:13" s="21" customFormat="1" x14ac:dyDescent="0.25">
      <c r="A9302" s="22" t="s">
        <v>8</v>
      </c>
      <c r="B9302" s="18" t="str">
        <f>"345183"</f>
        <v>345183</v>
      </c>
      <c r="C9302" s="19" t="s">
        <v>9169</v>
      </c>
      <c r="D9302" s="19" t="s">
        <v>24714</v>
      </c>
      <c r="E9302" s="19" t="s">
        <v>31141</v>
      </c>
      <c r="F9302" s="19" t="s">
        <v>36007</v>
      </c>
      <c r="G9302" s="18" t="str">
        <f>"28025"</f>
        <v>28025</v>
      </c>
      <c r="H9302" s="19" t="s">
        <v>36626</v>
      </c>
      <c r="I9302" s="20">
        <v>18.757000000000001</v>
      </c>
      <c r="J9302" s="44" t="s">
        <v>8</v>
      </c>
      <c r="K9302" s="23" t="s">
        <v>8</v>
      </c>
      <c r="L9302" s="23" t="s">
        <v>8</v>
      </c>
      <c r="M9302" s="23" t="s">
        <v>8</v>
      </c>
    </row>
    <row r="9303" spans="1:13" s="21" customFormat="1" x14ac:dyDescent="0.25">
      <c r="A9303" s="22" t="s">
        <v>8</v>
      </c>
      <c r="B9303" s="18" t="str">
        <f>"345184"</f>
        <v>345184</v>
      </c>
      <c r="C9303" s="19" t="s">
        <v>9170</v>
      </c>
      <c r="D9303" s="19" t="s">
        <v>24715</v>
      </c>
      <c r="E9303" s="19" t="s">
        <v>34243</v>
      </c>
      <c r="F9303" s="19" t="s">
        <v>36007</v>
      </c>
      <c r="G9303" s="18" t="str">
        <f>"27909"</f>
        <v>27909</v>
      </c>
      <c r="H9303" s="19" t="s">
        <v>36614</v>
      </c>
      <c r="I9303" s="20">
        <v>16.565999999999999</v>
      </c>
      <c r="J9303" s="44" t="s">
        <v>8</v>
      </c>
      <c r="K9303" s="23" t="s">
        <v>8</v>
      </c>
      <c r="L9303" s="23" t="s">
        <v>8</v>
      </c>
      <c r="M9303" s="23" t="s">
        <v>8</v>
      </c>
    </row>
    <row r="9304" spans="1:13" s="21" customFormat="1" x14ac:dyDescent="0.25">
      <c r="A9304" s="22" t="s">
        <v>8</v>
      </c>
      <c r="B9304" s="18" t="str">
        <f>"345185"</f>
        <v>345185</v>
      </c>
      <c r="C9304" s="19" t="s">
        <v>9171</v>
      </c>
      <c r="D9304" s="19" t="s">
        <v>24716</v>
      </c>
      <c r="E9304" s="19" t="s">
        <v>34279</v>
      </c>
      <c r="F9304" s="19" t="s">
        <v>36007</v>
      </c>
      <c r="G9304" s="18" t="str">
        <f>"28450"</f>
        <v>28450</v>
      </c>
      <c r="H9304" s="19" t="s">
        <v>31715</v>
      </c>
      <c r="I9304" s="20">
        <v>19.209</v>
      </c>
      <c r="J9304" s="44" t="s">
        <v>8</v>
      </c>
      <c r="K9304" s="23" t="s">
        <v>8</v>
      </c>
      <c r="L9304" s="23" t="s">
        <v>8</v>
      </c>
      <c r="M9304" s="23" t="s">
        <v>8</v>
      </c>
    </row>
    <row r="9305" spans="1:13" s="21" customFormat="1" x14ac:dyDescent="0.25">
      <c r="A9305" s="22" t="s">
        <v>8</v>
      </c>
      <c r="B9305" s="18" t="str">
        <f>"345186"</f>
        <v>345186</v>
      </c>
      <c r="C9305" s="19" t="s">
        <v>9172</v>
      </c>
      <c r="D9305" s="19" t="s">
        <v>24717</v>
      </c>
      <c r="E9305" s="19" t="s">
        <v>31141</v>
      </c>
      <c r="F9305" s="19" t="s">
        <v>36007</v>
      </c>
      <c r="G9305" s="18" t="str">
        <f>"28027"</f>
        <v>28027</v>
      </c>
      <c r="H9305" s="19" t="s">
        <v>36626</v>
      </c>
      <c r="I9305" s="20">
        <v>18.631</v>
      </c>
      <c r="J9305" s="44" t="s">
        <v>8</v>
      </c>
      <c r="K9305" s="23" t="s">
        <v>8</v>
      </c>
      <c r="L9305" s="23" t="s">
        <v>8</v>
      </c>
      <c r="M9305" s="23" t="s">
        <v>8</v>
      </c>
    </row>
    <row r="9306" spans="1:13" s="21" customFormat="1" x14ac:dyDescent="0.25">
      <c r="A9306" s="22" t="s">
        <v>8</v>
      </c>
      <c r="B9306" s="18" t="str">
        <f>"345187"</f>
        <v>345187</v>
      </c>
      <c r="C9306" s="19" t="s">
        <v>9173</v>
      </c>
      <c r="D9306" s="19" t="s">
        <v>24718</v>
      </c>
      <c r="E9306" s="19" t="s">
        <v>34280</v>
      </c>
      <c r="F9306" s="19" t="s">
        <v>36007</v>
      </c>
      <c r="G9306" s="18" t="str">
        <f>"28655"</f>
        <v>28655</v>
      </c>
      <c r="H9306" s="19" t="s">
        <v>35398</v>
      </c>
      <c r="I9306" s="20">
        <v>17.664000000000001</v>
      </c>
      <c r="J9306" s="44" t="s">
        <v>8</v>
      </c>
      <c r="K9306" s="23" t="s">
        <v>8</v>
      </c>
      <c r="L9306" s="23" t="s">
        <v>8</v>
      </c>
      <c r="M9306" s="23" t="s">
        <v>8</v>
      </c>
    </row>
    <row r="9307" spans="1:13" s="21" customFormat="1" x14ac:dyDescent="0.25">
      <c r="A9307" s="22" t="s">
        <v>8</v>
      </c>
      <c r="B9307" s="18" t="str">
        <f>"345190"</f>
        <v>345190</v>
      </c>
      <c r="C9307" s="19" t="s">
        <v>9174</v>
      </c>
      <c r="D9307" s="19" t="s">
        <v>24719</v>
      </c>
      <c r="E9307" s="19" t="s">
        <v>34281</v>
      </c>
      <c r="F9307" s="19" t="s">
        <v>36007</v>
      </c>
      <c r="G9307" s="18" t="str">
        <f>"28906"</f>
        <v>28906</v>
      </c>
      <c r="H9307" s="19" t="s">
        <v>32436</v>
      </c>
      <c r="I9307" s="20">
        <v>16.451000000000001</v>
      </c>
      <c r="J9307" s="44" t="s">
        <v>8</v>
      </c>
      <c r="K9307" s="23" t="s">
        <v>8</v>
      </c>
      <c r="L9307" s="23" t="s">
        <v>8</v>
      </c>
      <c r="M9307" s="23" t="s">
        <v>8</v>
      </c>
    </row>
    <row r="9308" spans="1:13" s="21" customFormat="1" x14ac:dyDescent="0.25">
      <c r="A9308" s="22" t="s">
        <v>8</v>
      </c>
      <c r="B9308" s="18" t="str">
        <f>"345191"</f>
        <v>345191</v>
      </c>
      <c r="C9308" s="19" t="s">
        <v>9175</v>
      </c>
      <c r="D9308" s="19" t="s">
        <v>24720</v>
      </c>
      <c r="E9308" s="19" t="s">
        <v>32982</v>
      </c>
      <c r="F9308" s="19" t="s">
        <v>36007</v>
      </c>
      <c r="G9308" s="18" t="str">
        <f>"27030"</f>
        <v>27030</v>
      </c>
      <c r="H9308" s="19" t="s">
        <v>36621</v>
      </c>
      <c r="I9308" s="20">
        <v>16.917000000000002</v>
      </c>
      <c r="J9308" s="44" t="s">
        <v>8</v>
      </c>
      <c r="K9308" s="23" t="s">
        <v>8</v>
      </c>
      <c r="L9308" s="23" t="s">
        <v>8</v>
      </c>
      <c r="M9308" s="23" t="s">
        <v>8</v>
      </c>
    </row>
    <row r="9309" spans="1:13" s="21" customFormat="1" x14ac:dyDescent="0.25">
      <c r="A9309" s="22" t="s">
        <v>8</v>
      </c>
      <c r="B9309" s="18" t="str">
        <f>"345193"</f>
        <v>345193</v>
      </c>
      <c r="C9309" s="19" t="s">
        <v>9176</v>
      </c>
      <c r="D9309" s="19" t="s">
        <v>24721</v>
      </c>
      <c r="E9309" s="19" t="s">
        <v>34282</v>
      </c>
      <c r="F9309" s="19" t="s">
        <v>36007</v>
      </c>
      <c r="G9309" s="18" t="str">
        <f>"28713"</f>
        <v>28713</v>
      </c>
      <c r="H9309" s="19" t="s">
        <v>36636</v>
      </c>
      <c r="I9309" s="20">
        <v>18.094000000000001</v>
      </c>
      <c r="J9309" s="44" t="s">
        <v>8</v>
      </c>
      <c r="K9309" s="23" t="s">
        <v>8</v>
      </c>
      <c r="L9309" s="23" t="s">
        <v>8</v>
      </c>
      <c r="M9309" s="23" t="s">
        <v>8</v>
      </c>
    </row>
    <row r="9310" spans="1:13" s="21" customFormat="1" x14ac:dyDescent="0.25">
      <c r="A9310" s="22" t="s">
        <v>8</v>
      </c>
      <c r="B9310" s="18" t="str">
        <f>"345194"</f>
        <v>345194</v>
      </c>
      <c r="C9310" s="19" t="s">
        <v>9177</v>
      </c>
      <c r="D9310" s="19" t="s">
        <v>24722</v>
      </c>
      <c r="E9310" s="19" t="s">
        <v>33575</v>
      </c>
      <c r="F9310" s="19" t="s">
        <v>36007</v>
      </c>
      <c r="G9310" s="18" t="str">
        <f>"28360"</f>
        <v>28360</v>
      </c>
      <c r="H9310" s="19" t="s">
        <v>36615</v>
      </c>
      <c r="I9310" s="20">
        <v>19.664999999999999</v>
      </c>
      <c r="J9310" s="44" t="s">
        <v>8</v>
      </c>
      <c r="K9310" s="23" t="s">
        <v>8</v>
      </c>
      <c r="L9310" s="23" t="s">
        <v>8</v>
      </c>
      <c r="M9310" s="23" t="s">
        <v>8</v>
      </c>
    </row>
    <row r="9311" spans="1:13" s="21" customFormat="1" x14ac:dyDescent="0.25">
      <c r="A9311" s="22" t="s">
        <v>8</v>
      </c>
      <c r="B9311" s="18" t="str">
        <f>"345195"</f>
        <v>345195</v>
      </c>
      <c r="C9311" s="19" t="s">
        <v>9178</v>
      </c>
      <c r="D9311" s="19" t="s">
        <v>24723</v>
      </c>
      <c r="E9311" s="19" t="s">
        <v>34283</v>
      </c>
      <c r="F9311" s="19" t="s">
        <v>36007</v>
      </c>
      <c r="G9311" s="18" t="str">
        <f>"27886"</f>
        <v>27886</v>
      </c>
      <c r="H9311" s="19" t="s">
        <v>36637</v>
      </c>
      <c r="I9311" s="20">
        <v>20.736999999999998</v>
      </c>
      <c r="J9311" s="44" t="s">
        <v>8</v>
      </c>
      <c r="K9311" s="23" t="s">
        <v>8</v>
      </c>
      <c r="L9311" s="23" t="s">
        <v>8</v>
      </c>
      <c r="M9311" s="23" t="s">
        <v>8</v>
      </c>
    </row>
    <row r="9312" spans="1:13" s="21" customFormat="1" x14ac:dyDescent="0.25">
      <c r="A9312" s="22" t="s">
        <v>8</v>
      </c>
      <c r="B9312" s="18" t="str">
        <f>"345196"</f>
        <v>345196</v>
      </c>
      <c r="C9312" s="19" t="s">
        <v>9179</v>
      </c>
      <c r="D9312" s="19" t="s">
        <v>24724</v>
      </c>
      <c r="E9312" s="19" t="s">
        <v>32938</v>
      </c>
      <c r="F9312" s="19" t="s">
        <v>36007</v>
      </c>
      <c r="G9312" s="18" t="str">
        <f>"27239"</f>
        <v>27239</v>
      </c>
      <c r="H9312" s="19" t="s">
        <v>36613</v>
      </c>
      <c r="I9312" s="20">
        <v>18.091999999999999</v>
      </c>
      <c r="J9312" s="44" t="s">
        <v>8</v>
      </c>
      <c r="K9312" s="23" t="s">
        <v>8</v>
      </c>
      <c r="L9312" s="23" t="s">
        <v>8</v>
      </c>
      <c r="M9312" s="23" t="s">
        <v>8</v>
      </c>
    </row>
    <row r="9313" spans="1:13" s="21" customFormat="1" x14ac:dyDescent="0.25">
      <c r="A9313" s="22" t="s">
        <v>8</v>
      </c>
      <c r="B9313" s="18" t="str">
        <f>"345197"</f>
        <v>345197</v>
      </c>
      <c r="C9313" s="19" t="s">
        <v>9180</v>
      </c>
      <c r="D9313" s="19" t="s">
        <v>24725</v>
      </c>
      <c r="E9313" s="19" t="s">
        <v>34249</v>
      </c>
      <c r="F9313" s="19" t="s">
        <v>36007</v>
      </c>
      <c r="G9313" s="18" t="str">
        <f>"28139"</f>
        <v>28139</v>
      </c>
      <c r="H9313" s="19" t="s">
        <v>36618</v>
      </c>
      <c r="I9313" s="20">
        <v>20.629000000000001</v>
      </c>
      <c r="J9313" s="44" t="s">
        <v>8</v>
      </c>
      <c r="K9313" s="23" t="s">
        <v>8</v>
      </c>
      <c r="L9313" s="23" t="s">
        <v>8</v>
      </c>
      <c r="M9313" s="23" t="s">
        <v>8</v>
      </c>
    </row>
    <row r="9314" spans="1:13" s="21" customFormat="1" x14ac:dyDescent="0.25">
      <c r="A9314" s="22" t="s">
        <v>8</v>
      </c>
      <c r="B9314" s="18" t="str">
        <f>"345198"</f>
        <v>345198</v>
      </c>
      <c r="C9314" s="19" t="s">
        <v>9181</v>
      </c>
      <c r="D9314" s="19" t="s">
        <v>24726</v>
      </c>
      <c r="E9314" s="19" t="s">
        <v>34240</v>
      </c>
      <c r="F9314" s="19" t="s">
        <v>36007</v>
      </c>
      <c r="G9314" s="18" t="str">
        <f>"28806"</f>
        <v>28806</v>
      </c>
      <c r="H9314" s="19" t="s">
        <v>36612</v>
      </c>
      <c r="I9314" s="20">
        <v>15.409000000000001</v>
      </c>
      <c r="J9314" s="44" t="s">
        <v>8</v>
      </c>
      <c r="K9314" s="23" t="s">
        <v>8</v>
      </c>
      <c r="L9314" s="23" t="s">
        <v>8</v>
      </c>
      <c r="M9314" s="23" t="s">
        <v>8</v>
      </c>
    </row>
    <row r="9315" spans="1:13" s="21" customFormat="1" x14ac:dyDescent="0.25">
      <c r="A9315" s="22" t="s">
        <v>8</v>
      </c>
      <c r="B9315" s="18" t="str">
        <f>"345199"</f>
        <v>345199</v>
      </c>
      <c r="C9315" s="19" t="s">
        <v>9182</v>
      </c>
      <c r="D9315" s="19" t="s">
        <v>24727</v>
      </c>
      <c r="E9315" s="19" t="s">
        <v>34284</v>
      </c>
      <c r="F9315" s="19" t="s">
        <v>36007</v>
      </c>
      <c r="G9315" s="18" t="str">
        <f>"27514"</f>
        <v>27514</v>
      </c>
      <c r="H9315" s="19" t="s">
        <v>31169</v>
      </c>
      <c r="I9315" s="20">
        <v>17.594000000000001</v>
      </c>
      <c r="J9315" s="44" t="s">
        <v>8</v>
      </c>
      <c r="K9315" s="23" t="s">
        <v>8</v>
      </c>
      <c r="L9315" s="23" t="s">
        <v>8</v>
      </c>
      <c r="M9315" s="23" t="s">
        <v>8</v>
      </c>
    </row>
    <row r="9316" spans="1:13" s="21" customFormat="1" x14ac:dyDescent="0.25">
      <c r="A9316" s="22" t="s">
        <v>8</v>
      </c>
      <c r="B9316" s="18" t="str">
        <f>"345201"</f>
        <v>345201</v>
      </c>
      <c r="C9316" s="19" t="s">
        <v>9183</v>
      </c>
      <c r="D9316" s="19" t="s">
        <v>24728</v>
      </c>
      <c r="E9316" s="19" t="s">
        <v>33156</v>
      </c>
      <c r="F9316" s="19" t="s">
        <v>36007</v>
      </c>
      <c r="G9316" s="18" t="str">
        <f>"28204"</f>
        <v>28204</v>
      </c>
      <c r="H9316" s="19" t="s">
        <v>36610</v>
      </c>
      <c r="I9316" s="20">
        <v>18.864999999999998</v>
      </c>
      <c r="J9316" s="44" t="s">
        <v>8</v>
      </c>
      <c r="K9316" s="23" t="s">
        <v>8</v>
      </c>
      <c r="L9316" s="23" t="s">
        <v>8</v>
      </c>
      <c r="M9316" s="23" t="s">
        <v>8</v>
      </c>
    </row>
    <row r="9317" spans="1:13" s="21" customFormat="1" x14ac:dyDescent="0.25">
      <c r="A9317" s="22" t="s">
        <v>8</v>
      </c>
      <c r="B9317" s="18" t="str">
        <f>"345202"</f>
        <v>345202</v>
      </c>
      <c r="C9317" s="19" t="s">
        <v>9184</v>
      </c>
      <c r="D9317" s="19" t="s">
        <v>24729</v>
      </c>
      <c r="E9317" s="19" t="s">
        <v>33576</v>
      </c>
      <c r="F9317" s="19" t="s">
        <v>36007</v>
      </c>
      <c r="G9317" s="18" t="str">
        <f>"27610"</f>
        <v>27610</v>
      </c>
      <c r="H9317" s="19" t="s">
        <v>36611</v>
      </c>
      <c r="I9317" s="20">
        <v>22.015999999999998</v>
      </c>
      <c r="J9317" s="44" t="s">
        <v>8</v>
      </c>
      <c r="K9317" s="23" t="s">
        <v>8</v>
      </c>
      <c r="L9317" s="23" t="s">
        <v>8</v>
      </c>
      <c r="M9317" s="23" t="s">
        <v>8</v>
      </c>
    </row>
    <row r="9318" spans="1:13" s="21" customFormat="1" x14ac:dyDescent="0.25">
      <c r="A9318" s="22" t="s">
        <v>8</v>
      </c>
      <c r="B9318" s="18" t="str">
        <f>"345203"</f>
        <v>345203</v>
      </c>
      <c r="C9318" s="19" t="s">
        <v>9185</v>
      </c>
      <c r="D9318" s="19" t="s">
        <v>24730</v>
      </c>
      <c r="E9318" s="19" t="s">
        <v>34285</v>
      </c>
      <c r="F9318" s="19" t="s">
        <v>36007</v>
      </c>
      <c r="G9318" s="18" t="str">
        <f>"28604"</f>
        <v>28604</v>
      </c>
      <c r="H9318" s="19" t="s">
        <v>36638</v>
      </c>
      <c r="I9318" s="20">
        <v>15.208</v>
      </c>
      <c r="J9318" s="44" t="s">
        <v>8</v>
      </c>
      <c r="K9318" s="23" t="s">
        <v>8</v>
      </c>
      <c r="L9318" s="23" t="s">
        <v>8</v>
      </c>
      <c r="M9318" s="23" t="s">
        <v>8</v>
      </c>
    </row>
    <row r="9319" spans="1:13" s="21" customFormat="1" x14ac:dyDescent="0.25">
      <c r="A9319" s="22" t="s">
        <v>8</v>
      </c>
      <c r="B9319" s="18" t="str">
        <f>"345204"</f>
        <v>345204</v>
      </c>
      <c r="C9319" s="19" t="s">
        <v>9186</v>
      </c>
      <c r="D9319" s="19" t="s">
        <v>24731</v>
      </c>
      <c r="E9319" s="19" t="s">
        <v>34240</v>
      </c>
      <c r="F9319" s="19" t="s">
        <v>36007</v>
      </c>
      <c r="G9319" s="18" t="str">
        <f>"28801"</f>
        <v>28801</v>
      </c>
      <c r="H9319" s="19" t="s">
        <v>36612</v>
      </c>
      <c r="I9319" s="20">
        <v>14.5</v>
      </c>
      <c r="J9319" s="44" t="s">
        <v>8</v>
      </c>
      <c r="K9319" s="23" t="s">
        <v>8</v>
      </c>
      <c r="L9319" s="23" t="s">
        <v>8</v>
      </c>
      <c r="M9319" s="23" t="s">
        <v>8</v>
      </c>
    </row>
    <row r="9320" spans="1:13" s="21" customFormat="1" x14ac:dyDescent="0.25">
      <c r="A9320" s="22" t="s">
        <v>8</v>
      </c>
      <c r="B9320" s="18" t="str">
        <f>"345205"</f>
        <v>345205</v>
      </c>
      <c r="C9320" s="19" t="s">
        <v>9187</v>
      </c>
      <c r="D9320" s="19" t="s">
        <v>24732</v>
      </c>
      <c r="E9320" s="19" t="s">
        <v>34263</v>
      </c>
      <c r="F9320" s="19" t="s">
        <v>36007</v>
      </c>
      <c r="G9320" s="18" t="str">
        <f>"28697"</f>
        <v>28697</v>
      </c>
      <c r="H9320" s="19" t="s">
        <v>36162</v>
      </c>
      <c r="I9320" s="20">
        <v>22.507000000000001</v>
      </c>
      <c r="J9320" s="44" t="s">
        <v>8</v>
      </c>
      <c r="K9320" s="23" t="s">
        <v>8</v>
      </c>
      <c r="L9320" s="23" t="s">
        <v>8</v>
      </c>
      <c r="M9320" s="23" t="s">
        <v>8</v>
      </c>
    </row>
    <row r="9321" spans="1:13" s="21" customFormat="1" x14ac:dyDescent="0.25">
      <c r="A9321" s="22" t="s">
        <v>8</v>
      </c>
      <c r="B9321" s="18" t="str">
        <f>"345206"</f>
        <v>345206</v>
      </c>
      <c r="C9321" s="19" t="s">
        <v>9188</v>
      </c>
      <c r="D9321" s="19" t="s">
        <v>24733</v>
      </c>
      <c r="E9321" s="19" t="s">
        <v>32880</v>
      </c>
      <c r="F9321" s="19" t="s">
        <v>36007</v>
      </c>
      <c r="G9321" s="18" t="str">
        <f>"28754"</f>
        <v>28754</v>
      </c>
      <c r="H9321" s="19" t="s">
        <v>30899</v>
      </c>
      <c r="I9321" s="20">
        <v>18.163</v>
      </c>
      <c r="J9321" s="44" t="s">
        <v>8</v>
      </c>
      <c r="K9321" s="23" t="s">
        <v>8</v>
      </c>
      <c r="L9321" s="23" t="s">
        <v>8</v>
      </c>
      <c r="M9321" s="23" t="s">
        <v>8</v>
      </c>
    </row>
    <row r="9322" spans="1:13" s="21" customFormat="1" x14ac:dyDescent="0.25">
      <c r="A9322" s="22" t="s">
        <v>8</v>
      </c>
      <c r="B9322" s="18" t="str">
        <f>"345207"</f>
        <v>345207</v>
      </c>
      <c r="C9322" s="19" t="s">
        <v>9189</v>
      </c>
      <c r="D9322" s="19" t="s">
        <v>24734</v>
      </c>
      <c r="E9322" s="19" t="s">
        <v>34286</v>
      </c>
      <c r="F9322" s="19" t="s">
        <v>36007</v>
      </c>
      <c r="G9322" s="18" t="str">
        <f>"28472"</f>
        <v>28472</v>
      </c>
      <c r="H9322" s="19" t="s">
        <v>31715</v>
      </c>
      <c r="I9322" s="20">
        <v>21.07</v>
      </c>
      <c r="J9322" s="44" t="s">
        <v>8</v>
      </c>
      <c r="K9322" s="23" t="s">
        <v>8</v>
      </c>
      <c r="L9322" s="23" t="s">
        <v>8</v>
      </c>
      <c r="M9322" s="23" t="s">
        <v>8</v>
      </c>
    </row>
    <row r="9323" spans="1:13" s="21" customFormat="1" x14ac:dyDescent="0.25">
      <c r="A9323" s="22" t="s">
        <v>8</v>
      </c>
      <c r="B9323" s="18" t="str">
        <f>"345208"</f>
        <v>345208</v>
      </c>
      <c r="C9323" s="19" t="s">
        <v>9190</v>
      </c>
      <c r="D9323" s="19" t="s">
        <v>24735</v>
      </c>
      <c r="E9323" s="19" t="s">
        <v>34287</v>
      </c>
      <c r="F9323" s="19" t="s">
        <v>36007</v>
      </c>
      <c r="G9323" s="18" t="str">
        <f>"28712"</f>
        <v>28712</v>
      </c>
      <c r="H9323" s="19" t="s">
        <v>36639</v>
      </c>
      <c r="I9323" s="20">
        <v>19.085999999999999</v>
      </c>
      <c r="J9323" s="44" t="s">
        <v>8</v>
      </c>
      <c r="K9323" s="23" t="s">
        <v>8</v>
      </c>
      <c r="L9323" s="23" t="s">
        <v>8</v>
      </c>
      <c r="M9323" s="23" t="s">
        <v>8</v>
      </c>
    </row>
    <row r="9324" spans="1:13" s="21" customFormat="1" x14ac:dyDescent="0.25">
      <c r="A9324" s="22" t="s">
        <v>8</v>
      </c>
      <c r="B9324" s="18" t="str">
        <f>"345209"</f>
        <v>345209</v>
      </c>
      <c r="C9324" s="19" t="s">
        <v>9191</v>
      </c>
      <c r="D9324" s="19" t="s">
        <v>24736</v>
      </c>
      <c r="E9324" s="19" t="s">
        <v>34238</v>
      </c>
      <c r="F9324" s="19" t="s">
        <v>36007</v>
      </c>
      <c r="G9324" s="18" t="str">
        <f>"27106"</f>
        <v>27106</v>
      </c>
      <c r="H9324" s="19" t="s">
        <v>31754</v>
      </c>
      <c r="I9324" s="20">
        <v>20.581</v>
      </c>
      <c r="J9324" s="44" t="s">
        <v>8</v>
      </c>
      <c r="K9324" s="23" t="s">
        <v>8</v>
      </c>
      <c r="L9324" s="23" t="s">
        <v>8</v>
      </c>
      <c r="M9324" s="23" t="s">
        <v>8</v>
      </c>
    </row>
    <row r="9325" spans="1:13" s="21" customFormat="1" x14ac:dyDescent="0.25">
      <c r="A9325" s="22" t="s">
        <v>8</v>
      </c>
      <c r="B9325" s="18" t="str">
        <f>"345210"</f>
        <v>345210</v>
      </c>
      <c r="C9325" s="19" t="s">
        <v>9192</v>
      </c>
      <c r="D9325" s="19" t="s">
        <v>24737</v>
      </c>
      <c r="E9325" s="19" t="s">
        <v>32698</v>
      </c>
      <c r="F9325" s="19" t="s">
        <v>36007</v>
      </c>
      <c r="G9325" s="18" t="str">
        <f>"28337"</f>
        <v>28337</v>
      </c>
      <c r="H9325" s="19" t="s">
        <v>36640</v>
      </c>
      <c r="I9325" s="20">
        <v>19.495999999999999</v>
      </c>
      <c r="J9325" s="44" t="s">
        <v>8</v>
      </c>
      <c r="K9325" s="23" t="s">
        <v>8</v>
      </c>
      <c r="L9325" s="23" t="s">
        <v>8</v>
      </c>
      <c r="M9325" s="23" t="s">
        <v>8</v>
      </c>
    </row>
    <row r="9326" spans="1:13" s="21" customFormat="1" x14ac:dyDescent="0.25">
      <c r="A9326" s="22" t="s">
        <v>8</v>
      </c>
      <c r="B9326" s="18" t="str">
        <f>"345211"</f>
        <v>345211</v>
      </c>
      <c r="C9326" s="19" t="s">
        <v>9193</v>
      </c>
      <c r="D9326" s="19" t="s">
        <v>24738</v>
      </c>
      <c r="E9326" s="19" t="s">
        <v>34288</v>
      </c>
      <c r="F9326" s="19" t="s">
        <v>36007</v>
      </c>
      <c r="G9326" s="18" t="str">
        <f>"28563"</f>
        <v>28563</v>
      </c>
      <c r="H9326" s="19" t="s">
        <v>36641</v>
      </c>
      <c r="I9326" s="20">
        <v>17.077999999999999</v>
      </c>
      <c r="J9326" s="44" t="s">
        <v>8</v>
      </c>
      <c r="K9326" s="23" t="s">
        <v>8</v>
      </c>
      <c r="L9326" s="23" t="s">
        <v>8</v>
      </c>
      <c r="M9326" s="23" t="s">
        <v>8</v>
      </c>
    </row>
    <row r="9327" spans="1:13" s="21" customFormat="1" x14ac:dyDescent="0.25">
      <c r="A9327" s="22" t="s">
        <v>8</v>
      </c>
      <c r="B9327" s="18" t="str">
        <f>"345212"</f>
        <v>345212</v>
      </c>
      <c r="C9327" s="19" t="s">
        <v>9194</v>
      </c>
      <c r="D9327" s="19" t="s">
        <v>24739</v>
      </c>
      <c r="E9327" s="19" t="s">
        <v>34289</v>
      </c>
      <c r="F9327" s="19" t="s">
        <v>36007</v>
      </c>
      <c r="G9327" s="18" t="str">
        <f>"28301"</f>
        <v>28301</v>
      </c>
      <c r="H9327" s="19" t="s">
        <v>32766</v>
      </c>
      <c r="I9327" s="20">
        <v>18.516999999999999</v>
      </c>
      <c r="J9327" s="44" t="s">
        <v>8</v>
      </c>
      <c r="K9327" s="23" t="s">
        <v>8</v>
      </c>
      <c r="L9327" s="23" t="s">
        <v>8</v>
      </c>
      <c r="M9327" s="23" t="s">
        <v>8</v>
      </c>
    </row>
    <row r="9328" spans="1:13" s="21" customFormat="1" x14ac:dyDescent="0.25">
      <c r="A9328" s="22" t="s">
        <v>8</v>
      </c>
      <c r="B9328" s="18" t="str">
        <f>"345213"</f>
        <v>345213</v>
      </c>
      <c r="C9328" s="19" t="s">
        <v>9195</v>
      </c>
      <c r="D9328" s="19" t="s">
        <v>24740</v>
      </c>
      <c r="E9328" s="19" t="s">
        <v>34275</v>
      </c>
      <c r="F9328" s="19" t="s">
        <v>36007</v>
      </c>
      <c r="G9328" s="18" t="str">
        <f>"27546"</f>
        <v>27546</v>
      </c>
      <c r="H9328" s="19" t="s">
        <v>36635</v>
      </c>
      <c r="I9328" s="20">
        <v>19.515999999999998</v>
      </c>
      <c r="J9328" s="44" t="s">
        <v>8</v>
      </c>
      <c r="K9328" s="23" t="s">
        <v>8</v>
      </c>
      <c r="L9328" s="23" t="s">
        <v>8</v>
      </c>
      <c r="M9328" s="23" t="s">
        <v>8</v>
      </c>
    </row>
    <row r="9329" spans="1:13" s="21" customFormat="1" x14ac:dyDescent="0.25">
      <c r="A9329" s="22" t="s">
        <v>8</v>
      </c>
      <c r="B9329" s="18" t="str">
        <f>"345215"</f>
        <v>345215</v>
      </c>
      <c r="C9329" s="19" t="s">
        <v>9196</v>
      </c>
      <c r="D9329" s="19" t="s">
        <v>24741</v>
      </c>
      <c r="E9329" s="19" t="s">
        <v>31500</v>
      </c>
      <c r="F9329" s="19" t="s">
        <v>36007</v>
      </c>
      <c r="G9329" s="18" t="str">
        <f>"27889"</f>
        <v>27889</v>
      </c>
      <c r="H9329" s="19" t="s">
        <v>35056</v>
      </c>
      <c r="I9329" s="20">
        <v>19.849</v>
      </c>
      <c r="J9329" s="44" t="s">
        <v>8</v>
      </c>
      <c r="K9329" s="23" t="s">
        <v>8</v>
      </c>
      <c r="L9329" s="23" t="s">
        <v>8</v>
      </c>
      <c r="M9329" s="23" t="s">
        <v>8</v>
      </c>
    </row>
    <row r="9330" spans="1:13" s="21" customFormat="1" x14ac:dyDescent="0.25">
      <c r="A9330" s="22" t="s">
        <v>8</v>
      </c>
      <c r="B9330" s="18" t="str">
        <f>"345216"</f>
        <v>345216</v>
      </c>
      <c r="C9330" s="19" t="s">
        <v>9197</v>
      </c>
      <c r="D9330" s="19" t="s">
        <v>24742</v>
      </c>
      <c r="E9330" s="19" t="s">
        <v>31628</v>
      </c>
      <c r="F9330" s="19" t="s">
        <v>36007</v>
      </c>
      <c r="G9330" s="18" t="str">
        <f>"27332"</f>
        <v>27332</v>
      </c>
      <c r="H9330" s="19" t="s">
        <v>33138</v>
      </c>
      <c r="I9330" s="20">
        <v>19.527000000000001</v>
      </c>
      <c r="J9330" s="44" t="s">
        <v>8</v>
      </c>
      <c r="K9330" s="23" t="s">
        <v>8</v>
      </c>
      <c r="L9330" s="23" t="s">
        <v>8</v>
      </c>
      <c r="M9330" s="23" t="s">
        <v>8</v>
      </c>
    </row>
    <row r="9331" spans="1:13" s="21" customFormat="1" x14ac:dyDescent="0.25">
      <c r="A9331" s="22" t="s">
        <v>8</v>
      </c>
      <c r="B9331" s="18" t="str">
        <f>"345217"</f>
        <v>345217</v>
      </c>
      <c r="C9331" s="19" t="s">
        <v>9198</v>
      </c>
      <c r="D9331" s="19" t="s">
        <v>24743</v>
      </c>
      <c r="E9331" s="19" t="s">
        <v>30912</v>
      </c>
      <c r="F9331" s="19" t="s">
        <v>36007</v>
      </c>
      <c r="G9331" s="18" t="str">
        <f>"28546"</f>
        <v>28546</v>
      </c>
      <c r="H9331" s="19" t="s">
        <v>36616</v>
      </c>
      <c r="I9331" s="20">
        <v>17.609000000000002</v>
      </c>
      <c r="J9331" s="44" t="s">
        <v>8</v>
      </c>
      <c r="K9331" s="23" t="s">
        <v>8</v>
      </c>
      <c r="L9331" s="23" t="s">
        <v>8</v>
      </c>
      <c r="M9331" s="23" t="s">
        <v>8</v>
      </c>
    </row>
    <row r="9332" spans="1:13" s="21" customFormat="1" x14ac:dyDescent="0.25">
      <c r="A9332" s="22" t="s">
        <v>8</v>
      </c>
      <c r="B9332" s="18" t="str">
        <f>"345218"</f>
        <v>345218</v>
      </c>
      <c r="C9332" s="19" t="s">
        <v>9199</v>
      </c>
      <c r="D9332" s="19" t="s">
        <v>24744</v>
      </c>
      <c r="E9332" s="19" t="s">
        <v>31081</v>
      </c>
      <c r="F9332" s="19" t="s">
        <v>36007</v>
      </c>
      <c r="G9332" s="18" t="str">
        <f>"28328"</f>
        <v>28328</v>
      </c>
      <c r="H9332" s="19" t="s">
        <v>36606</v>
      </c>
      <c r="I9332" s="20">
        <v>20.11</v>
      </c>
      <c r="J9332" s="44" t="s">
        <v>8</v>
      </c>
      <c r="K9332" s="23" t="s">
        <v>8</v>
      </c>
      <c r="L9332" s="23" t="s">
        <v>8</v>
      </c>
      <c r="M9332" s="23" t="s">
        <v>8</v>
      </c>
    </row>
    <row r="9333" spans="1:13" s="21" customFormat="1" x14ac:dyDescent="0.25">
      <c r="A9333" s="22" t="s">
        <v>8</v>
      </c>
      <c r="B9333" s="18" t="str">
        <f>"345219"</f>
        <v>345219</v>
      </c>
      <c r="C9333" s="19" t="s">
        <v>9200</v>
      </c>
      <c r="D9333" s="19" t="s">
        <v>24745</v>
      </c>
      <c r="E9333" s="19" t="s">
        <v>34280</v>
      </c>
      <c r="F9333" s="19" t="s">
        <v>36007</v>
      </c>
      <c r="G9333" s="18" t="str">
        <f>"28655"</f>
        <v>28655</v>
      </c>
      <c r="H9333" s="19" t="s">
        <v>35398</v>
      </c>
      <c r="I9333" s="20">
        <v>19.024000000000001</v>
      </c>
      <c r="J9333" s="44" t="s">
        <v>8</v>
      </c>
      <c r="K9333" s="23" t="s">
        <v>8</v>
      </c>
      <c r="L9333" s="23" t="s">
        <v>8</v>
      </c>
      <c r="M9333" s="23" t="s">
        <v>8</v>
      </c>
    </row>
    <row r="9334" spans="1:13" s="21" customFormat="1" x14ac:dyDescent="0.25">
      <c r="A9334" s="22" t="s">
        <v>8</v>
      </c>
      <c r="B9334" s="18" t="str">
        <f>"345221"</f>
        <v>345221</v>
      </c>
      <c r="C9334" s="19" t="s">
        <v>9201</v>
      </c>
      <c r="D9334" s="19" t="s">
        <v>24746</v>
      </c>
      <c r="E9334" s="19" t="s">
        <v>34290</v>
      </c>
      <c r="F9334" s="19" t="s">
        <v>36007</v>
      </c>
      <c r="G9334" s="18" t="str">
        <f>"28787"</f>
        <v>28787</v>
      </c>
      <c r="H9334" s="19" t="s">
        <v>36612</v>
      </c>
      <c r="I9334" s="20">
        <v>17.236999999999998</v>
      </c>
      <c r="J9334" s="44" t="s">
        <v>8</v>
      </c>
      <c r="K9334" s="23" t="s">
        <v>8</v>
      </c>
      <c r="L9334" s="23" t="s">
        <v>8</v>
      </c>
      <c r="M9334" s="23" t="s">
        <v>8</v>
      </c>
    </row>
    <row r="9335" spans="1:13" s="21" customFormat="1" x14ac:dyDescent="0.25">
      <c r="A9335" s="22" t="s">
        <v>8</v>
      </c>
      <c r="B9335" s="18" t="str">
        <f>"345222"</f>
        <v>345222</v>
      </c>
      <c r="C9335" s="19" t="s">
        <v>9202</v>
      </c>
      <c r="D9335" s="19" t="s">
        <v>24747</v>
      </c>
      <c r="E9335" s="19" t="s">
        <v>34291</v>
      </c>
      <c r="F9335" s="19" t="s">
        <v>36007</v>
      </c>
      <c r="G9335" s="18" t="str">
        <f>"28619"</f>
        <v>28619</v>
      </c>
      <c r="H9335" s="19" t="s">
        <v>35398</v>
      </c>
      <c r="I9335" s="20">
        <v>20.484000000000002</v>
      </c>
      <c r="J9335" s="44" t="s">
        <v>8</v>
      </c>
      <c r="K9335" s="23" t="s">
        <v>8</v>
      </c>
      <c r="L9335" s="23" t="s">
        <v>8</v>
      </c>
      <c r="M9335" s="23" t="s">
        <v>8</v>
      </c>
    </row>
    <row r="9336" spans="1:13" s="21" customFormat="1" x14ac:dyDescent="0.25">
      <c r="A9336" s="22" t="s">
        <v>8</v>
      </c>
      <c r="B9336" s="18" t="str">
        <f>"345223"</f>
        <v>345223</v>
      </c>
      <c r="C9336" s="19" t="s">
        <v>9203</v>
      </c>
      <c r="D9336" s="19" t="s">
        <v>24748</v>
      </c>
      <c r="E9336" s="19" t="s">
        <v>34258</v>
      </c>
      <c r="F9336" s="19" t="s">
        <v>36007</v>
      </c>
      <c r="G9336" s="18" t="str">
        <f>"28739"</f>
        <v>28739</v>
      </c>
      <c r="H9336" s="19" t="s">
        <v>32699</v>
      </c>
      <c r="I9336" s="20">
        <v>19.971</v>
      </c>
      <c r="J9336" s="44" t="s">
        <v>8</v>
      </c>
      <c r="K9336" s="23" t="s">
        <v>8</v>
      </c>
      <c r="L9336" s="23" t="s">
        <v>8</v>
      </c>
      <c r="M9336" s="23" t="s">
        <v>8</v>
      </c>
    </row>
    <row r="9337" spans="1:13" s="21" customFormat="1" x14ac:dyDescent="0.25">
      <c r="A9337" s="22" t="s">
        <v>8</v>
      </c>
      <c r="B9337" s="18" t="str">
        <f>"345225"</f>
        <v>345225</v>
      </c>
      <c r="C9337" s="19" t="s">
        <v>9204</v>
      </c>
      <c r="D9337" s="19" t="s">
        <v>24749</v>
      </c>
      <c r="E9337" s="19" t="s">
        <v>34284</v>
      </c>
      <c r="F9337" s="19" t="s">
        <v>36007</v>
      </c>
      <c r="G9337" s="18" t="str">
        <f>"27514"</f>
        <v>27514</v>
      </c>
      <c r="H9337" s="19" t="s">
        <v>31169</v>
      </c>
      <c r="I9337" s="20">
        <v>25.734000000000002</v>
      </c>
      <c r="J9337" s="44" t="s">
        <v>8</v>
      </c>
      <c r="K9337" s="23" t="s">
        <v>8</v>
      </c>
      <c r="L9337" s="23" t="s">
        <v>8</v>
      </c>
      <c r="M9337" s="23" t="s">
        <v>8</v>
      </c>
    </row>
    <row r="9338" spans="1:13" s="21" customFormat="1" x14ac:dyDescent="0.25">
      <c r="A9338" s="22" t="s">
        <v>8</v>
      </c>
      <c r="B9338" s="18" t="str">
        <f>"345226"</f>
        <v>345226</v>
      </c>
      <c r="C9338" s="19" t="s">
        <v>9205</v>
      </c>
      <c r="D9338" s="19" t="s">
        <v>24750</v>
      </c>
      <c r="E9338" s="19" t="s">
        <v>34292</v>
      </c>
      <c r="F9338" s="19" t="s">
        <v>36007</v>
      </c>
      <c r="G9338" s="18" t="str">
        <f>"27959"</f>
        <v>27959</v>
      </c>
      <c r="H9338" s="19" t="s">
        <v>36642</v>
      </c>
      <c r="I9338" s="20">
        <v>21.099</v>
      </c>
      <c r="J9338" s="44" t="s">
        <v>8</v>
      </c>
      <c r="K9338" s="23" t="s">
        <v>8</v>
      </c>
      <c r="L9338" s="23" t="s">
        <v>8</v>
      </c>
      <c r="M9338" s="23" t="s">
        <v>8</v>
      </c>
    </row>
    <row r="9339" spans="1:13" s="21" customFormat="1" x14ac:dyDescent="0.25">
      <c r="A9339" s="22" t="s">
        <v>8</v>
      </c>
      <c r="B9339" s="18" t="str">
        <f>"345227"</f>
        <v>345227</v>
      </c>
      <c r="C9339" s="19" t="s">
        <v>9206</v>
      </c>
      <c r="D9339" s="19" t="s">
        <v>24751</v>
      </c>
      <c r="E9339" s="19" t="s">
        <v>31814</v>
      </c>
      <c r="F9339" s="19" t="s">
        <v>36007</v>
      </c>
      <c r="G9339" s="18" t="str">
        <f>"27320"</f>
        <v>27320</v>
      </c>
      <c r="H9339" s="19" t="s">
        <v>34326</v>
      </c>
      <c r="I9339" s="20">
        <v>20.995000000000001</v>
      </c>
      <c r="J9339" s="44" t="s">
        <v>8</v>
      </c>
      <c r="K9339" s="23" t="s">
        <v>8</v>
      </c>
      <c r="L9339" s="23" t="s">
        <v>8</v>
      </c>
      <c r="M9339" s="23" t="s">
        <v>8</v>
      </c>
    </row>
    <row r="9340" spans="1:13" s="21" customFormat="1" x14ac:dyDescent="0.25">
      <c r="A9340" s="22" t="s">
        <v>8</v>
      </c>
      <c r="B9340" s="18" t="str">
        <f>"345228"</f>
        <v>345228</v>
      </c>
      <c r="C9340" s="19" t="s">
        <v>9207</v>
      </c>
      <c r="D9340" s="19" t="s">
        <v>24752</v>
      </c>
      <c r="E9340" s="19" t="s">
        <v>31500</v>
      </c>
      <c r="F9340" s="19" t="s">
        <v>36007</v>
      </c>
      <c r="G9340" s="18" t="str">
        <f>"27889"</f>
        <v>27889</v>
      </c>
      <c r="H9340" s="19" t="s">
        <v>35056</v>
      </c>
      <c r="I9340" s="20">
        <v>16.963000000000001</v>
      </c>
      <c r="J9340" s="44" t="s">
        <v>8</v>
      </c>
      <c r="K9340" s="23" t="s">
        <v>8</v>
      </c>
      <c r="L9340" s="23" t="s">
        <v>8</v>
      </c>
      <c r="M9340" s="23" t="s">
        <v>8</v>
      </c>
    </row>
    <row r="9341" spans="1:13" s="21" customFormat="1" x14ac:dyDescent="0.25">
      <c r="A9341" s="22" t="s">
        <v>8</v>
      </c>
      <c r="B9341" s="18" t="str">
        <f>"345229"</f>
        <v>345229</v>
      </c>
      <c r="C9341" s="19" t="s">
        <v>9208</v>
      </c>
      <c r="D9341" s="19" t="s">
        <v>24753</v>
      </c>
      <c r="E9341" s="19" t="s">
        <v>33565</v>
      </c>
      <c r="F9341" s="19" t="s">
        <v>36007</v>
      </c>
      <c r="G9341" s="18" t="str">
        <f>"28150"</f>
        <v>28150</v>
      </c>
      <c r="H9341" s="19" t="s">
        <v>31810</v>
      </c>
      <c r="I9341" s="20">
        <v>15.955</v>
      </c>
      <c r="J9341" s="44" t="s">
        <v>8</v>
      </c>
      <c r="K9341" s="23" t="s">
        <v>8</v>
      </c>
      <c r="L9341" s="23" t="s">
        <v>8</v>
      </c>
      <c r="M9341" s="23" t="s">
        <v>8</v>
      </c>
    </row>
    <row r="9342" spans="1:13" s="21" customFormat="1" x14ac:dyDescent="0.25">
      <c r="A9342" s="22" t="s">
        <v>8</v>
      </c>
      <c r="B9342" s="18" t="str">
        <f>"345232"</f>
        <v>345232</v>
      </c>
      <c r="C9342" s="19" t="s">
        <v>9209</v>
      </c>
      <c r="D9342" s="19" t="s">
        <v>24754</v>
      </c>
      <c r="E9342" s="19" t="s">
        <v>34248</v>
      </c>
      <c r="F9342" s="19" t="s">
        <v>36007</v>
      </c>
      <c r="G9342" s="18" t="str">
        <f>"28602"</f>
        <v>28602</v>
      </c>
      <c r="H9342" s="19" t="s">
        <v>36617</v>
      </c>
      <c r="I9342" s="20">
        <v>17.699000000000002</v>
      </c>
      <c r="J9342" s="44" t="s">
        <v>8</v>
      </c>
      <c r="K9342" s="23" t="s">
        <v>8</v>
      </c>
      <c r="L9342" s="23" t="s">
        <v>8</v>
      </c>
      <c r="M9342" s="23" t="s">
        <v>8</v>
      </c>
    </row>
    <row r="9343" spans="1:13" s="21" customFormat="1" x14ac:dyDescent="0.25">
      <c r="A9343" s="22" t="s">
        <v>8</v>
      </c>
      <c r="B9343" s="18" t="str">
        <f>"345233"</f>
        <v>345233</v>
      </c>
      <c r="C9343" s="19" t="s">
        <v>9210</v>
      </c>
      <c r="D9343" s="19" t="s">
        <v>24755</v>
      </c>
      <c r="E9343" s="19" t="s">
        <v>34293</v>
      </c>
      <c r="F9343" s="19" t="s">
        <v>36007</v>
      </c>
      <c r="G9343" s="18" t="str">
        <f>"28761"</f>
        <v>28761</v>
      </c>
      <c r="H9343" s="19" t="s">
        <v>36631</v>
      </c>
      <c r="I9343" s="20">
        <v>16.995000000000001</v>
      </c>
      <c r="J9343" s="44" t="s">
        <v>8</v>
      </c>
      <c r="K9343" s="23" t="s">
        <v>8</v>
      </c>
      <c r="L9343" s="23" t="s">
        <v>8</v>
      </c>
      <c r="M9343" s="23" t="s">
        <v>8</v>
      </c>
    </row>
    <row r="9344" spans="1:13" s="21" customFormat="1" x14ac:dyDescent="0.25">
      <c r="A9344" s="22" t="s">
        <v>8</v>
      </c>
      <c r="B9344" s="18" t="str">
        <f>"345234"</f>
        <v>345234</v>
      </c>
      <c r="C9344" s="19" t="s">
        <v>9211</v>
      </c>
      <c r="D9344" s="19" t="s">
        <v>24756</v>
      </c>
      <c r="E9344" s="19" t="s">
        <v>33575</v>
      </c>
      <c r="F9344" s="19" t="s">
        <v>36007</v>
      </c>
      <c r="G9344" s="18" t="str">
        <f>"28358"</f>
        <v>28358</v>
      </c>
      <c r="H9344" s="19" t="s">
        <v>36615</v>
      </c>
      <c r="I9344" s="20">
        <v>17.425000000000001</v>
      </c>
      <c r="J9344" s="44" t="s">
        <v>8</v>
      </c>
      <c r="K9344" s="23" t="s">
        <v>8</v>
      </c>
      <c r="L9344" s="23" t="s">
        <v>8</v>
      </c>
      <c r="M9344" s="23" t="s">
        <v>8</v>
      </c>
    </row>
    <row r="9345" spans="1:13" s="21" customFormat="1" x14ac:dyDescent="0.25">
      <c r="A9345" s="22" t="s">
        <v>8</v>
      </c>
      <c r="B9345" s="18" t="str">
        <f>"345235"</f>
        <v>345235</v>
      </c>
      <c r="C9345" s="19" t="s">
        <v>9212</v>
      </c>
      <c r="D9345" s="19" t="s">
        <v>24757</v>
      </c>
      <c r="E9345" s="19" t="s">
        <v>31369</v>
      </c>
      <c r="F9345" s="19" t="s">
        <v>36007</v>
      </c>
      <c r="G9345" s="18" t="str">
        <f>"27215"</f>
        <v>27215</v>
      </c>
      <c r="H9345" s="19" t="s">
        <v>36620</v>
      </c>
      <c r="I9345" s="20">
        <v>19.824000000000002</v>
      </c>
      <c r="J9345" s="44" t="s">
        <v>8</v>
      </c>
      <c r="K9345" s="23" t="s">
        <v>8</v>
      </c>
      <c r="L9345" s="23" t="s">
        <v>8</v>
      </c>
      <c r="M9345" s="23" t="s">
        <v>8</v>
      </c>
    </row>
    <row r="9346" spans="1:13" s="21" customFormat="1" x14ac:dyDescent="0.25">
      <c r="A9346" s="22" t="s">
        <v>8</v>
      </c>
      <c r="B9346" s="18" t="str">
        <f>"345236"</f>
        <v>345236</v>
      </c>
      <c r="C9346" s="19" t="s">
        <v>9213</v>
      </c>
      <c r="D9346" s="19" t="s">
        <v>24758</v>
      </c>
      <c r="E9346" s="19" t="s">
        <v>31489</v>
      </c>
      <c r="F9346" s="19" t="s">
        <v>36007</v>
      </c>
      <c r="G9346" s="18" t="str">
        <f>"28401"</f>
        <v>28401</v>
      </c>
      <c r="H9346" s="19" t="s">
        <v>36608</v>
      </c>
      <c r="I9346" s="20">
        <v>19.951000000000001</v>
      </c>
      <c r="J9346" s="44" t="s">
        <v>8</v>
      </c>
      <c r="K9346" s="23" t="s">
        <v>8</v>
      </c>
      <c r="L9346" s="23" t="s">
        <v>8</v>
      </c>
      <c r="M9346" s="23" t="s">
        <v>8</v>
      </c>
    </row>
    <row r="9347" spans="1:13" s="21" customFormat="1" x14ac:dyDescent="0.25">
      <c r="A9347" s="22" t="s">
        <v>8</v>
      </c>
      <c r="B9347" s="18" t="str">
        <f>"345237"</f>
        <v>345237</v>
      </c>
      <c r="C9347" s="19" t="s">
        <v>9214</v>
      </c>
      <c r="D9347" s="19" t="s">
        <v>24759</v>
      </c>
      <c r="E9347" s="19" t="s">
        <v>34276</v>
      </c>
      <c r="F9347" s="19" t="s">
        <v>36007</v>
      </c>
      <c r="G9347" s="18" t="str">
        <f>"27577"</f>
        <v>27577</v>
      </c>
      <c r="H9347" s="19" t="s">
        <v>32504</v>
      </c>
      <c r="I9347" s="20">
        <v>19.754000000000001</v>
      </c>
      <c r="J9347" s="44" t="s">
        <v>8</v>
      </c>
      <c r="K9347" s="23" t="s">
        <v>8</v>
      </c>
      <c r="L9347" s="23" t="s">
        <v>8</v>
      </c>
      <c r="M9347" s="23" t="s">
        <v>8</v>
      </c>
    </row>
    <row r="9348" spans="1:13" s="21" customFormat="1" x14ac:dyDescent="0.25">
      <c r="A9348" s="22" t="s">
        <v>8</v>
      </c>
      <c r="B9348" s="18" t="str">
        <f>"345238"</f>
        <v>345238</v>
      </c>
      <c r="C9348" s="19" t="s">
        <v>9215</v>
      </c>
      <c r="D9348" s="19" t="s">
        <v>24760</v>
      </c>
      <c r="E9348" s="19" t="s">
        <v>33156</v>
      </c>
      <c r="F9348" s="19" t="s">
        <v>36007</v>
      </c>
      <c r="G9348" s="18" t="str">
        <f>"28211"</f>
        <v>28211</v>
      </c>
      <c r="H9348" s="19" t="s">
        <v>36610</v>
      </c>
      <c r="I9348" s="20">
        <v>21.274000000000001</v>
      </c>
      <c r="J9348" s="44" t="s">
        <v>8</v>
      </c>
      <c r="K9348" s="23" t="s">
        <v>8</v>
      </c>
      <c r="L9348" s="23" t="s">
        <v>8</v>
      </c>
      <c r="M9348" s="23" t="s">
        <v>8</v>
      </c>
    </row>
    <row r="9349" spans="1:13" s="21" customFormat="1" x14ac:dyDescent="0.25">
      <c r="A9349" s="22" t="s">
        <v>8</v>
      </c>
      <c r="B9349" s="18" t="str">
        <f>"345240"</f>
        <v>345240</v>
      </c>
      <c r="C9349" s="19" t="s">
        <v>9216</v>
      </c>
      <c r="D9349" s="19" t="s">
        <v>24761</v>
      </c>
      <c r="E9349" s="19" t="s">
        <v>31737</v>
      </c>
      <c r="F9349" s="19" t="s">
        <v>36007</v>
      </c>
      <c r="G9349" s="18" t="str">
        <f>"27589"</f>
        <v>27589</v>
      </c>
      <c r="H9349" s="19" t="s">
        <v>31025</v>
      </c>
      <c r="I9349" s="20">
        <v>23.643999999999998</v>
      </c>
      <c r="J9349" s="44" t="s">
        <v>8</v>
      </c>
      <c r="K9349" s="23" t="s">
        <v>8</v>
      </c>
      <c r="L9349" s="23" t="s">
        <v>8</v>
      </c>
      <c r="M9349" s="23" t="s">
        <v>8</v>
      </c>
    </row>
    <row r="9350" spans="1:13" s="21" customFormat="1" x14ac:dyDescent="0.25">
      <c r="A9350" s="22" t="s">
        <v>8</v>
      </c>
      <c r="B9350" s="18" t="str">
        <f>"345241"</f>
        <v>345241</v>
      </c>
      <c r="C9350" s="19" t="s">
        <v>9217</v>
      </c>
      <c r="D9350" s="19" t="s">
        <v>24762</v>
      </c>
      <c r="E9350" s="19" t="s">
        <v>34177</v>
      </c>
      <c r="F9350" s="19" t="s">
        <v>36007</v>
      </c>
      <c r="G9350" s="18" t="str">
        <f>"27288"</f>
        <v>27288</v>
      </c>
      <c r="H9350" s="19" t="s">
        <v>34326</v>
      </c>
      <c r="I9350" s="20">
        <v>16.922000000000001</v>
      </c>
      <c r="J9350" s="44" t="s">
        <v>8</v>
      </c>
      <c r="K9350" s="23" t="s">
        <v>8</v>
      </c>
      <c r="L9350" s="23" t="s">
        <v>8</v>
      </c>
      <c r="M9350" s="23" t="s">
        <v>8</v>
      </c>
    </row>
    <row r="9351" spans="1:13" s="21" customFormat="1" x14ac:dyDescent="0.25">
      <c r="A9351" s="22" t="s">
        <v>8</v>
      </c>
      <c r="B9351" s="18" t="str">
        <f>"345242"</f>
        <v>345242</v>
      </c>
      <c r="C9351" s="19" t="s">
        <v>9218</v>
      </c>
      <c r="D9351" s="19" t="s">
        <v>24763</v>
      </c>
      <c r="E9351" s="19" t="s">
        <v>34283</v>
      </c>
      <c r="F9351" s="19" t="s">
        <v>36007</v>
      </c>
      <c r="G9351" s="18" t="str">
        <f>"27886"</f>
        <v>27886</v>
      </c>
      <c r="H9351" s="19" t="s">
        <v>36637</v>
      </c>
      <c r="I9351" s="20">
        <v>18.728000000000002</v>
      </c>
      <c r="J9351" s="44" t="s">
        <v>8</v>
      </c>
      <c r="K9351" s="23" t="s">
        <v>8</v>
      </c>
      <c r="L9351" s="23" t="s">
        <v>8</v>
      </c>
      <c r="M9351" s="23" t="s">
        <v>8</v>
      </c>
    </row>
    <row r="9352" spans="1:13" s="21" customFormat="1" x14ac:dyDescent="0.25">
      <c r="A9352" s="22" t="s">
        <v>8</v>
      </c>
      <c r="B9352" s="18" t="str">
        <f>"345243"</f>
        <v>345243</v>
      </c>
      <c r="C9352" s="19" t="s">
        <v>9219</v>
      </c>
      <c r="D9352" s="19" t="s">
        <v>24764</v>
      </c>
      <c r="E9352" s="19" t="s">
        <v>33156</v>
      </c>
      <c r="F9352" s="19" t="s">
        <v>36007</v>
      </c>
      <c r="G9352" s="18" t="str">
        <f>"28212"</f>
        <v>28212</v>
      </c>
      <c r="H9352" s="19" t="s">
        <v>36610</v>
      </c>
      <c r="I9352" s="20">
        <v>17.904</v>
      </c>
      <c r="J9352" s="44" t="s">
        <v>8</v>
      </c>
      <c r="K9352" s="23" t="s">
        <v>8</v>
      </c>
      <c r="L9352" s="23" t="s">
        <v>8</v>
      </c>
      <c r="M9352" s="23" t="s">
        <v>8</v>
      </c>
    </row>
    <row r="9353" spans="1:13" s="21" customFormat="1" x14ac:dyDescent="0.25">
      <c r="A9353" s="22" t="s">
        <v>8</v>
      </c>
      <c r="B9353" s="18" t="str">
        <f>"345244"</f>
        <v>345244</v>
      </c>
      <c r="C9353" s="19" t="s">
        <v>9220</v>
      </c>
      <c r="D9353" s="19" t="s">
        <v>24765</v>
      </c>
      <c r="E9353" s="19" t="s">
        <v>34274</v>
      </c>
      <c r="F9353" s="19" t="s">
        <v>36007</v>
      </c>
      <c r="G9353" s="18" t="str">
        <f>"28557"</f>
        <v>28557</v>
      </c>
      <c r="H9353" s="19" t="s">
        <v>36634</v>
      </c>
      <c r="I9353" s="20">
        <v>21.213000000000001</v>
      </c>
      <c r="J9353" s="44" t="s">
        <v>8</v>
      </c>
      <c r="K9353" s="23" t="s">
        <v>8</v>
      </c>
      <c r="L9353" s="23" t="s">
        <v>8</v>
      </c>
      <c r="M9353" s="23" t="s">
        <v>8</v>
      </c>
    </row>
    <row r="9354" spans="1:13" s="21" customFormat="1" x14ac:dyDescent="0.25">
      <c r="A9354" s="22" t="s">
        <v>8</v>
      </c>
      <c r="B9354" s="18" t="str">
        <f>"345245"</f>
        <v>345245</v>
      </c>
      <c r="C9354" s="19" t="s">
        <v>9221</v>
      </c>
      <c r="D9354" s="19" t="s">
        <v>24766</v>
      </c>
      <c r="E9354" s="19" t="s">
        <v>34294</v>
      </c>
      <c r="F9354" s="19" t="s">
        <v>36007</v>
      </c>
      <c r="G9354" s="18" t="str">
        <f>"28425"</f>
        <v>28425</v>
      </c>
      <c r="H9354" s="19" t="s">
        <v>33805</v>
      </c>
      <c r="I9354" s="20">
        <v>17.606000000000002</v>
      </c>
      <c r="J9354" s="44" t="s">
        <v>8</v>
      </c>
      <c r="K9354" s="23" t="s">
        <v>8</v>
      </c>
      <c r="L9354" s="23" t="s">
        <v>8</v>
      </c>
      <c r="M9354" s="23" t="s">
        <v>8</v>
      </c>
    </row>
    <row r="9355" spans="1:13" s="21" customFormat="1" x14ac:dyDescent="0.25">
      <c r="A9355" s="22" t="s">
        <v>8</v>
      </c>
      <c r="B9355" s="18" t="str">
        <f>"345246"</f>
        <v>345246</v>
      </c>
      <c r="C9355" s="19" t="s">
        <v>9222</v>
      </c>
      <c r="D9355" s="19" t="s">
        <v>24767</v>
      </c>
      <c r="E9355" s="19" t="s">
        <v>33353</v>
      </c>
      <c r="F9355" s="19" t="s">
        <v>36007</v>
      </c>
      <c r="G9355" s="18" t="str">
        <f>"28630"</f>
        <v>28630</v>
      </c>
      <c r="H9355" s="19" t="s">
        <v>31876</v>
      </c>
      <c r="I9355" s="20">
        <v>18.265999999999998</v>
      </c>
      <c r="J9355" s="44" t="s">
        <v>8</v>
      </c>
      <c r="K9355" s="23" t="s">
        <v>8</v>
      </c>
      <c r="L9355" s="23" t="s">
        <v>8</v>
      </c>
      <c r="M9355" s="23" t="s">
        <v>8</v>
      </c>
    </row>
    <row r="9356" spans="1:13" s="21" customFormat="1" x14ac:dyDescent="0.25">
      <c r="A9356" s="22" t="s">
        <v>8</v>
      </c>
      <c r="B9356" s="18" t="str">
        <f>"345247"</f>
        <v>345247</v>
      </c>
      <c r="C9356" s="19" t="s">
        <v>9223</v>
      </c>
      <c r="D9356" s="19" t="s">
        <v>24768</v>
      </c>
      <c r="E9356" s="19" t="s">
        <v>32747</v>
      </c>
      <c r="F9356" s="19" t="s">
        <v>36007</v>
      </c>
      <c r="G9356" s="18" t="str">
        <f>"28681"</f>
        <v>28681</v>
      </c>
      <c r="H9356" s="19" t="s">
        <v>36247</v>
      </c>
      <c r="I9356" s="20">
        <v>16.812000000000001</v>
      </c>
      <c r="J9356" s="44" t="s">
        <v>8</v>
      </c>
      <c r="K9356" s="23" t="s">
        <v>8</v>
      </c>
      <c r="L9356" s="23" t="s">
        <v>8</v>
      </c>
      <c r="M9356" s="23" t="s">
        <v>8</v>
      </c>
    </row>
    <row r="9357" spans="1:13" s="21" customFormat="1" x14ac:dyDescent="0.25">
      <c r="A9357" s="22" t="s">
        <v>8</v>
      </c>
      <c r="B9357" s="18" t="str">
        <f>"345249"</f>
        <v>345249</v>
      </c>
      <c r="C9357" s="19" t="s">
        <v>9224</v>
      </c>
      <c r="D9357" s="19" t="s">
        <v>24769</v>
      </c>
      <c r="E9357" s="19" t="s">
        <v>34177</v>
      </c>
      <c r="F9357" s="19" t="s">
        <v>36007</v>
      </c>
      <c r="G9357" s="18" t="str">
        <f>"27288"</f>
        <v>27288</v>
      </c>
      <c r="H9357" s="19" t="s">
        <v>34326</v>
      </c>
      <c r="I9357" s="20">
        <v>17.536999999999999</v>
      </c>
      <c r="J9357" s="44" t="s">
        <v>8</v>
      </c>
      <c r="K9357" s="23" t="s">
        <v>8</v>
      </c>
      <c r="L9357" s="23" t="s">
        <v>8</v>
      </c>
      <c r="M9357" s="23" t="s">
        <v>8</v>
      </c>
    </row>
    <row r="9358" spans="1:13" s="21" customFormat="1" x14ac:dyDescent="0.25">
      <c r="A9358" s="22" t="s">
        <v>8</v>
      </c>
      <c r="B9358" s="18" t="str">
        <f>"345250"</f>
        <v>345250</v>
      </c>
      <c r="C9358" s="19" t="s">
        <v>9225</v>
      </c>
      <c r="D9358" s="19" t="s">
        <v>24770</v>
      </c>
      <c r="E9358" s="19" t="s">
        <v>34270</v>
      </c>
      <c r="F9358" s="19" t="s">
        <v>36007</v>
      </c>
      <c r="G9358" s="18" t="str">
        <f>"28093"</f>
        <v>28093</v>
      </c>
      <c r="H9358" s="19" t="s">
        <v>31995</v>
      </c>
      <c r="I9358" s="20">
        <v>16.413</v>
      </c>
      <c r="J9358" s="44" t="s">
        <v>8</v>
      </c>
      <c r="K9358" s="23" t="s">
        <v>8</v>
      </c>
      <c r="L9358" s="23" t="s">
        <v>8</v>
      </c>
      <c r="M9358" s="23" t="s">
        <v>8</v>
      </c>
    </row>
    <row r="9359" spans="1:13" s="21" customFormat="1" x14ac:dyDescent="0.25">
      <c r="A9359" s="22" t="s">
        <v>8</v>
      </c>
      <c r="B9359" s="18" t="str">
        <f>"345252"</f>
        <v>345252</v>
      </c>
      <c r="C9359" s="19" t="s">
        <v>9226</v>
      </c>
      <c r="D9359" s="19" t="s">
        <v>24771</v>
      </c>
      <c r="E9359" s="19" t="s">
        <v>32201</v>
      </c>
      <c r="F9359" s="19" t="s">
        <v>36007</v>
      </c>
      <c r="G9359" s="18" t="str">
        <f>"28398"</f>
        <v>28398</v>
      </c>
      <c r="H9359" s="19" t="s">
        <v>36628</v>
      </c>
      <c r="I9359" s="20">
        <v>17.68</v>
      </c>
      <c r="J9359" s="44" t="s">
        <v>8</v>
      </c>
      <c r="K9359" s="23" t="s">
        <v>8</v>
      </c>
      <c r="L9359" s="23" t="s">
        <v>8</v>
      </c>
      <c r="M9359" s="23" t="s">
        <v>8</v>
      </c>
    </row>
    <row r="9360" spans="1:13" s="21" customFormat="1" x14ac:dyDescent="0.25">
      <c r="A9360" s="22" t="s">
        <v>8</v>
      </c>
      <c r="B9360" s="18" t="str">
        <f>"345253"</f>
        <v>345253</v>
      </c>
      <c r="C9360" s="19" t="s">
        <v>9227</v>
      </c>
      <c r="D9360" s="19" t="s">
        <v>24772</v>
      </c>
      <c r="E9360" s="19" t="s">
        <v>34295</v>
      </c>
      <c r="F9360" s="19" t="s">
        <v>36007</v>
      </c>
      <c r="G9360" s="18" t="str">
        <f>"28759"</f>
        <v>28759</v>
      </c>
      <c r="H9360" s="19" t="s">
        <v>32699</v>
      </c>
      <c r="I9360" s="20">
        <v>15.372999999999999</v>
      </c>
      <c r="J9360" s="44" t="s">
        <v>8</v>
      </c>
      <c r="K9360" s="23" t="s">
        <v>8</v>
      </c>
      <c r="L9360" s="23" t="s">
        <v>8</v>
      </c>
      <c r="M9360" s="23" t="s">
        <v>8</v>
      </c>
    </row>
    <row r="9361" spans="1:13" s="21" customFormat="1" x14ac:dyDescent="0.25">
      <c r="A9361" s="22" t="s">
        <v>8</v>
      </c>
      <c r="B9361" s="18" t="str">
        <f>"345254"</f>
        <v>345254</v>
      </c>
      <c r="C9361" s="19" t="s">
        <v>9228</v>
      </c>
      <c r="D9361" s="19" t="s">
        <v>24773</v>
      </c>
      <c r="E9361" s="19" t="s">
        <v>31711</v>
      </c>
      <c r="F9361" s="19" t="s">
        <v>36007</v>
      </c>
      <c r="G9361" s="18" t="str">
        <f>"28112"</f>
        <v>28112</v>
      </c>
      <c r="H9361" s="19" t="s">
        <v>33554</v>
      </c>
      <c r="I9361" s="20">
        <v>22.599</v>
      </c>
      <c r="J9361" s="44" t="s">
        <v>8</v>
      </c>
      <c r="K9361" s="23" t="s">
        <v>8</v>
      </c>
      <c r="L9361" s="23" t="s">
        <v>8</v>
      </c>
      <c r="M9361" s="23" t="s">
        <v>8</v>
      </c>
    </row>
    <row r="9362" spans="1:13" s="21" customFormat="1" x14ac:dyDescent="0.25">
      <c r="A9362" s="22" t="s">
        <v>8</v>
      </c>
      <c r="B9362" s="18" t="str">
        <f>"345255"</f>
        <v>345255</v>
      </c>
      <c r="C9362" s="19" t="s">
        <v>9229</v>
      </c>
      <c r="D9362" s="19" t="s">
        <v>24774</v>
      </c>
      <c r="E9362" s="19" t="s">
        <v>34296</v>
      </c>
      <c r="F9362" s="19" t="s">
        <v>36007</v>
      </c>
      <c r="G9362" s="18" t="str">
        <f>"28021"</f>
        <v>28021</v>
      </c>
      <c r="H9362" s="19" t="s">
        <v>36629</v>
      </c>
      <c r="I9362" s="20">
        <v>15.47</v>
      </c>
      <c r="J9362" s="44" t="s">
        <v>8</v>
      </c>
      <c r="K9362" s="23" t="s">
        <v>8</v>
      </c>
      <c r="L9362" s="23" t="s">
        <v>8</v>
      </c>
      <c r="M9362" s="23" t="s">
        <v>8</v>
      </c>
    </row>
    <row r="9363" spans="1:13" s="21" customFormat="1" x14ac:dyDescent="0.25">
      <c r="A9363" s="22" t="s">
        <v>8</v>
      </c>
      <c r="B9363" s="18" t="str">
        <f>"345258"</f>
        <v>345258</v>
      </c>
      <c r="C9363" s="19" t="s">
        <v>9230</v>
      </c>
      <c r="D9363" s="19" t="s">
        <v>24775</v>
      </c>
      <c r="E9363" s="19" t="s">
        <v>34297</v>
      </c>
      <c r="F9363" s="19" t="s">
        <v>36007</v>
      </c>
      <c r="G9363" s="18" t="str">
        <f>"28083"</f>
        <v>28083</v>
      </c>
      <c r="H9363" s="19" t="s">
        <v>36626</v>
      </c>
      <c r="I9363" s="20">
        <v>17.954000000000001</v>
      </c>
      <c r="J9363" s="44" t="s">
        <v>8</v>
      </c>
      <c r="K9363" s="23" t="s">
        <v>8</v>
      </c>
      <c r="L9363" s="23" t="s">
        <v>8</v>
      </c>
      <c r="M9363" s="23" t="s">
        <v>8</v>
      </c>
    </row>
    <row r="9364" spans="1:13" s="21" customFormat="1" x14ac:dyDescent="0.25">
      <c r="A9364" s="22" t="s">
        <v>8</v>
      </c>
      <c r="B9364" s="18" t="str">
        <f>"345260"</f>
        <v>345260</v>
      </c>
      <c r="C9364" s="19" t="s">
        <v>9231</v>
      </c>
      <c r="D9364" s="19" t="s">
        <v>24776</v>
      </c>
      <c r="E9364" s="19" t="s">
        <v>34264</v>
      </c>
      <c r="F9364" s="19" t="s">
        <v>36007</v>
      </c>
      <c r="G9364" s="18" t="str">
        <f>"27804"</f>
        <v>27804</v>
      </c>
      <c r="H9364" s="19" t="s">
        <v>36627</v>
      </c>
      <c r="I9364" s="20">
        <v>22.257000000000001</v>
      </c>
      <c r="J9364" s="44" t="s">
        <v>8</v>
      </c>
      <c r="K9364" s="23" t="s">
        <v>8</v>
      </c>
      <c r="L9364" s="23" t="s">
        <v>8</v>
      </c>
      <c r="M9364" s="23" t="s">
        <v>8</v>
      </c>
    </row>
    <row r="9365" spans="1:13" s="21" customFormat="1" x14ac:dyDescent="0.25">
      <c r="A9365" s="22" t="s">
        <v>8</v>
      </c>
      <c r="B9365" s="18" t="str">
        <f>"345261"</f>
        <v>345261</v>
      </c>
      <c r="C9365" s="19" t="s">
        <v>9232</v>
      </c>
      <c r="D9365" s="19" t="s">
        <v>24777</v>
      </c>
      <c r="E9365" s="19" t="s">
        <v>31756</v>
      </c>
      <c r="F9365" s="19" t="s">
        <v>36007</v>
      </c>
      <c r="G9365" s="18" t="str">
        <f>"28675"</f>
        <v>28675</v>
      </c>
      <c r="H9365" s="19" t="s">
        <v>36643</v>
      </c>
      <c r="I9365" s="20">
        <v>17.844999999999999</v>
      </c>
      <c r="J9365" s="44" t="s">
        <v>8</v>
      </c>
      <c r="K9365" s="23" t="s">
        <v>8</v>
      </c>
      <c r="L9365" s="23" t="s">
        <v>8</v>
      </c>
      <c r="M9365" s="23" t="s">
        <v>8</v>
      </c>
    </row>
    <row r="9366" spans="1:13" s="21" customFormat="1" x14ac:dyDescent="0.25">
      <c r="A9366" s="22" t="s">
        <v>8</v>
      </c>
      <c r="B9366" s="18" t="str">
        <f>"345262"</f>
        <v>345262</v>
      </c>
      <c r="C9366" s="19" t="s">
        <v>9233</v>
      </c>
      <c r="D9366" s="19" t="s">
        <v>24778</v>
      </c>
      <c r="E9366" s="19" t="s">
        <v>34298</v>
      </c>
      <c r="F9366" s="19" t="s">
        <v>36007</v>
      </c>
      <c r="G9366" s="18" t="str">
        <f>"27944"</f>
        <v>27944</v>
      </c>
      <c r="H9366" s="19" t="s">
        <v>36644</v>
      </c>
      <c r="I9366" s="20">
        <v>17.795000000000002</v>
      </c>
      <c r="J9366" s="44" t="s">
        <v>8</v>
      </c>
      <c r="K9366" s="23" t="s">
        <v>8</v>
      </c>
      <c r="L9366" s="23" t="s">
        <v>8</v>
      </c>
      <c r="M9366" s="23" t="s">
        <v>8</v>
      </c>
    </row>
    <row r="9367" spans="1:13" s="21" customFormat="1" x14ac:dyDescent="0.25">
      <c r="A9367" s="22" t="s">
        <v>8</v>
      </c>
      <c r="B9367" s="18" t="str">
        <f>"345263"</f>
        <v>345263</v>
      </c>
      <c r="C9367" s="19" t="s">
        <v>9234</v>
      </c>
      <c r="D9367" s="19" t="s">
        <v>24779</v>
      </c>
      <c r="E9367" s="19" t="s">
        <v>5</v>
      </c>
      <c r="F9367" s="19" t="s">
        <v>36007</v>
      </c>
      <c r="G9367" s="18" t="str">
        <f>"28734"</f>
        <v>28734</v>
      </c>
      <c r="H9367" s="19" t="s">
        <v>31733</v>
      </c>
      <c r="I9367" s="20">
        <v>19.605</v>
      </c>
      <c r="J9367" s="44" t="s">
        <v>8</v>
      </c>
      <c r="K9367" s="23" t="s">
        <v>8</v>
      </c>
      <c r="L9367" s="23" t="s">
        <v>8</v>
      </c>
      <c r="M9367" s="23" t="s">
        <v>8</v>
      </c>
    </row>
    <row r="9368" spans="1:13" s="21" customFormat="1" x14ac:dyDescent="0.25">
      <c r="A9368" s="22" t="s">
        <v>8</v>
      </c>
      <c r="B9368" s="18" t="str">
        <f>"345264"</f>
        <v>345264</v>
      </c>
      <c r="C9368" s="19" t="s">
        <v>9235</v>
      </c>
      <c r="D9368" s="19" t="s">
        <v>24780</v>
      </c>
      <c r="E9368" s="19" t="s">
        <v>34299</v>
      </c>
      <c r="F9368" s="19" t="s">
        <v>36007</v>
      </c>
      <c r="G9368" s="18" t="str">
        <f>"28164"</f>
        <v>28164</v>
      </c>
      <c r="H9368" s="19" t="s">
        <v>36629</v>
      </c>
      <c r="I9368" s="20">
        <v>17.132999999999999</v>
      </c>
      <c r="J9368" s="44" t="s">
        <v>8</v>
      </c>
      <c r="K9368" s="23" t="s">
        <v>8</v>
      </c>
      <c r="L9368" s="23" t="s">
        <v>8</v>
      </c>
      <c r="M9368" s="23" t="s">
        <v>8</v>
      </c>
    </row>
    <row r="9369" spans="1:13" s="21" customFormat="1" x14ac:dyDescent="0.25">
      <c r="A9369" s="22" t="s">
        <v>8</v>
      </c>
      <c r="B9369" s="18" t="str">
        <f>"345265"</f>
        <v>345265</v>
      </c>
      <c r="C9369" s="19" t="s">
        <v>9236</v>
      </c>
      <c r="D9369" s="19" t="s">
        <v>24781</v>
      </c>
      <c r="E9369" s="19" t="s">
        <v>34300</v>
      </c>
      <c r="F9369" s="19" t="s">
        <v>36007</v>
      </c>
      <c r="G9369" s="18" t="str">
        <f>"27379"</f>
        <v>27379</v>
      </c>
      <c r="H9369" s="19" t="s">
        <v>36645</v>
      </c>
      <c r="I9369" s="20">
        <v>18.881</v>
      </c>
      <c r="J9369" s="44" t="s">
        <v>8</v>
      </c>
      <c r="K9369" s="23" t="s">
        <v>8</v>
      </c>
      <c r="L9369" s="23" t="s">
        <v>8</v>
      </c>
      <c r="M9369" s="23" t="s">
        <v>8</v>
      </c>
    </row>
    <row r="9370" spans="1:13" s="21" customFormat="1" x14ac:dyDescent="0.25">
      <c r="A9370" s="22" t="s">
        <v>8</v>
      </c>
      <c r="B9370" s="18" t="str">
        <f>"345266"</f>
        <v>345266</v>
      </c>
      <c r="C9370" s="19" t="s">
        <v>9237</v>
      </c>
      <c r="D9370" s="19" t="s">
        <v>24782</v>
      </c>
      <c r="E9370" s="19" t="s">
        <v>31465</v>
      </c>
      <c r="F9370" s="19" t="s">
        <v>36007</v>
      </c>
      <c r="G9370" s="18" t="str">
        <f>"27962"</f>
        <v>27962</v>
      </c>
      <c r="H9370" s="19" t="s">
        <v>31500</v>
      </c>
      <c r="I9370" s="20">
        <v>16.167000000000002</v>
      </c>
      <c r="J9370" s="44" t="s">
        <v>8</v>
      </c>
      <c r="K9370" s="23" t="s">
        <v>8</v>
      </c>
      <c r="L9370" s="23" t="s">
        <v>8</v>
      </c>
      <c r="M9370" s="23" t="s">
        <v>8</v>
      </c>
    </row>
    <row r="9371" spans="1:13" s="21" customFormat="1" x14ac:dyDescent="0.25">
      <c r="A9371" s="22" t="s">
        <v>8</v>
      </c>
      <c r="B9371" s="18" t="str">
        <f>"345267"</f>
        <v>345267</v>
      </c>
      <c r="C9371" s="19" t="s">
        <v>9238</v>
      </c>
      <c r="D9371" s="19" t="s">
        <v>24783</v>
      </c>
      <c r="E9371" s="19" t="s">
        <v>32698</v>
      </c>
      <c r="F9371" s="19" t="s">
        <v>36007</v>
      </c>
      <c r="G9371" s="18" t="str">
        <f>"28337"</f>
        <v>28337</v>
      </c>
      <c r="H9371" s="19" t="s">
        <v>36640</v>
      </c>
      <c r="I9371" s="20">
        <v>18.690000000000001</v>
      </c>
      <c r="J9371" s="44" t="s">
        <v>8</v>
      </c>
      <c r="K9371" s="23" t="s">
        <v>8</v>
      </c>
      <c r="L9371" s="23" t="s">
        <v>8</v>
      </c>
      <c r="M9371" s="23" t="s">
        <v>8</v>
      </c>
    </row>
    <row r="9372" spans="1:13" s="21" customFormat="1" x14ac:dyDescent="0.25">
      <c r="A9372" s="22" t="s">
        <v>8</v>
      </c>
      <c r="B9372" s="18" t="str">
        <f>"345268"</f>
        <v>345268</v>
      </c>
      <c r="C9372" s="19" t="s">
        <v>9239</v>
      </c>
      <c r="D9372" s="19" t="s">
        <v>24784</v>
      </c>
      <c r="E9372" s="19" t="s">
        <v>34301</v>
      </c>
      <c r="F9372" s="19" t="s">
        <v>36007</v>
      </c>
      <c r="G9372" s="18" t="str">
        <f>"28103"</f>
        <v>28103</v>
      </c>
      <c r="H9372" s="19" t="s">
        <v>33554</v>
      </c>
      <c r="I9372" s="20">
        <v>20.574000000000002</v>
      </c>
      <c r="J9372" s="44" t="s">
        <v>8</v>
      </c>
      <c r="K9372" s="23" t="s">
        <v>8</v>
      </c>
      <c r="L9372" s="23" t="s">
        <v>8</v>
      </c>
      <c r="M9372" s="23" t="s">
        <v>8</v>
      </c>
    </row>
    <row r="9373" spans="1:13" s="21" customFormat="1" x14ac:dyDescent="0.25">
      <c r="A9373" s="22" t="s">
        <v>8</v>
      </c>
      <c r="B9373" s="18" t="str">
        <f>"345269"</f>
        <v>345269</v>
      </c>
      <c r="C9373" s="19" t="s">
        <v>9240</v>
      </c>
      <c r="D9373" s="19" t="s">
        <v>24785</v>
      </c>
      <c r="E9373" s="19" t="s">
        <v>31440</v>
      </c>
      <c r="F9373" s="19" t="s">
        <v>36007</v>
      </c>
      <c r="G9373" s="18" t="str">
        <f>"28146"</f>
        <v>28146</v>
      </c>
      <c r="H9373" s="19" t="s">
        <v>36326</v>
      </c>
      <c r="I9373" s="20">
        <v>20.34</v>
      </c>
      <c r="J9373" s="44" t="s">
        <v>8</v>
      </c>
      <c r="K9373" s="23" t="s">
        <v>8</v>
      </c>
      <c r="L9373" s="23" t="s">
        <v>8</v>
      </c>
      <c r="M9373" s="23" t="s">
        <v>8</v>
      </c>
    </row>
    <row r="9374" spans="1:13" s="21" customFormat="1" x14ac:dyDescent="0.25">
      <c r="A9374" s="22" t="s">
        <v>8</v>
      </c>
      <c r="B9374" s="18" t="str">
        <f>"345270"</f>
        <v>345270</v>
      </c>
      <c r="C9374" s="19" t="s">
        <v>9241</v>
      </c>
      <c r="D9374" s="19" t="s">
        <v>24786</v>
      </c>
      <c r="E9374" s="19" t="s">
        <v>34302</v>
      </c>
      <c r="F9374" s="19" t="s">
        <v>36007</v>
      </c>
      <c r="G9374" s="18" t="str">
        <f>"28777"</f>
        <v>28777</v>
      </c>
      <c r="H9374" s="19" t="s">
        <v>32259</v>
      </c>
      <c r="I9374" s="20">
        <v>17.032</v>
      </c>
      <c r="J9374" s="44" t="s">
        <v>8</v>
      </c>
      <c r="K9374" s="23" t="s">
        <v>8</v>
      </c>
      <c r="L9374" s="23" t="s">
        <v>8</v>
      </c>
      <c r="M9374" s="23" t="s">
        <v>8</v>
      </c>
    </row>
    <row r="9375" spans="1:13" s="21" customFormat="1" x14ac:dyDescent="0.25">
      <c r="A9375" s="22" t="s">
        <v>8</v>
      </c>
      <c r="B9375" s="18" t="str">
        <f>"345273"</f>
        <v>345273</v>
      </c>
      <c r="C9375" s="19" t="s">
        <v>9242</v>
      </c>
      <c r="D9375" s="19" t="s">
        <v>24787</v>
      </c>
      <c r="E9375" s="19" t="s">
        <v>30811</v>
      </c>
      <c r="F9375" s="19" t="s">
        <v>36007</v>
      </c>
      <c r="G9375" s="18" t="str">
        <f>"27406"</f>
        <v>27406</v>
      </c>
      <c r="H9375" s="19" t="s">
        <v>31417</v>
      </c>
      <c r="I9375" s="20">
        <v>17.785</v>
      </c>
      <c r="J9375" s="44" t="s">
        <v>8</v>
      </c>
      <c r="K9375" s="23" t="s">
        <v>8</v>
      </c>
      <c r="L9375" s="23" t="s">
        <v>8</v>
      </c>
      <c r="M9375" s="23" t="s">
        <v>8</v>
      </c>
    </row>
    <row r="9376" spans="1:13" s="21" customFormat="1" x14ac:dyDescent="0.25">
      <c r="A9376" s="22" t="s">
        <v>8</v>
      </c>
      <c r="B9376" s="18" t="str">
        <f>"345277"</f>
        <v>345277</v>
      </c>
      <c r="C9376" s="19" t="s">
        <v>9243</v>
      </c>
      <c r="D9376" s="19" t="s">
        <v>24788</v>
      </c>
      <c r="E9376" s="19" t="s">
        <v>34241</v>
      </c>
      <c r="F9376" s="19" t="s">
        <v>36007</v>
      </c>
      <c r="G9376" s="18" t="str">
        <f>"27203"</f>
        <v>27203</v>
      </c>
      <c r="H9376" s="19" t="s">
        <v>33068</v>
      </c>
      <c r="I9376" s="20">
        <v>17.986999999999998</v>
      </c>
      <c r="J9376" s="44" t="s">
        <v>8</v>
      </c>
      <c r="K9376" s="23" t="s">
        <v>8</v>
      </c>
      <c r="L9376" s="23" t="s">
        <v>8</v>
      </c>
      <c r="M9376" s="23" t="s">
        <v>8</v>
      </c>
    </row>
    <row r="9377" spans="1:13" s="21" customFormat="1" x14ac:dyDescent="0.25">
      <c r="A9377" s="22" t="s">
        <v>8</v>
      </c>
      <c r="B9377" s="18" t="str">
        <f>"345278"</f>
        <v>345278</v>
      </c>
      <c r="C9377" s="19" t="s">
        <v>9244</v>
      </c>
      <c r="D9377" s="19" t="s">
        <v>24789</v>
      </c>
      <c r="E9377" s="19" t="s">
        <v>32982</v>
      </c>
      <c r="F9377" s="19" t="s">
        <v>36007</v>
      </c>
      <c r="G9377" s="18" t="str">
        <f>"27030"</f>
        <v>27030</v>
      </c>
      <c r="H9377" s="19" t="s">
        <v>36621</v>
      </c>
      <c r="I9377" s="20">
        <v>18.669</v>
      </c>
      <c r="J9377" s="44" t="s">
        <v>8</v>
      </c>
      <c r="K9377" s="23" t="s">
        <v>8</v>
      </c>
      <c r="L9377" s="23" t="s">
        <v>8</v>
      </c>
      <c r="M9377" s="23" t="s">
        <v>8</v>
      </c>
    </row>
    <row r="9378" spans="1:13" s="21" customFormat="1" x14ac:dyDescent="0.25">
      <c r="A9378" s="22" t="s">
        <v>8</v>
      </c>
      <c r="B9378" s="18" t="str">
        <f>"345279"</f>
        <v>345279</v>
      </c>
      <c r="C9378" s="19" t="s">
        <v>9245</v>
      </c>
      <c r="D9378" s="19" t="s">
        <v>24790</v>
      </c>
      <c r="E9378" s="19" t="s">
        <v>34264</v>
      </c>
      <c r="F9378" s="19" t="s">
        <v>36007</v>
      </c>
      <c r="G9378" s="18" t="str">
        <f>"27804"</f>
        <v>27804</v>
      </c>
      <c r="H9378" s="19" t="s">
        <v>36627</v>
      </c>
      <c r="I9378" s="20">
        <v>22.344000000000001</v>
      </c>
      <c r="J9378" s="44" t="s">
        <v>8</v>
      </c>
      <c r="K9378" s="23" t="s">
        <v>8</v>
      </c>
      <c r="L9378" s="23" t="s">
        <v>8</v>
      </c>
      <c r="M9378" s="23" t="s">
        <v>8</v>
      </c>
    </row>
    <row r="9379" spans="1:13" s="21" customFormat="1" x14ac:dyDescent="0.25">
      <c r="A9379" s="22" t="s">
        <v>8</v>
      </c>
      <c r="B9379" s="18" t="str">
        <f>"345280"</f>
        <v>345280</v>
      </c>
      <c r="C9379" s="19" t="s">
        <v>9246</v>
      </c>
      <c r="D9379" s="19" t="s">
        <v>24791</v>
      </c>
      <c r="E9379" s="19" t="s">
        <v>34303</v>
      </c>
      <c r="F9379" s="19" t="s">
        <v>36007</v>
      </c>
      <c r="G9379" s="18" t="str">
        <f>"28376"</f>
        <v>28376</v>
      </c>
      <c r="H9379" s="19" t="s">
        <v>36646</v>
      </c>
      <c r="I9379" s="20">
        <v>21.852</v>
      </c>
      <c r="J9379" s="44" t="s">
        <v>8</v>
      </c>
      <c r="K9379" s="23" t="s">
        <v>8</v>
      </c>
      <c r="L9379" s="23" t="s">
        <v>8</v>
      </c>
      <c r="M9379" s="23" t="s">
        <v>8</v>
      </c>
    </row>
    <row r="9380" spans="1:13" s="21" customFormat="1" x14ac:dyDescent="0.25">
      <c r="A9380" s="22" t="s">
        <v>8</v>
      </c>
      <c r="B9380" s="18" t="str">
        <f>"345281"</f>
        <v>345281</v>
      </c>
      <c r="C9380" s="19" t="s">
        <v>9247</v>
      </c>
      <c r="D9380" s="19" t="s">
        <v>24792</v>
      </c>
      <c r="E9380" s="19" t="s">
        <v>34256</v>
      </c>
      <c r="F9380" s="19" t="s">
        <v>36007</v>
      </c>
      <c r="G9380" s="18" t="str">
        <f>"28001"</f>
        <v>28001</v>
      </c>
      <c r="H9380" s="19" t="s">
        <v>36624</v>
      </c>
      <c r="I9380" s="20">
        <v>20.048999999999999</v>
      </c>
      <c r="J9380" s="44" t="s">
        <v>8</v>
      </c>
      <c r="K9380" s="23" t="s">
        <v>8</v>
      </c>
      <c r="L9380" s="23" t="s">
        <v>8</v>
      </c>
      <c r="M9380" s="23" t="s">
        <v>8</v>
      </c>
    </row>
    <row r="9381" spans="1:13" s="21" customFormat="1" x14ac:dyDescent="0.25">
      <c r="A9381" s="22" t="s">
        <v>8</v>
      </c>
      <c r="B9381" s="18" t="str">
        <f>"345282"</f>
        <v>345282</v>
      </c>
      <c r="C9381" s="19" t="s">
        <v>9248</v>
      </c>
      <c r="D9381" s="19" t="s">
        <v>24793</v>
      </c>
      <c r="E9381" s="19" t="s">
        <v>33565</v>
      </c>
      <c r="F9381" s="19" t="s">
        <v>36007</v>
      </c>
      <c r="G9381" s="18" t="str">
        <f>"28150"</f>
        <v>28150</v>
      </c>
      <c r="H9381" s="19" t="s">
        <v>31810</v>
      </c>
      <c r="I9381" s="20">
        <v>16.670000000000002</v>
      </c>
      <c r="J9381" s="44" t="s">
        <v>8</v>
      </c>
      <c r="K9381" s="23" t="s">
        <v>8</v>
      </c>
      <c r="L9381" s="23" t="s">
        <v>8</v>
      </c>
      <c r="M9381" s="23" t="s">
        <v>8</v>
      </c>
    </row>
    <row r="9382" spans="1:13" s="21" customFormat="1" x14ac:dyDescent="0.25">
      <c r="A9382" s="22" t="s">
        <v>8</v>
      </c>
      <c r="B9382" s="18" t="str">
        <f>"345283"</f>
        <v>345283</v>
      </c>
      <c r="C9382" s="19" t="s">
        <v>9249</v>
      </c>
      <c r="D9382" s="19" t="s">
        <v>24794</v>
      </c>
      <c r="E9382" s="19" t="s">
        <v>32297</v>
      </c>
      <c r="F9382" s="19" t="s">
        <v>36007</v>
      </c>
      <c r="G9382" s="18" t="str">
        <f>"28115"</f>
        <v>28115</v>
      </c>
      <c r="H9382" s="19" t="s">
        <v>36625</v>
      </c>
      <c r="I9382" s="20">
        <v>21.913</v>
      </c>
      <c r="J9382" s="44" t="s">
        <v>8</v>
      </c>
      <c r="K9382" s="23" t="s">
        <v>8</v>
      </c>
      <c r="L9382" s="23" t="s">
        <v>8</v>
      </c>
      <c r="M9382" s="23" t="s">
        <v>8</v>
      </c>
    </row>
    <row r="9383" spans="1:13" s="21" customFormat="1" x14ac:dyDescent="0.25">
      <c r="A9383" s="22" t="s">
        <v>8</v>
      </c>
      <c r="B9383" s="18" t="str">
        <f>"345284"</f>
        <v>345284</v>
      </c>
      <c r="C9383" s="19" t="s">
        <v>9250</v>
      </c>
      <c r="D9383" s="19" t="s">
        <v>24795</v>
      </c>
      <c r="E9383" s="19" t="s">
        <v>34304</v>
      </c>
      <c r="F9383" s="19" t="s">
        <v>36007</v>
      </c>
      <c r="G9383" s="18" t="str">
        <f>"27103"</f>
        <v>27103</v>
      </c>
      <c r="H9383" s="19" t="s">
        <v>31754</v>
      </c>
      <c r="I9383" s="20">
        <v>17.739999999999998</v>
      </c>
      <c r="J9383" s="44" t="s">
        <v>8</v>
      </c>
      <c r="K9383" s="23" t="s">
        <v>8</v>
      </c>
      <c r="L9383" s="23" t="s">
        <v>8</v>
      </c>
      <c r="M9383" s="23" t="s">
        <v>8</v>
      </c>
    </row>
    <row r="9384" spans="1:13" s="21" customFormat="1" x14ac:dyDescent="0.25">
      <c r="A9384" s="22" t="s">
        <v>8</v>
      </c>
      <c r="B9384" s="18" t="str">
        <f>"345285"</f>
        <v>345285</v>
      </c>
      <c r="C9384" s="19" t="s">
        <v>9251</v>
      </c>
      <c r="D9384" s="19" t="s">
        <v>24796</v>
      </c>
      <c r="E9384" s="19" t="s">
        <v>34258</v>
      </c>
      <c r="F9384" s="19" t="s">
        <v>36007</v>
      </c>
      <c r="G9384" s="18" t="str">
        <f>"28739"</f>
        <v>28739</v>
      </c>
      <c r="H9384" s="19" t="s">
        <v>32699</v>
      </c>
      <c r="I9384" s="20">
        <v>17.193000000000001</v>
      </c>
      <c r="J9384" s="44" t="s">
        <v>8</v>
      </c>
      <c r="K9384" s="23" t="s">
        <v>8</v>
      </c>
      <c r="L9384" s="23" t="s">
        <v>8</v>
      </c>
      <c r="M9384" s="23" t="s">
        <v>8</v>
      </c>
    </row>
    <row r="9385" spans="1:13" s="21" customFormat="1" x14ac:dyDescent="0.25">
      <c r="A9385" s="22" t="s">
        <v>8</v>
      </c>
      <c r="B9385" s="18" t="str">
        <f>"345286"</f>
        <v>345286</v>
      </c>
      <c r="C9385" s="19" t="s">
        <v>5560</v>
      </c>
      <c r="D9385" s="19" t="s">
        <v>24797</v>
      </c>
      <c r="E9385" s="19" t="s">
        <v>31440</v>
      </c>
      <c r="F9385" s="19" t="s">
        <v>36007</v>
      </c>
      <c r="G9385" s="18" t="str">
        <f>"28147"</f>
        <v>28147</v>
      </c>
      <c r="H9385" s="19" t="s">
        <v>36326</v>
      </c>
      <c r="I9385" s="20">
        <v>18.536000000000001</v>
      </c>
      <c r="J9385" s="44" t="s">
        <v>8</v>
      </c>
      <c r="K9385" s="23" t="s">
        <v>8</v>
      </c>
      <c r="L9385" s="23" t="s">
        <v>8</v>
      </c>
      <c r="M9385" s="23" t="s">
        <v>8</v>
      </c>
    </row>
    <row r="9386" spans="1:13" s="21" customFormat="1" x14ac:dyDescent="0.25">
      <c r="A9386" s="22" t="s">
        <v>8</v>
      </c>
      <c r="B9386" s="18" t="str">
        <f>"345288"</f>
        <v>345288</v>
      </c>
      <c r="C9386" s="19" t="s">
        <v>9252</v>
      </c>
      <c r="D9386" s="19" t="s">
        <v>24798</v>
      </c>
      <c r="E9386" s="19" t="s">
        <v>32314</v>
      </c>
      <c r="F9386" s="19" t="s">
        <v>36007</v>
      </c>
      <c r="G9386" s="18" t="str">
        <f>"28159"</f>
        <v>28159</v>
      </c>
      <c r="H9386" s="19" t="s">
        <v>36326</v>
      </c>
      <c r="I9386" s="20">
        <v>18.315999999999999</v>
      </c>
      <c r="J9386" s="44" t="s">
        <v>8</v>
      </c>
      <c r="K9386" s="23" t="s">
        <v>8</v>
      </c>
      <c r="L9386" s="23" t="s">
        <v>8</v>
      </c>
      <c r="M9386" s="23" t="s">
        <v>8</v>
      </c>
    </row>
    <row r="9387" spans="1:13" s="21" customFormat="1" x14ac:dyDescent="0.25">
      <c r="A9387" s="22" t="s">
        <v>8</v>
      </c>
      <c r="B9387" s="18" t="str">
        <f>"345289"</f>
        <v>345289</v>
      </c>
      <c r="C9387" s="19" t="s">
        <v>9253</v>
      </c>
      <c r="D9387" s="19" t="s">
        <v>24799</v>
      </c>
      <c r="E9387" s="19" t="s">
        <v>34305</v>
      </c>
      <c r="F9387" s="19" t="s">
        <v>36007</v>
      </c>
      <c r="G9387" s="18" t="str">
        <f>"27917"</f>
        <v>27917</v>
      </c>
      <c r="H9387" s="19" t="s">
        <v>36647</v>
      </c>
      <c r="I9387" s="20">
        <v>18.684999999999999</v>
      </c>
      <c r="J9387" s="44" t="s">
        <v>8</v>
      </c>
      <c r="K9387" s="23" t="s">
        <v>8</v>
      </c>
      <c r="L9387" s="23" t="s">
        <v>8</v>
      </c>
      <c r="M9387" s="23" t="s">
        <v>8</v>
      </c>
    </row>
    <row r="9388" spans="1:13" s="21" customFormat="1" x14ac:dyDescent="0.25">
      <c r="A9388" s="22" t="s">
        <v>8</v>
      </c>
      <c r="B9388" s="18" t="str">
        <f>"345291"</f>
        <v>345291</v>
      </c>
      <c r="C9388" s="19" t="s">
        <v>9254</v>
      </c>
      <c r="D9388" s="19" t="s">
        <v>24800</v>
      </c>
      <c r="E9388" s="19" t="s">
        <v>30861</v>
      </c>
      <c r="F9388" s="19" t="s">
        <v>36007</v>
      </c>
      <c r="G9388" s="18" t="str">
        <f>"27565"</f>
        <v>27565</v>
      </c>
      <c r="H9388" s="19" t="s">
        <v>34107</v>
      </c>
      <c r="I9388" s="20">
        <v>21.045000000000002</v>
      </c>
      <c r="J9388" s="44" t="s">
        <v>8</v>
      </c>
      <c r="K9388" s="23" t="s">
        <v>8</v>
      </c>
      <c r="L9388" s="23" t="s">
        <v>8</v>
      </c>
      <c r="M9388" s="23" t="s">
        <v>8</v>
      </c>
    </row>
    <row r="9389" spans="1:13" s="21" customFormat="1" x14ac:dyDescent="0.25">
      <c r="A9389" s="22" t="s">
        <v>8</v>
      </c>
      <c r="B9389" s="18" t="str">
        <f>"345292"</f>
        <v>345292</v>
      </c>
      <c r="C9389" s="19" t="s">
        <v>9255</v>
      </c>
      <c r="D9389" s="19" t="s">
        <v>24801</v>
      </c>
      <c r="E9389" s="19" t="s">
        <v>34306</v>
      </c>
      <c r="F9389" s="19" t="s">
        <v>36007</v>
      </c>
      <c r="G9389" s="18" t="str">
        <f>"28529"</f>
        <v>28529</v>
      </c>
      <c r="H9389" s="19" t="s">
        <v>36648</v>
      </c>
      <c r="I9389" s="20">
        <v>18.689</v>
      </c>
      <c r="J9389" s="44" t="s">
        <v>8</v>
      </c>
      <c r="K9389" s="23" t="s">
        <v>8</v>
      </c>
      <c r="L9389" s="23" t="s">
        <v>8</v>
      </c>
      <c r="M9389" s="23" t="s">
        <v>8</v>
      </c>
    </row>
    <row r="9390" spans="1:13" s="21" customFormat="1" x14ac:dyDescent="0.25">
      <c r="A9390" s="22" t="s">
        <v>8</v>
      </c>
      <c r="B9390" s="18" t="str">
        <f>"345293"</f>
        <v>345293</v>
      </c>
      <c r="C9390" s="19" t="s">
        <v>9256</v>
      </c>
      <c r="D9390" s="19" t="s">
        <v>24802</v>
      </c>
      <c r="E9390" s="19" t="s">
        <v>34307</v>
      </c>
      <c r="F9390" s="19" t="s">
        <v>36007</v>
      </c>
      <c r="G9390" s="18" t="str">
        <f>"28345"</f>
        <v>28345</v>
      </c>
      <c r="H9390" s="19" t="s">
        <v>31178</v>
      </c>
      <c r="I9390" s="20">
        <v>21.916</v>
      </c>
      <c r="J9390" s="44" t="s">
        <v>8</v>
      </c>
      <c r="K9390" s="23" t="s">
        <v>8</v>
      </c>
      <c r="L9390" s="23" t="s">
        <v>8</v>
      </c>
      <c r="M9390" s="23" t="s">
        <v>8</v>
      </c>
    </row>
    <row r="9391" spans="1:13" s="21" customFormat="1" x14ac:dyDescent="0.25">
      <c r="A9391" s="22" t="s">
        <v>8</v>
      </c>
      <c r="B9391" s="18" t="str">
        <f>"345294"</f>
        <v>345294</v>
      </c>
      <c r="C9391" s="19" t="s">
        <v>9257</v>
      </c>
      <c r="D9391" s="19" t="s">
        <v>24803</v>
      </c>
      <c r="E9391" s="19" t="s">
        <v>34308</v>
      </c>
      <c r="F9391" s="19" t="s">
        <v>36007</v>
      </c>
      <c r="G9391" s="18" t="str">
        <f>"28459"</f>
        <v>28459</v>
      </c>
      <c r="H9391" s="19" t="s">
        <v>31794</v>
      </c>
      <c r="I9391" s="20">
        <v>22.161999999999999</v>
      </c>
      <c r="J9391" s="44" t="s">
        <v>8</v>
      </c>
      <c r="K9391" s="23" t="s">
        <v>8</v>
      </c>
      <c r="L9391" s="23" t="s">
        <v>8</v>
      </c>
      <c r="M9391" s="23" t="s">
        <v>8</v>
      </c>
    </row>
    <row r="9392" spans="1:13" s="21" customFormat="1" x14ac:dyDescent="0.25">
      <c r="A9392" s="22" t="s">
        <v>8</v>
      </c>
      <c r="B9392" s="18" t="str">
        <f>"345296"</f>
        <v>345296</v>
      </c>
      <c r="C9392" s="19" t="s">
        <v>9258</v>
      </c>
      <c r="D9392" s="19" t="s">
        <v>24804</v>
      </c>
      <c r="E9392" s="19" t="s">
        <v>32391</v>
      </c>
      <c r="F9392" s="19" t="s">
        <v>36007</v>
      </c>
      <c r="G9392" s="18" t="str">
        <f>"28640"</f>
        <v>28640</v>
      </c>
      <c r="H9392" s="19" t="s">
        <v>36649</v>
      </c>
      <c r="I9392" s="20">
        <v>14.705</v>
      </c>
      <c r="J9392" s="44" t="s">
        <v>8</v>
      </c>
      <c r="K9392" s="23" t="s">
        <v>8</v>
      </c>
      <c r="L9392" s="23" t="s">
        <v>8</v>
      </c>
      <c r="M9392" s="23" t="s">
        <v>8</v>
      </c>
    </row>
    <row r="9393" spans="1:13" s="21" customFormat="1" x14ac:dyDescent="0.25">
      <c r="A9393" s="22" t="s">
        <v>8</v>
      </c>
      <c r="B9393" s="18" t="str">
        <f>"345297"</f>
        <v>345297</v>
      </c>
      <c r="C9393" s="19" t="s">
        <v>9259</v>
      </c>
      <c r="D9393" s="19" t="s">
        <v>24805</v>
      </c>
      <c r="E9393" s="19" t="s">
        <v>34309</v>
      </c>
      <c r="F9393" s="19" t="s">
        <v>36007</v>
      </c>
      <c r="G9393" s="18" t="str">
        <f>"28352"</f>
        <v>28352</v>
      </c>
      <c r="H9393" s="19" t="s">
        <v>35122</v>
      </c>
      <c r="I9393" s="20">
        <v>19.693000000000001</v>
      </c>
      <c r="J9393" s="44" t="s">
        <v>8</v>
      </c>
      <c r="K9393" s="23" t="s">
        <v>8</v>
      </c>
      <c r="L9393" s="23" t="s">
        <v>8</v>
      </c>
      <c r="M9393" s="23" t="s">
        <v>8</v>
      </c>
    </row>
    <row r="9394" spans="1:13" s="21" customFormat="1" x14ac:dyDescent="0.25">
      <c r="A9394" s="22" t="s">
        <v>8</v>
      </c>
      <c r="B9394" s="18" t="str">
        <f>"345298"</f>
        <v>345298</v>
      </c>
      <c r="C9394" s="19" t="s">
        <v>9260</v>
      </c>
      <c r="D9394" s="19" t="s">
        <v>24806</v>
      </c>
      <c r="E9394" s="19" t="s">
        <v>34294</v>
      </c>
      <c r="F9394" s="19" t="s">
        <v>36007</v>
      </c>
      <c r="G9394" s="18" t="str">
        <f>"28425"</f>
        <v>28425</v>
      </c>
      <c r="H9394" s="19" t="s">
        <v>33805</v>
      </c>
      <c r="I9394" s="20">
        <v>19.443999999999999</v>
      </c>
      <c r="J9394" s="44" t="s">
        <v>8</v>
      </c>
      <c r="K9394" s="23" t="s">
        <v>8</v>
      </c>
      <c r="L9394" s="23" t="s">
        <v>8</v>
      </c>
      <c r="M9394" s="23" t="s">
        <v>8</v>
      </c>
    </row>
    <row r="9395" spans="1:13" s="21" customFormat="1" x14ac:dyDescent="0.25">
      <c r="A9395" s="22" t="s">
        <v>8</v>
      </c>
      <c r="B9395" s="18" t="str">
        <f>"345301"</f>
        <v>345301</v>
      </c>
      <c r="C9395" s="19" t="s">
        <v>9261</v>
      </c>
      <c r="D9395" s="19" t="s">
        <v>24807</v>
      </c>
      <c r="E9395" s="19" t="s">
        <v>31369</v>
      </c>
      <c r="F9395" s="19" t="s">
        <v>36007</v>
      </c>
      <c r="G9395" s="18" t="str">
        <f>"27217"</f>
        <v>27217</v>
      </c>
      <c r="H9395" s="19" t="s">
        <v>36620</v>
      </c>
      <c r="I9395" s="20">
        <v>18.800999999999998</v>
      </c>
      <c r="J9395" s="44" t="s">
        <v>8</v>
      </c>
      <c r="K9395" s="23" t="s">
        <v>8</v>
      </c>
      <c r="L9395" s="23" t="s">
        <v>8</v>
      </c>
      <c r="M9395" s="23" t="s">
        <v>8</v>
      </c>
    </row>
    <row r="9396" spans="1:13" s="21" customFormat="1" x14ac:dyDescent="0.25">
      <c r="A9396" s="22" t="s">
        <v>8</v>
      </c>
      <c r="B9396" s="18" t="str">
        <f>"345302"</f>
        <v>345302</v>
      </c>
      <c r="C9396" s="19" t="s">
        <v>9262</v>
      </c>
      <c r="D9396" s="19" t="s">
        <v>24808</v>
      </c>
      <c r="E9396" s="19" t="s">
        <v>34310</v>
      </c>
      <c r="F9396" s="19" t="s">
        <v>36007</v>
      </c>
      <c r="G9396" s="18" t="str">
        <f>"28779"</f>
        <v>28779</v>
      </c>
      <c r="H9396" s="19" t="s">
        <v>30816</v>
      </c>
      <c r="I9396" s="20">
        <v>20.631</v>
      </c>
      <c r="J9396" s="44" t="s">
        <v>8</v>
      </c>
      <c r="K9396" s="23" t="s">
        <v>8</v>
      </c>
      <c r="L9396" s="23" t="s">
        <v>8</v>
      </c>
      <c r="M9396" s="23" t="s">
        <v>8</v>
      </c>
    </row>
    <row r="9397" spans="1:13" s="21" customFormat="1" x14ac:dyDescent="0.25">
      <c r="A9397" s="22" t="s">
        <v>8</v>
      </c>
      <c r="B9397" s="18" t="str">
        <f>"345303"</f>
        <v>345303</v>
      </c>
      <c r="C9397" s="19" t="s">
        <v>9263</v>
      </c>
      <c r="D9397" s="19" t="s">
        <v>24809</v>
      </c>
      <c r="E9397" s="19" t="s">
        <v>34240</v>
      </c>
      <c r="F9397" s="19" t="s">
        <v>36007</v>
      </c>
      <c r="G9397" s="18" t="str">
        <f>"28803"</f>
        <v>28803</v>
      </c>
      <c r="H9397" s="19" t="s">
        <v>36612</v>
      </c>
      <c r="I9397" s="20">
        <v>17.742000000000001</v>
      </c>
      <c r="J9397" s="44" t="s">
        <v>8</v>
      </c>
      <c r="K9397" s="23" t="s">
        <v>8</v>
      </c>
      <c r="L9397" s="23" t="s">
        <v>8</v>
      </c>
      <c r="M9397" s="23" t="s">
        <v>8</v>
      </c>
    </row>
    <row r="9398" spans="1:13" s="21" customFormat="1" x14ac:dyDescent="0.25">
      <c r="A9398" s="22" t="s">
        <v>8</v>
      </c>
      <c r="B9398" s="18" t="str">
        <f>"345304"</f>
        <v>345304</v>
      </c>
      <c r="C9398" s="19" t="s">
        <v>9264</v>
      </c>
      <c r="D9398" s="19" t="s">
        <v>24810</v>
      </c>
      <c r="E9398" s="19" t="s">
        <v>33156</v>
      </c>
      <c r="F9398" s="19" t="s">
        <v>36007</v>
      </c>
      <c r="G9398" s="18" t="str">
        <f>"28205"</f>
        <v>28205</v>
      </c>
      <c r="H9398" s="19" t="s">
        <v>36610</v>
      </c>
      <c r="I9398" s="20">
        <v>19.614000000000001</v>
      </c>
      <c r="J9398" s="44" t="s">
        <v>8</v>
      </c>
      <c r="K9398" s="23" t="s">
        <v>8</v>
      </c>
      <c r="L9398" s="23" t="s">
        <v>8</v>
      </c>
      <c r="M9398" s="23" t="s">
        <v>8</v>
      </c>
    </row>
    <row r="9399" spans="1:13" s="21" customFormat="1" x14ac:dyDescent="0.25">
      <c r="A9399" s="22" t="s">
        <v>8</v>
      </c>
      <c r="B9399" s="18" t="str">
        <f>"345305"</f>
        <v>345305</v>
      </c>
      <c r="C9399" s="19" t="s">
        <v>9265</v>
      </c>
      <c r="D9399" s="19" t="s">
        <v>24811</v>
      </c>
      <c r="E9399" s="19" t="s">
        <v>33340</v>
      </c>
      <c r="F9399" s="19" t="s">
        <v>36007</v>
      </c>
      <c r="G9399" s="18" t="str">
        <f>"28714"</f>
        <v>28714</v>
      </c>
      <c r="H9399" s="19" t="s">
        <v>36650</v>
      </c>
      <c r="I9399" s="20">
        <v>16.173999999999999</v>
      </c>
      <c r="J9399" s="44" t="s">
        <v>8</v>
      </c>
      <c r="K9399" s="23" t="s">
        <v>8</v>
      </c>
      <c r="L9399" s="23" t="s">
        <v>8</v>
      </c>
      <c r="M9399" s="23" t="s">
        <v>8</v>
      </c>
    </row>
    <row r="9400" spans="1:13" s="21" customFormat="1" x14ac:dyDescent="0.25">
      <c r="A9400" s="22" t="s">
        <v>8</v>
      </c>
      <c r="B9400" s="18" t="str">
        <f>"345306"</f>
        <v>345306</v>
      </c>
      <c r="C9400" s="19" t="s">
        <v>9266</v>
      </c>
      <c r="D9400" s="19" t="s">
        <v>24812</v>
      </c>
      <c r="E9400" s="19" t="s">
        <v>34261</v>
      </c>
      <c r="F9400" s="19" t="s">
        <v>36007</v>
      </c>
      <c r="G9400" s="18" t="str">
        <f>"28677"</f>
        <v>28677</v>
      </c>
      <c r="H9400" s="19" t="s">
        <v>36625</v>
      </c>
      <c r="I9400" s="20">
        <v>19.396999999999998</v>
      </c>
      <c r="J9400" s="44" t="s">
        <v>8</v>
      </c>
      <c r="K9400" s="23" t="s">
        <v>8</v>
      </c>
      <c r="L9400" s="23" t="s">
        <v>8</v>
      </c>
      <c r="M9400" s="23" t="s">
        <v>8</v>
      </c>
    </row>
    <row r="9401" spans="1:13" s="21" customFormat="1" x14ac:dyDescent="0.25">
      <c r="A9401" s="22" t="s">
        <v>8</v>
      </c>
      <c r="B9401" s="18" t="str">
        <f>"345307"</f>
        <v>345307</v>
      </c>
      <c r="C9401" s="19" t="s">
        <v>9267</v>
      </c>
      <c r="D9401" s="19" t="s">
        <v>24813</v>
      </c>
      <c r="E9401" s="19" t="s">
        <v>34271</v>
      </c>
      <c r="F9401" s="19" t="s">
        <v>36007</v>
      </c>
      <c r="G9401" s="18" t="str">
        <f>"28056"</f>
        <v>28056</v>
      </c>
      <c r="H9401" s="19" t="s">
        <v>36629</v>
      </c>
      <c r="I9401" s="20">
        <v>19.663</v>
      </c>
      <c r="J9401" s="44" t="s">
        <v>8</v>
      </c>
      <c r="K9401" s="23" t="s">
        <v>8</v>
      </c>
      <c r="L9401" s="23" t="s">
        <v>8</v>
      </c>
      <c r="M9401" s="23" t="s">
        <v>8</v>
      </c>
    </row>
    <row r="9402" spans="1:13" s="21" customFormat="1" x14ac:dyDescent="0.25">
      <c r="A9402" s="22" t="s">
        <v>8</v>
      </c>
      <c r="B9402" s="18" t="str">
        <f>"345309"</f>
        <v>345309</v>
      </c>
      <c r="C9402" s="19" t="s">
        <v>9268</v>
      </c>
      <c r="D9402" s="19" t="s">
        <v>24814</v>
      </c>
      <c r="E9402" s="19" t="s">
        <v>34311</v>
      </c>
      <c r="F9402" s="19" t="s">
        <v>36007</v>
      </c>
      <c r="G9402" s="18" t="str">
        <f>"27890"</f>
        <v>27890</v>
      </c>
      <c r="H9402" s="19" t="s">
        <v>36622</v>
      </c>
      <c r="I9402" s="20">
        <v>20.629000000000001</v>
      </c>
      <c r="J9402" s="44" t="s">
        <v>8</v>
      </c>
      <c r="K9402" s="23" t="s">
        <v>8</v>
      </c>
      <c r="L9402" s="23" t="s">
        <v>8</v>
      </c>
      <c r="M9402" s="23" t="s">
        <v>8</v>
      </c>
    </row>
    <row r="9403" spans="1:13" s="21" customFormat="1" x14ac:dyDescent="0.25">
      <c r="A9403" s="22" t="s">
        <v>8</v>
      </c>
      <c r="B9403" s="18" t="str">
        <f>"345310"</f>
        <v>345310</v>
      </c>
      <c r="C9403" s="19" t="s">
        <v>9269</v>
      </c>
      <c r="D9403" s="19" t="s">
        <v>24815</v>
      </c>
      <c r="E9403" s="19" t="s">
        <v>30900</v>
      </c>
      <c r="F9403" s="19" t="s">
        <v>36007</v>
      </c>
      <c r="G9403" s="18" t="str">
        <f>"27360"</f>
        <v>27360</v>
      </c>
      <c r="H9403" s="19" t="s">
        <v>36613</v>
      </c>
      <c r="I9403" s="20">
        <v>19.445</v>
      </c>
      <c r="J9403" s="44" t="s">
        <v>8</v>
      </c>
      <c r="K9403" s="23" t="s">
        <v>8</v>
      </c>
      <c r="L9403" s="23" t="s">
        <v>8</v>
      </c>
      <c r="M9403" s="23" t="s">
        <v>8</v>
      </c>
    </row>
    <row r="9404" spans="1:13" s="21" customFormat="1" x14ac:dyDescent="0.25">
      <c r="A9404" s="22" t="s">
        <v>8</v>
      </c>
      <c r="B9404" s="18" t="str">
        <f>"345311"</f>
        <v>345311</v>
      </c>
      <c r="C9404" s="19" t="s">
        <v>9270</v>
      </c>
      <c r="D9404" s="19" t="s">
        <v>24816</v>
      </c>
      <c r="E9404" s="19" t="s">
        <v>34239</v>
      </c>
      <c r="F9404" s="19" t="s">
        <v>36007</v>
      </c>
      <c r="G9404" s="18" t="str">
        <f>"27573"</f>
        <v>27573</v>
      </c>
      <c r="H9404" s="19" t="s">
        <v>36609</v>
      </c>
      <c r="I9404" s="20">
        <v>20.609000000000002</v>
      </c>
      <c r="J9404" s="44" t="s">
        <v>8</v>
      </c>
      <c r="K9404" s="23" t="s">
        <v>8</v>
      </c>
      <c r="L9404" s="23" t="s">
        <v>8</v>
      </c>
      <c r="M9404" s="23" t="s">
        <v>8</v>
      </c>
    </row>
    <row r="9405" spans="1:13" s="21" customFormat="1" x14ac:dyDescent="0.25">
      <c r="A9405" s="22" t="s">
        <v>8</v>
      </c>
      <c r="B9405" s="18" t="str">
        <f>"345312"</f>
        <v>345312</v>
      </c>
      <c r="C9405" s="19" t="s">
        <v>9271</v>
      </c>
      <c r="D9405" s="19" t="s">
        <v>24817</v>
      </c>
      <c r="E9405" s="19" t="s">
        <v>34258</v>
      </c>
      <c r="F9405" s="19" t="s">
        <v>36007</v>
      </c>
      <c r="G9405" s="18" t="str">
        <f>"28791"</f>
        <v>28791</v>
      </c>
      <c r="H9405" s="19" t="s">
        <v>32699</v>
      </c>
      <c r="I9405" s="20">
        <v>18.346</v>
      </c>
      <c r="J9405" s="44" t="s">
        <v>8</v>
      </c>
      <c r="K9405" s="23" t="s">
        <v>8</v>
      </c>
      <c r="L9405" s="23" t="s">
        <v>8</v>
      </c>
      <c r="M9405" s="23" t="s">
        <v>8</v>
      </c>
    </row>
    <row r="9406" spans="1:13" s="21" customFormat="1" x14ac:dyDescent="0.25">
      <c r="A9406" s="22" t="s">
        <v>8</v>
      </c>
      <c r="B9406" s="18" t="str">
        <f>"345313"</f>
        <v>345313</v>
      </c>
      <c r="C9406" s="19" t="s">
        <v>9272</v>
      </c>
      <c r="D9406" s="19" t="s">
        <v>24818</v>
      </c>
      <c r="E9406" s="19" t="s">
        <v>30816</v>
      </c>
      <c r="F9406" s="19" t="s">
        <v>36007</v>
      </c>
      <c r="G9406" s="18" t="str">
        <f>"27845"</f>
        <v>27845</v>
      </c>
      <c r="H9406" s="19" t="s">
        <v>33038</v>
      </c>
      <c r="I9406" s="20">
        <v>25.603000000000002</v>
      </c>
      <c r="J9406" s="44" t="s">
        <v>8</v>
      </c>
      <c r="K9406" s="23" t="s">
        <v>8</v>
      </c>
      <c r="L9406" s="23" t="s">
        <v>8</v>
      </c>
      <c r="M9406" s="23" t="s">
        <v>8</v>
      </c>
    </row>
    <row r="9407" spans="1:13" s="21" customFormat="1" x14ac:dyDescent="0.25">
      <c r="A9407" s="22" t="s">
        <v>8</v>
      </c>
      <c r="B9407" s="18" t="str">
        <f>"345314"</f>
        <v>345314</v>
      </c>
      <c r="C9407" s="19" t="s">
        <v>9273</v>
      </c>
      <c r="D9407" s="19" t="s">
        <v>24819</v>
      </c>
      <c r="E9407" s="19" t="s">
        <v>32382</v>
      </c>
      <c r="F9407" s="19" t="s">
        <v>36007</v>
      </c>
      <c r="G9407" s="18" t="str">
        <f>"28043"</f>
        <v>28043</v>
      </c>
      <c r="H9407" s="19" t="s">
        <v>36618</v>
      </c>
      <c r="I9407" s="20">
        <v>19.699000000000002</v>
      </c>
      <c r="J9407" s="44" t="s">
        <v>8</v>
      </c>
      <c r="K9407" s="23" t="s">
        <v>8</v>
      </c>
      <c r="L9407" s="23" t="s">
        <v>8</v>
      </c>
      <c r="M9407" s="23" t="s">
        <v>8</v>
      </c>
    </row>
    <row r="9408" spans="1:13" s="21" customFormat="1" x14ac:dyDescent="0.25">
      <c r="A9408" s="22" t="s">
        <v>8</v>
      </c>
      <c r="B9408" s="18" t="str">
        <f>"345315"</f>
        <v>345315</v>
      </c>
      <c r="C9408" s="19" t="s">
        <v>9274</v>
      </c>
      <c r="D9408" s="19" t="s">
        <v>24820</v>
      </c>
      <c r="E9408" s="19" t="s">
        <v>33575</v>
      </c>
      <c r="F9408" s="19" t="s">
        <v>36007</v>
      </c>
      <c r="G9408" s="18" t="str">
        <f>"28358"</f>
        <v>28358</v>
      </c>
      <c r="H9408" s="19" t="s">
        <v>36615</v>
      </c>
      <c r="I9408" s="20">
        <v>21.434999999999999</v>
      </c>
      <c r="J9408" s="44" t="s">
        <v>8</v>
      </c>
      <c r="K9408" s="23" t="s">
        <v>8</v>
      </c>
      <c r="L9408" s="23" t="s">
        <v>8</v>
      </c>
      <c r="M9408" s="23" t="s">
        <v>8</v>
      </c>
    </row>
    <row r="9409" spans="1:13" s="21" customFormat="1" x14ac:dyDescent="0.25">
      <c r="A9409" s="22" t="s">
        <v>8</v>
      </c>
      <c r="B9409" s="18" t="str">
        <f>"345316"</f>
        <v>345316</v>
      </c>
      <c r="C9409" s="19" t="s">
        <v>9275</v>
      </c>
      <c r="D9409" s="19" t="s">
        <v>24821</v>
      </c>
      <c r="E9409" s="19" t="s">
        <v>32699</v>
      </c>
      <c r="F9409" s="19" t="s">
        <v>36007</v>
      </c>
      <c r="G9409" s="18" t="str">
        <f>"27536"</f>
        <v>27536</v>
      </c>
      <c r="H9409" s="19" t="s">
        <v>36651</v>
      </c>
      <c r="I9409" s="20">
        <v>19.395</v>
      </c>
      <c r="J9409" s="44" t="s">
        <v>8</v>
      </c>
      <c r="K9409" s="23" t="s">
        <v>8</v>
      </c>
      <c r="L9409" s="23" t="s">
        <v>8</v>
      </c>
      <c r="M9409" s="23" t="s">
        <v>8</v>
      </c>
    </row>
    <row r="9410" spans="1:13" s="21" customFormat="1" x14ac:dyDescent="0.25">
      <c r="A9410" s="22" t="s">
        <v>8</v>
      </c>
      <c r="B9410" s="18" t="str">
        <f>"345317"</f>
        <v>345317</v>
      </c>
      <c r="C9410" s="19" t="s">
        <v>9276</v>
      </c>
      <c r="D9410" s="19" t="s">
        <v>24822</v>
      </c>
      <c r="E9410" s="19" t="s">
        <v>31848</v>
      </c>
      <c r="F9410" s="19" t="s">
        <v>36007</v>
      </c>
      <c r="G9410" s="18" t="str">
        <f>"27520"</f>
        <v>27520</v>
      </c>
      <c r="H9410" s="19" t="s">
        <v>32504</v>
      </c>
      <c r="I9410" s="20">
        <v>14.374000000000001</v>
      </c>
      <c r="J9410" s="44" t="s">
        <v>8</v>
      </c>
      <c r="K9410" s="23" t="s">
        <v>8</v>
      </c>
      <c r="L9410" s="23" t="s">
        <v>8</v>
      </c>
      <c r="M9410" s="23" t="s">
        <v>8</v>
      </c>
    </row>
    <row r="9411" spans="1:13" s="21" customFormat="1" x14ac:dyDescent="0.25">
      <c r="A9411" s="22" t="s">
        <v>8</v>
      </c>
      <c r="B9411" s="18" t="str">
        <f>"345318"</f>
        <v>345318</v>
      </c>
      <c r="C9411" s="19" t="s">
        <v>9277</v>
      </c>
      <c r="D9411" s="19" t="s">
        <v>24823</v>
      </c>
      <c r="E9411" s="19" t="s">
        <v>34312</v>
      </c>
      <c r="F9411" s="19" t="s">
        <v>36007</v>
      </c>
      <c r="G9411" s="18" t="str">
        <f>"28479"</f>
        <v>28479</v>
      </c>
      <c r="H9411" s="19" t="s">
        <v>31794</v>
      </c>
      <c r="I9411" s="20">
        <v>17.152999999999999</v>
      </c>
      <c r="J9411" s="44" t="s">
        <v>8</v>
      </c>
      <c r="K9411" s="23" t="s">
        <v>8</v>
      </c>
      <c r="L9411" s="23" t="s">
        <v>8</v>
      </c>
      <c r="M9411" s="23" t="s">
        <v>8</v>
      </c>
    </row>
    <row r="9412" spans="1:13" s="21" customFormat="1" x14ac:dyDescent="0.25">
      <c r="A9412" s="22" t="s">
        <v>8</v>
      </c>
      <c r="B9412" s="18" t="str">
        <f>"345319"</f>
        <v>345319</v>
      </c>
      <c r="C9412" s="19" t="s">
        <v>9278</v>
      </c>
      <c r="D9412" s="19" t="s">
        <v>24824</v>
      </c>
      <c r="E9412" s="19" t="s">
        <v>31063</v>
      </c>
      <c r="F9412" s="19" t="s">
        <v>36007</v>
      </c>
      <c r="G9412" s="18" t="str">
        <f>"28753"</f>
        <v>28753</v>
      </c>
      <c r="H9412" s="19" t="s">
        <v>30899</v>
      </c>
      <c r="I9412" s="20">
        <v>19.04</v>
      </c>
      <c r="J9412" s="44" t="s">
        <v>8</v>
      </c>
      <c r="K9412" s="23" t="s">
        <v>8</v>
      </c>
      <c r="L9412" s="23" t="s">
        <v>8</v>
      </c>
      <c r="M9412" s="23" t="s">
        <v>8</v>
      </c>
    </row>
    <row r="9413" spans="1:13" s="21" customFormat="1" x14ac:dyDescent="0.25">
      <c r="A9413" s="22" t="s">
        <v>8</v>
      </c>
      <c r="B9413" s="18" t="str">
        <f>"345321"</f>
        <v>345321</v>
      </c>
      <c r="C9413" s="19" t="s">
        <v>9279</v>
      </c>
      <c r="D9413" s="19" t="s">
        <v>24825</v>
      </c>
      <c r="E9413" s="19" t="s">
        <v>32699</v>
      </c>
      <c r="F9413" s="19" t="s">
        <v>36007</v>
      </c>
      <c r="G9413" s="18" t="str">
        <f>"27536"</f>
        <v>27536</v>
      </c>
      <c r="H9413" s="19" t="s">
        <v>36651</v>
      </c>
      <c r="I9413" s="20">
        <v>19.690999999999999</v>
      </c>
      <c r="J9413" s="44" t="s">
        <v>8</v>
      </c>
      <c r="K9413" s="23" t="s">
        <v>8</v>
      </c>
      <c r="L9413" s="23" t="s">
        <v>8</v>
      </c>
      <c r="M9413" s="23" t="s">
        <v>8</v>
      </c>
    </row>
    <row r="9414" spans="1:13" s="21" customFormat="1" x14ac:dyDescent="0.25">
      <c r="A9414" s="22" t="s">
        <v>8</v>
      </c>
      <c r="B9414" s="18" t="str">
        <f>"345322"</f>
        <v>345322</v>
      </c>
      <c r="C9414" s="19" t="s">
        <v>9280</v>
      </c>
      <c r="D9414" s="19" t="s">
        <v>24826</v>
      </c>
      <c r="E9414" s="19" t="s">
        <v>34258</v>
      </c>
      <c r="F9414" s="19" t="s">
        <v>36007</v>
      </c>
      <c r="G9414" s="18" t="str">
        <f>"28792"</f>
        <v>28792</v>
      </c>
      <c r="H9414" s="19" t="s">
        <v>32699</v>
      </c>
      <c r="I9414" s="20">
        <v>17.486999999999998</v>
      </c>
      <c r="J9414" s="44" t="s">
        <v>8</v>
      </c>
      <c r="K9414" s="23" t="s">
        <v>8</v>
      </c>
      <c r="L9414" s="23" t="s">
        <v>8</v>
      </c>
      <c r="M9414" s="23" t="s">
        <v>8</v>
      </c>
    </row>
    <row r="9415" spans="1:13" s="21" customFormat="1" x14ac:dyDescent="0.25">
      <c r="A9415" s="22" t="s">
        <v>8</v>
      </c>
      <c r="B9415" s="18" t="str">
        <f>"345323"</f>
        <v>345323</v>
      </c>
      <c r="C9415" s="19" t="s">
        <v>9281</v>
      </c>
      <c r="D9415" s="19" t="s">
        <v>24827</v>
      </c>
      <c r="E9415" s="19" t="s">
        <v>34313</v>
      </c>
      <c r="F9415" s="19" t="s">
        <v>36007</v>
      </c>
      <c r="G9415" s="18" t="str">
        <f>"28466"</f>
        <v>28466</v>
      </c>
      <c r="H9415" s="19" t="s">
        <v>36628</v>
      </c>
      <c r="I9415" s="20">
        <v>17.088999999999999</v>
      </c>
      <c r="J9415" s="44" t="s">
        <v>8</v>
      </c>
      <c r="K9415" s="23" t="s">
        <v>8</v>
      </c>
      <c r="L9415" s="23" t="s">
        <v>8</v>
      </c>
      <c r="M9415" s="23" t="s">
        <v>8</v>
      </c>
    </row>
    <row r="9416" spans="1:13" s="21" customFormat="1" x14ac:dyDescent="0.25">
      <c r="A9416" s="22" t="s">
        <v>8</v>
      </c>
      <c r="B9416" s="18" t="str">
        <f>"345325"</f>
        <v>345325</v>
      </c>
      <c r="C9416" s="19" t="s">
        <v>9282</v>
      </c>
      <c r="D9416" s="19" t="s">
        <v>24828</v>
      </c>
      <c r="E9416" s="19" t="s">
        <v>34314</v>
      </c>
      <c r="F9416" s="19" t="s">
        <v>36007</v>
      </c>
      <c r="G9416" s="18" t="str">
        <f>"28334"</f>
        <v>28334</v>
      </c>
      <c r="H9416" s="19" t="s">
        <v>36635</v>
      </c>
      <c r="I9416" s="20">
        <v>20.109000000000002</v>
      </c>
      <c r="J9416" s="44" t="s">
        <v>8</v>
      </c>
      <c r="K9416" s="23" t="s">
        <v>8</v>
      </c>
      <c r="L9416" s="23" t="s">
        <v>8</v>
      </c>
      <c r="M9416" s="23" t="s">
        <v>8</v>
      </c>
    </row>
    <row r="9417" spans="1:13" s="21" customFormat="1" x14ac:dyDescent="0.25">
      <c r="A9417" s="22" t="s">
        <v>8</v>
      </c>
      <c r="B9417" s="18" t="str">
        <f>"345326"</f>
        <v>345326</v>
      </c>
      <c r="C9417" s="19" t="s">
        <v>9283</v>
      </c>
      <c r="D9417" s="19" t="s">
        <v>24829</v>
      </c>
      <c r="E9417" s="19" t="s">
        <v>33719</v>
      </c>
      <c r="F9417" s="19" t="s">
        <v>36007</v>
      </c>
      <c r="G9417" s="18" t="str">
        <f>"28105"</f>
        <v>28105</v>
      </c>
      <c r="H9417" s="19" t="s">
        <v>36610</v>
      </c>
      <c r="I9417" s="20">
        <v>18.423999999999999</v>
      </c>
      <c r="J9417" s="44" t="s">
        <v>8</v>
      </c>
      <c r="K9417" s="23" t="s">
        <v>8</v>
      </c>
      <c r="L9417" s="23" t="s">
        <v>8</v>
      </c>
      <c r="M9417" s="23" t="s">
        <v>8</v>
      </c>
    </row>
    <row r="9418" spans="1:13" s="21" customFormat="1" x14ac:dyDescent="0.25">
      <c r="A9418" s="22" t="s">
        <v>8</v>
      </c>
      <c r="B9418" s="18" t="str">
        <f>"345328"</f>
        <v>345328</v>
      </c>
      <c r="C9418" s="19" t="s">
        <v>9284</v>
      </c>
      <c r="D9418" s="19" t="s">
        <v>24830</v>
      </c>
      <c r="E9418" s="19" t="s">
        <v>34240</v>
      </c>
      <c r="F9418" s="19" t="s">
        <v>36007</v>
      </c>
      <c r="G9418" s="18" t="str">
        <f>"28803"</f>
        <v>28803</v>
      </c>
      <c r="H9418" s="19" t="s">
        <v>36612</v>
      </c>
      <c r="I9418" s="20">
        <v>17.943999999999999</v>
      </c>
      <c r="J9418" s="44" t="s">
        <v>8</v>
      </c>
      <c r="K9418" s="23" t="s">
        <v>8</v>
      </c>
      <c r="L9418" s="23" t="s">
        <v>8</v>
      </c>
      <c r="M9418" s="23" t="s">
        <v>8</v>
      </c>
    </row>
    <row r="9419" spans="1:13" s="21" customFormat="1" x14ac:dyDescent="0.25">
      <c r="A9419" s="22" t="s">
        <v>8</v>
      </c>
      <c r="B9419" s="18" t="str">
        <f>"345329"</f>
        <v>345329</v>
      </c>
      <c r="C9419" s="19" t="s">
        <v>9285</v>
      </c>
      <c r="D9419" s="19" t="s">
        <v>24831</v>
      </c>
      <c r="E9419" s="19" t="s">
        <v>34265</v>
      </c>
      <c r="F9419" s="19" t="s">
        <v>36007</v>
      </c>
      <c r="G9419" s="18" t="str">
        <f>"28645"</f>
        <v>28645</v>
      </c>
      <c r="H9419" s="19" t="s">
        <v>31876</v>
      </c>
      <c r="I9419" s="20">
        <v>17.675000000000001</v>
      </c>
      <c r="J9419" s="44" t="s">
        <v>8</v>
      </c>
      <c r="K9419" s="23" t="s">
        <v>8</v>
      </c>
      <c r="L9419" s="23" t="s">
        <v>8</v>
      </c>
      <c r="M9419" s="23" t="s">
        <v>8</v>
      </c>
    </row>
    <row r="9420" spans="1:13" s="21" customFormat="1" x14ac:dyDescent="0.25">
      <c r="A9420" s="22" t="s">
        <v>8</v>
      </c>
      <c r="B9420" s="18" t="str">
        <f>"345330"</f>
        <v>345330</v>
      </c>
      <c r="C9420" s="19" t="s">
        <v>9286</v>
      </c>
      <c r="D9420" s="19" t="s">
        <v>24832</v>
      </c>
      <c r="E9420" s="19" t="s">
        <v>31679</v>
      </c>
      <c r="F9420" s="19" t="s">
        <v>36007</v>
      </c>
      <c r="G9420" s="18" t="str">
        <f>"27370"</f>
        <v>27370</v>
      </c>
      <c r="H9420" s="19" t="s">
        <v>33068</v>
      </c>
      <c r="I9420" s="20">
        <v>16.393999999999998</v>
      </c>
      <c r="J9420" s="44" t="s">
        <v>8</v>
      </c>
      <c r="K9420" s="23" t="s">
        <v>8</v>
      </c>
      <c r="L9420" s="23" t="s">
        <v>8</v>
      </c>
      <c r="M9420" s="23" t="s">
        <v>8</v>
      </c>
    </row>
    <row r="9421" spans="1:13" s="21" customFormat="1" x14ac:dyDescent="0.25">
      <c r="A9421" s="22" t="s">
        <v>8</v>
      </c>
      <c r="B9421" s="18" t="str">
        <f>"345331"</f>
        <v>345331</v>
      </c>
      <c r="C9421" s="19" t="s">
        <v>9287</v>
      </c>
      <c r="D9421" s="19" t="s">
        <v>24833</v>
      </c>
      <c r="E9421" s="19" t="s">
        <v>33156</v>
      </c>
      <c r="F9421" s="19" t="s">
        <v>36007</v>
      </c>
      <c r="G9421" s="18" t="str">
        <f>"28270"</f>
        <v>28270</v>
      </c>
      <c r="H9421" s="19" t="s">
        <v>36610</v>
      </c>
      <c r="I9421" s="20">
        <v>18.129000000000001</v>
      </c>
      <c r="J9421" s="44" t="s">
        <v>8</v>
      </c>
      <c r="K9421" s="23" t="s">
        <v>8</v>
      </c>
      <c r="L9421" s="23" t="s">
        <v>8</v>
      </c>
      <c r="M9421" s="23" t="s">
        <v>8</v>
      </c>
    </row>
    <row r="9422" spans="1:13" s="21" customFormat="1" x14ac:dyDescent="0.25">
      <c r="A9422" s="22" t="s">
        <v>8</v>
      </c>
      <c r="B9422" s="18" t="str">
        <f>"345332"</f>
        <v>345332</v>
      </c>
      <c r="C9422" s="19" t="s">
        <v>9288</v>
      </c>
      <c r="D9422" s="19" t="s">
        <v>24834</v>
      </c>
      <c r="E9422" s="19" t="s">
        <v>32577</v>
      </c>
      <c r="F9422" s="19" t="s">
        <v>36007</v>
      </c>
      <c r="G9422" s="18" t="str">
        <f>"27895"</f>
        <v>27895</v>
      </c>
      <c r="H9422" s="19" t="s">
        <v>32577</v>
      </c>
      <c r="I9422" s="20">
        <v>18.145</v>
      </c>
      <c r="J9422" s="44" t="s">
        <v>8</v>
      </c>
      <c r="K9422" s="23" t="s">
        <v>8</v>
      </c>
      <c r="L9422" s="23" t="s">
        <v>8</v>
      </c>
      <c r="M9422" s="23" t="s">
        <v>8</v>
      </c>
    </row>
    <row r="9423" spans="1:13" s="21" customFormat="1" x14ac:dyDescent="0.25">
      <c r="A9423" s="22" t="s">
        <v>8</v>
      </c>
      <c r="B9423" s="18" t="str">
        <f>"345333"</f>
        <v>345333</v>
      </c>
      <c r="C9423" s="19" t="s">
        <v>9289</v>
      </c>
      <c r="D9423" s="19" t="s">
        <v>24835</v>
      </c>
      <c r="E9423" s="19" t="s">
        <v>32692</v>
      </c>
      <c r="F9423" s="19" t="s">
        <v>36007</v>
      </c>
      <c r="G9423" s="18" t="str">
        <f>"27295"</f>
        <v>27295</v>
      </c>
      <c r="H9423" s="19" t="s">
        <v>36613</v>
      </c>
      <c r="I9423" s="20">
        <v>19.876999999999999</v>
      </c>
      <c r="J9423" s="44" t="s">
        <v>8</v>
      </c>
      <c r="K9423" s="23" t="s">
        <v>8</v>
      </c>
      <c r="L9423" s="23" t="s">
        <v>8</v>
      </c>
      <c r="M9423" s="23" t="s">
        <v>8</v>
      </c>
    </row>
    <row r="9424" spans="1:13" s="21" customFormat="1" x14ac:dyDescent="0.25">
      <c r="A9424" s="22" t="s">
        <v>8</v>
      </c>
      <c r="B9424" s="18" t="str">
        <f>"345335"</f>
        <v>345335</v>
      </c>
      <c r="C9424" s="19" t="s">
        <v>9290</v>
      </c>
      <c r="D9424" s="19" t="s">
        <v>24836</v>
      </c>
      <c r="E9424" s="19" t="s">
        <v>32590</v>
      </c>
      <c r="F9424" s="19" t="s">
        <v>36007</v>
      </c>
      <c r="G9424" s="18" t="str">
        <f>"27549"</f>
        <v>27549</v>
      </c>
      <c r="H9424" s="19" t="s">
        <v>5</v>
      </c>
      <c r="I9424" s="20">
        <v>14.541</v>
      </c>
      <c r="J9424" s="44" t="s">
        <v>8</v>
      </c>
      <c r="K9424" s="23" t="s">
        <v>8</v>
      </c>
      <c r="L9424" s="23" t="s">
        <v>8</v>
      </c>
      <c r="M9424" s="23" t="s">
        <v>8</v>
      </c>
    </row>
    <row r="9425" spans="1:13" s="21" customFormat="1" x14ac:dyDescent="0.25">
      <c r="A9425" s="22" t="s">
        <v>8</v>
      </c>
      <c r="B9425" s="18" t="str">
        <f>"345336"</f>
        <v>345336</v>
      </c>
      <c r="C9425" s="19" t="s">
        <v>9291</v>
      </c>
      <c r="D9425" s="19" t="s">
        <v>24837</v>
      </c>
      <c r="E9425" s="19" t="s">
        <v>34315</v>
      </c>
      <c r="F9425" s="19" t="s">
        <v>36007</v>
      </c>
      <c r="G9425" s="18" t="str">
        <f>"27870"</f>
        <v>27870</v>
      </c>
      <c r="H9425" s="19" t="s">
        <v>36622</v>
      </c>
      <c r="I9425" s="20">
        <v>21.422999999999998</v>
      </c>
      <c r="J9425" s="44" t="s">
        <v>8</v>
      </c>
      <c r="K9425" s="23" t="s">
        <v>8</v>
      </c>
      <c r="L9425" s="23" t="s">
        <v>8</v>
      </c>
      <c r="M9425" s="23" t="s">
        <v>8</v>
      </c>
    </row>
    <row r="9426" spans="1:13" s="21" customFormat="1" x14ac:dyDescent="0.25">
      <c r="A9426" s="22" t="s">
        <v>8</v>
      </c>
      <c r="B9426" s="18" t="str">
        <f>"345337"</f>
        <v>345337</v>
      </c>
      <c r="C9426" s="19" t="s">
        <v>9292</v>
      </c>
      <c r="D9426" s="19" t="s">
        <v>24838</v>
      </c>
      <c r="E9426" s="19" t="s">
        <v>34316</v>
      </c>
      <c r="F9426" s="19" t="s">
        <v>36007</v>
      </c>
      <c r="G9426" s="18" t="str">
        <f>"27253"</f>
        <v>27253</v>
      </c>
      <c r="H9426" s="19" t="s">
        <v>36620</v>
      </c>
      <c r="I9426" s="20">
        <v>16.396000000000001</v>
      </c>
      <c r="J9426" s="44" t="s">
        <v>8</v>
      </c>
      <c r="K9426" s="23" t="s">
        <v>8</v>
      </c>
      <c r="L9426" s="23" t="s">
        <v>8</v>
      </c>
      <c r="M9426" s="23" t="s">
        <v>8</v>
      </c>
    </row>
    <row r="9427" spans="1:13" s="21" customFormat="1" x14ac:dyDescent="0.25">
      <c r="A9427" s="22" t="s">
        <v>8</v>
      </c>
      <c r="B9427" s="18" t="str">
        <f>"345339"</f>
        <v>345339</v>
      </c>
      <c r="C9427" s="19" t="s">
        <v>9293</v>
      </c>
      <c r="D9427" s="19" t="s">
        <v>24839</v>
      </c>
      <c r="E9427" s="19" t="s">
        <v>31367</v>
      </c>
      <c r="F9427" s="19" t="s">
        <v>36007</v>
      </c>
      <c r="G9427" s="18" t="str">
        <f>"27983"</f>
        <v>27983</v>
      </c>
      <c r="H9427" s="19" t="s">
        <v>36652</v>
      </c>
      <c r="I9427" s="20">
        <v>19.431999999999999</v>
      </c>
      <c r="J9427" s="44" t="s">
        <v>8</v>
      </c>
      <c r="K9427" s="23" t="s">
        <v>8</v>
      </c>
      <c r="L9427" s="23" t="s">
        <v>8</v>
      </c>
      <c r="M9427" s="23" t="s">
        <v>8</v>
      </c>
    </row>
    <row r="9428" spans="1:13" s="21" customFormat="1" x14ac:dyDescent="0.25">
      <c r="A9428" s="22" t="s">
        <v>8</v>
      </c>
      <c r="B9428" s="18" t="str">
        <f>"345340"</f>
        <v>345340</v>
      </c>
      <c r="C9428" s="19" t="s">
        <v>9294</v>
      </c>
      <c r="D9428" s="19" t="s">
        <v>24840</v>
      </c>
      <c r="E9428" s="19" t="s">
        <v>34261</v>
      </c>
      <c r="F9428" s="19" t="s">
        <v>36007</v>
      </c>
      <c r="G9428" s="18" t="str">
        <f>"28625"</f>
        <v>28625</v>
      </c>
      <c r="H9428" s="19" t="s">
        <v>36625</v>
      </c>
      <c r="I9428" s="20">
        <v>17.998999999999999</v>
      </c>
      <c r="J9428" s="44" t="s">
        <v>8</v>
      </c>
      <c r="K9428" s="23" t="s">
        <v>8</v>
      </c>
      <c r="L9428" s="23" t="s">
        <v>8</v>
      </c>
      <c r="M9428" s="23" t="s">
        <v>8</v>
      </c>
    </row>
    <row r="9429" spans="1:13" s="21" customFormat="1" x14ac:dyDescent="0.25">
      <c r="A9429" s="22" t="s">
        <v>8</v>
      </c>
      <c r="B9429" s="18" t="str">
        <f>"345341"</f>
        <v>345341</v>
      </c>
      <c r="C9429" s="19" t="s">
        <v>9295</v>
      </c>
      <c r="D9429" s="19" t="s">
        <v>24841</v>
      </c>
      <c r="E9429" s="19" t="s">
        <v>31791</v>
      </c>
      <c r="F9429" s="19" t="s">
        <v>36007</v>
      </c>
      <c r="G9429" s="18" t="str">
        <f>"28716"</f>
        <v>28716</v>
      </c>
      <c r="H9429" s="19" t="s">
        <v>36623</v>
      </c>
      <c r="I9429" s="20">
        <v>16.823</v>
      </c>
      <c r="J9429" s="44" t="s">
        <v>8</v>
      </c>
      <c r="K9429" s="23" t="s">
        <v>8</v>
      </c>
      <c r="L9429" s="23" t="s">
        <v>8</v>
      </c>
      <c r="M9429" s="23" t="s">
        <v>8</v>
      </c>
    </row>
    <row r="9430" spans="1:13" s="21" customFormat="1" x14ac:dyDescent="0.25">
      <c r="A9430" s="22" t="s">
        <v>8</v>
      </c>
      <c r="B9430" s="18" t="str">
        <f>"345342"</f>
        <v>345342</v>
      </c>
      <c r="C9430" s="19" t="s">
        <v>9296</v>
      </c>
      <c r="D9430" s="19" t="s">
        <v>24842</v>
      </c>
      <c r="E9430" s="19" t="s">
        <v>34297</v>
      </c>
      <c r="F9430" s="19" t="s">
        <v>36007</v>
      </c>
      <c r="G9430" s="18" t="str">
        <f>"28081"</f>
        <v>28081</v>
      </c>
      <c r="H9430" s="19" t="s">
        <v>36626</v>
      </c>
      <c r="I9430" s="20">
        <v>17.806000000000001</v>
      </c>
      <c r="J9430" s="44" t="s">
        <v>8</v>
      </c>
      <c r="K9430" s="23" t="s">
        <v>8</v>
      </c>
      <c r="L9430" s="23" t="s">
        <v>8</v>
      </c>
      <c r="M9430" s="23" t="s">
        <v>8</v>
      </c>
    </row>
    <row r="9431" spans="1:13" s="21" customFormat="1" x14ac:dyDescent="0.25">
      <c r="A9431" s="22" t="s">
        <v>8</v>
      </c>
      <c r="B9431" s="18" t="str">
        <f>"345343"</f>
        <v>345343</v>
      </c>
      <c r="C9431" s="19" t="s">
        <v>9297</v>
      </c>
      <c r="D9431" s="19" t="s">
        <v>24843</v>
      </c>
      <c r="E9431" s="19" t="s">
        <v>34257</v>
      </c>
      <c r="F9431" s="19" t="s">
        <v>36007</v>
      </c>
      <c r="G9431" s="18" t="str">
        <f>"27534"</f>
        <v>27534</v>
      </c>
      <c r="H9431" s="19" t="s">
        <v>33280</v>
      </c>
      <c r="I9431" s="20">
        <v>18.989999999999998</v>
      </c>
      <c r="J9431" s="44" t="s">
        <v>8</v>
      </c>
      <c r="K9431" s="23" t="s">
        <v>8</v>
      </c>
      <c r="L9431" s="23" t="s">
        <v>8</v>
      </c>
      <c r="M9431" s="23" t="s">
        <v>8</v>
      </c>
    </row>
    <row r="9432" spans="1:13" s="21" customFormat="1" x14ac:dyDescent="0.25">
      <c r="A9432" s="22" t="s">
        <v>8</v>
      </c>
      <c r="B9432" s="18" t="str">
        <f>"345344"</f>
        <v>345344</v>
      </c>
      <c r="C9432" s="19" t="s">
        <v>9298</v>
      </c>
      <c r="D9432" s="19" t="s">
        <v>24844</v>
      </c>
      <c r="E9432" s="19" t="s">
        <v>32699</v>
      </c>
      <c r="F9432" s="19" t="s">
        <v>36007</v>
      </c>
      <c r="G9432" s="18" t="str">
        <f>"27536"</f>
        <v>27536</v>
      </c>
      <c r="H9432" s="19" t="s">
        <v>36651</v>
      </c>
      <c r="I9432" s="20">
        <v>21.59</v>
      </c>
      <c r="J9432" s="44" t="s">
        <v>8</v>
      </c>
      <c r="K9432" s="23" t="s">
        <v>8</v>
      </c>
      <c r="L9432" s="23" t="s">
        <v>8</v>
      </c>
      <c r="M9432" s="23" t="s">
        <v>8</v>
      </c>
    </row>
    <row r="9433" spans="1:13" s="21" customFormat="1" x14ac:dyDescent="0.25">
      <c r="A9433" s="22" t="s">
        <v>8</v>
      </c>
      <c r="B9433" s="18" t="str">
        <f>"345345"</f>
        <v>345345</v>
      </c>
      <c r="C9433" s="19" t="s">
        <v>9299</v>
      </c>
      <c r="D9433" s="19" t="s">
        <v>24845</v>
      </c>
      <c r="E9433" s="19" t="s">
        <v>31711</v>
      </c>
      <c r="F9433" s="19" t="s">
        <v>36007</v>
      </c>
      <c r="G9433" s="18" t="str">
        <f>"28112"</f>
        <v>28112</v>
      </c>
      <c r="H9433" s="19" t="s">
        <v>33554</v>
      </c>
      <c r="I9433" s="20">
        <v>19.207000000000001</v>
      </c>
      <c r="J9433" s="44" t="s">
        <v>8</v>
      </c>
      <c r="K9433" s="23" t="s">
        <v>8</v>
      </c>
      <c r="L9433" s="23" t="s">
        <v>8</v>
      </c>
      <c r="M9433" s="23" t="s">
        <v>8</v>
      </c>
    </row>
    <row r="9434" spans="1:13" s="21" customFormat="1" x14ac:dyDescent="0.25">
      <c r="A9434" s="22" t="s">
        <v>8</v>
      </c>
      <c r="B9434" s="18" t="str">
        <f>"345348"</f>
        <v>345348</v>
      </c>
      <c r="C9434" s="19" t="s">
        <v>9300</v>
      </c>
      <c r="D9434" s="19" t="s">
        <v>24846</v>
      </c>
      <c r="E9434" s="19" t="s">
        <v>30991</v>
      </c>
      <c r="F9434" s="19" t="s">
        <v>36007</v>
      </c>
      <c r="G9434" s="18" t="str">
        <f>"28301"</f>
        <v>28301</v>
      </c>
      <c r="H9434" s="19" t="s">
        <v>32766</v>
      </c>
      <c r="I9434" s="20">
        <v>18.605</v>
      </c>
      <c r="J9434" s="44" t="s">
        <v>8</v>
      </c>
      <c r="K9434" s="23" t="s">
        <v>8</v>
      </c>
      <c r="L9434" s="23" t="s">
        <v>8</v>
      </c>
      <c r="M9434" s="23" t="s">
        <v>8</v>
      </c>
    </row>
    <row r="9435" spans="1:13" s="21" customFormat="1" x14ac:dyDescent="0.25">
      <c r="A9435" s="22" t="s">
        <v>8</v>
      </c>
      <c r="B9435" s="18" t="str">
        <f>"345349"</f>
        <v>345349</v>
      </c>
      <c r="C9435" s="19" t="s">
        <v>9301</v>
      </c>
      <c r="D9435" s="19" t="s">
        <v>24847</v>
      </c>
      <c r="E9435" s="19" t="s">
        <v>34317</v>
      </c>
      <c r="F9435" s="19" t="s">
        <v>36007</v>
      </c>
      <c r="G9435" s="18" t="str">
        <f>"28443"</f>
        <v>28443</v>
      </c>
      <c r="H9435" s="19" t="s">
        <v>33805</v>
      </c>
      <c r="I9435" s="20">
        <v>17.497</v>
      </c>
      <c r="J9435" s="44" t="s">
        <v>8</v>
      </c>
      <c r="K9435" s="23" t="s">
        <v>8</v>
      </c>
      <c r="L9435" s="23" t="s">
        <v>8</v>
      </c>
      <c r="M9435" s="23" t="s">
        <v>8</v>
      </c>
    </row>
    <row r="9436" spans="1:13" s="21" customFormat="1" x14ac:dyDescent="0.25">
      <c r="A9436" s="22" t="s">
        <v>8</v>
      </c>
      <c r="B9436" s="18" t="str">
        <f>"345350"</f>
        <v>345350</v>
      </c>
      <c r="C9436" s="19" t="s">
        <v>9302</v>
      </c>
      <c r="D9436" s="19" t="s">
        <v>24848</v>
      </c>
      <c r="E9436" s="19" t="s">
        <v>34271</v>
      </c>
      <c r="F9436" s="19" t="s">
        <v>36007</v>
      </c>
      <c r="G9436" s="18" t="str">
        <f>"28054"</f>
        <v>28054</v>
      </c>
      <c r="H9436" s="19" t="s">
        <v>36629</v>
      </c>
      <c r="I9436" s="20">
        <v>17.882999999999999</v>
      </c>
      <c r="J9436" s="44" t="s">
        <v>8</v>
      </c>
      <c r="K9436" s="23" t="s">
        <v>8</v>
      </c>
      <c r="L9436" s="23" t="s">
        <v>8</v>
      </c>
      <c r="M9436" s="23" t="s">
        <v>8</v>
      </c>
    </row>
    <row r="9437" spans="1:13" s="21" customFormat="1" x14ac:dyDescent="0.25">
      <c r="A9437" s="22" t="s">
        <v>8</v>
      </c>
      <c r="B9437" s="18" t="str">
        <f>"345351"</f>
        <v>345351</v>
      </c>
      <c r="C9437" s="19" t="s">
        <v>9303</v>
      </c>
      <c r="D9437" s="19" t="s">
        <v>24849</v>
      </c>
      <c r="E9437" s="19" t="s">
        <v>34318</v>
      </c>
      <c r="F9437" s="19" t="s">
        <v>36007</v>
      </c>
      <c r="G9437" s="18" t="str">
        <f>"28773"</f>
        <v>28773</v>
      </c>
      <c r="H9437" s="19" t="s">
        <v>36062</v>
      </c>
      <c r="I9437" s="20">
        <v>18.23</v>
      </c>
      <c r="J9437" s="44" t="s">
        <v>8</v>
      </c>
      <c r="K9437" s="23" t="s">
        <v>8</v>
      </c>
      <c r="L9437" s="23" t="s">
        <v>8</v>
      </c>
      <c r="M9437" s="23" t="s">
        <v>8</v>
      </c>
    </row>
    <row r="9438" spans="1:13" s="21" customFormat="1" x14ac:dyDescent="0.25">
      <c r="A9438" s="22" t="s">
        <v>8</v>
      </c>
      <c r="B9438" s="18" t="str">
        <f>"345353"</f>
        <v>345353</v>
      </c>
      <c r="C9438" s="19" t="s">
        <v>9304</v>
      </c>
      <c r="D9438" s="19" t="s">
        <v>24850</v>
      </c>
      <c r="E9438" s="19" t="s">
        <v>30991</v>
      </c>
      <c r="F9438" s="19" t="s">
        <v>36007</v>
      </c>
      <c r="G9438" s="18" t="str">
        <f>"28301"</f>
        <v>28301</v>
      </c>
      <c r="H9438" s="19" t="s">
        <v>32766</v>
      </c>
      <c r="I9438" s="20">
        <v>18.369</v>
      </c>
      <c r="J9438" s="44" t="s">
        <v>8</v>
      </c>
      <c r="K9438" s="23" t="s">
        <v>8</v>
      </c>
      <c r="L9438" s="23" t="s">
        <v>8</v>
      </c>
      <c r="M9438" s="23" t="s">
        <v>8</v>
      </c>
    </row>
    <row r="9439" spans="1:13" s="21" customFormat="1" x14ac:dyDescent="0.25">
      <c r="A9439" s="22" t="s">
        <v>8</v>
      </c>
      <c r="B9439" s="18" t="str">
        <f>"345354"</f>
        <v>345354</v>
      </c>
      <c r="C9439" s="19" t="s">
        <v>9305</v>
      </c>
      <c r="D9439" s="19" t="s">
        <v>24851</v>
      </c>
      <c r="E9439" s="19" t="s">
        <v>34319</v>
      </c>
      <c r="F9439" s="19" t="s">
        <v>36007</v>
      </c>
      <c r="G9439" s="18" t="str">
        <f>"27284"</f>
        <v>27284</v>
      </c>
      <c r="H9439" s="19" t="s">
        <v>31754</v>
      </c>
      <c r="I9439" s="20">
        <v>19.809000000000001</v>
      </c>
      <c r="J9439" s="44" t="s">
        <v>8</v>
      </c>
      <c r="K9439" s="23" t="s">
        <v>8</v>
      </c>
      <c r="L9439" s="23" t="s">
        <v>8</v>
      </c>
      <c r="M9439" s="23" t="s">
        <v>8</v>
      </c>
    </row>
    <row r="9440" spans="1:13" s="21" customFormat="1" x14ac:dyDescent="0.25">
      <c r="A9440" s="22" t="s">
        <v>8</v>
      </c>
      <c r="B9440" s="18" t="str">
        <f>"345355"</f>
        <v>345355</v>
      </c>
      <c r="C9440" s="19" t="s">
        <v>9306</v>
      </c>
      <c r="D9440" s="19" t="s">
        <v>24852</v>
      </c>
      <c r="E9440" s="19" t="s">
        <v>34320</v>
      </c>
      <c r="F9440" s="19" t="s">
        <v>36007</v>
      </c>
      <c r="G9440" s="18" t="str">
        <f>"28771"</f>
        <v>28771</v>
      </c>
      <c r="H9440" s="19" t="s">
        <v>34316</v>
      </c>
      <c r="I9440" s="20">
        <v>19.916</v>
      </c>
      <c r="J9440" s="44" t="s">
        <v>8</v>
      </c>
      <c r="K9440" s="23" t="s">
        <v>8</v>
      </c>
      <c r="L9440" s="23" t="s">
        <v>8</v>
      </c>
      <c r="M9440" s="23" t="s">
        <v>8</v>
      </c>
    </row>
    <row r="9441" spans="1:13" s="21" customFormat="1" x14ac:dyDescent="0.25">
      <c r="A9441" s="22" t="s">
        <v>8</v>
      </c>
      <c r="B9441" s="18" t="str">
        <f>"345356"</f>
        <v>345356</v>
      </c>
      <c r="C9441" s="19" t="s">
        <v>9307</v>
      </c>
      <c r="D9441" s="19" t="s">
        <v>24853</v>
      </c>
      <c r="E9441" s="19" t="s">
        <v>34321</v>
      </c>
      <c r="F9441" s="19" t="s">
        <v>36007</v>
      </c>
      <c r="G9441" s="18" t="str">
        <f>"27869"</f>
        <v>27869</v>
      </c>
      <c r="H9441" s="19" t="s">
        <v>33038</v>
      </c>
      <c r="I9441" s="20">
        <v>18.748999999999999</v>
      </c>
      <c r="J9441" s="44" t="s">
        <v>8</v>
      </c>
      <c r="K9441" s="23" t="s">
        <v>8</v>
      </c>
      <c r="L9441" s="23" t="s">
        <v>8</v>
      </c>
      <c r="M9441" s="23" t="s">
        <v>8</v>
      </c>
    </row>
    <row r="9442" spans="1:13" s="21" customFormat="1" x14ac:dyDescent="0.25">
      <c r="A9442" s="22" t="s">
        <v>8</v>
      </c>
      <c r="B9442" s="18" t="str">
        <f>"345357"</f>
        <v>345357</v>
      </c>
      <c r="C9442" s="19" t="s">
        <v>9308</v>
      </c>
      <c r="D9442" s="19" t="s">
        <v>24854</v>
      </c>
      <c r="E9442" s="19" t="s">
        <v>34288</v>
      </c>
      <c r="F9442" s="19" t="s">
        <v>36007</v>
      </c>
      <c r="G9442" s="18" t="str">
        <f>"28560"</f>
        <v>28560</v>
      </c>
      <c r="H9442" s="19" t="s">
        <v>36641</v>
      </c>
      <c r="I9442" s="20">
        <v>15.643000000000001</v>
      </c>
      <c r="J9442" s="44" t="s">
        <v>8</v>
      </c>
      <c r="K9442" s="23" t="s">
        <v>8</v>
      </c>
      <c r="L9442" s="23" t="s">
        <v>8</v>
      </c>
      <c r="M9442" s="23" t="s">
        <v>8</v>
      </c>
    </row>
    <row r="9443" spans="1:13" s="21" customFormat="1" x14ac:dyDescent="0.25">
      <c r="A9443" s="22" t="s">
        <v>8</v>
      </c>
      <c r="B9443" s="18" t="str">
        <f>"345358"</f>
        <v>345358</v>
      </c>
      <c r="C9443" s="19" t="s">
        <v>9309</v>
      </c>
      <c r="D9443" s="19" t="s">
        <v>24855</v>
      </c>
      <c r="E9443" s="19" t="s">
        <v>32590</v>
      </c>
      <c r="F9443" s="19" t="s">
        <v>36007</v>
      </c>
      <c r="G9443" s="18" t="str">
        <f>"27549"</f>
        <v>27549</v>
      </c>
      <c r="H9443" s="19" t="s">
        <v>5</v>
      </c>
      <c r="I9443" s="20">
        <v>19.184000000000001</v>
      </c>
      <c r="J9443" s="44" t="s">
        <v>8</v>
      </c>
      <c r="K9443" s="23" t="s">
        <v>8</v>
      </c>
      <c r="L9443" s="23" t="s">
        <v>8</v>
      </c>
      <c r="M9443" s="23" t="s">
        <v>8</v>
      </c>
    </row>
    <row r="9444" spans="1:13" s="21" customFormat="1" x14ac:dyDescent="0.25">
      <c r="A9444" s="22" t="s">
        <v>8</v>
      </c>
      <c r="B9444" s="18" t="str">
        <f>"345359"</f>
        <v>345359</v>
      </c>
      <c r="C9444" s="19" t="s">
        <v>9310</v>
      </c>
      <c r="D9444" s="19" t="s">
        <v>24856</v>
      </c>
      <c r="E9444" s="19" t="s">
        <v>34322</v>
      </c>
      <c r="F9444" s="19" t="s">
        <v>36007</v>
      </c>
      <c r="G9444" s="18" t="str">
        <f>"27910"</f>
        <v>27910</v>
      </c>
      <c r="H9444" s="19" t="s">
        <v>34298</v>
      </c>
      <c r="I9444" s="20">
        <v>21.324999999999999</v>
      </c>
      <c r="J9444" s="44" t="s">
        <v>8</v>
      </c>
      <c r="K9444" s="23" t="s">
        <v>8</v>
      </c>
      <c r="L9444" s="23" t="s">
        <v>8</v>
      </c>
      <c r="M9444" s="23" t="s">
        <v>8</v>
      </c>
    </row>
    <row r="9445" spans="1:13" s="21" customFormat="1" x14ac:dyDescent="0.25">
      <c r="A9445" s="22" t="s">
        <v>8</v>
      </c>
      <c r="B9445" s="18" t="str">
        <f>"345362"</f>
        <v>345362</v>
      </c>
      <c r="C9445" s="19" t="s">
        <v>9311</v>
      </c>
      <c r="D9445" s="19" t="s">
        <v>24857</v>
      </c>
      <c r="E9445" s="19" t="s">
        <v>31141</v>
      </c>
      <c r="F9445" s="19" t="s">
        <v>36007</v>
      </c>
      <c r="G9445" s="18" t="str">
        <f>"28025"</f>
        <v>28025</v>
      </c>
      <c r="H9445" s="19" t="s">
        <v>36626</v>
      </c>
      <c r="I9445" s="20">
        <v>16.227</v>
      </c>
      <c r="J9445" s="44" t="s">
        <v>8</v>
      </c>
      <c r="K9445" s="23" t="s">
        <v>8</v>
      </c>
      <c r="L9445" s="23" t="s">
        <v>8</v>
      </c>
      <c r="M9445" s="23" t="s">
        <v>8</v>
      </c>
    </row>
    <row r="9446" spans="1:13" s="21" customFormat="1" x14ac:dyDescent="0.25">
      <c r="A9446" s="22" t="s">
        <v>8</v>
      </c>
      <c r="B9446" s="18" t="str">
        <f>"345363"</f>
        <v>345363</v>
      </c>
      <c r="C9446" s="19" t="s">
        <v>9312</v>
      </c>
      <c r="D9446" s="19" t="s">
        <v>24858</v>
      </c>
      <c r="E9446" s="19" t="s">
        <v>34323</v>
      </c>
      <c r="F9446" s="19" t="s">
        <v>36007</v>
      </c>
      <c r="G9446" s="18" t="str">
        <f>"27302"</f>
        <v>27302</v>
      </c>
      <c r="H9446" s="19" t="s">
        <v>36620</v>
      </c>
      <c r="I9446" s="20">
        <v>16.878</v>
      </c>
      <c r="J9446" s="44" t="s">
        <v>8</v>
      </c>
      <c r="K9446" s="23" t="s">
        <v>8</v>
      </c>
      <c r="L9446" s="23" t="s">
        <v>8</v>
      </c>
      <c r="M9446" s="23" t="s">
        <v>8</v>
      </c>
    </row>
    <row r="9447" spans="1:13" s="21" customFormat="1" x14ac:dyDescent="0.25">
      <c r="A9447" s="22" t="s">
        <v>8</v>
      </c>
      <c r="B9447" s="18" t="str">
        <f>"345365"</f>
        <v>345365</v>
      </c>
      <c r="C9447" s="19" t="s">
        <v>9313</v>
      </c>
      <c r="D9447" s="19" t="s">
        <v>24859</v>
      </c>
      <c r="E9447" s="19" t="s">
        <v>34269</v>
      </c>
      <c r="F9447" s="19" t="s">
        <v>36007</v>
      </c>
      <c r="G9447" s="18" t="str">
        <f>"28501"</f>
        <v>28501</v>
      </c>
      <c r="H9447" s="19" t="s">
        <v>34265</v>
      </c>
      <c r="I9447" s="20">
        <v>18.260000000000002</v>
      </c>
      <c r="J9447" s="44" t="s">
        <v>8</v>
      </c>
      <c r="K9447" s="23" t="s">
        <v>8</v>
      </c>
      <c r="L9447" s="23" t="s">
        <v>8</v>
      </c>
      <c r="M9447" s="23" t="s">
        <v>8</v>
      </c>
    </row>
    <row r="9448" spans="1:13" s="21" customFormat="1" x14ac:dyDescent="0.25">
      <c r="A9448" s="22" t="s">
        <v>8</v>
      </c>
      <c r="B9448" s="18" t="str">
        <f>"345366"</f>
        <v>345366</v>
      </c>
      <c r="C9448" s="19" t="s">
        <v>9314</v>
      </c>
      <c r="D9448" s="19" t="s">
        <v>24860</v>
      </c>
      <c r="E9448" s="19" t="s">
        <v>32950</v>
      </c>
      <c r="F9448" s="19" t="s">
        <v>36007</v>
      </c>
      <c r="G9448" s="18" t="str">
        <f>"28580"</f>
        <v>28580</v>
      </c>
      <c r="H9448" s="19" t="s">
        <v>32455</v>
      </c>
      <c r="I9448" s="20">
        <v>27.036000000000001</v>
      </c>
      <c r="J9448" s="44" t="s">
        <v>8</v>
      </c>
      <c r="K9448" s="23" t="s">
        <v>8</v>
      </c>
      <c r="L9448" s="23" t="s">
        <v>8</v>
      </c>
      <c r="M9448" s="23" t="s">
        <v>8</v>
      </c>
    </row>
    <row r="9449" spans="1:13" s="21" customFormat="1" x14ac:dyDescent="0.25">
      <c r="A9449" s="22" t="s">
        <v>8</v>
      </c>
      <c r="B9449" s="18" t="str">
        <f>"345367"</f>
        <v>345367</v>
      </c>
      <c r="C9449" s="19" t="s">
        <v>9315</v>
      </c>
      <c r="D9449" s="19" t="s">
        <v>24861</v>
      </c>
      <c r="E9449" s="19" t="s">
        <v>34324</v>
      </c>
      <c r="F9449" s="19" t="s">
        <v>36007</v>
      </c>
      <c r="G9449" s="18" t="str">
        <f>"28342"</f>
        <v>28342</v>
      </c>
      <c r="H9449" s="19" t="s">
        <v>32766</v>
      </c>
      <c r="I9449" s="20">
        <v>17.745000000000001</v>
      </c>
      <c r="J9449" s="44" t="s">
        <v>8</v>
      </c>
      <c r="K9449" s="23" t="s">
        <v>8</v>
      </c>
      <c r="L9449" s="23" t="s">
        <v>8</v>
      </c>
      <c r="M9449" s="23" t="s">
        <v>8</v>
      </c>
    </row>
    <row r="9450" spans="1:13" s="21" customFormat="1" x14ac:dyDescent="0.25">
      <c r="A9450" s="22" t="s">
        <v>8</v>
      </c>
      <c r="B9450" s="18" t="str">
        <f>"345369"</f>
        <v>345369</v>
      </c>
      <c r="C9450" s="19" t="s">
        <v>9316</v>
      </c>
      <c r="D9450" s="19" t="s">
        <v>24862</v>
      </c>
      <c r="E9450" s="19" t="s">
        <v>33576</v>
      </c>
      <c r="F9450" s="19" t="s">
        <v>36007</v>
      </c>
      <c r="G9450" s="18" t="str">
        <f>"27607"</f>
        <v>27607</v>
      </c>
      <c r="H9450" s="19" t="s">
        <v>36611</v>
      </c>
      <c r="I9450" s="20">
        <v>21.161999999999999</v>
      </c>
      <c r="J9450" s="44" t="s">
        <v>8</v>
      </c>
      <c r="K9450" s="23" t="s">
        <v>8</v>
      </c>
      <c r="L9450" s="23" t="s">
        <v>8</v>
      </c>
      <c r="M9450" s="23" t="s">
        <v>8</v>
      </c>
    </row>
    <row r="9451" spans="1:13" s="21" customFormat="1" x14ac:dyDescent="0.25">
      <c r="A9451" s="22" t="s">
        <v>8</v>
      </c>
      <c r="B9451" s="18" t="str">
        <f>"345370"</f>
        <v>345370</v>
      </c>
      <c r="C9451" s="19" t="s">
        <v>9317</v>
      </c>
      <c r="D9451" s="19" t="s">
        <v>24863</v>
      </c>
      <c r="E9451" s="19" t="s">
        <v>34277</v>
      </c>
      <c r="F9451" s="19" t="s">
        <v>36007</v>
      </c>
      <c r="G9451" s="18" t="str">
        <f>"28374"</f>
        <v>28374</v>
      </c>
      <c r="H9451" s="19" t="s">
        <v>34689</v>
      </c>
      <c r="I9451" s="20">
        <v>17.314</v>
      </c>
      <c r="J9451" s="44" t="s">
        <v>8</v>
      </c>
      <c r="K9451" s="23" t="s">
        <v>8</v>
      </c>
      <c r="L9451" s="23" t="s">
        <v>8</v>
      </c>
      <c r="M9451" s="23" t="s">
        <v>8</v>
      </c>
    </row>
    <row r="9452" spans="1:13" s="21" customFormat="1" x14ac:dyDescent="0.25">
      <c r="A9452" s="22" t="s">
        <v>8</v>
      </c>
      <c r="B9452" s="18" t="str">
        <f>"345371"</f>
        <v>345371</v>
      </c>
      <c r="C9452" s="19" t="s">
        <v>9318</v>
      </c>
      <c r="D9452" s="19" t="s">
        <v>24864</v>
      </c>
      <c r="E9452" s="19" t="s">
        <v>34288</v>
      </c>
      <c r="F9452" s="19" t="s">
        <v>36007</v>
      </c>
      <c r="G9452" s="18" t="str">
        <f>"28560"</f>
        <v>28560</v>
      </c>
      <c r="H9452" s="19" t="s">
        <v>36641</v>
      </c>
      <c r="I9452" s="20">
        <v>16.462</v>
      </c>
      <c r="J9452" s="44" t="s">
        <v>8</v>
      </c>
      <c r="K9452" s="23" t="s">
        <v>8</v>
      </c>
      <c r="L9452" s="23" t="s">
        <v>8</v>
      </c>
      <c r="M9452" s="23" t="s">
        <v>8</v>
      </c>
    </row>
    <row r="9453" spans="1:13" s="21" customFormat="1" x14ac:dyDescent="0.25">
      <c r="A9453" s="22" t="s">
        <v>8</v>
      </c>
      <c r="B9453" s="18" t="str">
        <f>"345372"</f>
        <v>345372</v>
      </c>
      <c r="C9453" s="19" t="s">
        <v>9319</v>
      </c>
      <c r="D9453" s="19" t="s">
        <v>24865</v>
      </c>
      <c r="E9453" s="19" t="s">
        <v>32577</v>
      </c>
      <c r="F9453" s="19" t="s">
        <v>36007</v>
      </c>
      <c r="G9453" s="18" t="str">
        <f>"27893"</f>
        <v>27893</v>
      </c>
      <c r="H9453" s="19" t="s">
        <v>32577</v>
      </c>
      <c r="I9453" s="20">
        <v>15.760999999999999</v>
      </c>
      <c r="J9453" s="44" t="s">
        <v>8</v>
      </c>
      <c r="K9453" s="23" t="s">
        <v>8</v>
      </c>
      <c r="L9453" s="23" t="s">
        <v>8</v>
      </c>
      <c r="M9453" s="23" t="s">
        <v>8</v>
      </c>
    </row>
    <row r="9454" spans="1:13" s="21" customFormat="1" x14ac:dyDescent="0.25">
      <c r="A9454" s="22" t="s">
        <v>8</v>
      </c>
      <c r="B9454" s="18" t="str">
        <f>"345373"</f>
        <v>345373</v>
      </c>
      <c r="C9454" s="19" t="s">
        <v>9320</v>
      </c>
      <c r="D9454" s="19" t="s">
        <v>24866</v>
      </c>
      <c r="E9454" s="19" t="s">
        <v>31425</v>
      </c>
      <c r="F9454" s="19" t="s">
        <v>36007</v>
      </c>
      <c r="G9454" s="18" t="str">
        <f>"28461"</f>
        <v>28461</v>
      </c>
      <c r="H9454" s="19" t="s">
        <v>31794</v>
      </c>
      <c r="I9454" s="20">
        <v>21.283999999999999</v>
      </c>
      <c r="J9454" s="44" t="s">
        <v>8</v>
      </c>
      <c r="K9454" s="23" t="s">
        <v>8</v>
      </c>
      <c r="L9454" s="23" t="s">
        <v>8</v>
      </c>
      <c r="M9454" s="23" t="s">
        <v>8</v>
      </c>
    </row>
    <row r="9455" spans="1:13" s="21" customFormat="1" x14ac:dyDescent="0.25">
      <c r="A9455" s="22" t="s">
        <v>8</v>
      </c>
      <c r="B9455" s="18" t="str">
        <f>"345374"</f>
        <v>345374</v>
      </c>
      <c r="C9455" s="19" t="s">
        <v>9321</v>
      </c>
      <c r="D9455" s="19" t="s">
        <v>24867</v>
      </c>
      <c r="E9455" s="19" t="s">
        <v>31014</v>
      </c>
      <c r="F9455" s="19" t="s">
        <v>36007</v>
      </c>
      <c r="G9455" s="18" t="str">
        <f>"27856"</f>
        <v>27856</v>
      </c>
      <c r="H9455" s="19" t="s">
        <v>36627</v>
      </c>
      <c r="I9455" s="20">
        <v>20.75</v>
      </c>
      <c r="J9455" s="44" t="s">
        <v>8</v>
      </c>
      <c r="K9455" s="23" t="s">
        <v>8</v>
      </c>
      <c r="L9455" s="23" t="s">
        <v>8</v>
      </c>
      <c r="M9455" s="23" t="s">
        <v>8</v>
      </c>
    </row>
    <row r="9456" spans="1:13" s="21" customFormat="1" x14ac:dyDescent="0.25">
      <c r="A9456" s="22" t="s">
        <v>8</v>
      </c>
      <c r="B9456" s="18" t="str">
        <f>"345375"</f>
        <v>345375</v>
      </c>
      <c r="C9456" s="19" t="s">
        <v>9322</v>
      </c>
      <c r="D9456" s="19" t="s">
        <v>24868</v>
      </c>
      <c r="E9456" s="19" t="s">
        <v>34325</v>
      </c>
      <c r="F9456" s="19" t="s">
        <v>36007</v>
      </c>
      <c r="G9456" s="18" t="str">
        <f>"27874"</f>
        <v>27874</v>
      </c>
      <c r="H9456" s="19" t="s">
        <v>36622</v>
      </c>
      <c r="I9456" s="20">
        <v>18.05</v>
      </c>
      <c r="J9456" s="44" t="s">
        <v>8</v>
      </c>
      <c r="K9456" s="23" t="s">
        <v>8</v>
      </c>
      <c r="L9456" s="23" t="s">
        <v>8</v>
      </c>
      <c r="M9456" s="23" t="s">
        <v>8</v>
      </c>
    </row>
    <row r="9457" spans="1:13" s="21" customFormat="1" x14ac:dyDescent="0.25">
      <c r="A9457" s="22" t="s">
        <v>8</v>
      </c>
      <c r="B9457" s="18" t="str">
        <f>"345376"</f>
        <v>345376</v>
      </c>
      <c r="C9457" s="19" t="s">
        <v>4932</v>
      </c>
      <c r="D9457" s="19" t="s">
        <v>24869</v>
      </c>
      <c r="E9457" s="19" t="s">
        <v>30991</v>
      </c>
      <c r="F9457" s="19" t="s">
        <v>36007</v>
      </c>
      <c r="G9457" s="18" t="str">
        <f>"28306"</f>
        <v>28306</v>
      </c>
      <c r="H9457" s="19" t="s">
        <v>32766</v>
      </c>
      <c r="I9457" s="20">
        <v>21.341999999999999</v>
      </c>
      <c r="J9457" s="44" t="s">
        <v>8</v>
      </c>
      <c r="K9457" s="23" t="s">
        <v>8</v>
      </c>
      <c r="L9457" s="23" t="s">
        <v>8</v>
      </c>
      <c r="M9457" s="23" t="s">
        <v>8</v>
      </c>
    </row>
    <row r="9458" spans="1:13" s="21" customFormat="1" x14ac:dyDescent="0.25">
      <c r="A9458" s="22" t="s">
        <v>8</v>
      </c>
      <c r="B9458" s="18" t="str">
        <f>"345377"</f>
        <v>345377</v>
      </c>
      <c r="C9458" s="19" t="s">
        <v>9323</v>
      </c>
      <c r="D9458" s="19" t="s">
        <v>24870</v>
      </c>
      <c r="E9458" s="19" t="s">
        <v>30817</v>
      </c>
      <c r="F9458" s="19" t="s">
        <v>36007</v>
      </c>
      <c r="G9458" s="18" t="str">
        <f>"27834"</f>
        <v>27834</v>
      </c>
      <c r="H9458" s="19" t="s">
        <v>36633</v>
      </c>
      <c r="I9458" s="20">
        <v>18.861000000000001</v>
      </c>
      <c r="J9458" s="44" t="s">
        <v>8</v>
      </c>
      <c r="K9458" s="23" t="s">
        <v>8</v>
      </c>
      <c r="L9458" s="23" t="s">
        <v>8</v>
      </c>
      <c r="M9458" s="23" t="s">
        <v>8</v>
      </c>
    </row>
    <row r="9459" spans="1:13" s="21" customFormat="1" x14ac:dyDescent="0.25">
      <c r="A9459" s="22" t="s">
        <v>8</v>
      </c>
      <c r="B9459" s="18" t="str">
        <f>"345378"</f>
        <v>345378</v>
      </c>
      <c r="C9459" s="19" t="s">
        <v>9324</v>
      </c>
      <c r="D9459" s="19" t="s">
        <v>24871</v>
      </c>
      <c r="E9459" s="19" t="s">
        <v>34326</v>
      </c>
      <c r="F9459" s="19" t="s">
        <v>36007</v>
      </c>
      <c r="G9459" s="18" t="str">
        <f>"28379"</f>
        <v>28379</v>
      </c>
      <c r="H9459" s="19" t="s">
        <v>31178</v>
      </c>
      <c r="I9459" s="20">
        <v>22.202999999999999</v>
      </c>
      <c r="J9459" s="44" t="s">
        <v>8</v>
      </c>
      <c r="K9459" s="23" t="s">
        <v>8</v>
      </c>
      <c r="L9459" s="23" t="s">
        <v>8</v>
      </c>
      <c r="M9459" s="23" t="s">
        <v>8</v>
      </c>
    </row>
    <row r="9460" spans="1:13" s="21" customFormat="1" x14ac:dyDescent="0.25">
      <c r="A9460" s="22" t="s">
        <v>8</v>
      </c>
      <c r="B9460" s="18" t="str">
        <f>"345380"</f>
        <v>345380</v>
      </c>
      <c r="C9460" s="19" t="s">
        <v>9325</v>
      </c>
      <c r="D9460" s="19" t="s">
        <v>24872</v>
      </c>
      <c r="E9460" s="19" t="s">
        <v>30991</v>
      </c>
      <c r="F9460" s="19" t="s">
        <v>36007</v>
      </c>
      <c r="G9460" s="18" t="str">
        <f>"28304"</f>
        <v>28304</v>
      </c>
      <c r="H9460" s="19" t="s">
        <v>32766</v>
      </c>
      <c r="I9460" s="20">
        <v>18.913</v>
      </c>
      <c r="J9460" s="44" t="s">
        <v>8</v>
      </c>
      <c r="K9460" s="23" t="s">
        <v>8</v>
      </c>
      <c r="L9460" s="23" t="s">
        <v>8</v>
      </c>
      <c r="M9460" s="23" t="s">
        <v>8</v>
      </c>
    </row>
    <row r="9461" spans="1:13" s="21" customFormat="1" x14ac:dyDescent="0.25">
      <c r="A9461" s="22" t="s">
        <v>8</v>
      </c>
      <c r="B9461" s="18" t="str">
        <f>"345381"</f>
        <v>345381</v>
      </c>
      <c r="C9461" s="19" t="s">
        <v>9326</v>
      </c>
      <c r="D9461" s="19" t="s">
        <v>24873</v>
      </c>
      <c r="E9461" s="19" t="s">
        <v>34327</v>
      </c>
      <c r="F9461" s="19" t="s">
        <v>36007</v>
      </c>
      <c r="G9461" s="18" t="str">
        <f>"27021"</f>
        <v>27021</v>
      </c>
      <c r="H9461" s="19" t="s">
        <v>36619</v>
      </c>
      <c r="I9461" s="20">
        <v>19.242999999999999</v>
      </c>
      <c r="J9461" s="44" t="s">
        <v>8</v>
      </c>
      <c r="K9461" s="23" t="s">
        <v>8</v>
      </c>
      <c r="L9461" s="23" t="s">
        <v>8</v>
      </c>
      <c r="M9461" s="23" t="s">
        <v>8</v>
      </c>
    </row>
    <row r="9462" spans="1:13" s="21" customFormat="1" x14ac:dyDescent="0.25">
      <c r="A9462" s="22" t="s">
        <v>8</v>
      </c>
      <c r="B9462" s="18" t="str">
        <f>"345383"</f>
        <v>345383</v>
      </c>
      <c r="C9462" s="19" t="s">
        <v>9327</v>
      </c>
      <c r="D9462" s="19" t="s">
        <v>24874</v>
      </c>
      <c r="E9462" s="19" t="s">
        <v>34309</v>
      </c>
      <c r="F9462" s="19" t="s">
        <v>36007</v>
      </c>
      <c r="G9462" s="18" t="str">
        <f>"28352"</f>
        <v>28352</v>
      </c>
      <c r="H9462" s="19" t="s">
        <v>35122</v>
      </c>
      <c r="I9462" s="20">
        <v>17.574999999999999</v>
      </c>
      <c r="J9462" s="44" t="s">
        <v>8</v>
      </c>
      <c r="K9462" s="23" t="s">
        <v>8</v>
      </c>
      <c r="L9462" s="23" t="s">
        <v>8</v>
      </c>
      <c r="M9462" s="23" t="s">
        <v>8</v>
      </c>
    </row>
    <row r="9463" spans="1:13" s="21" customFormat="1" x14ac:dyDescent="0.25">
      <c r="A9463" s="22" t="s">
        <v>8</v>
      </c>
      <c r="B9463" s="18" t="str">
        <f>"345384"</f>
        <v>345384</v>
      </c>
      <c r="C9463" s="19" t="s">
        <v>9328</v>
      </c>
      <c r="D9463" s="19" t="s">
        <v>24875</v>
      </c>
      <c r="E9463" s="19" t="s">
        <v>34328</v>
      </c>
      <c r="F9463" s="19" t="s">
        <v>36007</v>
      </c>
      <c r="G9463" s="18" t="str">
        <f>"27828"</f>
        <v>27828</v>
      </c>
      <c r="H9463" s="19" t="s">
        <v>36633</v>
      </c>
      <c r="I9463" s="20">
        <v>17.413</v>
      </c>
      <c r="J9463" s="44" t="s">
        <v>8</v>
      </c>
      <c r="K9463" s="23" t="s">
        <v>8</v>
      </c>
      <c r="L9463" s="23" t="s">
        <v>8</v>
      </c>
      <c r="M9463" s="23" t="s">
        <v>8</v>
      </c>
    </row>
    <row r="9464" spans="1:13" s="21" customFormat="1" x14ac:dyDescent="0.25">
      <c r="A9464" s="22" t="s">
        <v>8</v>
      </c>
      <c r="B9464" s="18" t="str">
        <f>"345385"</f>
        <v>345385</v>
      </c>
      <c r="C9464" s="19" t="s">
        <v>9329</v>
      </c>
      <c r="D9464" s="19" t="s">
        <v>24876</v>
      </c>
      <c r="E9464" s="19" t="s">
        <v>34270</v>
      </c>
      <c r="F9464" s="19" t="s">
        <v>36007</v>
      </c>
      <c r="G9464" s="18" t="str">
        <f>"28092"</f>
        <v>28092</v>
      </c>
      <c r="H9464" s="19" t="s">
        <v>31995</v>
      </c>
      <c r="I9464" s="20">
        <v>18.899000000000001</v>
      </c>
      <c r="J9464" s="44" t="s">
        <v>8</v>
      </c>
      <c r="K9464" s="23" t="s">
        <v>8</v>
      </c>
      <c r="L9464" s="23" t="s">
        <v>8</v>
      </c>
      <c r="M9464" s="23" t="s">
        <v>8</v>
      </c>
    </row>
    <row r="9465" spans="1:13" s="21" customFormat="1" x14ac:dyDescent="0.25">
      <c r="A9465" s="22" t="s">
        <v>8</v>
      </c>
      <c r="B9465" s="18" t="str">
        <f>"345386"</f>
        <v>345386</v>
      </c>
      <c r="C9465" s="19" t="s">
        <v>9330</v>
      </c>
      <c r="D9465" s="19" t="s">
        <v>24877</v>
      </c>
      <c r="E9465" s="19" t="s">
        <v>34329</v>
      </c>
      <c r="F9465" s="19" t="s">
        <v>36007</v>
      </c>
      <c r="G9465" s="18" t="str">
        <f>"28659"</f>
        <v>28659</v>
      </c>
      <c r="H9465" s="19" t="s">
        <v>36162</v>
      </c>
      <c r="I9465" s="20">
        <v>22.652999999999999</v>
      </c>
      <c r="J9465" s="44" t="s">
        <v>8</v>
      </c>
      <c r="K9465" s="23" t="s">
        <v>8</v>
      </c>
      <c r="L9465" s="23" t="s">
        <v>8</v>
      </c>
      <c r="M9465" s="23" t="s">
        <v>8</v>
      </c>
    </row>
    <row r="9466" spans="1:13" s="21" customFormat="1" x14ac:dyDescent="0.25">
      <c r="A9466" s="22" t="s">
        <v>8</v>
      </c>
      <c r="B9466" s="18" t="str">
        <f>"345388"</f>
        <v>345388</v>
      </c>
      <c r="C9466" s="19" t="s">
        <v>9331</v>
      </c>
      <c r="D9466" s="19" t="s">
        <v>24878</v>
      </c>
      <c r="E9466" s="19" t="s">
        <v>33156</v>
      </c>
      <c r="F9466" s="19" t="s">
        <v>36007</v>
      </c>
      <c r="G9466" s="18" t="str">
        <f>"28256"</f>
        <v>28256</v>
      </c>
      <c r="H9466" s="19" t="s">
        <v>36610</v>
      </c>
      <c r="I9466" s="20">
        <v>20.222000000000001</v>
      </c>
      <c r="J9466" s="44" t="s">
        <v>8</v>
      </c>
      <c r="K9466" s="23" t="s">
        <v>8</v>
      </c>
      <c r="L9466" s="23" t="s">
        <v>8</v>
      </c>
      <c r="M9466" s="23" t="s">
        <v>8</v>
      </c>
    </row>
    <row r="9467" spans="1:13" s="21" customFormat="1" x14ac:dyDescent="0.25">
      <c r="A9467" s="22" t="s">
        <v>8</v>
      </c>
      <c r="B9467" s="18" t="str">
        <f>"345389"</f>
        <v>345389</v>
      </c>
      <c r="C9467" s="19" t="s">
        <v>9332</v>
      </c>
      <c r="D9467" s="19" t="s">
        <v>24879</v>
      </c>
      <c r="E9467" s="19" t="s">
        <v>32462</v>
      </c>
      <c r="F9467" s="19" t="s">
        <v>36007</v>
      </c>
      <c r="G9467" s="18" t="str">
        <f>"27529"</f>
        <v>27529</v>
      </c>
      <c r="H9467" s="19" t="s">
        <v>36611</v>
      </c>
      <c r="I9467" s="20">
        <v>20.29</v>
      </c>
      <c r="J9467" s="44" t="s">
        <v>8</v>
      </c>
      <c r="K9467" s="23" t="s">
        <v>8</v>
      </c>
      <c r="L9467" s="23" t="s">
        <v>8</v>
      </c>
      <c r="M9467" s="23" t="s">
        <v>8</v>
      </c>
    </row>
    <row r="9468" spans="1:13" s="21" customFormat="1" x14ac:dyDescent="0.25">
      <c r="A9468" s="22" t="s">
        <v>8</v>
      </c>
      <c r="B9468" s="18" t="str">
        <f>"345390"</f>
        <v>345390</v>
      </c>
      <c r="C9468" s="19" t="s">
        <v>9333</v>
      </c>
      <c r="D9468" s="19" t="s">
        <v>24880</v>
      </c>
      <c r="E9468" s="19" t="s">
        <v>34330</v>
      </c>
      <c r="F9468" s="19" t="s">
        <v>36007</v>
      </c>
      <c r="G9468" s="18" t="str">
        <f>"27357"</f>
        <v>27357</v>
      </c>
      <c r="H9468" s="19" t="s">
        <v>31417</v>
      </c>
      <c r="I9468" s="20">
        <v>16.384</v>
      </c>
      <c r="J9468" s="44" t="s">
        <v>8</v>
      </c>
      <c r="K9468" s="23" t="s">
        <v>8</v>
      </c>
      <c r="L9468" s="23" t="s">
        <v>8</v>
      </c>
      <c r="M9468" s="23" t="s">
        <v>8</v>
      </c>
    </row>
    <row r="9469" spans="1:13" s="21" customFormat="1" x14ac:dyDescent="0.25">
      <c r="A9469" s="22" t="s">
        <v>8</v>
      </c>
      <c r="B9469" s="18" t="str">
        <f>"345391"</f>
        <v>345391</v>
      </c>
      <c r="C9469" s="19" t="s">
        <v>9334</v>
      </c>
      <c r="D9469" s="19" t="s">
        <v>24881</v>
      </c>
      <c r="E9469" s="19" t="s">
        <v>30811</v>
      </c>
      <c r="F9469" s="19" t="s">
        <v>36007</v>
      </c>
      <c r="G9469" s="18" t="str">
        <f>"27401"</f>
        <v>27401</v>
      </c>
      <c r="H9469" s="19" t="s">
        <v>31417</v>
      </c>
      <c r="I9469" s="20">
        <v>20.126000000000001</v>
      </c>
      <c r="J9469" s="44" t="s">
        <v>8</v>
      </c>
      <c r="K9469" s="23" t="s">
        <v>8</v>
      </c>
      <c r="L9469" s="23" t="s">
        <v>8</v>
      </c>
      <c r="M9469" s="23" t="s">
        <v>8</v>
      </c>
    </row>
    <row r="9470" spans="1:13" s="21" customFormat="1" x14ac:dyDescent="0.25">
      <c r="A9470" s="22" t="s">
        <v>8</v>
      </c>
      <c r="B9470" s="18" t="str">
        <f>"345392"</f>
        <v>345392</v>
      </c>
      <c r="C9470" s="19" t="s">
        <v>9335</v>
      </c>
      <c r="D9470" s="19" t="s">
        <v>24882</v>
      </c>
      <c r="E9470" s="19" t="s">
        <v>34247</v>
      </c>
      <c r="F9470" s="19" t="s">
        <v>36007</v>
      </c>
      <c r="G9470" s="18" t="str">
        <f>"28170"</f>
        <v>28170</v>
      </c>
      <c r="H9470" s="19" t="s">
        <v>35217</v>
      </c>
      <c r="I9470" s="20">
        <v>18.617000000000001</v>
      </c>
      <c r="J9470" s="44" t="s">
        <v>8</v>
      </c>
      <c r="K9470" s="23" t="s">
        <v>8</v>
      </c>
      <c r="L9470" s="23" t="s">
        <v>8</v>
      </c>
      <c r="M9470" s="23" t="s">
        <v>8</v>
      </c>
    </row>
    <row r="9471" spans="1:13" s="21" customFormat="1" x14ac:dyDescent="0.25">
      <c r="A9471" s="22" t="s">
        <v>8</v>
      </c>
      <c r="B9471" s="18" t="str">
        <f>"345393"</f>
        <v>345393</v>
      </c>
      <c r="C9471" s="19" t="s">
        <v>9336</v>
      </c>
      <c r="D9471" s="19" t="s">
        <v>24883</v>
      </c>
      <c r="E9471" s="19" t="s">
        <v>34331</v>
      </c>
      <c r="F9471" s="19" t="s">
        <v>36007</v>
      </c>
      <c r="G9471" s="18" t="str">
        <f>"28715"</f>
        <v>28715</v>
      </c>
      <c r="H9471" s="19" t="s">
        <v>36612</v>
      </c>
      <c r="I9471" s="20">
        <v>15.037000000000001</v>
      </c>
      <c r="J9471" s="44" t="s">
        <v>8</v>
      </c>
      <c r="K9471" s="23" t="s">
        <v>8</v>
      </c>
      <c r="L9471" s="23" t="s">
        <v>8</v>
      </c>
      <c r="M9471" s="23" t="s">
        <v>8</v>
      </c>
    </row>
    <row r="9472" spans="1:13" s="21" customFormat="1" x14ac:dyDescent="0.25">
      <c r="A9472" s="22" t="s">
        <v>8</v>
      </c>
      <c r="B9472" s="18" t="str">
        <f>"345394"</f>
        <v>345394</v>
      </c>
      <c r="C9472" s="19" t="s">
        <v>9337</v>
      </c>
      <c r="D9472" s="19" t="s">
        <v>24884</v>
      </c>
      <c r="E9472" s="19" t="s">
        <v>34332</v>
      </c>
      <c r="F9472" s="19" t="s">
        <v>36007</v>
      </c>
      <c r="G9472" s="18" t="str">
        <f>"28573"</f>
        <v>28573</v>
      </c>
      <c r="H9472" s="19" t="s">
        <v>34651</v>
      </c>
      <c r="I9472" s="20">
        <v>16.280999999999999</v>
      </c>
      <c r="J9472" s="44" t="s">
        <v>8</v>
      </c>
      <c r="K9472" s="23" t="s">
        <v>8</v>
      </c>
      <c r="L9472" s="23" t="s">
        <v>8</v>
      </c>
      <c r="M9472" s="23" t="s">
        <v>8</v>
      </c>
    </row>
    <row r="9473" spans="1:13" s="21" customFormat="1" x14ac:dyDescent="0.25">
      <c r="A9473" s="22" t="s">
        <v>8</v>
      </c>
      <c r="B9473" s="18" t="str">
        <f>"345395"</f>
        <v>345395</v>
      </c>
      <c r="C9473" s="19" t="s">
        <v>9338</v>
      </c>
      <c r="D9473" s="19" t="s">
        <v>24885</v>
      </c>
      <c r="E9473" s="19" t="s">
        <v>34296</v>
      </c>
      <c r="F9473" s="19" t="s">
        <v>36007</v>
      </c>
      <c r="G9473" s="18" t="str">
        <f>"28021"</f>
        <v>28021</v>
      </c>
      <c r="H9473" s="19" t="s">
        <v>36629</v>
      </c>
      <c r="I9473" s="20">
        <v>14.606999999999999</v>
      </c>
      <c r="J9473" s="44" t="s">
        <v>8</v>
      </c>
      <c r="K9473" s="23" t="s">
        <v>8</v>
      </c>
      <c r="L9473" s="23" t="s">
        <v>8</v>
      </c>
      <c r="M9473" s="23" t="s">
        <v>8</v>
      </c>
    </row>
    <row r="9474" spans="1:13" s="21" customFormat="1" x14ac:dyDescent="0.25">
      <c r="A9474" s="22" t="s">
        <v>8</v>
      </c>
      <c r="B9474" s="18" t="str">
        <f>"345396"</f>
        <v>345396</v>
      </c>
      <c r="C9474" s="19" t="s">
        <v>9339</v>
      </c>
      <c r="D9474" s="19" t="s">
        <v>24886</v>
      </c>
      <c r="E9474" s="19" t="s">
        <v>33637</v>
      </c>
      <c r="F9474" s="19" t="s">
        <v>36007</v>
      </c>
      <c r="G9474" s="18" t="str">
        <f>"28785"</f>
        <v>28785</v>
      </c>
      <c r="H9474" s="19" t="s">
        <v>36623</v>
      </c>
      <c r="I9474" s="20">
        <v>17.574999999999999</v>
      </c>
      <c r="J9474" s="44" t="s">
        <v>8</v>
      </c>
      <c r="K9474" s="23" t="s">
        <v>8</v>
      </c>
      <c r="L9474" s="23" t="s">
        <v>8</v>
      </c>
      <c r="M9474" s="23" t="s">
        <v>8</v>
      </c>
    </row>
    <row r="9475" spans="1:13" s="21" customFormat="1" x14ac:dyDescent="0.25">
      <c r="A9475" s="22" t="s">
        <v>8</v>
      </c>
      <c r="B9475" s="18" t="str">
        <f>"345397"</f>
        <v>345397</v>
      </c>
      <c r="C9475" s="19" t="s">
        <v>9340</v>
      </c>
      <c r="D9475" s="19" t="s">
        <v>24887</v>
      </c>
      <c r="E9475" s="19" t="s">
        <v>34286</v>
      </c>
      <c r="F9475" s="19" t="s">
        <v>36007</v>
      </c>
      <c r="G9475" s="18" t="str">
        <f>"28472"</f>
        <v>28472</v>
      </c>
      <c r="H9475" s="19" t="s">
        <v>31715</v>
      </c>
      <c r="I9475" s="20">
        <v>20.388000000000002</v>
      </c>
      <c r="J9475" s="44" t="s">
        <v>8</v>
      </c>
      <c r="K9475" s="23" t="s">
        <v>8</v>
      </c>
      <c r="L9475" s="23" t="s">
        <v>8</v>
      </c>
      <c r="M9475" s="23" t="s">
        <v>8</v>
      </c>
    </row>
    <row r="9476" spans="1:13" s="21" customFormat="1" x14ac:dyDescent="0.25">
      <c r="A9476" s="22" t="s">
        <v>8</v>
      </c>
      <c r="B9476" s="18" t="str">
        <f>"345400"</f>
        <v>345400</v>
      </c>
      <c r="C9476" s="19" t="s">
        <v>9341</v>
      </c>
      <c r="D9476" s="19" t="s">
        <v>24888</v>
      </c>
      <c r="E9476" s="19" t="s">
        <v>34310</v>
      </c>
      <c r="F9476" s="19" t="s">
        <v>36007</v>
      </c>
      <c r="G9476" s="18" t="str">
        <f>"28779"</f>
        <v>28779</v>
      </c>
      <c r="H9476" s="19" t="s">
        <v>30816</v>
      </c>
      <c r="I9476" s="20">
        <v>20.117999999999999</v>
      </c>
      <c r="J9476" s="44" t="s">
        <v>8</v>
      </c>
      <c r="K9476" s="23" t="s">
        <v>8</v>
      </c>
      <c r="L9476" s="23" t="s">
        <v>8</v>
      </c>
      <c r="M9476" s="23" t="s">
        <v>8</v>
      </c>
    </row>
    <row r="9477" spans="1:13" s="21" customFormat="1" x14ac:dyDescent="0.25">
      <c r="A9477" s="22" t="s">
        <v>8</v>
      </c>
      <c r="B9477" s="18" t="str">
        <f>"345401"</f>
        <v>345401</v>
      </c>
      <c r="C9477" s="19" t="s">
        <v>9342</v>
      </c>
      <c r="D9477" s="19" t="s">
        <v>24889</v>
      </c>
      <c r="E9477" s="19" t="s">
        <v>34329</v>
      </c>
      <c r="F9477" s="19" t="s">
        <v>36007</v>
      </c>
      <c r="G9477" s="18" t="str">
        <f>"28659"</f>
        <v>28659</v>
      </c>
      <c r="H9477" s="19" t="s">
        <v>36162</v>
      </c>
      <c r="I9477" s="20">
        <v>17.462</v>
      </c>
      <c r="J9477" s="44" t="s">
        <v>8</v>
      </c>
      <c r="K9477" s="23" t="s">
        <v>8</v>
      </c>
      <c r="L9477" s="23" t="s">
        <v>8</v>
      </c>
      <c r="M9477" s="23" t="s">
        <v>8</v>
      </c>
    </row>
    <row r="9478" spans="1:13" s="21" customFormat="1" x14ac:dyDescent="0.25">
      <c r="A9478" s="22" t="s">
        <v>8</v>
      </c>
      <c r="B9478" s="18" t="str">
        <f>"345403"</f>
        <v>345403</v>
      </c>
      <c r="C9478" s="19" t="s">
        <v>9343</v>
      </c>
      <c r="D9478" s="19" t="s">
        <v>24890</v>
      </c>
      <c r="E9478" s="19" t="s">
        <v>34333</v>
      </c>
      <c r="F9478" s="19" t="s">
        <v>36007</v>
      </c>
      <c r="G9478" s="18" t="str">
        <f>"27518"</f>
        <v>27518</v>
      </c>
      <c r="H9478" s="19" t="s">
        <v>36611</v>
      </c>
      <c r="I9478" s="20">
        <v>19.869</v>
      </c>
      <c r="J9478" s="44" t="s">
        <v>8</v>
      </c>
      <c r="K9478" s="23" t="s">
        <v>8</v>
      </c>
      <c r="L9478" s="23" t="s">
        <v>8</v>
      </c>
      <c r="M9478" s="23" t="s">
        <v>8</v>
      </c>
    </row>
    <row r="9479" spans="1:13" s="21" customFormat="1" x14ac:dyDescent="0.25">
      <c r="A9479" s="22" t="s">
        <v>8</v>
      </c>
      <c r="B9479" s="18" t="str">
        <f>"345404"</f>
        <v>345404</v>
      </c>
      <c r="C9479" s="19" t="s">
        <v>9344</v>
      </c>
      <c r="D9479" s="19" t="s">
        <v>24891</v>
      </c>
      <c r="E9479" s="19" t="s">
        <v>31367</v>
      </c>
      <c r="F9479" s="19" t="s">
        <v>36007</v>
      </c>
      <c r="G9479" s="18" t="str">
        <f>"27983"</f>
        <v>27983</v>
      </c>
      <c r="H9479" s="19" t="s">
        <v>36652</v>
      </c>
      <c r="I9479" s="20">
        <v>21.268000000000001</v>
      </c>
      <c r="J9479" s="44" t="s">
        <v>8</v>
      </c>
      <c r="K9479" s="23" t="s">
        <v>8</v>
      </c>
      <c r="L9479" s="23" t="s">
        <v>8</v>
      </c>
      <c r="M9479" s="23" t="s">
        <v>8</v>
      </c>
    </row>
    <row r="9480" spans="1:13" s="21" customFormat="1" x14ac:dyDescent="0.25">
      <c r="A9480" s="22" t="s">
        <v>8</v>
      </c>
      <c r="B9480" s="18" t="str">
        <f>"345405"</f>
        <v>345405</v>
      </c>
      <c r="C9480" s="19" t="s">
        <v>9345</v>
      </c>
      <c r="D9480" s="19" t="s">
        <v>24892</v>
      </c>
      <c r="E9480" s="19" t="s">
        <v>33156</v>
      </c>
      <c r="F9480" s="19" t="s">
        <v>36007</v>
      </c>
      <c r="G9480" s="18" t="str">
        <f>"28214"</f>
        <v>28214</v>
      </c>
      <c r="H9480" s="19" t="s">
        <v>36610</v>
      </c>
      <c r="I9480" s="20">
        <v>21.321000000000002</v>
      </c>
      <c r="J9480" s="44" t="s">
        <v>8</v>
      </c>
      <c r="K9480" s="23" t="s">
        <v>8</v>
      </c>
      <c r="L9480" s="23" t="s">
        <v>8</v>
      </c>
      <c r="M9480" s="23" t="s">
        <v>8</v>
      </c>
    </row>
    <row r="9481" spans="1:13" s="21" customFormat="1" x14ac:dyDescent="0.25">
      <c r="A9481" s="22" t="s">
        <v>8</v>
      </c>
      <c r="B9481" s="18" t="str">
        <f>"345406"</f>
        <v>345406</v>
      </c>
      <c r="C9481" s="19" t="s">
        <v>9346</v>
      </c>
      <c r="D9481" s="19" t="s">
        <v>24893</v>
      </c>
      <c r="E9481" s="19" t="s">
        <v>34334</v>
      </c>
      <c r="F9481" s="19" t="s">
        <v>36007</v>
      </c>
      <c r="G9481" s="18" t="str">
        <f>"27938"</f>
        <v>27938</v>
      </c>
      <c r="H9481" s="19" t="s">
        <v>36653</v>
      </c>
      <c r="I9481" s="20">
        <v>17.771999999999998</v>
      </c>
      <c r="J9481" s="44" t="s">
        <v>8</v>
      </c>
      <c r="K9481" s="23" t="s">
        <v>8</v>
      </c>
      <c r="L9481" s="23" t="s">
        <v>8</v>
      </c>
      <c r="M9481" s="23" t="s">
        <v>8</v>
      </c>
    </row>
    <row r="9482" spans="1:13" s="21" customFormat="1" x14ac:dyDescent="0.25">
      <c r="A9482" s="22" t="s">
        <v>8</v>
      </c>
      <c r="B9482" s="18" t="str">
        <f>"345407"</f>
        <v>345407</v>
      </c>
      <c r="C9482" s="19" t="s">
        <v>9347</v>
      </c>
      <c r="D9482" s="19" t="s">
        <v>24894</v>
      </c>
      <c r="E9482" s="19" t="s">
        <v>34335</v>
      </c>
      <c r="F9482" s="19" t="s">
        <v>36007</v>
      </c>
      <c r="G9482" s="18" t="str">
        <f>"27885"</f>
        <v>27885</v>
      </c>
      <c r="H9482" s="19" t="s">
        <v>36654</v>
      </c>
      <c r="I9482" s="20">
        <v>19.715</v>
      </c>
      <c r="J9482" s="44" t="s">
        <v>8</v>
      </c>
      <c r="K9482" s="23" t="s">
        <v>8</v>
      </c>
      <c r="L9482" s="23" t="s">
        <v>8</v>
      </c>
      <c r="M9482" s="23" t="s">
        <v>8</v>
      </c>
    </row>
    <row r="9483" spans="1:13" s="21" customFormat="1" x14ac:dyDescent="0.25">
      <c r="A9483" s="22" t="s">
        <v>8</v>
      </c>
      <c r="B9483" s="18" t="str">
        <f>"345408"</f>
        <v>345408</v>
      </c>
      <c r="C9483" s="19" t="s">
        <v>9348</v>
      </c>
      <c r="D9483" s="19" t="s">
        <v>24895</v>
      </c>
      <c r="E9483" s="19" t="s">
        <v>31487</v>
      </c>
      <c r="F9483" s="19" t="s">
        <v>36007</v>
      </c>
      <c r="G9483" s="18" t="str">
        <f>"27713"</f>
        <v>27713</v>
      </c>
      <c r="H9483" s="19" t="s">
        <v>31487</v>
      </c>
      <c r="I9483" s="20">
        <v>18.388000000000002</v>
      </c>
      <c r="J9483" s="44" t="s">
        <v>8</v>
      </c>
      <c r="K9483" s="23" t="s">
        <v>8</v>
      </c>
      <c r="L9483" s="23" t="s">
        <v>8</v>
      </c>
      <c r="M9483" s="23" t="s">
        <v>8</v>
      </c>
    </row>
    <row r="9484" spans="1:13" s="21" customFormat="1" x14ac:dyDescent="0.25">
      <c r="A9484" s="22" t="s">
        <v>8</v>
      </c>
      <c r="B9484" s="18" t="str">
        <f>"345409"</f>
        <v>345409</v>
      </c>
      <c r="C9484" s="19" t="s">
        <v>9349</v>
      </c>
      <c r="D9484" s="19" t="s">
        <v>24896</v>
      </c>
      <c r="E9484" s="19" t="s">
        <v>32751</v>
      </c>
      <c r="F9484" s="19" t="s">
        <v>36007</v>
      </c>
      <c r="G9484" s="18" t="str">
        <f>"28372"</f>
        <v>28372</v>
      </c>
      <c r="H9484" s="19" t="s">
        <v>36615</v>
      </c>
      <c r="I9484" s="20">
        <v>20.251000000000001</v>
      </c>
      <c r="J9484" s="44" t="s">
        <v>8</v>
      </c>
      <c r="K9484" s="23" t="s">
        <v>8</v>
      </c>
      <c r="L9484" s="23" t="s">
        <v>8</v>
      </c>
      <c r="M9484" s="23" t="s">
        <v>8</v>
      </c>
    </row>
    <row r="9485" spans="1:13" s="21" customFormat="1" x14ac:dyDescent="0.25">
      <c r="A9485" s="22" t="s">
        <v>8</v>
      </c>
      <c r="B9485" s="18" t="str">
        <f>"345410"</f>
        <v>345410</v>
      </c>
      <c r="C9485" s="19" t="s">
        <v>9350</v>
      </c>
      <c r="D9485" s="19" t="s">
        <v>24897</v>
      </c>
      <c r="E9485" s="19" t="s">
        <v>32982</v>
      </c>
      <c r="F9485" s="19" t="s">
        <v>36007</v>
      </c>
      <c r="G9485" s="18" t="str">
        <f>"27030"</f>
        <v>27030</v>
      </c>
      <c r="H9485" s="19" t="s">
        <v>36621</v>
      </c>
      <c r="I9485" s="20">
        <v>21.553000000000001</v>
      </c>
      <c r="J9485" s="44" t="s">
        <v>8</v>
      </c>
      <c r="K9485" s="23" t="s">
        <v>8</v>
      </c>
      <c r="L9485" s="23" t="s">
        <v>8</v>
      </c>
      <c r="M9485" s="23" t="s">
        <v>8</v>
      </c>
    </row>
    <row r="9486" spans="1:13" s="21" customFormat="1" x14ac:dyDescent="0.25">
      <c r="A9486" s="22" t="s">
        <v>8</v>
      </c>
      <c r="B9486" s="18" t="str">
        <f>"345411"</f>
        <v>345411</v>
      </c>
      <c r="C9486" s="19" t="s">
        <v>9351</v>
      </c>
      <c r="D9486" s="19" t="s">
        <v>24898</v>
      </c>
      <c r="E9486" s="19" t="s">
        <v>33637</v>
      </c>
      <c r="F9486" s="19" t="s">
        <v>36007</v>
      </c>
      <c r="G9486" s="18" t="str">
        <f>"28786"</f>
        <v>28786</v>
      </c>
      <c r="H9486" s="19" t="s">
        <v>36623</v>
      </c>
      <c r="I9486" s="20">
        <v>18.699000000000002</v>
      </c>
      <c r="J9486" s="44" t="s">
        <v>8</v>
      </c>
      <c r="K9486" s="23" t="s">
        <v>8</v>
      </c>
      <c r="L9486" s="23" t="s">
        <v>8</v>
      </c>
      <c r="M9486" s="23" t="s">
        <v>8</v>
      </c>
    </row>
    <row r="9487" spans="1:13" s="21" customFormat="1" x14ac:dyDescent="0.25">
      <c r="A9487" s="22" t="s">
        <v>8</v>
      </c>
      <c r="B9487" s="18" t="str">
        <f>"345412"</f>
        <v>345412</v>
      </c>
      <c r="C9487" s="19" t="s">
        <v>9352</v>
      </c>
      <c r="D9487" s="19" t="s">
        <v>24899</v>
      </c>
      <c r="E9487" s="19" t="s">
        <v>30861</v>
      </c>
      <c r="F9487" s="19" t="s">
        <v>36007</v>
      </c>
      <c r="G9487" s="18" t="str">
        <f>"27565"</f>
        <v>27565</v>
      </c>
      <c r="H9487" s="19" t="s">
        <v>34107</v>
      </c>
      <c r="I9487" s="20">
        <v>18.986000000000001</v>
      </c>
      <c r="J9487" s="44" t="s">
        <v>8</v>
      </c>
      <c r="K9487" s="23" t="s">
        <v>8</v>
      </c>
      <c r="L9487" s="23" t="s">
        <v>8</v>
      </c>
      <c r="M9487" s="23" t="s">
        <v>8</v>
      </c>
    </row>
    <row r="9488" spans="1:13" s="21" customFormat="1" x14ac:dyDescent="0.25">
      <c r="A9488" s="22" t="s">
        <v>8</v>
      </c>
      <c r="B9488" s="18" t="str">
        <f>"345413"</f>
        <v>345413</v>
      </c>
      <c r="C9488" s="19" t="s">
        <v>9353</v>
      </c>
      <c r="D9488" s="19" t="s">
        <v>24900</v>
      </c>
      <c r="E9488" s="19" t="s">
        <v>1570</v>
      </c>
      <c r="F9488" s="19" t="s">
        <v>36007</v>
      </c>
      <c r="G9488" s="18" t="str">
        <f>"28730"</f>
        <v>28730</v>
      </c>
      <c r="H9488" s="19" t="s">
        <v>36612</v>
      </c>
      <c r="I9488" s="20">
        <v>18.260999999999999</v>
      </c>
      <c r="J9488" s="44" t="s">
        <v>8</v>
      </c>
      <c r="K9488" s="23" t="s">
        <v>8</v>
      </c>
      <c r="L9488" s="23" t="s">
        <v>8</v>
      </c>
      <c r="M9488" s="23" t="s">
        <v>8</v>
      </c>
    </row>
    <row r="9489" spans="1:13" s="21" customFormat="1" x14ac:dyDescent="0.25">
      <c r="A9489" s="22" t="s">
        <v>8</v>
      </c>
      <c r="B9489" s="18" t="str">
        <f>"345414"</f>
        <v>345414</v>
      </c>
      <c r="C9489" s="19" t="s">
        <v>9354</v>
      </c>
      <c r="D9489" s="19" t="s">
        <v>24901</v>
      </c>
      <c r="E9489" s="19" t="s">
        <v>30991</v>
      </c>
      <c r="F9489" s="19" t="s">
        <v>36007</v>
      </c>
      <c r="G9489" s="18" t="str">
        <f>"28303"</f>
        <v>28303</v>
      </c>
      <c r="H9489" s="19" t="s">
        <v>32766</v>
      </c>
      <c r="I9489" s="20">
        <v>18.652000000000001</v>
      </c>
      <c r="J9489" s="44" t="s">
        <v>8</v>
      </c>
      <c r="K9489" s="23" t="s">
        <v>8</v>
      </c>
      <c r="L9489" s="23" t="s">
        <v>8</v>
      </c>
      <c r="M9489" s="23" t="s">
        <v>8</v>
      </c>
    </row>
    <row r="9490" spans="1:13" s="21" customFormat="1" x14ac:dyDescent="0.25">
      <c r="A9490" s="22" t="s">
        <v>8</v>
      </c>
      <c r="B9490" s="18" t="str">
        <f>"345415"</f>
        <v>345415</v>
      </c>
      <c r="C9490" s="19" t="s">
        <v>9355</v>
      </c>
      <c r="D9490" s="19" t="s">
        <v>24902</v>
      </c>
      <c r="E9490" s="19" t="s">
        <v>32712</v>
      </c>
      <c r="F9490" s="19" t="s">
        <v>36007</v>
      </c>
      <c r="G9490" s="18" t="str">
        <f>"28134"</f>
        <v>28134</v>
      </c>
      <c r="H9490" s="19" t="s">
        <v>36610</v>
      </c>
      <c r="I9490" s="20">
        <v>17.202999999999999</v>
      </c>
      <c r="J9490" s="44" t="s">
        <v>8</v>
      </c>
      <c r="K9490" s="23" t="s">
        <v>8</v>
      </c>
      <c r="L9490" s="23" t="s">
        <v>8</v>
      </c>
      <c r="M9490" s="23" t="s">
        <v>8</v>
      </c>
    </row>
    <row r="9491" spans="1:13" s="21" customFormat="1" x14ac:dyDescent="0.25">
      <c r="A9491" s="22" t="s">
        <v>8</v>
      </c>
      <c r="B9491" s="18" t="str">
        <f>"345416"</f>
        <v>345416</v>
      </c>
      <c r="C9491" s="19" t="s">
        <v>9356</v>
      </c>
      <c r="D9491" s="19" t="s">
        <v>24903</v>
      </c>
      <c r="E9491" s="19" t="s">
        <v>34336</v>
      </c>
      <c r="F9491" s="19" t="s">
        <v>36007</v>
      </c>
      <c r="G9491" s="18" t="str">
        <f>"27006"</f>
        <v>27006</v>
      </c>
      <c r="H9491" s="19" t="s">
        <v>36607</v>
      </c>
      <c r="I9491" s="20">
        <v>18.661999999999999</v>
      </c>
      <c r="J9491" s="44" t="s">
        <v>8</v>
      </c>
      <c r="K9491" s="23" t="s">
        <v>8</v>
      </c>
      <c r="L9491" s="23" t="s">
        <v>8</v>
      </c>
      <c r="M9491" s="23" t="s">
        <v>8</v>
      </c>
    </row>
    <row r="9492" spans="1:13" s="21" customFormat="1" x14ac:dyDescent="0.25">
      <c r="A9492" s="22" t="s">
        <v>8</v>
      </c>
      <c r="B9492" s="18" t="str">
        <f>"345417"</f>
        <v>345417</v>
      </c>
      <c r="C9492" s="19" t="s">
        <v>9357</v>
      </c>
      <c r="D9492" s="19" t="s">
        <v>24904</v>
      </c>
      <c r="E9492" s="19" t="s">
        <v>34337</v>
      </c>
      <c r="F9492" s="19" t="s">
        <v>36007</v>
      </c>
      <c r="G9492" s="18" t="str">
        <f>"27587"</f>
        <v>27587</v>
      </c>
      <c r="H9492" s="19" t="s">
        <v>36611</v>
      </c>
      <c r="I9492" s="20">
        <v>19.096</v>
      </c>
      <c r="J9492" s="44" t="s">
        <v>8</v>
      </c>
      <c r="K9492" s="23" t="s">
        <v>8</v>
      </c>
      <c r="L9492" s="23" t="s">
        <v>8</v>
      </c>
      <c r="M9492" s="23" t="s">
        <v>8</v>
      </c>
    </row>
    <row r="9493" spans="1:13" s="21" customFormat="1" x14ac:dyDescent="0.25">
      <c r="A9493" s="22" t="s">
        <v>8</v>
      </c>
      <c r="B9493" s="18" t="str">
        <f>"345418"</f>
        <v>345418</v>
      </c>
      <c r="C9493" s="19" t="s">
        <v>9358</v>
      </c>
      <c r="D9493" s="19" t="s">
        <v>24905</v>
      </c>
      <c r="E9493" s="19" t="s">
        <v>34338</v>
      </c>
      <c r="F9493" s="19" t="s">
        <v>36007</v>
      </c>
      <c r="G9493" s="18" t="str">
        <f>"28778"</f>
        <v>28778</v>
      </c>
      <c r="H9493" s="19" t="s">
        <v>36612</v>
      </c>
      <c r="I9493" s="20">
        <v>18.672000000000001</v>
      </c>
      <c r="J9493" s="44" t="s">
        <v>8</v>
      </c>
      <c r="K9493" s="23" t="s">
        <v>8</v>
      </c>
      <c r="L9493" s="23" t="s">
        <v>8</v>
      </c>
      <c r="M9493" s="23" t="s">
        <v>8</v>
      </c>
    </row>
    <row r="9494" spans="1:13" s="21" customFormat="1" x14ac:dyDescent="0.25">
      <c r="A9494" s="22" t="s">
        <v>8</v>
      </c>
      <c r="B9494" s="18" t="str">
        <f>"345419"</f>
        <v>345419</v>
      </c>
      <c r="C9494" s="19" t="s">
        <v>9359</v>
      </c>
      <c r="D9494" s="19" t="s">
        <v>24906</v>
      </c>
      <c r="E9494" s="19" t="s">
        <v>32692</v>
      </c>
      <c r="F9494" s="19" t="s">
        <v>36007</v>
      </c>
      <c r="G9494" s="18" t="str">
        <f>"27292"</f>
        <v>27292</v>
      </c>
      <c r="H9494" s="19" t="s">
        <v>36613</v>
      </c>
      <c r="I9494" s="20">
        <v>17.081</v>
      </c>
      <c r="J9494" s="44" t="s">
        <v>8</v>
      </c>
      <c r="K9494" s="23" t="s">
        <v>8</v>
      </c>
      <c r="L9494" s="23" t="s">
        <v>8</v>
      </c>
      <c r="M9494" s="23" t="s">
        <v>8</v>
      </c>
    </row>
    <row r="9495" spans="1:13" s="21" customFormat="1" x14ac:dyDescent="0.25">
      <c r="A9495" s="22" t="s">
        <v>8</v>
      </c>
      <c r="B9495" s="18" t="str">
        <f>"345420"</f>
        <v>345420</v>
      </c>
      <c r="C9495" s="19" t="s">
        <v>9360</v>
      </c>
      <c r="D9495" s="19" t="s">
        <v>24907</v>
      </c>
      <c r="E9495" s="19" t="s">
        <v>31369</v>
      </c>
      <c r="F9495" s="19" t="s">
        <v>36007</v>
      </c>
      <c r="G9495" s="18" t="str">
        <f>"27217"</f>
        <v>27217</v>
      </c>
      <c r="H9495" s="19" t="s">
        <v>36620</v>
      </c>
      <c r="I9495" s="20">
        <v>17.428000000000001</v>
      </c>
      <c r="J9495" s="44" t="s">
        <v>8</v>
      </c>
      <c r="K9495" s="23" t="s">
        <v>8</v>
      </c>
      <c r="L9495" s="23" t="s">
        <v>8</v>
      </c>
      <c r="M9495" s="23" t="s">
        <v>8</v>
      </c>
    </row>
    <row r="9496" spans="1:13" s="21" customFormat="1" x14ac:dyDescent="0.25">
      <c r="A9496" s="22" t="s">
        <v>8</v>
      </c>
      <c r="B9496" s="18" t="str">
        <f>"345421"</f>
        <v>345421</v>
      </c>
      <c r="C9496" s="19" t="s">
        <v>9361</v>
      </c>
      <c r="D9496" s="19" t="s">
        <v>24908</v>
      </c>
      <c r="E9496" s="19" t="s">
        <v>34339</v>
      </c>
      <c r="F9496" s="19" t="s">
        <v>36007</v>
      </c>
      <c r="G9496" s="18" t="str">
        <f>"27312"</f>
        <v>27312</v>
      </c>
      <c r="H9496" s="19" t="s">
        <v>33903</v>
      </c>
      <c r="I9496" s="20">
        <v>18.594000000000001</v>
      </c>
      <c r="J9496" s="44" t="s">
        <v>8</v>
      </c>
      <c r="K9496" s="23" t="s">
        <v>8</v>
      </c>
      <c r="L9496" s="23" t="s">
        <v>8</v>
      </c>
      <c r="M9496" s="23" t="s">
        <v>8</v>
      </c>
    </row>
    <row r="9497" spans="1:13" s="21" customFormat="1" x14ac:dyDescent="0.25">
      <c r="A9497" s="22" t="s">
        <v>8</v>
      </c>
      <c r="B9497" s="18" t="str">
        <f>"345423"</f>
        <v>345423</v>
      </c>
      <c r="C9497" s="19" t="s">
        <v>9362</v>
      </c>
      <c r="D9497" s="19" t="s">
        <v>24909</v>
      </c>
      <c r="E9497" s="19" t="s">
        <v>32577</v>
      </c>
      <c r="F9497" s="19" t="s">
        <v>36007</v>
      </c>
      <c r="G9497" s="18" t="str">
        <f>"27893"</f>
        <v>27893</v>
      </c>
      <c r="H9497" s="19" t="s">
        <v>32577</v>
      </c>
      <c r="I9497" s="20">
        <v>18.056999999999999</v>
      </c>
      <c r="J9497" s="44" t="s">
        <v>8</v>
      </c>
      <c r="K9497" s="23" t="s">
        <v>8</v>
      </c>
      <c r="L9497" s="23" t="s">
        <v>8</v>
      </c>
      <c r="M9497" s="23" t="s">
        <v>8</v>
      </c>
    </row>
    <row r="9498" spans="1:13" s="21" customFormat="1" x14ac:dyDescent="0.25">
      <c r="A9498" s="22" t="s">
        <v>8</v>
      </c>
      <c r="B9498" s="18" t="str">
        <f>"345425"</f>
        <v>345425</v>
      </c>
      <c r="C9498" s="19" t="s">
        <v>9363</v>
      </c>
      <c r="D9498" s="19" t="s">
        <v>24910</v>
      </c>
      <c r="E9498" s="19" t="s">
        <v>34340</v>
      </c>
      <c r="F9498" s="19" t="s">
        <v>36007</v>
      </c>
      <c r="G9498" s="18" t="str">
        <f>"28018"</f>
        <v>28018</v>
      </c>
      <c r="H9498" s="19" t="s">
        <v>36618</v>
      </c>
      <c r="I9498" s="20">
        <v>18.100000000000001</v>
      </c>
      <c r="J9498" s="44" t="s">
        <v>8</v>
      </c>
      <c r="K9498" s="23" t="s">
        <v>8</v>
      </c>
      <c r="L9498" s="23" t="s">
        <v>8</v>
      </c>
      <c r="M9498" s="23" t="s">
        <v>8</v>
      </c>
    </row>
    <row r="9499" spans="1:13" s="21" customFormat="1" x14ac:dyDescent="0.25">
      <c r="A9499" s="22" t="s">
        <v>8</v>
      </c>
      <c r="B9499" s="18" t="str">
        <f>"345426"</f>
        <v>345426</v>
      </c>
      <c r="C9499" s="19" t="s">
        <v>9364</v>
      </c>
      <c r="D9499" s="19" t="s">
        <v>24911</v>
      </c>
      <c r="E9499" s="19" t="s">
        <v>34341</v>
      </c>
      <c r="F9499" s="19" t="s">
        <v>36007</v>
      </c>
      <c r="G9499" s="18" t="str">
        <f>"28901"</f>
        <v>28901</v>
      </c>
      <c r="H9499" s="19" t="s">
        <v>32436</v>
      </c>
      <c r="I9499" s="20">
        <v>16.771000000000001</v>
      </c>
      <c r="J9499" s="44" t="s">
        <v>8</v>
      </c>
      <c r="K9499" s="23" t="s">
        <v>8</v>
      </c>
      <c r="L9499" s="23" t="s">
        <v>8</v>
      </c>
      <c r="M9499" s="23" t="s">
        <v>8</v>
      </c>
    </row>
    <row r="9500" spans="1:13" s="21" customFormat="1" x14ac:dyDescent="0.25">
      <c r="A9500" s="22" t="s">
        <v>8</v>
      </c>
      <c r="B9500" s="18" t="str">
        <f>"345428"</f>
        <v>345428</v>
      </c>
      <c r="C9500" s="19" t="s">
        <v>9365</v>
      </c>
      <c r="D9500" s="19" t="s">
        <v>24912</v>
      </c>
      <c r="E9500" s="19" t="s">
        <v>31440</v>
      </c>
      <c r="F9500" s="19" t="s">
        <v>36007</v>
      </c>
      <c r="G9500" s="18" t="str">
        <f>"28147"</f>
        <v>28147</v>
      </c>
      <c r="H9500" s="19" t="s">
        <v>36326</v>
      </c>
      <c r="I9500" s="20">
        <v>19.222999999999999</v>
      </c>
      <c r="J9500" s="44" t="s">
        <v>8</v>
      </c>
      <c r="K9500" s="23" t="s">
        <v>8</v>
      </c>
      <c r="L9500" s="23" t="s">
        <v>8</v>
      </c>
      <c r="M9500" s="23" t="s">
        <v>8</v>
      </c>
    </row>
    <row r="9501" spans="1:13" s="21" customFormat="1" x14ac:dyDescent="0.25">
      <c r="A9501" s="22" t="s">
        <v>8</v>
      </c>
      <c r="B9501" s="18" t="str">
        <f>"345429"</f>
        <v>345429</v>
      </c>
      <c r="C9501" s="19" t="s">
        <v>9366</v>
      </c>
      <c r="D9501" s="19" t="s">
        <v>24913</v>
      </c>
      <c r="E9501" s="19" t="s">
        <v>33527</v>
      </c>
      <c r="F9501" s="19" t="s">
        <v>36007</v>
      </c>
      <c r="G9501" s="18" t="str">
        <f>"28327"</f>
        <v>28327</v>
      </c>
      <c r="H9501" s="19" t="s">
        <v>34689</v>
      </c>
      <c r="I9501" s="20">
        <v>19.606000000000002</v>
      </c>
      <c r="J9501" s="44" t="s">
        <v>8</v>
      </c>
      <c r="K9501" s="23" t="s">
        <v>8</v>
      </c>
      <c r="L9501" s="23" t="s">
        <v>8</v>
      </c>
      <c r="M9501" s="23" t="s">
        <v>8</v>
      </c>
    </row>
    <row r="9502" spans="1:13" s="21" customFormat="1" x14ac:dyDescent="0.25">
      <c r="A9502" s="22" t="s">
        <v>8</v>
      </c>
      <c r="B9502" s="18" t="str">
        <f>"345432"</f>
        <v>345432</v>
      </c>
      <c r="C9502" s="19" t="s">
        <v>9367</v>
      </c>
      <c r="D9502" s="19" t="s">
        <v>24914</v>
      </c>
      <c r="E9502" s="19" t="s">
        <v>34240</v>
      </c>
      <c r="F9502" s="19" t="s">
        <v>36007</v>
      </c>
      <c r="G9502" s="18" t="str">
        <f>"28806"</f>
        <v>28806</v>
      </c>
      <c r="H9502" s="19" t="s">
        <v>36612</v>
      </c>
      <c r="I9502" s="20">
        <v>19.565999999999999</v>
      </c>
      <c r="J9502" s="44" t="s">
        <v>8</v>
      </c>
      <c r="K9502" s="23" t="s">
        <v>8</v>
      </c>
      <c r="L9502" s="23" t="s">
        <v>8</v>
      </c>
      <c r="M9502" s="23" t="s">
        <v>8</v>
      </c>
    </row>
    <row r="9503" spans="1:13" s="21" customFormat="1" x14ac:dyDescent="0.25">
      <c r="A9503" s="22" t="s">
        <v>8</v>
      </c>
      <c r="B9503" s="18" t="str">
        <f>"345433"</f>
        <v>345433</v>
      </c>
      <c r="C9503" s="19" t="s">
        <v>9368</v>
      </c>
      <c r="D9503" s="19" t="s">
        <v>24915</v>
      </c>
      <c r="E9503" s="19" t="s">
        <v>34342</v>
      </c>
      <c r="F9503" s="19" t="s">
        <v>36007</v>
      </c>
      <c r="G9503" s="18" t="str">
        <f>"28904"</f>
        <v>28904</v>
      </c>
      <c r="H9503" s="19" t="s">
        <v>36030</v>
      </c>
      <c r="I9503" s="20">
        <v>18.145</v>
      </c>
      <c r="J9503" s="44" t="s">
        <v>8</v>
      </c>
      <c r="K9503" s="23" t="s">
        <v>8</v>
      </c>
      <c r="L9503" s="23" t="s">
        <v>8</v>
      </c>
      <c r="M9503" s="23" t="s">
        <v>8</v>
      </c>
    </row>
    <row r="9504" spans="1:13" s="21" customFormat="1" x14ac:dyDescent="0.25">
      <c r="A9504" s="22" t="s">
        <v>8</v>
      </c>
      <c r="B9504" s="18" t="str">
        <f>"345434"</f>
        <v>345434</v>
      </c>
      <c r="C9504" s="19" t="s">
        <v>9369</v>
      </c>
      <c r="D9504" s="19" t="s">
        <v>24916</v>
      </c>
      <c r="E9504" s="19" t="s">
        <v>31487</v>
      </c>
      <c r="F9504" s="19" t="s">
        <v>36007</v>
      </c>
      <c r="G9504" s="18" t="str">
        <f>"27704"</f>
        <v>27704</v>
      </c>
      <c r="H9504" s="19" t="s">
        <v>31487</v>
      </c>
      <c r="I9504" s="20">
        <v>19.443999999999999</v>
      </c>
      <c r="J9504" s="44" t="s">
        <v>8</v>
      </c>
      <c r="K9504" s="23" t="s">
        <v>8</v>
      </c>
      <c r="L9504" s="23" t="s">
        <v>8</v>
      </c>
      <c r="M9504" s="23" t="s">
        <v>8</v>
      </c>
    </row>
    <row r="9505" spans="1:13" s="21" customFormat="1" x14ac:dyDescent="0.25">
      <c r="A9505" s="22" t="s">
        <v>8</v>
      </c>
      <c r="B9505" s="18" t="str">
        <f>"345436"</f>
        <v>345436</v>
      </c>
      <c r="C9505" s="19" t="s">
        <v>9370</v>
      </c>
      <c r="D9505" s="19" t="s">
        <v>24917</v>
      </c>
      <c r="E9505" s="19" t="s">
        <v>34343</v>
      </c>
      <c r="F9505" s="19" t="s">
        <v>36007</v>
      </c>
      <c r="G9505" s="18" t="str">
        <f>"27545"</f>
        <v>27545</v>
      </c>
      <c r="H9505" s="19" t="s">
        <v>36611</v>
      </c>
      <c r="I9505" s="20">
        <v>15.932</v>
      </c>
      <c r="J9505" s="44" t="s">
        <v>8</v>
      </c>
      <c r="K9505" s="23" t="s">
        <v>8</v>
      </c>
      <c r="L9505" s="23" t="s">
        <v>8</v>
      </c>
      <c r="M9505" s="23" t="s">
        <v>8</v>
      </c>
    </row>
    <row r="9506" spans="1:13" s="21" customFormat="1" x14ac:dyDescent="0.25">
      <c r="A9506" s="22" t="s">
        <v>8</v>
      </c>
      <c r="B9506" s="18" t="str">
        <f>"345437"</f>
        <v>345437</v>
      </c>
      <c r="C9506" s="19" t="s">
        <v>9371</v>
      </c>
      <c r="D9506" s="19" t="s">
        <v>24918</v>
      </c>
      <c r="E9506" s="19" t="s">
        <v>34344</v>
      </c>
      <c r="F9506" s="19" t="s">
        <v>36007</v>
      </c>
      <c r="G9506" s="18" t="str">
        <f>"28741"</f>
        <v>28741</v>
      </c>
      <c r="H9506" s="19" t="s">
        <v>31733</v>
      </c>
      <c r="I9506" s="20">
        <v>18.922999999999998</v>
      </c>
      <c r="J9506" s="44" t="s">
        <v>8</v>
      </c>
      <c r="K9506" s="23" t="s">
        <v>8</v>
      </c>
      <c r="L9506" s="23" t="s">
        <v>8</v>
      </c>
      <c r="M9506" s="23" t="s">
        <v>8</v>
      </c>
    </row>
    <row r="9507" spans="1:13" s="21" customFormat="1" x14ac:dyDescent="0.25">
      <c r="A9507" s="22" t="s">
        <v>8</v>
      </c>
      <c r="B9507" s="18" t="str">
        <f>"345438"</f>
        <v>345438</v>
      </c>
      <c r="C9507" s="19" t="s">
        <v>9372</v>
      </c>
      <c r="D9507" s="19" t="s">
        <v>24919</v>
      </c>
      <c r="E9507" s="19" t="s">
        <v>34240</v>
      </c>
      <c r="F9507" s="19" t="s">
        <v>36007</v>
      </c>
      <c r="G9507" s="18" t="str">
        <f>"28805"</f>
        <v>28805</v>
      </c>
      <c r="H9507" s="19" t="s">
        <v>36612</v>
      </c>
      <c r="I9507" s="20">
        <v>18.512</v>
      </c>
      <c r="J9507" s="44" t="s">
        <v>8</v>
      </c>
      <c r="K9507" s="23" t="s">
        <v>8</v>
      </c>
      <c r="L9507" s="23" t="s">
        <v>8</v>
      </c>
      <c r="M9507" s="23" t="s">
        <v>8</v>
      </c>
    </row>
    <row r="9508" spans="1:13" s="21" customFormat="1" x14ac:dyDescent="0.25">
      <c r="A9508" s="22" t="s">
        <v>8</v>
      </c>
      <c r="B9508" s="18" t="str">
        <f>"345439"</f>
        <v>345439</v>
      </c>
      <c r="C9508" s="19" t="s">
        <v>9373</v>
      </c>
      <c r="D9508" s="19" t="s">
        <v>24920</v>
      </c>
      <c r="E9508" s="19" t="s">
        <v>33986</v>
      </c>
      <c r="F9508" s="19" t="s">
        <v>36007</v>
      </c>
      <c r="G9508" s="18" t="str">
        <f>"27278"</f>
        <v>27278</v>
      </c>
      <c r="H9508" s="19" t="s">
        <v>31169</v>
      </c>
      <c r="I9508" s="20">
        <v>17.146000000000001</v>
      </c>
      <c r="J9508" s="44" t="s">
        <v>8</v>
      </c>
      <c r="K9508" s="23" t="s">
        <v>8</v>
      </c>
      <c r="L9508" s="23" t="s">
        <v>8</v>
      </c>
      <c r="M9508" s="23" t="s">
        <v>8</v>
      </c>
    </row>
    <row r="9509" spans="1:13" s="21" customFormat="1" x14ac:dyDescent="0.25">
      <c r="A9509" s="22" t="s">
        <v>8</v>
      </c>
      <c r="B9509" s="18" t="str">
        <f>"345441"</f>
        <v>345441</v>
      </c>
      <c r="C9509" s="19" t="s">
        <v>9374</v>
      </c>
      <c r="D9509" s="19" t="s">
        <v>24921</v>
      </c>
      <c r="E9509" s="19" t="s">
        <v>34271</v>
      </c>
      <c r="F9509" s="19" t="s">
        <v>36007</v>
      </c>
      <c r="G9509" s="18" t="str">
        <f>"28054"</f>
        <v>28054</v>
      </c>
      <c r="H9509" s="19" t="s">
        <v>36629</v>
      </c>
      <c r="I9509" s="20">
        <v>17.863</v>
      </c>
      <c r="J9509" s="44" t="s">
        <v>8</v>
      </c>
      <c r="K9509" s="23" t="s">
        <v>8</v>
      </c>
      <c r="L9509" s="23" t="s">
        <v>8</v>
      </c>
      <c r="M9509" s="23" t="s">
        <v>8</v>
      </c>
    </row>
    <row r="9510" spans="1:13" s="21" customFormat="1" x14ac:dyDescent="0.25">
      <c r="A9510" s="22" t="s">
        <v>8</v>
      </c>
      <c r="B9510" s="18" t="str">
        <f>"345442"</f>
        <v>345442</v>
      </c>
      <c r="C9510" s="19" t="s">
        <v>9375</v>
      </c>
      <c r="D9510" s="19" t="s">
        <v>24922</v>
      </c>
      <c r="E9510" s="19" t="s">
        <v>34256</v>
      </c>
      <c r="F9510" s="19" t="s">
        <v>36007</v>
      </c>
      <c r="G9510" s="18" t="str">
        <f>"28001"</f>
        <v>28001</v>
      </c>
      <c r="H9510" s="19" t="s">
        <v>36624</v>
      </c>
      <c r="I9510" s="20">
        <v>18.856000000000002</v>
      </c>
      <c r="J9510" s="44" t="s">
        <v>8</v>
      </c>
      <c r="K9510" s="23" t="s">
        <v>8</v>
      </c>
      <c r="L9510" s="23" t="s">
        <v>8</v>
      </c>
      <c r="M9510" s="23" t="s">
        <v>8</v>
      </c>
    </row>
    <row r="9511" spans="1:13" s="21" customFormat="1" x14ac:dyDescent="0.25">
      <c r="A9511" s="22" t="s">
        <v>8</v>
      </c>
      <c r="B9511" s="18" t="str">
        <f>"345443"</f>
        <v>345443</v>
      </c>
      <c r="C9511" s="19" t="s">
        <v>9376</v>
      </c>
      <c r="D9511" s="19" t="s">
        <v>24923</v>
      </c>
      <c r="E9511" s="19" t="s">
        <v>34304</v>
      </c>
      <c r="F9511" s="19" t="s">
        <v>36007</v>
      </c>
      <c r="G9511" s="18" t="str">
        <f>"27105"</f>
        <v>27105</v>
      </c>
      <c r="H9511" s="19" t="s">
        <v>31754</v>
      </c>
      <c r="I9511" s="20">
        <v>22.856000000000002</v>
      </c>
      <c r="J9511" s="44" t="s">
        <v>8</v>
      </c>
      <c r="K9511" s="23" t="s">
        <v>8</v>
      </c>
      <c r="L9511" s="23" t="s">
        <v>8</v>
      </c>
      <c r="M9511" s="23" t="s">
        <v>8</v>
      </c>
    </row>
    <row r="9512" spans="1:13" s="21" customFormat="1" x14ac:dyDescent="0.25">
      <c r="A9512" s="22" t="s">
        <v>8</v>
      </c>
      <c r="B9512" s="18" t="str">
        <f>"345445"</f>
        <v>345445</v>
      </c>
      <c r="C9512" s="19" t="s">
        <v>9377</v>
      </c>
      <c r="D9512" s="19" t="s">
        <v>24924</v>
      </c>
      <c r="E9512" s="19" t="s">
        <v>34333</v>
      </c>
      <c r="F9512" s="19" t="s">
        <v>36007</v>
      </c>
      <c r="G9512" s="18" t="str">
        <f>"27511"</f>
        <v>27511</v>
      </c>
      <c r="H9512" s="19" t="s">
        <v>36611</v>
      </c>
      <c r="I9512" s="20">
        <v>15.214</v>
      </c>
      <c r="J9512" s="44" t="s">
        <v>8</v>
      </c>
      <c r="K9512" s="23" t="s">
        <v>8</v>
      </c>
      <c r="L9512" s="23" t="s">
        <v>8</v>
      </c>
      <c r="M9512" s="23" t="s">
        <v>8</v>
      </c>
    </row>
    <row r="9513" spans="1:13" s="21" customFormat="1" x14ac:dyDescent="0.25">
      <c r="A9513" s="22" t="s">
        <v>8</v>
      </c>
      <c r="B9513" s="18" t="str">
        <f>"345446"</f>
        <v>345446</v>
      </c>
      <c r="C9513" s="19" t="s">
        <v>9378</v>
      </c>
      <c r="D9513" s="19" t="s">
        <v>24925</v>
      </c>
      <c r="E9513" s="19" t="s">
        <v>34345</v>
      </c>
      <c r="F9513" s="19" t="s">
        <v>36007</v>
      </c>
      <c r="G9513" s="18" t="str">
        <f>"28612"</f>
        <v>28612</v>
      </c>
      <c r="H9513" s="19" t="s">
        <v>35398</v>
      </c>
      <c r="I9513" s="20">
        <v>16.122</v>
      </c>
      <c r="J9513" s="44" t="s">
        <v>8</v>
      </c>
      <c r="K9513" s="23" t="s">
        <v>8</v>
      </c>
      <c r="L9513" s="23" t="s">
        <v>8</v>
      </c>
      <c r="M9513" s="23" t="s">
        <v>8</v>
      </c>
    </row>
    <row r="9514" spans="1:13" s="21" customFormat="1" x14ac:dyDescent="0.25">
      <c r="A9514" s="22" t="s">
        <v>8</v>
      </c>
      <c r="B9514" s="18" t="str">
        <f>"345447"</f>
        <v>345447</v>
      </c>
      <c r="C9514" s="19" t="s">
        <v>9379</v>
      </c>
      <c r="D9514" s="19" t="s">
        <v>24926</v>
      </c>
      <c r="E9514" s="19" t="s">
        <v>34240</v>
      </c>
      <c r="F9514" s="19" t="s">
        <v>36007</v>
      </c>
      <c r="G9514" s="18" t="str">
        <f>"28804"</f>
        <v>28804</v>
      </c>
      <c r="H9514" s="19" t="s">
        <v>36612</v>
      </c>
      <c r="I9514" s="20">
        <v>15.916</v>
      </c>
      <c r="J9514" s="44" t="s">
        <v>8</v>
      </c>
      <c r="K9514" s="23" t="s">
        <v>8</v>
      </c>
      <c r="L9514" s="23" t="s">
        <v>8</v>
      </c>
      <c r="M9514" s="23" t="s">
        <v>8</v>
      </c>
    </row>
    <row r="9515" spans="1:13" s="21" customFormat="1" x14ac:dyDescent="0.25">
      <c r="A9515" s="22" t="s">
        <v>8</v>
      </c>
      <c r="B9515" s="18" t="str">
        <f>"345448"</f>
        <v>345448</v>
      </c>
      <c r="C9515" s="19" t="s">
        <v>9380</v>
      </c>
      <c r="D9515" s="19" t="s">
        <v>24927</v>
      </c>
      <c r="E9515" s="19" t="s">
        <v>30811</v>
      </c>
      <c r="F9515" s="19" t="s">
        <v>36007</v>
      </c>
      <c r="G9515" s="18" t="str">
        <f>"27406"</f>
        <v>27406</v>
      </c>
      <c r="H9515" s="19" t="s">
        <v>31417</v>
      </c>
      <c r="I9515" s="20">
        <v>18.103000000000002</v>
      </c>
      <c r="J9515" s="44" t="s">
        <v>8</v>
      </c>
      <c r="K9515" s="23" t="s">
        <v>8</v>
      </c>
      <c r="L9515" s="23" t="s">
        <v>8</v>
      </c>
      <c r="M9515" s="23" t="s">
        <v>8</v>
      </c>
    </row>
    <row r="9516" spans="1:13" s="21" customFormat="1" x14ac:dyDescent="0.25">
      <c r="A9516" s="22" t="s">
        <v>8</v>
      </c>
      <c r="B9516" s="18" t="str">
        <f>"345449"</f>
        <v>345449</v>
      </c>
      <c r="C9516" s="19" t="s">
        <v>9381</v>
      </c>
      <c r="D9516" s="19" t="s">
        <v>24928</v>
      </c>
      <c r="E9516" s="19" t="s">
        <v>34327</v>
      </c>
      <c r="F9516" s="19" t="s">
        <v>36007</v>
      </c>
      <c r="G9516" s="18" t="str">
        <f>"27021"</f>
        <v>27021</v>
      </c>
      <c r="H9516" s="19" t="s">
        <v>36619</v>
      </c>
      <c r="I9516" s="20">
        <v>16.800999999999998</v>
      </c>
      <c r="J9516" s="44" t="s">
        <v>8</v>
      </c>
      <c r="K9516" s="23" t="s">
        <v>8</v>
      </c>
      <c r="L9516" s="23" t="s">
        <v>8</v>
      </c>
      <c r="M9516" s="23" t="s">
        <v>8</v>
      </c>
    </row>
    <row r="9517" spans="1:13" s="21" customFormat="1" x14ac:dyDescent="0.25">
      <c r="A9517" s="22" t="s">
        <v>8</v>
      </c>
      <c r="B9517" s="18" t="str">
        <f>"345450"</f>
        <v>345450</v>
      </c>
      <c r="C9517" s="19" t="s">
        <v>9382</v>
      </c>
      <c r="D9517" s="19" t="s">
        <v>24929</v>
      </c>
      <c r="E9517" s="19" t="s">
        <v>34346</v>
      </c>
      <c r="F9517" s="19" t="s">
        <v>36007</v>
      </c>
      <c r="G9517" s="18" t="str">
        <f>"27263"</f>
        <v>27263</v>
      </c>
      <c r="H9517" s="19" t="s">
        <v>31417</v>
      </c>
      <c r="I9517" s="20">
        <v>18.140999999999998</v>
      </c>
      <c r="J9517" s="44" t="s">
        <v>8</v>
      </c>
      <c r="K9517" s="23" t="s">
        <v>8</v>
      </c>
      <c r="L9517" s="23" t="s">
        <v>8</v>
      </c>
      <c r="M9517" s="23" t="s">
        <v>8</v>
      </c>
    </row>
    <row r="9518" spans="1:13" s="21" customFormat="1" x14ac:dyDescent="0.25">
      <c r="A9518" s="22" t="s">
        <v>8</v>
      </c>
      <c r="B9518" s="18" t="str">
        <f>"345457"</f>
        <v>345457</v>
      </c>
      <c r="C9518" s="19" t="s">
        <v>9383</v>
      </c>
      <c r="D9518" s="19" t="s">
        <v>24930</v>
      </c>
      <c r="E9518" s="19" t="s">
        <v>34271</v>
      </c>
      <c r="F9518" s="19" t="s">
        <v>36007</v>
      </c>
      <c r="G9518" s="18" t="str">
        <f>"28052"</f>
        <v>28052</v>
      </c>
      <c r="H9518" s="19" t="s">
        <v>36629</v>
      </c>
      <c r="I9518" s="20">
        <v>19.181999999999999</v>
      </c>
      <c r="J9518" s="44" t="s">
        <v>8</v>
      </c>
      <c r="K9518" s="23" t="s">
        <v>8</v>
      </c>
      <c r="L9518" s="23" t="s">
        <v>8</v>
      </c>
      <c r="M9518" s="23" t="s">
        <v>8</v>
      </c>
    </row>
    <row r="9519" spans="1:13" s="21" customFormat="1" x14ac:dyDescent="0.25">
      <c r="A9519" s="22" t="s">
        <v>8</v>
      </c>
      <c r="B9519" s="18" t="str">
        <f>"345458"</f>
        <v>345458</v>
      </c>
      <c r="C9519" s="19" t="s">
        <v>9384</v>
      </c>
      <c r="D9519" s="19" t="s">
        <v>24931</v>
      </c>
      <c r="E9519" s="19" t="s">
        <v>31487</v>
      </c>
      <c r="F9519" s="19" t="s">
        <v>36007</v>
      </c>
      <c r="G9519" s="18" t="str">
        <f>"27712"</f>
        <v>27712</v>
      </c>
      <c r="H9519" s="19" t="s">
        <v>31487</v>
      </c>
      <c r="I9519" s="20">
        <v>18.228000000000002</v>
      </c>
      <c r="J9519" s="44" t="s">
        <v>8</v>
      </c>
      <c r="K9519" s="23" t="s">
        <v>8</v>
      </c>
      <c r="L9519" s="23" t="s">
        <v>8</v>
      </c>
      <c r="M9519" s="23" t="s">
        <v>8</v>
      </c>
    </row>
    <row r="9520" spans="1:13" s="21" customFormat="1" x14ac:dyDescent="0.25">
      <c r="A9520" s="22" t="s">
        <v>8</v>
      </c>
      <c r="B9520" s="18" t="str">
        <f>"345459"</f>
        <v>345459</v>
      </c>
      <c r="C9520" s="19" t="s">
        <v>9385</v>
      </c>
      <c r="D9520" s="19" t="s">
        <v>24932</v>
      </c>
      <c r="E9520" s="19" t="s">
        <v>31715</v>
      </c>
      <c r="F9520" s="19" t="s">
        <v>36007</v>
      </c>
      <c r="G9520" s="18" t="str">
        <f>"28722"</f>
        <v>28722</v>
      </c>
      <c r="H9520" s="19" t="s">
        <v>36062</v>
      </c>
      <c r="I9520" s="20">
        <v>17.312000000000001</v>
      </c>
      <c r="J9520" s="44" t="s">
        <v>8</v>
      </c>
      <c r="K9520" s="23" t="s">
        <v>8</v>
      </c>
      <c r="L9520" s="23" t="s">
        <v>8</v>
      </c>
      <c r="M9520" s="23" t="s">
        <v>8</v>
      </c>
    </row>
    <row r="9521" spans="1:13" s="21" customFormat="1" x14ac:dyDescent="0.25">
      <c r="A9521" s="22" t="s">
        <v>8</v>
      </c>
      <c r="B9521" s="18" t="str">
        <f>"345460"</f>
        <v>345460</v>
      </c>
      <c r="C9521" s="19" t="s">
        <v>9386</v>
      </c>
      <c r="D9521" s="19" t="s">
        <v>24933</v>
      </c>
      <c r="E9521" s="19" t="s">
        <v>30811</v>
      </c>
      <c r="F9521" s="19" t="s">
        <v>36007</v>
      </c>
      <c r="G9521" s="18" t="str">
        <f>"27406"</f>
        <v>27406</v>
      </c>
      <c r="H9521" s="19" t="s">
        <v>31417</v>
      </c>
      <c r="I9521" s="20">
        <v>17.192</v>
      </c>
      <c r="J9521" s="44" t="s">
        <v>8</v>
      </c>
      <c r="K9521" s="23" t="s">
        <v>8</v>
      </c>
      <c r="L9521" s="23" t="s">
        <v>8</v>
      </c>
      <c r="M9521" s="23" t="s">
        <v>8</v>
      </c>
    </row>
    <row r="9522" spans="1:13" s="21" customFormat="1" x14ac:dyDescent="0.25">
      <c r="A9522" s="22" t="s">
        <v>8</v>
      </c>
      <c r="B9522" s="18" t="str">
        <f>"345462"</f>
        <v>345462</v>
      </c>
      <c r="C9522" s="19" t="s">
        <v>9387</v>
      </c>
      <c r="D9522" s="19" t="s">
        <v>24934</v>
      </c>
      <c r="E9522" s="19" t="s">
        <v>34287</v>
      </c>
      <c r="F9522" s="19" t="s">
        <v>36007</v>
      </c>
      <c r="G9522" s="18" t="str">
        <f>"28712"</f>
        <v>28712</v>
      </c>
      <c r="H9522" s="19" t="s">
        <v>36639</v>
      </c>
      <c r="I9522" s="20">
        <v>17.841000000000001</v>
      </c>
      <c r="J9522" s="44" t="s">
        <v>8</v>
      </c>
      <c r="K9522" s="23" t="s">
        <v>8</v>
      </c>
      <c r="L9522" s="23" t="s">
        <v>8</v>
      </c>
      <c r="M9522" s="23" t="s">
        <v>8</v>
      </c>
    </row>
    <row r="9523" spans="1:13" s="21" customFormat="1" x14ac:dyDescent="0.25">
      <c r="A9523" s="22" t="s">
        <v>8</v>
      </c>
      <c r="B9523" s="18" t="str">
        <f>"345463"</f>
        <v>345463</v>
      </c>
      <c r="C9523" s="19" t="s">
        <v>9388</v>
      </c>
      <c r="D9523" s="19" t="s">
        <v>24935</v>
      </c>
      <c r="E9523" s="19" t="s">
        <v>34258</v>
      </c>
      <c r="F9523" s="19" t="s">
        <v>36007</v>
      </c>
      <c r="G9523" s="18" t="str">
        <f>"28792"</f>
        <v>28792</v>
      </c>
      <c r="H9523" s="19" t="s">
        <v>32699</v>
      </c>
      <c r="I9523" s="20">
        <v>16.491</v>
      </c>
      <c r="J9523" s="44" t="s">
        <v>8</v>
      </c>
      <c r="K9523" s="23" t="s">
        <v>8</v>
      </c>
      <c r="L9523" s="23" t="s">
        <v>8</v>
      </c>
      <c r="M9523" s="23" t="s">
        <v>8</v>
      </c>
    </row>
    <row r="9524" spans="1:13" s="21" customFormat="1" x14ac:dyDescent="0.25">
      <c r="A9524" s="22" t="s">
        <v>8</v>
      </c>
      <c r="B9524" s="18" t="str">
        <f>"345464"</f>
        <v>345464</v>
      </c>
      <c r="C9524" s="19" t="s">
        <v>9389</v>
      </c>
      <c r="D9524" s="19" t="s">
        <v>24936</v>
      </c>
      <c r="E9524" s="19" t="s">
        <v>34249</v>
      </c>
      <c r="F9524" s="19" t="s">
        <v>36007</v>
      </c>
      <c r="G9524" s="18" t="str">
        <f>"28139"</f>
        <v>28139</v>
      </c>
      <c r="H9524" s="19" t="s">
        <v>36618</v>
      </c>
      <c r="I9524" s="20">
        <v>17.347000000000001</v>
      </c>
      <c r="J9524" s="44" t="s">
        <v>8</v>
      </c>
      <c r="K9524" s="23" t="s">
        <v>8</v>
      </c>
      <c r="L9524" s="23" t="s">
        <v>8</v>
      </c>
      <c r="M9524" s="23" t="s">
        <v>8</v>
      </c>
    </row>
    <row r="9525" spans="1:13" s="21" customFormat="1" x14ac:dyDescent="0.25">
      <c r="A9525" s="22" t="s">
        <v>8</v>
      </c>
      <c r="B9525" s="18" t="str">
        <f>"345465"</f>
        <v>345465</v>
      </c>
      <c r="C9525" s="19" t="s">
        <v>9390</v>
      </c>
      <c r="D9525" s="19" t="s">
        <v>24937</v>
      </c>
      <c r="E9525" s="19" t="s">
        <v>34288</v>
      </c>
      <c r="F9525" s="19" t="s">
        <v>36007</v>
      </c>
      <c r="G9525" s="18" t="str">
        <f>"28560"</f>
        <v>28560</v>
      </c>
      <c r="H9525" s="19" t="s">
        <v>36641</v>
      </c>
      <c r="I9525" s="20">
        <v>17.654</v>
      </c>
      <c r="J9525" s="44" t="s">
        <v>8</v>
      </c>
      <c r="K9525" s="23" t="s">
        <v>8</v>
      </c>
      <c r="L9525" s="23" t="s">
        <v>8</v>
      </c>
      <c r="M9525" s="23" t="s">
        <v>8</v>
      </c>
    </row>
    <row r="9526" spans="1:13" s="21" customFormat="1" x14ac:dyDescent="0.25">
      <c r="A9526" s="22" t="s">
        <v>8</v>
      </c>
      <c r="B9526" s="18" t="str">
        <f>"345466"</f>
        <v>345466</v>
      </c>
      <c r="C9526" s="19" t="s">
        <v>9391</v>
      </c>
      <c r="D9526" s="19" t="s">
        <v>24938</v>
      </c>
      <c r="E9526" s="19" t="s">
        <v>34273</v>
      </c>
      <c r="F9526" s="19" t="s">
        <v>36007</v>
      </c>
      <c r="G9526" s="18" t="str">
        <f>"27055"</f>
        <v>27055</v>
      </c>
      <c r="H9526" s="19" t="s">
        <v>36632</v>
      </c>
      <c r="I9526" s="20">
        <v>17.739000000000001</v>
      </c>
      <c r="J9526" s="44" t="s">
        <v>8</v>
      </c>
      <c r="K9526" s="23" t="s">
        <v>8</v>
      </c>
      <c r="L9526" s="23" t="s">
        <v>8</v>
      </c>
      <c r="M9526" s="23" t="s">
        <v>8</v>
      </c>
    </row>
    <row r="9527" spans="1:13" s="21" customFormat="1" x14ac:dyDescent="0.25">
      <c r="A9527" s="22" t="s">
        <v>8</v>
      </c>
      <c r="B9527" s="18" t="str">
        <f>"345467"</f>
        <v>345467</v>
      </c>
      <c r="C9527" s="19" t="s">
        <v>9392</v>
      </c>
      <c r="D9527" s="19" t="s">
        <v>24939</v>
      </c>
      <c r="E9527" s="19" t="s">
        <v>33156</v>
      </c>
      <c r="F9527" s="19" t="s">
        <v>36007</v>
      </c>
      <c r="G9527" s="18" t="str">
        <f>"28207"</f>
        <v>28207</v>
      </c>
      <c r="H9527" s="19" t="s">
        <v>36610</v>
      </c>
      <c r="I9527" s="20">
        <v>15.24</v>
      </c>
      <c r="J9527" s="44" t="s">
        <v>8</v>
      </c>
      <c r="K9527" s="23" t="s">
        <v>8</v>
      </c>
      <c r="L9527" s="23" t="s">
        <v>8</v>
      </c>
      <c r="M9527" s="23" t="s">
        <v>8</v>
      </c>
    </row>
    <row r="9528" spans="1:13" s="21" customFormat="1" x14ac:dyDescent="0.25">
      <c r="A9528" s="22" t="s">
        <v>8</v>
      </c>
      <c r="B9528" s="18" t="str">
        <f>"345468"</f>
        <v>345468</v>
      </c>
      <c r="C9528" s="19" t="s">
        <v>9393</v>
      </c>
      <c r="D9528" s="19" t="s">
        <v>24940</v>
      </c>
      <c r="E9528" s="19" t="s">
        <v>31489</v>
      </c>
      <c r="F9528" s="19" t="s">
        <v>36007</v>
      </c>
      <c r="G9528" s="18" t="str">
        <f>"28403"</f>
        <v>28403</v>
      </c>
      <c r="H9528" s="19" t="s">
        <v>36608</v>
      </c>
      <c r="I9528" s="20">
        <v>19.059999999999999</v>
      </c>
      <c r="J9528" s="44" t="s">
        <v>8</v>
      </c>
      <c r="K9528" s="23" t="s">
        <v>8</v>
      </c>
      <c r="L9528" s="23" t="s">
        <v>8</v>
      </c>
      <c r="M9528" s="23" t="s">
        <v>8</v>
      </c>
    </row>
    <row r="9529" spans="1:13" s="21" customFormat="1" x14ac:dyDescent="0.25">
      <c r="A9529" s="22" t="s">
        <v>8</v>
      </c>
      <c r="B9529" s="18" t="str">
        <f>"345471"</f>
        <v>345471</v>
      </c>
      <c r="C9529" s="19" t="s">
        <v>9394</v>
      </c>
      <c r="D9529" s="19" t="s">
        <v>24941</v>
      </c>
      <c r="E9529" s="19" t="s">
        <v>33156</v>
      </c>
      <c r="F9529" s="19" t="s">
        <v>36007</v>
      </c>
      <c r="G9529" s="18" t="str">
        <f>"28273"</f>
        <v>28273</v>
      </c>
      <c r="H9529" s="19" t="s">
        <v>36610</v>
      </c>
      <c r="I9529" s="20">
        <v>21.048999999999999</v>
      </c>
      <c r="J9529" s="44" t="s">
        <v>8</v>
      </c>
      <c r="K9529" s="23" t="s">
        <v>8</v>
      </c>
      <c r="L9529" s="23" t="s">
        <v>8</v>
      </c>
      <c r="M9529" s="23" t="s">
        <v>8</v>
      </c>
    </row>
    <row r="9530" spans="1:13" s="21" customFormat="1" x14ac:dyDescent="0.25">
      <c r="A9530" s="22" t="s">
        <v>8</v>
      </c>
      <c r="B9530" s="18" t="str">
        <f>"345472"</f>
        <v>345472</v>
      </c>
      <c r="C9530" s="19" t="s">
        <v>9395</v>
      </c>
      <c r="D9530" s="19" t="s">
        <v>24942</v>
      </c>
      <c r="E9530" s="19" t="s">
        <v>31081</v>
      </c>
      <c r="F9530" s="19" t="s">
        <v>36007</v>
      </c>
      <c r="G9530" s="18" t="str">
        <f>"28328"</f>
        <v>28328</v>
      </c>
      <c r="H9530" s="19" t="s">
        <v>36606</v>
      </c>
      <c r="I9530" s="20">
        <v>22.148</v>
      </c>
      <c r="J9530" s="44" t="s">
        <v>8</v>
      </c>
      <c r="K9530" s="23" t="s">
        <v>8</v>
      </c>
      <c r="L9530" s="23" t="s">
        <v>8</v>
      </c>
      <c r="M9530" s="23" t="s">
        <v>8</v>
      </c>
    </row>
    <row r="9531" spans="1:13" s="21" customFormat="1" x14ac:dyDescent="0.25">
      <c r="A9531" s="22" t="s">
        <v>8</v>
      </c>
      <c r="B9531" s="18" t="str">
        <f>"345473"</f>
        <v>345473</v>
      </c>
      <c r="C9531" s="19" t="s">
        <v>9396</v>
      </c>
      <c r="D9531" s="19" t="s">
        <v>24943</v>
      </c>
      <c r="E9531" s="19" t="s">
        <v>33156</v>
      </c>
      <c r="F9531" s="19" t="s">
        <v>36007</v>
      </c>
      <c r="G9531" s="18" t="str">
        <f>"28212"</f>
        <v>28212</v>
      </c>
      <c r="H9531" s="19" t="s">
        <v>36610</v>
      </c>
      <c r="I9531" s="20">
        <v>20.73</v>
      </c>
      <c r="J9531" s="44" t="s">
        <v>8</v>
      </c>
      <c r="K9531" s="23" t="s">
        <v>8</v>
      </c>
      <c r="L9531" s="23" t="s">
        <v>8</v>
      </c>
      <c r="M9531" s="23" t="s">
        <v>8</v>
      </c>
    </row>
    <row r="9532" spans="1:13" s="21" customFormat="1" x14ac:dyDescent="0.25">
      <c r="A9532" s="22" t="s">
        <v>8</v>
      </c>
      <c r="B9532" s="18" t="str">
        <f>"345474"</f>
        <v>345474</v>
      </c>
      <c r="C9532" s="19" t="s">
        <v>9397</v>
      </c>
      <c r="D9532" s="19" t="s">
        <v>24944</v>
      </c>
      <c r="E9532" s="19" t="s">
        <v>30811</v>
      </c>
      <c r="F9532" s="19" t="s">
        <v>36007</v>
      </c>
      <c r="G9532" s="18" t="str">
        <f>"27410"</f>
        <v>27410</v>
      </c>
      <c r="H9532" s="19" t="s">
        <v>31417</v>
      </c>
      <c r="I9532" s="20">
        <v>18.87</v>
      </c>
      <c r="J9532" s="44" t="s">
        <v>8</v>
      </c>
      <c r="K9532" s="23" t="s">
        <v>8</v>
      </c>
      <c r="L9532" s="23" t="s">
        <v>8</v>
      </c>
      <c r="M9532" s="23" t="s">
        <v>8</v>
      </c>
    </row>
    <row r="9533" spans="1:13" s="21" customFormat="1" x14ac:dyDescent="0.25">
      <c r="A9533" s="22" t="s">
        <v>8</v>
      </c>
      <c r="B9533" s="18" t="str">
        <f>"345475"</f>
        <v>345475</v>
      </c>
      <c r="C9533" s="19" t="s">
        <v>9398</v>
      </c>
      <c r="D9533" s="19" t="s">
        <v>24945</v>
      </c>
      <c r="E9533" s="19" t="s">
        <v>32436</v>
      </c>
      <c r="F9533" s="19" t="s">
        <v>36007</v>
      </c>
      <c r="G9533" s="18" t="str">
        <f>"28719"</f>
        <v>28719</v>
      </c>
      <c r="H9533" s="19" t="s">
        <v>36636</v>
      </c>
      <c r="I9533" s="20">
        <v>17.981999999999999</v>
      </c>
      <c r="J9533" s="44" t="s">
        <v>8</v>
      </c>
      <c r="K9533" s="23" t="s">
        <v>8</v>
      </c>
      <c r="L9533" s="23" t="s">
        <v>8</v>
      </c>
      <c r="M9533" s="23" t="s">
        <v>8</v>
      </c>
    </row>
    <row r="9534" spans="1:13" s="21" customFormat="1" x14ac:dyDescent="0.25">
      <c r="A9534" s="22" t="s">
        <v>8</v>
      </c>
      <c r="B9534" s="18" t="str">
        <f>"345477"</f>
        <v>345477</v>
      </c>
      <c r="C9534" s="19" t="s">
        <v>9399</v>
      </c>
      <c r="D9534" s="19" t="s">
        <v>24946</v>
      </c>
      <c r="E9534" s="19" t="s">
        <v>34347</v>
      </c>
      <c r="F9534" s="19" t="s">
        <v>36007</v>
      </c>
      <c r="G9534" s="18" t="str">
        <f>"28704"</f>
        <v>28704</v>
      </c>
      <c r="H9534" s="19" t="s">
        <v>36612</v>
      </c>
      <c r="I9534" s="20">
        <v>19.427</v>
      </c>
      <c r="J9534" s="44" t="s">
        <v>8</v>
      </c>
      <c r="K9534" s="23" t="s">
        <v>8</v>
      </c>
      <c r="L9534" s="23" t="s">
        <v>8</v>
      </c>
      <c r="M9534" s="23" t="s">
        <v>8</v>
      </c>
    </row>
    <row r="9535" spans="1:13" s="21" customFormat="1" x14ac:dyDescent="0.25">
      <c r="A9535" s="22" t="s">
        <v>8</v>
      </c>
      <c r="B9535" s="18" t="str">
        <f>"345478"</f>
        <v>345478</v>
      </c>
      <c r="C9535" s="19" t="s">
        <v>9400</v>
      </c>
      <c r="D9535" s="19" t="s">
        <v>24947</v>
      </c>
      <c r="E9535" s="19" t="s">
        <v>34314</v>
      </c>
      <c r="F9535" s="19" t="s">
        <v>36007</v>
      </c>
      <c r="G9535" s="18" t="str">
        <f>"28334"</f>
        <v>28334</v>
      </c>
      <c r="H9535" s="19" t="s">
        <v>36635</v>
      </c>
      <c r="I9535" s="20">
        <v>20.77</v>
      </c>
      <c r="J9535" s="44" t="s">
        <v>8</v>
      </c>
      <c r="K9535" s="23" t="s">
        <v>8</v>
      </c>
      <c r="L9535" s="23" t="s">
        <v>8</v>
      </c>
      <c r="M9535" s="23" t="s">
        <v>8</v>
      </c>
    </row>
    <row r="9536" spans="1:13" s="21" customFormat="1" x14ac:dyDescent="0.25">
      <c r="A9536" s="22" t="s">
        <v>8</v>
      </c>
      <c r="B9536" s="18" t="str">
        <f>"345479"</f>
        <v>345479</v>
      </c>
      <c r="C9536" s="19" t="s">
        <v>9401</v>
      </c>
      <c r="D9536" s="19" t="s">
        <v>24948</v>
      </c>
      <c r="E9536" s="19" t="s">
        <v>34304</v>
      </c>
      <c r="F9536" s="19" t="s">
        <v>36007</v>
      </c>
      <c r="G9536" s="18" t="str">
        <f>"27106"</f>
        <v>27106</v>
      </c>
      <c r="H9536" s="19" t="s">
        <v>31754</v>
      </c>
      <c r="I9536" s="20">
        <v>21.460999999999999</v>
      </c>
      <c r="J9536" s="44" t="s">
        <v>8</v>
      </c>
      <c r="K9536" s="23" t="s">
        <v>8</v>
      </c>
      <c r="L9536" s="23" t="s">
        <v>8</v>
      </c>
      <c r="M9536" s="23" t="s">
        <v>8</v>
      </c>
    </row>
    <row r="9537" spans="1:13" s="21" customFormat="1" x14ac:dyDescent="0.25">
      <c r="A9537" s="22" t="s">
        <v>8</v>
      </c>
      <c r="B9537" s="18" t="str">
        <f>"345481"</f>
        <v>345481</v>
      </c>
      <c r="C9537" s="19" t="s">
        <v>9402</v>
      </c>
      <c r="D9537" s="19" t="s">
        <v>24949</v>
      </c>
      <c r="E9537" s="19" t="s">
        <v>30991</v>
      </c>
      <c r="F9537" s="19" t="s">
        <v>36007</v>
      </c>
      <c r="G9537" s="18" t="str">
        <f>"28301"</f>
        <v>28301</v>
      </c>
      <c r="H9537" s="19" t="s">
        <v>32766</v>
      </c>
      <c r="I9537" s="20">
        <v>17.47</v>
      </c>
      <c r="J9537" s="44" t="s">
        <v>8</v>
      </c>
      <c r="K9537" s="23" t="s">
        <v>8</v>
      </c>
      <c r="L9537" s="23" t="s">
        <v>8</v>
      </c>
      <c r="M9537" s="23" t="s">
        <v>8</v>
      </c>
    </row>
    <row r="9538" spans="1:13" s="21" customFormat="1" x14ac:dyDescent="0.25">
      <c r="A9538" s="22" t="s">
        <v>8</v>
      </c>
      <c r="B9538" s="18" t="str">
        <f>"345482"</f>
        <v>345482</v>
      </c>
      <c r="C9538" s="19" t="s">
        <v>9403</v>
      </c>
      <c r="D9538" s="19" t="s">
        <v>24950</v>
      </c>
      <c r="E9538" s="19" t="s">
        <v>33156</v>
      </c>
      <c r="F9538" s="19" t="s">
        <v>36007</v>
      </c>
      <c r="G9538" s="18" t="str">
        <f>"28226"</f>
        <v>28226</v>
      </c>
      <c r="H9538" s="19" t="s">
        <v>36610</v>
      </c>
      <c r="I9538" s="20">
        <v>16.373000000000001</v>
      </c>
      <c r="J9538" s="44" t="s">
        <v>8</v>
      </c>
      <c r="K9538" s="23" t="s">
        <v>8</v>
      </c>
      <c r="L9538" s="23" t="s">
        <v>8</v>
      </c>
      <c r="M9538" s="23" t="s">
        <v>8</v>
      </c>
    </row>
    <row r="9539" spans="1:13" s="21" customFormat="1" x14ac:dyDescent="0.25">
      <c r="A9539" s="22" t="s">
        <v>8</v>
      </c>
      <c r="B9539" s="18" t="str">
        <f>"345483"</f>
        <v>345483</v>
      </c>
      <c r="C9539" s="19" t="s">
        <v>9404</v>
      </c>
      <c r="D9539" s="19" t="s">
        <v>24951</v>
      </c>
      <c r="E9539" s="19" t="s">
        <v>34265</v>
      </c>
      <c r="F9539" s="19" t="s">
        <v>36007</v>
      </c>
      <c r="G9539" s="18" t="str">
        <f>"28645"</f>
        <v>28645</v>
      </c>
      <c r="H9539" s="19" t="s">
        <v>31876</v>
      </c>
      <c r="I9539" s="20">
        <v>18.006</v>
      </c>
      <c r="J9539" s="44" t="s">
        <v>8</v>
      </c>
      <c r="K9539" s="23" t="s">
        <v>8</v>
      </c>
      <c r="L9539" s="23" t="s">
        <v>8</v>
      </c>
      <c r="M9539" s="23" t="s">
        <v>8</v>
      </c>
    </row>
    <row r="9540" spans="1:13" s="21" customFormat="1" x14ac:dyDescent="0.25">
      <c r="A9540" s="22" t="s">
        <v>8</v>
      </c>
      <c r="B9540" s="18" t="str">
        <f>"345484"</f>
        <v>345484</v>
      </c>
      <c r="C9540" s="19" t="s">
        <v>9405</v>
      </c>
      <c r="D9540" s="19" t="s">
        <v>24952</v>
      </c>
      <c r="E9540" s="19" t="s">
        <v>34287</v>
      </c>
      <c r="F9540" s="19" t="s">
        <v>36007</v>
      </c>
      <c r="G9540" s="18" t="str">
        <f>"28712"</f>
        <v>28712</v>
      </c>
      <c r="H9540" s="19" t="s">
        <v>36639</v>
      </c>
      <c r="I9540" s="20">
        <v>17.785</v>
      </c>
      <c r="J9540" s="44" t="s">
        <v>8</v>
      </c>
      <c r="K9540" s="23" t="s">
        <v>8</v>
      </c>
      <c r="L9540" s="23" t="s">
        <v>8</v>
      </c>
      <c r="M9540" s="23" t="s">
        <v>8</v>
      </c>
    </row>
    <row r="9541" spans="1:13" s="21" customFormat="1" x14ac:dyDescent="0.25">
      <c r="A9541" s="22" t="s">
        <v>8</v>
      </c>
      <c r="B9541" s="18" t="str">
        <f>"345487"</f>
        <v>345487</v>
      </c>
      <c r="C9541" s="19" t="s">
        <v>9406</v>
      </c>
      <c r="D9541" s="19" t="s">
        <v>24953</v>
      </c>
      <c r="E9541" s="19" t="s">
        <v>34348</v>
      </c>
      <c r="F9541" s="19" t="s">
        <v>36007</v>
      </c>
      <c r="G9541" s="18" t="str">
        <f>"28532"</f>
        <v>28532</v>
      </c>
      <c r="H9541" s="19" t="s">
        <v>36641</v>
      </c>
      <c r="I9541" s="20">
        <v>18.87</v>
      </c>
      <c r="J9541" s="44" t="s">
        <v>8</v>
      </c>
      <c r="K9541" s="23" t="s">
        <v>8</v>
      </c>
      <c r="L9541" s="23" t="s">
        <v>8</v>
      </c>
      <c r="M9541" s="23" t="s">
        <v>8</v>
      </c>
    </row>
    <row r="9542" spans="1:13" s="21" customFormat="1" x14ac:dyDescent="0.25">
      <c r="A9542" s="22" t="s">
        <v>8</v>
      </c>
      <c r="B9542" s="18" t="str">
        <f>"345489"</f>
        <v>345489</v>
      </c>
      <c r="C9542" s="19" t="s">
        <v>9407</v>
      </c>
      <c r="D9542" s="19" t="s">
        <v>24954</v>
      </c>
      <c r="E9542" s="19" t="s">
        <v>33156</v>
      </c>
      <c r="F9542" s="19" t="s">
        <v>36007</v>
      </c>
      <c r="G9542" s="18" t="str">
        <f>"28262"</f>
        <v>28262</v>
      </c>
      <c r="H9542" s="19" t="s">
        <v>36610</v>
      </c>
      <c r="I9542" s="20">
        <v>17.731000000000002</v>
      </c>
      <c r="J9542" s="44" t="s">
        <v>8</v>
      </c>
      <c r="K9542" s="23" t="s">
        <v>8</v>
      </c>
      <c r="L9542" s="23" t="s">
        <v>8</v>
      </c>
      <c r="M9542" s="23" t="s">
        <v>8</v>
      </c>
    </row>
    <row r="9543" spans="1:13" s="21" customFormat="1" x14ac:dyDescent="0.25">
      <c r="A9543" s="22" t="s">
        <v>8</v>
      </c>
      <c r="B9543" s="18" t="str">
        <f>"345490"</f>
        <v>345490</v>
      </c>
      <c r="C9543" s="19" t="s">
        <v>9408</v>
      </c>
      <c r="D9543" s="19" t="s">
        <v>24955</v>
      </c>
      <c r="E9543" s="19" t="s">
        <v>34349</v>
      </c>
      <c r="F9543" s="19" t="s">
        <v>36007</v>
      </c>
      <c r="G9543" s="18" t="str">
        <f>"28513"</f>
        <v>28513</v>
      </c>
      <c r="H9543" s="19" t="s">
        <v>36633</v>
      </c>
      <c r="I9543" s="20">
        <v>21.530999999999999</v>
      </c>
      <c r="J9543" s="44" t="s">
        <v>8</v>
      </c>
      <c r="K9543" s="23" t="s">
        <v>8</v>
      </c>
      <c r="L9543" s="23" t="s">
        <v>8</v>
      </c>
      <c r="M9543" s="23" t="s">
        <v>8</v>
      </c>
    </row>
    <row r="9544" spans="1:13" s="21" customFormat="1" x14ac:dyDescent="0.25">
      <c r="A9544" s="22" t="s">
        <v>8</v>
      </c>
      <c r="B9544" s="18" t="str">
        <f>"345491"</f>
        <v>345491</v>
      </c>
      <c r="C9544" s="19" t="s">
        <v>9409</v>
      </c>
      <c r="D9544" s="19" t="s">
        <v>24956</v>
      </c>
      <c r="E9544" s="19" t="s">
        <v>31058</v>
      </c>
      <c r="F9544" s="19" t="s">
        <v>36007</v>
      </c>
      <c r="G9544" s="18" t="str">
        <f>"28570"</f>
        <v>28570</v>
      </c>
      <c r="H9544" s="19" t="s">
        <v>36634</v>
      </c>
      <c r="I9544" s="20">
        <v>17.245000000000001</v>
      </c>
      <c r="J9544" s="44" t="s">
        <v>8</v>
      </c>
      <c r="K9544" s="23" t="s">
        <v>8</v>
      </c>
      <c r="L9544" s="23" t="s">
        <v>8</v>
      </c>
      <c r="M9544" s="23" t="s">
        <v>8</v>
      </c>
    </row>
    <row r="9545" spans="1:13" s="21" customFormat="1" x14ac:dyDescent="0.25">
      <c r="A9545" s="22" t="s">
        <v>8</v>
      </c>
      <c r="B9545" s="18" t="str">
        <f>"345492"</f>
        <v>345492</v>
      </c>
      <c r="C9545" s="19" t="s">
        <v>9410</v>
      </c>
      <c r="D9545" s="19" t="s">
        <v>24957</v>
      </c>
      <c r="E9545" s="19" t="s">
        <v>30991</v>
      </c>
      <c r="F9545" s="19" t="s">
        <v>36007</v>
      </c>
      <c r="G9545" s="18" t="str">
        <f>"28301"</f>
        <v>28301</v>
      </c>
      <c r="H9545" s="19" t="s">
        <v>32766</v>
      </c>
      <c r="I9545" s="20">
        <v>18.797999999999998</v>
      </c>
      <c r="J9545" s="44" t="s">
        <v>8</v>
      </c>
      <c r="K9545" s="23" t="s">
        <v>8</v>
      </c>
      <c r="L9545" s="23" t="s">
        <v>8</v>
      </c>
      <c r="M9545" s="23" t="s">
        <v>8</v>
      </c>
    </row>
    <row r="9546" spans="1:13" s="21" customFormat="1" x14ac:dyDescent="0.25">
      <c r="A9546" s="22" t="s">
        <v>8</v>
      </c>
      <c r="B9546" s="18" t="str">
        <f>"345493"</f>
        <v>345493</v>
      </c>
      <c r="C9546" s="19" t="s">
        <v>9411</v>
      </c>
      <c r="D9546" s="19" t="s">
        <v>24958</v>
      </c>
      <c r="E9546" s="19" t="s">
        <v>34350</v>
      </c>
      <c r="F9546" s="19" t="s">
        <v>36007</v>
      </c>
      <c r="G9546" s="18" t="str">
        <f>"28731"</f>
        <v>28731</v>
      </c>
      <c r="H9546" s="19" t="s">
        <v>32699</v>
      </c>
      <c r="I9546" s="20">
        <v>20.353999999999999</v>
      </c>
      <c r="J9546" s="44" t="s">
        <v>8</v>
      </c>
      <c r="K9546" s="23" t="s">
        <v>8</v>
      </c>
      <c r="L9546" s="23" t="s">
        <v>8</v>
      </c>
      <c r="M9546" s="23" t="s">
        <v>8</v>
      </c>
    </row>
    <row r="9547" spans="1:13" s="21" customFormat="1" x14ac:dyDescent="0.25">
      <c r="A9547" s="22" t="s">
        <v>8</v>
      </c>
      <c r="B9547" s="18" t="str">
        <f>"345494"</f>
        <v>345494</v>
      </c>
      <c r="C9547" s="19" t="s">
        <v>9412</v>
      </c>
      <c r="D9547" s="19" t="s">
        <v>24959</v>
      </c>
      <c r="E9547" s="19" t="s">
        <v>34271</v>
      </c>
      <c r="F9547" s="19" t="s">
        <v>36007</v>
      </c>
      <c r="G9547" s="18" t="str">
        <f>"28054"</f>
        <v>28054</v>
      </c>
      <c r="H9547" s="19" t="s">
        <v>36629</v>
      </c>
      <c r="I9547" s="20">
        <v>15.815</v>
      </c>
      <c r="J9547" s="44" t="s">
        <v>8</v>
      </c>
      <c r="K9547" s="23" t="s">
        <v>8</v>
      </c>
      <c r="L9547" s="23" t="s">
        <v>8</v>
      </c>
      <c r="M9547" s="23" t="s">
        <v>8</v>
      </c>
    </row>
    <row r="9548" spans="1:13" s="21" customFormat="1" x14ac:dyDescent="0.25">
      <c r="A9548" s="22" t="s">
        <v>8</v>
      </c>
      <c r="B9548" s="18" t="str">
        <f>"345495"</f>
        <v>345495</v>
      </c>
      <c r="C9548" s="19" t="s">
        <v>9413</v>
      </c>
      <c r="D9548" s="19" t="s">
        <v>24960</v>
      </c>
      <c r="E9548" s="19" t="s">
        <v>33156</v>
      </c>
      <c r="F9548" s="19" t="s">
        <v>36007</v>
      </c>
      <c r="G9548" s="18" t="str">
        <f>"28210"</f>
        <v>28210</v>
      </c>
      <c r="H9548" s="19" t="s">
        <v>36610</v>
      </c>
      <c r="I9548" s="20">
        <v>20.808</v>
      </c>
      <c r="J9548" s="44" t="s">
        <v>8</v>
      </c>
      <c r="K9548" s="23" t="s">
        <v>8</v>
      </c>
      <c r="L9548" s="23" t="s">
        <v>8</v>
      </c>
      <c r="M9548" s="23" t="s">
        <v>8</v>
      </c>
    </row>
    <row r="9549" spans="1:13" s="21" customFormat="1" x14ac:dyDescent="0.25">
      <c r="A9549" s="22" t="s">
        <v>8</v>
      </c>
      <c r="B9549" s="18" t="str">
        <f>"345496"</f>
        <v>345496</v>
      </c>
      <c r="C9549" s="19" t="s">
        <v>9414</v>
      </c>
      <c r="D9549" s="19" t="s">
        <v>24961</v>
      </c>
      <c r="E9549" s="19" t="s">
        <v>31369</v>
      </c>
      <c r="F9549" s="19" t="s">
        <v>36007</v>
      </c>
      <c r="G9549" s="18" t="str">
        <f>"27215"</f>
        <v>27215</v>
      </c>
      <c r="H9549" s="19" t="s">
        <v>36620</v>
      </c>
      <c r="I9549" s="20">
        <v>18.992000000000001</v>
      </c>
      <c r="J9549" s="44" t="s">
        <v>8</v>
      </c>
      <c r="K9549" s="23" t="s">
        <v>8</v>
      </c>
      <c r="L9549" s="23" t="s">
        <v>8</v>
      </c>
      <c r="M9549" s="23" t="s">
        <v>8</v>
      </c>
    </row>
    <row r="9550" spans="1:13" s="21" customFormat="1" x14ac:dyDescent="0.25">
      <c r="A9550" s="22" t="s">
        <v>8</v>
      </c>
      <c r="B9550" s="18" t="str">
        <f>"345499"</f>
        <v>345499</v>
      </c>
      <c r="C9550" s="19" t="s">
        <v>9415</v>
      </c>
      <c r="D9550" s="19" t="s">
        <v>24962</v>
      </c>
      <c r="E9550" s="19" t="s">
        <v>33576</v>
      </c>
      <c r="F9550" s="19" t="s">
        <v>36007</v>
      </c>
      <c r="G9550" s="18" t="str">
        <f>"27615"</f>
        <v>27615</v>
      </c>
      <c r="H9550" s="19" t="s">
        <v>36611</v>
      </c>
      <c r="I9550" s="20">
        <v>21.722999999999999</v>
      </c>
      <c r="J9550" s="44" t="s">
        <v>8</v>
      </c>
      <c r="K9550" s="23" t="s">
        <v>8</v>
      </c>
      <c r="L9550" s="23" t="s">
        <v>8</v>
      </c>
      <c r="M9550" s="23" t="s">
        <v>8</v>
      </c>
    </row>
    <row r="9551" spans="1:13" s="21" customFormat="1" x14ac:dyDescent="0.25">
      <c r="A9551" s="22" t="s">
        <v>8</v>
      </c>
      <c r="B9551" s="18" t="str">
        <f>"345500"</f>
        <v>345500</v>
      </c>
      <c r="C9551" s="19" t="s">
        <v>9416</v>
      </c>
      <c r="D9551" s="19" t="s">
        <v>24963</v>
      </c>
      <c r="E9551" s="19" t="s">
        <v>34351</v>
      </c>
      <c r="F9551" s="19" t="s">
        <v>36007</v>
      </c>
      <c r="G9551" s="18" t="str">
        <f>"27526"</f>
        <v>27526</v>
      </c>
      <c r="H9551" s="19" t="s">
        <v>36611</v>
      </c>
      <c r="I9551" s="20">
        <v>17.277999999999999</v>
      </c>
      <c r="J9551" s="44" t="s">
        <v>8</v>
      </c>
      <c r="K9551" s="23" t="s">
        <v>8</v>
      </c>
      <c r="L9551" s="23" t="s">
        <v>8</v>
      </c>
      <c r="M9551" s="23" t="s">
        <v>8</v>
      </c>
    </row>
    <row r="9552" spans="1:13" s="21" customFormat="1" x14ac:dyDescent="0.25">
      <c r="A9552" s="22" t="s">
        <v>8</v>
      </c>
      <c r="B9552" s="18" t="str">
        <f>"345501"</f>
        <v>345501</v>
      </c>
      <c r="C9552" s="19" t="s">
        <v>9417</v>
      </c>
      <c r="D9552" s="19" t="s">
        <v>24964</v>
      </c>
      <c r="E9552" s="19" t="s">
        <v>31487</v>
      </c>
      <c r="F9552" s="19" t="s">
        <v>36007</v>
      </c>
      <c r="G9552" s="18" t="str">
        <f>"27705"</f>
        <v>27705</v>
      </c>
      <c r="H9552" s="19" t="s">
        <v>31487</v>
      </c>
      <c r="I9552" s="20">
        <v>17.981999999999999</v>
      </c>
      <c r="J9552" s="44" t="s">
        <v>8</v>
      </c>
      <c r="K9552" s="23" t="s">
        <v>8</v>
      </c>
      <c r="L9552" s="23" t="s">
        <v>8</v>
      </c>
      <c r="M9552" s="23" t="s">
        <v>8</v>
      </c>
    </row>
    <row r="9553" spans="1:13" s="21" customFormat="1" x14ac:dyDescent="0.25">
      <c r="A9553" s="22" t="s">
        <v>8</v>
      </c>
      <c r="B9553" s="18" t="str">
        <f>"345502"</f>
        <v>345502</v>
      </c>
      <c r="C9553" s="19" t="s">
        <v>9418</v>
      </c>
      <c r="D9553" s="19" t="s">
        <v>24965</v>
      </c>
      <c r="E9553" s="19" t="s">
        <v>34352</v>
      </c>
      <c r="F9553" s="19" t="s">
        <v>36007</v>
      </c>
      <c r="G9553" s="18" t="str">
        <f>"28079"</f>
        <v>28079</v>
      </c>
      <c r="H9553" s="19" t="s">
        <v>33554</v>
      </c>
      <c r="I9553" s="20">
        <v>19.689</v>
      </c>
      <c r="J9553" s="44" t="s">
        <v>8</v>
      </c>
      <c r="K9553" s="23" t="s">
        <v>8</v>
      </c>
      <c r="L9553" s="23" t="s">
        <v>8</v>
      </c>
      <c r="M9553" s="23" t="s">
        <v>8</v>
      </c>
    </row>
    <row r="9554" spans="1:13" s="21" customFormat="1" x14ac:dyDescent="0.25">
      <c r="A9554" s="22" t="s">
        <v>8</v>
      </c>
      <c r="B9554" s="18" t="str">
        <f>"345503"</f>
        <v>345503</v>
      </c>
      <c r="C9554" s="19" t="s">
        <v>9419</v>
      </c>
      <c r="D9554" s="19" t="s">
        <v>24966</v>
      </c>
      <c r="E9554" s="19" t="s">
        <v>31440</v>
      </c>
      <c r="F9554" s="19" t="s">
        <v>36007</v>
      </c>
      <c r="G9554" s="18" t="str">
        <f>"28147"</f>
        <v>28147</v>
      </c>
      <c r="H9554" s="19" t="s">
        <v>36326</v>
      </c>
      <c r="I9554" s="20">
        <v>19.047000000000001</v>
      </c>
      <c r="J9554" s="44" t="s">
        <v>8</v>
      </c>
      <c r="K9554" s="23" t="s">
        <v>8</v>
      </c>
      <c r="L9554" s="23" t="s">
        <v>8</v>
      </c>
      <c r="M9554" s="23" t="s">
        <v>8</v>
      </c>
    </row>
    <row r="9555" spans="1:13" s="21" customFormat="1" x14ac:dyDescent="0.25">
      <c r="A9555" s="22" t="s">
        <v>8</v>
      </c>
      <c r="B9555" s="18" t="str">
        <f>"345504"</f>
        <v>345504</v>
      </c>
      <c r="C9555" s="19" t="s">
        <v>9420</v>
      </c>
      <c r="D9555" s="19" t="s">
        <v>24967</v>
      </c>
      <c r="E9555" s="19" t="s">
        <v>31425</v>
      </c>
      <c r="F9555" s="19" t="s">
        <v>36007</v>
      </c>
      <c r="G9555" s="18" t="str">
        <f>"28461"</f>
        <v>28461</v>
      </c>
      <c r="H9555" s="19" t="s">
        <v>31794</v>
      </c>
      <c r="I9555" s="20">
        <v>16.797000000000001</v>
      </c>
      <c r="J9555" s="44" t="s">
        <v>8</v>
      </c>
      <c r="K9555" s="23" t="s">
        <v>8</v>
      </c>
      <c r="L9555" s="23" t="s">
        <v>8</v>
      </c>
      <c r="M9555" s="23" t="s">
        <v>8</v>
      </c>
    </row>
    <row r="9556" spans="1:13" s="21" customFormat="1" x14ac:dyDescent="0.25">
      <c r="A9556" s="22" t="s">
        <v>8</v>
      </c>
      <c r="B9556" s="18" t="str">
        <f>"345505"</f>
        <v>345505</v>
      </c>
      <c r="C9556" s="19" t="s">
        <v>9421</v>
      </c>
      <c r="D9556" s="19" t="s">
        <v>24968</v>
      </c>
      <c r="E9556" s="19" t="s">
        <v>30991</v>
      </c>
      <c r="F9556" s="19" t="s">
        <v>36007</v>
      </c>
      <c r="G9556" s="18" t="str">
        <f>"28306"</f>
        <v>28306</v>
      </c>
      <c r="H9556" s="19" t="s">
        <v>32766</v>
      </c>
      <c r="I9556" s="20">
        <v>19.094999999999999</v>
      </c>
      <c r="J9556" s="44" t="s">
        <v>8</v>
      </c>
      <c r="K9556" s="23" t="s">
        <v>8</v>
      </c>
      <c r="L9556" s="23" t="s">
        <v>8</v>
      </c>
      <c r="M9556" s="23" t="s">
        <v>8</v>
      </c>
    </row>
    <row r="9557" spans="1:13" s="21" customFormat="1" x14ac:dyDescent="0.25">
      <c r="A9557" s="22" t="s">
        <v>8</v>
      </c>
      <c r="B9557" s="18" t="str">
        <f>"345506"</f>
        <v>345506</v>
      </c>
      <c r="C9557" s="19" t="s">
        <v>9422</v>
      </c>
      <c r="D9557" s="19" t="s">
        <v>24969</v>
      </c>
      <c r="E9557" s="19" t="s">
        <v>30811</v>
      </c>
      <c r="F9557" s="19" t="s">
        <v>36007</v>
      </c>
      <c r="G9557" s="18" t="str">
        <f>"27407"</f>
        <v>27407</v>
      </c>
      <c r="H9557" s="19" t="s">
        <v>31417</v>
      </c>
      <c r="I9557" s="20">
        <v>14.972</v>
      </c>
      <c r="J9557" s="44" t="s">
        <v>8</v>
      </c>
      <c r="K9557" s="23" t="s">
        <v>8</v>
      </c>
      <c r="L9557" s="23" t="s">
        <v>8</v>
      </c>
      <c r="M9557" s="23" t="s">
        <v>8</v>
      </c>
    </row>
    <row r="9558" spans="1:13" s="21" customFormat="1" x14ac:dyDescent="0.25">
      <c r="A9558" s="22" t="s">
        <v>8</v>
      </c>
      <c r="B9558" s="18" t="str">
        <f>"345507"</f>
        <v>345507</v>
      </c>
      <c r="C9558" s="19" t="s">
        <v>9423</v>
      </c>
      <c r="D9558" s="19" t="s">
        <v>24970</v>
      </c>
      <c r="E9558" s="19" t="s">
        <v>31489</v>
      </c>
      <c r="F9558" s="19" t="s">
        <v>36007</v>
      </c>
      <c r="G9558" s="18" t="str">
        <f>"28412"</f>
        <v>28412</v>
      </c>
      <c r="H9558" s="19" t="s">
        <v>36608</v>
      </c>
      <c r="I9558" s="20">
        <v>16.431999999999999</v>
      </c>
      <c r="J9558" s="44" t="s">
        <v>8</v>
      </c>
      <c r="K9558" s="23" t="s">
        <v>8</v>
      </c>
      <c r="L9558" s="23" t="s">
        <v>8</v>
      </c>
      <c r="M9558" s="23" t="s">
        <v>8</v>
      </c>
    </row>
    <row r="9559" spans="1:13" s="21" customFormat="1" x14ac:dyDescent="0.25">
      <c r="A9559" s="22" t="s">
        <v>8</v>
      </c>
      <c r="B9559" s="18" t="str">
        <f>"345508"</f>
        <v>345508</v>
      </c>
      <c r="C9559" s="19" t="s">
        <v>9424</v>
      </c>
      <c r="D9559" s="19" t="s">
        <v>24971</v>
      </c>
      <c r="E9559" s="19" t="s">
        <v>34353</v>
      </c>
      <c r="F9559" s="19" t="s">
        <v>36007</v>
      </c>
      <c r="G9559" s="18" t="str">
        <f>"27502"</f>
        <v>27502</v>
      </c>
      <c r="H9559" s="19" t="s">
        <v>36611</v>
      </c>
      <c r="I9559" s="20">
        <v>17.308</v>
      </c>
      <c r="J9559" s="44" t="s">
        <v>8</v>
      </c>
      <c r="K9559" s="23" t="s">
        <v>8</v>
      </c>
      <c r="L9559" s="23" t="s">
        <v>8</v>
      </c>
      <c r="M9559" s="23" t="s">
        <v>8</v>
      </c>
    </row>
    <row r="9560" spans="1:13" s="21" customFormat="1" x14ac:dyDescent="0.25">
      <c r="A9560" s="22" t="s">
        <v>8</v>
      </c>
      <c r="B9560" s="18" t="str">
        <f>"345509"</f>
        <v>345509</v>
      </c>
      <c r="C9560" s="19" t="s">
        <v>9425</v>
      </c>
      <c r="D9560" s="19" t="s">
        <v>24972</v>
      </c>
      <c r="E9560" s="19" t="s">
        <v>33521</v>
      </c>
      <c r="F9560" s="19" t="s">
        <v>36007</v>
      </c>
      <c r="G9560" s="18" t="str">
        <f>"28315"</f>
        <v>28315</v>
      </c>
      <c r="H9560" s="19" t="s">
        <v>34689</v>
      </c>
      <c r="I9560" s="20">
        <v>18.236000000000001</v>
      </c>
      <c r="J9560" s="44" t="s">
        <v>8</v>
      </c>
      <c r="K9560" s="23" t="s">
        <v>8</v>
      </c>
      <c r="L9560" s="23" t="s">
        <v>8</v>
      </c>
      <c r="M9560" s="23" t="s">
        <v>8</v>
      </c>
    </row>
    <row r="9561" spans="1:13" s="21" customFormat="1" x14ac:dyDescent="0.25">
      <c r="A9561" s="22" t="s">
        <v>8</v>
      </c>
      <c r="B9561" s="18" t="str">
        <f>"345510"</f>
        <v>345510</v>
      </c>
      <c r="C9561" s="19" t="s">
        <v>9426</v>
      </c>
      <c r="D9561" s="19" t="s">
        <v>24973</v>
      </c>
      <c r="E9561" s="19" t="s">
        <v>34283</v>
      </c>
      <c r="F9561" s="19" t="s">
        <v>36007</v>
      </c>
      <c r="G9561" s="18" t="str">
        <f>"27886"</f>
        <v>27886</v>
      </c>
      <c r="H9561" s="19" t="s">
        <v>36637</v>
      </c>
      <c r="I9561" s="20">
        <v>17.300999999999998</v>
      </c>
      <c r="J9561" s="44" t="s">
        <v>8</v>
      </c>
      <c r="K9561" s="23" t="s">
        <v>8</v>
      </c>
      <c r="L9561" s="23" t="s">
        <v>8</v>
      </c>
      <c r="M9561" s="23" t="s">
        <v>8</v>
      </c>
    </row>
    <row r="9562" spans="1:13" s="21" customFormat="1" x14ac:dyDescent="0.25">
      <c r="A9562" s="22" t="s">
        <v>8</v>
      </c>
      <c r="B9562" s="18" t="str">
        <f>"345511"</f>
        <v>345511</v>
      </c>
      <c r="C9562" s="19" t="s">
        <v>9427</v>
      </c>
      <c r="D9562" s="19" t="s">
        <v>24974</v>
      </c>
      <c r="E9562" s="19" t="s">
        <v>34261</v>
      </c>
      <c r="F9562" s="19" t="s">
        <v>36007</v>
      </c>
      <c r="G9562" s="18" t="str">
        <f>"28625"</f>
        <v>28625</v>
      </c>
      <c r="H9562" s="19" t="s">
        <v>36625</v>
      </c>
      <c r="I9562" s="20">
        <v>22.481000000000002</v>
      </c>
      <c r="J9562" s="44" t="s">
        <v>8</v>
      </c>
      <c r="K9562" s="23" t="s">
        <v>8</v>
      </c>
      <c r="L9562" s="23" t="s">
        <v>8</v>
      </c>
      <c r="M9562" s="23" t="s">
        <v>8</v>
      </c>
    </row>
    <row r="9563" spans="1:13" s="21" customFormat="1" x14ac:dyDescent="0.25">
      <c r="A9563" s="22" t="s">
        <v>8</v>
      </c>
      <c r="B9563" s="18" t="str">
        <f>"345512"</f>
        <v>345512</v>
      </c>
      <c r="C9563" s="19" t="s">
        <v>9428</v>
      </c>
      <c r="D9563" s="19" t="s">
        <v>24975</v>
      </c>
      <c r="E9563" s="19" t="s">
        <v>30817</v>
      </c>
      <c r="F9563" s="19" t="s">
        <v>36007</v>
      </c>
      <c r="G9563" s="18" t="str">
        <f>"27858"</f>
        <v>27858</v>
      </c>
      <c r="H9563" s="19" t="s">
        <v>36633</v>
      </c>
      <c r="I9563" s="20">
        <v>22.53</v>
      </c>
      <c r="J9563" s="44" t="s">
        <v>8</v>
      </c>
      <c r="K9563" s="23" t="s">
        <v>8</v>
      </c>
      <c r="L9563" s="23" t="s">
        <v>8</v>
      </c>
      <c r="M9563" s="23" t="s">
        <v>8</v>
      </c>
    </row>
    <row r="9564" spans="1:13" s="21" customFormat="1" x14ac:dyDescent="0.25">
      <c r="A9564" s="22" t="s">
        <v>8</v>
      </c>
      <c r="B9564" s="18" t="str">
        <f>"345513"</f>
        <v>345513</v>
      </c>
      <c r="C9564" s="19" t="s">
        <v>9429</v>
      </c>
      <c r="D9564" s="19" t="s">
        <v>24976</v>
      </c>
      <c r="E9564" s="19" t="s">
        <v>33576</v>
      </c>
      <c r="F9564" s="19" t="s">
        <v>36007</v>
      </c>
      <c r="G9564" s="18" t="str">
        <f>"27604"</f>
        <v>27604</v>
      </c>
      <c r="H9564" s="19" t="s">
        <v>36611</v>
      </c>
      <c r="I9564" s="20">
        <v>18.888000000000002</v>
      </c>
      <c r="J9564" s="44" t="s">
        <v>8</v>
      </c>
      <c r="K9564" s="23" t="s">
        <v>8</v>
      </c>
      <c r="L9564" s="23" t="s">
        <v>8</v>
      </c>
      <c r="M9564" s="23" t="s">
        <v>8</v>
      </c>
    </row>
    <row r="9565" spans="1:13" s="21" customFormat="1" x14ac:dyDescent="0.25">
      <c r="A9565" s="22" t="s">
        <v>8</v>
      </c>
      <c r="B9565" s="18" t="str">
        <f>"345514"</f>
        <v>345514</v>
      </c>
      <c r="C9565" s="19" t="s">
        <v>9430</v>
      </c>
      <c r="D9565" s="19" t="s">
        <v>24977</v>
      </c>
      <c r="E9565" s="19" t="s">
        <v>31014</v>
      </c>
      <c r="F9565" s="19" t="s">
        <v>36007</v>
      </c>
      <c r="G9565" s="18" t="str">
        <f>"27856"</f>
        <v>27856</v>
      </c>
      <c r="H9565" s="19" t="s">
        <v>36627</v>
      </c>
      <c r="I9565" s="20">
        <v>21.716000000000001</v>
      </c>
      <c r="J9565" s="44" t="s">
        <v>8</v>
      </c>
      <c r="K9565" s="23" t="s">
        <v>8</v>
      </c>
      <c r="L9565" s="23" t="s">
        <v>8</v>
      </c>
      <c r="M9565" s="23" t="s">
        <v>8</v>
      </c>
    </row>
    <row r="9566" spans="1:13" s="21" customFormat="1" x14ac:dyDescent="0.25">
      <c r="A9566" s="22" t="s">
        <v>8</v>
      </c>
      <c r="B9566" s="18" t="str">
        <f>"345515"</f>
        <v>345515</v>
      </c>
      <c r="C9566" s="19" t="s">
        <v>9431</v>
      </c>
      <c r="D9566" s="19" t="s">
        <v>24978</v>
      </c>
      <c r="E9566" s="19" t="s">
        <v>31073</v>
      </c>
      <c r="F9566" s="19" t="s">
        <v>36007</v>
      </c>
      <c r="G9566" s="18" t="str">
        <f>"28075"</f>
        <v>28075</v>
      </c>
      <c r="H9566" s="19" t="s">
        <v>36626</v>
      </c>
      <c r="I9566" s="20">
        <v>16.742999999999999</v>
      </c>
      <c r="J9566" s="44" t="s">
        <v>8</v>
      </c>
      <c r="K9566" s="23" t="s">
        <v>8</v>
      </c>
      <c r="L9566" s="23" t="s">
        <v>8</v>
      </c>
      <c r="M9566" s="23" t="s">
        <v>8</v>
      </c>
    </row>
    <row r="9567" spans="1:13" s="21" customFormat="1" x14ac:dyDescent="0.25">
      <c r="A9567" s="22" t="s">
        <v>8</v>
      </c>
      <c r="B9567" s="18" t="str">
        <f>"345516"</f>
        <v>345516</v>
      </c>
      <c r="C9567" s="19" t="s">
        <v>9432</v>
      </c>
      <c r="D9567" s="19" t="s">
        <v>24979</v>
      </c>
      <c r="E9567" s="19" t="s">
        <v>34354</v>
      </c>
      <c r="F9567" s="19" t="s">
        <v>36007</v>
      </c>
      <c r="G9567" s="18" t="str">
        <f>"28613"</f>
        <v>28613</v>
      </c>
      <c r="H9567" s="19" t="s">
        <v>36617</v>
      </c>
      <c r="I9567" s="20">
        <v>15.993</v>
      </c>
      <c r="J9567" s="44" t="s">
        <v>8</v>
      </c>
      <c r="K9567" s="23" t="s">
        <v>8</v>
      </c>
      <c r="L9567" s="23" t="s">
        <v>8</v>
      </c>
      <c r="M9567" s="23" t="s">
        <v>8</v>
      </c>
    </row>
    <row r="9568" spans="1:13" s="21" customFormat="1" x14ac:dyDescent="0.25">
      <c r="A9568" s="22" t="s">
        <v>8</v>
      </c>
      <c r="B9568" s="18" t="str">
        <f>"345518"</f>
        <v>345518</v>
      </c>
      <c r="C9568" s="19" t="s">
        <v>9433</v>
      </c>
      <c r="D9568" s="19" t="s">
        <v>24980</v>
      </c>
      <c r="E9568" s="19" t="s">
        <v>34277</v>
      </c>
      <c r="F9568" s="19" t="s">
        <v>36007</v>
      </c>
      <c r="G9568" s="18" t="str">
        <f>"28374"</f>
        <v>28374</v>
      </c>
      <c r="H9568" s="19" t="s">
        <v>34689</v>
      </c>
      <c r="I9568" s="20">
        <v>21.853999999999999</v>
      </c>
      <c r="J9568" s="44" t="s">
        <v>8</v>
      </c>
      <c r="K9568" s="23" t="s">
        <v>8</v>
      </c>
      <c r="L9568" s="23" t="s">
        <v>8</v>
      </c>
      <c r="M9568" s="23" t="s">
        <v>8</v>
      </c>
    </row>
    <row r="9569" spans="1:13" s="21" customFormat="1" x14ac:dyDescent="0.25">
      <c r="A9569" s="22" t="s">
        <v>8</v>
      </c>
      <c r="B9569" s="18" t="str">
        <f>"345519"</f>
        <v>345519</v>
      </c>
      <c r="C9569" s="19" t="s">
        <v>9434</v>
      </c>
      <c r="D9569" s="19" t="s">
        <v>24981</v>
      </c>
      <c r="E9569" s="19" t="s">
        <v>30967</v>
      </c>
      <c r="F9569" s="19" t="s">
        <v>36007</v>
      </c>
      <c r="G9569" s="18" t="str">
        <f>"27504"</f>
        <v>27504</v>
      </c>
      <c r="H9569" s="19" t="s">
        <v>32504</v>
      </c>
      <c r="I9569" s="20">
        <v>21.268000000000001</v>
      </c>
      <c r="J9569" s="44" t="s">
        <v>8</v>
      </c>
      <c r="K9569" s="23" t="s">
        <v>8</v>
      </c>
      <c r="L9569" s="23" t="s">
        <v>8</v>
      </c>
      <c r="M9569" s="23" t="s">
        <v>8</v>
      </c>
    </row>
    <row r="9570" spans="1:13" s="21" customFormat="1" x14ac:dyDescent="0.25">
      <c r="A9570" s="22" t="s">
        <v>8</v>
      </c>
      <c r="B9570" s="18" t="str">
        <f>"345520"</f>
        <v>345520</v>
      </c>
      <c r="C9570" s="19" t="s">
        <v>9435</v>
      </c>
      <c r="D9570" s="19" t="s">
        <v>24982</v>
      </c>
      <c r="E9570" s="19" t="s">
        <v>30900</v>
      </c>
      <c r="F9570" s="19" t="s">
        <v>36007</v>
      </c>
      <c r="G9570" s="18" t="str">
        <f>"27360"</f>
        <v>27360</v>
      </c>
      <c r="H9570" s="19" t="s">
        <v>36613</v>
      </c>
      <c r="I9570" s="20">
        <v>19.972000000000001</v>
      </c>
      <c r="J9570" s="44" t="s">
        <v>8</v>
      </c>
      <c r="K9570" s="23" t="s">
        <v>8</v>
      </c>
      <c r="L9570" s="23" t="s">
        <v>8</v>
      </c>
      <c r="M9570" s="23" t="s">
        <v>8</v>
      </c>
    </row>
    <row r="9571" spans="1:13" s="21" customFormat="1" x14ac:dyDescent="0.25">
      <c r="A9571" s="22" t="s">
        <v>8</v>
      </c>
      <c r="B9571" s="18" t="str">
        <f>"345521"</f>
        <v>345521</v>
      </c>
      <c r="C9571" s="19" t="s">
        <v>9436</v>
      </c>
      <c r="D9571" s="19" t="s">
        <v>24983</v>
      </c>
      <c r="E9571" s="19" t="s">
        <v>34278</v>
      </c>
      <c r="F9571" s="19" t="s">
        <v>36007</v>
      </c>
      <c r="G9571" s="18" t="str">
        <f>"28577"</f>
        <v>28577</v>
      </c>
      <c r="H9571" s="19" t="s">
        <v>36634</v>
      </c>
      <c r="I9571" s="20">
        <v>16.568000000000001</v>
      </c>
      <c r="J9571" s="44" t="s">
        <v>8</v>
      </c>
      <c r="K9571" s="23" t="s">
        <v>8</v>
      </c>
      <c r="L9571" s="23" t="s">
        <v>8</v>
      </c>
      <c r="M9571" s="23" t="s">
        <v>8</v>
      </c>
    </row>
    <row r="9572" spans="1:13" s="21" customFormat="1" x14ac:dyDescent="0.25">
      <c r="A9572" s="22" t="s">
        <v>8</v>
      </c>
      <c r="B9572" s="18" t="str">
        <f>"345522"</f>
        <v>345522</v>
      </c>
      <c r="C9572" s="19" t="s">
        <v>9437</v>
      </c>
      <c r="D9572" s="19" t="s">
        <v>24984</v>
      </c>
      <c r="E9572" s="19" t="s">
        <v>34355</v>
      </c>
      <c r="F9572" s="19" t="s">
        <v>36007</v>
      </c>
      <c r="G9572" s="18" t="str">
        <f>"28732"</f>
        <v>28732</v>
      </c>
      <c r="H9572" s="19" t="s">
        <v>32699</v>
      </c>
      <c r="I9572" s="20">
        <v>19.140999999999998</v>
      </c>
      <c r="J9572" s="44" t="s">
        <v>8</v>
      </c>
      <c r="K9572" s="23" t="s">
        <v>8</v>
      </c>
      <c r="L9572" s="23" t="s">
        <v>8</v>
      </c>
      <c r="M9572" s="23" t="s">
        <v>8</v>
      </c>
    </row>
    <row r="9573" spans="1:13" s="21" customFormat="1" x14ac:dyDescent="0.25">
      <c r="A9573" s="22" t="s">
        <v>8</v>
      </c>
      <c r="B9573" s="18" t="str">
        <f>"345523"</f>
        <v>345523</v>
      </c>
      <c r="C9573" s="19" t="s">
        <v>9438</v>
      </c>
      <c r="D9573" s="19" t="s">
        <v>24985</v>
      </c>
      <c r="E9573" s="19" t="s">
        <v>34356</v>
      </c>
      <c r="F9573" s="19" t="s">
        <v>36007</v>
      </c>
      <c r="G9573" s="18" t="str">
        <f>"27316"</f>
        <v>27316</v>
      </c>
      <c r="H9573" s="19" t="s">
        <v>33068</v>
      </c>
      <c r="I9573" s="20">
        <v>19.420999999999999</v>
      </c>
      <c r="J9573" s="44" t="s">
        <v>8</v>
      </c>
      <c r="K9573" s="23" t="s">
        <v>8</v>
      </c>
      <c r="L9573" s="23" t="s">
        <v>8</v>
      </c>
      <c r="M9573" s="23" t="s">
        <v>8</v>
      </c>
    </row>
    <row r="9574" spans="1:13" s="21" customFormat="1" x14ac:dyDescent="0.25">
      <c r="A9574" s="22" t="s">
        <v>8</v>
      </c>
      <c r="B9574" s="18" t="str">
        <f>"345525"</f>
        <v>345525</v>
      </c>
      <c r="C9574" s="19" t="s">
        <v>9439</v>
      </c>
      <c r="D9574" s="19" t="s">
        <v>24986</v>
      </c>
      <c r="E9574" s="19" t="s">
        <v>31141</v>
      </c>
      <c r="F9574" s="19" t="s">
        <v>36007</v>
      </c>
      <c r="G9574" s="18" t="str">
        <f>"28027"</f>
        <v>28027</v>
      </c>
      <c r="H9574" s="19" t="s">
        <v>36626</v>
      </c>
      <c r="I9574" s="20">
        <v>18.513000000000002</v>
      </c>
      <c r="J9574" s="44" t="s">
        <v>8</v>
      </c>
      <c r="K9574" s="23" t="s">
        <v>8</v>
      </c>
      <c r="L9574" s="23" t="s">
        <v>8</v>
      </c>
      <c r="M9574" s="23" t="s">
        <v>8</v>
      </c>
    </row>
    <row r="9575" spans="1:13" s="21" customFormat="1" x14ac:dyDescent="0.25">
      <c r="A9575" s="22" t="s">
        <v>8</v>
      </c>
      <c r="B9575" s="18" t="str">
        <f>"345526"</f>
        <v>345526</v>
      </c>
      <c r="C9575" s="19" t="s">
        <v>9440</v>
      </c>
      <c r="D9575" s="19" t="s">
        <v>24987</v>
      </c>
      <c r="E9575" s="19" t="s">
        <v>34357</v>
      </c>
      <c r="F9575" s="19" t="s">
        <v>36007</v>
      </c>
      <c r="G9575" s="18" t="str">
        <f>"28612"</f>
        <v>28612</v>
      </c>
      <c r="H9575" s="19" t="s">
        <v>35398</v>
      </c>
      <c r="I9575" s="20">
        <v>18.271000000000001</v>
      </c>
      <c r="J9575" s="44" t="s">
        <v>8</v>
      </c>
      <c r="K9575" s="23" t="s">
        <v>8</v>
      </c>
      <c r="L9575" s="23" t="s">
        <v>8</v>
      </c>
      <c r="M9575" s="23" t="s">
        <v>8</v>
      </c>
    </row>
    <row r="9576" spans="1:13" s="21" customFormat="1" x14ac:dyDescent="0.25">
      <c r="A9576" s="22" t="s">
        <v>8</v>
      </c>
      <c r="B9576" s="18" t="str">
        <f>"345528"</f>
        <v>345528</v>
      </c>
      <c r="C9576" s="19" t="s">
        <v>9441</v>
      </c>
      <c r="D9576" s="19" t="s">
        <v>24988</v>
      </c>
      <c r="E9576" s="19" t="s">
        <v>32141</v>
      </c>
      <c r="F9576" s="19" t="s">
        <v>36007</v>
      </c>
      <c r="G9576" s="18" t="str">
        <f>"27235"</f>
        <v>27235</v>
      </c>
      <c r="H9576" s="19" t="s">
        <v>31417</v>
      </c>
      <c r="I9576" s="20">
        <v>18.417000000000002</v>
      </c>
      <c r="J9576" s="44" t="s">
        <v>8</v>
      </c>
      <c r="K9576" s="23" t="s">
        <v>8</v>
      </c>
      <c r="L9576" s="23" t="s">
        <v>8</v>
      </c>
      <c r="M9576" s="23" t="s">
        <v>8</v>
      </c>
    </row>
    <row r="9577" spans="1:13" s="21" customFormat="1" x14ac:dyDescent="0.25">
      <c r="A9577" s="22" t="s">
        <v>8</v>
      </c>
      <c r="B9577" s="18" t="str">
        <f>"345529"</f>
        <v>345529</v>
      </c>
      <c r="C9577" s="19" t="s">
        <v>9442</v>
      </c>
      <c r="D9577" s="19" t="s">
        <v>24989</v>
      </c>
      <c r="E9577" s="19" t="s">
        <v>33576</v>
      </c>
      <c r="F9577" s="19" t="s">
        <v>36007</v>
      </c>
      <c r="G9577" s="18" t="str">
        <f>"27616"</f>
        <v>27616</v>
      </c>
      <c r="H9577" s="19" t="s">
        <v>36611</v>
      </c>
      <c r="I9577" s="20">
        <v>16.806999999999999</v>
      </c>
      <c r="J9577" s="44" t="s">
        <v>8</v>
      </c>
      <c r="K9577" s="23" t="s">
        <v>8</v>
      </c>
      <c r="L9577" s="23" t="s">
        <v>8</v>
      </c>
      <c r="M9577" s="23" t="s">
        <v>8</v>
      </c>
    </row>
    <row r="9578" spans="1:13" s="21" customFormat="1" x14ac:dyDescent="0.25">
      <c r="A9578" s="22" t="s">
        <v>8</v>
      </c>
      <c r="B9578" s="18" t="str">
        <f>"345530"</f>
        <v>345530</v>
      </c>
      <c r="C9578" s="19" t="s">
        <v>9443</v>
      </c>
      <c r="D9578" s="19" t="s">
        <v>24990</v>
      </c>
      <c r="E9578" s="19" t="s">
        <v>31814</v>
      </c>
      <c r="F9578" s="19" t="s">
        <v>36007</v>
      </c>
      <c r="G9578" s="18" t="str">
        <f>"27320"</f>
        <v>27320</v>
      </c>
      <c r="H9578" s="19" t="s">
        <v>34326</v>
      </c>
      <c r="I9578" s="20">
        <v>15.881</v>
      </c>
      <c r="J9578" s="44" t="s">
        <v>8</v>
      </c>
      <c r="K9578" s="23" t="s">
        <v>8</v>
      </c>
      <c r="L9578" s="23" t="s">
        <v>8</v>
      </c>
      <c r="M9578" s="23" t="s">
        <v>8</v>
      </c>
    </row>
    <row r="9579" spans="1:13" s="21" customFormat="1" x14ac:dyDescent="0.25">
      <c r="A9579" s="22" t="s">
        <v>8</v>
      </c>
      <c r="B9579" s="18" t="str">
        <f>"345531"</f>
        <v>345531</v>
      </c>
      <c r="C9579" s="19" t="s">
        <v>9444</v>
      </c>
      <c r="D9579" s="19" t="s">
        <v>24991</v>
      </c>
      <c r="E9579" s="19" t="s">
        <v>31440</v>
      </c>
      <c r="F9579" s="19" t="s">
        <v>36007</v>
      </c>
      <c r="G9579" s="18" t="str">
        <f>"28145"</f>
        <v>28145</v>
      </c>
      <c r="H9579" s="19" t="s">
        <v>36326</v>
      </c>
      <c r="I9579" s="20">
        <v>17.355</v>
      </c>
      <c r="J9579" s="44" t="s">
        <v>8</v>
      </c>
      <c r="K9579" s="23" t="s">
        <v>8</v>
      </c>
      <c r="L9579" s="23" t="s">
        <v>8</v>
      </c>
      <c r="M9579" s="23" t="s">
        <v>8</v>
      </c>
    </row>
    <row r="9580" spans="1:13" s="21" customFormat="1" x14ac:dyDescent="0.25">
      <c r="A9580" s="22" t="s">
        <v>8</v>
      </c>
      <c r="B9580" s="18" t="str">
        <f>"345532"</f>
        <v>345532</v>
      </c>
      <c r="C9580" s="19" t="s">
        <v>9445</v>
      </c>
      <c r="D9580" s="19" t="s">
        <v>24992</v>
      </c>
      <c r="E9580" s="19" t="s">
        <v>31628</v>
      </c>
      <c r="F9580" s="19" t="s">
        <v>36007</v>
      </c>
      <c r="G9580" s="18" t="str">
        <f>"27330"</f>
        <v>27330</v>
      </c>
      <c r="H9580" s="19" t="s">
        <v>33138</v>
      </c>
      <c r="I9580" s="20">
        <v>22.733000000000001</v>
      </c>
      <c r="J9580" s="44" t="s">
        <v>8</v>
      </c>
      <c r="K9580" s="23" t="s">
        <v>8</v>
      </c>
      <c r="L9580" s="23" t="s">
        <v>8</v>
      </c>
      <c r="M9580" s="23" t="s">
        <v>8</v>
      </c>
    </row>
    <row r="9581" spans="1:13" s="21" customFormat="1" x14ac:dyDescent="0.25">
      <c r="A9581" s="22" t="s">
        <v>8</v>
      </c>
      <c r="B9581" s="18" t="str">
        <f>"345533"</f>
        <v>345533</v>
      </c>
      <c r="C9581" s="19" t="s">
        <v>9446</v>
      </c>
      <c r="D9581" s="19" t="s">
        <v>24993</v>
      </c>
      <c r="E9581" s="19" t="s">
        <v>34284</v>
      </c>
      <c r="F9581" s="19" t="s">
        <v>36007</v>
      </c>
      <c r="G9581" s="18" t="str">
        <f>"27517"</f>
        <v>27517</v>
      </c>
      <c r="H9581" s="19" t="s">
        <v>31169</v>
      </c>
      <c r="I9581" s="20">
        <v>18.696999999999999</v>
      </c>
      <c r="J9581" s="44" t="s">
        <v>8</v>
      </c>
      <c r="K9581" s="23" t="s">
        <v>8</v>
      </c>
      <c r="L9581" s="23" t="s">
        <v>8</v>
      </c>
      <c r="M9581" s="23" t="s">
        <v>8</v>
      </c>
    </row>
    <row r="9582" spans="1:13" s="21" customFormat="1" x14ac:dyDescent="0.25">
      <c r="A9582" s="22" t="s">
        <v>8</v>
      </c>
      <c r="B9582" s="18" t="str">
        <f>"345534"</f>
        <v>345534</v>
      </c>
      <c r="C9582" s="19" t="s">
        <v>9447</v>
      </c>
      <c r="D9582" s="19" t="s">
        <v>24994</v>
      </c>
      <c r="E9582" s="19" t="s">
        <v>31628</v>
      </c>
      <c r="F9582" s="19" t="s">
        <v>36007</v>
      </c>
      <c r="G9582" s="18" t="str">
        <f>"27330"</f>
        <v>27330</v>
      </c>
      <c r="H9582" s="19" t="s">
        <v>33138</v>
      </c>
      <c r="I9582" s="20">
        <v>22</v>
      </c>
      <c r="J9582" s="44" t="s">
        <v>8</v>
      </c>
      <c r="K9582" s="23" t="s">
        <v>8</v>
      </c>
      <c r="L9582" s="23" t="s">
        <v>8</v>
      </c>
      <c r="M9582" s="23" t="s">
        <v>8</v>
      </c>
    </row>
    <row r="9583" spans="1:13" s="21" customFormat="1" x14ac:dyDescent="0.25">
      <c r="A9583" s="22" t="s">
        <v>8</v>
      </c>
      <c r="B9583" s="18" t="str">
        <f>"345535"</f>
        <v>345535</v>
      </c>
      <c r="C9583" s="19" t="s">
        <v>9448</v>
      </c>
      <c r="D9583" s="19" t="s">
        <v>24995</v>
      </c>
      <c r="E9583" s="19" t="s">
        <v>32741</v>
      </c>
      <c r="F9583" s="19" t="s">
        <v>36007</v>
      </c>
      <c r="G9583" s="18" t="str">
        <f>"27282"</f>
        <v>27282</v>
      </c>
      <c r="H9583" s="19" t="s">
        <v>31417</v>
      </c>
      <c r="I9583" s="20">
        <v>18.355</v>
      </c>
      <c r="J9583" s="44" t="s">
        <v>8</v>
      </c>
      <c r="K9583" s="23" t="s">
        <v>8</v>
      </c>
      <c r="L9583" s="23" t="s">
        <v>8</v>
      </c>
      <c r="M9583" s="23" t="s">
        <v>8</v>
      </c>
    </row>
    <row r="9584" spans="1:13" s="21" customFormat="1" x14ac:dyDescent="0.25">
      <c r="A9584" s="22" t="s">
        <v>8</v>
      </c>
      <c r="B9584" s="18" t="str">
        <f>"345537"</f>
        <v>345537</v>
      </c>
      <c r="C9584" s="19" t="s">
        <v>9449</v>
      </c>
      <c r="D9584" s="19" t="s">
        <v>24996</v>
      </c>
      <c r="E9584" s="19" t="s">
        <v>31489</v>
      </c>
      <c r="F9584" s="19" t="s">
        <v>36007</v>
      </c>
      <c r="G9584" s="18" t="str">
        <f>"28401"</f>
        <v>28401</v>
      </c>
      <c r="H9584" s="19" t="s">
        <v>36608</v>
      </c>
      <c r="I9584" s="20">
        <v>22.251999999999999</v>
      </c>
      <c r="J9584" s="44" t="s">
        <v>8</v>
      </c>
      <c r="K9584" s="23" t="s">
        <v>8</v>
      </c>
      <c r="L9584" s="23" t="s">
        <v>8</v>
      </c>
      <c r="M9584" s="23" t="s">
        <v>8</v>
      </c>
    </row>
    <row r="9585" spans="1:13" s="21" customFormat="1" x14ac:dyDescent="0.25">
      <c r="A9585" s="22" t="s">
        <v>8</v>
      </c>
      <c r="B9585" s="18" t="str">
        <f>"345538"</f>
        <v>345538</v>
      </c>
      <c r="C9585" s="19" t="s">
        <v>9450</v>
      </c>
      <c r="D9585" s="19" t="s">
        <v>24997</v>
      </c>
      <c r="E9585" s="19" t="s">
        <v>33576</v>
      </c>
      <c r="F9585" s="19" t="s">
        <v>36007</v>
      </c>
      <c r="G9585" s="18" t="str">
        <f>"27603"</f>
        <v>27603</v>
      </c>
      <c r="H9585" s="19" t="s">
        <v>36611</v>
      </c>
      <c r="I9585" s="20">
        <v>16.754000000000001</v>
      </c>
      <c r="J9585" s="44" t="s">
        <v>8</v>
      </c>
      <c r="K9585" s="23" t="s">
        <v>8</v>
      </c>
      <c r="L9585" s="23" t="s">
        <v>8</v>
      </c>
      <c r="M9585" s="23" t="s">
        <v>8</v>
      </c>
    </row>
    <row r="9586" spans="1:13" s="21" customFormat="1" x14ac:dyDescent="0.25">
      <c r="A9586" s="22" t="s">
        <v>8</v>
      </c>
      <c r="B9586" s="18" t="str">
        <f>"345539"</f>
        <v>345539</v>
      </c>
      <c r="C9586" s="19" t="s">
        <v>5738</v>
      </c>
      <c r="D9586" s="19" t="s">
        <v>24998</v>
      </c>
      <c r="E9586" s="19" t="s">
        <v>34339</v>
      </c>
      <c r="F9586" s="19" t="s">
        <v>36007</v>
      </c>
      <c r="G9586" s="18" t="str">
        <f>"27312"</f>
        <v>27312</v>
      </c>
      <c r="H9586" s="19" t="s">
        <v>33903</v>
      </c>
      <c r="I9586" s="20">
        <v>17.216000000000001</v>
      </c>
      <c r="J9586" s="44" t="s">
        <v>8</v>
      </c>
      <c r="K9586" s="23" t="s">
        <v>8</v>
      </c>
      <c r="L9586" s="23" t="s">
        <v>8</v>
      </c>
      <c r="M9586" s="23" t="s">
        <v>8</v>
      </c>
    </row>
    <row r="9587" spans="1:13" s="21" customFormat="1" x14ac:dyDescent="0.25">
      <c r="A9587" s="22" t="s">
        <v>8</v>
      </c>
      <c r="B9587" s="18" t="str">
        <f>"345541"</f>
        <v>345541</v>
      </c>
      <c r="C9587" s="19" t="s">
        <v>9451</v>
      </c>
      <c r="D9587" s="19" t="s">
        <v>24999</v>
      </c>
      <c r="E9587" s="19" t="s">
        <v>34253</v>
      </c>
      <c r="F9587" s="19" t="s">
        <v>36007</v>
      </c>
      <c r="G9587" s="18" t="str">
        <f>"28078"</f>
        <v>28078</v>
      </c>
      <c r="H9587" s="19" t="s">
        <v>36610</v>
      </c>
      <c r="I9587" s="20">
        <v>21.768000000000001</v>
      </c>
      <c r="J9587" s="44" t="s">
        <v>8</v>
      </c>
      <c r="K9587" s="23" t="s">
        <v>8</v>
      </c>
      <c r="L9587" s="23" t="s">
        <v>8</v>
      </c>
      <c r="M9587" s="23" t="s">
        <v>8</v>
      </c>
    </row>
    <row r="9588" spans="1:13" s="21" customFormat="1" x14ac:dyDescent="0.25">
      <c r="A9588" s="22" t="s">
        <v>8</v>
      </c>
      <c r="B9588" s="18" t="str">
        <f>"345542"</f>
        <v>345542</v>
      </c>
      <c r="C9588" s="19" t="s">
        <v>9452</v>
      </c>
      <c r="D9588" s="19" t="s">
        <v>25000</v>
      </c>
      <c r="E9588" s="19" t="s">
        <v>31487</v>
      </c>
      <c r="F9588" s="19" t="s">
        <v>36007</v>
      </c>
      <c r="G9588" s="18" t="str">
        <f>"27705"</f>
        <v>27705</v>
      </c>
      <c r="H9588" s="19" t="s">
        <v>31487</v>
      </c>
      <c r="I9588" s="20">
        <v>18.443999999999999</v>
      </c>
      <c r="J9588" s="44" t="s">
        <v>8</v>
      </c>
      <c r="K9588" s="23" t="s">
        <v>8</v>
      </c>
      <c r="L9588" s="23" t="s">
        <v>8</v>
      </c>
      <c r="M9588" s="23" t="s">
        <v>8</v>
      </c>
    </row>
    <row r="9589" spans="1:13" s="21" customFormat="1" x14ac:dyDescent="0.25">
      <c r="A9589" s="22" t="s">
        <v>8</v>
      </c>
      <c r="B9589" s="18" t="str">
        <f>"345543"</f>
        <v>345543</v>
      </c>
      <c r="C9589" s="19" t="s">
        <v>9453</v>
      </c>
      <c r="D9589" s="19" t="s">
        <v>25001</v>
      </c>
      <c r="E9589" s="19" t="s">
        <v>33674</v>
      </c>
      <c r="F9589" s="19" t="s">
        <v>36007</v>
      </c>
      <c r="G9589" s="18" t="str">
        <f>"27006"</f>
        <v>27006</v>
      </c>
      <c r="H9589" s="19" t="s">
        <v>36607</v>
      </c>
      <c r="I9589" s="20">
        <v>20.298999999999999</v>
      </c>
      <c r="J9589" s="44" t="s">
        <v>8</v>
      </c>
      <c r="K9589" s="23" t="s">
        <v>8</v>
      </c>
      <c r="L9589" s="23" t="s">
        <v>8</v>
      </c>
      <c r="M9589" s="23" t="s">
        <v>8</v>
      </c>
    </row>
    <row r="9590" spans="1:13" s="21" customFormat="1" x14ac:dyDescent="0.25">
      <c r="A9590" s="22" t="s">
        <v>8</v>
      </c>
      <c r="B9590" s="18" t="str">
        <f>"345544"</f>
        <v>345544</v>
      </c>
      <c r="C9590" s="19" t="s">
        <v>9454</v>
      </c>
      <c r="D9590" s="19" t="s">
        <v>25002</v>
      </c>
      <c r="E9590" s="19" t="s">
        <v>33156</v>
      </c>
      <c r="F9590" s="19" t="s">
        <v>36007</v>
      </c>
      <c r="G9590" s="18" t="str">
        <f>"28215"</f>
        <v>28215</v>
      </c>
      <c r="H9590" s="19" t="s">
        <v>36610</v>
      </c>
      <c r="I9590" s="20">
        <v>20.760999999999999</v>
      </c>
      <c r="J9590" s="44" t="s">
        <v>8</v>
      </c>
      <c r="K9590" s="23" t="s">
        <v>8</v>
      </c>
      <c r="L9590" s="23" t="s">
        <v>8</v>
      </c>
      <c r="M9590" s="23" t="s">
        <v>8</v>
      </c>
    </row>
    <row r="9591" spans="1:13" s="21" customFormat="1" x14ac:dyDescent="0.25">
      <c r="A9591" s="22" t="s">
        <v>8</v>
      </c>
      <c r="B9591" s="18" t="str">
        <f>"345545"</f>
        <v>345545</v>
      </c>
      <c r="C9591" s="19" t="s">
        <v>9455</v>
      </c>
      <c r="D9591" s="19" t="s">
        <v>24757</v>
      </c>
      <c r="E9591" s="19" t="s">
        <v>31369</v>
      </c>
      <c r="F9591" s="19" t="s">
        <v>36007</v>
      </c>
      <c r="G9591" s="18" t="str">
        <f>"27215"</f>
        <v>27215</v>
      </c>
      <c r="H9591" s="19" t="s">
        <v>36620</v>
      </c>
      <c r="I9591" s="20">
        <v>19.611999999999998</v>
      </c>
      <c r="J9591" s="44" t="s">
        <v>8</v>
      </c>
      <c r="K9591" s="23" t="s">
        <v>8</v>
      </c>
      <c r="L9591" s="23" t="s">
        <v>8</v>
      </c>
      <c r="M9591" s="23" t="s">
        <v>8</v>
      </c>
    </row>
    <row r="9592" spans="1:13" s="21" customFormat="1" x14ac:dyDescent="0.25">
      <c r="A9592" s="22" t="s">
        <v>8</v>
      </c>
      <c r="B9592" s="18" t="str">
        <f>"345546"</f>
        <v>345546</v>
      </c>
      <c r="C9592" s="19" t="s">
        <v>9456</v>
      </c>
      <c r="D9592" s="19" t="s">
        <v>25003</v>
      </c>
      <c r="E9592" s="19" t="s">
        <v>33576</v>
      </c>
      <c r="F9592" s="19" t="s">
        <v>36007</v>
      </c>
      <c r="G9592" s="18" t="str">
        <f>"27615"</f>
        <v>27615</v>
      </c>
      <c r="H9592" s="19" t="s">
        <v>36611</v>
      </c>
      <c r="I9592" s="20">
        <v>18.332999999999998</v>
      </c>
      <c r="J9592" s="44" t="s">
        <v>8</v>
      </c>
      <c r="K9592" s="23" t="s">
        <v>8</v>
      </c>
      <c r="L9592" s="23" t="s">
        <v>8</v>
      </c>
      <c r="M9592" s="23" t="s">
        <v>8</v>
      </c>
    </row>
    <row r="9593" spans="1:13" s="21" customFormat="1" x14ac:dyDescent="0.25">
      <c r="A9593" s="22" t="s">
        <v>8</v>
      </c>
      <c r="B9593" s="18" t="str">
        <f>"345547"</f>
        <v>345547</v>
      </c>
      <c r="C9593" s="19" t="s">
        <v>9457</v>
      </c>
      <c r="D9593" s="19" t="s">
        <v>25004</v>
      </c>
      <c r="E9593" s="19" t="s">
        <v>30811</v>
      </c>
      <c r="F9593" s="19" t="s">
        <v>36007</v>
      </c>
      <c r="G9593" s="18" t="str">
        <f>"27407"</f>
        <v>27407</v>
      </c>
      <c r="H9593" s="19" t="s">
        <v>31417</v>
      </c>
      <c r="I9593" s="20">
        <v>20.143000000000001</v>
      </c>
      <c r="J9593" s="44" t="s">
        <v>8</v>
      </c>
      <c r="K9593" s="23" t="s">
        <v>8</v>
      </c>
      <c r="L9593" s="23" t="s">
        <v>8</v>
      </c>
      <c r="M9593" s="23" t="s">
        <v>8</v>
      </c>
    </row>
    <row r="9594" spans="1:13" s="21" customFormat="1" x14ac:dyDescent="0.25">
      <c r="A9594" s="22" t="s">
        <v>8</v>
      </c>
      <c r="B9594" s="18" t="str">
        <f>"345548"</f>
        <v>345548</v>
      </c>
      <c r="C9594" s="19" t="s">
        <v>9458</v>
      </c>
      <c r="D9594" s="19" t="s">
        <v>25005</v>
      </c>
      <c r="E9594" s="19" t="s">
        <v>34358</v>
      </c>
      <c r="F9594" s="19" t="s">
        <v>36007</v>
      </c>
      <c r="G9594" s="18" t="str">
        <f>"27301"</f>
        <v>27301</v>
      </c>
      <c r="H9594" s="19" t="s">
        <v>31417</v>
      </c>
      <c r="I9594" s="20">
        <v>18.721</v>
      </c>
      <c r="J9594" s="44" t="s">
        <v>8</v>
      </c>
      <c r="K9594" s="23" t="s">
        <v>8</v>
      </c>
      <c r="L9594" s="23" t="s">
        <v>8</v>
      </c>
      <c r="M9594" s="23" t="s">
        <v>8</v>
      </c>
    </row>
    <row r="9595" spans="1:13" s="21" customFormat="1" x14ac:dyDescent="0.25">
      <c r="A9595" s="22" t="s">
        <v>8</v>
      </c>
      <c r="B9595" s="18" t="str">
        <f>"345549"</f>
        <v>345549</v>
      </c>
      <c r="C9595" s="19" t="s">
        <v>9459</v>
      </c>
      <c r="D9595" s="19" t="s">
        <v>25006</v>
      </c>
      <c r="E9595" s="19" t="s">
        <v>34359</v>
      </c>
      <c r="F9595" s="19" t="s">
        <v>36007</v>
      </c>
      <c r="G9595" s="18" t="str">
        <f>"28422"</f>
        <v>28422</v>
      </c>
      <c r="H9595" s="19" t="s">
        <v>31794</v>
      </c>
      <c r="I9595" s="20">
        <v>19.138999999999999</v>
      </c>
      <c r="J9595" s="44" t="s">
        <v>8</v>
      </c>
      <c r="K9595" s="23" t="s">
        <v>8</v>
      </c>
      <c r="L9595" s="23" t="s">
        <v>8</v>
      </c>
      <c r="M9595" s="23" t="s">
        <v>8</v>
      </c>
    </row>
    <row r="9596" spans="1:13" s="21" customFormat="1" x14ac:dyDescent="0.25">
      <c r="A9596" s="22" t="s">
        <v>8</v>
      </c>
      <c r="B9596" s="18" t="str">
        <f>"345550"</f>
        <v>345550</v>
      </c>
      <c r="C9596" s="19" t="s">
        <v>9460</v>
      </c>
      <c r="D9596" s="19" t="s">
        <v>25007</v>
      </c>
      <c r="E9596" s="19" t="s">
        <v>34360</v>
      </c>
      <c r="F9596" s="19" t="s">
        <v>36007</v>
      </c>
      <c r="G9596" s="18" t="str">
        <f>"28173"</f>
        <v>28173</v>
      </c>
      <c r="H9596" s="19" t="s">
        <v>33554</v>
      </c>
      <c r="I9596" s="20">
        <v>19.212</v>
      </c>
      <c r="J9596" s="44" t="s">
        <v>8</v>
      </c>
      <c r="K9596" s="23" t="s">
        <v>8</v>
      </c>
      <c r="L9596" s="23" t="s">
        <v>8</v>
      </c>
      <c r="M9596" s="23" t="s">
        <v>8</v>
      </c>
    </row>
    <row r="9597" spans="1:13" s="21" customFormat="1" x14ac:dyDescent="0.25">
      <c r="A9597" s="22" t="s">
        <v>8</v>
      </c>
      <c r="B9597" s="18" t="str">
        <f>"345551"</f>
        <v>345551</v>
      </c>
      <c r="C9597" s="19" t="s">
        <v>9461</v>
      </c>
      <c r="D9597" s="19" t="s">
        <v>25008</v>
      </c>
      <c r="E9597" s="19" t="s">
        <v>31487</v>
      </c>
      <c r="F9597" s="19" t="s">
        <v>36007</v>
      </c>
      <c r="G9597" s="18" t="str">
        <f>"27705"</f>
        <v>27705</v>
      </c>
      <c r="H9597" s="19" t="s">
        <v>31487</v>
      </c>
      <c r="I9597" s="20">
        <v>19.863</v>
      </c>
      <c r="J9597" s="44" t="s">
        <v>8</v>
      </c>
      <c r="K9597" s="23" t="s">
        <v>8</v>
      </c>
      <c r="L9597" s="23" t="s">
        <v>8</v>
      </c>
      <c r="M9597" s="23" t="s">
        <v>8</v>
      </c>
    </row>
    <row r="9598" spans="1:13" s="21" customFormat="1" x14ac:dyDescent="0.25">
      <c r="A9598" s="22" t="s">
        <v>8</v>
      </c>
      <c r="B9598" s="18" t="str">
        <f>"345552"</f>
        <v>345552</v>
      </c>
      <c r="C9598" s="19" t="s">
        <v>9462</v>
      </c>
      <c r="D9598" s="19" t="s">
        <v>25009</v>
      </c>
      <c r="E9598" s="19" t="s">
        <v>32741</v>
      </c>
      <c r="F9598" s="19" t="s">
        <v>36007</v>
      </c>
      <c r="G9598" s="18" t="str">
        <f>"27282"</f>
        <v>27282</v>
      </c>
      <c r="H9598" s="19" t="s">
        <v>31417</v>
      </c>
      <c r="I9598" s="20">
        <v>17.788</v>
      </c>
      <c r="J9598" s="44" t="s">
        <v>8</v>
      </c>
      <c r="K9598" s="23" t="s">
        <v>8</v>
      </c>
      <c r="L9598" s="23" t="s">
        <v>8</v>
      </c>
      <c r="M9598" s="23" t="s">
        <v>8</v>
      </c>
    </row>
    <row r="9599" spans="1:13" s="21" customFormat="1" x14ac:dyDescent="0.25">
      <c r="A9599" s="22" t="s">
        <v>8</v>
      </c>
      <c r="B9599" s="18" t="str">
        <f>"345553"</f>
        <v>345553</v>
      </c>
      <c r="C9599" s="19" t="s">
        <v>9463</v>
      </c>
      <c r="D9599" s="19" t="s">
        <v>25010</v>
      </c>
      <c r="E9599" s="19" t="s">
        <v>30991</v>
      </c>
      <c r="F9599" s="19" t="s">
        <v>36007</v>
      </c>
      <c r="G9599" s="18" t="str">
        <f>"28314"</f>
        <v>28314</v>
      </c>
      <c r="H9599" s="19" t="s">
        <v>32766</v>
      </c>
      <c r="I9599" s="20">
        <v>18.597999999999999</v>
      </c>
      <c r="J9599" s="44" t="s">
        <v>8</v>
      </c>
      <c r="K9599" s="23" t="s">
        <v>8</v>
      </c>
      <c r="L9599" s="23" t="s">
        <v>8</v>
      </c>
      <c r="M9599" s="23" t="s">
        <v>8</v>
      </c>
    </row>
    <row r="9600" spans="1:13" s="21" customFormat="1" x14ac:dyDescent="0.25">
      <c r="A9600" s="22" t="s">
        <v>8</v>
      </c>
      <c r="B9600" s="18" t="str">
        <f>"345554"</f>
        <v>345554</v>
      </c>
      <c r="C9600" s="19" t="s">
        <v>9464</v>
      </c>
      <c r="D9600" s="19" t="s">
        <v>25011</v>
      </c>
      <c r="E9600" s="19" t="s">
        <v>31489</v>
      </c>
      <c r="F9600" s="19" t="s">
        <v>36007</v>
      </c>
      <c r="G9600" s="18" t="str">
        <f>"28412"</f>
        <v>28412</v>
      </c>
      <c r="H9600" s="19" t="s">
        <v>36608</v>
      </c>
      <c r="I9600" s="20">
        <v>15.923999999999999</v>
      </c>
      <c r="J9600" s="44" t="s">
        <v>8</v>
      </c>
      <c r="K9600" s="23" t="s">
        <v>8</v>
      </c>
      <c r="L9600" s="23" t="s">
        <v>8</v>
      </c>
      <c r="M9600" s="23" t="s">
        <v>8</v>
      </c>
    </row>
    <row r="9601" spans="1:13" s="21" customFormat="1" x14ac:dyDescent="0.25">
      <c r="A9601" s="22" t="s">
        <v>8</v>
      </c>
      <c r="B9601" s="18" t="str">
        <f>"345555"</f>
        <v>345555</v>
      </c>
      <c r="C9601" s="19" t="s">
        <v>9465</v>
      </c>
      <c r="D9601" s="19" t="s">
        <v>25012</v>
      </c>
      <c r="E9601" s="19" t="s">
        <v>33576</v>
      </c>
      <c r="F9601" s="19" t="s">
        <v>36007</v>
      </c>
      <c r="G9601" s="18" t="str">
        <f>"27612"</f>
        <v>27612</v>
      </c>
      <c r="H9601" s="19" t="s">
        <v>36611</v>
      </c>
      <c r="I9601" s="20">
        <v>16.245999999999999</v>
      </c>
      <c r="J9601" s="44" t="s">
        <v>8</v>
      </c>
      <c r="K9601" s="23" t="s">
        <v>8</v>
      </c>
      <c r="L9601" s="23" t="s">
        <v>8</v>
      </c>
      <c r="M9601" s="23" t="s">
        <v>8</v>
      </c>
    </row>
    <row r="9602" spans="1:13" s="21" customFormat="1" x14ac:dyDescent="0.25">
      <c r="A9602" s="22" t="s">
        <v>8</v>
      </c>
      <c r="B9602" s="18" t="str">
        <f>"345556"</f>
        <v>345556</v>
      </c>
      <c r="C9602" s="19" t="s">
        <v>9466</v>
      </c>
      <c r="D9602" s="19" t="s">
        <v>25013</v>
      </c>
      <c r="E9602" s="19" t="s">
        <v>34240</v>
      </c>
      <c r="F9602" s="19" t="s">
        <v>36007</v>
      </c>
      <c r="G9602" s="18" t="str">
        <f>"28803"</f>
        <v>28803</v>
      </c>
      <c r="H9602" s="19" t="s">
        <v>36612</v>
      </c>
      <c r="I9602" s="20">
        <v>18.155999999999999</v>
      </c>
      <c r="J9602" s="44" t="s">
        <v>8</v>
      </c>
      <c r="K9602" s="23" t="s">
        <v>8</v>
      </c>
      <c r="L9602" s="23" t="s">
        <v>8</v>
      </c>
      <c r="M9602" s="23" t="s">
        <v>8</v>
      </c>
    </row>
    <row r="9603" spans="1:13" s="21" customFormat="1" x14ac:dyDescent="0.25">
      <c r="A9603" s="22" t="s">
        <v>8</v>
      </c>
      <c r="B9603" s="18" t="str">
        <f>"345557"</f>
        <v>345557</v>
      </c>
      <c r="C9603" s="19" t="s">
        <v>9467</v>
      </c>
      <c r="D9603" s="19" t="s">
        <v>25014</v>
      </c>
      <c r="E9603" s="19" t="s">
        <v>31489</v>
      </c>
      <c r="F9603" s="19" t="s">
        <v>36007</v>
      </c>
      <c r="G9603" s="18" t="str">
        <f>"28412"</f>
        <v>28412</v>
      </c>
      <c r="H9603" s="19" t="s">
        <v>36608</v>
      </c>
      <c r="I9603" s="20">
        <v>18.920999999999999</v>
      </c>
      <c r="J9603" s="44" t="s">
        <v>8</v>
      </c>
      <c r="K9603" s="23" t="s">
        <v>8</v>
      </c>
      <c r="L9603" s="23" t="s">
        <v>8</v>
      </c>
      <c r="M9603" s="23" t="s">
        <v>8</v>
      </c>
    </row>
    <row r="9604" spans="1:13" s="21" customFormat="1" x14ac:dyDescent="0.25">
      <c r="A9604" s="22" t="s">
        <v>8</v>
      </c>
      <c r="B9604" s="18" t="str">
        <f>"345558"</f>
        <v>345558</v>
      </c>
      <c r="C9604" s="19" t="s">
        <v>9468</v>
      </c>
      <c r="D9604" s="19" t="s">
        <v>25015</v>
      </c>
      <c r="E9604" s="19" t="s">
        <v>34246</v>
      </c>
      <c r="F9604" s="19" t="s">
        <v>36007</v>
      </c>
      <c r="G9604" s="18" t="str">
        <f>"28711"</f>
        <v>28711</v>
      </c>
      <c r="H9604" s="19" t="s">
        <v>36612</v>
      </c>
      <c r="I9604" s="20">
        <v>17.420000000000002</v>
      </c>
      <c r="J9604" s="44" t="s">
        <v>8</v>
      </c>
      <c r="K9604" s="23" t="s">
        <v>8</v>
      </c>
      <c r="L9604" s="23" t="s">
        <v>8</v>
      </c>
      <c r="M9604" s="23" t="s">
        <v>8</v>
      </c>
    </row>
    <row r="9605" spans="1:13" s="21" customFormat="1" x14ac:dyDescent="0.25">
      <c r="A9605" s="22" t="s">
        <v>8</v>
      </c>
      <c r="B9605" s="18" t="str">
        <f>"345559"</f>
        <v>345559</v>
      </c>
      <c r="C9605" s="19" t="s">
        <v>9469</v>
      </c>
      <c r="D9605" s="19" t="s">
        <v>25016</v>
      </c>
      <c r="E9605" s="19" t="s">
        <v>34304</v>
      </c>
      <c r="F9605" s="19" t="s">
        <v>36007</v>
      </c>
      <c r="G9605" s="18" t="str">
        <f>"27103"</f>
        <v>27103</v>
      </c>
      <c r="H9605" s="19" t="s">
        <v>31754</v>
      </c>
      <c r="I9605" s="20">
        <v>17.440000000000001</v>
      </c>
      <c r="J9605" s="44" t="s">
        <v>8</v>
      </c>
      <c r="K9605" s="23" t="s">
        <v>8</v>
      </c>
      <c r="L9605" s="23" t="s">
        <v>8</v>
      </c>
      <c r="M9605" s="23" t="s">
        <v>8</v>
      </c>
    </row>
    <row r="9606" spans="1:13" s="21" customFormat="1" x14ac:dyDescent="0.25">
      <c r="A9606" s="22" t="s">
        <v>8</v>
      </c>
      <c r="B9606" s="18" t="str">
        <f>"345560"</f>
        <v>345560</v>
      </c>
      <c r="C9606" s="19" t="s">
        <v>9470</v>
      </c>
      <c r="D9606" s="19" t="s">
        <v>25017</v>
      </c>
      <c r="E9606" s="19" t="s">
        <v>34269</v>
      </c>
      <c r="F9606" s="19" t="s">
        <v>36007</v>
      </c>
      <c r="G9606" s="18" t="str">
        <f>"28504"</f>
        <v>28504</v>
      </c>
      <c r="H9606" s="19" t="s">
        <v>34265</v>
      </c>
      <c r="I9606" s="20">
        <v>19.785</v>
      </c>
      <c r="J9606" s="44" t="s">
        <v>8</v>
      </c>
      <c r="K9606" s="23" t="s">
        <v>8</v>
      </c>
      <c r="L9606" s="23" t="s">
        <v>8</v>
      </c>
      <c r="M9606" s="23" t="s">
        <v>8</v>
      </c>
    </row>
    <row r="9607" spans="1:13" s="21" customFormat="1" x14ac:dyDescent="0.25">
      <c r="A9607" s="22" t="s">
        <v>8</v>
      </c>
      <c r="B9607" s="18" t="str">
        <f>"345561"</f>
        <v>345561</v>
      </c>
      <c r="C9607" s="19" t="s">
        <v>9471</v>
      </c>
      <c r="D9607" s="19" t="s">
        <v>25018</v>
      </c>
      <c r="E9607" s="19" t="s">
        <v>34351</v>
      </c>
      <c r="F9607" s="19" t="s">
        <v>36007</v>
      </c>
      <c r="G9607" s="18" t="str">
        <f>"27526"</f>
        <v>27526</v>
      </c>
      <c r="H9607" s="19" t="s">
        <v>36611</v>
      </c>
      <c r="I9607" s="20">
        <v>17.113</v>
      </c>
      <c r="J9607" s="44" t="s">
        <v>8</v>
      </c>
      <c r="K9607" s="23" t="s">
        <v>8</v>
      </c>
      <c r="L9607" s="23" t="s">
        <v>8</v>
      </c>
      <c r="M9607" s="23" t="s">
        <v>8</v>
      </c>
    </row>
    <row r="9608" spans="1:13" s="21" customFormat="1" x14ac:dyDescent="0.25">
      <c r="A9608" s="22" t="s">
        <v>8</v>
      </c>
      <c r="B9608" s="18" t="str">
        <f>"345562"</f>
        <v>345562</v>
      </c>
      <c r="C9608" s="19" t="s">
        <v>9472</v>
      </c>
      <c r="D9608" s="19" t="s">
        <v>25019</v>
      </c>
      <c r="E9608" s="19" t="s">
        <v>34361</v>
      </c>
      <c r="F9608" s="19" t="s">
        <v>36007</v>
      </c>
      <c r="G9608" s="18" t="str">
        <f>"28227"</f>
        <v>28227</v>
      </c>
      <c r="H9608" s="19" t="s">
        <v>36610</v>
      </c>
      <c r="I9608" s="20">
        <v>16.774000000000001</v>
      </c>
      <c r="J9608" s="44" t="s">
        <v>8</v>
      </c>
      <c r="K9608" s="23" t="s">
        <v>8</v>
      </c>
      <c r="L9608" s="23" t="s">
        <v>8</v>
      </c>
      <c r="M9608" s="23" t="s">
        <v>8</v>
      </c>
    </row>
    <row r="9609" spans="1:13" s="21" customFormat="1" x14ac:dyDescent="0.25">
      <c r="A9609" s="22" t="s">
        <v>8</v>
      </c>
      <c r="B9609" s="18" t="str">
        <f>"345563"</f>
        <v>345563</v>
      </c>
      <c r="C9609" s="19" t="s">
        <v>9473</v>
      </c>
      <c r="D9609" s="19" t="s">
        <v>25020</v>
      </c>
      <c r="E9609" s="19" t="s">
        <v>33156</v>
      </c>
      <c r="F9609" s="19" t="s">
        <v>36007</v>
      </c>
      <c r="G9609" s="18" t="str">
        <f>"28277"</f>
        <v>28277</v>
      </c>
      <c r="H9609" s="19" t="s">
        <v>36610</v>
      </c>
      <c r="I9609" s="20">
        <v>20.587</v>
      </c>
      <c r="J9609" s="44" t="s">
        <v>8</v>
      </c>
      <c r="K9609" s="23" t="s">
        <v>8</v>
      </c>
      <c r="L9609" s="23" t="s">
        <v>8</v>
      </c>
      <c r="M9609" s="23" t="s">
        <v>8</v>
      </c>
    </row>
    <row r="9610" spans="1:13" s="21" customFormat="1" x14ac:dyDescent="0.25">
      <c r="A9610" s="22" t="s">
        <v>8</v>
      </c>
      <c r="B9610" s="18" t="str">
        <f>"345564"</f>
        <v>345564</v>
      </c>
      <c r="C9610" s="19" t="s">
        <v>9474</v>
      </c>
      <c r="D9610" s="19" t="s">
        <v>25021</v>
      </c>
      <c r="E9610" s="19" t="s">
        <v>33156</v>
      </c>
      <c r="F9610" s="19" t="s">
        <v>36007</v>
      </c>
      <c r="G9610" s="18" t="str">
        <f>"28210"</f>
        <v>28210</v>
      </c>
      <c r="H9610" s="19" t="s">
        <v>36610</v>
      </c>
      <c r="I9610" s="20">
        <v>16.204999999999998</v>
      </c>
      <c r="J9610" s="44" t="s">
        <v>8</v>
      </c>
      <c r="K9610" s="23" t="s">
        <v>8</v>
      </c>
      <c r="L9610" s="23" t="s">
        <v>8</v>
      </c>
      <c r="M9610" s="23" t="s">
        <v>8</v>
      </c>
    </row>
    <row r="9611" spans="1:13" s="21" customFormat="1" x14ac:dyDescent="0.25">
      <c r="A9611" s="22" t="s">
        <v>8</v>
      </c>
      <c r="B9611" s="18" t="str">
        <f>"345565"</f>
        <v>345565</v>
      </c>
      <c r="C9611" s="19" t="s">
        <v>9475</v>
      </c>
      <c r="D9611" s="19" t="s">
        <v>25022</v>
      </c>
      <c r="E9611" s="19" t="s">
        <v>34262</v>
      </c>
      <c r="F9611" s="19" t="s">
        <v>36007</v>
      </c>
      <c r="G9611" s="18" t="str">
        <f>"27012"</f>
        <v>27012</v>
      </c>
      <c r="H9611" s="19" t="s">
        <v>31754</v>
      </c>
      <c r="I9611" s="20">
        <v>16.925000000000001</v>
      </c>
      <c r="J9611" s="44" t="s">
        <v>8</v>
      </c>
      <c r="K9611" s="23" t="s">
        <v>8</v>
      </c>
      <c r="L9611" s="23" t="s">
        <v>8</v>
      </c>
      <c r="M9611" s="23" t="s">
        <v>8</v>
      </c>
    </row>
    <row r="9612" spans="1:13" s="21" customFormat="1" x14ac:dyDescent="0.25">
      <c r="A9612" s="22" t="s">
        <v>8</v>
      </c>
      <c r="B9612" s="18" t="str">
        <f>"345566"</f>
        <v>345566</v>
      </c>
      <c r="C9612" s="19" t="s">
        <v>9476</v>
      </c>
      <c r="D9612" s="19" t="s">
        <v>25023</v>
      </c>
      <c r="E9612" s="19" t="s">
        <v>31711</v>
      </c>
      <c r="F9612" s="19" t="s">
        <v>36007</v>
      </c>
      <c r="G9612" s="18" t="str">
        <f>"28110"</f>
        <v>28110</v>
      </c>
      <c r="H9612" s="19" t="s">
        <v>33554</v>
      </c>
      <c r="I9612" s="20">
        <v>22.079000000000001</v>
      </c>
      <c r="J9612" s="44" t="s">
        <v>8</v>
      </c>
      <c r="K9612" s="23" t="s">
        <v>8</v>
      </c>
      <c r="L9612" s="23" t="s">
        <v>8</v>
      </c>
      <c r="M9612" s="23" t="s">
        <v>8</v>
      </c>
    </row>
    <row r="9613" spans="1:13" s="21" customFormat="1" x14ac:dyDescent="0.25">
      <c r="A9613" s="22" t="s">
        <v>8</v>
      </c>
      <c r="B9613" s="18" t="str">
        <f>"345567"</f>
        <v>345567</v>
      </c>
      <c r="C9613" s="19" t="s">
        <v>9477</v>
      </c>
      <c r="D9613" s="19" t="s">
        <v>25024</v>
      </c>
      <c r="E9613" s="19" t="s">
        <v>34362</v>
      </c>
      <c r="F9613" s="19" t="s">
        <v>36007</v>
      </c>
      <c r="G9613" s="18" t="str">
        <f>"28031"</f>
        <v>28031</v>
      </c>
      <c r="H9613" s="19" t="s">
        <v>36610</v>
      </c>
      <c r="I9613" s="20">
        <v>18.815000000000001</v>
      </c>
      <c r="J9613" s="44" t="s">
        <v>8</v>
      </c>
      <c r="K9613" s="23" t="s">
        <v>8</v>
      </c>
      <c r="L9613" s="23" t="s">
        <v>8</v>
      </c>
      <c r="M9613" s="23" t="s">
        <v>8</v>
      </c>
    </row>
    <row r="9614" spans="1:13" s="21" customFormat="1" x14ac:dyDescent="0.25">
      <c r="A9614" s="22" t="s">
        <v>8</v>
      </c>
      <c r="B9614" s="18" t="str">
        <f>"345568"</f>
        <v>345568</v>
      </c>
      <c r="C9614" s="19" t="s">
        <v>9478</v>
      </c>
      <c r="D9614" s="19" t="s">
        <v>25025</v>
      </c>
      <c r="E9614" s="19" t="s">
        <v>31489</v>
      </c>
      <c r="F9614" s="19" t="s">
        <v>36007</v>
      </c>
      <c r="G9614" s="18" t="str">
        <f>"28405"</f>
        <v>28405</v>
      </c>
      <c r="H9614" s="19" t="s">
        <v>36608</v>
      </c>
      <c r="I9614" s="20">
        <v>17.134</v>
      </c>
      <c r="J9614" s="44" t="s">
        <v>8</v>
      </c>
      <c r="K9614" s="23" t="s">
        <v>8</v>
      </c>
      <c r="L9614" s="23" t="s">
        <v>8</v>
      </c>
      <c r="M9614" s="23" t="s">
        <v>8</v>
      </c>
    </row>
    <row r="9615" spans="1:13" s="21" customFormat="1" x14ac:dyDescent="0.25">
      <c r="A9615" s="22" t="s">
        <v>8</v>
      </c>
      <c r="B9615" s="18" t="str">
        <f>"345569"</f>
        <v>345569</v>
      </c>
      <c r="C9615" s="19" t="s">
        <v>9479</v>
      </c>
      <c r="D9615" s="19" t="s">
        <v>25026</v>
      </c>
      <c r="E9615" s="19" t="s">
        <v>31848</v>
      </c>
      <c r="F9615" s="19" t="s">
        <v>36007</v>
      </c>
      <c r="G9615" s="18" t="str">
        <f>"27520"</f>
        <v>27520</v>
      </c>
      <c r="H9615" s="19" t="s">
        <v>32504</v>
      </c>
      <c r="I9615" s="20">
        <v>20.488</v>
      </c>
      <c r="J9615" s="44" t="s">
        <v>8</v>
      </c>
      <c r="K9615" s="23" t="s">
        <v>8</v>
      </c>
      <c r="L9615" s="23" t="s">
        <v>8</v>
      </c>
      <c r="M9615" s="23" t="s">
        <v>8</v>
      </c>
    </row>
    <row r="9616" spans="1:13" s="21" customFormat="1" x14ac:dyDescent="0.25">
      <c r="A9616" s="22" t="s">
        <v>8</v>
      </c>
      <c r="B9616" s="18" t="str">
        <f>"355024"</f>
        <v>355024</v>
      </c>
      <c r="C9616" s="19" t="s">
        <v>7914</v>
      </c>
      <c r="D9616" s="19" t="s">
        <v>25027</v>
      </c>
      <c r="E9616" s="19" t="s">
        <v>34363</v>
      </c>
      <c r="F9616" s="19" t="s">
        <v>36008</v>
      </c>
      <c r="G9616" s="18" t="str">
        <f>"58103"</f>
        <v>58103</v>
      </c>
      <c r="H9616" s="19" t="s">
        <v>36246</v>
      </c>
      <c r="I9616" s="20">
        <v>19.286999999999999</v>
      </c>
      <c r="J9616" s="44" t="s">
        <v>8</v>
      </c>
      <c r="K9616" s="23" t="s">
        <v>8</v>
      </c>
      <c r="L9616" s="23" t="s">
        <v>8</v>
      </c>
      <c r="M9616" s="23" t="s">
        <v>8</v>
      </c>
    </row>
    <row r="9617" spans="1:13" s="21" customFormat="1" x14ac:dyDescent="0.25">
      <c r="A9617" s="22" t="s">
        <v>8</v>
      </c>
      <c r="B9617" s="18" t="str">
        <f>"355031"</f>
        <v>355031</v>
      </c>
      <c r="C9617" s="19" t="s">
        <v>9480</v>
      </c>
      <c r="D9617" s="19" t="s">
        <v>25028</v>
      </c>
      <c r="E9617" s="19" t="s">
        <v>34364</v>
      </c>
      <c r="F9617" s="19" t="s">
        <v>36008</v>
      </c>
      <c r="G9617" s="18" t="str">
        <f>"58701"</f>
        <v>58701</v>
      </c>
      <c r="H9617" s="19" t="s">
        <v>36655</v>
      </c>
      <c r="I9617" s="20">
        <v>16.721</v>
      </c>
      <c r="J9617" s="44" t="s">
        <v>8</v>
      </c>
      <c r="K9617" s="23" t="s">
        <v>8</v>
      </c>
      <c r="L9617" s="23" t="s">
        <v>8</v>
      </c>
      <c r="M9617" s="23" t="s">
        <v>8</v>
      </c>
    </row>
    <row r="9618" spans="1:13" s="21" customFormat="1" x14ac:dyDescent="0.25">
      <c r="A9618" s="22" t="s">
        <v>8</v>
      </c>
      <c r="B9618" s="18" t="str">
        <f>"355032"</f>
        <v>355032</v>
      </c>
      <c r="C9618" s="19" t="s">
        <v>9481</v>
      </c>
      <c r="D9618" s="19" t="s">
        <v>25029</v>
      </c>
      <c r="E9618" s="19" t="s">
        <v>34365</v>
      </c>
      <c r="F9618" s="19" t="s">
        <v>36008</v>
      </c>
      <c r="G9618" s="18" t="str">
        <f>"58368"</f>
        <v>58368</v>
      </c>
      <c r="H9618" s="19" t="s">
        <v>33791</v>
      </c>
      <c r="I9618" s="20">
        <v>18.914000000000001</v>
      </c>
      <c r="J9618" s="44" t="s">
        <v>8</v>
      </c>
      <c r="K9618" s="23" t="s">
        <v>8</v>
      </c>
      <c r="L9618" s="23" t="s">
        <v>8</v>
      </c>
      <c r="M9618" s="23" t="s">
        <v>8</v>
      </c>
    </row>
    <row r="9619" spans="1:13" s="21" customFormat="1" x14ac:dyDescent="0.25">
      <c r="A9619" s="22" t="s">
        <v>8</v>
      </c>
      <c r="B9619" s="18" t="str">
        <f>"355033"</f>
        <v>355033</v>
      </c>
      <c r="C9619" s="19" t="s">
        <v>9482</v>
      </c>
      <c r="D9619" s="19" t="s">
        <v>25030</v>
      </c>
      <c r="E9619" s="19" t="s">
        <v>34366</v>
      </c>
      <c r="F9619" s="19" t="s">
        <v>36008</v>
      </c>
      <c r="G9619" s="18" t="str">
        <f>"58075"</f>
        <v>58075</v>
      </c>
      <c r="H9619" s="19" t="s">
        <v>31785</v>
      </c>
      <c r="I9619" s="20">
        <v>18.518000000000001</v>
      </c>
      <c r="J9619" s="44" t="s">
        <v>8</v>
      </c>
      <c r="K9619" s="23" t="s">
        <v>8</v>
      </c>
      <c r="L9619" s="23" t="s">
        <v>8</v>
      </c>
      <c r="M9619" s="23" t="s">
        <v>8</v>
      </c>
    </row>
    <row r="9620" spans="1:13" s="21" customFormat="1" x14ac:dyDescent="0.25">
      <c r="A9620" s="22" t="s">
        <v>8</v>
      </c>
      <c r="B9620" s="18" t="str">
        <f>"355034"</f>
        <v>355034</v>
      </c>
      <c r="C9620" s="19" t="s">
        <v>9483</v>
      </c>
      <c r="D9620" s="19" t="s">
        <v>25031</v>
      </c>
      <c r="E9620" s="19" t="s">
        <v>34367</v>
      </c>
      <c r="F9620" s="19" t="s">
        <v>36008</v>
      </c>
      <c r="G9620" s="18" t="str">
        <f>"58852"</f>
        <v>58852</v>
      </c>
      <c r="H9620" s="19" t="s">
        <v>35728</v>
      </c>
      <c r="I9620" s="20">
        <v>18.460999999999999</v>
      </c>
      <c r="J9620" s="44" t="s">
        <v>8</v>
      </c>
      <c r="K9620" s="23" t="s">
        <v>8</v>
      </c>
      <c r="L9620" s="23" t="s">
        <v>8</v>
      </c>
      <c r="M9620" s="23" t="s">
        <v>8</v>
      </c>
    </row>
    <row r="9621" spans="1:13" s="21" customFormat="1" x14ac:dyDescent="0.25">
      <c r="A9621" s="22" t="s">
        <v>8</v>
      </c>
      <c r="B9621" s="18" t="str">
        <f>"355036"</f>
        <v>355036</v>
      </c>
      <c r="C9621" s="19" t="s">
        <v>9484</v>
      </c>
      <c r="D9621" s="19" t="s">
        <v>25032</v>
      </c>
      <c r="E9621" s="19" t="s">
        <v>34368</v>
      </c>
      <c r="F9621" s="19" t="s">
        <v>36008</v>
      </c>
      <c r="G9621" s="18" t="str">
        <f>"58631"</f>
        <v>58631</v>
      </c>
      <c r="H9621" s="19" t="s">
        <v>31951</v>
      </c>
      <c r="I9621" s="20">
        <v>18.353999999999999</v>
      </c>
      <c r="J9621" s="44" t="s">
        <v>8</v>
      </c>
      <c r="K9621" s="23" t="s">
        <v>8</v>
      </c>
      <c r="L9621" s="23" t="s">
        <v>8</v>
      </c>
      <c r="M9621" s="23" t="s">
        <v>8</v>
      </c>
    </row>
    <row r="9622" spans="1:13" s="21" customFormat="1" x14ac:dyDescent="0.25">
      <c r="A9622" s="22" t="s">
        <v>8</v>
      </c>
      <c r="B9622" s="18" t="str">
        <f>"355037"</f>
        <v>355037</v>
      </c>
      <c r="C9622" s="19" t="s">
        <v>9485</v>
      </c>
      <c r="D9622" s="19" t="s">
        <v>25033</v>
      </c>
      <c r="E9622" s="19" t="s">
        <v>31938</v>
      </c>
      <c r="F9622" s="19" t="s">
        <v>36008</v>
      </c>
      <c r="G9622" s="18" t="str">
        <f>"58341"</f>
        <v>58341</v>
      </c>
      <c r="H9622" s="19" t="s">
        <v>33439</v>
      </c>
      <c r="I9622" s="20">
        <v>19.88</v>
      </c>
      <c r="J9622" s="44" t="s">
        <v>8</v>
      </c>
      <c r="K9622" s="23" t="s">
        <v>8</v>
      </c>
      <c r="L9622" s="23" t="s">
        <v>8</v>
      </c>
      <c r="M9622" s="23" t="s">
        <v>8</v>
      </c>
    </row>
    <row r="9623" spans="1:13" s="21" customFormat="1" x14ac:dyDescent="0.25">
      <c r="A9623" s="22" t="s">
        <v>8</v>
      </c>
      <c r="B9623" s="18" t="str">
        <f>"355038"</f>
        <v>355038</v>
      </c>
      <c r="C9623" s="19" t="s">
        <v>9486</v>
      </c>
      <c r="D9623" s="19" t="s">
        <v>25034</v>
      </c>
      <c r="E9623" s="19" t="s">
        <v>34369</v>
      </c>
      <c r="F9623" s="19" t="s">
        <v>36008</v>
      </c>
      <c r="G9623" s="18" t="str">
        <f>"58041"</f>
        <v>58041</v>
      </c>
      <c r="H9623" s="19" t="s">
        <v>31785</v>
      </c>
      <c r="I9623" s="20">
        <v>18.646000000000001</v>
      </c>
      <c r="J9623" s="44" t="s">
        <v>8</v>
      </c>
      <c r="K9623" s="23" t="s">
        <v>8</v>
      </c>
      <c r="L9623" s="23" t="s">
        <v>8</v>
      </c>
      <c r="M9623" s="23" t="s">
        <v>8</v>
      </c>
    </row>
    <row r="9624" spans="1:13" s="21" customFormat="1" x14ac:dyDescent="0.25">
      <c r="A9624" s="22" t="s">
        <v>8</v>
      </c>
      <c r="B9624" s="18" t="str">
        <f>"355039"</f>
        <v>355039</v>
      </c>
      <c r="C9624" s="19" t="s">
        <v>9487</v>
      </c>
      <c r="D9624" s="19" t="s">
        <v>25035</v>
      </c>
      <c r="E9624" s="19" t="s">
        <v>34134</v>
      </c>
      <c r="F9624" s="19" t="s">
        <v>36008</v>
      </c>
      <c r="G9624" s="18" t="str">
        <f>"58425"</f>
        <v>58425</v>
      </c>
      <c r="H9624" s="19" t="s">
        <v>36656</v>
      </c>
      <c r="I9624" s="20">
        <v>17.478999999999999</v>
      </c>
      <c r="J9624" s="44" t="s">
        <v>8</v>
      </c>
      <c r="K9624" s="23" t="s">
        <v>8</v>
      </c>
      <c r="L9624" s="23" t="s">
        <v>8</v>
      </c>
      <c r="M9624" s="23" t="s">
        <v>8</v>
      </c>
    </row>
    <row r="9625" spans="1:13" s="21" customFormat="1" x14ac:dyDescent="0.25">
      <c r="A9625" s="22" t="s">
        <v>8</v>
      </c>
      <c r="B9625" s="18" t="str">
        <f>"355040"</f>
        <v>355040</v>
      </c>
      <c r="C9625" s="19" t="s">
        <v>6866</v>
      </c>
      <c r="D9625" s="19" t="s">
        <v>25036</v>
      </c>
      <c r="E9625" s="19" t="s">
        <v>33302</v>
      </c>
      <c r="F9625" s="19" t="s">
        <v>36008</v>
      </c>
      <c r="G9625" s="18" t="str">
        <f>"58257"</f>
        <v>58257</v>
      </c>
      <c r="H9625" s="19" t="s">
        <v>36657</v>
      </c>
      <c r="I9625" s="20">
        <v>16.622</v>
      </c>
      <c r="J9625" s="44" t="s">
        <v>8</v>
      </c>
      <c r="K9625" s="23" t="s">
        <v>8</v>
      </c>
      <c r="L9625" s="23" t="s">
        <v>8</v>
      </c>
      <c r="M9625" s="23" t="s">
        <v>8</v>
      </c>
    </row>
    <row r="9626" spans="1:13" s="21" customFormat="1" x14ac:dyDescent="0.25">
      <c r="A9626" s="22" t="s">
        <v>8</v>
      </c>
      <c r="B9626" s="18" t="str">
        <f>"355041"</f>
        <v>355041</v>
      </c>
      <c r="C9626" s="19" t="s">
        <v>9488</v>
      </c>
      <c r="D9626" s="19" t="s">
        <v>25037</v>
      </c>
      <c r="E9626" s="19" t="s">
        <v>34370</v>
      </c>
      <c r="F9626" s="19" t="s">
        <v>36008</v>
      </c>
      <c r="G9626" s="18" t="str">
        <f>"58356"</f>
        <v>58356</v>
      </c>
      <c r="H9626" s="19" t="s">
        <v>36579</v>
      </c>
      <c r="I9626" s="20">
        <v>17.213999999999999</v>
      </c>
      <c r="J9626" s="44" t="s">
        <v>8</v>
      </c>
      <c r="K9626" s="23" t="s">
        <v>8</v>
      </c>
      <c r="L9626" s="23" t="s">
        <v>8</v>
      </c>
      <c r="M9626" s="23" t="s">
        <v>8</v>
      </c>
    </row>
    <row r="9627" spans="1:13" s="21" customFormat="1" x14ac:dyDescent="0.25">
      <c r="A9627" s="22" t="s">
        <v>8</v>
      </c>
      <c r="B9627" s="18" t="str">
        <f>"355042"</f>
        <v>355042</v>
      </c>
      <c r="C9627" s="19" t="s">
        <v>9489</v>
      </c>
      <c r="D9627" s="19" t="s">
        <v>25038</v>
      </c>
      <c r="E9627" s="19" t="s">
        <v>34371</v>
      </c>
      <c r="F9627" s="19" t="s">
        <v>36008</v>
      </c>
      <c r="G9627" s="18" t="str">
        <f>"58639"</f>
        <v>58639</v>
      </c>
      <c r="H9627" s="19" t="s">
        <v>33467</v>
      </c>
      <c r="I9627" s="20">
        <v>18.419</v>
      </c>
      <c r="J9627" s="44" t="s">
        <v>8</v>
      </c>
      <c r="K9627" s="23" t="s">
        <v>8</v>
      </c>
      <c r="L9627" s="23" t="s">
        <v>8</v>
      </c>
      <c r="M9627" s="23" t="s">
        <v>8</v>
      </c>
    </row>
    <row r="9628" spans="1:13" s="21" customFormat="1" x14ac:dyDescent="0.25">
      <c r="A9628" s="22" t="s">
        <v>8</v>
      </c>
      <c r="B9628" s="18" t="str">
        <f>"355044"</f>
        <v>355044</v>
      </c>
      <c r="C9628" s="19" t="s">
        <v>9490</v>
      </c>
      <c r="D9628" s="19" t="s">
        <v>25039</v>
      </c>
      <c r="E9628" s="19" t="s">
        <v>34299</v>
      </c>
      <c r="F9628" s="19" t="s">
        <v>36008</v>
      </c>
      <c r="G9628" s="18" t="str">
        <f>"58784"</f>
        <v>58784</v>
      </c>
      <c r="H9628" s="19" t="s">
        <v>36658</v>
      </c>
      <c r="I9628" s="20">
        <v>18.391999999999999</v>
      </c>
      <c r="J9628" s="44" t="s">
        <v>8</v>
      </c>
      <c r="K9628" s="23" t="s">
        <v>8</v>
      </c>
      <c r="L9628" s="23" t="s">
        <v>8</v>
      </c>
      <c r="M9628" s="23" t="s">
        <v>8</v>
      </c>
    </row>
    <row r="9629" spans="1:13" s="21" customFormat="1" x14ac:dyDescent="0.25">
      <c r="A9629" s="22" t="s">
        <v>8</v>
      </c>
      <c r="B9629" s="18" t="str">
        <f>"355046"</f>
        <v>355046</v>
      </c>
      <c r="C9629" s="19" t="s">
        <v>9491</v>
      </c>
      <c r="D9629" s="19" t="s">
        <v>25040</v>
      </c>
      <c r="E9629" s="19" t="s">
        <v>34372</v>
      </c>
      <c r="F9629" s="19" t="s">
        <v>36008</v>
      </c>
      <c r="G9629" s="18" t="str">
        <f>"58421"</f>
        <v>58421</v>
      </c>
      <c r="H9629" s="19" t="s">
        <v>35040</v>
      </c>
      <c r="I9629" s="20">
        <v>17.638999999999999</v>
      </c>
      <c r="J9629" s="44" t="s">
        <v>8</v>
      </c>
      <c r="K9629" s="23" t="s">
        <v>8</v>
      </c>
      <c r="L9629" s="23" t="s">
        <v>8</v>
      </c>
      <c r="M9629" s="23" t="s">
        <v>8</v>
      </c>
    </row>
    <row r="9630" spans="1:13" s="21" customFormat="1" x14ac:dyDescent="0.25">
      <c r="A9630" s="22" t="s">
        <v>8</v>
      </c>
      <c r="B9630" s="18" t="str">
        <f>"355047"</f>
        <v>355047</v>
      </c>
      <c r="C9630" s="19" t="s">
        <v>9492</v>
      </c>
      <c r="D9630" s="19" t="s">
        <v>25041</v>
      </c>
      <c r="E9630" s="19" t="s">
        <v>34363</v>
      </c>
      <c r="F9630" s="19" t="s">
        <v>36008</v>
      </c>
      <c r="G9630" s="18" t="str">
        <f>"58102"</f>
        <v>58102</v>
      </c>
      <c r="H9630" s="19" t="s">
        <v>36246</v>
      </c>
      <c r="I9630" s="20">
        <v>17.917999999999999</v>
      </c>
      <c r="J9630" s="44" t="s">
        <v>8</v>
      </c>
      <c r="K9630" s="23" t="s">
        <v>8</v>
      </c>
      <c r="L9630" s="23" t="s">
        <v>8</v>
      </c>
      <c r="M9630" s="23" t="s">
        <v>8</v>
      </c>
    </row>
    <row r="9631" spans="1:13" s="21" customFormat="1" x14ac:dyDescent="0.25">
      <c r="A9631" s="22" t="s">
        <v>8</v>
      </c>
      <c r="B9631" s="18" t="str">
        <f>"355048"</f>
        <v>355048</v>
      </c>
      <c r="C9631" s="19" t="s">
        <v>9493</v>
      </c>
      <c r="D9631" s="19" t="s">
        <v>25042</v>
      </c>
      <c r="E9631" s="19" t="s">
        <v>34373</v>
      </c>
      <c r="F9631" s="19" t="s">
        <v>36008</v>
      </c>
      <c r="G9631" s="18" t="str">
        <f>"58436"</f>
        <v>58436</v>
      </c>
      <c r="H9631" s="19" t="s">
        <v>36659</v>
      </c>
      <c r="I9631" s="20">
        <v>18.213000000000001</v>
      </c>
      <c r="J9631" s="44" t="s">
        <v>8</v>
      </c>
      <c r="K9631" s="23" t="s">
        <v>8</v>
      </c>
      <c r="L9631" s="23" t="s">
        <v>8</v>
      </c>
      <c r="M9631" s="23" t="s">
        <v>8</v>
      </c>
    </row>
    <row r="9632" spans="1:13" s="21" customFormat="1" x14ac:dyDescent="0.25">
      <c r="A9632" s="22" t="s">
        <v>8</v>
      </c>
      <c r="B9632" s="18" t="str">
        <f>"355049"</f>
        <v>355049</v>
      </c>
      <c r="C9632" s="19" t="s">
        <v>9494</v>
      </c>
      <c r="D9632" s="19" t="s">
        <v>25043</v>
      </c>
      <c r="E9632" s="19" t="s">
        <v>34374</v>
      </c>
      <c r="F9632" s="19" t="s">
        <v>36008</v>
      </c>
      <c r="G9632" s="18" t="str">
        <f>"58573"</f>
        <v>58573</v>
      </c>
      <c r="H9632" s="19" t="s">
        <v>36660</v>
      </c>
      <c r="I9632" s="20">
        <v>19.172999999999998</v>
      </c>
      <c r="J9632" s="44" t="s">
        <v>8</v>
      </c>
      <c r="K9632" s="23" t="s">
        <v>8</v>
      </c>
      <c r="L9632" s="23" t="s">
        <v>8</v>
      </c>
      <c r="M9632" s="23" t="s">
        <v>8</v>
      </c>
    </row>
    <row r="9633" spans="1:13" s="21" customFormat="1" x14ac:dyDescent="0.25">
      <c r="A9633" s="22" t="s">
        <v>8</v>
      </c>
      <c r="B9633" s="18" t="str">
        <f>"355050"</f>
        <v>355050</v>
      </c>
      <c r="C9633" s="19" t="s">
        <v>9495</v>
      </c>
      <c r="D9633" s="19" t="s">
        <v>25044</v>
      </c>
      <c r="E9633" s="19" t="s">
        <v>34375</v>
      </c>
      <c r="F9633" s="19" t="s">
        <v>36008</v>
      </c>
      <c r="G9633" s="18" t="str">
        <f>"58249"</f>
        <v>58249</v>
      </c>
      <c r="H9633" s="19" t="s">
        <v>34392</v>
      </c>
      <c r="I9633" s="20">
        <v>18.893000000000001</v>
      </c>
      <c r="J9633" s="44" t="s">
        <v>8</v>
      </c>
      <c r="K9633" s="23" t="s">
        <v>8</v>
      </c>
      <c r="L9633" s="23" t="s">
        <v>8</v>
      </c>
      <c r="M9633" s="23" t="s">
        <v>8</v>
      </c>
    </row>
    <row r="9634" spans="1:13" s="21" customFormat="1" x14ac:dyDescent="0.25">
      <c r="A9634" s="22" t="s">
        <v>8</v>
      </c>
      <c r="B9634" s="18" t="str">
        <f>"355051"</f>
        <v>355051</v>
      </c>
      <c r="C9634" s="19" t="s">
        <v>9496</v>
      </c>
      <c r="D9634" s="19" t="s">
        <v>25045</v>
      </c>
      <c r="E9634" s="19" t="s">
        <v>34376</v>
      </c>
      <c r="F9634" s="19" t="s">
        <v>36008</v>
      </c>
      <c r="G9634" s="18" t="str">
        <f>"58240"</f>
        <v>58240</v>
      </c>
      <c r="H9634" s="19" t="s">
        <v>36657</v>
      </c>
      <c r="I9634" s="20">
        <v>18.449000000000002</v>
      </c>
      <c r="J9634" s="44" t="s">
        <v>8</v>
      </c>
      <c r="K9634" s="23" t="s">
        <v>8</v>
      </c>
      <c r="L9634" s="23" t="s">
        <v>8</v>
      </c>
      <c r="M9634" s="23" t="s">
        <v>8</v>
      </c>
    </row>
    <row r="9635" spans="1:13" s="21" customFormat="1" x14ac:dyDescent="0.25">
      <c r="A9635" s="22" t="s">
        <v>8</v>
      </c>
      <c r="B9635" s="18" t="str">
        <f>"355052"</f>
        <v>355052</v>
      </c>
      <c r="C9635" s="19" t="s">
        <v>9497</v>
      </c>
      <c r="D9635" s="19" t="s">
        <v>25046</v>
      </c>
      <c r="E9635" s="19" t="s">
        <v>34377</v>
      </c>
      <c r="F9635" s="19" t="s">
        <v>36008</v>
      </c>
      <c r="G9635" s="18" t="str">
        <f>"58254"</f>
        <v>58254</v>
      </c>
      <c r="H9635" s="19" t="s">
        <v>36324</v>
      </c>
      <c r="I9635" s="20">
        <v>17.411000000000001</v>
      </c>
      <c r="J9635" s="44" t="s">
        <v>8</v>
      </c>
      <c r="K9635" s="23" t="s">
        <v>8</v>
      </c>
      <c r="L9635" s="23" t="s">
        <v>8</v>
      </c>
      <c r="M9635" s="23" t="s">
        <v>8</v>
      </c>
    </row>
    <row r="9636" spans="1:13" s="21" customFormat="1" x14ac:dyDescent="0.25">
      <c r="A9636" s="22" t="s">
        <v>8</v>
      </c>
      <c r="B9636" s="18" t="str">
        <f>"355053"</f>
        <v>355053</v>
      </c>
      <c r="C9636" s="19" t="s">
        <v>9498</v>
      </c>
      <c r="D9636" s="19" t="s">
        <v>25047</v>
      </c>
      <c r="E9636" s="19" t="s">
        <v>34378</v>
      </c>
      <c r="F9636" s="19" t="s">
        <v>36008</v>
      </c>
      <c r="G9636" s="18" t="str">
        <f>"58523"</f>
        <v>58523</v>
      </c>
      <c r="H9636" s="19" t="s">
        <v>34991</v>
      </c>
      <c r="I9636" s="20">
        <v>18.138999999999999</v>
      </c>
      <c r="J9636" s="44" t="s">
        <v>8</v>
      </c>
      <c r="K9636" s="23" t="s">
        <v>8</v>
      </c>
      <c r="L9636" s="23" t="s">
        <v>8</v>
      </c>
      <c r="M9636" s="23" t="s">
        <v>8</v>
      </c>
    </row>
    <row r="9637" spans="1:13" s="21" customFormat="1" x14ac:dyDescent="0.25">
      <c r="A9637" s="22" t="s">
        <v>8</v>
      </c>
      <c r="B9637" s="18" t="str">
        <f>"355054"</f>
        <v>355054</v>
      </c>
      <c r="C9637" s="19" t="s">
        <v>9499</v>
      </c>
      <c r="D9637" s="19" t="s">
        <v>25048</v>
      </c>
      <c r="E9637" s="19" t="s">
        <v>34379</v>
      </c>
      <c r="F9637" s="19" t="s">
        <v>36008</v>
      </c>
      <c r="G9637" s="18" t="str">
        <f>"58623"</f>
        <v>58623</v>
      </c>
      <c r="H9637" s="19" t="s">
        <v>34379</v>
      </c>
      <c r="I9637" s="20">
        <v>19.498000000000001</v>
      </c>
      <c r="J9637" s="44" t="s">
        <v>8</v>
      </c>
      <c r="K9637" s="23" t="s">
        <v>8</v>
      </c>
      <c r="L9637" s="23" t="s">
        <v>8</v>
      </c>
      <c r="M9637" s="23" t="s">
        <v>8</v>
      </c>
    </row>
    <row r="9638" spans="1:13" s="21" customFormat="1" x14ac:dyDescent="0.25">
      <c r="A9638" s="22" t="s">
        <v>8</v>
      </c>
      <c r="B9638" s="18" t="str">
        <f>"355057"</f>
        <v>355057</v>
      </c>
      <c r="C9638" s="19" t="s">
        <v>9500</v>
      </c>
      <c r="D9638" s="19" t="s">
        <v>25049</v>
      </c>
      <c r="E9638" s="19" t="s">
        <v>34380</v>
      </c>
      <c r="F9638" s="19" t="s">
        <v>36008</v>
      </c>
      <c r="G9638" s="18" t="str">
        <f>"58282"</f>
        <v>58282</v>
      </c>
      <c r="H9638" s="19" t="s">
        <v>36661</v>
      </c>
      <c r="I9638" s="20">
        <v>19.224</v>
      </c>
      <c r="J9638" s="44" t="s">
        <v>8</v>
      </c>
      <c r="K9638" s="23" t="s">
        <v>8</v>
      </c>
      <c r="L9638" s="23" t="s">
        <v>8</v>
      </c>
      <c r="M9638" s="23" t="s">
        <v>8</v>
      </c>
    </row>
    <row r="9639" spans="1:13" s="21" customFormat="1" x14ac:dyDescent="0.25">
      <c r="A9639" s="22" t="s">
        <v>8</v>
      </c>
      <c r="B9639" s="18" t="str">
        <f>"355058"</f>
        <v>355058</v>
      </c>
      <c r="C9639" s="19" t="s">
        <v>9501</v>
      </c>
      <c r="D9639" s="19" t="s">
        <v>25050</v>
      </c>
      <c r="E9639" s="19" t="s">
        <v>34381</v>
      </c>
      <c r="F9639" s="19" t="s">
        <v>36008</v>
      </c>
      <c r="G9639" s="18" t="str">
        <f>"58503"</f>
        <v>58503</v>
      </c>
      <c r="H9639" s="19" t="s">
        <v>36662</v>
      </c>
      <c r="I9639" s="20">
        <v>17.48</v>
      </c>
      <c r="J9639" s="44" t="s">
        <v>8</v>
      </c>
      <c r="K9639" s="23" t="s">
        <v>8</v>
      </c>
      <c r="L9639" s="23" t="s">
        <v>8</v>
      </c>
      <c r="M9639" s="23" t="s">
        <v>8</v>
      </c>
    </row>
    <row r="9640" spans="1:13" s="21" customFormat="1" x14ac:dyDescent="0.25">
      <c r="A9640" s="22" t="s">
        <v>8</v>
      </c>
      <c r="B9640" s="18" t="str">
        <f>"355059"</f>
        <v>355059</v>
      </c>
      <c r="C9640" s="19" t="s">
        <v>9502</v>
      </c>
      <c r="D9640" s="19" t="s">
        <v>25051</v>
      </c>
      <c r="E9640" s="19" t="s">
        <v>34381</v>
      </c>
      <c r="F9640" s="19" t="s">
        <v>36008</v>
      </c>
      <c r="G9640" s="18" t="str">
        <f>"58501"</f>
        <v>58501</v>
      </c>
      <c r="H9640" s="19" t="s">
        <v>36662</v>
      </c>
      <c r="I9640" s="20">
        <v>13.587999999999999</v>
      </c>
      <c r="J9640" s="44" t="s">
        <v>8</v>
      </c>
      <c r="K9640" s="23" t="s">
        <v>8</v>
      </c>
      <c r="L9640" s="23" t="s">
        <v>8</v>
      </c>
      <c r="M9640" s="23" t="s">
        <v>8</v>
      </c>
    </row>
    <row r="9641" spans="1:13" s="21" customFormat="1" x14ac:dyDescent="0.25">
      <c r="A9641" s="22" t="s">
        <v>8</v>
      </c>
      <c r="B9641" s="18" t="str">
        <f>"355060"</f>
        <v>355060</v>
      </c>
      <c r="C9641" s="19" t="s">
        <v>9503</v>
      </c>
      <c r="D9641" s="19" t="s">
        <v>25052</v>
      </c>
      <c r="E9641" s="19" t="s">
        <v>34381</v>
      </c>
      <c r="F9641" s="19" t="s">
        <v>36008</v>
      </c>
      <c r="G9641" s="18" t="str">
        <f>"58501"</f>
        <v>58501</v>
      </c>
      <c r="H9641" s="19" t="s">
        <v>36662</v>
      </c>
      <c r="I9641" s="20">
        <v>17.600000000000001</v>
      </c>
      <c r="J9641" s="44" t="s">
        <v>8</v>
      </c>
      <c r="K9641" s="23" t="s">
        <v>8</v>
      </c>
      <c r="L9641" s="23" t="s">
        <v>8</v>
      </c>
      <c r="M9641" s="23" t="s">
        <v>8</v>
      </c>
    </row>
    <row r="9642" spans="1:13" s="21" customFormat="1" x14ac:dyDescent="0.25">
      <c r="A9642" s="22" t="s">
        <v>8</v>
      </c>
      <c r="B9642" s="18" t="str">
        <f>"355061"</f>
        <v>355061</v>
      </c>
      <c r="C9642" s="19" t="s">
        <v>9504</v>
      </c>
      <c r="D9642" s="19" t="s">
        <v>25053</v>
      </c>
      <c r="E9642" s="19" t="s">
        <v>32016</v>
      </c>
      <c r="F9642" s="19" t="s">
        <v>36008</v>
      </c>
      <c r="G9642" s="18" t="str">
        <f>"58045"</f>
        <v>58045</v>
      </c>
      <c r="H9642" s="19" t="s">
        <v>36657</v>
      </c>
      <c r="I9642" s="20">
        <v>18.109000000000002</v>
      </c>
      <c r="J9642" s="44" t="s">
        <v>8</v>
      </c>
      <c r="K9642" s="23" t="s">
        <v>8</v>
      </c>
      <c r="L9642" s="23" t="s">
        <v>8</v>
      </c>
      <c r="M9642" s="23" t="s">
        <v>8</v>
      </c>
    </row>
    <row r="9643" spans="1:13" s="21" customFormat="1" x14ac:dyDescent="0.25">
      <c r="A9643" s="22" t="s">
        <v>8</v>
      </c>
      <c r="B9643" s="18" t="str">
        <f>"355063"</f>
        <v>355063</v>
      </c>
      <c r="C9643" s="19" t="s">
        <v>9004</v>
      </c>
      <c r="D9643" s="19" t="s">
        <v>25054</v>
      </c>
      <c r="E9643" s="19" t="s">
        <v>34382</v>
      </c>
      <c r="F9643" s="19" t="s">
        <v>36008</v>
      </c>
      <c r="G9643" s="18" t="str">
        <f>"58601"</f>
        <v>58601</v>
      </c>
      <c r="H9643" s="19" t="s">
        <v>36240</v>
      </c>
      <c r="I9643" s="20">
        <v>17.248000000000001</v>
      </c>
      <c r="J9643" s="44" t="s">
        <v>8</v>
      </c>
      <c r="K9643" s="23" t="s">
        <v>8</v>
      </c>
      <c r="L9643" s="23" t="s">
        <v>8</v>
      </c>
      <c r="M9643" s="23" t="s">
        <v>8</v>
      </c>
    </row>
    <row r="9644" spans="1:13" s="21" customFormat="1" x14ac:dyDescent="0.25">
      <c r="A9644" s="22" t="s">
        <v>8</v>
      </c>
      <c r="B9644" s="18" t="str">
        <f>"355064"</f>
        <v>355064</v>
      </c>
      <c r="C9644" s="19" t="s">
        <v>9505</v>
      </c>
      <c r="D9644" s="19" t="s">
        <v>25055</v>
      </c>
      <c r="E9644" s="19" t="s">
        <v>34383</v>
      </c>
      <c r="F9644" s="19" t="s">
        <v>36008</v>
      </c>
      <c r="G9644" s="18" t="str">
        <f>"58540"</f>
        <v>58540</v>
      </c>
      <c r="H9644" s="19" t="s">
        <v>35924</v>
      </c>
      <c r="I9644" s="20">
        <v>19.204000000000001</v>
      </c>
      <c r="J9644" s="44" t="s">
        <v>8</v>
      </c>
      <c r="K9644" s="23" t="s">
        <v>8</v>
      </c>
      <c r="L9644" s="23" t="s">
        <v>8</v>
      </c>
      <c r="M9644" s="23" t="s">
        <v>8</v>
      </c>
    </row>
    <row r="9645" spans="1:13" s="21" customFormat="1" x14ac:dyDescent="0.25">
      <c r="A9645" s="22" t="s">
        <v>8</v>
      </c>
      <c r="B9645" s="18" t="str">
        <f>"355065"</f>
        <v>355065</v>
      </c>
      <c r="C9645" s="19" t="s">
        <v>9506</v>
      </c>
      <c r="D9645" s="19" t="s">
        <v>25056</v>
      </c>
      <c r="E9645" s="19" t="s">
        <v>34384</v>
      </c>
      <c r="F9645" s="19" t="s">
        <v>36008</v>
      </c>
      <c r="G9645" s="18" t="str">
        <f>"58554"</f>
        <v>58554</v>
      </c>
      <c r="H9645" s="19" t="s">
        <v>31951</v>
      </c>
      <c r="I9645" s="20">
        <v>18.882999999999999</v>
      </c>
      <c r="J9645" s="44" t="s">
        <v>8</v>
      </c>
      <c r="K9645" s="23" t="s">
        <v>8</v>
      </c>
      <c r="L9645" s="23" t="s">
        <v>8</v>
      </c>
      <c r="M9645" s="23" t="s">
        <v>8</v>
      </c>
    </row>
    <row r="9646" spans="1:13" s="21" customFormat="1" x14ac:dyDescent="0.25">
      <c r="A9646" s="22" t="s">
        <v>8</v>
      </c>
      <c r="B9646" s="18" t="str">
        <f>"355066"</f>
        <v>355066</v>
      </c>
      <c r="C9646" s="19" t="s">
        <v>9507</v>
      </c>
      <c r="D9646" s="19" t="s">
        <v>25057</v>
      </c>
      <c r="E9646" s="19" t="s">
        <v>34385</v>
      </c>
      <c r="F9646" s="19" t="s">
        <v>36008</v>
      </c>
      <c r="G9646" s="18" t="str">
        <f>"58495"</f>
        <v>58495</v>
      </c>
      <c r="H9646" s="19" t="s">
        <v>33400</v>
      </c>
      <c r="I9646" s="20">
        <v>18.206</v>
      </c>
      <c r="J9646" s="44" t="s">
        <v>8</v>
      </c>
      <c r="K9646" s="23" t="s">
        <v>8</v>
      </c>
      <c r="L9646" s="23" t="s">
        <v>8</v>
      </c>
      <c r="M9646" s="23" t="s">
        <v>8</v>
      </c>
    </row>
    <row r="9647" spans="1:13" s="21" customFormat="1" x14ac:dyDescent="0.25">
      <c r="A9647" s="22" t="s">
        <v>8</v>
      </c>
      <c r="B9647" s="18" t="str">
        <f>"355067"</f>
        <v>355067</v>
      </c>
      <c r="C9647" s="19" t="s">
        <v>9508</v>
      </c>
      <c r="D9647" s="19" t="s">
        <v>25058</v>
      </c>
      <c r="E9647" s="19" t="s">
        <v>34386</v>
      </c>
      <c r="F9647" s="19" t="s">
        <v>36008</v>
      </c>
      <c r="G9647" s="18" t="str">
        <f>"58201"</f>
        <v>58201</v>
      </c>
      <c r="H9647" s="19" t="s">
        <v>34386</v>
      </c>
      <c r="I9647" s="20">
        <v>19.66</v>
      </c>
      <c r="J9647" s="44" t="s">
        <v>8</v>
      </c>
      <c r="K9647" s="23" t="s">
        <v>8</v>
      </c>
      <c r="L9647" s="23" t="s">
        <v>8</v>
      </c>
      <c r="M9647" s="23" t="s">
        <v>8</v>
      </c>
    </row>
    <row r="9648" spans="1:13" s="21" customFormat="1" x14ac:dyDescent="0.25">
      <c r="A9648" s="22" t="s">
        <v>8</v>
      </c>
      <c r="B9648" s="18" t="str">
        <f>"355068"</f>
        <v>355068</v>
      </c>
      <c r="C9648" s="19" t="s">
        <v>9509</v>
      </c>
      <c r="D9648" s="19" t="s">
        <v>25059</v>
      </c>
      <c r="E9648" s="19" t="s">
        <v>34387</v>
      </c>
      <c r="F9648" s="19" t="s">
        <v>36008</v>
      </c>
      <c r="G9648" s="18" t="str">
        <f>"58324"</f>
        <v>58324</v>
      </c>
      <c r="H9648" s="19" t="s">
        <v>36663</v>
      </c>
      <c r="I9648" s="20">
        <v>18.488</v>
      </c>
      <c r="J9648" s="44" t="s">
        <v>8</v>
      </c>
      <c r="K9648" s="23" t="s">
        <v>8</v>
      </c>
      <c r="L9648" s="23" t="s">
        <v>8</v>
      </c>
      <c r="M9648" s="23" t="s">
        <v>8</v>
      </c>
    </row>
    <row r="9649" spans="1:13" s="21" customFormat="1" x14ac:dyDescent="0.25">
      <c r="A9649" s="22" t="s">
        <v>8</v>
      </c>
      <c r="B9649" s="18" t="str">
        <f>"355069"</f>
        <v>355069</v>
      </c>
      <c r="C9649" s="19" t="s">
        <v>9510</v>
      </c>
      <c r="D9649" s="19" t="s">
        <v>25060</v>
      </c>
      <c r="E9649" s="19" t="s">
        <v>34388</v>
      </c>
      <c r="F9649" s="19" t="s">
        <v>36008</v>
      </c>
      <c r="G9649" s="18" t="str">
        <f>"58301"</f>
        <v>58301</v>
      </c>
      <c r="H9649" s="19" t="s">
        <v>36449</v>
      </c>
      <c r="I9649" s="20">
        <v>15.64</v>
      </c>
      <c r="J9649" s="44" t="s">
        <v>8</v>
      </c>
      <c r="K9649" s="23" t="s">
        <v>8</v>
      </c>
      <c r="L9649" s="23" t="s">
        <v>8</v>
      </c>
      <c r="M9649" s="23" t="s">
        <v>8</v>
      </c>
    </row>
    <row r="9650" spans="1:13" s="21" customFormat="1" x14ac:dyDescent="0.25">
      <c r="A9650" s="22" t="s">
        <v>8</v>
      </c>
      <c r="B9650" s="18" t="str">
        <f>"355070"</f>
        <v>355070</v>
      </c>
      <c r="C9650" s="19" t="s">
        <v>9511</v>
      </c>
      <c r="D9650" s="19" t="s">
        <v>25061</v>
      </c>
      <c r="E9650" s="19" t="s">
        <v>31610</v>
      </c>
      <c r="F9650" s="19" t="s">
        <v>36008</v>
      </c>
      <c r="G9650" s="18" t="str">
        <f>"58801"</f>
        <v>58801</v>
      </c>
      <c r="H9650" s="19" t="s">
        <v>35728</v>
      </c>
      <c r="I9650" s="20">
        <v>18.547000000000001</v>
      </c>
      <c r="J9650" s="44" t="s">
        <v>8</v>
      </c>
      <c r="K9650" s="23" t="s">
        <v>8</v>
      </c>
      <c r="L9650" s="23" t="s">
        <v>8</v>
      </c>
      <c r="M9650" s="23" t="s">
        <v>8</v>
      </c>
    </row>
    <row r="9651" spans="1:13" s="21" customFormat="1" x14ac:dyDescent="0.25">
      <c r="A9651" s="22" t="s">
        <v>8</v>
      </c>
      <c r="B9651" s="18" t="str">
        <f>"355072"</f>
        <v>355072</v>
      </c>
      <c r="C9651" s="19" t="s">
        <v>9512</v>
      </c>
      <c r="D9651" s="19" t="s">
        <v>25062</v>
      </c>
      <c r="E9651" s="19" t="s">
        <v>34389</v>
      </c>
      <c r="F9651" s="19" t="s">
        <v>36008</v>
      </c>
      <c r="G9651" s="18" t="str">
        <f>"58854"</f>
        <v>58854</v>
      </c>
      <c r="H9651" s="19" t="s">
        <v>36664</v>
      </c>
      <c r="I9651" s="20">
        <v>19.100000000000001</v>
      </c>
      <c r="J9651" s="44" t="s">
        <v>8</v>
      </c>
      <c r="K9651" s="23" t="s">
        <v>8</v>
      </c>
      <c r="L9651" s="23" t="s">
        <v>8</v>
      </c>
      <c r="M9651" s="23" t="s">
        <v>8</v>
      </c>
    </row>
    <row r="9652" spans="1:13" s="21" customFormat="1" x14ac:dyDescent="0.25">
      <c r="A9652" s="22" t="s">
        <v>8</v>
      </c>
      <c r="B9652" s="18" t="str">
        <f>"355074"</f>
        <v>355074</v>
      </c>
      <c r="C9652" s="19" t="s">
        <v>9513</v>
      </c>
      <c r="D9652" s="19" t="s">
        <v>25063</v>
      </c>
      <c r="E9652" s="19" t="s">
        <v>34364</v>
      </c>
      <c r="F9652" s="19" t="s">
        <v>36008</v>
      </c>
      <c r="G9652" s="18" t="str">
        <f>"58702"</f>
        <v>58702</v>
      </c>
      <c r="H9652" s="19" t="s">
        <v>36655</v>
      </c>
      <c r="I9652" s="20">
        <v>17.582000000000001</v>
      </c>
      <c r="J9652" s="44" t="s">
        <v>8</v>
      </c>
      <c r="K9652" s="23" t="s">
        <v>8</v>
      </c>
      <c r="L9652" s="23" t="s">
        <v>8</v>
      </c>
      <c r="M9652" s="23" t="s">
        <v>8</v>
      </c>
    </row>
    <row r="9653" spans="1:13" s="21" customFormat="1" x14ac:dyDescent="0.25">
      <c r="A9653" s="22" t="s">
        <v>8</v>
      </c>
      <c r="B9653" s="18" t="str">
        <f>"355076"</f>
        <v>355076</v>
      </c>
      <c r="C9653" s="19" t="s">
        <v>9514</v>
      </c>
      <c r="D9653" s="19" t="s">
        <v>25064</v>
      </c>
      <c r="E9653" s="19" t="s">
        <v>32517</v>
      </c>
      <c r="F9653" s="19" t="s">
        <v>36008</v>
      </c>
      <c r="G9653" s="18" t="str">
        <f>"58267"</f>
        <v>58267</v>
      </c>
      <c r="H9653" s="19" t="s">
        <v>34386</v>
      </c>
      <c r="I9653" s="20">
        <v>18.388000000000002</v>
      </c>
      <c r="J9653" s="44" t="s">
        <v>8</v>
      </c>
      <c r="K9653" s="23" t="s">
        <v>8</v>
      </c>
      <c r="L9653" s="23" t="s">
        <v>8</v>
      </c>
      <c r="M9653" s="23" t="s">
        <v>8</v>
      </c>
    </row>
    <row r="9654" spans="1:13" s="21" customFormat="1" x14ac:dyDescent="0.25">
      <c r="A9654" s="22" t="s">
        <v>8</v>
      </c>
      <c r="B9654" s="18" t="str">
        <f>"355077"</f>
        <v>355077</v>
      </c>
      <c r="C9654" s="19" t="s">
        <v>9515</v>
      </c>
      <c r="D9654" s="19" t="s">
        <v>25065</v>
      </c>
      <c r="E9654" s="19" t="s">
        <v>34390</v>
      </c>
      <c r="F9654" s="19" t="s">
        <v>36008</v>
      </c>
      <c r="G9654" s="18" t="str">
        <f>"58072"</f>
        <v>58072</v>
      </c>
      <c r="H9654" s="19" t="s">
        <v>36665</v>
      </c>
      <c r="I9654" s="20">
        <v>16.664000000000001</v>
      </c>
      <c r="J9654" s="44" t="s">
        <v>8</v>
      </c>
      <c r="K9654" s="23" t="s">
        <v>8</v>
      </c>
      <c r="L9654" s="23" t="s">
        <v>8</v>
      </c>
      <c r="M9654" s="23" t="s">
        <v>8</v>
      </c>
    </row>
    <row r="9655" spans="1:13" s="21" customFormat="1" x14ac:dyDescent="0.25">
      <c r="A9655" s="22" t="s">
        <v>8</v>
      </c>
      <c r="B9655" s="18" t="str">
        <f>"355078"</f>
        <v>355078</v>
      </c>
      <c r="C9655" s="19" t="s">
        <v>9516</v>
      </c>
      <c r="D9655" s="19" t="s">
        <v>25066</v>
      </c>
      <c r="E9655" s="19" t="s">
        <v>32741</v>
      </c>
      <c r="F9655" s="19" t="s">
        <v>36008</v>
      </c>
      <c r="G9655" s="18" t="str">
        <f>"58401"</f>
        <v>58401</v>
      </c>
      <c r="H9655" s="19" t="s">
        <v>36666</v>
      </c>
      <c r="I9655" s="20">
        <v>17.170000000000002</v>
      </c>
      <c r="J9655" s="44" t="s">
        <v>8</v>
      </c>
      <c r="K9655" s="23" t="s">
        <v>8</v>
      </c>
      <c r="L9655" s="23" t="s">
        <v>8</v>
      </c>
      <c r="M9655" s="23" t="s">
        <v>8</v>
      </c>
    </row>
    <row r="9656" spans="1:13" s="21" customFormat="1" x14ac:dyDescent="0.25">
      <c r="A9656" s="22" t="s">
        <v>8</v>
      </c>
      <c r="B9656" s="18" t="str">
        <f>"355079"</f>
        <v>355079</v>
      </c>
      <c r="C9656" s="19" t="s">
        <v>4766</v>
      </c>
      <c r="D9656" s="19" t="s">
        <v>25067</v>
      </c>
      <c r="E9656" s="19" t="s">
        <v>34363</v>
      </c>
      <c r="F9656" s="19" t="s">
        <v>36008</v>
      </c>
      <c r="G9656" s="18" t="str">
        <f>"58103"</f>
        <v>58103</v>
      </c>
      <c r="H9656" s="19" t="s">
        <v>36246</v>
      </c>
      <c r="I9656" s="20">
        <v>18.768999999999998</v>
      </c>
      <c r="J9656" s="44" t="s">
        <v>8</v>
      </c>
      <c r="K9656" s="23" t="s">
        <v>8</v>
      </c>
      <c r="L9656" s="23" t="s">
        <v>8</v>
      </c>
      <c r="M9656" s="23" t="s">
        <v>8</v>
      </c>
    </row>
    <row r="9657" spans="1:13" s="21" customFormat="1" x14ac:dyDescent="0.25">
      <c r="A9657" s="22" t="s">
        <v>8</v>
      </c>
      <c r="B9657" s="18" t="str">
        <f>"355082"</f>
        <v>355082</v>
      </c>
      <c r="C9657" s="19" t="s">
        <v>9517</v>
      </c>
      <c r="D9657" s="19" t="s">
        <v>25068</v>
      </c>
      <c r="E9657" s="19" t="s">
        <v>32741</v>
      </c>
      <c r="F9657" s="19" t="s">
        <v>36008</v>
      </c>
      <c r="G9657" s="18" t="str">
        <f>"58401"</f>
        <v>58401</v>
      </c>
      <c r="H9657" s="19" t="s">
        <v>36666</v>
      </c>
      <c r="I9657" s="20">
        <v>17.303999999999998</v>
      </c>
      <c r="J9657" s="44" t="s">
        <v>8</v>
      </c>
      <c r="K9657" s="23" t="s">
        <v>8</v>
      </c>
      <c r="L9657" s="23" t="s">
        <v>8</v>
      </c>
      <c r="M9657" s="23" t="s">
        <v>8</v>
      </c>
    </row>
    <row r="9658" spans="1:13" s="21" customFormat="1" x14ac:dyDescent="0.25">
      <c r="A9658" s="22" t="s">
        <v>8</v>
      </c>
      <c r="B9658" s="18" t="str">
        <f>"355084"</f>
        <v>355084</v>
      </c>
      <c r="C9658" s="19" t="s">
        <v>9518</v>
      </c>
      <c r="D9658" s="19" t="s">
        <v>25069</v>
      </c>
      <c r="E9658" s="19" t="s">
        <v>34391</v>
      </c>
      <c r="F9658" s="19" t="s">
        <v>36008</v>
      </c>
      <c r="G9658" s="18" t="str">
        <f>"58237"</f>
        <v>58237</v>
      </c>
      <c r="H9658" s="19" t="s">
        <v>36667</v>
      </c>
      <c r="I9658" s="20">
        <v>19.997</v>
      </c>
      <c r="J9658" s="44" t="s">
        <v>8</v>
      </c>
      <c r="K9658" s="23" t="s">
        <v>8</v>
      </c>
      <c r="L9658" s="23" t="s">
        <v>8</v>
      </c>
      <c r="M9658" s="23" t="s">
        <v>8</v>
      </c>
    </row>
    <row r="9659" spans="1:13" s="21" customFormat="1" x14ac:dyDescent="0.25">
      <c r="A9659" s="22" t="s">
        <v>8</v>
      </c>
      <c r="B9659" s="18" t="str">
        <f>"355085"</f>
        <v>355085</v>
      </c>
      <c r="C9659" s="19" t="s">
        <v>9519</v>
      </c>
      <c r="D9659" s="19" t="s">
        <v>25070</v>
      </c>
      <c r="E9659" s="19" t="s">
        <v>34363</v>
      </c>
      <c r="F9659" s="19" t="s">
        <v>36008</v>
      </c>
      <c r="G9659" s="18" t="str">
        <f>"58104"</f>
        <v>58104</v>
      </c>
      <c r="H9659" s="19" t="s">
        <v>36246</v>
      </c>
      <c r="I9659" s="20">
        <v>17.646999999999998</v>
      </c>
      <c r="J9659" s="44" t="s">
        <v>8</v>
      </c>
      <c r="K9659" s="23" t="s">
        <v>8</v>
      </c>
      <c r="L9659" s="23" t="s">
        <v>8</v>
      </c>
      <c r="M9659" s="23" t="s">
        <v>8</v>
      </c>
    </row>
    <row r="9660" spans="1:13" s="21" customFormat="1" x14ac:dyDescent="0.25">
      <c r="A9660" s="22" t="s">
        <v>8</v>
      </c>
      <c r="B9660" s="18" t="str">
        <f>"355086"</f>
        <v>355086</v>
      </c>
      <c r="C9660" s="19" t="s">
        <v>9520</v>
      </c>
      <c r="D9660" s="19" t="s">
        <v>25071</v>
      </c>
      <c r="E9660" s="19" t="s">
        <v>34363</v>
      </c>
      <c r="F9660" s="19" t="s">
        <v>36008</v>
      </c>
      <c r="G9660" s="18" t="str">
        <f>"58103"</f>
        <v>58103</v>
      </c>
      <c r="H9660" s="19" t="s">
        <v>36246</v>
      </c>
      <c r="I9660" s="20">
        <v>16.132000000000001</v>
      </c>
      <c r="J9660" s="44" t="s">
        <v>8</v>
      </c>
      <c r="K9660" s="23" t="s">
        <v>8</v>
      </c>
      <c r="L9660" s="23" t="s">
        <v>8</v>
      </c>
      <c r="M9660" s="23" t="s">
        <v>8</v>
      </c>
    </row>
    <row r="9661" spans="1:13" s="21" customFormat="1" x14ac:dyDescent="0.25">
      <c r="A9661" s="22" t="s">
        <v>8</v>
      </c>
      <c r="B9661" s="18" t="str">
        <f>"355087"</f>
        <v>355087</v>
      </c>
      <c r="C9661" s="19" t="s">
        <v>9521</v>
      </c>
      <c r="D9661" s="19" t="s">
        <v>25072</v>
      </c>
      <c r="E9661" s="19" t="s">
        <v>34392</v>
      </c>
      <c r="F9661" s="19" t="s">
        <v>36008</v>
      </c>
      <c r="G9661" s="18" t="str">
        <f>"58220"</f>
        <v>58220</v>
      </c>
      <c r="H9661" s="19" t="s">
        <v>36661</v>
      </c>
      <c r="I9661" s="20">
        <v>16.626000000000001</v>
      </c>
      <c r="J9661" s="44" t="s">
        <v>8</v>
      </c>
      <c r="K9661" s="23" t="s">
        <v>8</v>
      </c>
      <c r="L9661" s="23" t="s">
        <v>8</v>
      </c>
      <c r="M9661" s="23" t="s">
        <v>8</v>
      </c>
    </row>
    <row r="9662" spans="1:13" s="21" customFormat="1" x14ac:dyDescent="0.25">
      <c r="A9662" s="22" t="s">
        <v>8</v>
      </c>
      <c r="B9662" s="18" t="str">
        <f>"355089"</f>
        <v>355089</v>
      </c>
      <c r="C9662" s="19" t="s">
        <v>9522</v>
      </c>
      <c r="D9662" s="19" t="s">
        <v>25073</v>
      </c>
      <c r="E9662" s="19" t="s">
        <v>34393</v>
      </c>
      <c r="F9662" s="19" t="s">
        <v>36008</v>
      </c>
      <c r="G9662" s="18" t="str">
        <f>"58270"</f>
        <v>58270</v>
      </c>
      <c r="H9662" s="19" t="s">
        <v>36667</v>
      </c>
      <c r="I9662" s="20">
        <v>17.995999999999999</v>
      </c>
      <c r="J9662" s="44" t="s">
        <v>8</v>
      </c>
      <c r="K9662" s="23" t="s">
        <v>8</v>
      </c>
      <c r="L9662" s="23" t="s">
        <v>8</v>
      </c>
      <c r="M9662" s="23" t="s">
        <v>8</v>
      </c>
    </row>
    <row r="9663" spans="1:13" s="21" customFormat="1" x14ac:dyDescent="0.25">
      <c r="A9663" s="22" t="s">
        <v>8</v>
      </c>
      <c r="B9663" s="18" t="str">
        <f>"355090"</f>
        <v>355090</v>
      </c>
      <c r="C9663" s="19" t="s">
        <v>9523</v>
      </c>
      <c r="D9663" s="19" t="s">
        <v>25074</v>
      </c>
      <c r="E9663" s="19" t="s">
        <v>34382</v>
      </c>
      <c r="F9663" s="19" t="s">
        <v>36008</v>
      </c>
      <c r="G9663" s="18" t="str">
        <f>"58601"</f>
        <v>58601</v>
      </c>
      <c r="H9663" s="19" t="s">
        <v>36240</v>
      </c>
      <c r="I9663" s="20">
        <v>14.494</v>
      </c>
      <c r="J9663" s="44" t="s">
        <v>8</v>
      </c>
      <c r="K9663" s="23" t="s">
        <v>8</v>
      </c>
      <c r="L9663" s="23" t="s">
        <v>8</v>
      </c>
      <c r="M9663" s="23" t="s">
        <v>8</v>
      </c>
    </row>
    <row r="9664" spans="1:13" s="21" customFormat="1" x14ac:dyDescent="0.25">
      <c r="A9664" s="22" t="s">
        <v>8</v>
      </c>
      <c r="B9664" s="18" t="str">
        <f>"355091"</f>
        <v>355091</v>
      </c>
      <c r="C9664" s="19" t="s">
        <v>9524</v>
      </c>
      <c r="D9664" s="19" t="s">
        <v>25075</v>
      </c>
      <c r="E9664" s="19" t="s">
        <v>33285</v>
      </c>
      <c r="F9664" s="19" t="s">
        <v>36008</v>
      </c>
      <c r="G9664" s="18" t="str">
        <f>"58413"</f>
        <v>58413</v>
      </c>
      <c r="H9664" s="19" t="s">
        <v>33400</v>
      </c>
      <c r="I9664" s="20">
        <v>18.800999999999998</v>
      </c>
      <c r="J9664" s="44" t="s">
        <v>8</v>
      </c>
      <c r="K9664" s="23" t="s">
        <v>8</v>
      </c>
      <c r="L9664" s="23" t="s">
        <v>8</v>
      </c>
      <c r="M9664" s="23" t="s">
        <v>8</v>
      </c>
    </row>
    <row r="9665" spans="1:13" s="21" customFormat="1" x14ac:dyDescent="0.25">
      <c r="A9665" s="22" t="s">
        <v>8</v>
      </c>
      <c r="B9665" s="18" t="str">
        <f>"355092"</f>
        <v>355092</v>
      </c>
      <c r="C9665" s="19" t="s">
        <v>9525</v>
      </c>
      <c r="D9665" s="19" t="s">
        <v>25076</v>
      </c>
      <c r="E9665" s="19" t="s">
        <v>34394</v>
      </c>
      <c r="F9665" s="19" t="s">
        <v>36008</v>
      </c>
      <c r="G9665" s="18" t="str">
        <f>"58640"</f>
        <v>58640</v>
      </c>
      <c r="H9665" s="19" t="s">
        <v>34314</v>
      </c>
      <c r="I9665" s="20">
        <v>18.273</v>
      </c>
      <c r="J9665" s="44" t="s">
        <v>8</v>
      </c>
      <c r="K9665" s="23" t="s">
        <v>8</v>
      </c>
      <c r="L9665" s="23" t="s">
        <v>8</v>
      </c>
      <c r="M9665" s="23" t="s">
        <v>8</v>
      </c>
    </row>
    <row r="9666" spans="1:13" s="21" customFormat="1" x14ac:dyDescent="0.25">
      <c r="A9666" s="22" t="s">
        <v>8</v>
      </c>
      <c r="B9666" s="18" t="str">
        <f>"355093"</f>
        <v>355093</v>
      </c>
      <c r="C9666" s="19" t="s">
        <v>9526</v>
      </c>
      <c r="D9666" s="19" t="s">
        <v>25077</v>
      </c>
      <c r="E9666" s="19" t="s">
        <v>34395</v>
      </c>
      <c r="F9666" s="19" t="s">
        <v>36008</v>
      </c>
      <c r="G9666" s="18" t="str">
        <f>"58318"</f>
        <v>58318</v>
      </c>
      <c r="H9666" s="19" t="s">
        <v>34395</v>
      </c>
      <c r="I9666" s="20">
        <v>19.3</v>
      </c>
      <c r="J9666" s="44" t="s">
        <v>8</v>
      </c>
      <c r="K9666" s="23" t="s">
        <v>8</v>
      </c>
      <c r="L9666" s="23" t="s">
        <v>8</v>
      </c>
      <c r="M9666" s="23" t="s">
        <v>8</v>
      </c>
    </row>
    <row r="9667" spans="1:13" s="21" customFormat="1" x14ac:dyDescent="0.25">
      <c r="A9667" s="22" t="s">
        <v>8</v>
      </c>
      <c r="B9667" s="18" t="str">
        <f>"355094"</f>
        <v>355094</v>
      </c>
      <c r="C9667" s="19" t="s">
        <v>9527</v>
      </c>
      <c r="D9667" s="19" t="s">
        <v>25078</v>
      </c>
      <c r="E9667" s="19" t="s">
        <v>34396</v>
      </c>
      <c r="F9667" s="19" t="s">
        <v>36008</v>
      </c>
      <c r="G9667" s="18" t="str">
        <f>"58761"</f>
        <v>58761</v>
      </c>
      <c r="H9667" s="19" t="s">
        <v>33486</v>
      </c>
      <c r="I9667" s="20">
        <v>18.510999999999999</v>
      </c>
      <c r="J9667" s="44" t="s">
        <v>8</v>
      </c>
      <c r="K9667" s="23" t="s">
        <v>8</v>
      </c>
      <c r="L9667" s="23" t="s">
        <v>8</v>
      </c>
      <c r="M9667" s="23" t="s">
        <v>8</v>
      </c>
    </row>
    <row r="9668" spans="1:13" s="21" customFormat="1" x14ac:dyDescent="0.25">
      <c r="A9668" s="22" t="s">
        <v>8</v>
      </c>
      <c r="B9668" s="18" t="str">
        <f>"355095"</f>
        <v>355095</v>
      </c>
      <c r="C9668" s="19" t="s">
        <v>9528</v>
      </c>
      <c r="D9668" s="19" t="s">
        <v>25079</v>
      </c>
      <c r="E9668" s="19" t="s">
        <v>34397</v>
      </c>
      <c r="F9668" s="19" t="s">
        <v>36008</v>
      </c>
      <c r="G9668" s="18" t="str">
        <f>"58474"</f>
        <v>58474</v>
      </c>
      <c r="H9668" s="19" t="s">
        <v>36659</v>
      </c>
      <c r="I9668" s="20">
        <v>17.158999999999999</v>
      </c>
      <c r="J9668" s="44" t="s">
        <v>8</v>
      </c>
      <c r="K9668" s="23" t="s">
        <v>8</v>
      </c>
      <c r="L9668" s="23" t="s">
        <v>8</v>
      </c>
      <c r="M9668" s="23" t="s">
        <v>8</v>
      </c>
    </row>
    <row r="9669" spans="1:13" s="21" customFormat="1" x14ac:dyDescent="0.25">
      <c r="A9669" s="22" t="s">
        <v>8</v>
      </c>
      <c r="B9669" s="18" t="str">
        <f>"355096"</f>
        <v>355096</v>
      </c>
      <c r="C9669" s="19" t="s">
        <v>9529</v>
      </c>
      <c r="D9669" s="19" t="s">
        <v>25080</v>
      </c>
      <c r="E9669" s="19" t="s">
        <v>34398</v>
      </c>
      <c r="F9669" s="19" t="s">
        <v>36008</v>
      </c>
      <c r="G9669" s="18" t="str">
        <f>"58212"</f>
        <v>58212</v>
      </c>
      <c r="H9669" s="19" t="s">
        <v>36324</v>
      </c>
      <c r="I9669" s="20">
        <v>18.718</v>
      </c>
      <c r="J9669" s="44" t="s">
        <v>8</v>
      </c>
      <c r="K9669" s="23" t="s">
        <v>8</v>
      </c>
      <c r="L9669" s="23" t="s">
        <v>8</v>
      </c>
      <c r="M9669" s="23" t="s">
        <v>8</v>
      </c>
    </row>
    <row r="9670" spans="1:13" s="21" customFormat="1" x14ac:dyDescent="0.25">
      <c r="A9670" s="22" t="s">
        <v>8</v>
      </c>
      <c r="B9670" s="18" t="str">
        <f>"355097"</f>
        <v>355097</v>
      </c>
      <c r="C9670" s="19" t="s">
        <v>9530</v>
      </c>
      <c r="D9670" s="19" t="s">
        <v>25081</v>
      </c>
      <c r="E9670" s="19" t="s">
        <v>34399</v>
      </c>
      <c r="F9670" s="19" t="s">
        <v>36008</v>
      </c>
      <c r="G9670" s="18" t="str">
        <f>"58251"</f>
        <v>58251</v>
      </c>
      <c r="H9670" s="19" t="s">
        <v>34386</v>
      </c>
      <c r="I9670" s="20">
        <v>19.126999999999999</v>
      </c>
      <c r="J9670" s="44" t="s">
        <v>8</v>
      </c>
      <c r="K9670" s="23" t="s">
        <v>8</v>
      </c>
      <c r="L9670" s="23" t="s">
        <v>8</v>
      </c>
      <c r="M9670" s="23" t="s">
        <v>8</v>
      </c>
    </row>
    <row r="9671" spans="1:13" s="21" customFormat="1" x14ac:dyDescent="0.25">
      <c r="A9671" s="22" t="s">
        <v>8</v>
      </c>
      <c r="B9671" s="18" t="str">
        <f>"355099"</f>
        <v>355099</v>
      </c>
      <c r="C9671" s="19" t="s">
        <v>9531</v>
      </c>
      <c r="D9671" s="19" t="s">
        <v>25082</v>
      </c>
      <c r="E9671" s="19" t="s">
        <v>34400</v>
      </c>
      <c r="F9671" s="19" t="s">
        <v>36008</v>
      </c>
      <c r="G9671" s="18" t="str">
        <f>"58646"</f>
        <v>58646</v>
      </c>
      <c r="H9671" s="19" t="s">
        <v>34371</v>
      </c>
      <c r="I9671" s="20">
        <v>18.044</v>
      </c>
      <c r="J9671" s="44" t="s">
        <v>8</v>
      </c>
      <c r="K9671" s="23" t="s">
        <v>8</v>
      </c>
      <c r="L9671" s="23" t="s">
        <v>8</v>
      </c>
      <c r="M9671" s="23" t="s">
        <v>8</v>
      </c>
    </row>
    <row r="9672" spans="1:13" s="21" customFormat="1" x14ac:dyDescent="0.25">
      <c r="A9672" s="22" t="s">
        <v>8</v>
      </c>
      <c r="B9672" s="18" t="str">
        <f>"355100"</f>
        <v>355100</v>
      </c>
      <c r="C9672" s="19" t="s">
        <v>9532</v>
      </c>
      <c r="D9672" s="19" t="s">
        <v>25083</v>
      </c>
      <c r="E9672" s="19" t="s">
        <v>34388</v>
      </c>
      <c r="F9672" s="19" t="s">
        <v>36008</v>
      </c>
      <c r="G9672" s="18" t="str">
        <f>"58301"</f>
        <v>58301</v>
      </c>
      <c r="H9672" s="19" t="s">
        <v>36449</v>
      </c>
      <c r="I9672" s="20">
        <v>18.353000000000002</v>
      </c>
      <c r="J9672" s="44" t="s">
        <v>8</v>
      </c>
      <c r="K9672" s="23" t="s">
        <v>8</v>
      </c>
      <c r="L9672" s="23" t="s">
        <v>8</v>
      </c>
      <c r="M9672" s="23" t="s">
        <v>8</v>
      </c>
    </row>
    <row r="9673" spans="1:13" s="21" customFormat="1" x14ac:dyDescent="0.25">
      <c r="A9673" s="22" t="s">
        <v>8</v>
      </c>
      <c r="B9673" s="18" t="str">
        <f>"355101"</f>
        <v>355101</v>
      </c>
      <c r="C9673" s="19" t="s">
        <v>9533</v>
      </c>
      <c r="D9673" s="19" t="s">
        <v>25084</v>
      </c>
      <c r="E9673" s="19" t="s">
        <v>34384</v>
      </c>
      <c r="F9673" s="19" t="s">
        <v>36008</v>
      </c>
      <c r="G9673" s="18" t="str">
        <f>"58554"</f>
        <v>58554</v>
      </c>
      <c r="H9673" s="19" t="s">
        <v>31951</v>
      </c>
      <c r="I9673" s="20">
        <v>18.853999999999999</v>
      </c>
      <c r="J9673" s="44" t="s">
        <v>8</v>
      </c>
      <c r="K9673" s="23" t="s">
        <v>8</v>
      </c>
      <c r="L9673" s="23" t="s">
        <v>8</v>
      </c>
      <c r="M9673" s="23" t="s">
        <v>8</v>
      </c>
    </row>
    <row r="9674" spans="1:13" s="21" customFormat="1" x14ac:dyDescent="0.25">
      <c r="A9674" s="22" t="s">
        <v>8</v>
      </c>
      <c r="B9674" s="18" t="str">
        <f>"355102"</f>
        <v>355102</v>
      </c>
      <c r="C9674" s="19" t="s">
        <v>9534</v>
      </c>
      <c r="D9674" s="19" t="s">
        <v>25085</v>
      </c>
      <c r="E9674" s="19" t="s">
        <v>34401</v>
      </c>
      <c r="F9674" s="19" t="s">
        <v>36008</v>
      </c>
      <c r="G9674" s="18" t="str">
        <f>"58561"</f>
        <v>58561</v>
      </c>
      <c r="H9674" s="19" t="s">
        <v>32373</v>
      </c>
      <c r="I9674" s="20">
        <v>17.93</v>
      </c>
      <c r="J9674" s="44" t="s">
        <v>8</v>
      </c>
      <c r="K9674" s="23" t="s">
        <v>8</v>
      </c>
      <c r="L9674" s="23" t="s">
        <v>8</v>
      </c>
      <c r="M9674" s="23" t="s">
        <v>8</v>
      </c>
    </row>
    <row r="9675" spans="1:13" s="21" customFormat="1" x14ac:dyDescent="0.25">
      <c r="A9675" s="22" t="s">
        <v>8</v>
      </c>
      <c r="B9675" s="18" t="str">
        <f>"355103"</f>
        <v>355103</v>
      </c>
      <c r="C9675" s="19" t="s">
        <v>9535</v>
      </c>
      <c r="D9675" s="19" t="s">
        <v>25086</v>
      </c>
      <c r="E9675" s="19" t="s">
        <v>34402</v>
      </c>
      <c r="F9675" s="19" t="s">
        <v>36008</v>
      </c>
      <c r="G9675" s="18" t="str">
        <f>"58032"</f>
        <v>58032</v>
      </c>
      <c r="H9675" s="19" t="s">
        <v>36668</v>
      </c>
      <c r="I9675" s="20">
        <v>18.07</v>
      </c>
      <c r="J9675" s="44" t="s">
        <v>8</v>
      </c>
      <c r="K9675" s="23" t="s">
        <v>8</v>
      </c>
      <c r="L9675" s="23" t="s">
        <v>8</v>
      </c>
      <c r="M9675" s="23" t="s">
        <v>8</v>
      </c>
    </row>
    <row r="9676" spans="1:13" s="21" customFormat="1" x14ac:dyDescent="0.25">
      <c r="A9676" s="22" t="s">
        <v>8</v>
      </c>
      <c r="B9676" s="18" t="str">
        <f>"355104"</f>
        <v>355104</v>
      </c>
      <c r="C9676" s="19" t="s">
        <v>9536</v>
      </c>
      <c r="D9676" s="19" t="s">
        <v>25087</v>
      </c>
      <c r="E9676" s="19" t="s">
        <v>34403</v>
      </c>
      <c r="F9676" s="19" t="s">
        <v>36008</v>
      </c>
      <c r="G9676" s="18" t="str">
        <f>"58344"</f>
        <v>58344</v>
      </c>
      <c r="H9676" s="19" t="s">
        <v>36324</v>
      </c>
      <c r="I9676" s="20">
        <v>17.696000000000002</v>
      </c>
      <c r="J9676" s="44" t="s">
        <v>8</v>
      </c>
      <c r="K9676" s="23" t="s">
        <v>8</v>
      </c>
      <c r="L9676" s="23" t="s">
        <v>8</v>
      </c>
      <c r="M9676" s="23" t="s">
        <v>8</v>
      </c>
    </row>
    <row r="9677" spans="1:13" s="21" customFormat="1" x14ac:dyDescent="0.25">
      <c r="A9677" s="22" t="s">
        <v>8</v>
      </c>
      <c r="B9677" s="18" t="str">
        <f>"355106"</f>
        <v>355106</v>
      </c>
      <c r="C9677" s="19" t="s">
        <v>9537</v>
      </c>
      <c r="D9677" s="19" t="s">
        <v>25088</v>
      </c>
      <c r="E9677" s="19" t="s">
        <v>34384</v>
      </c>
      <c r="F9677" s="19" t="s">
        <v>36008</v>
      </c>
      <c r="G9677" s="18" t="str">
        <f>"58554"</f>
        <v>58554</v>
      </c>
      <c r="H9677" s="19" t="s">
        <v>31951</v>
      </c>
      <c r="I9677" s="20">
        <v>17.983000000000001</v>
      </c>
      <c r="J9677" s="44" t="s">
        <v>8</v>
      </c>
      <c r="K9677" s="23" t="s">
        <v>8</v>
      </c>
      <c r="L9677" s="23" t="s">
        <v>8</v>
      </c>
      <c r="M9677" s="23" t="s">
        <v>8</v>
      </c>
    </row>
    <row r="9678" spans="1:13" s="21" customFormat="1" x14ac:dyDescent="0.25">
      <c r="A9678" s="22" t="s">
        <v>8</v>
      </c>
      <c r="B9678" s="18" t="str">
        <f>"355107"</f>
        <v>355107</v>
      </c>
      <c r="C9678" s="19" t="s">
        <v>9538</v>
      </c>
      <c r="D9678" s="19" t="s">
        <v>25089</v>
      </c>
      <c r="E9678" s="19" t="s">
        <v>34404</v>
      </c>
      <c r="F9678" s="19" t="s">
        <v>36008</v>
      </c>
      <c r="G9678" s="18" t="str">
        <f>"58458"</f>
        <v>58458</v>
      </c>
      <c r="H9678" s="19" t="s">
        <v>34404</v>
      </c>
      <c r="I9678" s="20">
        <v>19.998999999999999</v>
      </c>
      <c r="J9678" s="44" t="s">
        <v>8</v>
      </c>
      <c r="K9678" s="23" t="s">
        <v>8</v>
      </c>
      <c r="L9678" s="23" t="s">
        <v>8</v>
      </c>
      <c r="M9678" s="23" t="s">
        <v>8</v>
      </c>
    </row>
    <row r="9679" spans="1:13" s="21" customFormat="1" x14ac:dyDescent="0.25">
      <c r="A9679" s="22" t="s">
        <v>8</v>
      </c>
      <c r="B9679" s="18" t="str">
        <f>"355108"</f>
        <v>355108</v>
      </c>
      <c r="C9679" s="19" t="s">
        <v>9539</v>
      </c>
      <c r="D9679" s="19" t="s">
        <v>25090</v>
      </c>
      <c r="E9679" s="19" t="s">
        <v>34405</v>
      </c>
      <c r="F9679" s="19" t="s">
        <v>36008</v>
      </c>
      <c r="G9679" s="18" t="str">
        <f>"58027"</f>
        <v>58027</v>
      </c>
      <c r="H9679" s="19" t="s">
        <v>36669</v>
      </c>
      <c r="I9679" s="20">
        <v>17.388000000000002</v>
      </c>
      <c r="J9679" s="44" t="s">
        <v>8</v>
      </c>
      <c r="K9679" s="23" t="s">
        <v>8</v>
      </c>
      <c r="L9679" s="23" t="s">
        <v>8</v>
      </c>
      <c r="M9679" s="23" t="s">
        <v>8</v>
      </c>
    </row>
    <row r="9680" spans="1:13" s="21" customFormat="1" x14ac:dyDescent="0.25">
      <c r="A9680" s="22" t="s">
        <v>8</v>
      </c>
      <c r="B9680" s="18" t="str">
        <f>"355109"</f>
        <v>355109</v>
      </c>
      <c r="C9680" s="19" t="s">
        <v>9540</v>
      </c>
      <c r="D9680" s="19" t="s">
        <v>25091</v>
      </c>
      <c r="E9680" s="19" t="s">
        <v>34406</v>
      </c>
      <c r="F9680" s="19" t="s">
        <v>36008</v>
      </c>
      <c r="G9680" s="18" t="str">
        <f>"58790"</f>
        <v>58790</v>
      </c>
      <c r="H9680" s="19" t="s">
        <v>32006</v>
      </c>
      <c r="I9680" s="20">
        <v>18.920999999999999</v>
      </c>
      <c r="J9680" s="44" t="s">
        <v>8</v>
      </c>
      <c r="K9680" s="23" t="s">
        <v>8</v>
      </c>
      <c r="L9680" s="23" t="s">
        <v>8</v>
      </c>
      <c r="M9680" s="23" t="s">
        <v>8</v>
      </c>
    </row>
    <row r="9681" spans="1:13" s="21" customFormat="1" x14ac:dyDescent="0.25">
      <c r="A9681" s="22" t="s">
        <v>8</v>
      </c>
      <c r="B9681" s="18" t="str">
        <f>"355110"</f>
        <v>355110</v>
      </c>
      <c r="C9681" s="19" t="s">
        <v>9541</v>
      </c>
      <c r="D9681" s="19" t="s">
        <v>25092</v>
      </c>
      <c r="E9681" s="19" t="s">
        <v>34407</v>
      </c>
      <c r="F9681" s="19" t="s">
        <v>36008</v>
      </c>
      <c r="G9681" s="18" t="str">
        <f>"58563"</f>
        <v>58563</v>
      </c>
      <c r="H9681" s="19" t="s">
        <v>31951</v>
      </c>
      <c r="I9681" s="20">
        <v>19.238</v>
      </c>
      <c r="J9681" s="44" t="s">
        <v>8</v>
      </c>
      <c r="K9681" s="23" t="s">
        <v>8</v>
      </c>
      <c r="L9681" s="23" t="s">
        <v>8</v>
      </c>
      <c r="M9681" s="23" t="s">
        <v>8</v>
      </c>
    </row>
    <row r="9682" spans="1:13" s="21" customFormat="1" x14ac:dyDescent="0.25">
      <c r="A9682" s="22" t="s">
        <v>8</v>
      </c>
      <c r="B9682" s="18" t="str">
        <f>"355111"</f>
        <v>355111</v>
      </c>
      <c r="C9682" s="19" t="s">
        <v>9542</v>
      </c>
      <c r="D9682" s="19" t="s">
        <v>25093</v>
      </c>
      <c r="E9682" s="19" t="s">
        <v>33346</v>
      </c>
      <c r="F9682" s="19" t="s">
        <v>36008</v>
      </c>
      <c r="G9682" s="18" t="str">
        <f>"58730"</f>
        <v>58730</v>
      </c>
      <c r="H9682" s="19" t="s">
        <v>36670</v>
      </c>
      <c r="I9682" s="20">
        <v>18.239000000000001</v>
      </c>
      <c r="J9682" s="44" t="s">
        <v>8</v>
      </c>
      <c r="K9682" s="23" t="s">
        <v>8</v>
      </c>
      <c r="L9682" s="23" t="s">
        <v>8</v>
      </c>
      <c r="M9682" s="23" t="s">
        <v>8</v>
      </c>
    </row>
    <row r="9683" spans="1:13" s="21" customFormat="1" x14ac:dyDescent="0.25">
      <c r="A9683" s="22" t="s">
        <v>8</v>
      </c>
      <c r="B9683" s="18" t="str">
        <f>"355112"</f>
        <v>355112</v>
      </c>
      <c r="C9683" s="19" t="s">
        <v>9543</v>
      </c>
      <c r="D9683" s="19" t="s">
        <v>25094</v>
      </c>
      <c r="E9683" s="19" t="s">
        <v>34386</v>
      </c>
      <c r="F9683" s="19" t="s">
        <v>36008</v>
      </c>
      <c r="G9683" s="18" t="str">
        <f>"58201"</f>
        <v>58201</v>
      </c>
      <c r="H9683" s="19" t="s">
        <v>34386</v>
      </c>
      <c r="I9683" s="20">
        <v>17.506</v>
      </c>
      <c r="J9683" s="44" t="s">
        <v>8</v>
      </c>
      <c r="K9683" s="23" t="s">
        <v>8</v>
      </c>
      <c r="L9683" s="23" t="s">
        <v>8</v>
      </c>
      <c r="M9683" s="23" t="s">
        <v>8</v>
      </c>
    </row>
    <row r="9684" spans="1:13" s="21" customFormat="1" x14ac:dyDescent="0.25">
      <c r="A9684" s="22" t="s">
        <v>8</v>
      </c>
      <c r="B9684" s="18" t="str">
        <f>"355113"</f>
        <v>355113</v>
      </c>
      <c r="C9684" s="19" t="s">
        <v>9544</v>
      </c>
      <c r="D9684" s="19" t="s">
        <v>25095</v>
      </c>
      <c r="E9684" s="19" t="s">
        <v>32146</v>
      </c>
      <c r="F9684" s="19" t="s">
        <v>36008</v>
      </c>
      <c r="G9684" s="18" t="str">
        <f>"58006"</f>
        <v>58006</v>
      </c>
      <c r="H9684" s="19" t="s">
        <v>36246</v>
      </c>
      <c r="I9684" s="20">
        <v>17.277000000000001</v>
      </c>
      <c r="J9684" s="44" t="s">
        <v>8</v>
      </c>
      <c r="K9684" s="23" t="s">
        <v>8</v>
      </c>
      <c r="L9684" s="23" t="s">
        <v>8</v>
      </c>
      <c r="M9684" s="23" t="s">
        <v>8</v>
      </c>
    </row>
    <row r="9685" spans="1:13" s="21" customFormat="1" x14ac:dyDescent="0.25">
      <c r="A9685" s="22" t="s">
        <v>8</v>
      </c>
      <c r="B9685" s="18" t="str">
        <f>"355114"</f>
        <v>355114</v>
      </c>
      <c r="C9685" s="19" t="s">
        <v>9545</v>
      </c>
      <c r="D9685" s="19" t="s">
        <v>25096</v>
      </c>
      <c r="E9685" s="19" t="s">
        <v>34408</v>
      </c>
      <c r="F9685" s="19" t="s">
        <v>36008</v>
      </c>
      <c r="G9685" s="18" t="str">
        <f>"58054"</f>
        <v>58054</v>
      </c>
      <c r="H9685" s="19" t="s">
        <v>36669</v>
      </c>
      <c r="I9685" s="20">
        <v>18.623000000000001</v>
      </c>
      <c r="J9685" s="44" t="s">
        <v>8</v>
      </c>
      <c r="K9685" s="23" t="s">
        <v>8</v>
      </c>
      <c r="L9685" s="23" t="s">
        <v>8</v>
      </c>
      <c r="M9685" s="23" t="s">
        <v>8</v>
      </c>
    </row>
    <row r="9686" spans="1:13" s="21" customFormat="1" x14ac:dyDescent="0.25">
      <c r="A9686" s="22" t="s">
        <v>8</v>
      </c>
      <c r="B9686" s="18" t="str">
        <f>"355115"</f>
        <v>355115</v>
      </c>
      <c r="C9686" s="19" t="s">
        <v>9546</v>
      </c>
      <c r="D9686" s="19" t="s">
        <v>25097</v>
      </c>
      <c r="E9686" s="19" t="s">
        <v>34383</v>
      </c>
      <c r="F9686" s="19" t="s">
        <v>36008</v>
      </c>
      <c r="G9686" s="18" t="str">
        <f>"58540"</f>
        <v>58540</v>
      </c>
      <c r="H9686" s="19" t="s">
        <v>35924</v>
      </c>
      <c r="I9686" s="20">
        <v>18.831</v>
      </c>
      <c r="J9686" s="44" t="s">
        <v>8</v>
      </c>
      <c r="K9686" s="23" t="s">
        <v>8</v>
      </c>
      <c r="L9686" s="23" t="s">
        <v>8</v>
      </c>
      <c r="M9686" s="23" t="s">
        <v>8</v>
      </c>
    </row>
    <row r="9687" spans="1:13" s="21" customFormat="1" x14ac:dyDescent="0.25">
      <c r="A9687" s="22" t="s">
        <v>8</v>
      </c>
      <c r="B9687" s="18" t="str">
        <f>"355116"</f>
        <v>355116</v>
      </c>
      <c r="C9687" s="19" t="s">
        <v>9547</v>
      </c>
      <c r="D9687" s="19" t="s">
        <v>25098</v>
      </c>
      <c r="E9687" s="19" t="s">
        <v>34408</v>
      </c>
      <c r="F9687" s="19" t="s">
        <v>36008</v>
      </c>
      <c r="G9687" s="18" t="str">
        <f>"58054"</f>
        <v>58054</v>
      </c>
      <c r="H9687" s="19" t="s">
        <v>36669</v>
      </c>
      <c r="I9687" s="20">
        <v>17.661000000000001</v>
      </c>
      <c r="J9687" s="44" t="s">
        <v>8</v>
      </c>
      <c r="K9687" s="23" t="s">
        <v>8</v>
      </c>
      <c r="L9687" s="23" t="s">
        <v>8</v>
      </c>
      <c r="M9687" s="23" t="s">
        <v>8</v>
      </c>
    </row>
    <row r="9688" spans="1:13" s="21" customFormat="1" x14ac:dyDescent="0.25">
      <c r="A9688" s="22" t="s">
        <v>8</v>
      </c>
      <c r="B9688" s="18" t="str">
        <f>"355117"</f>
        <v>355117</v>
      </c>
      <c r="C9688" s="19" t="s">
        <v>9548</v>
      </c>
      <c r="D9688" s="19" t="s">
        <v>25099</v>
      </c>
      <c r="E9688" s="19" t="s">
        <v>34381</v>
      </c>
      <c r="F9688" s="19" t="s">
        <v>36008</v>
      </c>
      <c r="G9688" s="18" t="str">
        <f>"58506"</f>
        <v>58506</v>
      </c>
      <c r="H9688" s="19" t="s">
        <v>36662</v>
      </c>
      <c r="I9688" s="20">
        <v>14.313000000000001</v>
      </c>
      <c r="J9688" s="44" t="s">
        <v>8</v>
      </c>
      <c r="K9688" s="23" t="s">
        <v>8</v>
      </c>
      <c r="L9688" s="23" t="s">
        <v>8</v>
      </c>
      <c r="M9688" s="23" t="s">
        <v>8</v>
      </c>
    </row>
    <row r="9689" spans="1:13" s="21" customFormat="1" x14ac:dyDescent="0.25">
      <c r="A9689" s="22" t="s">
        <v>8</v>
      </c>
      <c r="B9689" s="18" t="str">
        <f>"355122"</f>
        <v>355122</v>
      </c>
      <c r="C9689" s="19" t="s">
        <v>9549</v>
      </c>
      <c r="D9689" s="19" t="s">
        <v>25100</v>
      </c>
      <c r="E9689" s="19" t="s">
        <v>34409</v>
      </c>
      <c r="F9689" s="19" t="s">
        <v>36008</v>
      </c>
      <c r="G9689" s="18" t="str">
        <f>"58652"</f>
        <v>58652</v>
      </c>
      <c r="H9689" s="19" t="s">
        <v>36240</v>
      </c>
      <c r="I9689" s="20">
        <v>18.053000000000001</v>
      </c>
      <c r="J9689" s="44" t="s">
        <v>8</v>
      </c>
      <c r="K9689" s="23" t="s">
        <v>8</v>
      </c>
      <c r="L9689" s="23" t="s">
        <v>8</v>
      </c>
      <c r="M9689" s="23" t="s">
        <v>8</v>
      </c>
    </row>
    <row r="9690" spans="1:13" s="21" customFormat="1" x14ac:dyDescent="0.25">
      <c r="A9690" s="22" t="s">
        <v>8</v>
      </c>
      <c r="B9690" s="18" t="str">
        <f>"355123"</f>
        <v>355123</v>
      </c>
      <c r="C9690" s="19" t="s">
        <v>9550</v>
      </c>
      <c r="D9690" s="19" t="s">
        <v>25101</v>
      </c>
      <c r="E9690" s="19" t="s">
        <v>34363</v>
      </c>
      <c r="F9690" s="19" t="s">
        <v>36008</v>
      </c>
      <c r="G9690" s="18" t="str">
        <f>"58104"</f>
        <v>58104</v>
      </c>
      <c r="H9690" s="19" t="s">
        <v>36246</v>
      </c>
      <c r="I9690" s="20">
        <v>18.091000000000001</v>
      </c>
      <c r="J9690" s="44" t="s">
        <v>8</v>
      </c>
      <c r="K9690" s="23" t="s">
        <v>8</v>
      </c>
      <c r="L9690" s="23" t="s">
        <v>8</v>
      </c>
      <c r="M9690" s="23" t="s">
        <v>8</v>
      </c>
    </row>
    <row r="9691" spans="1:13" s="21" customFormat="1" x14ac:dyDescent="0.25">
      <c r="A9691" s="22" t="s">
        <v>8</v>
      </c>
      <c r="B9691" s="18" t="str">
        <f>"355124"</f>
        <v>355124</v>
      </c>
      <c r="C9691" s="19" t="s">
        <v>9551</v>
      </c>
      <c r="D9691" s="19" t="s">
        <v>25102</v>
      </c>
      <c r="E9691" s="19" t="s">
        <v>34410</v>
      </c>
      <c r="F9691" s="19" t="s">
        <v>36008</v>
      </c>
      <c r="G9691" s="18" t="str">
        <f>"58078"</f>
        <v>58078</v>
      </c>
      <c r="H9691" s="19" t="s">
        <v>36246</v>
      </c>
      <c r="I9691" s="20">
        <v>16.564</v>
      </c>
      <c r="J9691" s="44" t="s">
        <v>8</v>
      </c>
      <c r="K9691" s="23" t="s">
        <v>8</v>
      </c>
      <c r="L9691" s="23" t="s">
        <v>8</v>
      </c>
      <c r="M9691" s="23" t="s">
        <v>8</v>
      </c>
    </row>
    <row r="9692" spans="1:13" s="21" customFormat="1" x14ac:dyDescent="0.25">
      <c r="A9692" s="22" t="s">
        <v>8</v>
      </c>
      <c r="B9692" s="18" t="str">
        <f>"355125"</f>
        <v>355125</v>
      </c>
      <c r="C9692" s="19" t="s">
        <v>9552</v>
      </c>
      <c r="D9692" s="19" t="s">
        <v>25103</v>
      </c>
      <c r="E9692" s="19" t="s">
        <v>34381</v>
      </c>
      <c r="F9692" s="19" t="s">
        <v>36008</v>
      </c>
      <c r="G9692" s="18" t="str">
        <f>"58503"</f>
        <v>58503</v>
      </c>
      <c r="H9692" s="19" t="s">
        <v>36662</v>
      </c>
      <c r="I9692" s="20">
        <v>20.513999999999999</v>
      </c>
      <c r="J9692" s="44" t="s">
        <v>8</v>
      </c>
      <c r="K9692" s="23" t="s">
        <v>8</v>
      </c>
      <c r="L9692" s="23" t="s">
        <v>8</v>
      </c>
      <c r="M9692" s="23" t="s">
        <v>8</v>
      </c>
    </row>
    <row r="9693" spans="1:13" s="21" customFormat="1" x14ac:dyDescent="0.25">
      <c r="A9693" s="22" t="s">
        <v>8</v>
      </c>
      <c r="B9693" s="18" t="str">
        <f>"355126"</f>
        <v>355126</v>
      </c>
      <c r="C9693" s="19" t="s">
        <v>9553</v>
      </c>
      <c r="D9693" s="19" t="s">
        <v>25104</v>
      </c>
      <c r="E9693" s="19" t="s">
        <v>34381</v>
      </c>
      <c r="F9693" s="19" t="s">
        <v>36008</v>
      </c>
      <c r="G9693" s="18" t="str">
        <f>"58503"</f>
        <v>58503</v>
      </c>
      <c r="H9693" s="19" t="s">
        <v>36662</v>
      </c>
      <c r="I9693" s="20">
        <v>17.079000000000001</v>
      </c>
      <c r="J9693" s="44" t="s">
        <v>8</v>
      </c>
      <c r="K9693" s="23" t="s">
        <v>8</v>
      </c>
      <c r="L9693" s="23" t="s">
        <v>8</v>
      </c>
      <c r="M9693" s="23" t="s">
        <v>8</v>
      </c>
    </row>
    <row r="9694" spans="1:13" s="21" customFormat="1" x14ac:dyDescent="0.25">
      <c r="A9694" s="22" t="s">
        <v>8</v>
      </c>
      <c r="B9694" s="18" t="s">
        <v>15308</v>
      </c>
      <c r="C9694" s="19" t="s">
        <v>9554</v>
      </c>
      <c r="D9694" s="19" t="s">
        <v>25105</v>
      </c>
      <c r="E9694" s="19" t="s">
        <v>33149</v>
      </c>
      <c r="F9694" s="19" t="s">
        <v>36009</v>
      </c>
      <c r="G9694" s="18" t="str">
        <f>"45828"</f>
        <v>45828</v>
      </c>
      <c r="H9694" s="19" t="s">
        <v>34991</v>
      </c>
      <c r="I9694" s="20">
        <v>19.268000000000001</v>
      </c>
      <c r="J9694" s="44" t="s">
        <v>8</v>
      </c>
      <c r="K9694" s="23" t="s">
        <v>8</v>
      </c>
      <c r="L9694" s="23" t="s">
        <v>8</v>
      </c>
      <c r="M9694" s="23" t="s">
        <v>8</v>
      </c>
    </row>
    <row r="9695" spans="1:13" s="21" customFormat="1" x14ac:dyDescent="0.25">
      <c r="A9695" s="22" t="s">
        <v>8</v>
      </c>
      <c r="B9695" s="18" t="s">
        <v>15309</v>
      </c>
      <c r="C9695" s="19" t="s">
        <v>9555</v>
      </c>
      <c r="D9695" s="19" t="s">
        <v>25106</v>
      </c>
      <c r="E9695" s="19" t="s">
        <v>34411</v>
      </c>
      <c r="F9695" s="19" t="s">
        <v>36009</v>
      </c>
      <c r="G9695" s="18" t="str">
        <f>"44883"</f>
        <v>44883</v>
      </c>
      <c r="H9695" s="19" t="s">
        <v>32641</v>
      </c>
      <c r="I9695" s="20">
        <v>17.763999999999999</v>
      </c>
      <c r="J9695" s="44" t="s">
        <v>8</v>
      </c>
      <c r="K9695" s="23" t="s">
        <v>8</v>
      </c>
      <c r="L9695" s="23" t="s">
        <v>8</v>
      </c>
      <c r="M9695" s="23" t="s">
        <v>8</v>
      </c>
    </row>
    <row r="9696" spans="1:13" s="21" customFormat="1" x14ac:dyDescent="0.25">
      <c r="A9696" s="22" t="s">
        <v>8</v>
      </c>
      <c r="B9696" s="18" t="s">
        <v>15310</v>
      </c>
      <c r="C9696" s="19" t="s">
        <v>9556</v>
      </c>
      <c r="D9696" s="19" t="s">
        <v>25107</v>
      </c>
      <c r="E9696" s="19" t="s">
        <v>31892</v>
      </c>
      <c r="F9696" s="19" t="s">
        <v>36009</v>
      </c>
      <c r="G9696" s="18" t="str">
        <f>"44811"</f>
        <v>44811</v>
      </c>
      <c r="H9696" s="19" t="s">
        <v>34559</v>
      </c>
      <c r="I9696" s="20">
        <v>18.88</v>
      </c>
      <c r="J9696" s="44" t="s">
        <v>8</v>
      </c>
      <c r="K9696" s="23" t="s">
        <v>8</v>
      </c>
      <c r="L9696" s="23" t="s">
        <v>8</v>
      </c>
      <c r="M9696" s="23" t="s">
        <v>8</v>
      </c>
    </row>
    <row r="9697" spans="1:13" s="21" customFormat="1" x14ac:dyDescent="0.25">
      <c r="A9697" s="22" t="s">
        <v>8</v>
      </c>
      <c r="B9697" s="18" t="str">
        <f>"365005"</f>
        <v>365005</v>
      </c>
      <c r="C9697" s="19" t="s">
        <v>9557</v>
      </c>
      <c r="D9697" s="19" t="s">
        <v>25108</v>
      </c>
      <c r="E9697" s="19" t="s">
        <v>34412</v>
      </c>
      <c r="F9697" s="19" t="s">
        <v>36009</v>
      </c>
      <c r="G9697" s="18" t="str">
        <f>"45211"</f>
        <v>45211</v>
      </c>
      <c r="H9697" s="19" t="s">
        <v>30804</v>
      </c>
      <c r="I9697" s="20">
        <v>19.623000000000001</v>
      </c>
      <c r="J9697" s="44" t="s">
        <v>8</v>
      </c>
      <c r="K9697" s="23" t="s">
        <v>8</v>
      </c>
      <c r="L9697" s="23" t="s">
        <v>8</v>
      </c>
      <c r="M9697" s="23" t="s">
        <v>8</v>
      </c>
    </row>
    <row r="9698" spans="1:13" s="21" customFormat="1" x14ac:dyDescent="0.25">
      <c r="A9698" s="22" t="s">
        <v>8</v>
      </c>
      <c r="B9698" s="18" t="str">
        <f>"365006"</f>
        <v>365006</v>
      </c>
      <c r="C9698" s="19" t="s">
        <v>9558</v>
      </c>
      <c r="D9698" s="19" t="s">
        <v>25109</v>
      </c>
      <c r="E9698" s="19" t="s">
        <v>31810</v>
      </c>
      <c r="F9698" s="19" t="s">
        <v>36009</v>
      </c>
      <c r="G9698" s="18" t="str">
        <f>"44112"</f>
        <v>44112</v>
      </c>
      <c r="H9698" s="19" t="s">
        <v>36671</v>
      </c>
      <c r="I9698" s="20">
        <v>22.13</v>
      </c>
      <c r="J9698" s="44" t="s">
        <v>8</v>
      </c>
      <c r="K9698" s="23" t="s">
        <v>8</v>
      </c>
      <c r="L9698" s="23" t="s">
        <v>8</v>
      </c>
      <c r="M9698" s="23" t="s">
        <v>8</v>
      </c>
    </row>
    <row r="9699" spans="1:13" s="21" customFormat="1" x14ac:dyDescent="0.25">
      <c r="A9699" s="22" t="s">
        <v>8</v>
      </c>
      <c r="B9699" s="18" t="str">
        <f>"365014"</f>
        <v>365014</v>
      </c>
      <c r="C9699" s="19" t="s">
        <v>9559</v>
      </c>
      <c r="D9699" s="19" t="s">
        <v>25110</v>
      </c>
      <c r="E9699" s="19" t="s">
        <v>30817</v>
      </c>
      <c r="F9699" s="19" t="s">
        <v>36009</v>
      </c>
      <c r="G9699" s="18" t="str">
        <f>"45331"</f>
        <v>45331</v>
      </c>
      <c r="H9699" s="19" t="s">
        <v>36672</v>
      </c>
      <c r="I9699" s="20">
        <v>18.914999999999999</v>
      </c>
      <c r="J9699" s="44" t="s">
        <v>8</v>
      </c>
      <c r="K9699" s="23" t="s">
        <v>8</v>
      </c>
      <c r="L9699" s="23" t="s">
        <v>8</v>
      </c>
      <c r="M9699" s="23" t="s">
        <v>8</v>
      </c>
    </row>
    <row r="9700" spans="1:13" s="21" customFormat="1" x14ac:dyDescent="0.25">
      <c r="A9700" s="22" t="s">
        <v>8</v>
      </c>
      <c r="B9700" s="18" t="str">
        <f>"365020"</f>
        <v>365020</v>
      </c>
      <c r="C9700" s="19" t="s">
        <v>6915</v>
      </c>
      <c r="D9700" s="19" t="s">
        <v>25111</v>
      </c>
      <c r="E9700" s="19" t="s">
        <v>34413</v>
      </c>
      <c r="F9700" s="19" t="s">
        <v>36009</v>
      </c>
      <c r="G9700" s="18" t="str">
        <f>"44145"</f>
        <v>44145</v>
      </c>
      <c r="H9700" s="19" t="s">
        <v>36671</v>
      </c>
      <c r="I9700" s="20">
        <v>18.209</v>
      </c>
      <c r="J9700" s="44" t="s">
        <v>8</v>
      </c>
      <c r="K9700" s="23" t="s">
        <v>8</v>
      </c>
      <c r="L9700" s="23" t="s">
        <v>8</v>
      </c>
      <c r="M9700" s="23" t="s">
        <v>8</v>
      </c>
    </row>
    <row r="9701" spans="1:13" s="21" customFormat="1" x14ac:dyDescent="0.25">
      <c r="A9701" s="22" t="s">
        <v>8</v>
      </c>
      <c r="B9701" s="18" t="str">
        <f>"365022"</f>
        <v>365022</v>
      </c>
      <c r="C9701" s="19" t="s">
        <v>9560</v>
      </c>
      <c r="D9701" s="19" t="s">
        <v>25112</v>
      </c>
      <c r="E9701" s="19" t="s">
        <v>34414</v>
      </c>
      <c r="F9701" s="19" t="s">
        <v>36009</v>
      </c>
      <c r="G9701" s="18" t="str">
        <f>"45385"</f>
        <v>45385</v>
      </c>
      <c r="H9701" s="19" t="s">
        <v>32455</v>
      </c>
      <c r="I9701" s="20">
        <v>20.033999999999999</v>
      </c>
      <c r="J9701" s="44" t="s">
        <v>8</v>
      </c>
      <c r="K9701" s="23" t="s">
        <v>8</v>
      </c>
      <c r="L9701" s="23" t="s">
        <v>8</v>
      </c>
      <c r="M9701" s="23" t="s">
        <v>8</v>
      </c>
    </row>
    <row r="9702" spans="1:13" s="21" customFormat="1" x14ac:dyDescent="0.25">
      <c r="A9702" s="22" t="s">
        <v>8</v>
      </c>
      <c r="B9702" s="18" t="str">
        <f>"365026"</f>
        <v>365026</v>
      </c>
      <c r="C9702" s="19" t="s">
        <v>9561</v>
      </c>
      <c r="D9702" s="19" t="s">
        <v>25113</v>
      </c>
      <c r="E9702" s="19" t="s">
        <v>31715</v>
      </c>
      <c r="F9702" s="19" t="s">
        <v>36009</v>
      </c>
      <c r="G9702" s="18" t="str">
        <f>"43209"</f>
        <v>43209</v>
      </c>
      <c r="H9702" s="19" t="s">
        <v>5</v>
      </c>
      <c r="I9702" s="20">
        <v>17.731000000000002</v>
      </c>
      <c r="J9702" s="44" t="s">
        <v>8</v>
      </c>
      <c r="K9702" s="23" t="s">
        <v>8</v>
      </c>
      <c r="L9702" s="23" t="s">
        <v>8</v>
      </c>
      <c r="M9702" s="23" t="s">
        <v>8</v>
      </c>
    </row>
    <row r="9703" spans="1:13" s="21" customFormat="1" x14ac:dyDescent="0.25">
      <c r="A9703" s="22" t="s">
        <v>8</v>
      </c>
      <c r="B9703" s="18" t="str">
        <f>"365030"</f>
        <v>365030</v>
      </c>
      <c r="C9703" s="19" t="s">
        <v>9562</v>
      </c>
      <c r="D9703" s="19" t="s">
        <v>25114</v>
      </c>
      <c r="E9703" s="19" t="s">
        <v>32505</v>
      </c>
      <c r="F9703" s="19" t="s">
        <v>36009</v>
      </c>
      <c r="G9703" s="18" t="str">
        <f>"43614"</f>
        <v>43614</v>
      </c>
      <c r="H9703" s="19" t="s">
        <v>36287</v>
      </c>
      <c r="I9703" s="20">
        <v>17.818000000000001</v>
      </c>
      <c r="J9703" s="44" t="s">
        <v>8</v>
      </c>
      <c r="K9703" s="23" t="s">
        <v>8</v>
      </c>
      <c r="L9703" s="23" t="s">
        <v>8</v>
      </c>
      <c r="M9703" s="23" t="s">
        <v>8</v>
      </c>
    </row>
    <row r="9704" spans="1:13" s="21" customFormat="1" x14ac:dyDescent="0.25">
      <c r="A9704" s="22" t="s">
        <v>8</v>
      </c>
      <c r="B9704" s="18" t="str">
        <f>"365033"</f>
        <v>365033</v>
      </c>
      <c r="C9704" s="19" t="s">
        <v>9563</v>
      </c>
      <c r="D9704" s="19" t="s">
        <v>25115</v>
      </c>
      <c r="E9704" s="19" t="s">
        <v>31810</v>
      </c>
      <c r="F9704" s="19" t="s">
        <v>36009</v>
      </c>
      <c r="G9704" s="18" t="str">
        <f>"44106"</f>
        <v>44106</v>
      </c>
      <c r="H9704" s="19" t="s">
        <v>36671</v>
      </c>
      <c r="I9704" s="20">
        <v>18.079999999999998</v>
      </c>
      <c r="J9704" s="44" t="s">
        <v>8</v>
      </c>
      <c r="K9704" s="23" t="s">
        <v>8</v>
      </c>
      <c r="L9704" s="23" t="s">
        <v>8</v>
      </c>
      <c r="M9704" s="23" t="s">
        <v>8</v>
      </c>
    </row>
    <row r="9705" spans="1:13" s="21" customFormat="1" x14ac:dyDescent="0.25">
      <c r="A9705" s="22" t="s">
        <v>8</v>
      </c>
      <c r="B9705" s="18" t="str">
        <f>"365034"</f>
        <v>365034</v>
      </c>
      <c r="C9705" s="19" t="s">
        <v>9564</v>
      </c>
      <c r="D9705" s="19" t="s">
        <v>25116</v>
      </c>
      <c r="E9705" s="19" t="s">
        <v>31025</v>
      </c>
      <c r="F9705" s="19" t="s">
        <v>36009</v>
      </c>
      <c r="G9705" s="18" t="str">
        <f>"44485"</f>
        <v>44485</v>
      </c>
      <c r="H9705" s="19" t="s">
        <v>31393</v>
      </c>
      <c r="I9705" s="20">
        <v>19.562000000000001</v>
      </c>
      <c r="J9705" s="44" t="s">
        <v>8</v>
      </c>
      <c r="K9705" s="23" t="s">
        <v>8</v>
      </c>
      <c r="L9705" s="23" t="s">
        <v>8</v>
      </c>
      <c r="M9705" s="23" t="s">
        <v>8</v>
      </c>
    </row>
    <row r="9706" spans="1:13" s="21" customFormat="1" x14ac:dyDescent="0.25">
      <c r="A9706" s="22" t="s">
        <v>8</v>
      </c>
      <c r="B9706" s="18" t="str">
        <f>"365044"</f>
        <v>365044</v>
      </c>
      <c r="C9706" s="19" t="s">
        <v>9565</v>
      </c>
      <c r="D9706" s="19" t="s">
        <v>25117</v>
      </c>
      <c r="E9706" s="19" t="s">
        <v>34412</v>
      </c>
      <c r="F9706" s="19" t="s">
        <v>36009</v>
      </c>
      <c r="G9706" s="18" t="str">
        <f>"45209"</f>
        <v>45209</v>
      </c>
      <c r="H9706" s="19" t="s">
        <v>30804</v>
      </c>
      <c r="I9706" s="20">
        <v>18.856999999999999</v>
      </c>
      <c r="J9706" s="44" t="s">
        <v>8</v>
      </c>
      <c r="K9706" s="23" t="s">
        <v>8</v>
      </c>
      <c r="L9706" s="23" t="s">
        <v>8</v>
      </c>
      <c r="M9706" s="23" t="s">
        <v>8</v>
      </c>
    </row>
    <row r="9707" spans="1:13" s="21" customFormat="1" x14ac:dyDescent="0.25">
      <c r="A9707" s="22" t="s">
        <v>8</v>
      </c>
      <c r="B9707" s="18" t="str">
        <f>"365045"</f>
        <v>365045</v>
      </c>
      <c r="C9707" s="19" t="s">
        <v>9566</v>
      </c>
      <c r="D9707" s="19" t="s">
        <v>25118</v>
      </c>
      <c r="E9707" s="19" t="s">
        <v>34412</v>
      </c>
      <c r="F9707" s="19" t="s">
        <v>36009</v>
      </c>
      <c r="G9707" s="18" t="str">
        <f>"45211"</f>
        <v>45211</v>
      </c>
      <c r="H9707" s="19" t="s">
        <v>30804</v>
      </c>
      <c r="I9707" s="20">
        <v>19.5</v>
      </c>
      <c r="J9707" s="44" t="s">
        <v>8</v>
      </c>
      <c r="K9707" s="23" t="s">
        <v>8</v>
      </c>
      <c r="L9707" s="23" t="s">
        <v>8</v>
      </c>
      <c r="M9707" s="23" t="s">
        <v>8</v>
      </c>
    </row>
    <row r="9708" spans="1:13" s="21" customFormat="1" x14ac:dyDescent="0.25">
      <c r="A9708" s="22" t="s">
        <v>8</v>
      </c>
      <c r="B9708" s="18" t="str">
        <f>"365046"</f>
        <v>365046</v>
      </c>
      <c r="C9708" s="19" t="s">
        <v>9567</v>
      </c>
      <c r="D9708" s="19" t="s">
        <v>25119</v>
      </c>
      <c r="E9708" s="19" t="s">
        <v>34415</v>
      </c>
      <c r="F9708" s="19" t="s">
        <v>36009</v>
      </c>
      <c r="G9708" s="18" t="str">
        <f>"44122"</f>
        <v>44122</v>
      </c>
      <c r="H9708" s="19" t="s">
        <v>36671</v>
      </c>
      <c r="I9708" s="20">
        <v>21.146000000000001</v>
      </c>
      <c r="J9708" s="44" t="s">
        <v>8</v>
      </c>
      <c r="K9708" s="23" t="s">
        <v>8</v>
      </c>
      <c r="L9708" s="23" t="s">
        <v>8</v>
      </c>
      <c r="M9708" s="23" t="s">
        <v>8</v>
      </c>
    </row>
    <row r="9709" spans="1:13" s="21" customFormat="1" x14ac:dyDescent="0.25">
      <c r="A9709" s="22" t="s">
        <v>8</v>
      </c>
      <c r="B9709" s="18" t="str">
        <f>"365047"</f>
        <v>365047</v>
      </c>
      <c r="C9709" s="19" t="s">
        <v>9568</v>
      </c>
      <c r="D9709" s="19" t="s">
        <v>25120</v>
      </c>
      <c r="E9709" s="19" t="s">
        <v>31715</v>
      </c>
      <c r="F9709" s="19" t="s">
        <v>36009</v>
      </c>
      <c r="G9709" s="18" t="str">
        <f>"43212"</f>
        <v>43212</v>
      </c>
      <c r="H9709" s="19" t="s">
        <v>5</v>
      </c>
      <c r="I9709" s="20">
        <v>20.533999999999999</v>
      </c>
      <c r="J9709" s="44" t="s">
        <v>8</v>
      </c>
      <c r="K9709" s="23" t="s">
        <v>8</v>
      </c>
      <c r="L9709" s="23" t="s">
        <v>8</v>
      </c>
      <c r="M9709" s="23" t="s">
        <v>8</v>
      </c>
    </row>
    <row r="9710" spans="1:13" s="21" customFormat="1" x14ac:dyDescent="0.25">
      <c r="A9710" s="22" t="s">
        <v>8</v>
      </c>
      <c r="B9710" s="18" t="str">
        <f>"365048"</f>
        <v>365048</v>
      </c>
      <c r="C9710" s="19" t="s">
        <v>9569</v>
      </c>
      <c r="D9710" s="19" t="s">
        <v>25121</v>
      </c>
      <c r="E9710" s="19" t="s">
        <v>34413</v>
      </c>
      <c r="F9710" s="19" t="s">
        <v>36009</v>
      </c>
      <c r="G9710" s="18" t="str">
        <f>"44145"</f>
        <v>44145</v>
      </c>
      <c r="H9710" s="19" t="s">
        <v>36671</v>
      </c>
      <c r="I9710" s="20">
        <v>22.88</v>
      </c>
      <c r="J9710" s="44" t="s">
        <v>8</v>
      </c>
      <c r="K9710" s="23" t="s">
        <v>8</v>
      </c>
      <c r="L9710" s="23" t="s">
        <v>8</v>
      </c>
      <c r="M9710" s="23" t="s">
        <v>8</v>
      </c>
    </row>
    <row r="9711" spans="1:13" s="21" customFormat="1" x14ac:dyDescent="0.25">
      <c r="A9711" s="22" t="s">
        <v>8</v>
      </c>
      <c r="B9711" s="18" t="str">
        <f>"365051"</f>
        <v>365051</v>
      </c>
      <c r="C9711" s="19" t="s">
        <v>9570</v>
      </c>
      <c r="D9711" s="19" t="s">
        <v>25122</v>
      </c>
      <c r="E9711" s="19" t="s">
        <v>31375</v>
      </c>
      <c r="F9711" s="19" t="s">
        <v>36009</v>
      </c>
      <c r="G9711" s="18" t="str">
        <f>"44313"</f>
        <v>44313</v>
      </c>
      <c r="H9711" s="19" t="s">
        <v>36107</v>
      </c>
      <c r="I9711" s="20">
        <v>19.059999999999999</v>
      </c>
      <c r="J9711" s="44" t="s">
        <v>8</v>
      </c>
      <c r="K9711" s="23" t="s">
        <v>8</v>
      </c>
      <c r="L9711" s="23" t="s">
        <v>8</v>
      </c>
      <c r="M9711" s="23" t="s">
        <v>8</v>
      </c>
    </row>
    <row r="9712" spans="1:13" s="21" customFormat="1" x14ac:dyDescent="0.25">
      <c r="A9712" s="22" t="s">
        <v>8</v>
      </c>
      <c r="B9712" s="18" t="str">
        <f>"365065"</f>
        <v>365065</v>
      </c>
      <c r="C9712" s="19" t="s">
        <v>9571</v>
      </c>
      <c r="D9712" s="19" t="s">
        <v>25123</v>
      </c>
      <c r="E9712" s="19" t="s">
        <v>34412</v>
      </c>
      <c r="F9712" s="19" t="s">
        <v>36009</v>
      </c>
      <c r="G9712" s="18" t="str">
        <f>"45211"</f>
        <v>45211</v>
      </c>
      <c r="H9712" s="19" t="s">
        <v>30804</v>
      </c>
      <c r="I9712" s="20">
        <v>17.640999999999998</v>
      </c>
      <c r="J9712" s="44" t="s">
        <v>8</v>
      </c>
      <c r="K9712" s="23" t="s">
        <v>8</v>
      </c>
      <c r="L9712" s="23" t="s">
        <v>8</v>
      </c>
      <c r="M9712" s="23" t="s">
        <v>8</v>
      </c>
    </row>
    <row r="9713" spans="1:13" s="21" customFormat="1" x14ac:dyDescent="0.25">
      <c r="A9713" s="22" t="s">
        <v>8</v>
      </c>
      <c r="B9713" s="18" t="str">
        <f>"365066"</f>
        <v>365066</v>
      </c>
      <c r="C9713" s="19" t="s">
        <v>9572</v>
      </c>
      <c r="D9713" s="19" t="s">
        <v>25124</v>
      </c>
      <c r="E9713" s="19" t="s">
        <v>31804</v>
      </c>
      <c r="F9713" s="19" t="s">
        <v>36009</v>
      </c>
      <c r="G9713" s="18" t="str">
        <f>"43560"</f>
        <v>43560</v>
      </c>
      <c r="H9713" s="19" t="s">
        <v>36287</v>
      </c>
      <c r="I9713" s="20">
        <v>16.649999999999999</v>
      </c>
      <c r="J9713" s="44" t="s">
        <v>8</v>
      </c>
      <c r="K9713" s="23" t="s">
        <v>8</v>
      </c>
      <c r="L9713" s="23" t="s">
        <v>8</v>
      </c>
      <c r="M9713" s="23" t="s">
        <v>8</v>
      </c>
    </row>
    <row r="9714" spans="1:13" s="21" customFormat="1" x14ac:dyDescent="0.25">
      <c r="A9714" s="22" t="s">
        <v>8</v>
      </c>
      <c r="B9714" s="18" t="str">
        <f>"365071"</f>
        <v>365071</v>
      </c>
      <c r="C9714" s="19" t="s">
        <v>9573</v>
      </c>
      <c r="D9714" s="19" t="s">
        <v>25125</v>
      </c>
      <c r="E9714" s="19" t="s">
        <v>34415</v>
      </c>
      <c r="F9714" s="19" t="s">
        <v>36009</v>
      </c>
      <c r="G9714" s="18" t="str">
        <f>"44122"</f>
        <v>44122</v>
      </c>
      <c r="H9714" s="19" t="s">
        <v>36671</v>
      </c>
      <c r="I9714" s="20">
        <v>20.164000000000001</v>
      </c>
      <c r="J9714" s="44" t="s">
        <v>8</v>
      </c>
      <c r="K9714" s="23" t="s">
        <v>8</v>
      </c>
      <c r="L9714" s="23" t="s">
        <v>8</v>
      </c>
      <c r="M9714" s="23" t="s">
        <v>8</v>
      </c>
    </row>
    <row r="9715" spans="1:13" s="21" customFormat="1" x14ac:dyDescent="0.25">
      <c r="A9715" s="22" t="s">
        <v>8</v>
      </c>
      <c r="B9715" s="18" t="str">
        <f>"365072"</f>
        <v>365072</v>
      </c>
      <c r="C9715" s="19" t="s">
        <v>9574</v>
      </c>
      <c r="D9715" s="19" t="s">
        <v>25126</v>
      </c>
      <c r="E9715" s="19" t="s">
        <v>31333</v>
      </c>
      <c r="F9715" s="19" t="s">
        <v>36009</v>
      </c>
      <c r="G9715" s="18" t="str">
        <f>"44202"</f>
        <v>44202</v>
      </c>
      <c r="H9715" s="19" t="s">
        <v>32230</v>
      </c>
      <c r="I9715" s="20">
        <v>17.937999999999999</v>
      </c>
      <c r="J9715" s="44" t="s">
        <v>8</v>
      </c>
      <c r="K9715" s="23" t="s">
        <v>8</v>
      </c>
      <c r="L9715" s="23" t="s">
        <v>8</v>
      </c>
      <c r="M9715" s="23" t="s">
        <v>8</v>
      </c>
    </row>
    <row r="9716" spans="1:13" s="21" customFormat="1" x14ac:dyDescent="0.25">
      <c r="A9716" s="22" t="s">
        <v>8</v>
      </c>
      <c r="B9716" s="18" t="str">
        <f>"365076"</f>
        <v>365076</v>
      </c>
      <c r="C9716" s="19" t="s">
        <v>9575</v>
      </c>
      <c r="D9716" s="19" t="s">
        <v>25127</v>
      </c>
      <c r="E9716" s="19" t="s">
        <v>32684</v>
      </c>
      <c r="F9716" s="19" t="s">
        <v>36009</v>
      </c>
      <c r="G9716" s="18" t="str">
        <f>"43402"</f>
        <v>43402</v>
      </c>
      <c r="H9716" s="19" t="s">
        <v>36673</v>
      </c>
      <c r="I9716" s="20">
        <v>20.283000000000001</v>
      </c>
      <c r="J9716" s="44" t="s">
        <v>8</v>
      </c>
      <c r="K9716" s="23" t="s">
        <v>8</v>
      </c>
      <c r="L9716" s="23" t="s">
        <v>8</v>
      </c>
      <c r="M9716" s="23" t="s">
        <v>8</v>
      </c>
    </row>
    <row r="9717" spans="1:13" s="21" customFormat="1" x14ac:dyDescent="0.25">
      <c r="A9717" s="22" t="s">
        <v>8</v>
      </c>
      <c r="B9717" s="18" t="str">
        <f>"365077"</f>
        <v>365077</v>
      </c>
      <c r="C9717" s="19" t="s">
        <v>9576</v>
      </c>
      <c r="D9717" s="19" t="s">
        <v>25128</v>
      </c>
      <c r="E9717" s="19" t="s">
        <v>34416</v>
      </c>
      <c r="F9717" s="19" t="s">
        <v>36009</v>
      </c>
      <c r="G9717" s="18" t="str">
        <f>"43123"</f>
        <v>43123</v>
      </c>
      <c r="H9717" s="19" t="s">
        <v>5</v>
      </c>
      <c r="I9717" s="20">
        <v>19.082999999999998</v>
      </c>
      <c r="J9717" s="44" t="s">
        <v>8</v>
      </c>
      <c r="K9717" s="23" t="s">
        <v>8</v>
      </c>
      <c r="L9717" s="23" t="s">
        <v>8</v>
      </c>
      <c r="M9717" s="23" t="s">
        <v>8</v>
      </c>
    </row>
    <row r="9718" spans="1:13" s="21" customFormat="1" x14ac:dyDescent="0.25">
      <c r="A9718" s="22" t="s">
        <v>8</v>
      </c>
      <c r="B9718" s="18" t="str">
        <f>"365081"</f>
        <v>365081</v>
      </c>
      <c r="C9718" s="19" t="s">
        <v>9577</v>
      </c>
      <c r="D9718" s="19" t="s">
        <v>25129</v>
      </c>
      <c r="E9718" s="19" t="s">
        <v>34412</v>
      </c>
      <c r="F9718" s="19" t="s">
        <v>36009</v>
      </c>
      <c r="G9718" s="18" t="str">
        <f>"45248"</f>
        <v>45248</v>
      </c>
      <c r="H9718" s="19" t="s">
        <v>30804</v>
      </c>
      <c r="I9718" s="20">
        <v>17.445</v>
      </c>
      <c r="J9718" s="44" t="s">
        <v>8</v>
      </c>
      <c r="K9718" s="23" t="s">
        <v>8</v>
      </c>
      <c r="L9718" s="23" t="s">
        <v>8</v>
      </c>
      <c r="M9718" s="23" t="s">
        <v>8</v>
      </c>
    </row>
    <row r="9719" spans="1:13" s="21" customFormat="1" x14ac:dyDescent="0.25">
      <c r="A9719" s="22" t="s">
        <v>8</v>
      </c>
      <c r="B9719" s="18" t="str">
        <f>"365083"</f>
        <v>365083</v>
      </c>
      <c r="C9719" s="19" t="s">
        <v>9578</v>
      </c>
      <c r="D9719" s="19" t="s">
        <v>25130</v>
      </c>
      <c r="E9719" s="19" t="s">
        <v>31810</v>
      </c>
      <c r="F9719" s="19" t="s">
        <v>36009</v>
      </c>
      <c r="G9719" s="18" t="str">
        <f>"44109"</f>
        <v>44109</v>
      </c>
      <c r="H9719" s="19" t="s">
        <v>36671</v>
      </c>
      <c r="I9719" s="20">
        <v>19.792000000000002</v>
      </c>
      <c r="J9719" s="44" t="s">
        <v>8</v>
      </c>
      <c r="K9719" s="23" t="s">
        <v>8</v>
      </c>
      <c r="L9719" s="23" t="s">
        <v>8</v>
      </c>
      <c r="M9719" s="23" t="s">
        <v>8</v>
      </c>
    </row>
    <row r="9720" spans="1:13" s="21" customFormat="1" x14ac:dyDescent="0.25">
      <c r="A9720" s="22" t="s">
        <v>8</v>
      </c>
      <c r="B9720" s="18" t="str">
        <f>"365084"</f>
        <v>365084</v>
      </c>
      <c r="C9720" s="19" t="s">
        <v>9579</v>
      </c>
      <c r="D9720" s="19" t="s">
        <v>25131</v>
      </c>
      <c r="E9720" s="19" t="s">
        <v>34417</v>
      </c>
      <c r="F9720" s="19" t="s">
        <v>36009</v>
      </c>
      <c r="G9720" s="18" t="str">
        <f>"44129"</f>
        <v>44129</v>
      </c>
      <c r="H9720" s="19" t="s">
        <v>36671</v>
      </c>
      <c r="I9720" s="20">
        <v>17.686</v>
      </c>
      <c r="J9720" s="44" t="s">
        <v>8</v>
      </c>
      <c r="K9720" s="23" t="s">
        <v>8</v>
      </c>
      <c r="L9720" s="23" t="s">
        <v>8</v>
      </c>
      <c r="M9720" s="23" t="s">
        <v>8</v>
      </c>
    </row>
    <row r="9721" spans="1:13" s="21" customFormat="1" x14ac:dyDescent="0.25">
      <c r="A9721" s="22" t="s">
        <v>8</v>
      </c>
      <c r="B9721" s="18" t="str">
        <f>"365085"</f>
        <v>365085</v>
      </c>
      <c r="C9721" s="19" t="s">
        <v>9580</v>
      </c>
      <c r="D9721" s="19" t="s">
        <v>25132</v>
      </c>
      <c r="E9721" s="19" t="s">
        <v>34102</v>
      </c>
      <c r="F9721" s="19" t="s">
        <v>36009</v>
      </c>
      <c r="G9721" s="18" t="str">
        <f>"44256"</f>
        <v>44256</v>
      </c>
      <c r="H9721" s="19" t="s">
        <v>34102</v>
      </c>
      <c r="I9721" s="20">
        <v>19.047000000000001</v>
      </c>
      <c r="J9721" s="44" t="s">
        <v>8</v>
      </c>
      <c r="K9721" s="23" t="s">
        <v>8</v>
      </c>
      <c r="L9721" s="23" t="s">
        <v>8</v>
      </c>
      <c r="M9721" s="23" t="s">
        <v>8</v>
      </c>
    </row>
    <row r="9722" spans="1:13" s="21" customFormat="1" x14ac:dyDescent="0.25">
      <c r="A9722" s="22" t="s">
        <v>8</v>
      </c>
      <c r="B9722" s="18" t="str">
        <f>"365088"</f>
        <v>365088</v>
      </c>
      <c r="C9722" s="19" t="s">
        <v>9581</v>
      </c>
      <c r="D9722" s="19" t="s">
        <v>25133</v>
      </c>
      <c r="E9722" s="19" t="s">
        <v>31337</v>
      </c>
      <c r="F9722" s="19" t="s">
        <v>36009</v>
      </c>
      <c r="G9722" s="18" t="str">
        <f>"45322"</f>
        <v>45322</v>
      </c>
      <c r="H9722" s="19" t="s">
        <v>30833</v>
      </c>
      <c r="I9722" s="20">
        <v>19.117999999999999</v>
      </c>
      <c r="J9722" s="44" t="s">
        <v>8</v>
      </c>
      <c r="K9722" s="23" t="s">
        <v>8</v>
      </c>
      <c r="L9722" s="23" t="s">
        <v>8</v>
      </c>
      <c r="M9722" s="23" t="s">
        <v>8</v>
      </c>
    </row>
    <row r="9723" spans="1:13" s="21" customFormat="1" x14ac:dyDescent="0.25">
      <c r="A9723" s="22" t="s">
        <v>8</v>
      </c>
      <c r="B9723" s="18" t="str">
        <f>"365090"</f>
        <v>365090</v>
      </c>
      <c r="C9723" s="19" t="s">
        <v>9582</v>
      </c>
      <c r="D9723" s="19" t="s">
        <v>25134</v>
      </c>
      <c r="E9723" s="19" t="s">
        <v>34418</v>
      </c>
      <c r="F9723" s="19" t="s">
        <v>36009</v>
      </c>
      <c r="G9723" s="18" t="str">
        <f>"43812"</f>
        <v>43812</v>
      </c>
      <c r="H9723" s="19" t="s">
        <v>34418</v>
      </c>
      <c r="I9723" s="20">
        <v>18.802</v>
      </c>
      <c r="J9723" s="44" t="s">
        <v>8</v>
      </c>
      <c r="K9723" s="23" t="s">
        <v>8</v>
      </c>
      <c r="L9723" s="23" t="s">
        <v>8</v>
      </c>
      <c r="M9723" s="23" t="s">
        <v>8</v>
      </c>
    </row>
    <row r="9724" spans="1:13" s="21" customFormat="1" x14ac:dyDescent="0.25">
      <c r="A9724" s="22" t="s">
        <v>8</v>
      </c>
      <c r="B9724" s="18" t="str">
        <f>"365093"</f>
        <v>365093</v>
      </c>
      <c r="C9724" s="19" t="s">
        <v>9583</v>
      </c>
      <c r="D9724" s="19" t="s">
        <v>25135</v>
      </c>
      <c r="E9724" s="19" t="s">
        <v>30809</v>
      </c>
      <c r="F9724" s="19" t="s">
        <v>36009</v>
      </c>
      <c r="G9724" s="18" t="str">
        <f>"44805"</f>
        <v>44805</v>
      </c>
      <c r="H9724" s="19" t="s">
        <v>30809</v>
      </c>
      <c r="I9724" s="20">
        <v>17.920999999999999</v>
      </c>
      <c r="J9724" s="44" t="s">
        <v>8</v>
      </c>
      <c r="K9724" s="23" t="s">
        <v>8</v>
      </c>
      <c r="L9724" s="23" t="s">
        <v>8</v>
      </c>
      <c r="M9724" s="23" t="s">
        <v>8</v>
      </c>
    </row>
    <row r="9725" spans="1:13" s="21" customFormat="1" x14ac:dyDescent="0.25">
      <c r="A9725" s="22" t="s">
        <v>8</v>
      </c>
      <c r="B9725" s="18" t="str">
        <f>"365094"</f>
        <v>365094</v>
      </c>
      <c r="C9725" s="19" t="s">
        <v>9584</v>
      </c>
      <c r="D9725" s="19" t="s">
        <v>25136</v>
      </c>
      <c r="E9725" s="19" t="s">
        <v>34415</v>
      </c>
      <c r="F9725" s="19" t="s">
        <v>36009</v>
      </c>
      <c r="G9725" s="18" t="str">
        <f>"44122"</f>
        <v>44122</v>
      </c>
      <c r="H9725" s="19" t="s">
        <v>36671</v>
      </c>
      <c r="I9725" s="20">
        <v>19.376000000000001</v>
      </c>
      <c r="J9725" s="44" t="s">
        <v>8</v>
      </c>
      <c r="K9725" s="23" t="s">
        <v>8</v>
      </c>
      <c r="L9725" s="23" t="s">
        <v>8</v>
      </c>
      <c r="M9725" s="23" t="s">
        <v>8</v>
      </c>
    </row>
    <row r="9726" spans="1:13" s="21" customFormat="1" x14ac:dyDescent="0.25">
      <c r="A9726" s="22" t="s">
        <v>8</v>
      </c>
      <c r="B9726" s="18" t="str">
        <f>"365101"</f>
        <v>365101</v>
      </c>
      <c r="C9726" s="19" t="s">
        <v>9585</v>
      </c>
      <c r="D9726" s="19" t="s">
        <v>25137</v>
      </c>
      <c r="E9726" s="19" t="s">
        <v>34419</v>
      </c>
      <c r="F9726" s="19" t="s">
        <v>36009</v>
      </c>
      <c r="G9726" s="18" t="str">
        <f>"44836"</f>
        <v>44836</v>
      </c>
      <c r="H9726" s="19" t="s">
        <v>32641</v>
      </c>
      <c r="I9726" s="20">
        <v>20.038</v>
      </c>
      <c r="J9726" s="44" t="s">
        <v>8</v>
      </c>
      <c r="K9726" s="23" t="s">
        <v>8</v>
      </c>
      <c r="L9726" s="23" t="s">
        <v>8</v>
      </c>
      <c r="M9726" s="23" t="s">
        <v>8</v>
      </c>
    </row>
    <row r="9727" spans="1:13" s="21" customFormat="1" x14ac:dyDescent="0.25">
      <c r="A9727" s="22" t="s">
        <v>8</v>
      </c>
      <c r="B9727" s="18" t="str">
        <f>"365108"</f>
        <v>365108</v>
      </c>
      <c r="C9727" s="19" t="s">
        <v>9586</v>
      </c>
      <c r="D9727" s="19" t="s">
        <v>25138</v>
      </c>
      <c r="E9727" s="19" t="s">
        <v>31375</v>
      </c>
      <c r="F9727" s="19" t="s">
        <v>36009</v>
      </c>
      <c r="G9727" s="18" t="str">
        <f>"44305"</f>
        <v>44305</v>
      </c>
      <c r="H9727" s="19" t="s">
        <v>36107</v>
      </c>
      <c r="I9727" s="20">
        <v>20.111000000000001</v>
      </c>
      <c r="J9727" s="44" t="s">
        <v>8</v>
      </c>
      <c r="K9727" s="23" t="s">
        <v>8</v>
      </c>
      <c r="L9727" s="23" t="s">
        <v>8</v>
      </c>
      <c r="M9727" s="23" t="s">
        <v>8</v>
      </c>
    </row>
    <row r="9728" spans="1:13" s="21" customFormat="1" x14ac:dyDescent="0.25">
      <c r="A9728" s="22" t="s">
        <v>8</v>
      </c>
      <c r="B9728" s="18" t="str">
        <f>"365109"</f>
        <v>365109</v>
      </c>
      <c r="C9728" s="19" t="s">
        <v>9587</v>
      </c>
      <c r="D9728" s="19" t="s">
        <v>25139</v>
      </c>
      <c r="E9728" s="19" t="s">
        <v>34420</v>
      </c>
      <c r="F9728" s="19" t="s">
        <v>36009</v>
      </c>
      <c r="G9728" s="18" t="str">
        <f>"44136"</f>
        <v>44136</v>
      </c>
      <c r="H9728" s="19" t="s">
        <v>36671</v>
      </c>
      <c r="I9728" s="20">
        <v>18.797000000000001</v>
      </c>
      <c r="J9728" s="44" t="s">
        <v>8</v>
      </c>
      <c r="K9728" s="23" t="s">
        <v>8</v>
      </c>
      <c r="L9728" s="23" t="s">
        <v>8</v>
      </c>
      <c r="M9728" s="23" t="s">
        <v>8</v>
      </c>
    </row>
    <row r="9729" spans="1:13" s="21" customFormat="1" x14ac:dyDescent="0.25">
      <c r="A9729" s="22" t="s">
        <v>8</v>
      </c>
      <c r="B9729" s="18" t="str">
        <f>"365114"</f>
        <v>365114</v>
      </c>
      <c r="C9729" s="19" t="s">
        <v>9588</v>
      </c>
      <c r="D9729" s="19" t="s">
        <v>25140</v>
      </c>
      <c r="E9729" s="19" t="s">
        <v>34421</v>
      </c>
      <c r="F9729" s="19" t="s">
        <v>36009</v>
      </c>
      <c r="G9729" s="18" t="str">
        <f>"44504"</f>
        <v>44504</v>
      </c>
      <c r="H9729" s="19" t="s">
        <v>36674</v>
      </c>
      <c r="I9729" s="20">
        <v>18.100000000000001</v>
      </c>
      <c r="J9729" s="44" t="s">
        <v>8</v>
      </c>
      <c r="K9729" s="23" t="s">
        <v>8</v>
      </c>
      <c r="L9729" s="23" t="s">
        <v>8</v>
      </c>
      <c r="M9729" s="23" t="s">
        <v>8</v>
      </c>
    </row>
    <row r="9730" spans="1:13" s="21" customFormat="1" x14ac:dyDescent="0.25">
      <c r="A9730" s="22" t="s">
        <v>8</v>
      </c>
      <c r="B9730" s="18" t="str">
        <f>"365115"</f>
        <v>365115</v>
      </c>
      <c r="C9730" s="19" t="s">
        <v>9589</v>
      </c>
      <c r="D9730" s="19" t="s">
        <v>25141</v>
      </c>
      <c r="E9730" s="19" t="s">
        <v>34413</v>
      </c>
      <c r="F9730" s="19" t="s">
        <v>36009</v>
      </c>
      <c r="G9730" s="18" t="str">
        <f>"44145"</f>
        <v>44145</v>
      </c>
      <c r="H9730" s="19" t="s">
        <v>36671</v>
      </c>
      <c r="I9730" s="20">
        <v>21.408000000000001</v>
      </c>
      <c r="J9730" s="44" t="s">
        <v>8</v>
      </c>
      <c r="K9730" s="23" t="s">
        <v>8</v>
      </c>
      <c r="L9730" s="23" t="s">
        <v>8</v>
      </c>
      <c r="M9730" s="23" t="s">
        <v>8</v>
      </c>
    </row>
    <row r="9731" spans="1:13" s="21" customFormat="1" x14ac:dyDescent="0.25">
      <c r="A9731" s="22" t="s">
        <v>8</v>
      </c>
      <c r="B9731" s="18" t="str">
        <f>"365118"</f>
        <v>365118</v>
      </c>
      <c r="C9731" s="19" t="s">
        <v>9590</v>
      </c>
      <c r="D9731" s="19" t="s">
        <v>25142</v>
      </c>
      <c r="E9731" s="19" t="s">
        <v>31481</v>
      </c>
      <c r="F9731" s="19" t="s">
        <v>36009</v>
      </c>
      <c r="G9731" s="18" t="str">
        <f>"44903"</f>
        <v>44903</v>
      </c>
      <c r="H9731" s="19" t="s">
        <v>31785</v>
      </c>
      <c r="I9731" s="20">
        <v>19.675999999999998</v>
      </c>
      <c r="J9731" s="44" t="s">
        <v>8</v>
      </c>
      <c r="K9731" s="23" t="s">
        <v>8</v>
      </c>
      <c r="L9731" s="23" t="s">
        <v>8</v>
      </c>
      <c r="M9731" s="23" t="s">
        <v>8</v>
      </c>
    </row>
    <row r="9732" spans="1:13" s="21" customFormat="1" x14ac:dyDescent="0.25">
      <c r="A9732" s="22" t="s">
        <v>8</v>
      </c>
      <c r="B9732" s="18" t="str">
        <f>"365129"</f>
        <v>365129</v>
      </c>
      <c r="C9732" s="19" t="s">
        <v>9591</v>
      </c>
      <c r="D9732" s="19" t="s">
        <v>25143</v>
      </c>
      <c r="E9732" s="19" t="s">
        <v>31810</v>
      </c>
      <c r="F9732" s="19" t="s">
        <v>36009</v>
      </c>
      <c r="G9732" s="18" t="str">
        <f>"44112"</f>
        <v>44112</v>
      </c>
      <c r="H9732" s="19" t="s">
        <v>36671</v>
      </c>
      <c r="I9732" s="20">
        <v>19.010000000000002</v>
      </c>
      <c r="J9732" s="44" t="s">
        <v>8</v>
      </c>
      <c r="K9732" s="23" t="s">
        <v>8</v>
      </c>
      <c r="L9732" s="23" t="s">
        <v>8</v>
      </c>
      <c r="M9732" s="23" t="s">
        <v>8</v>
      </c>
    </row>
    <row r="9733" spans="1:13" s="21" customFormat="1" x14ac:dyDescent="0.25">
      <c r="A9733" s="22" t="s">
        <v>8</v>
      </c>
      <c r="B9733" s="18" t="str">
        <f>"365134"</f>
        <v>365134</v>
      </c>
      <c r="C9733" s="19" t="s">
        <v>9592</v>
      </c>
      <c r="D9733" s="19" t="s">
        <v>25144</v>
      </c>
      <c r="E9733" s="19" t="s">
        <v>31375</v>
      </c>
      <c r="F9733" s="19" t="s">
        <v>36009</v>
      </c>
      <c r="G9733" s="18" t="str">
        <f>"44303"</f>
        <v>44303</v>
      </c>
      <c r="H9733" s="19" t="s">
        <v>36107</v>
      </c>
      <c r="I9733" s="20">
        <v>18.984000000000002</v>
      </c>
      <c r="J9733" s="44" t="s">
        <v>8</v>
      </c>
      <c r="K9733" s="23" t="s">
        <v>8</v>
      </c>
      <c r="L9733" s="23" t="s">
        <v>8</v>
      </c>
      <c r="M9733" s="23" t="s">
        <v>8</v>
      </c>
    </row>
    <row r="9734" spans="1:13" s="21" customFormat="1" x14ac:dyDescent="0.25">
      <c r="A9734" s="22" t="s">
        <v>8</v>
      </c>
      <c r="B9734" s="18" t="str">
        <f>"365147"</f>
        <v>365147</v>
      </c>
      <c r="C9734" s="19" t="s">
        <v>9593</v>
      </c>
      <c r="D9734" s="19" t="s">
        <v>25145</v>
      </c>
      <c r="E9734" s="19" t="s">
        <v>34422</v>
      </c>
      <c r="F9734" s="19" t="s">
        <v>36009</v>
      </c>
      <c r="G9734" s="18" t="str">
        <f>"43756"</f>
        <v>43756</v>
      </c>
      <c r="H9734" s="19" t="s">
        <v>33505</v>
      </c>
      <c r="I9734" s="20">
        <v>21.997</v>
      </c>
      <c r="J9734" s="44" t="s">
        <v>8</v>
      </c>
      <c r="K9734" s="23" t="s">
        <v>8</v>
      </c>
      <c r="L9734" s="23" t="s">
        <v>8</v>
      </c>
      <c r="M9734" s="23" t="s">
        <v>8</v>
      </c>
    </row>
    <row r="9735" spans="1:13" s="21" customFormat="1" x14ac:dyDescent="0.25">
      <c r="A9735" s="22" t="s">
        <v>8</v>
      </c>
      <c r="B9735" s="18" t="str">
        <f>"365148"</f>
        <v>365148</v>
      </c>
      <c r="C9735" s="19" t="s">
        <v>9594</v>
      </c>
      <c r="D9735" s="19" t="s">
        <v>25146</v>
      </c>
      <c r="E9735" s="19" t="s">
        <v>34412</v>
      </c>
      <c r="F9735" s="19" t="s">
        <v>36009</v>
      </c>
      <c r="G9735" s="18" t="str">
        <f>"45219"</f>
        <v>45219</v>
      </c>
      <c r="H9735" s="19" t="s">
        <v>30804</v>
      </c>
      <c r="I9735" s="20">
        <v>17.338999999999999</v>
      </c>
      <c r="J9735" s="44" t="s">
        <v>8</v>
      </c>
      <c r="K9735" s="23" t="s">
        <v>8</v>
      </c>
      <c r="L9735" s="23" t="s">
        <v>8</v>
      </c>
      <c r="M9735" s="23" t="s">
        <v>8</v>
      </c>
    </row>
    <row r="9736" spans="1:13" s="21" customFormat="1" x14ac:dyDescent="0.25">
      <c r="A9736" s="22" t="s">
        <v>8</v>
      </c>
      <c r="B9736" s="18" t="str">
        <f>"365152"</f>
        <v>365152</v>
      </c>
      <c r="C9736" s="19" t="s">
        <v>9595</v>
      </c>
      <c r="D9736" s="19" t="s">
        <v>25147</v>
      </c>
      <c r="E9736" s="19" t="s">
        <v>34423</v>
      </c>
      <c r="F9736" s="19" t="s">
        <v>36009</v>
      </c>
      <c r="G9736" s="18" t="str">
        <f>"44663"</f>
        <v>44663</v>
      </c>
      <c r="H9736" s="19" t="s">
        <v>36675</v>
      </c>
      <c r="I9736" s="20">
        <v>23.187999999999999</v>
      </c>
      <c r="J9736" s="44" t="s">
        <v>8</v>
      </c>
      <c r="K9736" s="23" t="s">
        <v>8</v>
      </c>
      <c r="L9736" s="23" t="s">
        <v>8</v>
      </c>
      <c r="M9736" s="23" t="s">
        <v>8</v>
      </c>
    </row>
    <row r="9737" spans="1:13" s="21" customFormat="1" x14ac:dyDescent="0.25">
      <c r="A9737" s="22" t="s">
        <v>8</v>
      </c>
      <c r="B9737" s="18" t="str">
        <f>"365155"</f>
        <v>365155</v>
      </c>
      <c r="C9737" s="19" t="s">
        <v>9596</v>
      </c>
      <c r="D9737" s="19" t="s">
        <v>25148</v>
      </c>
      <c r="E9737" s="19" t="s">
        <v>31444</v>
      </c>
      <c r="F9737" s="19" t="s">
        <v>36009</v>
      </c>
      <c r="G9737" s="18" t="str">
        <f>"44011"</f>
        <v>44011</v>
      </c>
      <c r="H9737" s="19" t="s">
        <v>34482</v>
      </c>
      <c r="I9737" s="20">
        <v>18.216000000000001</v>
      </c>
      <c r="J9737" s="44" t="s">
        <v>8</v>
      </c>
      <c r="K9737" s="23" t="s">
        <v>8</v>
      </c>
      <c r="L9737" s="23" t="s">
        <v>8</v>
      </c>
      <c r="M9737" s="23" t="s">
        <v>8</v>
      </c>
    </row>
    <row r="9738" spans="1:13" s="21" customFormat="1" x14ac:dyDescent="0.25">
      <c r="A9738" s="22" t="s">
        <v>8</v>
      </c>
      <c r="B9738" s="18" t="str">
        <f>"365162"</f>
        <v>365162</v>
      </c>
      <c r="C9738" s="19" t="s">
        <v>9597</v>
      </c>
      <c r="D9738" s="19" t="s">
        <v>25149</v>
      </c>
      <c r="E9738" s="19" t="s">
        <v>34424</v>
      </c>
      <c r="F9738" s="19" t="s">
        <v>36009</v>
      </c>
      <c r="G9738" s="18" t="str">
        <f>"44035"</f>
        <v>44035</v>
      </c>
      <c r="H9738" s="19" t="s">
        <v>34482</v>
      </c>
      <c r="I9738" s="20">
        <v>19.704999999999998</v>
      </c>
      <c r="J9738" s="44" t="s">
        <v>8</v>
      </c>
      <c r="K9738" s="23" t="s">
        <v>8</v>
      </c>
      <c r="L9738" s="23" t="s">
        <v>8</v>
      </c>
      <c r="M9738" s="23" t="s">
        <v>8</v>
      </c>
    </row>
    <row r="9739" spans="1:13" s="21" customFormat="1" x14ac:dyDescent="0.25">
      <c r="A9739" s="22" t="s">
        <v>8</v>
      </c>
      <c r="B9739" s="18" t="str">
        <f>"365163"</f>
        <v>365163</v>
      </c>
      <c r="C9739" s="19" t="s">
        <v>9598</v>
      </c>
      <c r="D9739" s="19" t="s">
        <v>25150</v>
      </c>
      <c r="E9739" s="19" t="s">
        <v>34401</v>
      </c>
      <c r="F9739" s="19" t="s">
        <v>36009</v>
      </c>
      <c r="G9739" s="18" t="str">
        <f>"43545"</f>
        <v>43545</v>
      </c>
      <c r="H9739" s="19" t="s">
        <v>32041</v>
      </c>
      <c r="I9739" s="20">
        <v>19.709</v>
      </c>
      <c r="J9739" s="44" t="s">
        <v>8</v>
      </c>
      <c r="K9739" s="23" t="s">
        <v>8</v>
      </c>
      <c r="L9739" s="23" t="s">
        <v>8</v>
      </c>
      <c r="M9739" s="23" t="s">
        <v>8</v>
      </c>
    </row>
    <row r="9740" spans="1:13" s="21" customFormat="1" x14ac:dyDescent="0.25">
      <c r="A9740" s="22" t="s">
        <v>8</v>
      </c>
      <c r="B9740" s="18" t="str">
        <f>"365178"</f>
        <v>365178</v>
      </c>
      <c r="C9740" s="19" t="s">
        <v>9599</v>
      </c>
      <c r="D9740" s="19" t="s">
        <v>25151</v>
      </c>
      <c r="E9740" s="19" t="s">
        <v>34412</v>
      </c>
      <c r="F9740" s="19" t="s">
        <v>36009</v>
      </c>
      <c r="G9740" s="18" t="str">
        <f>"45243"</f>
        <v>45243</v>
      </c>
      <c r="H9740" s="19" t="s">
        <v>30804</v>
      </c>
      <c r="I9740" s="20">
        <v>19.690999999999999</v>
      </c>
      <c r="J9740" s="44" t="s">
        <v>8</v>
      </c>
      <c r="K9740" s="23" t="s">
        <v>8</v>
      </c>
      <c r="L9740" s="23" t="s">
        <v>8</v>
      </c>
      <c r="M9740" s="23" t="s">
        <v>8</v>
      </c>
    </row>
    <row r="9741" spans="1:13" s="21" customFormat="1" x14ac:dyDescent="0.25">
      <c r="A9741" s="22" t="s">
        <v>8</v>
      </c>
      <c r="B9741" s="18" t="str">
        <f>"365181"</f>
        <v>365181</v>
      </c>
      <c r="C9741" s="19" t="s">
        <v>9600</v>
      </c>
      <c r="D9741" s="19" t="s">
        <v>25152</v>
      </c>
      <c r="E9741" s="19" t="s">
        <v>30850</v>
      </c>
      <c r="F9741" s="19" t="s">
        <v>36009</v>
      </c>
      <c r="G9741" s="18" t="str">
        <f>"43302"</f>
        <v>43302</v>
      </c>
      <c r="H9741" s="19" t="s">
        <v>30850</v>
      </c>
      <c r="I9741" s="20">
        <v>19.434999999999999</v>
      </c>
      <c r="J9741" s="44" t="s">
        <v>8</v>
      </c>
      <c r="K9741" s="23" t="s">
        <v>8</v>
      </c>
      <c r="L9741" s="23" t="s">
        <v>8</v>
      </c>
      <c r="M9741" s="23" t="s">
        <v>8</v>
      </c>
    </row>
    <row r="9742" spans="1:13" s="21" customFormat="1" x14ac:dyDescent="0.25">
      <c r="A9742" s="22" t="s">
        <v>8</v>
      </c>
      <c r="B9742" s="18" t="str">
        <f>"365185"</f>
        <v>365185</v>
      </c>
      <c r="C9742" s="19" t="s">
        <v>9601</v>
      </c>
      <c r="D9742" s="19" t="s">
        <v>25153</v>
      </c>
      <c r="E9742" s="19" t="s">
        <v>34421</v>
      </c>
      <c r="F9742" s="19" t="s">
        <v>36009</v>
      </c>
      <c r="G9742" s="18" t="str">
        <f>"44512"</f>
        <v>44512</v>
      </c>
      <c r="H9742" s="19" t="s">
        <v>36674</v>
      </c>
      <c r="I9742" s="20">
        <v>20.552</v>
      </c>
      <c r="J9742" s="44" t="s">
        <v>8</v>
      </c>
      <c r="K9742" s="23" t="s">
        <v>8</v>
      </c>
      <c r="L9742" s="23" t="s">
        <v>8</v>
      </c>
      <c r="M9742" s="23" t="s">
        <v>8</v>
      </c>
    </row>
    <row r="9743" spans="1:13" s="21" customFormat="1" x14ac:dyDescent="0.25">
      <c r="A9743" s="22" t="s">
        <v>8</v>
      </c>
      <c r="B9743" s="18" t="str">
        <f>"365186"</f>
        <v>365186</v>
      </c>
      <c r="C9743" s="19" t="s">
        <v>9602</v>
      </c>
      <c r="D9743" s="19" t="s">
        <v>25154</v>
      </c>
      <c r="E9743" s="19" t="s">
        <v>34412</v>
      </c>
      <c r="F9743" s="19" t="s">
        <v>36009</v>
      </c>
      <c r="G9743" s="18" t="str">
        <f>"45243"</f>
        <v>45243</v>
      </c>
      <c r="H9743" s="19" t="s">
        <v>30804</v>
      </c>
      <c r="I9743" s="20">
        <v>17.614000000000001</v>
      </c>
      <c r="J9743" s="44" t="s">
        <v>8</v>
      </c>
      <c r="K9743" s="23" t="s">
        <v>8</v>
      </c>
      <c r="L9743" s="23" t="s">
        <v>8</v>
      </c>
      <c r="M9743" s="23" t="s">
        <v>8</v>
      </c>
    </row>
    <row r="9744" spans="1:13" s="21" customFormat="1" x14ac:dyDescent="0.25">
      <c r="A9744" s="22" t="s">
        <v>8</v>
      </c>
      <c r="B9744" s="18" t="str">
        <f>"365187"</f>
        <v>365187</v>
      </c>
      <c r="C9744" s="19" t="s">
        <v>9603</v>
      </c>
      <c r="D9744" s="19" t="s">
        <v>25155</v>
      </c>
      <c r="E9744" s="19" t="s">
        <v>34414</v>
      </c>
      <c r="F9744" s="19" t="s">
        <v>36009</v>
      </c>
      <c r="G9744" s="18" t="str">
        <f>"45385"</f>
        <v>45385</v>
      </c>
      <c r="H9744" s="19" t="s">
        <v>32455</v>
      </c>
      <c r="I9744" s="20">
        <v>19.699000000000002</v>
      </c>
      <c r="J9744" s="44" t="s">
        <v>8</v>
      </c>
      <c r="K9744" s="23" t="s">
        <v>8</v>
      </c>
      <c r="L9744" s="23" t="s">
        <v>8</v>
      </c>
      <c r="M9744" s="23" t="s">
        <v>8</v>
      </c>
    </row>
    <row r="9745" spans="1:13" s="21" customFormat="1" x14ac:dyDescent="0.25">
      <c r="A9745" s="22" t="s">
        <v>8</v>
      </c>
      <c r="B9745" s="18" t="str">
        <f>"365192"</f>
        <v>365192</v>
      </c>
      <c r="C9745" s="19" t="s">
        <v>9604</v>
      </c>
      <c r="D9745" s="19" t="s">
        <v>25156</v>
      </c>
      <c r="E9745" s="19" t="s">
        <v>34425</v>
      </c>
      <c r="F9745" s="19" t="s">
        <v>36009</v>
      </c>
      <c r="G9745" s="18" t="str">
        <f>"44130"</f>
        <v>44130</v>
      </c>
      <c r="H9745" s="19" t="s">
        <v>36671</v>
      </c>
      <c r="I9745" s="20">
        <v>16.754000000000001</v>
      </c>
      <c r="J9745" s="44" t="s">
        <v>8</v>
      </c>
      <c r="K9745" s="23" t="s">
        <v>8</v>
      </c>
      <c r="L9745" s="23" t="s">
        <v>8</v>
      </c>
      <c r="M9745" s="23" t="s">
        <v>8</v>
      </c>
    </row>
    <row r="9746" spans="1:13" s="21" customFormat="1" x14ac:dyDescent="0.25">
      <c r="A9746" s="22" t="s">
        <v>8</v>
      </c>
      <c r="B9746" s="18" t="str">
        <f>"365195"</f>
        <v>365195</v>
      </c>
      <c r="C9746" s="19" t="s">
        <v>9605</v>
      </c>
      <c r="D9746" s="19" t="s">
        <v>25157</v>
      </c>
      <c r="E9746" s="19" t="s">
        <v>31715</v>
      </c>
      <c r="F9746" s="19" t="s">
        <v>36009</v>
      </c>
      <c r="G9746" s="18" t="str">
        <f>"43232"</f>
        <v>43232</v>
      </c>
      <c r="H9746" s="19" t="s">
        <v>5</v>
      </c>
      <c r="I9746" s="20">
        <v>17.751000000000001</v>
      </c>
      <c r="J9746" s="44" t="s">
        <v>8</v>
      </c>
      <c r="K9746" s="23" t="s">
        <v>8</v>
      </c>
      <c r="L9746" s="23" t="s">
        <v>8</v>
      </c>
      <c r="M9746" s="23" t="s">
        <v>8</v>
      </c>
    </row>
    <row r="9747" spans="1:13" s="21" customFormat="1" x14ac:dyDescent="0.25">
      <c r="A9747" s="22" t="s">
        <v>8</v>
      </c>
      <c r="B9747" s="18" t="str">
        <f>"365196"</f>
        <v>365196</v>
      </c>
      <c r="C9747" s="19" t="s">
        <v>9606</v>
      </c>
      <c r="D9747" s="19" t="s">
        <v>25158</v>
      </c>
      <c r="E9747" s="19" t="s">
        <v>34412</v>
      </c>
      <c r="F9747" s="19" t="s">
        <v>36009</v>
      </c>
      <c r="G9747" s="18" t="str">
        <f>"45213"</f>
        <v>45213</v>
      </c>
      <c r="H9747" s="19" t="s">
        <v>30804</v>
      </c>
      <c r="I9747" s="20">
        <v>19.655000000000001</v>
      </c>
      <c r="J9747" s="44" t="s">
        <v>8</v>
      </c>
      <c r="K9747" s="23" t="s">
        <v>8</v>
      </c>
      <c r="L9747" s="23" t="s">
        <v>8</v>
      </c>
      <c r="M9747" s="23" t="s">
        <v>8</v>
      </c>
    </row>
    <row r="9748" spans="1:13" s="21" customFormat="1" x14ac:dyDescent="0.25">
      <c r="A9748" s="22" t="s">
        <v>8</v>
      </c>
      <c r="B9748" s="18" t="str">
        <f>"365202"</f>
        <v>365202</v>
      </c>
      <c r="C9748" s="19" t="s">
        <v>9607</v>
      </c>
      <c r="D9748" s="19" t="s">
        <v>25159</v>
      </c>
      <c r="E9748" s="19" t="s">
        <v>34426</v>
      </c>
      <c r="F9748" s="19" t="s">
        <v>36009</v>
      </c>
      <c r="G9748" s="18" t="str">
        <f>"45804"</f>
        <v>45804</v>
      </c>
      <c r="H9748" s="19" t="s">
        <v>34710</v>
      </c>
      <c r="I9748" s="20">
        <v>19.376999999999999</v>
      </c>
      <c r="J9748" s="44" t="s">
        <v>8</v>
      </c>
      <c r="K9748" s="23" t="s">
        <v>8</v>
      </c>
      <c r="L9748" s="23" t="s">
        <v>8</v>
      </c>
      <c r="M9748" s="23" t="s">
        <v>8</v>
      </c>
    </row>
    <row r="9749" spans="1:13" s="21" customFormat="1" x14ac:dyDescent="0.25">
      <c r="A9749" s="22" t="s">
        <v>8</v>
      </c>
      <c r="B9749" s="18" t="str">
        <f>"365206"</f>
        <v>365206</v>
      </c>
      <c r="C9749" s="19" t="s">
        <v>9608</v>
      </c>
      <c r="D9749" s="19" t="s">
        <v>25160</v>
      </c>
      <c r="E9749" s="19" t="s">
        <v>34427</v>
      </c>
      <c r="F9749" s="19" t="s">
        <v>36009</v>
      </c>
      <c r="G9749" s="18" t="str">
        <f>"43081"</f>
        <v>43081</v>
      </c>
      <c r="H9749" s="19" t="s">
        <v>5</v>
      </c>
      <c r="I9749" s="20">
        <v>17.343</v>
      </c>
      <c r="J9749" s="44" t="s">
        <v>8</v>
      </c>
      <c r="K9749" s="23" t="s">
        <v>8</v>
      </c>
      <c r="L9749" s="23" t="s">
        <v>8</v>
      </c>
      <c r="M9749" s="23" t="s">
        <v>8</v>
      </c>
    </row>
    <row r="9750" spans="1:13" s="21" customFormat="1" x14ac:dyDescent="0.25">
      <c r="A9750" s="22" t="s">
        <v>8</v>
      </c>
      <c r="B9750" s="18" t="str">
        <f>"365209"</f>
        <v>365209</v>
      </c>
      <c r="C9750" s="19" t="s">
        <v>9609</v>
      </c>
      <c r="D9750" s="19" t="s">
        <v>25161</v>
      </c>
      <c r="E9750" s="19" t="s">
        <v>31412</v>
      </c>
      <c r="F9750" s="19" t="s">
        <v>36009</v>
      </c>
      <c r="G9750" s="18" t="str">
        <f>"45044"</f>
        <v>45044</v>
      </c>
      <c r="H9750" s="19" t="s">
        <v>30876</v>
      </c>
      <c r="I9750" s="20">
        <v>17.527999999999999</v>
      </c>
      <c r="J9750" s="44" t="s">
        <v>8</v>
      </c>
      <c r="K9750" s="23" t="s">
        <v>8</v>
      </c>
      <c r="L9750" s="23" t="s">
        <v>8</v>
      </c>
      <c r="M9750" s="23" t="s">
        <v>8</v>
      </c>
    </row>
    <row r="9751" spans="1:13" s="21" customFormat="1" x14ac:dyDescent="0.25">
      <c r="A9751" s="22" t="s">
        <v>8</v>
      </c>
      <c r="B9751" s="18" t="str">
        <f>"365215"</f>
        <v>365215</v>
      </c>
      <c r="C9751" s="19" t="s">
        <v>9610</v>
      </c>
      <c r="D9751" s="19" t="s">
        <v>25162</v>
      </c>
      <c r="E9751" s="19" t="s">
        <v>34428</v>
      </c>
      <c r="F9751" s="19" t="s">
        <v>36009</v>
      </c>
      <c r="G9751" s="18" t="str">
        <f>"44128"</f>
        <v>44128</v>
      </c>
      <c r="H9751" s="19" t="s">
        <v>36671</v>
      </c>
      <c r="I9751" s="20">
        <v>22.434000000000001</v>
      </c>
      <c r="J9751" s="44" t="s">
        <v>8</v>
      </c>
      <c r="K9751" s="23" t="s">
        <v>8</v>
      </c>
      <c r="L9751" s="23" t="s">
        <v>8</v>
      </c>
      <c r="M9751" s="23" t="s">
        <v>8</v>
      </c>
    </row>
    <row r="9752" spans="1:13" s="21" customFormat="1" x14ac:dyDescent="0.25">
      <c r="A9752" s="22" t="s">
        <v>8</v>
      </c>
      <c r="B9752" s="18" t="str">
        <f>"365218"</f>
        <v>365218</v>
      </c>
      <c r="C9752" s="19" t="s">
        <v>9611</v>
      </c>
      <c r="D9752" s="19" t="s">
        <v>25163</v>
      </c>
      <c r="E9752" s="19" t="s">
        <v>34412</v>
      </c>
      <c r="F9752" s="19" t="s">
        <v>36009</v>
      </c>
      <c r="G9752" s="18" t="str">
        <f>"45242"</f>
        <v>45242</v>
      </c>
      <c r="H9752" s="19" t="s">
        <v>30804</v>
      </c>
      <c r="I9752" s="20">
        <v>19.800999999999998</v>
      </c>
      <c r="J9752" s="44" t="s">
        <v>8</v>
      </c>
      <c r="K9752" s="23" t="s">
        <v>8</v>
      </c>
      <c r="L9752" s="23" t="s">
        <v>8</v>
      </c>
      <c r="M9752" s="23" t="s">
        <v>8</v>
      </c>
    </row>
    <row r="9753" spans="1:13" s="21" customFormat="1" x14ac:dyDescent="0.25">
      <c r="A9753" s="22" t="s">
        <v>8</v>
      </c>
      <c r="B9753" s="18" t="str">
        <f>"365221"</f>
        <v>365221</v>
      </c>
      <c r="C9753" s="19" t="s">
        <v>9612</v>
      </c>
      <c r="D9753" s="19" t="s">
        <v>25164</v>
      </c>
      <c r="E9753" s="19" t="s">
        <v>32220</v>
      </c>
      <c r="F9753" s="19" t="s">
        <v>36009</v>
      </c>
      <c r="G9753" s="18" t="str">
        <f>"45123"</f>
        <v>45123</v>
      </c>
      <c r="H9753" s="19" t="s">
        <v>31280</v>
      </c>
      <c r="I9753" s="20">
        <v>17.364999999999998</v>
      </c>
      <c r="J9753" s="44" t="s">
        <v>8</v>
      </c>
      <c r="K9753" s="23" t="s">
        <v>8</v>
      </c>
      <c r="L9753" s="23" t="s">
        <v>8</v>
      </c>
      <c r="M9753" s="23" t="s">
        <v>8</v>
      </c>
    </row>
    <row r="9754" spans="1:13" s="21" customFormat="1" x14ac:dyDescent="0.25">
      <c r="A9754" s="22" t="s">
        <v>8</v>
      </c>
      <c r="B9754" s="18" t="str">
        <f>"365222"</f>
        <v>365222</v>
      </c>
      <c r="C9754" s="19" t="s">
        <v>9613</v>
      </c>
      <c r="D9754" s="19" t="s">
        <v>25165</v>
      </c>
      <c r="E9754" s="19" t="s">
        <v>33314</v>
      </c>
      <c r="F9754" s="19" t="s">
        <v>36009</v>
      </c>
      <c r="G9754" s="18" t="str">
        <f>"43085"</f>
        <v>43085</v>
      </c>
      <c r="H9754" s="19" t="s">
        <v>5</v>
      </c>
      <c r="I9754" s="20">
        <v>17.739999999999998</v>
      </c>
      <c r="J9754" s="44" t="s">
        <v>8</v>
      </c>
      <c r="K9754" s="23" t="s">
        <v>8</v>
      </c>
      <c r="L9754" s="23" t="s">
        <v>8</v>
      </c>
      <c r="M9754" s="23" t="s">
        <v>8</v>
      </c>
    </row>
    <row r="9755" spans="1:13" s="21" customFormat="1" x14ac:dyDescent="0.25">
      <c r="A9755" s="22" t="s">
        <v>8</v>
      </c>
      <c r="B9755" s="18" t="str">
        <f>"365228"</f>
        <v>365228</v>
      </c>
      <c r="C9755" s="19" t="s">
        <v>9614</v>
      </c>
      <c r="D9755" s="19" t="s">
        <v>25166</v>
      </c>
      <c r="E9755" s="19" t="s">
        <v>31489</v>
      </c>
      <c r="F9755" s="19" t="s">
        <v>36009</v>
      </c>
      <c r="G9755" s="18" t="str">
        <f>"45177"</f>
        <v>45177</v>
      </c>
      <c r="H9755" s="19" t="s">
        <v>31081</v>
      </c>
      <c r="I9755" s="20">
        <v>21.484000000000002</v>
      </c>
      <c r="J9755" s="44" t="s">
        <v>8</v>
      </c>
      <c r="K9755" s="23" t="s">
        <v>8</v>
      </c>
      <c r="L9755" s="23" t="s">
        <v>8</v>
      </c>
      <c r="M9755" s="23" t="s">
        <v>8</v>
      </c>
    </row>
    <row r="9756" spans="1:13" s="21" customFormat="1" x14ac:dyDescent="0.25">
      <c r="A9756" s="22" t="s">
        <v>8</v>
      </c>
      <c r="B9756" s="18" t="str">
        <f>"365232"</f>
        <v>365232</v>
      </c>
      <c r="C9756" s="19" t="s">
        <v>9615</v>
      </c>
      <c r="D9756" s="19" t="s">
        <v>25167</v>
      </c>
      <c r="E9756" s="19" t="s">
        <v>34429</v>
      </c>
      <c r="F9756" s="19" t="s">
        <v>36009</v>
      </c>
      <c r="G9756" s="18" t="str">
        <f>"45885"</f>
        <v>45885</v>
      </c>
      <c r="H9756" s="19" t="s">
        <v>36676</v>
      </c>
      <c r="I9756" s="20">
        <v>18.675999999999998</v>
      </c>
      <c r="J9756" s="44" t="s">
        <v>8</v>
      </c>
      <c r="K9756" s="23" t="s">
        <v>8</v>
      </c>
      <c r="L9756" s="23" t="s">
        <v>8</v>
      </c>
      <c r="M9756" s="23" t="s">
        <v>8</v>
      </c>
    </row>
    <row r="9757" spans="1:13" s="21" customFormat="1" x14ac:dyDescent="0.25">
      <c r="A9757" s="22" t="s">
        <v>8</v>
      </c>
      <c r="B9757" s="18" t="str">
        <f>"365236"</f>
        <v>365236</v>
      </c>
      <c r="C9757" s="19" t="s">
        <v>9616</v>
      </c>
      <c r="D9757" s="19" t="s">
        <v>25168</v>
      </c>
      <c r="E9757" s="19" t="s">
        <v>34430</v>
      </c>
      <c r="F9757" s="19" t="s">
        <v>36009</v>
      </c>
      <c r="G9757" s="18" t="str">
        <f>"44077"</f>
        <v>44077</v>
      </c>
      <c r="H9757" s="19" t="s">
        <v>36096</v>
      </c>
      <c r="I9757" s="20">
        <v>18.138000000000002</v>
      </c>
      <c r="J9757" s="44" t="s">
        <v>8</v>
      </c>
      <c r="K9757" s="23" t="s">
        <v>8</v>
      </c>
      <c r="L9757" s="23" t="s">
        <v>8</v>
      </c>
      <c r="M9757" s="23" t="s">
        <v>8</v>
      </c>
    </row>
    <row r="9758" spans="1:13" s="21" customFormat="1" x14ac:dyDescent="0.25">
      <c r="A9758" s="22" t="s">
        <v>8</v>
      </c>
      <c r="B9758" s="18" t="str">
        <f>"365238"</f>
        <v>365238</v>
      </c>
      <c r="C9758" s="19" t="s">
        <v>9617</v>
      </c>
      <c r="D9758" s="19" t="s">
        <v>25169</v>
      </c>
      <c r="E9758" s="19" t="s">
        <v>34431</v>
      </c>
      <c r="F9758" s="19" t="s">
        <v>36009</v>
      </c>
      <c r="G9758" s="18" t="str">
        <f>"45895"</f>
        <v>45895</v>
      </c>
      <c r="H9758" s="19" t="s">
        <v>36676</v>
      </c>
      <c r="I9758" s="20">
        <v>16.917999999999999</v>
      </c>
      <c r="J9758" s="44" t="s">
        <v>8</v>
      </c>
      <c r="K9758" s="23" t="s">
        <v>8</v>
      </c>
      <c r="L9758" s="23" t="s">
        <v>8</v>
      </c>
      <c r="M9758" s="23" t="s">
        <v>8</v>
      </c>
    </row>
    <row r="9759" spans="1:13" s="21" customFormat="1" x14ac:dyDescent="0.25">
      <c r="A9759" s="22" t="s">
        <v>8</v>
      </c>
      <c r="B9759" s="18" t="str">
        <f>"365241"</f>
        <v>365241</v>
      </c>
      <c r="C9759" s="19" t="s">
        <v>9618</v>
      </c>
      <c r="D9759" s="19" t="s">
        <v>25170</v>
      </c>
      <c r="E9759" s="19" t="s">
        <v>32686</v>
      </c>
      <c r="F9759" s="19" t="s">
        <v>36009</v>
      </c>
      <c r="G9759" s="18" t="str">
        <f>"43140"</f>
        <v>43140</v>
      </c>
      <c r="H9759" s="19" t="s">
        <v>30899</v>
      </c>
      <c r="I9759" s="20">
        <v>19.902999999999999</v>
      </c>
      <c r="J9759" s="44" t="s">
        <v>8</v>
      </c>
      <c r="K9759" s="23" t="s">
        <v>8</v>
      </c>
      <c r="L9759" s="23" t="s">
        <v>8</v>
      </c>
      <c r="M9759" s="23" t="s">
        <v>8</v>
      </c>
    </row>
    <row r="9760" spans="1:13" s="21" customFormat="1" x14ac:dyDescent="0.25">
      <c r="A9760" s="22" t="s">
        <v>8</v>
      </c>
      <c r="B9760" s="18" t="str">
        <f>"365246"</f>
        <v>365246</v>
      </c>
      <c r="C9760" s="19" t="s">
        <v>9619</v>
      </c>
      <c r="D9760" s="19" t="s">
        <v>25171</v>
      </c>
      <c r="E9760" s="19" t="s">
        <v>34432</v>
      </c>
      <c r="F9760" s="19" t="s">
        <v>36009</v>
      </c>
      <c r="G9760" s="18" t="str">
        <f>"45891"</f>
        <v>45891</v>
      </c>
      <c r="H9760" s="19" t="s">
        <v>34432</v>
      </c>
      <c r="I9760" s="20">
        <v>20.178999999999998</v>
      </c>
      <c r="J9760" s="44" t="s">
        <v>8</v>
      </c>
      <c r="K9760" s="23" t="s">
        <v>8</v>
      </c>
      <c r="L9760" s="23" t="s">
        <v>8</v>
      </c>
      <c r="M9760" s="23" t="s">
        <v>8</v>
      </c>
    </row>
    <row r="9761" spans="1:13" s="21" customFormat="1" x14ac:dyDescent="0.25">
      <c r="A9761" s="22" t="s">
        <v>8</v>
      </c>
      <c r="B9761" s="18" t="str">
        <f>"365250"</f>
        <v>365250</v>
      </c>
      <c r="C9761" s="19" t="s">
        <v>9620</v>
      </c>
      <c r="D9761" s="19" t="s">
        <v>25172</v>
      </c>
      <c r="E9761" s="19" t="s">
        <v>31184</v>
      </c>
      <c r="F9761" s="19" t="s">
        <v>36009</v>
      </c>
      <c r="G9761" s="18" t="str">
        <f>"43130"</f>
        <v>43130</v>
      </c>
      <c r="H9761" s="19" t="s">
        <v>31103</v>
      </c>
      <c r="I9761" s="20">
        <v>18.957000000000001</v>
      </c>
      <c r="J9761" s="44" t="s">
        <v>8</v>
      </c>
      <c r="K9761" s="23" t="s">
        <v>8</v>
      </c>
      <c r="L9761" s="23" t="s">
        <v>8</v>
      </c>
      <c r="M9761" s="23" t="s">
        <v>8</v>
      </c>
    </row>
    <row r="9762" spans="1:13" s="21" customFormat="1" x14ac:dyDescent="0.25">
      <c r="A9762" s="22" t="s">
        <v>8</v>
      </c>
      <c r="B9762" s="18" t="str">
        <f>"365254"</f>
        <v>365254</v>
      </c>
      <c r="C9762" s="19" t="s">
        <v>9621</v>
      </c>
      <c r="D9762" s="19" t="s">
        <v>25173</v>
      </c>
      <c r="E9762" s="19" t="s">
        <v>34432</v>
      </c>
      <c r="F9762" s="19" t="s">
        <v>36009</v>
      </c>
      <c r="G9762" s="18" t="str">
        <f>"45891"</f>
        <v>45891</v>
      </c>
      <c r="H9762" s="19" t="s">
        <v>34432</v>
      </c>
      <c r="I9762" s="20">
        <v>20.667000000000002</v>
      </c>
      <c r="J9762" s="44" t="s">
        <v>8</v>
      </c>
      <c r="K9762" s="23" t="s">
        <v>8</v>
      </c>
      <c r="L9762" s="23" t="s">
        <v>8</v>
      </c>
      <c r="M9762" s="23" t="s">
        <v>8</v>
      </c>
    </row>
    <row r="9763" spans="1:13" s="21" customFormat="1" x14ac:dyDescent="0.25">
      <c r="A9763" s="22" t="s">
        <v>8</v>
      </c>
      <c r="B9763" s="18" t="str">
        <f>"365256"</f>
        <v>365256</v>
      </c>
      <c r="C9763" s="19" t="s">
        <v>9622</v>
      </c>
      <c r="D9763" s="19" t="s">
        <v>25174</v>
      </c>
      <c r="E9763" s="19" t="s">
        <v>33314</v>
      </c>
      <c r="F9763" s="19" t="s">
        <v>36009</v>
      </c>
      <c r="G9763" s="18" t="str">
        <f>"43085"</f>
        <v>43085</v>
      </c>
      <c r="H9763" s="19" t="s">
        <v>5</v>
      </c>
      <c r="I9763" s="20">
        <v>19.914000000000001</v>
      </c>
      <c r="J9763" s="44" t="s">
        <v>8</v>
      </c>
      <c r="K9763" s="23" t="s">
        <v>8</v>
      </c>
      <c r="L9763" s="23" t="s">
        <v>8</v>
      </c>
      <c r="M9763" s="23" t="s">
        <v>8</v>
      </c>
    </row>
    <row r="9764" spans="1:13" s="21" customFormat="1" x14ac:dyDescent="0.25">
      <c r="A9764" s="22" t="s">
        <v>8</v>
      </c>
      <c r="B9764" s="18" t="str">
        <f>"365257"</f>
        <v>365257</v>
      </c>
      <c r="C9764" s="19" t="s">
        <v>9623</v>
      </c>
      <c r="D9764" s="19" t="s">
        <v>25175</v>
      </c>
      <c r="E9764" s="19" t="s">
        <v>30861</v>
      </c>
      <c r="F9764" s="19" t="s">
        <v>36009</v>
      </c>
      <c r="G9764" s="18" t="str">
        <f>"45056"</f>
        <v>45056</v>
      </c>
      <c r="H9764" s="19" t="s">
        <v>30876</v>
      </c>
      <c r="I9764" s="20">
        <v>20.103000000000002</v>
      </c>
      <c r="J9764" s="44" t="s">
        <v>8</v>
      </c>
      <c r="K9764" s="23" t="s">
        <v>8</v>
      </c>
      <c r="L9764" s="23" t="s">
        <v>8</v>
      </c>
      <c r="M9764" s="23" t="s">
        <v>8</v>
      </c>
    </row>
    <row r="9765" spans="1:13" s="21" customFormat="1" x14ac:dyDescent="0.25">
      <c r="A9765" s="22" t="s">
        <v>8</v>
      </c>
      <c r="B9765" s="18" t="str">
        <f>"365259"</f>
        <v>365259</v>
      </c>
      <c r="C9765" s="19" t="s">
        <v>9624</v>
      </c>
      <c r="D9765" s="19" t="s">
        <v>25176</v>
      </c>
      <c r="E9765" s="19" t="s">
        <v>31375</v>
      </c>
      <c r="F9765" s="19" t="s">
        <v>36009</v>
      </c>
      <c r="G9765" s="18" t="str">
        <f>"44310"</f>
        <v>44310</v>
      </c>
      <c r="H9765" s="19" t="s">
        <v>36107</v>
      </c>
      <c r="I9765" s="20">
        <v>20.254999999999999</v>
      </c>
      <c r="J9765" s="44" t="s">
        <v>8</v>
      </c>
      <c r="K9765" s="23" t="s">
        <v>8</v>
      </c>
      <c r="L9765" s="23" t="s">
        <v>8</v>
      </c>
      <c r="M9765" s="23" t="s">
        <v>8</v>
      </c>
    </row>
    <row r="9766" spans="1:13" s="21" customFormat="1" x14ac:dyDescent="0.25">
      <c r="A9766" s="22" t="s">
        <v>8</v>
      </c>
      <c r="B9766" s="18" t="str">
        <f>"365264"</f>
        <v>365264</v>
      </c>
      <c r="C9766" s="19" t="s">
        <v>9625</v>
      </c>
      <c r="D9766" s="19" t="s">
        <v>25177</v>
      </c>
      <c r="E9766" s="19" t="s">
        <v>34433</v>
      </c>
      <c r="F9766" s="19" t="s">
        <v>36009</v>
      </c>
      <c r="G9766" s="18" t="str">
        <f>"44140"</f>
        <v>44140</v>
      </c>
      <c r="H9766" s="19" t="s">
        <v>36671</v>
      </c>
      <c r="I9766" s="20">
        <v>18.332000000000001</v>
      </c>
      <c r="J9766" s="44" t="s">
        <v>8</v>
      </c>
      <c r="K9766" s="23" t="s">
        <v>8</v>
      </c>
      <c r="L9766" s="23" t="s">
        <v>8</v>
      </c>
      <c r="M9766" s="23" t="s">
        <v>8</v>
      </c>
    </row>
    <row r="9767" spans="1:13" s="21" customFormat="1" x14ac:dyDescent="0.25">
      <c r="A9767" s="22" t="s">
        <v>8</v>
      </c>
      <c r="B9767" s="18" t="str">
        <f>"365265"</f>
        <v>365265</v>
      </c>
      <c r="C9767" s="19" t="s">
        <v>9626</v>
      </c>
      <c r="D9767" s="19" t="s">
        <v>25178</v>
      </c>
      <c r="E9767" s="19" t="s">
        <v>34434</v>
      </c>
      <c r="F9767" s="19" t="s">
        <v>36009</v>
      </c>
      <c r="G9767" s="18" t="str">
        <f>"45356"</f>
        <v>45356</v>
      </c>
      <c r="H9767" s="19" t="s">
        <v>31507</v>
      </c>
      <c r="I9767" s="20">
        <v>21.146999999999998</v>
      </c>
      <c r="J9767" s="44" t="s">
        <v>8</v>
      </c>
      <c r="K9767" s="23" t="s">
        <v>8</v>
      </c>
      <c r="L9767" s="23" t="s">
        <v>8</v>
      </c>
      <c r="M9767" s="23" t="s">
        <v>8</v>
      </c>
    </row>
    <row r="9768" spans="1:13" s="21" customFormat="1" x14ac:dyDescent="0.25">
      <c r="A9768" s="22" t="s">
        <v>8</v>
      </c>
      <c r="B9768" s="18" t="str">
        <f>"365267"</f>
        <v>365267</v>
      </c>
      <c r="C9768" s="19" t="s">
        <v>9627</v>
      </c>
      <c r="D9768" s="19" t="s">
        <v>25179</v>
      </c>
      <c r="E9768" s="19" t="s">
        <v>31339</v>
      </c>
      <c r="F9768" s="19" t="s">
        <v>36009</v>
      </c>
      <c r="G9768" s="18" t="str">
        <f>"44107"</f>
        <v>44107</v>
      </c>
      <c r="H9768" s="19" t="s">
        <v>36671</v>
      </c>
      <c r="I9768" s="20">
        <v>17.867000000000001</v>
      </c>
      <c r="J9768" s="44" t="s">
        <v>8</v>
      </c>
      <c r="K9768" s="23" t="s">
        <v>8</v>
      </c>
      <c r="L9768" s="23" t="s">
        <v>8</v>
      </c>
      <c r="M9768" s="23" t="s">
        <v>8</v>
      </c>
    </row>
    <row r="9769" spans="1:13" s="21" customFormat="1" x14ac:dyDescent="0.25">
      <c r="A9769" s="22" t="s">
        <v>8</v>
      </c>
      <c r="B9769" s="18" t="str">
        <f>"365268"</f>
        <v>365268</v>
      </c>
      <c r="C9769" s="19" t="s">
        <v>9628</v>
      </c>
      <c r="D9769" s="19" t="s">
        <v>25180</v>
      </c>
      <c r="E9769" s="19" t="s">
        <v>34435</v>
      </c>
      <c r="F9769" s="19" t="s">
        <v>36009</v>
      </c>
      <c r="G9769" s="18" t="str">
        <f>"44281"</f>
        <v>44281</v>
      </c>
      <c r="H9769" s="19" t="s">
        <v>34102</v>
      </c>
      <c r="I9769" s="20">
        <v>18.998000000000001</v>
      </c>
      <c r="J9769" s="44" t="s">
        <v>8</v>
      </c>
      <c r="K9769" s="23" t="s">
        <v>8</v>
      </c>
      <c r="L9769" s="23" t="s">
        <v>8</v>
      </c>
      <c r="M9769" s="23" t="s">
        <v>8</v>
      </c>
    </row>
    <row r="9770" spans="1:13" s="21" customFormat="1" x14ac:dyDescent="0.25">
      <c r="A9770" s="22" t="s">
        <v>8</v>
      </c>
      <c r="B9770" s="18" t="str">
        <f>"365269"</f>
        <v>365269</v>
      </c>
      <c r="C9770" s="19" t="s">
        <v>9629</v>
      </c>
      <c r="D9770" s="19" t="s">
        <v>25181</v>
      </c>
      <c r="E9770" s="19" t="s">
        <v>32023</v>
      </c>
      <c r="F9770" s="19" t="s">
        <v>36009</v>
      </c>
      <c r="G9770" s="18" t="str">
        <f>"43050"</f>
        <v>43050</v>
      </c>
      <c r="H9770" s="19" t="s">
        <v>32252</v>
      </c>
      <c r="I9770" s="20">
        <v>17.594000000000001</v>
      </c>
      <c r="J9770" s="44" t="s">
        <v>8</v>
      </c>
      <c r="K9770" s="23" t="s">
        <v>8</v>
      </c>
      <c r="L9770" s="23" t="s">
        <v>8</v>
      </c>
      <c r="M9770" s="23" t="s">
        <v>8</v>
      </c>
    </row>
    <row r="9771" spans="1:13" s="21" customFormat="1" x14ac:dyDescent="0.25">
      <c r="A9771" s="22" t="s">
        <v>8</v>
      </c>
      <c r="B9771" s="18" t="str">
        <f>"365270"</f>
        <v>365270</v>
      </c>
      <c r="C9771" s="19" t="s">
        <v>9630</v>
      </c>
      <c r="D9771" s="19" t="s">
        <v>25182</v>
      </c>
      <c r="E9771" s="19" t="s">
        <v>33186</v>
      </c>
      <c r="F9771" s="19" t="s">
        <v>36009</v>
      </c>
      <c r="G9771" s="18" t="str">
        <f>"44870"</f>
        <v>44870</v>
      </c>
      <c r="H9771" s="19" t="s">
        <v>34805</v>
      </c>
      <c r="I9771" s="20">
        <v>19.419</v>
      </c>
      <c r="J9771" s="44" t="s">
        <v>8</v>
      </c>
      <c r="K9771" s="23" t="s">
        <v>8</v>
      </c>
      <c r="L9771" s="23" t="s">
        <v>8</v>
      </c>
      <c r="M9771" s="23" t="s">
        <v>8</v>
      </c>
    </row>
    <row r="9772" spans="1:13" s="21" customFormat="1" x14ac:dyDescent="0.25">
      <c r="A9772" s="22" t="s">
        <v>8</v>
      </c>
      <c r="B9772" s="18" t="str">
        <f>"365271"</f>
        <v>365271</v>
      </c>
      <c r="C9772" s="19" t="s">
        <v>9631</v>
      </c>
      <c r="D9772" s="19" t="s">
        <v>25183</v>
      </c>
      <c r="E9772" s="19" t="s">
        <v>34436</v>
      </c>
      <c r="F9772" s="19" t="s">
        <v>36009</v>
      </c>
      <c r="G9772" s="18" t="str">
        <f>"43952"</f>
        <v>43952</v>
      </c>
      <c r="H9772" s="19" t="s">
        <v>32391</v>
      </c>
      <c r="I9772" s="20">
        <v>20.306000000000001</v>
      </c>
      <c r="J9772" s="44" t="s">
        <v>8</v>
      </c>
      <c r="K9772" s="23" t="s">
        <v>8</v>
      </c>
      <c r="L9772" s="23" t="s">
        <v>8</v>
      </c>
      <c r="M9772" s="23" t="s">
        <v>8</v>
      </c>
    </row>
    <row r="9773" spans="1:13" s="21" customFormat="1" x14ac:dyDescent="0.25">
      <c r="A9773" s="22" t="s">
        <v>8</v>
      </c>
      <c r="B9773" s="18" t="str">
        <f>"365272"</f>
        <v>365272</v>
      </c>
      <c r="C9773" s="19" t="s">
        <v>9632</v>
      </c>
      <c r="D9773" s="19" t="s">
        <v>25184</v>
      </c>
      <c r="E9773" s="19" t="s">
        <v>31715</v>
      </c>
      <c r="F9773" s="19" t="s">
        <v>36009</v>
      </c>
      <c r="G9773" s="18" t="str">
        <f>"43214"</f>
        <v>43214</v>
      </c>
      <c r="H9773" s="19" t="s">
        <v>5</v>
      </c>
      <c r="I9773" s="20">
        <v>19.053000000000001</v>
      </c>
      <c r="J9773" s="44" t="s">
        <v>8</v>
      </c>
      <c r="K9773" s="23" t="s">
        <v>8</v>
      </c>
      <c r="L9773" s="23" t="s">
        <v>8</v>
      </c>
      <c r="M9773" s="23" t="s">
        <v>8</v>
      </c>
    </row>
    <row r="9774" spans="1:13" s="21" customFormat="1" x14ac:dyDescent="0.25">
      <c r="A9774" s="22" t="s">
        <v>8</v>
      </c>
      <c r="B9774" s="18" t="str">
        <f>"365275"</f>
        <v>365275</v>
      </c>
      <c r="C9774" s="19" t="s">
        <v>9633</v>
      </c>
      <c r="D9774" s="19" t="s">
        <v>25185</v>
      </c>
      <c r="E9774" s="19" t="s">
        <v>34421</v>
      </c>
      <c r="F9774" s="19" t="s">
        <v>36009</v>
      </c>
      <c r="G9774" s="18" t="str">
        <f>"44504"</f>
        <v>44504</v>
      </c>
      <c r="H9774" s="19" t="s">
        <v>36674</v>
      </c>
      <c r="I9774" s="20">
        <v>20.86</v>
      </c>
      <c r="J9774" s="44" t="s">
        <v>8</v>
      </c>
      <c r="K9774" s="23" t="s">
        <v>8</v>
      </c>
      <c r="L9774" s="23" t="s">
        <v>8</v>
      </c>
      <c r="M9774" s="23" t="s">
        <v>8</v>
      </c>
    </row>
    <row r="9775" spans="1:13" s="21" customFormat="1" x14ac:dyDescent="0.25">
      <c r="A9775" s="22" t="s">
        <v>8</v>
      </c>
      <c r="B9775" s="18" t="str">
        <f>"365277"</f>
        <v>365277</v>
      </c>
      <c r="C9775" s="19" t="s">
        <v>9634</v>
      </c>
      <c r="D9775" s="19" t="s">
        <v>25186</v>
      </c>
      <c r="E9775" s="19" t="s">
        <v>30804</v>
      </c>
      <c r="F9775" s="19" t="s">
        <v>36009</v>
      </c>
      <c r="G9775" s="18" t="str">
        <f>"45013"</f>
        <v>45013</v>
      </c>
      <c r="H9775" s="19" t="s">
        <v>30876</v>
      </c>
      <c r="I9775" s="20">
        <v>24.92</v>
      </c>
      <c r="J9775" s="44" t="s">
        <v>8</v>
      </c>
      <c r="K9775" s="23" t="s">
        <v>8</v>
      </c>
      <c r="L9775" s="23" t="s">
        <v>8</v>
      </c>
      <c r="M9775" s="23" t="s">
        <v>8</v>
      </c>
    </row>
    <row r="9776" spans="1:13" s="21" customFormat="1" x14ac:dyDescent="0.25">
      <c r="A9776" s="22" t="s">
        <v>8</v>
      </c>
      <c r="B9776" s="18" t="str">
        <f>"365278"</f>
        <v>365278</v>
      </c>
      <c r="C9776" s="19" t="s">
        <v>9635</v>
      </c>
      <c r="D9776" s="19" t="s">
        <v>25187</v>
      </c>
      <c r="E9776" s="19" t="s">
        <v>30815</v>
      </c>
      <c r="F9776" s="19" t="s">
        <v>36009</v>
      </c>
      <c r="G9776" s="18" t="str">
        <f>"45373"</f>
        <v>45373</v>
      </c>
      <c r="H9776" s="19" t="s">
        <v>31507</v>
      </c>
      <c r="I9776" s="20">
        <v>17.698</v>
      </c>
      <c r="J9776" s="44" t="s">
        <v>8</v>
      </c>
      <c r="K9776" s="23" t="s">
        <v>8</v>
      </c>
      <c r="L9776" s="23" t="s">
        <v>8</v>
      </c>
      <c r="M9776" s="23" t="s">
        <v>8</v>
      </c>
    </row>
    <row r="9777" spans="1:13" s="21" customFormat="1" x14ac:dyDescent="0.25">
      <c r="A9777" s="22" t="s">
        <v>8</v>
      </c>
      <c r="B9777" s="18" t="str">
        <f>"365279"</f>
        <v>365279</v>
      </c>
      <c r="C9777" s="19" t="s">
        <v>9636</v>
      </c>
      <c r="D9777" s="19" t="s">
        <v>25188</v>
      </c>
      <c r="E9777" s="19" t="s">
        <v>32505</v>
      </c>
      <c r="F9777" s="19" t="s">
        <v>36009</v>
      </c>
      <c r="G9777" s="18" t="str">
        <f>"43612"</f>
        <v>43612</v>
      </c>
      <c r="H9777" s="19" t="s">
        <v>36287</v>
      </c>
      <c r="I9777" s="20">
        <v>17.992999999999999</v>
      </c>
      <c r="J9777" s="44" t="s">
        <v>8</v>
      </c>
      <c r="K9777" s="23" t="s">
        <v>8</v>
      </c>
      <c r="L9777" s="23" t="s">
        <v>8</v>
      </c>
      <c r="M9777" s="23" t="s">
        <v>8</v>
      </c>
    </row>
    <row r="9778" spans="1:13" s="21" customFormat="1" x14ac:dyDescent="0.25">
      <c r="A9778" s="22" t="s">
        <v>8</v>
      </c>
      <c r="B9778" s="18" t="str">
        <f>"365284"</f>
        <v>365284</v>
      </c>
      <c r="C9778" s="19" t="s">
        <v>9637</v>
      </c>
      <c r="D9778" s="19" t="s">
        <v>25189</v>
      </c>
      <c r="E9778" s="19" t="s">
        <v>33565</v>
      </c>
      <c r="F9778" s="19" t="s">
        <v>36009</v>
      </c>
      <c r="G9778" s="18" t="str">
        <f>"44875"</f>
        <v>44875</v>
      </c>
      <c r="H9778" s="19" t="s">
        <v>31785</v>
      </c>
      <c r="I9778" s="20">
        <v>17.446999999999999</v>
      </c>
      <c r="J9778" s="44" t="s">
        <v>8</v>
      </c>
      <c r="K9778" s="23" t="s">
        <v>8</v>
      </c>
      <c r="L9778" s="23" t="s">
        <v>8</v>
      </c>
      <c r="M9778" s="23" t="s">
        <v>8</v>
      </c>
    </row>
    <row r="9779" spans="1:13" s="21" customFormat="1" x14ac:dyDescent="0.25">
      <c r="A9779" s="22" t="s">
        <v>8</v>
      </c>
      <c r="B9779" s="18" t="str">
        <f>"365286"</f>
        <v>365286</v>
      </c>
      <c r="C9779" s="19" t="s">
        <v>9638</v>
      </c>
      <c r="D9779" s="19" t="s">
        <v>25190</v>
      </c>
      <c r="E9779" s="19" t="s">
        <v>34437</v>
      </c>
      <c r="F9779" s="19" t="s">
        <v>36009</v>
      </c>
      <c r="G9779" s="18" t="str">
        <f>"44004"</f>
        <v>44004</v>
      </c>
      <c r="H9779" s="19" t="s">
        <v>34437</v>
      </c>
      <c r="I9779" s="20">
        <v>19.074000000000002</v>
      </c>
      <c r="J9779" s="44" t="s">
        <v>8</v>
      </c>
      <c r="K9779" s="23" t="s">
        <v>8</v>
      </c>
      <c r="L9779" s="23" t="s">
        <v>8</v>
      </c>
      <c r="M9779" s="23" t="s">
        <v>8</v>
      </c>
    </row>
    <row r="9780" spans="1:13" s="21" customFormat="1" x14ac:dyDescent="0.25">
      <c r="A9780" s="22" t="s">
        <v>8</v>
      </c>
      <c r="B9780" s="18" t="str">
        <f>"365287"</f>
        <v>365287</v>
      </c>
      <c r="C9780" s="19" t="s">
        <v>9639</v>
      </c>
      <c r="D9780" s="19" t="s">
        <v>25191</v>
      </c>
      <c r="E9780" s="19" t="s">
        <v>34438</v>
      </c>
      <c r="F9780" s="19" t="s">
        <v>36009</v>
      </c>
      <c r="G9780" s="18" t="str">
        <f>"44221"</f>
        <v>44221</v>
      </c>
      <c r="H9780" s="19" t="s">
        <v>36107</v>
      </c>
      <c r="I9780" s="20">
        <v>18.824999999999999</v>
      </c>
      <c r="J9780" s="44" t="s">
        <v>8</v>
      </c>
      <c r="K9780" s="23" t="s">
        <v>8</v>
      </c>
      <c r="L9780" s="23" t="s">
        <v>8</v>
      </c>
      <c r="M9780" s="23" t="s">
        <v>8</v>
      </c>
    </row>
    <row r="9781" spans="1:13" s="21" customFormat="1" x14ac:dyDescent="0.25">
      <c r="A9781" s="22" t="s">
        <v>8</v>
      </c>
      <c r="B9781" s="18" t="str">
        <f>"365289"</f>
        <v>365289</v>
      </c>
      <c r="C9781" s="19" t="s">
        <v>9640</v>
      </c>
      <c r="D9781" s="19" t="s">
        <v>25192</v>
      </c>
      <c r="E9781" s="19" t="s">
        <v>34439</v>
      </c>
      <c r="F9781" s="19" t="s">
        <v>36009</v>
      </c>
      <c r="G9781" s="18" t="str">
        <f>"44646"</f>
        <v>44646</v>
      </c>
      <c r="H9781" s="19" t="s">
        <v>36240</v>
      </c>
      <c r="I9781" s="20">
        <v>18.135999999999999</v>
      </c>
      <c r="J9781" s="44" t="s">
        <v>8</v>
      </c>
      <c r="K9781" s="23" t="s">
        <v>8</v>
      </c>
      <c r="L9781" s="23" t="s">
        <v>8</v>
      </c>
      <c r="M9781" s="23" t="s">
        <v>8</v>
      </c>
    </row>
    <row r="9782" spans="1:13" s="21" customFormat="1" x14ac:dyDescent="0.25">
      <c r="A9782" s="22" t="s">
        <v>8</v>
      </c>
      <c r="B9782" s="18" t="str">
        <f>"365290"</f>
        <v>365290</v>
      </c>
      <c r="C9782" s="19" t="s">
        <v>9641</v>
      </c>
      <c r="D9782" s="19" t="s">
        <v>25193</v>
      </c>
      <c r="E9782" s="19" t="s">
        <v>34440</v>
      </c>
      <c r="F9782" s="19" t="s">
        <v>36009</v>
      </c>
      <c r="G9782" s="18" t="str">
        <f>"44094"</f>
        <v>44094</v>
      </c>
      <c r="H9782" s="19" t="s">
        <v>36096</v>
      </c>
      <c r="I9782" s="20">
        <v>21.029</v>
      </c>
      <c r="J9782" s="44" t="s">
        <v>8</v>
      </c>
      <c r="K9782" s="23" t="s">
        <v>8</v>
      </c>
      <c r="L9782" s="23" t="s">
        <v>8</v>
      </c>
      <c r="M9782" s="23" t="s">
        <v>8</v>
      </c>
    </row>
    <row r="9783" spans="1:13" s="21" customFormat="1" x14ac:dyDescent="0.25">
      <c r="A9783" s="22" t="s">
        <v>8</v>
      </c>
      <c r="B9783" s="18" t="str">
        <f>"365291"</f>
        <v>365291</v>
      </c>
      <c r="C9783" s="19" t="s">
        <v>9642</v>
      </c>
      <c r="D9783" s="19" t="s">
        <v>25194</v>
      </c>
      <c r="E9783" s="19" t="s">
        <v>31791</v>
      </c>
      <c r="F9783" s="19" t="s">
        <v>36009</v>
      </c>
      <c r="G9783" s="18" t="str">
        <f>"44708"</f>
        <v>44708</v>
      </c>
      <c r="H9783" s="19" t="s">
        <v>36240</v>
      </c>
      <c r="I9783" s="20">
        <v>18.074000000000002</v>
      </c>
      <c r="J9783" s="44" t="s">
        <v>8</v>
      </c>
      <c r="K9783" s="23" t="s">
        <v>8</v>
      </c>
      <c r="L9783" s="23" t="s">
        <v>8</v>
      </c>
      <c r="M9783" s="23" t="s">
        <v>8</v>
      </c>
    </row>
    <row r="9784" spans="1:13" s="21" customFormat="1" x14ac:dyDescent="0.25">
      <c r="A9784" s="22" t="s">
        <v>8</v>
      </c>
      <c r="B9784" s="18" t="str">
        <f>"365292"</f>
        <v>365292</v>
      </c>
      <c r="C9784" s="19" t="s">
        <v>9643</v>
      </c>
      <c r="D9784" s="19" t="s">
        <v>25195</v>
      </c>
      <c r="E9784" s="19" t="s">
        <v>34439</v>
      </c>
      <c r="F9784" s="19" t="s">
        <v>36009</v>
      </c>
      <c r="G9784" s="18" t="str">
        <f>"44646"</f>
        <v>44646</v>
      </c>
      <c r="H9784" s="19" t="s">
        <v>36240</v>
      </c>
      <c r="I9784" s="20">
        <v>18.768999999999998</v>
      </c>
      <c r="J9784" s="44" t="s">
        <v>8</v>
      </c>
      <c r="K9784" s="23" t="s">
        <v>8</v>
      </c>
      <c r="L9784" s="23" t="s">
        <v>8</v>
      </c>
      <c r="M9784" s="23" t="s">
        <v>8</v>
      </c>
    </row>
    <row r="9785" spans="1:13" s="21" customFormat="1" x14ac:dyDescent="0.25">
      <c r="A9785" s="22" t="s">
        <v>8</v>
      </c>
      <c r="B9785" s="18" t="str">
        <f>"365293"</f>
        <v>365293</v>
      </c>
      <c r="C9785" s="19" t="s">
        <v>9644</v>
      </c>
      <c r="D9785" s="19" t="s">
        <v>25196</v>
      </c>
      <c r="E9785" s="19" t="s">
        <v>34412</v>
      </c>
      <c r="F9785" s="19" t="s">
        <v>36009</v>
      </c>
      <c r="G9785" s="18" t="str">
        <f>"45230"</f>
        <v>45230</v>
      </c>
      <c r="H9785" s="19" t="s">
        <v>30804</v>
      </c>
      <c r="I9785" s="20">
        <v>19.239999999999998</v>
      </c>
      <c r="J9785" s="44" t="s">
        <v>8</v>
      </c>
      <c r="K9785" s="23" t="s">
        <v>8</v>
      </c>
      <c r="L9785" s="23" t="s">
        <v>8</v>
      </c>
      <c r="M9785" s="23" t="s">
        <v>8</v>
      </c>
    </row>
    <row r="9786" spans="1:13" s="21" customFormat="1" x14ac:dyDescent="0.25">
      <c r="A9786" s="22" t="s">
        <v>8</v>
      </c>
      <c r="B9786" s="18" t="str">
        <f>"365295"</f>
        <v>365295</v>
      </c>
      <c r="C9786" s="19" t="s">
        <v>9645</v>
      </c>
      <c r="D9786" s="19" t="s">
        <v>25197</v>
      </c>
      <c r="E9786" s="19" t="s">
        <v>34441</v>
      </c>
      <c r="F9786" s="19" t="s">
        <v>36009</v>
      </c>
      <c r="G9786" s="18" t="str">
        <f>"43113"</f>
        <v>43113</v>
      </c>
      <c r="H9786" s="19" t="s">
        <v>36677</v>
      </c>
      <c r="I9786" s="20">
        <v>18.146000000000001</v>
      </c>
      <c r="J9786" s="44" t="s">
        <v>8</v>
      </c>
      <c r="K9786" s="23" t="s">
        <v>8</v>
      </c>
      <c r="L9786" s="23" t="s">
        <v>8</v>
      </c>
      <c r="M9786" s="23" t="s">
        <v>8</v>
      </c>
    </row>
    <row r="9787" spans="1:13" s="21" customFormat="1" x14ac:dyDescent="0.25">
      <c r="A9787" s="22" t="s">
        <v>8</v>
      </c>
      <c r="B9787" s="18" t="str">
        <f>"365296"</f>
        <v>365296</v>
      </c>
      <c r="C9787" s="19" t="s">
        <v>9646</v>
      </c>
      <c r="D9787" s="19" t="s">
        <v>25198</v>
      </c>
      <c r="E9787" s="19" t="s">
        <v>31375</v>
      </c>
      <c r="F9787" s="19" t="s">
        <v>36009</v>
      </c>
      <c r="G9787" s="18" t="str">
        <f>"44313"</f>
        <v>44313</v>
      </c>
      <c r="H9787" s="19" t="s">
        <v>36107</v>
      </c>
      <c r="I9787" s="20">
        <v>18.475000000000001</v>
      </c>
      <c r="J9787" s="44" t="s">
        <v>8</v>
      </c>
      <c r="K9787" s="23" t="s">
        <v>8</v>
      </c>
      <c r="L9787" s="23" t="s">
        <v>8</v>
      </c>
      <c r="M9787" s="23" t="s">
        <v>8</v>
      </c>
    </row>
    <row r="9788" spans="1:13" s="21" customFormat="1" x14ac:dyDescent="0.25">
      <c r="A9788" s="22" t="s">
        <v>8</v>
      </c>
      <c r="B9788" s="18" t="str">
        <f>"365297"</f>
        <v>365297</v>
      </c>
      <c r="C9788" s="19" t="s">
        <v>9647</v>
      </c>
      <c r="D9788" s="19" t="s">
        <v>25199</v>
      </c>
      <c r="E9788" s="19" t="s">
        <v>32515</v>
      </c>
      <c r="F9788" s="19" t="s">
        <v>36009</v>
      </c>
      <c r="G9788" s="18" t="str">
        <f>"45365"</f>
        <v>45365</v>
      </c>
      <c r="H9788" s="19" t="s">
        <v>33565</v>
      </c>
      <c r="I9788" s="20">
        <v>18.591000000000001</v>
      </c>
      <c r="J9788" s="44" t="s">
        <v>8</v>
      </c>
      <c r="K9788" s="23" t="s">
        <v>8</v>
      </c>
      <c r="L9788" s="23" t="s">
        <v>8</v>
      </c>
      <c r="M9788" s="23" t="s">
        <v>8</v>
      </c>
    </row>
    <row r="9789" spans="1:13" s="21" customFormat="1" x14ac:dyDescent="0.25">
      <c r="A9789" s="22" t="s">
        <v>8</v>
      </c>
      <c r="B9789" s="18" t="str">
        <f>"365298"</f>
        <v>365298</v>
      </c>
      <c r="C9789" s="19" t="s">
        <v>9648</v>
      </c>
      <c r="D9789" s="19" t="s">
        <v>25200</v>
      </c>
      <c r="E9789" s="19" t="s">
        <v>31948</v>
      </c>
      <c r="F9789" s="19" t="s">
        <v>36009</v>
      </c>
      <c r="G9789" s="18" t="str">
        <f>"44446"</f>
        <v>44446</v>
      </c>
      <c r="H9789" s="19" t="s">
        <v>31393</v>
      </c>
      <c r="I9789" s="20">
        <v>20.169</v>
      </c>
      <c r="J9789" s="44" t="s">
        <v>8</v>
      </c>
      <c r="K9789" s="23" t="s">
        <v>8</v>
      </c>
      <c r="L9789" s="23" t="s">
        <v>8</v>
      </c>
      <c r="M9789" s="23" t="s">
        <v>8</v>
      </c>
    </row>
    <row r="9790" spans="1:13" s="21" customFormat="1" x14ac:dyDescent="0.25">
      <c r="A9790" s="22" t="s">
        <v>8</v>
      </c>
      <c r="B9790" s="18" t="str">
        <f>"365300"</f>
        <v>365300</v>
      </c>
      <c r="C9790" s="19" t="s">
        <v>9649</v>
      </c>
      <c r="D9790" s="19" t="s">
        <v>25201</v>
      </c>
      <c r="E9790" s="19" t="s">
        <v>31478</v>
      </c>
      <c r="F9790" s="19" t="s">
        <v>36009</v>
      </c>
      <c r="G9790" s="18" t="str">
        <f>"44240"</f>
        <v>44240</v>
      </c>
      <c r="H9790" s="19" t="s">
        <v>32230</v>
      </c>
      <c r="I9790" s="20">
        <v>18.692</v>
      </c>
      <c r="J9790" s="44" t="s">
        <v>8</v>
      </c>
      <c r="K9790" s="23" t="s">
        <v>8</v>
      </c>
      <c r="L9790" s="23" t="s">
        <v>8</v>
      </c>
      <c r="M9790" s="23" t="s">
        <v>8</v>
      </c>
    </row>
    <row r="9791" spans="1:13" s="21" customFormat="1" x14ac:dyDescent="0.25">
      <c r="A9791" s="22" t="s">
        <v>8</v>
      </c>
      <c r="B9791" s="18" t="str">
        <f>"365303"</f>
        <v>365303</v>
      </c>
      <c r="C9791" s="19" t="s">
        <v>9650</v>
      </c>
      <c r="D9791" s="19" t="s">
        <v>25202</v>
      </c>
      <c r="E9791" s="19" t="s">
        <v>34426</v>
      </c>
      <c r="F9791" s="19" t="s">
        <v>36009</v>
      </c>
      <c r="G9791" s="18" t="str">
        <f>"45801"</f>
        <v>45801</v>
      </c>
      <c r="H9791" s="19" t="s">
        <v>34710</v>
      </c>
      <c r="I9791" s="20">
        <v>18.492000000000001</v>
      </c>
      <c r="J9791" s="44" t="s">
        <v>8</v>
      </c>
      <c r="K9791" s="23" t="s">
        <v>8</v>
      </c>
      <c r="L9791" s="23" t="s">
        <v>8</v>
      </c>
      <c r="M9791" s="23" t="s">
        <v>8</v>
      </c>
    </row>
    <row r="9792" spans="1:13" s="21" customFormat="1" x14ac:dyDescent="0.25">
      <c r="A9792" s="22" t="s">
        <v>8</v>
      </c>
      <c r="B9792" s="18" t="str">
        <f>"365304"</f>
        <v>365304</v>
      </c>
      <c r="C9792" s="19" t="s">
        <v>9651</v>
      </c>
      <c r="D9792" s="19" t="s">
        <v>25203</v>
      </c>
      <c r="E9792" s="19" t="s">
        <v>34412</v>
      </c>
      <c r="F9792" s="19" t="s">
        <v>36009</v>
      </c>
      <c r="G9792" s="18" t="str">
        <f>"45220"</f>
        <v>45220</v>
      </c>
      <c r="H9792" s="19" t="s">
        <v>30804</v>
      </c>
      <c r="I9792" s="20">
        <v>19.478999999999999</v>
      </c>
      <c r="J9792" s="44" t="s">
        <v>8</v>
      </c>
      <c r="K9792" s="23" t="s">
        <v>8</v>
      </c>
      <c r="L9792" s="23" t="s">
        <v>8</v>
      </c>
      <c r="M9792" s="23" t="s">
        <v>8</v>
      </c>
    </row>
    <row r="9793" spans="1:13" s="21" customFormat="1" x14ac:dyDescent="0.25">
      <c r="A9793" s="22" t="s">
        <v>8</v>
      </c>
      <c r="B9793" s="18" t="str">
        <f>"365305"</f>
        <v>365305</v>
      </c>
      <c r="C9793" s="19" t="s">
        <v>9652</v>
      </c>
      <c r="D9793" s="19" t="s">
        <v>25204</v>
      </c>
      <c r="E9793" s="19" t="s">
        <v>34442</v>
      </c>
      <c r="F9793" s="19" t="s">
        <v>36009</v>
      </c>
      <c r="G9793" s="18" t="str">
        <f>"44094"</f>
        <v>44094</v>
      </c>
      <c r="H9793" s="19" t="s">
        <v>36096</v>
      </c>
      <c r="I9793" s="20">
        <v>19.594000000000001</v>
      </c>
      <c r="J9793" s="44" t="s">
        <v>8</v>
      </c>
      <c r="K9793" s="23" t="s">
        <v>8</v>
      </c>
      <c r="L9793" s="23" t="s">
        <v>8</v>
      </c>
      <c r="M9793" s="23" t="s">
        <v>8</v>
      </c>
    </row>
    <row r="9794" spans="1:13" s="21" customFormat="1" x14ac:dyDescent="0.25">
      <c r="A9794" s="22" t="s">
        <v>8</v>
      </c>
      <c r="B9794" s="18" t="str">
        <f>"365306"</f>
        <v>365306</v>
      </c>
      <c r="C9794" s="19" t="s">
        <v>9653</v>
      </c>
      <c r="D9794" s="19" t="s">
        <v>25205</v>
      </c>
      <c r="E9794" s="19" t="s">
        <v>30899</v>
      </c>
      <c r="F9794" s="19" t="s">
        <v>36009</v>
      </c>
      <c r="G9794" s="18" t="str">
        <f>"44057"</f>
        <v>44057</v>
      </c>
      <c r="H9794" s="19" t="s">
        <v>36096</v>
      </c>
      <c r="I9794" s="20">
        <v>17.911999999999999</v>
      </c>
      <c r="J9794" s="44" t="s">
        <v>8</v>
      </c>
      <c r="K9794" s="23" t="s">
        <v>8</v>
      </c>
      <c r="L9794" s="23" t="s">
        <v>8</v>
      </c>
      <c r="M9794" s="23" t="s">
        <v>8</v>
      </c>
    </row>
    <row r="9795" spans="1:13" s="21" customFormat="1" x14ac:dyDescent="0.25">
      <c r="A9795" s="22" t="s">
        <v>8</v>
      </c>
      <c r="B9795" s="18" t="str">
        <f>"365309"</f>
        <v>365309</v>
      </c>
      <c r="C9795" s="19" t="s">
        <v>6260</v>
      </c>
      <c r="D9795" s="19" t="s">
        <v>25206</v>
      </c>
      <c r="E9795" s="19" t="s">
        <v>32369</v>
      </c>
      <c r="F9795" s="19" t="s">
        <v>36009</v>
      </c>
      <c r="G9795" s="18" t="str">
        <f>"45426"</f>
        <v>45426</v>
      </c>
      <c r="H9795" s="19" t="s">
        <v>30833</v>
      </c>
      <c r="I9795" s="20">
        <v>21.021000000000001</v>
      </c>
      <c r="J9795" s="44" t="s">
        <v>8</v>
      </c>
      <c r="K9795" s="23" t="s">
        <v>8</v>
      </c>
      <c r="L9795" s="23" t="s">
        <v>8</v>
      </c>
      <c r="M9795" s="23" t="s">
        <v>8</v>
      </c>
    </row>
    <row r="9796" spans="1:13" s="21" customFormat="1" x14ac:dyDescent="0.25">
      <c r="A9796" s="22" t="s">
        <v>8</v>
      </c>
      <c r="B9796" s="18" t="str">
        <f>"365310"</f>
        <v>365310</v>
      </c>
      <c r="C9796" s="19" t="s">
        <v>9654</v>
      </c>
      <c r="D9796" s="19" t="s">
        <v>25207</v>
      </c>
      <c r="E9796" s="19" t="s">
        <v>34443</v>
      </c>
      <c r="F9796" s="19" t="s">
        <v>36009</v>
      </c>
      <c r="G9796" s="18" t="str">
        <f>"44070"</f>
        <v>44070</v>
      </c>
      <c r="H9796" s="19" t="s">
        <v>36671</v>
      </c>
      <c r="I9796" s="20">
        <v>20.378</v>
      </c>
      <c r="J9796" s="44" t="s">
        <v>8</v>
      </c>
      <c r="K9796" s="23" t="s">
        <v>8</v>
      </c>
      <c r="L9796" s="23" t="s">
        <v>8</v>
      </c>
      <c r="M9796" s="23" t="s">
        <v>8</v>
      </c>
    </row>
    <row r="9797" spans="1:13" s="21" customFormat="1" x14ac:dyDescent="0.25">
      <c r="A9797" s="22" t="s">
        <v>8</v>
      </c>
      <c r="B9797" s="18" t="str">
        <f>"365313"</f>
        <v>365313</v>
      </c>
      <c r="C9797" s="19" t="s">
        <v>1636</v>
      </c>
      <c r="D9797" s="19" t="s">
        <v>25208</v>
      </c>
      <c r="E9797" s="19" t="s">
        <v>33852</v>
      </c>
      <c r="F9797" s="19" t="s">
        <v>36009</v>
      </c>
      <c r="G9797" s="18" t="str">
        <f>"45662"</f>
        <v>45662</v>
      </c>
      <c r="H9797" s="19" t="s">
        <v>36678</v>
      </c>
      <c r="I9797" s="20">
        <v>22.181999999999999</v>
      </c>
      <c r="J9797" s="44" t="s">
        <v>8</v>
      </c>
      <c r="K9797" s="23" t="s">
        <v>8</v>
      </c>
      <c r="L9797" s="23" t="s">
        <v>8</v>
      </c>
      <c r="M9797" s="23" t="s">
        <v>8</v>
      </c>
    </row>
    <row r="9798" spans="1:13" s="21" customFormat="1" x14ac:dyDescent="0.25">
      <c r="A9798" s="22" t="s">
        <v>8</v>
      </c>
      <c r="B9798" s="18" t="str">
        <f>"365315"</f>
        <v>365315</v>
      </c>
      <c r="C9798" s="19" t="s">
        <v>9655</v>
      </c>
      <c r="D9798" s="19" t="s">
        <v>25209</v>
      </c>
      <c r="E9798" s="19" t="s">
        <v>31715</v>
      </c>
      <c r="F9798" s="19" t="s">
        <v>36009</v>
      </c>
      <c r="G9798" s="18" t="str">
        <f>"43215"</f>
        <v>43215</v>
      </c>
      <c r="H9798" s="19" t="s">
        <v>5</v>
      </c>
      <c r="I9798" s="20">
        <v>19.893999999999998</v>
      </c>
      <c r="J9798" s="44" t="s">
        <v>8</v>
      </c>
      <c r="K9798" s="23" t="s">
        <v>8</v>
      </c>
      <c r="L9798" s="23" t="s">
        <v>8</v>
      </c>
      <c r="M9798" s="23" t="s">
        <v>8</v>
      </c>
    </row>
    <row r="9799" spans="1:13" s="21" customFormat="1" x14ac:dyDescent="0.25">
      <c r="A9799" s="22" t="s">
        <v>8</v>
      </c>
      <c r="B9799" s="18" t="str">
        <f>"365316"</f>
        <v>365316</v>
      </c>
      <c r="C9799" s="19" t="s">
        <v>9656</v>
      </c>
      <c r="D9799" s="19" t="s">
        <v>25210</v>
      </c>
      <c r="E9799" s="19" t="s">
        <v>31375</v>
      </c>
      <c r="F9799" s="19" t="s">
        <v>36009</v>
      </c>
      <c r="G9799" s="18" t="str">
        <f>"44313"</f>
        <v>44313</v>
      </c>
      <c r="H9799" s="19" t="s">
        <v>36107</v>
      </c>
      <c r="I9799" s="20">
        <v>16.173999999999999</v>
      </c>
      <c r="J9799" s="44" t="s">
        <v>8</v>
      </c>
      <c r="K9799" s="23" t="s">
        <v>8</v>
      </c>
      <c r="L9799" s="23" t="s">
        <v>8</v>
      </c>
      <c r="M9799" s="23" t="s">
        <v>8</v>
      </c>
    </row>
    <row r="9800" spans="1:13" s="21" customFormat="1" x14ac:dyDescent="0.25">
      <c r="A9800" s="22" t="s">
        <v>8</v>
      </c>
      <c r="B9800" s="18" t="str">
        <f>"365317"</f>
        <v>365317</v>
      </c>
      <c r="C9800" s="19" t="s">
        <v>9657</v>
      </c>
      <c r="D9800" s="19" t="s">
        <v>25211</v>
      </c>
      <c r="E9800" s="19" t="s">
        <v>34444</v>
      </c>
      <c r="F9800" s="19" t="s">
        <v>36009</v>
      </c>
      <c r="G9800" s="18" t="str">
        <f>"44691"</f>
        <v>44691</v>
      </c>
      <c r="H9800" s="19" t="s">
        <v>33280</v>
      </c>
      <c r="I9800" s="20">
        <v>20.231999999999999</v>
      </c>
      <c r="J9800" s="44" t="s">
        <v>8</v>
      </c>
      <c r="K9800" s="23" t="s">
        <v>8</v>
      </c>
      <c r="L9800" s="23" t="s">
        <v>8</v>
      </c>
      <c r="M9800" s="23" t="s">
        <v>8</v>
      </c>
    </row>
    <row r="9801" spans="1:13" s="21" customFormat="1" x14ac:dyDescent="0.25">
      <c r="A9801" s="22" t="s">
        <v>8</v>
      </c>
      <c r="B9801" s="18" t="str">
        <f>"365318"</f>
        <v>365318</v>
      </c>
      <c r="C9801" s="19" t="s">
        <v>9658</v>
      </c>
      <c r="D9801" s="19" t="s">
        <v>25212</v>
      </c>
      <c r="E9801" s="19" t="s">
        <v>34445</v>
      </c>
      <c r="F9801" s="19" t="s">
        <v>36009</v>
      </c>
      <c r="G9801" s="18" t="str">
        <f>"43160"</f>
        <v>43160</v>
      </c>
      <c r="H9801" s="19" t="s">
        <v>30805</v>
      </c>
      <c r="I9801" s="20">
        <v>19.824000000000002</v>
      </c>
      <c r="J9801" s="44" t="s">
        <v>8</v>
      </c>
      <c r="K9801" s="23" t="s">
        <v>8</v>
      </c>
      <c r="L9801" s="23" t="s">
        <v>8</v>
      </c>
      <c r="M9801" s="23" t="s">
        <v>8</v>
      </c>
    </row>
    <row r="9802" spans="1:13" s="21" customFormat="1" x14ac:dyDescent="0.25">
      <c r="A9802" s="22" t="s">
        <v>8</v>
      </c>
      <c r="B9802" s="18" t="str">
        <f>"365320"</f>
        <v>365320</v>
      </c>
      <c r="C9802" s="19" t="s">
        <v>9659</v>
      </c>
      <c r="D9802" s="19" t="s">
        <v>25213</v>
      </c>
      <c r="E9802" s="19" t="s">
        <v>31375</v>
      </c>
      <c r="F9802" s="19" t="s">
        <v>36009</v>
      </c>
      <c r="G9802" s="18" t="str">
        <f>"44321"</f>
        <v>44321</v>
      </c>
      <c r="H9802" s="19" t="s">
        <v>36107</v>
      </c>
      <c r="I9802" s="20">
        <v>20.725000000000001</v>
      </c>
      <c r="J9802" s="44" t="s">
        <v>8</v>
      </c>
      <c r="K9802" s="23" t="s">
        <v>8</v>
      </c>
      <c r="L9802" s="23" t="s">
        <v>8</v>
      </c>
      <c r="M9802" s="23" t="s">
        <v>8</v>
      </c>
    </row>
    <row r="9803" spans="1:13" s="21" customFormat="1" x14ac:dyDescent="0.25">
      <c r="A9803" s="22" t="s">
        <v>8</v>
      </c>
      <c r="B9803" s="18" t="str">
        <f>"365321"</f>
        <v>365321</v>
      </c>
      <c r="C9803" s="19" t="s">
        <v>9660</v>
      </c>
      <c r="D9803" s="19" t="s">
        <v>25214</v>
      </c>
      <c r="E9803" s="19" t="s">
        <v>34446</v>
      </c>
      <c r="F9803" s="19" t="s">
        <v>36009</v>
      </c>
      <c r="G9803" s="18" t="str">
        <f>"45409"</f>
        <v>45409</v>
      </c>
      <c r="H9803" s="19" t="s">
        <v>30833</v>
      </c>
      <c r="I9803" s="20">
        <v>19.501999999999999</v>
      </c>
      <c r="J9803" s="44" t="s">
        <v>8</v>
      </c>
      <c r="K9803" s="23" t="s">
        <v>8</v>
      </c>
      <c r="L9803" s="23" t="s">
        <v>8</v>
      </c>
      <c r="M9803" s="23" t="s">
        <v>8</v>
      </c>
    </row>
    <row r="9804" spans="1:13" s="21" customFormat="1" x14ac:dyDescent="0.25">
      <c r="A9804" s="22" t="s">
        <v>8</v>
      </c>
      <c r="B9804" s="18" t="str">
        <f>"365322"</f>
        <v>365322</v>
      </c>
      <c r="C9804" s="19" t="s">
        <v>9661</v>
      </c>
      <c r="D9804" s="19" t="s">
        <v>25215</v>
      </c>
      <c r="E9804" s="19" t="s">
        <v>32369</v>
      </c>
      <c r="F9804" s="19" t="s">
        <v>36009</v>
      </c>
      <c r="G9804" s="18" t="str">
        <f>"45416"</f>
        <v>45416</v>
      </c>
      <c r="H9804" s="19" t="s">
        <v>30833</v>
      </c>
      <c r="I9804" s="20">
        <v>16.448</v>
      </c>
      <c r="J9804" s="44" t="s">
        <v>8</v>
      </c>
      <c r="K9804" s="23" t="s">
        <v>8</v>
      </c>
      <c r="L9804" s="23" t="s">
        <v>8</v>
      </c>
      <c r="M9804" s="23" t="s">
        <v>8</v>
      </c>
    </row>
    <row r="9805" spans="1:13" s="21" customFormat="1" x14ac:dyDescent="0.25">
      <c r="A9805" s="22" t="s">
        <v>8</v>
      </c>
      <c r="B9805" s="18" t="str">
        <f>"365323"</f>
        <v>365323</v>
      </c>
      <c r="C9805" s="19" t="s">
        <v>9662</v>
      </c>
      <c r="D9805" s="19" t="s">
        <v>25216</v>
      </c>
      <c r="E9805" s="19" t="s">
        <v>30850</v>
      </c>
      <c r="F9805" s="19" t="s">
        <v>36009</v>
      </c>
      <c r="G9805" s="18" t="str">
        <f>"43302"</f>
        <v>43302</v>
      </c>
      <c r="H9805" s="19" t="s">
        <v>30850</v>
      </c>
      <c r="I9805" s="20">
        <v>19.428999999999998</v>
      </c>
      <c r="J9805" s="44" t="s">
        <v>8</v>
      </c>
      <c r="K9805" s="23" t="s">
        <v>8</v>
      </c>
      <c r="L9805" s="23" t="s">
        <v>8</v>
      </c>
      <c r="M9805" s="23" t="s">
        <v>8</v>
      </c>
    </row>
    <row r="9806" spans="1:13" s="21" customFormat="1" x14ac:dyDescent="0.25">
      <c r="A9806" s="22" t="s">
        <v>8</v>
      </c>
      <c r="B9806" s="18" t="str">
        <f>"365324"</f>
        <v>365324</v>
      </c>
      <c r="C9806" s="19" t="s">
        <v>9663</v>
      </c>
      <c r="D9806" s="19" t="s">
        <v>25217</v>
      </c>
      <c r="E9806" s="19" t="s">
        <v>31791</v>
      </c>
      <c r="F9806" s="19" t="s">
        <v>36009</v>
      </c>
      <c r="G9806" s="18" t="str">
        <f>"44718"</f>
        <v>44718</v>
      </c>
      <c r="H9806" s="19" t="s">
        <v>36240</v>
      </c>
      <c r="I9806" s="20">
        <v>19.792000000000002</v>
      </c>
      <c r="J9806" s="44" t="s">
        <v>8</v>
      </c>
      <c r="K9806" s="23" t="s">
        <v>8</v>
      </c>
      <c r="L9806" s="23" t="s">
        <v>8</v>
      </c>
      <c r="M9806" s="23" t="s">
        <v>8</v>
      </c>
    </row>
    <row r="9807" spans="1:13" s="21" customFormat="1" x14ac:dyDescent="0.25">
      <c r="A9807" s="22" t="s">
        <v>8</v>
      </c>
      <c r="B9807" s="18" t="str">
        <f>"365327"</f>
        <v>365327</v>
      </c>
      <c r="C9807" s="19" t="s">
        <v>9664</v>
      </c>
      <c r="D9807" s="19" t="s">
        <v>25218</v>
      </c>
      <c r="E9807" s="19" t="s">
        <v>34412</v>
      </c>
      <c r="F9807" s="19" t="s">
        <v>36009</v>
      </c>
      <c r="G9807" s="18" t="str">
        <f>"45242"</f>
        <v>45242</v>
      </c>
      <c r="H9807" s="19" t="s">
        <v>30804</v>
      </c>
      <c r="I9807" s="20">
        <v>20.276</v>
      </c>
      <c r="J9807" s="44" t="s">
        <v>8</v>
      </c>
      <c r="K9807" s="23" t="s">
        <v>8</v>
      </c>
      <c r="L9807" s="23" t="s">
        <v>8</v>
      </c>
      <c r="M9807" s="23" t="s">
        <v>8</v>
      </c>
    </row>
    <row r="9808" spans="1:13" s="21" customFormat="1" x14ac:dyDescent="0.25">
      <c r="A9808" s="22" t="s">
        <v>8</v>
      </c>
      <c r="B9808" s="18" t="str">
        <f>"365329"</f>
        <v>365329</v>
      </c>
      <c r="C9808" s="19" t="s">
        <v>9665</v>
      </c>
      <c r="D9808" s="19" t="s">
        <v>25219</v>
      </c>
      <c r="E9808" s="19" t="s">
        <v>30850</v>
      </c>
      <c r="F9808" s="19" t="s">
        <v>36009</v>
      </c>
      <c r="G9808" s="18" t="str">
        <f>"43302"</f>
        <v>43302</v>
      </c>
      <c r="H9808" s="19" t="s">
        <v>30850</v>
      </c>
      <c r="I9808" s="20">
        <v>21.846</v>
      </c>
      <c r="J9808" s="44" t="s">
        <v>8</v>
      </c>
      <c r="K9808" s="23" t="s">
        <v>8</v>
      </c>
      <c r="L9808" s="23" t="s">
        <v>8</v>
      </c>
      <c r="M9808" s="23" t="s">
        <v>8</v>
      </c>
    </row>
    <row r="9809" spans="1:13" s="21" customFormat="1" x14ac:dyDescent="0.25">
      <c r="A9809" s="22" t="s">
        <v>8</v>
      </c>
      <c r="B9809" s="18" t="str">
        <f>"365330"</f>
        <v>365330</v>
      </c>
      <c r="C9809" s="19" t="s">
        <v>9666</v>
      </c>
      <c r="D9809" s="19" t="s">
        <v>25220</v>
      </c>
      <c r="E9809" s="19" t="s">
        <v>34447</v>
      </c>
      <c r="F9809" s="19" t="s">
        <v>36009</v>
      </c>
      <c r="G9809" s="18" t="str">
        <f>"43567"</f>
        <v>43567</v>
      </c>
      <c r="H9809" s="19" t="s">
        <v>32194</v>
      </c>
      <c r="I9809" s="20">
        <v>18.725999999999999</v>
      </c>
      <c r="J9809" s="44" t="s">
        <v>8</v>
      </c>
      <c r="K9809" s="23" t="s">
        <v>8</v>
      </c>
      <c r="L9809" s="23" t="s">
        <v>8</v>
      </c>
      <c r="M9809" s="23" t="s">
        <v>8</v>
      </c>
    </row>
    <row r="9810" spans="1:13" s="21" customFormat="1" x14ac:dyDescent="0.25">
      <c r="A9810" s="22" t="s">
        <v>8</v>
      </c>
      <c r="B9810" s="18" t="str">
        <f>"365331"</f>
        <v>365331</v>
      </c>
      <c r="C9810" s="19" t="s">
        <v>9667</v>
      </c>
      <c r="D9810" s="19" t="s">
        <v>25221</v>
      </c>
      <c r="E9810" s="19" t="s">
        <v>33565</v>
      </c>
      <c r="F9810" s="19" t="s">
        <v>36009</v>
      </c>
      <c r="G9810" s="18" t="str">
        <f>"44875"</f>
        <v>44875</v>
      </c>
      <c r="H9810" s="19" t="s">
        <v>31785</v>
      </c>
      <c r="I9810" s="20">
        <v>19.68</v>
      </c>
      <c r="J9810" s="44" t="s">
        <v>8</v>
      </c>
      <c r="K9810" s="23" t="s">
        <v>8</v>
      </c>
      <c r="L9810" s="23" t="s">
        <v>8</v>
      </c>
      <c r="M9810" s="23" t="s">
        <v>8</v>
      </c>
    </row>
    <row r="9811" spans="1:13" s="21" customFormat="1" x14ac:dyDescent="0.25">
      <c r="A9811" s="22" t="s">
        <v>8</v>
      </c>
      <c r="B9811" s="18" t="str">
        <f>"365333"</f>
        <v>365333</v>
      </c>
      <c r="C9811" s="19" t="s">
        <v>9668</v>
      </c>
      <c r="D9811" s="19" t="s">
        <v>25222</v>
      </c>
      <c r="E9811" s="19" t="s">
        <v>32684</v>
      </c>
      <c r="F9811" s="19" t="s">
        <v>36009</v>
      </c>
      <c r="G9811" s="18" t="str">
        <f>"43402"</f>
        <v>43402</v>
      </c>
      <c r="H9811" s="19" t="s">
        <v>36673</v>
      </c>
      <c r="I9811" s="20">
        <v>19.215</v>
      </c>
      <c r="J9811" s="44" t="s">
        <v>8</v>
      </c>
      <c r="K9811" s="23" t="s">
        <v>8</v>
      </c>
      <c r="L9811" s="23" t="s">
        <v>8</v>
      </c>
      <c r="M9811" s="23" t="s">
        <v>8</v>
      </c>
    </row>
    <row r="9812" spans="1:13" s="21" customFormat="1" x14ac:dyDescent="0.25">
      <c r="A9812" s="22" t="s">
        <v>8</v>
      </c>
      <c r="B9812" s="18" t="str">
        <f>"365336"</f>
        <v>365336</v>
      </c>
      <c r="C9812" s="19" t="s">
        <v>9669</v>
      </c>
      <c r="D9812" s="19" t="s">
        <v>25223</v>
      </c>
      <c r="E9812" s="19" t="s">
        <v>32538</v>
      </c>
      <c r="F9812" s="19" t="s">
        <v>36009</v>
      </c>
      <c r="G9812" s="18" t="str">
        <f>"45176"</f>
        <v>45176</v>
      </c>
      <c r="H9812" s="19" t="s">
        <v>31621</v>
      </c>
      <c r="I9812" s="20">
        <v>20.795000000000002</v>
      </c>
      <c r="J9812" s="44" t="s">
        <v>8</v>
      </c>
      <c r="K9812" s="23" t="s">
        <v>8</v>
      </c>
      <c r="L9812" s="23" t="s">
        <v>8</v>
      </c>
      <c r="M9812" s="23" t="s">
        <v>8</v>
      </c>
    </row>
    <row r="9813" spans="1:13" s="21" customFormat="1" x14ac:dyDescent="0.25">
      <c r="A9813" s="22" t="s">
        <v>8</v>
      </c>
      <c r="B9813" s="18" t="str">
        <f>"365337"</f>
        <v>365337</v>
      </c>
      <c r="C9813" s="19" t="s">
        <v>9670</v>
      </c>
      <c r="D9813" s="19" t="s">
        <v>25224</v>
      </c>
      <c r="E9813" s="19" t="s">
        <v>34448</v>
      </c>
      <c r="F9813" s="19" t="s">
        <v>36009</v>
      </c>
      <c r="G9813" s="18" t="str">
        <f>"45840"</f>
        <v>45840</v>
      </c>
      <c r="H9813" s="19" t="s">
        <v>33144</v>
      </c>
      <c r="I9813" s="20">
        <v>17.911000000000001</v>
      </c>
      <c r="J9813" s="44" t="s">
        <v>8</v>
      </c>
      <c r="K9813" s="23" t="s">
        <v>8</v>
      </c>
      <c r="L9813" s="23" t="s">
        <v>8</v>
      </c>
      <c r="M9813" s="23" t="s">
        <v>8</v>
      </c>
    </row>
    <row r="9814" spans="1:13" s="21" customFormat="1" x14ac:dyDescent="0.25">
      <c r="A9814" s="22" t="s">
        <v>8</v>
      </c>
      <c r="B9814" s="18" t="str">
        <f>"365339"</f>
        <v>365339</v>
      </c>
      <c r="C9814" s="19" t="s">
        <v>9671</v>
      </c>
      <c r="D9814" s="19" t="s">
        <v>25225</v>
      </c>
      <c r="E9814" s="19" t="s">
        <v>32505</v>
      </c>
      <c r="F9814" s="19" t="s">
        <v>36009</v>
      </c>
      <c r="G9814" s="18" t="str">
        <f>"43606"</f>
        <v>43606</v>
      </c>
      <c r="H9814" s="19" t="s">
        <v>36287</v>
      </c>
      <c r="I9814" s="20">
        <v>18.126999999999999</v>
      </c>
      <c r="J9814" s="44" t="s">
        <v>8</v>
      </c>
      <c r="K9814" s="23" t="s">
        <v>8</v>
      </c>
      <c r="L9814" s="23" t="s">
        <v>8</v>
      </c>
      <c r="M9814" s="23" t="s">
        <v>8</v>
      </c>
    </row>
    <row r="9815" spans="1:13" s="21" customFormat="1" x14ac:dyDescent="0.25">
      <c r="A9815" s="22" t="s">
        <v>8</v>
      </c>
      <c r="B9815" s="18" t="str">
        <f>"365340"</f>
        <v>365340</v>
      </c>
      <c r="C9815" s="19" t="s">
        <v>9672</v>
      </c>
      <c r="D9815" s="19" t="s">
        <v>25226</v>
      </c>
      <c r="E9815" s="19" t="s">
        <v>34449</v>
      </c>
      <c r="F9815" s="19" t="s">
        <v>36009</v>
      </c>
      <c r="G9815" s="18" t="str">
        <f>"44203"</f>
        <v>44203</v>
      </c>
      <c r="H9815" s="19" t="s">
        <v>36107</v>
      </c>
      <c r="I9815" s="20">
        <v>19.331</v>
      </c>
      <c r="J9815" s="44" t="s">
        <v>8</v>
      </c>
      <c r="K9815" s="23" t="s">
        <v>8</v>
      </c>
      <c r="L9815" s="23" t="s">
        <v>8</v>
      </c>
      <c r="M9815" s="23" t="s">
        <v>8</v>
      </c>
    </row>
    <row r="9816" spans="1:13" s="21" customFormat="1" x14ac:dyDescent="0.25">
      <c r="A9816" s="22" t="s">
        <v>8</v>
      </c>
      <c r="B9816" s="18" t="str">
        <f>"365341"</f>
        <v>365341</v>
      </c>
      <c r="C9816" s="19" t="s">
        <v>9673</v>
      </c>
      <c r="D9816" s="19" t="s">
        <v>25227</v>
      </c>
      <c r="E9816" s="19" t="s">
        <v>33149</v>
      </c>
      <c r="F9816" s="19" t="s">
        <v>36009</v>
      </c>
      <c r="G9816" s="18" t="str">
        <f>"45828"</f>
        <v>45828</v>
      </c>
      <c r="H9816" s="19" t="s">
        <v>34991</v>
      </c>
      <c r="I9816" s="20">
        <v>21.428000000000001</v>
      </c>
      <c r="J9816" s="44" t="s">
        <v>8</v>
      </c>
      <c r="K9816" s="23" t="s">
        <v>8</v>
      </c>
      <c r="L9816" s="23" t="s">
        <v>8</v>
      </c>
      <c r="M9816" s="23" t="s">
        <v>8</v>
      </c>
    </row>
    <row r="9817" spans="1:13" s="21" customFormat="1" x14ac:dyDescent="0.25">
      <c r="A9817" s="22" t="s">
        <v>8</v>
      </c>
      <c r="B9817" s="18" t="str">
        <f>"365342"</f>
        <v>365342</v>
      </c>
      <c r="C9817" s="19" t="s">
        <v>9674</v>
      </c>
      <c r="D9817" s="19" t="s">
        <v>25228</v>
      </c>
      <c r="E9817" s="19" t="s">
        <v>32730</v>
      </c>
      <c r="F9817" s="19" t="s">
        <v>36009</v>
      </c>
      <c r="G9817" s="18" t="str">
        <f>"43907"</f>
        <v>43907</v>
      </c>
      <c r="H9817" s="19" t="s">
        <v>31020</v>
      </c>
      <c r="I9817" s="20">
        <v>18.689</v>
      </c>
      <c r="J9817" s="44" t="s">
        <v>8</v>
      </c>
      <c r="K9817" s="23" t="s">
        <v>8</v>
      </c>
      <c r="L9817" s="23" t="s">
        <v>8</v>
      </c>
      <c r="M9817" s="23" t="s">
        <v>8</v>
      </c>
    </row>
    <row r="9818" spans="1:13" s="21" customFormat="1" x14ac:dyDescent="0.25">
      <c r="A9818" s="22" t="s">
        <v>8</v>
      </c>
      <c r="B9818" s="18" t="str">
        <f>"365343"</f>
        <v>365343</v>
      </c>
      <c r="C9818" s="19" t="s">
        <v>9675</v>
      </c>
      <c r="D9818" s="19" t="s">
        <v>25229</v>
      </c>
      <c r="E9818" s="19" t="s">
        <v>33654</v>
      </c>
      <c r="F9818" s="19" t="s">
        <v>36009</v>
      </c>
      <c r="G9818" s="18" t="str">
        <f>"44890"</f>
        <v>44890</v>
      </c>
      <c r="H9818" s="19" t="s">
        <v>34559</v>
      </c>
      <c r="I9818" s="20">
        <v>18.788</v>
      </c>
      <c r="J9818" s="44" t="s">
        <v>8</v>
      </c>
      <c r="K9818" s="23" t="s">
        <v>8</v>
      </c>
      <c r="L9818" s="23" t="s">
        <v>8</v>
      </c>
      <c r="M9818" s="23" t="s">
        <v>8</v>
      </c>
    </row>
    <row r="9819" spans="1:13" s="21" customFormat="1" x14ac:dyDescent="0.25">
      <c r="A9819" s="22" t="s">
        <v>8</v>
      </c>
      <c r="B9819" s="18" t="str">
        <f>"365344"</f>
        <v>365344</v>
      </c>
      <c r="C9819" s="19" t="s">
        <v>9676</v>
      </c>
      <c r="D9819" s="19" t="s">
        <v>25230</v>
      </c>
      <c r="E9819" s="19" t="s">
        <v>31184</v>
      </c>
      <c r="F9819" s="19" t="s">
        <v>36009</v>
      </c>
      <c r="G9819" s="18" t="str">
        <f>"43130"</f>
        <v>43130</v>
      </c>
      <c r="H9819" s="19" t="s">
        <v>31103</v>
      </c>
      <c r="I9819" s="20">
        <v>17.643999999999998</v>
      </c>
      <c r="J9819" s="44" t="s">
        <v>8</v>
      </c>
      <c r="K9819" s="23" t="s">
        <v>8</v>
      </c>
      <c r="L9819" s="23" t="s">
        <v>8</v>
      </c>
      <c r="M9819" s="23" t="s">
        <v>8</v>
      </c>
    </row>
    <row r="9820" spans="1:13" s="21" customFormat="1" x14ac:dyDescent="0.25">
      <c r="A9820" s="22" t="s">
        <v>8</v>
      </c>
      <c r="B9820" s="18" t="str">
        <f>"365346"</f>
        <v>365346</v>
      </c>
      <c r="C9820" s="19" t="s">
        <v>9677</v>
      </c>
      <c r="D9820" s="19" t="s">
        <v>25231</v>
      </c>
      <c r="E9820" s="19" t="s">
        <v>32035</v>
      </c>
      <c r="F9820" s="19" t="s">
        <v>36009</v>
      </c>
      <c r="G9820" s="18" t="str">
        <f>"45036"</f>
        <v>45036</v>
      </c>
      <c r="H9820" s="19" t="s">
        <v>31025</v>
      </c>
      <c r="I9820" s="20">
        <v>18.512</v>
      </c>
      <c r="J9820" s="44" t="s">
        <v>8</v>
      </c>
      <c r="K9820" s="23" t="s">
        <v>8</v>
      </c>
      <c r="L9820" s="23" t="s">
        <v>8</v>
      </c>
      <c r="M9820" s="23" t="s">
        <v>8</v>
      </c>
    </row>
    <row r="9821" spans="1:13" s="21" customFormat="1" x14ac:dyDescent="0.25">
      <c r="A9821" s="22" t="s">
        <v>8</v>
      </c>
      <c r="B9821" s="18" t="str">
        <f>"365348"</f>
        <v>365348</v>
      </c>
      <c r="C9821" s="19" t="s">
        <v>9678</v>
      </c>
      <c r="D9821" s="19" t="s">
        <v>25232</v>
      </c>
      <c r="E9821" s="19" t="s">
        <v>34450</v>
      </c>
      <c r="F9821" s="19" t="s">
        <v>36009</v>
      </c>
      <c r="G9821" s="18" t="str">
        <f>"45631"</f>
        <v>45631</v>
      </c>
      <c r="H9821" s="19" t="s">
        <v>36679</v>
      </c>
      <c r="I9821" s="20">
        <v>17.044</v>
      </c>
      <c r="J9821" s="44" t="s">
        <v>8</v>
      </c>
      <c r="K9821" s="23" t="s">
        <v>8</v>
      </c>
      <c r="L9821" s="23" t="s">
        <v>8</v>
      </c>
      <c r="M9821" s="23" t="s">
        <v>8</v>
      </c>
    </row>
    <row r="9822" spans="1:13" s="21" customFormat="1" x14ac:dyDescent="0.25">
      <c r="A9822" s="22" t="s">
        <v>8</v>
      </c>
      <c r="B9822" s="18" t="str">
        <f>"365350"</f>
        <v>365350</v>
      </c>
      <c r="C9822" s="19" t="s">
        <v>9679</v>
      </c>
      <c r="D9822" s="19" t="s">
        <v>25233</v>
      </c>
      <c r="E9822" s="19" t="s">
        <v>34412</v>
      </c>
      <c r="F9822" s="19" t="s">
        <v>36009</v>
      </c>
      <c r="G9822" s="18" t="str">
        <f>"45246"</f>
        <v>45246</v>
      </c>
      <c r="H9822" s="19" t="s">
        <v>30804</v>
      </c>
      <c r="I9822" s="20">
        <v>18.925000000000001</v>
      </c>
      <c r="J9822" s="44" t="s">
        <v>8</v>
      </c>
      <c r="K9822" s="23" t="s">
        <v>8</v>
      </c>
      <c r="L9822" s="23" t="s">
        <v>8</v>
      </c>
      <c r="M9822" s="23" t="s">
        <v>8</v>
      </c>
    </row>
    <row r="9823" spans="1:13" s="21" customFormat="1" x14ac:dyDescent="0.25">
      <c r="A9823" s="22" t="s">
        <v>8</v>
      </c>
      <c r="B9823" s="18" t="str">
        <f>"365351"</f>
        <v>365351</v>
      </c>
      <c r="C9823" s="19" t="s">
        <v>9680</v>
      </c>
      <c r="D9823" s="19" t="s">
        <v>25234</v>
      </c>
      <c r="E9823" s="19" t="s">
        <v>34451</v>
      </c>
      <c r="F9823" s="19" t="s">
        <v>36009</v>
      </c>
      <c r="G9823" s="18" t="str">
        <f>"44833"</f>
        <v>44833</v>
      </c>
      <c r="H9823" s="19" t="s">
        <v>31759</v>
      </c>
      <c r="I9823" s="20">
        <v>19.030999999999999</v>
      </c>
      <c r="J9823" s="44" t="s">
        <v>8</v>
      </c>
      <c r="K9823" s="23" t="s">
        <v>8</v>
      </c>
      <c r="L9823" s="23" t="s">
        <v>8</v>
      </c>
      <c r="M9823" s="23" t="s">
        <v>8</v>
      </c>
    </row>
    <row r="9824" spans="1:13" s="21" customFormat="1" x14ac:dyDescent="0.25">
      <c r="A9824" s="22" t="s">
        <v>8</v>
      </c>
      <c r="B9824" s="18" t="str">
        <f>"365353"</f>
        <v>365353</v>
      </c>
      <c r="C9824" s="19" t="s">
        <v>9681</v>
      </c>
      <c r="D9824" s="19" t="s">
        <v>25235</v>
      </c>
      <c r="E9824" s="19" t="s">
        <v>34452</v>
      </c>
      <c r="F9824" s="19" t="s">
        <v>36009</v>
      </c>
      <c r="G9824" s="18" t="str">
        <f>"44112"</f>
        <v>44112</v>
      </c>
      <c r="H9824" s="19" t="s">
        <v>36671</v>
      </c>
      <c r="I9824" s="20">
        <v>19.298999999999999</v>
      </c>
      <c r="J9824" s="44" t="s">
        <v>8</v>
      </c>
      <c r="K9824" s="23" t="s">
        <v>8</v>
      </c>
      <c r="L9824" s="23" t="s">
        <v>8</v>
      </c>
      <c r="M9824" s="23" t="s">
        <v>8</v>
      </c>
    </row>
    <row r="9825" spans="1:13" s="21" customFormat="1" x14ac:dyDescent="0.25">
      <c r="A9825" s="22" t="s">
        <v>8</v>
      </c>
      <c r="B9825" s="18" t="str">
        <f>"365354"</f>
        <v>365354</v>
      </c>
      <c r="C9825" s="19" t="s">
        <v>9682</v>
      </c>
      <c r="D9825" s="19" t="s">
        <v>25236</v>
      </c>
      <c r="E9825" s="19" t="s">
        <v>33812</v>
      </c>
      <c r="F9825" s="19" t="s">
        <v>36009</v>
      </c>
      <c r="G9825" s="18" t="str">
        <f>"44266"</f>
        <v>44266</v>
      </c>
      <c r="H9825" s="19" t="s">
        <v>32230</v>
      </c>
      <c r="I9825" s="20">
        <v>18.945</v>
      </c>
      <c r="J9825" s="44" t="s">
        <v>8</v>
      </c>
      <c r="K9825" s="23" t="s">
        <v>8</v>
      </c>
      <c r="L9825" s="23" t="s">
        <v>8</v>
      </c>
      <c r="M9825" s="23" t="s">
        <v>8</v>
      </c>
    </row>
    <row r="9826" spans="1:13" s="21" customFormat="1" x14ac:dyDescent="0.25">
      <c r="A9826" s="22" t="s">
        <v>8</v>
      </c>
      <c r="B9826" s="18" t="str">
        <f>"365355"</f>
        <v>365355</v>
      </c>
      <c r="C9826" s="19" t="s">
        <v>9683</v>
      </c>
      <c r="D9826" s="19" t="s">
        <v>25237</v>
      </c>
      <c r="E9826" s="19" t="s">
        <v>34453</v>
      </c>
      <c r="F9826" s="19" t="s">
        <v>36009</v>
      </c>
      <c r="G9826" s="18" t="str">
        <f>"44124"</f>
        <v>44124</v>
      </c>
      <c r="H9826" s="19" t="s">
        <v>36671</v>
      </c>
      <c r="I9826" s="20">
        <v>21.137</v>
      </c>
      <c r="J9826" s="44" t="s">
        <v>8</v>
      </c>
      <c r="K9826" s="23" t="s">
        <v>8</v>
      </c>
      <c r="L9826" s="23" t="s">
        <v>8</v>
      </c>
      <c r="M9826" s="23" t="s">
        <v>8</v>
      </c>
    </row>
    <row r="9827" spans="1:13" s="21" customFormat="1" x14ac:dyDescent="0.25">
      <c r="A9827" s="22" t="s">
        <v>8</v>
      </c>
      <c r="B9827" s="18" t="str">
        <f>"365358"</f>
        <v>365358</v>
      </c>
      <c r="C9827" s="19" t="s">
        <v>9684</v>
      </c>
      <c r="D9827" s="19" t="s">
        <v>25238</v>
      </c>
      <c r="E9827" s="19" t="s">
        <v>31711</v>
      </c>
      <c r="F9827" s="19" t="s">
        <v>36009</v>
      </c>
      <c r="G9827" s="18" t="str">
        <f>"45050"</f>
        <v>45050</v>
      </c>
      <c r="H9827" s="19" t="s">
        <v>30876</v>
      </c>
      <c r="I9827" s="20">
        <v>18.372</v>
      </c>
      <c r="J9827" s="44" t="s">
        <v>8</v>
      </c>
      <c r="K9827" s="23" t="s">
        <v>8</v>
      </c>
      <c r="L9827" s="23" t="s">
        <v>8</v>
      </c>
      <c r="M9827" s="23" t="s">
        <v>8</v>
      </c>
    </row>
    <row r="9828" spans="1:13" s="21" customFormat="1" x14ac:dyDescent="0.25">
      <c r="A9828" s="22" t="s">
        <v>8</v>
      </c>
      <c r="B9828" s="18" t="str">
        <f>"365361"</f>
        <v>365361</v>
      </c>
      <c r="C9828" s="19" t="s">
        <v>9685</v>
      </c>
      <c r="D9828" s="19" t="s">
        <v>25239</v>
      </c>
      <c r="E9828" s="19" t="s">
        <v>34426</v>
      </c>
      <c r="F9828" s="19" t="s">
        <v>36009</v>
      </c>
      <c r="G9828" s="18" t="str">
        <f>"45804"</f>
        <v>45804</v>
      </c>
      <c r="H9828" s="19" t="s">
        <v>34710</v>
      </c>
      <c r="I9828" s="20">
        <v>17.724</v>
      </c>
      <c r="J9828" s="44" t="s">
        <v>8</v>
      </c>
      <c r="K9828" s="23" t="s">
        <v>8</v>
      </c>
      <c r="L9828" s="23" t="s">
        <v>8</v>
      </c>
      <c r="M9828" s="23" t="s">
        <v>8</v>
      </c>
    </row>
    <row r="9829" spans="1:13" s="21" customFormat="1" x14ac:dyDescent="0.25">
      <c r="A9829" s="22" t="s">
        <v>8</v>
      </c>
      <c r="B9829" s="18" t="str">
        <f>"365362"</f>
        <v>365362</v>
      </c>
      <c r="C9829" s="19" t="s">
        <v>9686</v>
      </c>
      <c r="D9829" s="19" t="s">
        <v>25240</v>
      </c>
      <c r="E9829" s="19" t="s">
        <v>32493</v>
      </c>
      <c r="F9829" s="19" t="s">
        <v>36009</v>
      </c>
      <c r="G9829" s="18" t="str">
        <f>"43357"</f>
        <v>43357</v>
      </c>
      <c r="H9829" s="19" t="s">
        <v>32373</v>
      </c>
      <c r="I9829" s="20">
        <v>17.533999999999999</v>
      </c>
      <c r="J9829" s="44" t="s">
        <v>8</v>
      </c>
      <c r="K9829" s="23" t="s">
        <v>8</v>
      </c>
      <c r="L9829" s="23" t="s">
        <v>8</v>
      </c>
      <c r="M9829" s="23" t="s">
        <v>8</v>
      </c>
    </row>
    <row r="9830" spans="1:13" s="21" customFormat="1" x14ac:dyDescent="0.25">
      <c r="A9830" s="22" t="s">
        <v>8</v>
      </c>
      <c r="B9830" s="18" t="str">
        <f>"365363"</f>
        <v>365363</v>
      </c>
      <c r="C9830" s="19" t="s">
        <v>9687</v>
      </c>
      <c r="D9830" s="19" t="s">
        <v>25241</v>
      </c>
      <c r="E9830" s="19" t="s">
        <v>31103</v>
      </c>
      <c r="F9830" s="19" t="s">
        <v>36009</v>
      </c>
      <c r="G9830" s="18" t="str">
        <f>"45014"</f>
        <v>45014</v>
      </c>
      <c r="H9830" s="19" t="s">
        <v>30876</v>
      </c>
      <c r="I9830" s="20">
        <v>19.561</v>
      </c>
      <c r="J9830" s="44" t="s">
        <v>8</v>
      </c>
      <c r="K9830" s="23" t="s">
        <v>8</v>
      </c>
      <c r="L9830" s="23" t="s">
        <v>8</v>
      </c>
      <c r="M9830" s="23" t="s">
        <v>8</v>
      </c>
    </row>
    <row r="9831" spans="1:13" s="21" customFormat="1" x14ac:dyDescent="0.25">
      <c r="A9831" s="22" t="s">
        <v>8</v>
      </c>
      <c r="B9831" s="18" t="str">
        <f>"365364"</f>
        <v>365364</v>
      </c>
      <c r="C9831" s="19" t="s">
        <v>9688</v>
      </c>
      <c r="D9831" s="19" t="s">
        <v>25242</v>
      </c>
      <c r="E9831" s="19" t="s">
        <v>32369</v>
      </c>
      <c r="F9831" s="19" t="s">
        <v>36009</v>
      </c>
      <c r="G9831" s="18" t="str">
        <f>"45426"</f>
        <v>45426</v>
      </c>
      <c r="H9831" s="19" t="s">
        <v>30833</v>
      </c>
      <c r="I9831" s="20">
        <v>19.178000000000001</v>
      </c>
      <c r="J9831" s="44" t="s">
        <v>8</v>
      </c>
      <c r="K9831" s="23" t="s">
        <v>8</v>
      </c>
      <c r="L9831" s="23" t="s">
        <v>8</v>
      </c>
      <c r="M9831" s="23" t="s">
        <v>8</v>
      </c>
    </row>
    <row r="9832" spans="1:13" s="21" customFormat="1" x14ac:dyDescent="0.25">
      <c r="A9832" s="22" t="s">
        <v>8</v>
      </c>
      <c r="B9832" s="18" t="str">
        <f>"365365"</f>
        <v>365365</v>
      </c>
      <c r="C9832" s="19" t="s">
        <v>9689</v>
      </c>
      <c r="D9832" s="19" t="s">
        <v>25243</v>
      </c>
      <c r="E9832" s="19" t="s">
        <v>31974</v>
      </c>
      <c r="F9832" s="19" t="s">
        <v>36009</v>
      </c>
      <c r="G9832" s="18" t="str">
        <f>"43078"</f>
        <v>43078</v>
      </c>
      <c r="H9832" s="19" t="s">
        <v>31939</v>
      </c>
      <c r="I9832" s="20">
        <v>19.838999999999999</v>
      </c>
      <c r="J9832" s="44" t="s">
        <v>8</v>
      </c>
      <c r="K9832" s="23" t="s">
        <v>8</v>
      </c>
      <c r="L9832" s="23" t="s">
        <v>8</v>
      </c>
      <c r="M9832" s="23" t="s">
        <v>8</v>
      </c>
    </row>
    <row r="9833" spans="1:13" s="21" customFormat="1" x14ac:dyDescent="0.25">
      <c r="A9833" s="22" t="s">
        <v>8</v>
      </c>
      <c r="B9833" s="18" t="str">
        <f>"365368"</f>
        <v>365368</v>
      </c>
      <c r="C9833" s="19" t="s">
        <v>9690</v>
      </c>
      <c r="D9833" s="19" t="s">
        <v>25244</v>
      </c>
      <c r="E9833" s="19" t="s">
        <v>32741</v>
      </c>
      <c r="F9833" s="19" t="s">
        <v>36009</v>
      </c>
      <c r="G9833" s="18" t="str">
        <f>"45335"</f>
        <v>45335</v>
      </c>
      <c r="H9833" s="19" t="s">
        <v>32455</v>
      </c>
      <c r="I9833" s="20">
        <v>19.864000000000001</v>
      </c>
      <c r="J9833" s="44" t="s">
        <v>8</v>
      </c>
      <c r="K9833" s="23" t="s">
        <v>8</v>
      </c>
      <c r="L9833" s="23" t="s">
        <v>8</v>
      </c>
      <c r="M9833" s="23" t="s">
        <v>8</v>
      </c>
    </row>
    <row r="9834" spans="1:13" s="21" customFormat="1" x14ac:dyDescent="0.25">
      <c r="A9834" s="22" t="s">
        <v>8</v>
      </c>
      <c r="B9834" s="18" t="str">
        <f>"365370"</f>
        <v>365370</v>
      </c>
      <c r="C9834" s="19" t="s">
        <v>9691</v>
      </c>
      <c r="D9834" s="19" t="s">
        <v>25245</v>
      </c>
      <c r="E9834" s="19" t="s">
        <v>33366</v>
      </c>
      <c r="F9834" s="19" t="s">
        <v>36009</v>
      </c>
      <c r="G9834" s="18" t="str">
        <f>"44286"</f>
        <v>44286</v>
      </c>
      <c r="H9834" s="19" t="s">
        <v>36107</v>
      </c>
      <c r="I9834" s="20">
        <v>18.280999999999999</v>
      </c>
      <c r="J9834" s="44" t="s">
        <v>8</v>
      </c>
      <c r="K9834" s="23" t="s">
        <v>8</v>
      </c>
      <c r="L9834" s="23" t="s">
        <v>8</v>
      </c>
      <c r="M9834" s="23" t="s">
        <v>8</v>
      </c>
    </row>
    <row r="9835" spans="1:13" s="21" customFormat="1" x14ac:dyDescent="0.25">
      <c r="A9835" s="22" t="s">
        <v>8</v>
      </c>
      <c r="B9835" s="18" t="str">
        <f>"365374"</f>
        <v>365374</v>
      </c>
      <c r="C9835" s="19" t="s">
        <v>9692</v>
      </c>
      <c r="D9835" s="19" t="s">
        <v>25246</v>
      </c>
      <c r="E9835" s="19" t="s">
        <v>34454</v>
      </c>
      <c r="F9835" s="19" t="s">
        <v>36009</v>
      </c>
      <c r="G9835" s="18" t="str">
        <f>"45432"</f>
        <v>45432</v>
      </c>
      <c r="H9835" s="19" t="s">
        <v>32455</v>
      </c>
      <c r="I9835" s="20">
        <v>22.786999999999999</v>
      </c>
      <c r="J9835" s="44" t="s">
        <v>8</v>
      </c>
      <c r="K9835" s="23" t="s">
        <v>8</v>
      </c>
      <c r="L9835" s="23" t="s">
        <v>8</v>
      </c>
      <c r="M9835" s="23" t="s">
        <v>8</v>
      </c>
    </row>
    <row r="9836" spans="1:13" s="21" customFormat="1" x14ac:dyDescent="0.25">
      <c r="A9836" s="22" t="s">
        <v>8</v>
      </c>
      <c r="B9836" s="18" t="str">
        <f>"365375"</f>
        <v>365375</v>
      </c>
      <c r="C9836" s="19" t="s">
        <v>8999</v>
      </c>
      <c r="D9836" s="19" t="s">
        <v>25247</v>
      </c>
      <c r="E9836" s="19" t="s">
        <v>34412</v>
      </c>
      <c r="F9836" s="19" t="s">
        <v>36009</v>
      </c>
      <c r="G9836" s="18" t="str">
        <f>"45242"</f>
        <v>45242</v>
      </c>
      <c r="H9836" s="19" t="s">
        <v>30804</v>
      </c>
      <c r="I9836" s="20">
        <v>18.695</v>
      </c>
      <c r="J9836" s="44" t="s">
        <v>8</v>
      </c>
      <c r="K9836" s="23" t="s">
        <v>8</v>
      </c>
      <c r="L9836" s="23" t="s">
        <v>8</v>
      </c>
      <c r="M9836" s="23" t="s">
        <v>8</v>
      </c>
    </row>
    <row r="9837" spans="1:13" s="21" customFormat="1" x14ac:dyDescent="0.25">
      <c r="A9837" s="22" t="s">
        <v>8</v>
      </c>
      <c r="B9837" s="18" t="str">
        <f>"365376"</f>
        <v>365376</v>
      </c>
      <c r="C9837" s="19" t="s">
        <v>9693</v>
      </c>
      <c r="D9837" s="19" t="s">
        <v>25248</v>
      </c>
      <c r="E9837" s="19" t="s">
        <v>33524</v>
      </c>
      <c r="F9837" s="19" t="s">
        <v>36009</v>
      </c>
      <c r="G9837" s="18" t="str">
        <f>"45167"</f>
        <v>45167</v>
      </c>
      <c r="H9837" s="19" t="s">
        <v>36244</v>
      </c>
      <c r="I9837" s="20">
        <v>19.827999999999999</v>
      </c>
      <c r="J9837" s="44" t="s">
        <v>8</v>
      </c>
      <c r="K9837" s="23" t="s">
        <v>8</v>
      </c>
      <c r="L9837" s="23" t="s">
        <v>8</v>
      </c>
      <c r="M9837" s="23" t="s">
        <v>8</v>
      </c>
    </row>
    <row r="9838" spans="1:13" s="21" customFormat="1" x14ac:dyDescent="0.25">
      <c r="A9838" s="22" t="s">
        <v>8</v>
      </c>
      <c r="B9838" s="18" t="str">
        <f>"365377"</f>
        <v>365377</v>
      </c>
      <c r="C9838" s="19" t="s">
        <v>9694</v>
      </c>
      <c r="D9838" s="19" t="s">
        <v>25249</v>
      </c>
      <c r="E9838" s="19" t="s">
        <v>34455</v>
      </c>
      <c r="F9838" s="19" t="s">
        <v>36009</v>
      </c>
      <c r="G9838" s="18" t="str">
        <f>"45822"</f>
        <v>45822</v>
      </c>
      <c r="H9838" s="19" t="s">
        <v>34991</v>
      </c>
      <c r="I9838" s="20">
        <v>16.478999999999999</v>
      </c>
      <c r="J9838" s="44" t="s">
        <v>8</v>
      </c>
      <c r="K9838" s="23" t="s">
        <v>8</v>
      </c>
      <c r="L9838" s="23" t="s">
        <v>8</v>
      </c>
      <c r="M9838" s="23" t="s">
        <v>8</v>
      </c>
    </row>
    <row r="9839" spans="1:13" s="21" customFormat="1" x14ac:dyDescent="0.25">
      <c r="A9839" s="22" t="s">
        <v>8</v>
      </c>
      <c r="B9839" s="18" t="str">
        <f>"365379"</f>
        <v>365379</v>
      </c>
      <c r="C9839" s="19" t="s">
        <v>9695</v>
      </c>
      <c r="D9839" s="19" t="s">
        <v>25250</v>
      </c>
      <c r="E9839" s="19" t="s">
        <v>31715</v>
      </c>
      <c r="F9839" s="19" t="s">
        <v>36009</v>
      </c>
      <c r="G9839" s="18" t="str">
        <f>"43229"</f>
        <v>43229</v>
      </c>
      <c r="H9839" s="19" t="s">
        <v>5</v>
      </c>
      <c r="I9839" s="20">
        <v>18.466000000000001</v>
      </c>
      <c r="J9839" s="44" t="s">
        <v>8</v>
      </c>
      <c r="K9839" s="23" t="s">
        <v>8</v>
      </c>
      <c r="L9839" s="23" t="s">
        <v>8</v>
      </c>
      <c r="M9839" s="23" t="s">
        <v>8</v>
      </c>
    </row>
    <row r="9840" spans="1:13" s="21" customFormat="1" x14ac:dyDescent="0.25">
      <c r="A9840" s="22" t="s">
        <v>8</v>
      </c>
      <c r="B9840" s="18" t="str">
        <f>"365380"</f>
        <v>365380</v>
      </c>
      <c r="C9840" s="19" t="s">
        <v>9696</v>
      </c>
      <c r="D9840" s="19" t="s">
        <v>25251</v>
      </c>
      <c r="E9840" s="19" t="s">
        <v>34411</v>
      </c>
      <c r="F9840" s="19" t="s">
        <v>36009</v>
      </c>
      <c r="G9840" s="18" t="str">
        <f>"44883"</f>
        <v>44883</v>
      </c>
      <c r="H9840" s="19" t="s">
        <v>32641</v>
      </c>
      <c r="I9840" s="20">
        <v>14.272</v>
      </c>
      <c r="J9840" s="44" t="s">
        <v>8</v>
      </c>
      <c r="K9840" s="23" t="s">
        <v>8</v>
      </c>
      <c r="L9840" s="23" t="s">
        <v>8</v>
      </c>
      <c r="M9840" s="23" t="s">
        <v>8</v>
      </c>
    </row>
    <row r="9841" spans="1:13" s="21" customFormat="1" x14ac:dyDescent="0.25">
      <c r="A9841" s="22" t="s">
        <v>8</v>
      </c>
      <c r="B9841" s="18" t="str">
        <f>"365381"</f>
        <v>365381</v>
      </c>
      <c r="C9841" s="19" t="s">
        <v>9697</v>
      </c>
      <c r="D9841" s="19" t="s">
        <v>25252</v>
      </c>
      <c r="E9841" s="19" t="s">
        <v>34456</v>
      </c>
      <c r="F9841" s="19" t="s">
        <v>36009</v>
      </c>
      <c r="G9841" s="18" t="str">
        <f>"44092"</f>
        <v>44092</v>
      </c>
      <c r="H9841" s="19" t="s">
        <v>36096</v>
      </c>
      <c r="I9841" s="20">
        <v>22.08</v>
      </c>
      <c r="J9841" s="44" t="s">
        <v>8</v>
      </c>
      <c r="K9841" s="23" t="s">
        <v>8</v>
      </c>
      <c r="L9841" s="23" t="s">
        <v>8</v>
      </c>
      <c r="M9841" s="23" t="s">
        <v>8</v>
      </c>
    </row>
    <row r="9842" spans="1:13" s="21" customFormat="1" x14ac:dyDescent="0.25">
      <c r="A9842" s="22" t="s">
        <v>8</v>
      </c>
      <c r="B9842" s="18" t="str">
        <f>"365385"</f>
        <v>365385</v>
      </c>
      <c r="C9842" s="19" t="s">
        <v>9698</v>
      </c>
      <c r="D9842" s="19" t="s">
        <v>25253</v>
      </c>
      <c r="E9842" s="19" t="s">
        <v>34451</v>
      </c>
      <c r="F9842" s="19" t="s">
        <v>36009</v>
      </c>
      <c r="G9842" s="18" t="str">
        <f>"44833"</f>
        <v>44833</v>
      </c>
      <c r="H9842" s="19" t="s">
        <v>31759</v>
      </c>
      <c r="I9842" s="20">
        <v>18.213000000000001</v>
      </c>
      <c r="J9842" s="44" t="s">
        <v>8</v>
      </c>
      <c r="K9842" s="23" t="s">
        <v>8</v>
      </c>
      <c r="L9842" s="23" t="s">
        <v>8</v>
      </c>
      <c r="M9842" s="23" t="s">
        <v>8</v>
      </c>
    </row>
    <row r="9843" spans="1:13" s="21" customFormat="1" x14ac:dyDescent="0.25">
      <c r="A9843" s="22" t="s">
        <v>8</v>
      </c>
      <c r="B9843" s="18" t="str">
        <f>"365387"</f>
        <v>365387</v>
      </c>
      <c r="C9843" s="19" t="s">
        <v>9699</v>
      </c>
      <c r="D9843" s="19" t="s">
        <v>25254</v>
      </c>
      <c r="E9843" s="19" t="s">
        <v>34457</v>
      </c>
      <c r="F9843" s="19" t="s">
        <v>36009</v>
      </c>
      <c r="G9843" s="18" t="str">
        <f>"45872"</f>
        <v>45872</v>
      </c>
      <c r="H9843" s="19" t="s">
        <v>36673</v>
      </c>
      <c r="I9843" s="20">
        <v>17.751000000000001</v>
      </c>
      <c r="J9843" s="44" t="s">
        <v>8</v>
      </c>
      <c r="K9843" s="23" t="s">
        <v>8</v>
      </c>
      <c r="L9843" s="23" t="s">
        <v>8</v>
      </c>
      <c r="M9843" s="23" t="s">
        <v>8</v>
      </c>
    </row>
    <row r="9844" spans="1:13" s="21" customFormat="1" x14ac:dyDescent="0.25">
      <c r="A9844" s="22" t="s">
        <v>8</v>
      </c>
      <c r="B9844" s="18" t="str">
        <f>"365388"</f>
        <v>365388</v>
      </c>
      <c r="C9844" s="19" t="s">
        <v>9700</v>
      </c>
      <c r="D9844" s="19" t="s">
        <v>25255</v>
      </c>
      <c r="E9844" s="19" t="s">
        <v>31810</v>
      </c>
      <c r="F9844" s="19" t="s">
        <v>36009</v>
      </c>
      <c r="G9844" s="18" t="str">
        <f>"44113"</f>
        <v>44113</v>
      </c>
      <c r="H9844" s="19" t="s">
        <v>36671</v>
      </c>
      <c r="I9844" s="20">
        <v>21.042999999999999</v>
      </c>
      <c r="J9844" s="44" t="s">
        <v>8</v>
      </c>
      <c r="K9844" s="23" t="s">
        <v>8</v>
      </c>
      <c r="L9844" s="23" t="s">
        <v>8</v>
      </c>
      <c r="M9844" s="23" t="s">
        <v>8</v>
      </c>
    </row>
    <row r="9845" spans="1:13" s="21" customFormat="1" x14ac:dyDescent="0.25">
      <c r="A9845" s="22" t="s">
        <v>8</v>
      </c>
      <c r="B9845" s="18" t="str">
        <f>"365389"</f>
        <v>365389</v>
      </c>
      <c r="C9845" s="19" t="s">
        <v>9701</v>
      </c>
      <c r="D9845" s="19" t="s">
        <v>25256</v>
      </c>
      <c r="E9845" s="19" t="s">
        <v>34458</v>
      </c>
      <c r="F9845" s="19" t="s">
        <v>36009</v>
      </c>
      <c r="G9845" s="18" t="str">
        <f>"43512"</f>
        <v>43512</v>
      </c>
      <c r="H9845" s="19" t="s">
        <v>34458</v>
      </c>
      <c r="I9845" s="20">
        <v>17.861000000000001</v>
      </c>
      <c r="J9845" s="44" t="s">
        <v>8</v>
      </c>
      <c r="K9845" s="23" t="s">
        <v>8</v>
      </c>
      <c r="L9845" s="23" t="s">
        <v>8</v>
      </c>
      <c r="M9845" s="23" t="s">
        <v>8</v>
      </c>
    </row>
    <row r="9846" spans="1:13" s="21" customFormat="1" x14ac:dyDescent="0.25">
      <c r="A9846" s="22" t="s">
        <v>8</v>
      </c>
      <c r="B9846" s="18" t="str">
        <f>"365390"</f>
        <v>365390</v>
      </c>
      <c r="C9846" s="19" t="s">
        <v>9702</v>
      </c>
      <c r="D9846" s="19" t="s">
        <v>25257</v>
      </c>
      <c r="E9846" s="19" t="s">
        <v>31436</v>
      </c>
      <c r="F9846" s="19" t="s">
        <v>36009</v>
      </c>
      <c r="G9846" s="18" t="str">
        <f>"45634"</f>
        <v>45634</v>
      </c>
      <c r="H9846" s="19" t="s">
        <v>32537</v>
      </c>
      <c r="I9846" s="20">
        <v>17.971</v>
      </c>
      <c r="J9846" s="44" t="s">
        <v>8</v>
      </c>
      <c r="K9846" s="23" t="s">
        <v>8</v>
      </c>
      <c r="L9846" s="23" t="s">
        <v>8</v>
      </c>
      <c r="M9846" s="23" t="s">
        <v>8</v>
      </c>
    </row>
    <row r="9847" spans="1:13" s="21" customFormat="1" x14ac:dyDescent="0.25">
      <c r="A9847" s="22" t="s">
        <v>8</v>
      </c>
      <c r="B9847" s="18" t="str">
        <f>"365392"</f>
        <v>365392</v>
      </c>
      <c r="C9847" s="19" t="s">
        <v>9703</v>
      </c>
      <c r="D9847" s="19" t="s">
        <v>25258</v>
      </c>
      <c r="E9847" s="19" t="s">
        <v>31810</v>
      </c>
      <c r="F9847" s="19" t="s">
        <v>36009</v>
      </c>
      <c r="G9847" s="18" t="str">
        <f>"44135"</f>
        <v>44135</v>
      </c>
      <c r="H9847" s="19" t="s">
        <v>36671</v>
      </c>
      <c r="I9847" s="20">
        <v>20.222000000000001</v>
      </c>
      <c r="J9847" s="44" t="s">
        <v>8</v>
      </c>
      <c r="K9847" s="23" t="s">
        <v>8</v>
      </c>
      <c r="L9847" s="23" t="s">
        <v>8</v>
      </c>
      <c r="M9847" s="23" t="s">
        <v>8</v>
      </c>
    </row>
    <row r="9848" spans="1:13" s="21" customFormat="1" x14ac:dyDescent="0.25">
      <c r="A9848" s="22" t="s">
        <v>8</v>
      </c>
      <c r="B9848" s="18" t="str">
        <f>"365393"</f>
        <v>365393</v>
      </c>
      <c r="C9848" s="19" t="s">
        <v>9704</v>
      </c>
      <c r="D9848" s="19" t="s">
        <v>25259</v>
      </c>
      <c r="E9848" s="19" t="s">
        <v>30816</v>
      </c>
      <c r="F9848" s="19" t="s">
        <v>36009</v>
      </c>
      <c r="G9848" s="18" t="str">
        <f>"45640"</f>
        <v>45640</v>
      </c>
      <c r="H9848" s="19" t="s">
        <v>30816</v>
      </c>
      <c r="I9848" s="20">
        <v>21.385000000000002</v>
      </c>
      <c r="J9848" s="44" t="s">
        <v>8</v>
      </c>
      <c r="K9848" s="23" t="s">
        <v>8</v>
      </c>
      <c r="L9848" s="23" t="s">
        <v>8</v>
      </c>
      <c r="M9848" s="23" t="s">
        <v>8</v>
      </c>
    </row>
    <row r="9849" spans="1:13" s="21" customFormat="1" x14ac:dyDescent="0.25">
      <c r="A9849" s="22" t="s">
        <v>8</v>
      </c>
      <c r="B9849" s="18" t="str">
        <f>"365394"</f>
        <v>365394</v>
      </c>
      <c r="C9849" s="19" t="s">
        <v>9705</v>
      </c>
      <c r="D9849" s="19" t="s">
        <v>25260</v>
      </c>
      <c r="E9849" s="19" t="s">
        <v>34459</v>
      </c>
      <c r="F9849" s="19" t="s">
        <v>36009</v>
      </c>
      <c r="G9849" s="18" t="str">
        <f>"43701"</f>
        <v>43701</v>
      </c>
      <c r="H9849" s="19" t="s">
        <v>36680</v>
      </c>
      <c r="I9849" s="20">
        <v>18.11</v>
      </c>
      <c r="J9849" s="44" t="s">
        <v>8</v>
      </c>
      <c r="K9849" s="23" t="s">
        <v>8</v>
      </c>
      <c r="L9849" s="23" t="s">
        <v>8</v>
      </c>
      <c r="M9849" s="23" t="s">
        <v>8</v>
      </c>
    </row>
    <row r="9850" spans="1:13" s="21" customFormat="1" x14ac:dyDescent="0.25">
      <c r="A9850" s="22" t="s">
        <v>8</v>
      </c>
      <c r="B9850" s="18" t="str">
        <f>"365396"</f>
        <v>365396</v>
      </c>
      <c r="C9850" s="19" t="s">
        <v>9706</v>
      </c>
      <c r="D9850" s="19" t="s">
        <v>25261</v>
      </c>
      <c r="E9850" s="19" t="s">
        <v>31103</v>
      </c>
      <c r="F9850" s="19" t="s">
        <v>36009</v>
      </c>
      <c r="G9850" s="18" t="str">
        <f>"45014"</f>
        <v>45014</v>
      </c>
      <c r="H9850" s="19" t="s">
        <v>30876</v>
      </c>
      <c r="I9850" s="20">
        <v>21.696000000000002</v>
      </c>
      <c r="J9850" s="44" t="s">
        <v>8</v>
      </c>
      <c r="K9850" s="23" t="s">
        <v>8</v>
      </c>
      <c r="L9850" s="23" t="s">
        <v>8</v>
      </c>
      <c r="M9850" s="23" t="s">
        <v>8</v>
      </c>
    </row>
    <row r="9851" spans="1:13" s="21" customFormat="1" x14ac:dyDescent="0.25">
      <c r="A9851" s="22" t="s">
        <v>8</v>
      </c>
      <c r="B9851" s="18" t="str">
        <f>"365398"</f>
        <v>365398</v>
      </c>
      <c r="C9851" s="19" t="s">
        <v>9707</v>
      </c>
      <c r="D9851" s="19" t="s">
        <v>25262</v>
      </c>
      <c r="E9851" s="19" t="s">
        <v>34460</v>
      </c>
      <c r="F9851" s="19" t="s">
        <v>36009</v>
      </c>
      <c r="G9851" s="18" t="str">
        <f>"45694"</f>
        <v>45694</v>
      </c>
      <c r="H9851" s="19" t="s">
        <v>36678</v>
      </c>
      <c r="I9851" s="20">
        <v>17.757000000000001</v>
      </c>
      <c r="J9851" s="44" t="s">
        <v>8</v>
      </c>
      <c r="K9851" s="23" t="s">
        <v>8</v>
      </c>
      <c r="L9851" s="23" t="s">
        <v>8</v>
      </c>
      <c r="M9851" s="23" t="s">
        <v>8</v>
      </c>
    </row>
    <row r="9852" spans="1:13" s="21" customFormat="1" x14ac:dyDescent="0.25">
      <c r="A9852" s="22" t="s">
        <v>8</v>
      </c>
      <c r="B9852" s="18" t="str">
        <f>"365399"</f>
        <v>365399</v>
      </c>
      <c r="C9852" s="19" t="s">
        <v>9708</v>
      </c>
      <c r="D9852" s="19" t="s">
        <v>25263</v>
      </c>
      <c r="E9852" s="19" t="s">
        <v>31715</v>
      </c>
      <c r="F9852" s="19" t="s">
        <v>36009</v>
      </c>
      <c r="G9852" s="18" t="str">
        <f>"43231"</f>
        <v>43231</v>
      </c>
      <c r="H9852" s="19" t="s">
        <v>5</v>
      </c>
      <c r="I9852" s="20">
        <v>25.187000000000001</v>
      </c>
      <c r="J9852" s="44" t="s">
        <v>8</v>
      </c>
      <c r="K9852" s="23" t="s">
        <v>8</v>
      </c>
      <c r="L9852" s="23" t="s">
        <v>8</v>
      </c>
      <c r="M9852" s="23" t="s">
        <v>8</v>
      </c>
    </row>
    <row r="9853" spans="1:13" s="21" customFormat="1" x14ac:dyDescent="0.25">
      <c r="A9853" s="22" t="s">
        <v>8</v>
      </c>
      <c r="B9853" s="18" t="str">
        <f>"365401"</f>
        <v>365401</v>
      </c>
      <c r="C9853" s="19" t="s">
        <v>324</v>
      </c>
      <c r="D9853" s="19" t="s">
        <v>25264</v>
      </c>
      <c r="E9853" s="19" t="s">
        <v>10080</v>
      </c>
      <c r="F9853" s="19" t="s">
        <v>36009</v>
      </c>
      <c r="G9853" s="18" t="str">
        <f>"44146"</f>
        <v>44146</v>
      </c>
      <c r="H9853" s="19" t="s">
        <v>36671</v>
      </c>
      <c r="I9853" s="20">
        <v>17.986999999999998</v>
      </c>
      <c r="J9853" s="44" t="s">
        <v>8</v>
      </c>
      <c r="K9853" s="23" t="s">
        <v>8</v>
      </c>
      <c r="L9853" s="23" t="s">
        <v>8</v>
      </c>
      <c r="M9853" s="23" t="s">
        <v>8</v>
      </c>
    </row>
    <row r="9854" spans="1:13" s="21" customFormat="1" x14ac:dyDescent="0.25">
      <c r="A9854" s="22" t="s">
        <v>8</v>
      </c>
      <c r="B9854" s="18" t="str">
        <f>"365402"</f>
        <v>365402</v>
      </c>
      <c r="C9854" s="19" t="s">
        <v>9709</v>
      </c>
      <c r="D9854" s="19" t="s">
        <v>25265</v>
      </c>
      <c r="E9854" s="19" t="s">
        <v>33765</v>
      </c>
      <c r="F9854" s="19" t="s">
        <v>36009</v>
      </c>
      <c r="G9854" s="18" t="str">
        <f>"44601"</f>
        <v>44601</v>
      </c>
      <c r="H9854" s="19" t="s">
        <v>36240</v>
      </c>
      <c r="I9854" s="20">
        <v>18.46</v>
      </c>
      <c r="J9854" s="44" t="s">
        <v>8</v>
      </c>
      <c r="K9854" s="23" t="s">
        <v>8</v>
      </c>
      <c r="L9854" s="23" t="s">
        <v>8</v>
      </c>
      <c r="M9854" s="23" t="s">
        <v>8</v>
      </c>
    </row>
    <row r="9855" spans="1:13" s="21" customFormat="1" x14ac:dyDescent="0.25">
      <c r="A9855" s="22" t="s">
        <v>8</v>
      </c>
      <c r="B9855" s="18" t="str">
        <f>"365404"</f>
        <v>365404</v>
      </c>
      <c r="C9855" s="19" t="s">
        <v>9710</v>
      </c>
      <c r="D9855" s="19" t="s">
        <v>25266</v>
      </c>
      <c r="E9855" s="19" t="s">
        <v>32023</v>
      </c>
      <c r="F9855" s="19" t="s">
        <v>36009</v>
      </c>
      <c r="G9855" s="18" t="str">
        <f>"43050"</f>
        <v>43050</v>
      </c>
      <c r="H9855" s="19" t="s">
        <v>32252</v>
      </c>
      <c r="I9855" s="20">
        <v>16.821000000000002</v>
      </c>
      <c r="J9855" s="44" t="s">
        <v>8</v>
      </c>
      <c r="K9855" s="23" t="s">
        <v>8</v>
      </c>
      <c r="L9855" s="23" t="s">
        <v>8</v>
      </c>
      <c r="M9855" s="23" t="s">
        <v>8</v>
      </c>
    </row>
    <row r="9856" spans="1:13" s="21" customFormat="1" x14ac:dyDescent="0.25">
      <c r="A9856" s="22" t="s">
        <v>8</v>
      </c>
      <c r="B9856" s="18" t="str">
        <f>"365405"</f>
        <v>365405</v>
      </c>
      <c r="C9856" s="19" t="s">
        <v>9711</v>
      </c>
      <c r="D9856" s="19" t="s">
        <v>25267</v>
      </c>
      <c r="E9856" s="19" t="s">
        <v>32266</v>
      </c>
      <c r="F9856" s="19" t="s">
        <v>36009</v>
      </c>
      <c r="G9856" s="18" t="str">
        <f>"45817"</f>
        <v>45817</v>
      </c>
      <c r="H9856" s="19" t="s">
        <v>34710</v>
      </c>
      <c r="I9856" s="20">
        <v>17.288</v>
      </c>
      <c r="J9856" s="44" t="s">
        <v>8</v>
      </c>
      <c r="K9856" s="23" t="s">
        <v>8</v>
      </c>
      <c r="L9856" s="23" t="s">
        <v>8</v>
      </c>
      <c r="M9856" s="23" t="s">
        <v>8</v>
      </c>
    </row>
    <row r="9857" spans="1:13" s="21" customFormat="1" x14ac:dyDescent="0.25">
      <c r="A9857" s="22" t="s">
        <v>8</v>
      </c>
      <c r="B9857" s="18" t="str">
        <f>"365406"</f>
        <v>365406</v>
      </c>
      <c r="C9857" s="19" t="s">
        <v>9712</v>
      </c>
      <c r="D9857" s="19" t="s">
        <v>25268</v>
      </c>
      <c r="E9857" s="19" t="s">
        <v>34449</v>
      </c>
      <c r="F9857" s="19" t="s">
        <v>36009</v>
      </c>
      <c r="G9857" s="18" t="str">
        <f>"44203"</f>
        <v>44203</v>
      </c>
      <c r="H9857" s="19" t="s">
        <v>36107</v>
      </c>
      <c r="I9857" s="20">
        <v>20.632000000000001</v>
      </c>
      <c r="J9857" s="44" t="s">
        <v>8</v>
      </c>
      <c r="K9857" s="23" t="s">
        <v>8</v>
      </c>
      <c r="L9857" s="23" t="s">
        <v>8</v>
      </c>
      <c r="M9857" s="23" t="s">
        <v>8</v>
      </c>
    </row>
    <row r="9858" spans="1:13" s="21" customFormat="1" x14ac:dyDescent="0.25">
      <c r="A9858" s="22" t="s">
        <v>8</v>
      </c>
      <c r="B9858" s="18" t="str">
        <f>"365407"</f>
        <v>365407</v>
      </c>
      <c r="C9858" s="19" t="s">
        <v>9713</v>
      </c>
      <c r="D9858" s="19" t="s">
        <v>25269</v>
      </c>
      <c r="E9858" s="19" t="s">
        <v>34461</v>
      </c>
      <c r="F9858" s="19" t="s">
        <v>36009</v>
      </c>
      <c r="G9858" s="18" t="str">
        <f>"45853"</f>
        <v>45853</v>
      </c>
      <c r="H9858" s="19" t="s">
        <v>31482</v>
      </c>
      <c r="I9858" s="20">
        <v>17.07</v>
      </c>
      <c r="J9858" s="44" t="s">
        <v>8</v>
      </c>
      <c r="K9858" s="23" t="s">
        <v>8</v>
      </c>
      <c r="L9858" s="23" t="s">
        <v>8</v>
      </c>
      <c r="M9858" s="23" t="s">
        <v>8</v>
      </c>
    </row>
    <row r="9859" spans="1:13" s="21" customFormat="1" x14ac:dyDescent="0.25">
      <c r="A9859" s="22" t="s">
        <v>8</v>
      </c>
      <c r="B9859" s="18" t="str">
        <f>"365408"</f>
        <v>365408</v>
      </c>
      <c r="C9859" s="19" t="s">
        <v>9714</v>
      </c>
      <c r="D9859" s="19" t="s">
        <v>25270</v>
      </c>
      <c r="E9859" s="19" t="s">
        <v>34462</v>
      </c>
      <c r="F9859" s="19" t="s">
        <v>36009</v>
      </c>
      <c r="G9859" s="18" t="str">
        <f>"43015"</f>
        <v>43015</v>
      </c>
      <c r="H9859" s="19" t="s">
        <v>34462</v>
      </c>
      <c r="I9859" s="20">
        <v>16.812000000000001</v>
      </c>
      <c r="J9859" s="44" t="s">
        <v>8</v>
      </c>
      <c r="K9859" s="23" t="s">
        <v>8</v>
      </c>
      <c r="L9859" s="23" t="s">
        <v>8</v>
      </c>
      <c r="M9859" s="23" t="s">
        <v>8</v>
      </c>
    </row>
    <row r="9860" spans="1:13" s="21" customFormat="1" x14ac:dyDescent="0.25">
      <c r="A9860" s="22" t="s">
        <v>8</v>
      </c>
      <c r="B9860" s="18" t="str">
        <f>"365410"</f>
        <v>365410</v>
      </c>
      <c r="C9860" s="19" t="s">
        <v>9715</v>
      </c>
      <c r="D9860" s="19" t="s">
        <v>25271</v>
      </c>
      <c r="E9860" s="19" t="s">
        <v>31715</v>
      </c>
      <c r="F9860" s="19" t="s">
        <v>36009</v>
      </c>
      <c r="G9860" s="18" t="str">
        <f>"43230"</f>
        <v>43230</v>
      </c>
      <c r="H9860" s="19" t="s">
        <v>5</v>
      </c>
      <c r="I9860" s="20">
        <v>17.948</v>
      </c>
      <c r="J9860" s="44" t="s">
        <v>8</v>
      </c>
      <c r="K9860" s="23" t="s">
        <v>8</v>
      </c>
      <c r="L9860" s="23" t="s">
        <v>8</v>
      </c>
      <c r="M9860" s="23" t="s">
        <v>8</v>
      </c>
    </row>
    <row r="9861" spans="1:13" s="21" customFormat="1" x14ac:dyDescent="0.25">
      <c r="A9861" s="22" t="s">
        <v>8</v>
      </c>
      <c r="B9861" s="18" t="str">
        <f>"365411"</f>
        <v>365411</v>
      </c>
      <c r="C9861" s="19" t="s">
        <v>9716</v>
      </c>
      <c r="D9861" s="19" t="s">
        <v>25272</v>
      </c>
      <c r="E9861" s="19" t="s">
        <v>32569</v>
      </c>
      <c r="F9861" s="19" t="s">
        <v>36009</v>
      </c>
      <c r="G9861" s="18" t="str">
        <f>"44003"</f>
        <v>44003</v>
      </c>
      <c r="H9861" s="19" t="s">
        <v>34437</v>
      </c>
      <c r="I9861" s="20">
        <v>16.422000000000001</v>
      </c>
      <c r="J9861" s="44" t="s">
        <v>8</v>
      </c>
      <c r="K9861" s="23" t="s">
        <v>8</v>
      </c>
      <c r="L9861" s="23" t="s">
        <v>8</v>
      </c>
      <c r="M9861" s="23" t="s">
        <v>8</v>
      </c>
    </row>
    <row r="9862" spans="1:13" s="21" customFormat="1" x14ac:dyDescent="0.25">
      <c r="A9862" s="22" t="s">
        <v>8</v>
      </c>
      <c r="B9862" s="18" t="str">
        <f>"365412"</f>
        <v>365412</v>
      </c>
      <c r="C9862" s="19" t="s">
        <v>9717</v>
      </c>
      <c r="D9862" s="19" t="s">
        <v>25273</v>
      </c>
      <c r="E9862" s="19" t="s">
        <v>31025</v>
      </c>
      <c r="F9862" s="19" t="s">
        <v>36009</v>
      </c>
      <c r="G9862" s="18" t="str">
        <f>"44483"</f>
        <v>44483</v>
      </c>
      <c r="H9862" s="19" t="s">
        <v>31393</v>
      </c>
      <c r="I9862" s="20">
        <v>18.108000000000001</v>
      </c>
      <c r="J9862" s="44" t="s">
        <v>8</v>
      </c>
      <c r="K9862" s="23" t="s">
        <v>8</v>
      </c>
      <c r="L9862" s="23" t="s">
        <v>8</v>
      </c>
      <c r="M9862" s="23" t="s">
        <v>8</v>
      </c>
    </row>
    <row r="9863" spans="1:13" s="21" customFormat="1" x14ac:dyDescent="0.25">
      <c r="A9863" s="22" t="s">
        <v>8</v>
      </c>
      <c r="B9863" s="18" t="str">
        <f>"365416"</f>
        <v>365416</v>
      </c>
      <c r="C9863" s="19" t="s">
        <v>9718</v>
      </c>
      <c r="D9863" s="19" t="s">
        <v>25274</v>
      </c>
      <c r="E9863" s="19" t="s">
        <v>31715</v>
      </c>
      <c r="F9863" s="19" t="s">
        <v>36009</v>
      </c>
      <c r="G9863" s="18" t="str">
        <f>"43215"</f>
        <v>43215</v>
      </c>
      <c r="H9863" s="19" t="s">
        <v>5</v>
      </c>
      <c r="I9863" s="20">
        <v>15.888</v>
      </c>
      <c r="J9863" s="44" t="s">
        <v>8</v>
      </c>
      <c r="K9863" s="23" t="s">
        <v>8</v>
      </c>
      <c r="L9863" s="23" t="s">
        <v>8</v>
      </c>
      <c r="M9863" s="23" t="s">
        <v>8</v>
      </c>
    </row>
    <row r="9864" spans="1:13" s="21" customFormat="1" x14ac:dyDescent="0.25">
      <c r="A9864" s="22" t="s">
        <v>8</v>
      </c>
      <c r="B9864" s="18" t="str">
        <f>"365417"</f>
        <v>365417</v>
      </c>
      <c r="C9864" s="19" t="s">
        <v>9719</v>
      </c>
      <c r="D9864" s="19" t="s">
        <v>25275</v>
      </c>
      <c r="E9864" s="19" t="s">
        <v>31492</v>
      </c>
      <c r="F9864" s="19" t="s">
        <v>36009</v>
      </c>
      <c r="G9864" s="18" t="str">
        <f>"44622"</f>
        <v>44622</v>
      </c>
      <c r="H9864" s="19" t="s">
        <v>36675</v>
      </c>
      <c r="I9864" s="20">
        <v>21.131</v>
      </c>
      <c r="J9864" s="44" t="s">
        <v>8</v>
      </c>
      <c r="K9864" s="23" t="s">
        <v>8</v>
      </c>
      <c r="L9864" s="23" t="s">
        <v>8</v>
      </c>
      <c r="M9864" s="23" t="s">
        <v>8</v>
      </c>
    </row>
    <row r="9865" spans="1:13" s="21" customFormat="1" x14ac:dyDescent="0.25">
      <c r="A9865" s="22" t="s">
        <v>8</v>
      </c>
      <c r="B9865" s="18" t="str">
        <f>"365418"</f>
        <v>365418</v>
      </c>
      <c r="C9865" s="19" t="s">
        <v>9720</v>
      </c>
      <c r="D9865" s="19" t="s">
        <v>25276</v>
      </c>
      <c r="E9865" s="19" t="s">
        <v>31175</v>
      </c>
      <c r="F9865" s="19" t="s">
        <v>36009</v>
      </c>
      <c r="G9865" s="18" t="str">
        <f>"43420"</f>
        <v>43420</v>
      </c>
      <c r="H9865" s="19" t="s">
        <v>33186</v>
      </c>
      <c r="I9865" s="20">
        <v>16.809000000000001</v>
      </c>
      <c r="J9865" s="44" t="s">
        <v>8</v>
      </c>
      <c r="K9865" s="23" t="s">
        <v>8</v>
      </c>
      <c r="L9865" s="23" t="s">
        <v>8</v>
      </c>
      <c r="M9865" s="23" t="s">
        <v>8</v>
      </c>
    </row>
    <row r="9866" spans="1:13" s="21" customFormat="1" x14ac:dyDescent="0.25">
      <c r="A9866" s="22" t="s">
        <v>8</v>
      </c>
      <c r="B9866" s="18" t="str">
        <f>"365420"</f>
        <v>365420</v>
      </c>
      <c r="C9866" s="19" t="s">
        <v>9721</v>
      </c>
      <c r="D9866" s="19" t="s">
        <v>25277</v>
      </c>
      <c r="E9866" s="19" t="s">
        <v>31717</v>
      </c>
      <c r="F9866" s="19" t="s">
        <v>36009</v>
      </c>
      <c r="G9866" s="18" t="str">
        <f>"45503"</f>
        <v>45503</v>
      </c>
      <c r="H9866" s="19" t="s">
        <v>33967</v>
      </c>
      <c r="I9866" s="20">
        <v>19.305</v>
      </c>
      <c r="J9866" s="44" t="s">
        <v>8</v>
      </c>
      <c r="K9866" s="23" t="s">
        <v>8</v>
      </c>
      <c r="L9866" s="23" t="s">
        <v>8</v>
      </c>
      <c r="M9866" s="23" t="s">
        <v>8</v>
      </c>
    </row>
    <row r="9867" spans="1:13" s="21" customFormat="1" x14ac:dyDescent="0.25">
      <c r="A9867" s="22" t="s">
        <v>8</v>
      </c>
      <c r="B9867" s="18" t="str">
        <f>"365421"</f>
        <v>365421</v>
      </c>
      <c r="C9867" s="19" t="s">
        <v>9722</v>
      </c>
      <c r="D9867" s="19" t="s">
        <v>25278</v>
      </c>
      <c r="E9867" s="19" t="s">
        <v>34427</v>
      </c>
      <c r="F9867" s="19" t="s">
        <v>36009</v>
      </c>
      <c r="G9867" s="18" t="str">
        <f>"43081"</f>
        <v>43081</v>
      </c>
      <c r="H9867" s="19" t="s">
        <v>5</v>
      </c>
      <c r="I9867" s="20">
        <v>17.52</v>
      </c>
      <c r="J9867" s="44" t="s">
        <v>8</v>
      </c>
      <c r="K9867" s="23" t="s">
        <v>8</v>
      </c>
      <c r="L9867" s="23" t="s">
        <v>8</v>
      </c>
      <c r="M9867" s="23" t="s">
        <v>8</v>
      </c>
    </row>
    <row r="9868" spans="1:13" s="21" customFormat="1" x14ac:dyDescent="0.25">
      <c r="A9868" s="22" t="s">
        <v>8</v>
      </c>
      <c r="B9868" s="18" t="str">
        <f>"365422"</f>
        <v>365422</v>
      </c>
      <c r="C9868" s="19" t="s">
        <v>9723</v>
      </c>
      <c r="D9868" s="19" t="s">
        <v>25279</v>
      </c>
      <c r="E9868" s="19" t="s">
        <v>32277</v>
      </c>
      <c r="F9868" s="19" t="s">
        <v>36009</v>
      </c>
      <c r="G9868" s="18" t="str">
        <f>"45309"</f>
        <v>45309</v>
      </c>
      <c r="H9868" s="19" t="s">
        <v>30833</v>
      </c>
      <c r="I9868" s="20">
        <v>18.041</v>
      </c>
      <c r="J9868" s="44" t="s">
        <v>8</v>
      </c>
      <c r="K9868" s="23" t="s">
        <v>8</v>
      </c>
      <c r="L9868" s="23" t="s">
        <v>8</v>
      </c>
      <c r="M9868" s="23" t="s">
        <v>8</v>
      </c>
    </row>
    <row r="9869" spans="1:13" s="21" customFormat="1" x14ac:dyDescent="0.25">
      <c r="A9869" s="22" t="s">
        <v>8</v>
      </c>
      <c r="B9869" s="18" t="str">
        <f>"365423"</f>
        <v>365423</v>
      </c>
      <c r="C9869" s="19" t="s">
        <v>9724</v>
      </c>
      <c r="D9869" s="19" t="s">
        <v>25280</v>
      </c>
      <c r="E9869" s="19" t="s">
        <v>34412</v>
      </c>
      <c r="F9869" s="19" t="s">
        <v>36009</v>
      </c>
      <c r="G9869" s="18" t="str">
        <f>"45230"</f>
        <v>45230</v>
      </c>
      <c r="H9869" s="19" t="s">
        <v>30804</v>
      </c>
      <c r="I9869" s="20">
        <v>17.702999999999999</v>
      </c>
      <c r="J9869" s="44" t="s">
        <v>8</v>
      </c>
      <c r="K9869" s="23" t="s">
        <v>8</v>
      </c>
      <c r="L9869" s="23" t="s">
        <v>8</v>
      </c>
      <c r="M9869" s="23" t="s">
        <v>8</v>
      </c>
    </row>
    <row r="9870" spans="1:13" s="21" customFormat="1" x14ac:dyDescent="0.25">
      <c r="A9870" s="22" t="s">
        <v>8</v>
      </c>
      <c r="B9870" s="18" t="str">
        <f>"365424"</f>
        <v>365424</v>
      </c>
      <c r="C9870" s="19" t="s">
        <v>9725</v>
      </c>
      <c r="D9870" s="19" t="s">
        <v>25281</v>
      </c>
      <c r="E9870" s="19" t="s">
        <v>31717</v>
      </c>
      <c r="F9870" s="19" t="s">
        <v>36009</v>
      </c>
      <c r="G9870" s="18" t="str">
        <f>"45506"</f>
        <v>45506</v>
      </c>
      <c r="H9870" s="19" t="s">
        <v>33967</v>
      </c>
      <c r="I9870" s="20">
        <v>19.454000000000001</v>
      </c>
      <c r="J9870" s="44" t="s">
        <v>8</v>
      </c>
      <c r="K9870" s="23" t="s">
        <v>8</v>
      </c>
      <c r="L9870" s="23" t="s">
        <v>8</v>
      </c>
      <c r="M9870" s="23" t="s">
        <v>8</v>
      </c>
    </row>
    <row r="9871" spans="1:13" s="21" customFormat="1" x14ac:dyDescent="0.25">
      <c r="A9871" s="22" t="s">
        <v>8</v>
      </c>
      <c r="B9871" s="18" t="str">
        <f>"365425"</f>
        <v>365425</v>
      </c>
      <c r="C9871" s="19" t="s">
        <v>9726</v>
      </c>
      <c r="D9871" s="19" t="s">
        <v>25282</v>
      </c>
      <c r="E9871" s="19" t="s">
        <v>31494</v>
      </c>
      <c r="F9871" s="19" t="s">
        <v>36009</v>
      </c>
      <c r="G9871" s="18" t="str">
        <f>"43055"</f>
        <v>43055</v>
      </c>
      <c r="H9871" s="19" t="s">
        <v>33689</v>
      </c>
      <c r="I9871" s="20">
        <v>22.381</v>
      </c>
      <c r="J9871" s="44" t="s">
        <v>8</v>
      </c>
      <c r="K9871" s="23" t="s">
        <v>8</v>
      </c>
      <c r="L9871" s="23" t="s">
        <v>8</v>
      </c>
      <c r="M9871" s="23" t="s">
        <v>8</v>
      </c>
    </row>
    <row r="9872" spans="1:13" s="21" customFormat="1" x14ac:dyDescent="0.25">
      <c r="A9872" s="22" t="s">
        <v>8</v>
      </c>
      <c r="B9872" s="18" t="str">
        <f>"365426"</f>
        <v>365426</v>
      </c>
      <c r="C9872" s="19" t="s">
        <v>9727</v>
      </c>
      <c r="D9872" s="19" t="s">
        <v>25283</v>
      </c>
      <c r="E9872" s="19" t="s">
        <v>34463</v>
      </c>
      <c r="F9872" s="19" t="s">
        <v>36009</v>
      </c>
      <c r="G9872" s="18" t="str">
        <f>"43162"</f>
        <v>43162</v>
      </c>
      <c r="H9872" s="19" t="s">
        <v>30899</v>
      </c>
      <c r="I9872" s="20">
        <v>18.117999999999999</v>
      </c>
      <c r="J9872" s="44" t="s">
        <v>8</v>
      </c>
      <c r="K9872" s="23" t="s">
        <v>8</v>
      </c>
      <c r="L9872" s="23" t="s">
        <v>8</v>
      </c>
      <c r="M9872" s="23" t="s">
        <v>8</v>
      </c>
    </row>
    <row r="9873" spans="1:13" s="21" customFormat="1" x14ac:dyDescent="0.25">
      <c r="A9873" s="22" t="s">
        <v>8</v>
      </c>
      <c r="B9873" s="18" t="str">
        <f>"365427"</f>
        <v>365427</v>
      </c>
      <c r="C9873" s="19" t="s">
        <v>9728</v>
      </c>
      <c r="D9873" s="19" t="s">
        <v>25284</v>
      </c>
      <c r="E9873" s="19" t="s">
        <v>31344</v>
      </c>
      <c r="F9873" s="19" t="s">
        <v>36009</v>
      </c>
      <c r="G9873" s="18" t="str">
        <f>"45140"</f>
        <v>45140</v>
      </c>
      <c r="H9873" s="19" t="s">
        <v>31621</v>
      </c>
      <c r="I9873" s="20">
        <v>18.096</v>
      </c>
      <c r="J9873" s="44" t="s">
        <v>8</v>
      </c>
      <c r="K9873" s="23" t="s">
        <v>8</v>
      </c>
      <c r="L9873" s="23" t="s">
        <v>8</v>
      </c>
      <c r="M9873" s="23" t="s">
        <v>8</v>
      </c>
    </row>
    <row r="9874" spans="1:13" s="21" customFormat="1" x14ac:dyDescent="0.25">
      <c r="A9874" s="22" t="s">
        <v>8</v>
      </c>
      <c r="B9874" s="18" t="str">
        <f>"365428"</f>
        <v>365428</v>
      </c>
      <c r="C9874" s="19" t="s">
        <v>9729</v>
      </c>
      <c r="D9874" s="19" t="s">
        <v>25285</v>
      </c>
      <c r="E9874" s="19" t="s">
        <v>34435</v>
      </c>
      <c r="F9874" s="19" t="s">
        <v>36009</v>
      </c>
      <c r="G9874" s="18" t="str">
        <f>"44281"</f>
        <v>44281</v>
      </c>
      <c r="H9874" s="19" t="s">
        <v>34102</v>
      </c>
      <c r="I9874" s="20">
        <v>18.774000000000001</v>
      </c>
      <c r="J9874" s="44" t="s">
        <v>8</v>
      </c>
      <c r="K9874" s="23" t="s">
        <v>8</v>
      </c>
      <c r="L9874" s="23" t="s">
        <v>8</v>
      </c>
      <c r="M9874" s="23" t="s">
        <v>8</v>
      </c>
    </row>
    <row r="9875" spans="1:13" s="21" customFormat="1" x14ac:dyDescent="0.25">
      <c r="A9875" s="22" t="s">
        <v>8</v>
      </c>
      <c r="B9875" s="18" t="str">
        <f>"365429"</f>
        <v>365429</v>
      </c>
      <c r="C9875" s="19" t="s">
        <v>9730</v>
      </c>
      <c r="D9875" s="19" t="s">
        <v>25286</v>
      </c>
      <c r="E9875" s="19" t="s">
        <v>34464</v>
      </c>
      <c r="F9875" s="19" t="s">
        <v>36009</v>
      </c>
      <c r="G9875" s="18" t="str">
        <f>"43832"</f>
        <v>43832</v>
      </c>
      <c r="H9875" s="19" t="s">
        <v>36675</v>
      </c>
      <c r="I9875" s="20">
        <v>17.757000000000001</v>
      </c>
      <c r="J9875" s="44" t="s">
        <v>8</v>
      </c>
      <c r="K9875" s="23" t="s">
        <v>8</v>
      </c>
      <c r="L9875" s="23" t="s">
        <v>8</v>
      </c>
      <c r="M9875" s="23" t="s">
        <v>8</v>
      </c>
    </row>
    <row r="9876" spans="1:13" s="21" customFormat="1" x14ac:dyDescent="0.25">
      <c r="A9876" s="22" t="s">
        <v>8</v>
      </c>
      <c r="B9876" s="18" t="str">
        <f>"365430"</f>
        <v>365430</v>
      </c>
      <c r="C9876" s="19" t="s">
        <v>9731</v>
      </c>
      <c r="D9876" s="19" t="s">
        <v>25287</v>
      </c>
      <c r="E9876" s="19" t="s">
        <v>31181</v>
      </c>
      <c r="F9876" s="19" t="s">
        <v>36009</v>
      </c>
      <c r="G9876" s="18" t="str">
        <f>"44857"</f>
        <v>44857</v>
      </c>
      <c r="H9876" s="19" t="s">
        <v>34559</v>
      </c>
      <c r="I9876" s="20">
        <v>19.998999999999999</v>
      </c>
      <c r="J9876" s="44" t="s">
        <v>8</v>
      </c>
      <c r="K9876" s="23" t="s">
        <v>8</v>
      </c>
      <c r="L9876" s="23" t="s">
        <v>8</v>
      </c>
      <c r="M9876" s="23" t="s">
        <v>8</v>
      </c>
    </row>
    <row r="9877" spans="1:13" s="21" customFormat="1" x14ac:dyDescent="0.25">
      <c r="A9877" s="22" t="s">
        <v>8</v>
      </c>
      <c r="B9877" s="18" t="str">
        <f>"365431"</f>
        <v>365431</v>
      </c>
      <c r="C9877" s="19" t="s">
        <v>9732</v>
      </c>
      <c r="D9877" s="19" t="s">
        <v>25288</v>
      </c>
      <c r="E9877" s="19" t="s">
        <v>34465</v>
      </c>
      <c r="F9877" s="19" t="s">
        <v>36009</v>
      </c>
      <c r="G9877" s="18" t="str">
        <f>"45692"</f>
        <v>45692</v>
      </c>
      <c r="H9877" s="19" t="s">
        <v>30816</v>
      </c>
      <c r="I9877" s="20">
        <v>19.79</v>
      </c>
      <c r="J9877" s="44" t="s">
        <v>8</v>
      </c>
      <c r="K9877" s="23" t="s">
        <v>8</v>
      </c>
      <c r="L9877" s="23" t="s">
        <v>8</v>
      </c>
      <c r="M9877" s="23" t="s">
        <v>8</v>
      </c>
    </row>
    <row r="9878" spans="1:13" s="21" customFormat="1" x14ac:dyDescent="0.25">
      <c r="A9878" s="22" t="s">
        <v>8</v>
      </c>
      <c r="B9878" s="18" t="str">
        <f>"365432"</f>
        <v>365432</v>
      </c>
      <c r="C9878" s="19" t="s">
        <v>9733</v>
      </c>
      <c r="D9878" s="19" t="s">
        <v>25289</v>
      </c>
      <c r="E9878" s="19" t="s">
        <v>34466</v>
      </c>
      <c r="F9878" s="19" t="s">
        <v>36009</v>
      </c>
      <c r="G9878" s="18" t="str">
        <f>"44133"</f>
        <v>44133</v>
      </c>
      <c r="H9878" s="19" t="s">
        <v>36671</v>
      </c>
      <c r="I9878" s="20">
        <v>16.376000000000001</v>
      </c>
      <c r="J9878" s="44" t="s">
        <v>8</v>
      </c>
      <c r="K9878" s="23" t="s">
        <v>8</v>
      </c>
      <c r="L9878" s="23" t="s">
        <v>8</v>
      </c>
      <c r="M9878" s="23" t="s">
        <v>8</v>
      </c>
    </row>
    <row r="9879" spans="1:13" s="21" customFormat="1" x14ac:dyDescent="0.25">
      <c r="A9879" s="22" t="s">
        <v>8</v>
      </c>
      <c r="B9879" s="18" t="str">
        <f>"365433"</f>
        <v>365433</v>
      </c>
      <c r="C9879" s="19" t="s">
        <v>9734</v>
      </c>
      <c r="D9879" s="19" t="s">
        <v>25290</v>
      </c>
      <c r="E9879" s="19" t="s">
        <v>34421</v>
      </c>
      <c r="F9879" s="19" t="s">
        <v>36009</v>
      </c>
      <c r="G9879" s="18" t="str">
        <f>"44509"</f>
        <v>44509</v>
      </c>
      <c r="H9879" s="19" t="s">
        <v>36674</v>
      </c>
      <c r="I9879" s="20">
        <v>20.324999999999999</v>
      </c>
      <c r="J9879" s="44" t="s">
        <v>8</v>
      </c>
      <c r="K9879" s="23" t="s">
        <v>8</v>
      </c>
      <c r="L9879" s="23" t="s">
        <v>8</v>
      </c>
      <c r="M9879" s="23" t="s">
        <v>8</v>
      </c>
    </row>
    <row r="9880" spans="1:13" s="21" customFormat="1" x14ac:dyDescent="0.25">
      <c r="A9880" s="22" t="s">
        <v>8</v>
      </c>
      <c r="B9880" s="18" t="str">
        <f>"365435"</f>
        <v>365435</v>
      </c>
      <c r="C9880" s="19" t="s">
        <v>9735</v>
      </c>
      <c r="D9880" s="19" t="s">
        <v>25291</v>
      </c>
      <c r="E9880" s="19" t="s">
        <v>32373</v>
      </c>
      <c r="F9880" s="19" t="s">
        <v>36009</v>
      </c>
      <c r="G9880" s="18" t="str">
        <f>"43138"</f>
        <v>43138</v>
      </c>
      <c r="H9880" s="19" t="s">
        <v>36681</v>
      </c>
      <c r="I9880" s="20">
        <v>21.661000000000001</v>
      </c>
      <c r="J9880" s="44" t="s">
        <v>8</v>
      </c>
      <c r="K9880" s="23" t="s">
        <v>8</v>
      </c>
      <c r="L9880" s="23" t="s">
        <v>8</v>
      </c>
      <c r="M9880" s="23" t="s">
        <v>8</v>
      </c>
    </row>
    <row r="9881" spans="1:13" s="21" customFormat="1" x14ac:dyDescent="0.25">
      <c r="A9881" s="22" t="s">
        <v>8</v>
      </c>
      <c r="B9881" s="18" t="str">
        <f>"365436"</f>
        <v>365436</v>
      </c>
      <c r="C9881" s="19" t="s">
        <v>9736</v>
      </c>
      <c r="D9881" s="19" t="s">
        <v>25292</v>
      </c>
      <c r="E9881" s="19" t="s">
        <v>31715</v>
      </c>
      <c r="F9881" s="19" t="s">
        <v>36009</v>
      </c>
      <c r="G9881" s="18" t="str">
        <f>"43213"</f>
        <v>43213</v>
      </c>
      <c r="H9881" s="19" t="s">
        <v>5</v>
      </c>
      <c r="I9881" s="20">
        <v>16.164000000000001</v>
      </c>
      <c r="J9881" s="44" t="s">
        <v>8</v>
      </c>
      <c r="K9881" s="23" t="s">
        <v>8</v>
      </c>
      <c r="L9881" s="23" t="s">
        <v>8</v>
      </c>
      <c r="M9881" s="23" t="s">
        <v>8</v>
      </c>
    </row>
    <row r="9882" spans="1:13" s="21" customFormat="1" x14ac:dyDescent="0.25">
      <c r="A9882" s="22" t="s">
        <v>8</v>
      </c>
      <c r="B9882" s="18" t="str">
        <f>"365437"</f>
        <v>365437</v>
      </c>
      <c r="C9882" s="19" t="s">
        <v>9737</v>
      </c>
      <c r="D9882" s="19" t="s">
        <v>25293</v>
      </c>
      <c r="E9882" s="19" t="s">
        <v>31974</v>
      </c>
      <c r="F9882" s="19" t="s">
        <v>36009</v>
      </c>
      <c r="G9882" s="18" t="str">
        <f>"43078"</f>
        <v>43078</v>
      </c>
      <c r="H9882" s="19" t="s">
        <v>31939</v>
      </c>
      <c r="I9882" s="20">
        <v>16.983000000000001</v>
      </c>
      <c r="J9882" s="44" t="s">
        <v>8</v>
      </c>
      <c r="K9882" s="23" t="s">
        <v>8</v>
      </c>
      <c r="L9882" s="23" t="s">
        <v>8</v>
      </c>
      <c r="M9882" s="23" t="s">
        <v>8</v>
      </c>
    </row>
    <row r="9883" spans="1:13" s="21" customFormat="1" x14ac:dyDescent="0.25">
      <c r="A9883" s="22" t="s">
        <v>8</v>
      </c>
      <c r="B9883" s="18" t="str">
        <f>"365440"</f>
        <v>365440</v>
      </c>
      <c r="C9883" s="19" t="s">
        <v>9738</v>
      </c>
      <c r="D9883" s="19" t="s">
        <v>25294</v>
      </c>
      <c r="E9883" s="19" t="s">
        <v>31494</v>
      </c>
      <c r="F9883" s="19" t="s">
        <v>36009</v>
      </c>
      <c r="G9883" s="18" t="str">
        <f>"43055"</f>
        <v>43055</v>
      </c>
      <c r="H9883" s="19" t="s">
        <v>33689</v>
      </c>
      <c r="I9883" s="20">
        <v>19.690000000000001</v>
      </c>
      <c r="J9883" s="44" t="s">
        <v>8</v>
      </c>
      <c r="K9883" s="23" t="s">
        <v>8</v>
      </c>
      <c r="L9883" s="23" t="s">
        <v>8</v>
      </c>
      <c r="M9883" s="23" t="s">
        <v>8</v>
      </c>
    </row>
    <row r="9884" spans="1:13" s="21" customFormat="1" x14ac:dyDescent="0.25">
      <c r="A9884" s="22" t="s">
        <v>8</v>
      </c>
      <c r="B9884" s="18" t="str">
        <f>"365441"</f>
        <v>365441</v>
      </c>
      <c r="C9884" s="19" t="s">
        <v>9739</v>
      </c>
      <c r="D9884" s="19" t="s">
        <v>25295</v>
      </c>
      <c r="E9884" s="19" t="s">
        <v>34467</v>
      </c>
      <c r="F9884" s="19" t="s">
        <v>36009</v>
      </c>
      <c r="G9884" s="18" t="str">
        <f>"44030"</f>
        <v>44030</v>
      </c>
      <c r="H9884" s="19" t="s">
        <v>34437</v>
      </c>
      <c r="I9884" s="20">
        <v>16.459</v>
      </c>
      <c r="J9884" s="44" t="s">
        <v>8</v>
      </c>
      <c r="K9884" s="23" t="s">
        <v>8</v>
      </c>
      <c r="L9884" s="23" t="s">
        <v>8</v>
      </c>
      <c r="M9884" s="23" t="s">
        <v>8</v>
      </c>
    </row>
    <row r="9885" spans="1:13" s="21" customFormat="1" x14ac:dyDescent="0.25">
      <c r="A9885" s="22" t="s">
        <v>8</v>
      </c>
      <c r="B9885" s="18" t="str">
        <f>"365443"</f>
        <v>365443</v>
      </c>
      <c r="C9885" s="19" t="s">
        <v>9740</v>
      </c>
      <c r="D9885" s="19" t="s">
        <v>25296</v>
      </c>
      <c r="E9885" s="19" t="s">
        <v>31405</v>
      </c>
      <c r="F9885" s="19" t="s">
        <v>36009</v>
      </c>
      <c r="G9885" s="18" t="str">
        <f>"45150"</f>
        <v>45150</v>
      </c>
      <c r="H9885" s="19" t="s">
        <v>31621</v>
      </c>
      <c r="I9885" s="20">
        <v>17.454999999999998</v>
      </c>
      <c r="J9885" s="44" t="s">
        <v>8</v>
      </c>
      <c r="K9885" s="23" t="s">
        <v>8</v>
      </c>
      <c r="L9885" s="23" t="s">
        <v>8</v>
      </c>
      <c r="M9885" s="23" t="s">
        <v>8</v>
      </c>
    </row>
    <row r="9886" spans="1:13" s="21" customFormat="1" x14ac:dyDescent="0.25">
      <c r="A9886" s="22" t="s">
        <v>8</v>
      </c>
      <c r="B9886" s="18" t="str">
        <f>"365444"</f>
        <v>365444</v>
      </c>
      <c r="C9886" s="19" t="s">
        <v>9741</v>
      </c>
      <c r="D9886" s="19" t="s">
        <v>25297</v>
      </c>
      <c r="E9886" s="19" t="s">
        <v>33852</v>
      </c>
      <c r="F9886" s="19" t="s">
        <v>36009</v>
      </c>
      <c r="G9886" s="18" t="str">
        <f>"45662"</f>
        <v>45662</v>
      </c>
      <c r="H9886" s="19" t="s">
        <v>36678</v>
      </c>
      <c r="I9886" s="20">
        <v>19.811</v>
      </c>
      <c r="J9886" s="44" t="s">
        <v>8</v>
      </c>
      <c r="K9886" s="23" t="s">
        <v>8</v>
      </c>
      <c r="L9886" s="23" t="s">
        <v>8</v>
      </c>
      <c r="M9886" s="23" t="s">
        <v>8</v>
      </c>
    </row>
    <row r="9887" spans="1:13" s="21" customFormat="1" x14ac:dyDescent="0.25">
      <c r="A9887" s="22" t="s">
        <v>8</v>
      </c>
      <c r="B9887" s="18" t="str">
        <f>"365445"</f>
        <v>365445</v>
      </c>
      <c r="C9887" s="19" t="s">
        <v>9742</v>
      </c>
      <c r="D9887" s="19" t="s">
        <v>25298</v>
      </c>
      <c r="E9887" s="19" t="s">
        <v>34412</v>
      </c>
      <c r="F9887" s="19" t="s">
        <v>36009</v>
      </c>
      <c r="G9887" s="18" t="str">
        <f>"45208"</f>
        <v>45208</v>
      </c>
      <c r="H9887" s="19" t="s">
        <v>30804</v>
      </c>
      <c r="I9887" s="20">
        <v>18.122</v>
      </c>
      <c r="J9887" s="44" t="s">
        <v>8</v>
      </c>
      <c r="K9887" s="23" t="s">
        <v>8</v>
      </c>
      <c r="L9887" s="23" t="s">
        <v>8</v>
      </c>
      <c r="M9887" s="23" t="s">
        <v>8</v>
      </c>
    </row>
    <row r="9888" spans="1:13" s="21" customFormat="1" x14ac:dyDescent="0.25">
      <c r="A9888" s="22" t="s">
        <v>8</v>
      </c>
      <c r="B9888" s="18" t="str">
        <f>"365446"</f>
        <v>365446</v>
      </c>
      <c r="C9888" s="19" t="s">
        <v>9743</v>
      </c>
      <c r="D9888" s="19" t="s">
        <v>25299</v>
      </c>
      <c r="E9888" s="19" t="s">
        <v>34468</v>
      </c>
      <c r="F9888" s="19" t="s">
        <v>36009</v>
      </c>
      <c r="G9888" s="18" t="str">
        <f>"45661"</f>
        <v>45661</v>
      </c>
      <c r="H9888" s="19" t="s">
        <v>36033</v>
      </c>
      <c r="I9888" s="20">
        <v>19.295999999999999</v>
      </c>
      <c r="J9888" s="44" t="s">
        <v>8</v>
      </c>
      <c r="K9888" s="23" t="s">
        <v>8</v>
      </c>
      <c r="L9888" s="23" t="s">
        <v>8</v>
      </c>
      <c r="M9888" s="23" t="s">
        <v>8</v>
      </c>
    </row>
    <row r="9889" spans="1:13" s="21" customFormat="1" x14ac:dyDescent="0.25">
      <c r="A9889" s="22" t="s">
        <v>8</v>
      </c>
      <c r="B9889" s="18" t="str">
        <f>"365447"</f>
        <v>365447</v>
      </c>
      <c r="C9889" s="19" t="s">
        <v>9744</v>
      </c>
      <c r="D9889" s="19" t="s">
        <v>25300</v>
      </c>
      <c r="E9889" s="19" t="s">
        <v>34458</v>
      </c>
      <c r="F9889" s="19" t="s">
        <v>36009</v>
      </c>
      <c r="G9889" s="18" t="str">
        <f>"43512"</f>
        <v>43512</v>
      </c>
      <c r="H9889" s="19" t="s">
        <v>34458</v>
      </c>
      <c r="I9889" s="20">
        <v>20.942</v>
      </c>
      <c r="J9889" s="44" t="s">
        <v>8</v>
      </c>
      <c r="K9889" s="23" t="s">
        <v>8</v>
      </c>
      <c r="L9889" s="23" t="s">
        <v>8</v>
      </c>
      <c r="M9889" s="23" t="s">
        <v>8</v>
      </c>
    </row>
    <row r="9890" spans="1:13" s="21" customFormat="1" x14ac:dyDescent="0.25">
      <c r="A9890" s="22" t="s">
        <v>8</v>
      </c>
      <c r="B9890" s="18" t="str">
        <f>"365448"</f>
        <v>365448</v>
      </c>
      <c r="C9890" s="19" t="s">
        <v>9745</v>
      </c>
      <c r="D9890" s="19" t="s">
        <v>25301</v>
      </c>
      <c r="E9890" s="19" t="s">
        <v>30817</v>
      </c>
      <c r="F9890" s="19" t="s">
        <v>36009</v>
      </c>
      <c r="G9890" s="18" t="str">
        <f>"45331"</f>
        <v>45331</v>
      </c>
      <c r="H9890" s="19" t="s">
        <v>36672</v>
      </c>
      <c r="I9890" s="20">
        <v>20.193999999999999</v>
      </c>
      <c r="J9890" s="44" t="s">
        <v>8</v>
      </c>
      <c r="K9890" s="23" t="s">
        <v>8</v>
      </c>
      <c r="L9890" s="23" t="s">
        <v>8</v>
      </c>
      <c r="M9890" s="23" t="s">
        <v>8</v>
      </c>
    </row>
    <row r="9891" spans="1:13" s="21" customFormat="1" x14ac:dyDescent="0.25">
      <c r="A9891" s="22" t="s">
        <v>8</v>
      </c>
      <c r="B9891" s="18" t="str">
        <f>"365450"</f>
        <v>365450</v>
      </c>
      <c r="C9891" s="19" t="s">
        <v>9746</v>
      </c>
      <c r="D9891" s="19" t="s">
        <v>25302</v>
      </c>
      <c r="E9891" s="19" t="s">
        <v>32491</v>
      </c>
      <c r="F9891" s="19" t="s">
        <v>36009</v>
      </c>
      <c r="G9891" s="18" t="str">
        <f>"45769"</f>
        <v>45769</v>
      </c>
      <c r="H9891" s="19" t="s">
        <v>36682</v>
      </c>
      <c r="I9891" s="20">
        <v>17.097999999999999</v>
      </c>
      <c r="J9891" s="44" t="s">
        <v>8</v>
      </c>
      <c r="K9891" s="23" t="s">
        <v>8</v>
      </c>
      <c r="L9891" s="23" t="s">
        <v>8</v>
      </c>
      <c r="M9891" s="23" t="s">
        <v>8</v>
      </c>
    </row>
    <row r="9892" spans="1:13" s="21" customFormat="1" x14ac:dyDescent="0.25">
      <c r="A9892" s="22" t="s">
        <v>8</v>
      </c>
      <c r="B9892" s="18" t="str">
        <f>"365451"</f>
        <v>365451</v>
      </c>
      <c r="C9892" s="19" t="s">
        <v>9747</v>
      </c>
      <c r="D9892" s="19" t="s">
        <v>25303</v>
      </c>
      <c r="E9892" s="19" t="s">
        <v>34413</v>
      </c>
      <c r="F9892" s="19" t="s">
        <v>36009</v>
      </c>
      <c r="G9892" s="18" t="str">
        <f>"44145"</f>
        <v>44145</v>
      </c>
      <c r="H9892" s="19" t="s">
        <v>36671</v>
      </c>
      <c r="I9892" s="20">
        <v>16.786999999999999</v>
      </c>
      <c r="J9892" s="44" t="s">
        <v>8</v>
      </c>
      <c r="K9892" s="23" t="s">
        <v>8</v>
      </c>
      <c r="L9892" s="23" t="s">
        <v>8</v>
      </c>
      <c r="M9892" s="23" t="s">
        <v>8</v>
      </c>
    </row>
    <row r="9893" spans="1:13" s="21" customFormat="1" x14ac:dyDescent="0.25">
      <c r="A9893" s="22" t="s">
        <v>8</v>
      </c>
      <c r="B9893" s="18" t="str">
        <f>"365452"</f>
        <v>365452</v>
      </c>
      <c r="C9893" s="19" t="s">
        <v>9748</v>
      </c>
      <c r="D9893" s="19" t="s">
        <v>25304</v>
      </c>
      <c r="E9893" s="19" t="s">
        <v>31794</v>
      </c>
      <c r="F9893" s="19" t="s">
        <v>36009</v>
      </c>
      <c r="G9893" s="18" t="str">
        <f>"44212"</f>
        <v>44212</v>
      </c>
      <c r="H9893" s="19" t="s">
        <v>34102</v>
      </c>
      <c r="I9893" s="20">
        <v>18.960999999999999</v>
      </c>
      <c r="J9893" s="44" t="s">
        <v>8</v>
      </c>
      <c r="K9893" s="23" t="s">
        <v>8</v>
      </c>
      <c r="L9893" s="23" t="s">
        <v>8</v>
      </c>
      <c r="M9893" s="23" t="s">
        <v>8</v>
      </c>
    </row>
    <row r="9894" spans="1:13" s="21" customFormat="1" x14ac:dyDescent="0.25">
      <c r="A9894" s="22" t="s">
        <v>8</v>
      </c>
      <c r="B9894" s="18" t="str">
        <f>"365453"</f>
        <v>365453</v>
      </c>
      <c r="C9894" s="19" t="s">
        <v>9749</v>
      </c>
      <c r="D9894" s="19" t="s">
        <v>25305</v>
      </c>
      <c r="E9894" s="19" t="s">
        <v>32013</v>
      </c>
      <c r="F9894" s="19" t="s">
        <v>36009</v>
      </c>
      <c r="G9894" s="18" t="str">
        <f>"43616"</f>
        <v>43616</v>
      </c>
      <c r="H9894" s="19" t="s">
        <v>36287</v>
      </c>
      <c r="I9894" s="20">
        <v>22.782</v>
      </c>
      <c r="J9894" s="44" t="s">
        <v>8</v>
      </c>
      <c r="K9894" s="23" t="s">
        <v>8</v>
      </c>
      <c r="L9894" s="23" t="s">
        <v>8</v>
      </c>
      <c r="M9894" s="23" t="s">
        <v>8</v>
      </c>
    </row>
    <row r="9895" spans="1:13" s="21" customFormat="1" x14ac:dyDescent="0.25">
      <c r="A9895" s="22" t="s">
        <v>8</v>
      </c>
      <c r="B9895" s="18" t="str">
        <f>"365454"</f>
        <v>365454</v>
      </c>
      <c r="C9895" s="19" t="s">
        <v>9750</v>
      </c>
      <c r="D9895" s="19" t="s">
        <v>25306</v>
      </c>
      <c r="E9895" s="19" t="s">
        <v>34414</v>
      </c>
      <c r="F9895" s="19" t="s">
        <v>36009</v>
      </c>
      <c r="G9895" s="18" t="str">
        <f>"45385"</f>
        <v>45385</v>
      </c>
      <c r="H9895" s="19" t="s">
        <v>32455</v>
      </c>
      <c r="I9895" s="20">
        <v>18.920999999999999</v>
      </c>
      <c r="J9895" s="44" t="s">
        <v>8</v>
      </c>
      <c r="K9895" s="23" t="s">
        <v>8</v>
      </c>
      <c r="L9895" s="23" t="s">
        <v>8</v>
      </c>
      <c r="M9895" s="23" t="s">
        <v>8</v>
      </c>
    </row>
    <row r="9896" spans="1:13" s="21" customFormat="1" x14ac:dyDescent="0.25">
      <c r="A9896" s="22" t="s">
        <v>8</v>
      </c>
      <c r="B9896" s="18" t="str">
        <f>"365455"</f>
        <v>365455</v>
      </c>
      <c r="C9896" s="19" t="s">
        <v>9751</v>
      </c>
      <c r="D9896" s="19" t="s">
        <v>25307</v>
      </c>
      <c r="E9896" s="19" t="s">
        <v>34412</v>
      </c>
      <c r="F9896" s="19" t="s">
        <v>36009</v>
      </c>
      <c r="G9896" s="18" t="str">
        <f>"45205"</f>
        <v>45205</v>
      </c>
      <c r="H9896" s="19" t="s">
        <v>30804</v>
      </c>
      <c r="I9896" s="20">
        <v>19.149000000000001</v>
      </c>
      <c r="J9896" s="44" t="s">
        <v>8</v>
      </c>
      <c r="K9896" s="23" t="s">
        <v>8</v>
      </c>
      <c r="L9896" s="23" t="s">
        <v>8</v>
      </c>
      <c r="M9896" s="23" t="s">
        <v>8</v>
      </c>
    </row>
    <row r="9897" spans="1:13" s="21" customFormat="1" x14ac:dyDescent="0.25">
      <c r="A9897" s="22" t="s">
        <v>8</v>
      </c>
      <c r="B9897" s="18" t="str">
        <f>"365456"</f>
        <v>365456</v>
      </c>
      <c r="C9897" s="19" t="s">
        <v>9752</v>
      </c>
      <c r="D9897" s="19" t="s">
        <v>25308</v>
      </c>
      <c r="E9897" s="19" t="s">
        <v>34441</v>
      </c>
      <c r="F9897" s="19" t="s">
        <v>36009</v>
      </c>
      <c r="G9897" s="18" t="str">
        <f>"43113"</f>
        <v>43113</v>
      </c>
      <c r="H9897" s="19" t="s">
        <v>36677</v>
      </c>
      <c r="I9897" s="20">
        <v>18.713999999999999</v>
      </c>
      <c r="J9897" s="44" t="s">
        <v>8</v>
      </c>
      <c r="K9897" s="23" t="s">
        <v>8</v>
      </c>
      <c r="L9897" s="23" t="s">
        <v>8</v>
      </c>
      <c r="M9897" s="23" t="s">
        <v>8</v>
      </c>
    </row>
    <row r="9898" spans="1:13" s="21" customFormat="1" x14ac:dyDescent="0.25">
      <c r="A9898" s="22" t="s">
        <v>8</v>
      </c>
      <c r="B9898" s="18" t="str">
        <f>"365457"</f>
        <v>365457</v>
      </c>
      <c r="C9898" s="19" t="s">
        <v>9753</v>
      </c>
      <c r="D9898" s="19" t="s">
        <v>25309</v>
      </c>
      <c r="E9898" s="19" t="s">
        <v>31412</v>
      </c>
      <c r="F9898" s="19" t="s">
        <v>36009</v>
      </c>
      <c r="G9898" s="18" t="str">
        <f>"45044"</f>
        <v>45044</v>
      </c>
      <c r="H9898" s="19" t="s">
        <v>30876</v>
      </c>
      <c r="I9898" s="20">
        <v>17.053999999999998</v>
      </c>
      <c r="J9898" s="44" t="s">
        <v>8</v>
      </c>
      <c r="K9898" s="23" t="s">
        <v>8</v>
      </c>
      <c r="L9898" s="23" t="s">
        <v>8</v>
      </c>
      <c r="M9898" s="23" t="s">
        <v>8</v>
      </c>
    </row>
    <row r="9899" spans="1:13" s="21" customFormat="1" x14ac:dyDescent="0.25">
      <c r="A9899" s="22" t="s">
        <v>8</v>
      </c>
      <c r="B9899" s="18" t="str">
        <f>"365458"</f>
        <v>365458</v>
      </c>
      <c r="C9899" s="19" t="s">
        <v>9754</v>
      </c>
      <c r="D9899" s="19" t="s">
        <v>25310</v>
      </c>
      <c r="E9899" s="19" t="s">
        <v>32684</v>
      </c>
      <c r="F9899" s="19" t="s">
        <v>36009</v>
      </c>
      <c r="G9899" s="18" t="str">
        <f>"43402"</f>
        <v>43402</v>
      </c>
      <c r="H9899" s="19" t="s">
        <v>36673</v>
      </c>
      <c r="I9899" s="20">
        <v>17.407</v>
      </c>
      <c r="J9899" s="44" t="s">
        <v>8</v>
      </c>
      <c r="K9899" s="23" t="s">
        <v>8</v>
      </c>
      <c r="L9899" s="23" t="s">
        <v>8</v>
      </c>
      <c r="M9899" s="23" t="s">
        <v>8</v>
      </c>
    </row>
    <row r="9900" spans="1:13" s="21" customFormat="1" x14ac:dyDescent="0.25">
      <c r="A9900" s="22" t="s">
        <v>8</v>
      </c>
      <c r="B9900" s="18" t="str">
        <f>"365460"</f>
        <v>365460</v>
      </c>
      <c r="C9900" s="19" t="s">
        <v>1374</v>
      </c>
      <c r="D9900" s="19" t="s">
        <v>25311</v>
      </c>
      <c r="E9900" s="19" t="s">
        <v>34421</v>
      </c>
      <c r="F9900" s="19" t="s">
        <v>36009</v>
      </c>
      <c r="G9900" s="18" t="str">
        <f>"44504"</f>
        <v>44504</v>
      </c>
      <c r="H9900" s="19" t="s">
        <v>36674</v>
      </c>
      <c r="I9900" s="20">
        <v>19.286000000000001</v>
      </c>
      <c r="J9900" s="44" t="s">
        <v>8</v>
      </c>
      <c r="K9900" s="23" t="s">
        <v>8</v>
      </c>
      <c r="L9900" s="23" t="s">
        <v>8</v>
      </c>
      <c r="M9900" s="23" t="s">
        <v>8</v>
      </c>
    </row>
    <row r="9901" spans="1:13" s="21" customFormat="1" x14ac:dyDescent="0.25">
      <c r="A9901" s="22" t="s">
        <v>8</v>
      </c>
      <c r="B9901" s="18" t="str">
        <f>"365461"</f>
        <v>365461</v>
      </c>
      <c r="C9901" s="19" t="s">
        <v>9755</v>
      </c>
      <c r="D9901" s="19" t="s">
        <v>25312</v>
      </c>
      <c r="E9901" s="19" t="s">
        <v>33012</v>
      </c>
      <c r="F9901" s="19" t="s">
        <v>36009</v>
      </c>
      <c r="G9901" s="18" t="str">
        <f>"45715"</f>
        <v>45715</v>
      </c>
      <c r="H9901" s="19" t="s">
        <v>31500</v>
      </c>
      <c r="I9901" s="20">
        <v>19.84</v>
      </c>
      <c r="J9901" s="44" t="s">
        <v>8</v>
      </c>
      <c r="K9901" s="23" t="s">
        <v>8</v>
      </c>
      <c r="L9901" s="23" t="s">
        <v>8</v>
      </c>
      <c r="M9901" s="23" t="s">
        <v>8</v>
      </c>
    </row>
    <row r="9902" spans="1:13" s="21" customFormat="1" x14ac:dyDescent="0.25">
      <c r="A9902" s="22" t="s">
        <v>8</v>
      </c>
      <c r="B9902" s="18" t="str">
        <f>"365462"</f>
        <v>365462</v>
      </c>
      <c r="C9902" s="19" t="s">
        <v>9756</v>
      </c>
      <c r="D9902" s="19" t="s">
        <v>25313</v>
      </c>
      <c r="E9902" s="19" t="s">
        <v>34469</v>
      </c>
      <c r="F9902" s="19" t="s">
        <v>36009</v>
      </c>
      <c r="G9902" s="18" t="str">
        <f>"45211"</f>
        <v>45211</v>
      </c>
      <c r="H9902" s="19" t="s">
        <v>30804</v>
      </c>
      <c r="I9902" s="20">
        <v>16.082999999999998</v>
      </c>
      <c r="J9902" s="44" t="s">
        <v>8</v>
      </c>
      <c r="K9902" s="23" t="s">
        <v>8</v>
      </c>
      <c r="L9902" s="23" t="s">
        <v>8</v>
      </c>
      <c r="M9902" s="23" t="s">
        <v>8</v>
      </c>
    </row>
    <row r="9903" spans="1:13" s="21" customFormat="1" x14ac:dyDescent="0.25">
      <c r="A9903" s="22" t="s">
        <v>8</v>
      </c>
      <c r="B9903" s="18" t="str">
        <f>"365466"</f>
        <v>365466</v>
      </c>
      <c r="C9903" s="19" t="s">
        <v>9757</v>
      </c>
      <c r="D9903" s="19" t="s">
        <v>25314</v>
      </c>
      <c r="E9903" s="19" t="s">
        <v>34470</v>
      </c>
      <c r="F9903" s="19" t="s">
        <v>36009</v>
      </c>
      <c r="G9903" s="18" t="str">
        <f>"43056"</f>
        <v>43056</v>
      </c>
      <c r="H9903" s="19" t="s">
        <v>33689</v>
      </c>
      <c r="I9903" s="20">
        <v>20.369</v>
      </c>
      <c r="J9903" s="44" t="s">
        <v>8</v>
      </c>
      <c r="K9903" s="23" t="s">
        <v>8</v>
      </c>
      <c r="L9903" s="23" t="s">
        <v>8</v>
      </c>
      <c r="M9903" s="23" t="s">
        <v>8</v>
      </c>
    </row>
    <row r="9904" spans="1:13" s="21" customFormat="1" x14ac:dyDescent="0.25">
      <c r="A9904" s="22" t="s">
        <v>8</v>
      </c>
      <c r="B9904" s="18" t="str">
        <f>"365469"</f>
        <v>365469</v>
      </c>
      <c r="C9904" s="19" t="s">
        <v>9758</v>
      </c>
      <c r="D9904" s="19" t="s">
        <v>25315</v>
      </c>
      <c r="E9904" s="19" t="s">
        <v>31985</v>
      </c>
      <c r="F9904" s="19" t="s">
        <v>36009</v>
      </c>
      <c r="G9904" s="18" t="str">
        <f>"45103"</f>
        <v>45103</v>
      </c>
      <c r="H9904" s="19" t="s">
        <v>31621</v>
      </c>
      <c r="I9904" s="20">
        <v>22.114000000000001</v>
      </c>
      <c r="J9904" s="44" t="s">
        <v>8</v>
      </c>
      <c r="K9904" s="23" t="s">
        <v>8</v>
      </c>
      <c r="L9904" s="23" t="s">
        <v>8</v>
      </c>
      <c r="M9904" s="23" t="s">
        <v>8</v>
      </c>
    </row>
    <row r="9905" spans="1:13" s="21" customFormat="1" x14ac:dyDescent="0.25">
      <c r="A9905" s="22" t="s">
        <v>8</v>
      </c>
      <c r="B9905" s="18" t="str">
        <f>"365470"</f>
        <v>365470</v>
      </c>
      <c r="C9905" s="19" t="s">
        <v>9759</v>
      </c>
      <c r="D9905" s="19" t="s">
        <v>25316</v>
      </c>
      <c r="E9905" s="19" t="s">
        <v>34412</v>
      </c>
      <c r="F9905" s="19" t="s">
        <v>36009</v>
      </c>
      <c r="G9905" s="18" t="str">
        <f>"45224"</f>
        <v>45224</v>
      </c>
      <c r="H9905" s="19" t="s">
        <v>30804</v>
      </c>
      <c r="I9905" s="20">
        <v>15.856999999999999</v>
      </c>
      <c r="J9905" s="44" t="s">
        <v>8</v>
      </c>
      <c r="K9905" s="23" t="s">
        <v>8</v>
      </c>
      <c r="L9905" s="23" t="s">
        <v>8</v>
      </c>
      <c r="M9905" s="23" t="s">
        <v>8</v>
      </c>
    </row>
    <row r="9906" spans="1:13" s="21" customFormat="1" x14ac:dyDescent="0.25">
      <c r="A9906" s="22" t="s">
        <v>8</v>
      </c>
      <c r="B9906" s="18" t="str">
        <f>"365474"</f>
        <v>365474</v>
      </c>
      <c r="C9906" s="19" t="s">
        <v>9760</v>
      </c>
      <c r="D9906" s="19" t="s">
        <v>25317</v>
      </c>
      <c r="E9906" s="19" t="s">
        <v>32334</v>
      </c>
      <c r="F9906" s="19" t="s">
        <v>36009</v>
      </c>
      <c r="G9906" s="18" t="str">
        <f>"43112"</f>
        <v>43112</v>
      </c>
      <c r="H9906" s="19" t="s">
        <v>31103</v>
      </c>
      <c r="I9906" s="20">
        <v>18.181000000000001</v>
      </c>
      <c r="J9906" s="44" t="s">
        <v>8</v>
      </c>
      <c r="K9906" s="23" t="s">
        <v>8</v>
      </c>
      <c r="L9906" s="23" t="s">
        <v>8</v>
      </c>
      <c r="M9906" s="23" t="s">
        <v>8</v>
      </c>
    </row>
    <row r="9907" spans="1:13" s="21" customFormat="1" x14ac:dyDescent="0.25">
      <c r="A9907" s="22" t="s">
        <v>8</v>
      </c>
      <c r="B9907" s="18" t="str">
        <f>"365475"</f>
        <v>365475</v>
      </c>
      <c r="C9907" s="19" t="s">
        <v>9761</v>
      </c>
      <c r="D9907" s="19" t="s">
        <v>25318</v>
      </c>
      <c r="E9907" s="19" t="s">
        <v>31481</v>
      </c>
      <c r="F9907" s="19" t="s">
        <v>36009</v>
      </c>
      <c r="G9907" s="18" t="str">
        <f>"44907"</f>
        <v>44907</v>
      </c>
      <c r="H9907" s="19" t="s">
        <v>31785</v>
      </c>
      <c r="I9907" s="20">
        <v>18.45</v>
      </c>
      <c r="J9907" s="44" t="s">
        <v>8</v>
      </c>
      <c r="K9907" s="23" t="s">
        <v>8</v>
      </c>
      <c r="L9907" s="23" t="s">
        <v>8</v>
      </c>
      <c r="M9907" s="23" t="s">
        <v>8</v>
      </c>
    </row>
    <row r="9908" spans="1:13" s="21" customFormat="1" x14ac:dyDescent="0.25">
      <c r="A9908" s="22" t="s">
        <v>8</v>
      </c>
      <c r="B9908" s="18" t="str">
        <f>"365476"</f>
        <v>365476</v>
      </c>
      <c r="C9908" s="19" t="s">
        <v>9762</v>
      </c>
      <c r="D9908" s="19" t="s">
        <v>25319</v>
      </c>
      <c r="E9908" s="19" t="s">
        <v>34412</v>
      </c>
      <c r="F9908" s="19" t="s">
        <v>36009</v>
      </c>
      <c r="G9908" s="18" t="str">
        <f>"45236"</f>
        <v>45236</v>
      </c>
      <c r="H9908" s="19" t="s">
        <v>30804</v>
      </c>
      <c r="I9908" s="20">
        <v>18.925999999999998</v>
      </c>
      <c r="J9908" s="44" t="s">
        <v>8</v>
      </c>
      <c r="K9908" s="23" t="s">
        <v>8</v>
      </c>
      <c r="L9908" s="23" t="s">
        <v>8</v>
      </c>
      <c r="M9908" s="23" t="s">
        <v>8</v>
      </c>
    </row>
    <row r="9909" spans="1:13" s="21" customFormat="1" x14ac:dyDescent="0.25">
      <c r="A9909" s="22" t="s">
        <v>8</v>
      </c>
      <c r="B9909" s="18" t="str">
        <f>"365478"</f>
        <v>365478</v>
      </c>
      <c r="C9909" s="19" t="s">
        <v>9763</v>
      </c>
      <c r="D9909" s="19" t="s">
        <v>25320</v>
      </c>
      <c r="E9909" s="19" t="s">
        <v>34471</v>
      </c>
      <c r="F9909" s="19" t="s">
        <v>36009</v>
      </c>
      <c r="G9909" s="18" t="str">
        <f>"43351"</f>
        <v>43351</v>
      </c>
      <c r="H9909" s="19" t="s">
        <v>36683</v>
      </c>
      <c r="I9909" s="20">
        <v>21.222000000000001</v>
      </c>
      <c r="J9909" s="44" t="s">
        <v>8</v>
      </c>
      <c r="K9909" s="23" t="s">
        <v>8</v>
      </c>
      <c r="L9909" s="23" t="s">
        <v>8</v>
      </c>
      <c r="M9909" s="23" t="s">
        <v>8</v>
      </c>
    </row>
    <row r="9910" spans="1:13" s="21" customFormat="1" x14ac:dyDescent="0.25">
      <c r="A9910" s="22" t="s">
        <v>8</v>
      </c>
      <c r="B9910" s="18" t="str">
        <f>"365480"</f>
        <v>365480</v>
      </c>
      <c r="C9910" s="19" t="s">
        <v>9764</v>
      </c>
      <c r="D9910" s="19" t="s">
        <v>25321</v>
      </c>
      <c r="E9910" s="19" t="s">
        <v>34412</v>
      </c>
      <c r="F9910" s="19" t="s">
        <v>36009</v>
      </c>
      <c r="G9910" s="18" t="str">
        <f>"45230"</f>
        <v>45230</v>
      </c>
      <c r="H9910" s="19" t="s">
        <v>30804</v>
      </c>
      <c r="I9910" s="20">
        <v>18.349</v>
      </c>
      <c r="J9910" s="44" t="s">
        <v>8</v>
      </c>
      <c r="K9910" s="23" t="s">
        <v>8</v>
      </c>
      <c r="L9910" s="23" t="s">
        <v>8</v>
      </c>
      <c r="M9910" s="23" t="s">
        <v>8</v>
      </c>
    </row>
    <row r="9911" spans="1:13" s="21" customFormat="1" x14ac:dyDescent="0.25">
      <c r="A9911" s="22" t="s">
        <v>8</v>
      </c>
      <c r="B9911" s="18" t="str">
        <f>"365481"</f>
        <v>365481</v>
      </c>
      <c r="C9911" s="19" t="s">
        <v>9765</v>
      </c>
      <c r="D9911" s="19" t="s">
        <v>25322</v>
      </c>
      <c r="E9911" s="19" t="s">
        <v>31494</v>
      </c>
      <c r="F9911" s="19" t="s">
        <v>36009</v>
      </c>
      <c r="G9911" s="18" t="str">
        <f>"43055"</f>
        <v>43055</v>
      </c>
      <c r="H9911" s="19" t="s">
        <v>33689</v>
      </c>
      <c r="I9911" s="20">
        <v>18.181000000000001</v>
      </c>
      <c r="J9911" s="44" t="s">
        <v>8</v>
      </c>
      <c r="K9911" s="23" t="s">
        <v>8</v>
      </c>
      <c r="L9911" s="23" t="s">
        <v>8</v>
      </c>
      <c r="M9911" s="23" t="s">
        <v>8</v>
      </c>
    </row>
    <row r="9912" spans="1:13" s="21" customFormat="1" x14ac:dyDescent="0.25">
      <c r="A9912" s="22" t="s">
        <v>8</v>
      </c>
      <c r="B9912" s="18" t="str">
        <f>"365482"</f>
        <v>365482</v>
      </c>
      <c r="C9912" s="19" t="s">
        <v>9766</v>
      </c>
      <c r="D9912" s="19" t="s">
        <v>25323</v>
      </c>
      <c r="E9912" s="19" t="s">
        <v>34472</v>
      </c>
      <c r="F9912" s="19" t="s">
        <v>36009</v>
      </c>
      <c r="G9912" s="18" t="str">
        <f>"44662"</f>
        <v>44662</v>
      </c>
      <c r="H9912" s="19" t="s">
        <v>36240</v>
      </c>
      <c r="I9912" s="20">
        <v>15.865</v>
      </c>
      <c r="J9912" s="44" t="s">
        <v>8</v>
      </c>
      <c r="K9912" s="23" t="s">
        <v>8</v>
      </c>
      <c r="L9912" s="23" t="s">
        <v>8</v>
      </c>
      <c r="M9912" s="23" t="s">
        <v>8</v>
      </c>
    </row>
    <row r="9913" spans="1:13" s="21" customFormat="1" x14ac:dyDescent="0.25">
      <c r="A9913" s="22" t="s">
        <v>8</v>
      </c>
      <c r="B9913" s="18" t="str">
        <f>"365483"</f>
        <v>365483</v>
      </c>
      <c r="C9913" s="19" t="s">
        <v>9767</v>
      </c>
      <c r="D9913" s="19" t="s">
        <v>25324</v>
      </c>
      <c r="E9913" s="19" t="s">
        <v>31753</v>
      </c>
      <c r="F9913" s="19" t="s">
        <v>36009</v>
      </c>
      <c r="G9913" s="18" t="str">
        <f>"45318"</f>
        <v>45318</v>
      </c>
      <c r="H9913" s="19" t="s">
        <v>31507</v>
      </c>
      <c r="I9913" s="20">
        <v>17.338999999999999</v>
      </c>
      <c r="J9913" s="44" t="s">
        <v>8</v>
      </c>
      <c r="K9913" s="23" t="s">
        <v>8</v>
      </c>
      <c r="L9913" s="23" t="s">
        <v>8</v>
      </c>
      <c r="M9913" s="23" t="s">
        <v>8</v>
      </c>
    </row>
    <row r="9914" spans="1:13" s="21" customFormat="1" x14ac:dyDescent="0.25">
      <c r="A9914" s="22" t="s">
        <v>8</v>
      </c>
      <c r="B9914" s="18" t="str">
        <f>"365484"</f>
        <v>365484</v>
      </c>
      <c r="C9914" s="19" t="s">
        <v>9768</v>
      </c>
      <c r="D9914" s="19" t="s">
        <v>25325</v>
      </c>
      <c r="E9914" s="19" t="s">
        <v>31715</v>
      </c>
      <c r="F9914" s="19" t="s">
        <v>36009</v>
      </c>
      <c r="G9914" s="18" t="str">
        <f>"43207"</f>
        <v>43207</v>
      </c>
      <c r="H9914" s="19" t="s">
        <v>5</v>
      </c>
      <c r="I9914" s="20">
        <v>18.925000000000001</v>
      </c>
      <c r="J9914" s="44" t="s">
        <v>8</v>
      </c>
      <c r="K9914" s="23" t="s">
        <v>8</v>
      </c>
      <c r="L9914" s="23" t="s">
        <v>8</v>
      </c>
      <c r="M9914" s="23" t="s">
        <v>8</v>
      </c>
    </row>
    <row r="9915" spans="1:13" s="21" customFormat="1" x14ac:dyDescent="0.25">
      <c r="A9915" s="22" t="s">
        <v>8</v>
      </c>
      <c r="B9915" s="18" t="str">
        <f>"365485"</f>
        <v>365485</v>
      </c>
      <c r="C9915" s="19" t="s">
        <v>9769</v>
      </c>
      <c r="D9915" s="19" t="s">
        <v>25326</v>
      </c>
      <c r="E9915" s="19" t="s">
        <v>31494</v>
      </c>
      <c r="F9915" s="19" t="s">
        <v>36009</v>
      </c>
      <c r="G9915" s="18" t="str">
        <f>"43055"</f>
        <v>43055</v>
      </c>
      <c r="H9915" s="19" t="s">
        <v>33689</v>
      </c>
      <c r="I9915" s="20">
        <v>22.094000000000001</v>
      </c>
      <c r="J9915" s="44" t="s">
        <v>8</v>
      </c>
      <c r="K9915" s="23" t="s">
        <v>8</v>
      </c>
      <c r="L9915" s="23" t="s">
        <v>8</v>
      </c>
      <c r="M9915" s="23" t="s">
        <v>8</v>
      </c>
    </row>
    <row r="9916" spans="1:13" s="21" customFormat="1" x14ac:dyDescent="0.25">
      <c r="A9916" s="22" t="s">
        <v>8</v>
      </c>
      <c r="B9916" s="18" t="str">
        <f>"365487"</f>
        <v>365487</v>
      </c>
      <c r="C9916" s="19" t="s">
        <v>9770</v>
      </c>
      <c r="D9916" s="19" t="s">
        <v>25327</v>
      </c>
      <c r="E9916" s="19" t="s">
        <v>34473</v>
      </c>
      <c r="F9916" s="19" t="s">
        <v>36009</v>
      </c>
      <c r="G9916" s="18" t="str">
        <f>"44117"</f>
        <v>44117</v>
      </c>
      <c r="H9916" s="19" t="s">
        <v>36671</v>
      </c>
      <c r="I9916" s="20">
        <v>18.82</v>
      </c>
      <c r="J9916" s="44" t="s">
        <v>8</v>
      </c>
      <c r="K9916" s="23" t="s">
        <v>8</v>
      </c>
      <c r="L9916" s="23" t="s">
        <v>8</v>
      </c>
      <c r="M9916" s="23" t="s">
        <v>8</v>
      </c>
    </row>
    <row r="9917" spans="1:13" s="21" customFormat="1" x14ac:dyDescent="0.25">
      <c r="A9917" s="22" t="s">
        <v>8</v>
      </c>
      <c r="B9917" s="18" t="str">
        <f>"365488"</f>
        <v>365488</v>
      </c>
      <c r="C9917" s="19" t="s">
        <v>9771</v>
      </c>
      <c r="D9917" s="19" t="s">
        <v>25328</v>
      </c>
      <c r="E9917" s="19" t="s">
        <v>32505</v>
      </c>
      <c r="F9917" s="19" t="s">
        <v>36009</v>
      </c>
      <c r="G9917" s="18" t="str">
        <f>"43615"</f>
        <v>43615</v>
      </c>
      <c r="H9917" s="19" t="s">
        <v>36287</v>
      </c>
      <c r="I9917" s="20">
        <v>18.495999999999999</v>
      </c>
      <c r="J9917" s="44" t="s">
        <v>8</v>
      </c>
      <c r="K9917" s="23" t="s">
        <v>8</v>
      </c>
      <c r="L9917" s="23" t="s">
        <v>8</v>
      </c>
      <c r="M9917" s="23" t="s">
        <v>8</v>
      </c>
    </row>
    <row r="9918" spans="1:13" s="21" customFormat="1" x14ac:dyDescent="0.25">
      <c r="A9918" s="22" t="s">
        <v>8</v>
      </c>
      <c r="B9918" s="18" t="str">
        <f>"365489"</f>
        <v>365489</v>
      </c>
      <c r="C9918" s="19" t="s">
        <v>9772</v>
      </c>
      <c r="D9918" s="19" t="s">
        <v>25329</v>
      </c>
      <c r="E9918" s="19" t="s">
        <v>34474</v>
      </c>
      <c r="F9918" s="19" t="s">
        <v>36009</v>
      </c>
      <c r="G9918" s="18" t="str">
        <f>"43452"</f>
        <v>43452</v>
      </c>
      <c r="H9918" s="19" t="s">
        <v>31994</v>
      </c>
      <c r="I9918" s="20">
        <v>17.8</v>
      </c>
      <c r="J9918" s="44" t="s">
        <v>8</v>
      </c>
      <c r="K9918" s="23" t="s">
        <v>8</v>
      </c>
      <c r="L9918" s="23" t="s">
        <v>8</v>
      </c>
      <c r="M9918" s="23" t="s">
        <v>8</v>
      </c>
    </row>
    <row r="9919" spans="1:13" s="21" customFormat="1" x14ac:dyDescent="0.25">
      <c r="A9919" s="22" t="s">
        <v>8</v>
      </c>
      <c r="B9919" s="18" t="str">
        <f>"365490"</f>
        <v>365490</v>
      </c>
      <c r="C9919" s="19" t="s">
        <v>9773</v>
      </c>
      <c r="D9919" s="19" t="s">
        <v>25330</v>
      </c>
      <c r="E9919" s="19" t="s">
        <v>33025</v>
      </c>
      <c r="F9919" s="19" t="s">
        <v>36009</v>
      </c>
      <c r="G9919" s="18" t="str">
        <f>"45212"</f>
        <v>45212</v>
      </c>
      <c r="H9919" s="19" t="s">
        <v>30804</v>
      </c>
      <c r="I9919" s="20">
        <v>19.411000000000001</v>
      </c>
      <c r="J9919" s="44" t="s">
        <v>8</v>
      </c>
      <c r="K9919" s="23" t="s">
        <v>8</v>
      </c>
      <c r="L9919" s="23" t="s">
        <v>8</v>
      </c>
      <c r="M9919" s="23" t="s">
        <v>8</v>
      </c>
    </row>
    <row r="9920" spans="1:13" s="21" customFormat="1" x14ac:dyDescent="0.25">
      <c r="A9920" s="22" t="s">
        <v>8</v>
      </c>
      <c r="B9920" s="18" t="str">
        <f>"365492"</f>
        <v>365492</v>
      </c>
      <c r="C9920" s="19" t="s">
        <v>9774</v>
      </c>
      <c r="D9920" s="19" t="s">
        <v>25331</v>
      </c>
      <c r="E9920" s="19" t="s">
        <v>34430</v>
      </c>
      <c r="F9920" s="19" t="s">
        <v>36009</v>
      </c>
      <c r="G9920" s="18" t="str">
        <f>"44077"</f>
        <v>44077</v>
      </c>
      <c r="H9920" s="19" t="s">
        <v>36096</v>
      </c>
      <c r="I9920" s="20">
        <v>19.027000000000001</v>
      </c>
      <c r="J9920" s="44" t="s">
        <v>8</v>
      </c>
      <c r="K9920" s="23" t="s">
        <v>8</v>
      </c>
      <c r="L9920" s="23" t="s">
        <v>8</v>
      </c>
      <c r="M9920" s="23" t="s">
        <v>8</v>
      </c>
    </row>
    <row r="9921" spans="1:13" s="21" customFormat="1" x14ac:dyDescent="0.25">
      <c r="A9921" s="22" t="s">
        <v>8</v>
      </c>
      <c r="B9921" s="18" t="str">
        <f>"365493"</f>
        <v>365493</v>
      </c>
      <c r="C9921" s="19" t="s">
        <v>3744</v>
      </c>
      <c r="D9921" s="19" t="s">
        <v>25332</v>
      </c>
      <c r="E9921" s="19" t="s">
        <v>32369</v>
      </c>
      <c r="F9921" s="19" t="s">
        <v>36009</v>
      </c>
      <c r="G9921" s="18" t="str">
        <f>"45459"</f>
        <v>45459</v>
      </c>
      <c r="H9921" s="19" t="s">
        <v>30833</v>
      </c>
      <c r="I9921" s="20">
        <v>20.931000000000001</v>
      </c>
      <c r="J9921" s="44" t="s">
        <v>8</v>
      </c>
      <c r="K9921" s="23" t="s">
        <v>8</v>
      </c>
      <c r="L9921" s="23" t="s">
        <v>8</v>
      </c>
      <c r="M9921" s="23" t="s">
        <v>8</v>
      </c>
    </row>
    <row r="9922" spans="1:13" s="21" customFormat="1" x14ac:dyDescent="0.25">
      <c r="A9922" s="22" t="s">
        <v>8</v>
      </c>
      <c r="B9922" s="18" t="str">
        <f>"365494"</f>
        <v>365494</v>
      </c>
      <c r="C9922" s="19" t="s">
        <v>9775</v>
      </c>
      <c r="D9922" s="19" t="s">
        <v>25333</v>
      </c>
      <c r="E9922" s="19" t="s">
        <v>34475</v>
      </c>
      <c r="F9922" s="19" t="s">
        <v>36009</v>
      </c>
      <c r="G9922" s="18" t="str">
        <f>"44614"</f>
        <v>44614</v>
      </c>
      <c r="H9922" s="19" t="s">
        <v>36240</v>
      </c>
      <c r="I9922" s="20">
        <v>19.239000000000001</v>
      </c>
      <c r="J9922" s="44" t="s">
        <v>8</v>
      </c>
      <c r="K9922" s="23" t="s">
        <v>8</v>
      </c>
      <c r="L9922" s="23" t="s">
        <v>8</v>
      </c>
      <c r="M9922" s="23" t="s">
        <v>8</v>
      </c>
    </row>
    <row r="9923" spans="1:13" s="21" customFormat="1" x14ac:dyDescent="0.25">
      <c r="A9923" s="22" t="s">
        <v>8</v>
      </c>
      <c r="B9923" s="18" t="str">
        <f>"365495"</f>
        <v>365495</v>
      </c>
      <c r="C9923" s="19" t="s">
        <v>9776</v>
      </c>
      <c r="D9923" s="19" t="s">
        <v>25334</v>
      </c>
      <c r="E9923" s="19" t="s">
        <v>31893</v>
      </c>
      <c r="F9923" s="19" t="s">
        <v>36009</v>
      </c>
      <c r="G9923" s="18" t="str">
        <f>"43543"</f>
        <v>43543</v>
      </c>
      <c r="H9923" s="19" t="s">
        <v>35728</v>
      </c>
      <c r="I9923" s="20">
        <v>18.239000000000001</v>
      </c>
      <c r="J9923" s="44" t="s">
        <v>8</v>
      </c>
      <c r="K9923" s="23" t="s">
        <v>8</v>
      </c>
      <c r="L9923" s="23" t="s">
        <v>8</v>
      </c>
      <c r="M9923" s="23" t="s">
        <v>8</v>
      </c>
    </row>
    <row r="9924" spans="1:13" s="21" customFormat="1" x14ac:dyDescent="0.25">
      <c r="A9924" s="22" t="s">
        <v>8</v>
      </c>
      <c r="B9924" s="18" t="str">
        <f>"365496"</f>
        <v>365496</v>
      </c>
      <c r="C9924" s="19" t="s">
        <v>9777</v>
      </c>
      <c r="D9924" s="19" t="s">
        <v>25335</v>
      </c>
      <c r="E9924" s="19" t="s">
        <v>34476</v>
      </c>
      <c r="F9924" s="19" t="s">
        <v>36009</v>
      </c>
      <c r="G9924" s="18" t="str">
        <f>"43793"</f>
        <v>43793</v>
      </c>
      <c r="H9924" s="19" t="s">
        <v>31711</v>
      </c>
      <c r="I9924" s="20">
        <v>18.782</v>
      </c>
      <c r="J9924" s="44" t="s">
        <v>8</v>
      </c>
      <c r="K9924" s="23" t="s">
        <v>8</v>
      </c>
      <c r="L9924" s="23" t="s">
        <v>8</v>
      </c>
      <c r="M9924" s="23" t="s">
        <v>8</v>
      </c>
    </row>
    <row r="9925" spans="1:13" s="21" customFormat="1" x14ac:dyDescent="0.25">
      <c r="A9925" s="22" t="s">
        <v>8</v>
      </c>
      <c r="B9925" s="18" t="str">
        <f>"365497"</f>
        <v>365497</v>
      </c>
      <c r="C9925" s="19" t="s">
        <v>9778</v>
      </c>
      <c r="D9925" s="19" t="s">
        <v>25336</v>
      </c>
      <c r="E9925" s="19" t="s">
        <v>32369</v>
      </c>
      <c r="F9925" s="19" t="s">
        <v>36009</v>
      </c>
      <c r="G9925" s="18" t="str">
        <f>"45430"</f>
        <v>45430</v>
      </c>
      <c r="H9925" s="19" t="s">
        <v>30833</v>
      </c>
      <c r="I9925" s="20">
        <v>19.294</v>
      </c>
      <c r="J9925" s="44" t="s">
        <v>8</v>
      </c>
      <c r="K9925" s="23" t="s">
        <v>8</v>
      </c>
      <c r="L9925" s="23" t="s">
        <v>8</v>
      </c>
      <c r="M9925" s="23" t="s">
        <v>8</v>
      </c>
    </row>
    <row r="9926" spans="1:13" s="21" customFormat="1" x14ac:dyDescent="0.25">
      <c r="A9926" s="22" t="s">
        <v>8</v>
      </c>
      <c r="B9926" s="18" t="str">
        <f>"365498"</f>
        <v>365498</v>
      </c>
      <c r="C9926" s="19" t="s">
        <v>9779</v>
      </c>
      <c r="D9926" s="19" t="s">
        <v>25337</v>
      </c>
      <c r="E9926" s="19" t="s">
        <v>34477</v>
      </c>
      <c r="F9926" s="19" t="s">
        <v>36009</v>
      </c>
      <c r="G9926" s="18" t="str">
        <f>"43449"</f>
        <v>43449</v>
      </c>
      <c r="H9926" s="19" t="s">
        <v>31994</v>
      </c>
      <c r="I9926" s="20">
        <v>18.079000000000001</v>
      </c>
      <c r="J9926" s="44" t="s">
        <v>8</v>
      </c>
      <c r="K9926" s="23" t="s">
        <v>8</v>
      </c>
      <c r="L9926" s="23" t="s">
        <v>8</v>
      </c>
      <c r="M9926" s="23" t="s">
        <v>8</v>
      </c>
    </row>
    <row r="9927" spans="1:13" s="21" customFormat="1" x14ac:dyDescent="0.25">
      <c r="A9927" s="22" t="s">
        <v>8</v>
      </c>
      <c r="B9927" s="18" t="str">
        <f>"365499"</f>
        <v>365499</v>
      </c>
      <c r="C9927" s="19" t="s">
        <v>9780</v>
      </c>
      <c r="D9927" s="19" t="s">
        <v>25338</v>
      </c>
      <c r="E9927" s="19" t="s">
        <v>31715</v>
      </c>
      <c r="F9927" s="19" t="s">
        <v>36009</v>
      </c>
      <c r="G9927" s="18" t="str">
        <f>"43219"</f>
        <v>43219</v>
      </c>
      <c r="H9927" s="19" t="s">
        <v>5</v>
      </c>
      <c r="I9927" s="20">
        <v>19.55</v>
      </c>
      <c r="J9927" s="44" t="s">
        <v>8</v>
      </c>
      <c r="K9927" s="23" t="s">
        <v>8</v>
      </c>
      <c r="L9927" s="23" t="s">
        <v>8</v>
      </c>
      <c r="M9927" s="23" t="s">
        <v>8</v>
      </c>
    </row>
    <row r="9928" spans="1:13" s="21" customFormat="1" x14ac:dyDescent="0.25">
      <c r="A9928" s="22" t="s">
        <v>8</v>
      </c>
      <c r="B9928" s="18" t="str">
        <f>"365504"</f>
        <v>365504</v>
      </c>
      <c r="C9928" s="19" t="s">
        <v>9781</v>
      </c>
      <c r="D9928" s="19" t="s">
        <v>25339</v>
      </c>
      <c r="E9928" s="19" t="s">
        <v>31715</v>
      </c>
      <c r="F9928" s="19" t="s">
        <v>36009</v>
      </c>
      <c r="G9928" s="18" t="str">
        <f>"43214"</f>
        <v>43214</v>
      </c>
      <c r="H9928" s="19" t="s">
        <v>5</v>
      </c>
      <c r="I9928" s="20">
        <v>16.975999999999999</v>
      </c>
      <c r="J9928" s="44" t="s">
        <v>8</v>
      </c>
      <c r="K9928" s="23" t="s">
        <v>8</v>
      </c>
      <c r="L9928" s="23" t="s">
        <v>8</v>
      </c>
      <c r="M9928" s="23" t="s">
        <v>8</v>
      </c>
    </row>
    <row r="9929" spans="1:13" s="21" customFormat="1" x14ac:dyDescent="0.25">
      <c r="A9929" s="22" t="s">
        <v>8</v>
      </c>
      <c r="B9929" s="18" t="str">
        <f>"365505"</f>
        <v>365505</v>
      </c>
      <c r="C9929" s="19" t="s">
        <v>9782</v>
      </c>
      <c r="D9929" s="19" t="s">
        <v>25340</v>
      </c>
      <c r="E9929" s="19" t="s">
        <v>30817</v>
      </c>
      <c r="F9929" s="19" t="s">
        <v>36009</v>
      </c>
      <c r="G9929" s="18" t="str">
        <f>"45331"</f>
        <v>45331</v>
      </c>
      <c r="H9929" s="19" t="s">
        <v>36672</v>
      </c>
      <c r="I9929" s="20">
        <v>19.850999999999999</v>
      </c>
      <c r="J9929" s="44" t="s">
        <v>8</v>
      </c>
      <c r="K9929" s="23" t="s">
        <v>8</v>
      </c>
      <c r="L9929" s="23" t="s">
        <v>8</v>
      </c>
      <c r="M9929" s="23" t="s">
        <v>8</v>
      </c>
    </row>
    <row r="9930" spans="1:13" s="21" customFormat="1" x14ac:dyDescent="0.25">
      <c r="A9930" s="22" t="s">
        <v>8</v>
      </c>
      <c r="B9930" s="18" t="str">
        <f>"365506"</f>
        <v>365506</v>
      </c>
      <c r="C9930" s="19" t="s">
        <v>9783</v>
      </c>
      <c r="D9930" s="19" t="s">
        <v>25341</v>
      </c>
      <c r="E9930" s="19" t="s">
        <v>32515</v>
      </c>
      <c r="F9930" s="19" t="s">
        <v>36009</v>
      </c>
      <c r="G9930" s="18" t="str">
        <f>"45365"</f>
        <v>45365</v>
      </c>
      <c r="H9930" s="19" t="s">
        <v>33565</v>
      </c>
      <c r="I9930" s="20">
        <v>17.518000000000001</v>
      </c>
      <c r="J9930" s="44" t="s">
        <v>8</v>
      </c>
      <c r="K9930" s="23" t="s">
        <v>8</v>
      </c>
      <c r="L9930" s="23" t="s">
        <v>8</v>
      </c>
      <c r="M9930" s="23" t="s">
        <v>8</v>
      </c>
    </row>
    <row r="9931" spans="1:13" s="21" customFormat="1" x14ac:dyDescent="0.25">
      <c r="A9931" s="22" t="s">
        <v>8</v>
      </c>
      <c r="B9931" s="18" t="str">
        <f>"365507"</f>
        <v>365507</v>
      </c>
      <c r="C9931" s="19" t="s">
        <v>9784</v>
      </c>
      <c r="D9931" s="19" t="s">
        <v>25342</v>
      </c>
      <c r="E9931" s="19" t="s">
        <v>34458</v>
      </c>
      <c r="F9931" s="19" t="s">
        <v>36009</v>
      </c>
      <c r="G9931" s="18" t="str">
        <f>"43512"</f>
        <v>43512</v>
      </c>
      <c r="H9931" s="19" t="s">
        <v>34458</v>
      </c>
      <c r="I9931" s="20">
        <v>19.381</v>
      </c>
      <c r="J9931" s="44" t="s">
        <v>8</v>
      </c>
      <c r="K9931" s="23" t="s">
        <v>8</v>
      </c>
      <c r="L9931" s="23" t="s">
        <v>8</v>
      </c>
      <c r="M9931" s="23" t="s">
        <v>8</v>
      </c>
    </row>
    <row r="9932" spans="1:13" s="21" customFormat="1" x14ac:dyDescent="0.25">
      <c r="A9932" s="22" t="s">
        <v>8</v>
      </c>
      <c r="B9932" s="18" t="str">
        <f>"365508"</f>
        <v>365508</v>
      </c>
      <c r="C9932" s="19" t="s">
        <v>9785</v>
      </c>
      <c r="D9932" s="19" t="s">
        <v>25343</v>
      </c>
      <c r="E9932" s="19" t="s">
        <v>32621</v>
      </c>
      <c r="F9932" s="19" t="s">
        <v>36009</v>
      </c>
      <c r="G9932" s="18" t="str">
        <f>"44074"</f>
        <v>44074</v>
      </c>
      <c r="H9932" s="19" t="s">
        <v>34482</v>
      </c>
      <c r="I9932" s="20">
        <v>18.875</v>
      </c>
      <c r="J9932" s="44" t="s">
        <v>8</v>
      </c>
      <c r="K9932" s="23" t="s">
        <v>8</v>
      </c>
      <c r="L9932" s="23" t="s">
        <v>8</v>
      </c>
      <c r="M9932" s="23" t="s">
        <v>8</v>
      </c>
    </row>
    <row r="9933" spans="1:13" s="21" customFormat="1" x14ac:dyDescent="0.25">
      <c r="A9933" s="22" t="s">
        <v>8</v>
      </c>
      <c r="B9933" s="18" t="str">
        <f>"365510"</f>
        <v>365510</v>
      </c>
      <c r="C9933" s="19" t="s">
        <v>9786</v>
      </c>
      <c r="D9933" s="19" t="s">
        <v>25344</v>
      </c>
      <c r="E9933" s="19" t="s">
        <v>31175</v>
      </c>
      <c r="F9933" s="19" t="s">
        <v>36009</v>
      </c>
      <c r="G9933" s="18" t="str">
        <f>"43420"</f>
        <v>43420</v>
      </c>
      <c r="H9933" s="19" t="s">
        <v>33186</v>
      </c>
      <c r="I9933" s="20">
        <v>18.893999999999998</v>
      </c>
      <c r="J9933" s="44" t="s">
        <v>8</v>
      </c>
      <c r="K9933" s="23" t="s">
        <v>8</v>
      </c>
      <c r="L9933" s="23" t="s">
        <v>8</v>
      </c>
      <c r="M9933" s="23" t="s">
        <v>8</v>
      </c>
    </row>
    <row r="9934" spans="1:13" s="21" customFormat="1" x14ac:dyDescent="0.25">
      <c r="A9934" s="22" t="s">
        <v>8</v>
      </c>
      <c r="B9934" s="18" t="str">
        <f>"365514"</f>
        <v>365514</v>
      </c>
      <c r="C9934" s="19" t="s">
        <v>9787</v>
      </c>
      <c r="D9934" s="19" t="s">
        <v>25345</v>
      </c>
      <c r="E9934" s="19" t="s">
        <v>31717</v>
      </c>
      <c r="F9934" s="19" t="s">
        <v>36009</v>
      </c>
      <c r="G9934" s="18" t="str">
        <f>"45503"</f>
        <v>45503</v>
      </c>
      <c r="H9934" s="19" t="s">
        <v>33967</v>
      </c>
      <c r="I9934" s="20">
        <v>18.654</v>
      </c>
      <c r="J9934" s="44" t="s">
        <v>8</v>
      </c>
      <c r="K9934" s="23" t="s">
        <v>8</v>
      </c>
      <c r="L9934" s="23" t="s">
        <v>8</v>
      </c>
      <c r="M9934" s="23" t="s">
        <v>8</v>
      </c>
    </row>
    <row r="9935" spans="1:13" s="21" customFormat="1" x14ac:dyDescent="0.25">
      <c r="A9935" s="22" t="s">
        <v>8</v>
      </c>
      <c r="B9935" s="18" t="str">
        <f>"365515"</f>
        <v>365515</v>
      </c>
      <c r="C9935" s="19" t="s">
        <v>9788</v>
      </c>
      <c r="D9935" s="19" t="s">
        <v>25346</v>
      </c>
      <c r="E9935" s="19" t="s">
        <v>32369</v>
      </c>
      <c r="F9935" s="19" t="s">
        <v>36009</v>
      </c>
      <c r="G9935" s="18" t="str">
        <f>"45418"</f>
        <v>45418</v>
      </c>
      <c r="H9935" s="19" t="s">
        <v>30833</v>
      </c>
      <c r="I9935" s="20">
        <v>17.794</v>
      </c>
      <c r="J9935" s="44" t="s">
        <v>8</v>
      </c>
      <c r="K9935" s="23" t="s">
        <v>8</v>
      </c>
      <c r="L9935" s="23" t="s">
        <v>8</v>
      </c>
      <c r="M9935" s="23" t="s">
        <v>8</v>
      </c>
    </row>
    <row r="9936" spans="1:13" s="21" customFormat="1" x14ac:dyDescent="0.25">
      <c r="A9936" s="22" t="s">
        <v>8</v>
      </c>
      <c r="B9936" s="18" t="str">
        <f>"365517"</f>
        <v>365517</v>
      </c>
      <c r="C9936" s="19" t="s">
        <v>9789</v>
      </c>
      <c r="D9936" s="19" t="s">
        <v>25347</v>
      </c>
      <c r="E9936" s="19" t="s">
        <v>31181</v>
      </c>
      <c r="F9936" s="19" t="s">
        <v>36009</v>
      </c>
      <c r="G9936" s="18" t="str">
        <f>"44857"</f>
        <v>44857</v>
      </c>
      <c r="H9936" s="19" t="s">
        <v>34559</v>
      </c>
      <c r="I9936" s="20">
        <v>16.728000000000002</v>
      </c>
      <c r="J9936" s="44" t="s">
        <v>8</v>
      </c>
      <c r="K9936" s="23" t="s">
        <v>8</v>
      </c>
      <c r="L9936" s="23" t="s">
        <v>8</v>
      </c>
      <c r="M9936" s="23" t="s">
        <v>8</v>
      </c>
    </row>
    <row r="9937" spans="1:13" s="21" customFormat="1" x14ac:dyDescent="0.25">
      <c r="A9937" s="22" t="s">
        <v>8</v>
      </c>
      <c r="B9937" s="18" t="str">
        <f>"365519"</f>
        <v>365519</v>
      </c>
      <c r="C9937" s="19" t="s">
        <v>9790</v>
      </c>
      <c r="D9937" s="19" t="s">
        <v>25348</v>
      </c>
      <c r="E9937" s="19" t="s">
        <v>32304</v>
      </c>
      <c r="F9937" s="19" t="s">
        <v>36009</v>
      </c>
      <c r="G9937" s="18" t="str">
        <f>"45344"</f>
        <v>45344</v>
      </c>
      <c r="H9937" s="19" t="s">
        <v>33967</v>
      </c>
      <c r="I9937" s="20">
        <v>19.097999999999999</v>
      </c>
      <c r="J9937" s="44" t="s">
        <v>8</v>
      </c>
      <c r="K9937" s="23" t="s">
        <v>8</v>
      </c>
      <c r="L9937" s="23" t="s">
        <v>8</v>
      </c>
      <c r="M9937" s="23" t="s">
        <v>8</v>
      </c>
    </row>
    <row r="9938" spans="1:13" s="21" customFormat="1" x14ac:dyDescent="0.25">
      <c r="A9938" s="22" t="s">
        <v>8</v>
      </c>
      <c r="B9938" s="18" t="str">
        <f>"365520"</f>
        <v>365520</v>
      </c>
      <c r="C9938" s="19" t="s">
        <v>9791</v>
      </c>
      <c r="D9938" s="19" t="s">
        <v>25349</v>
      </c>
      <c r="E9938" s="19" t="s">
        <v>4250</v>
      </c>
      <c r="F9938" s="19" t="s">
        <v>36009</v>
      </c>
      <c r="G9938" s="18" t="str">
        <f>"44137"</f>
        <v>44137</v>
      </c>
      <c r="H9938" s="19" t="s">
        <v>36671</v>
      </c>
      <c r="I9938" s="20">
        <v>18.800999999999998</v>
      </c>
      <c r="J9938" s="44" t="s">
        <v>8</v>
      </c>
      <c r="K9938" s="23" t="s">
        <v>8</v>
      </c>
      <c r="L9938" s="23" t="s">
        <v>8</v>
      </c>
      <c r="M9938" s="23" t="s">
        <v>8</v>
      </c>
    </row>
    <row r="9939" spans="1:13" s="21" customFormat="1" x14ac:dyDescent="0.25">
      <c r="A9939" s="22" t="s">
        <v>8</v>
      </c>
      <c r="B9939" s="18" t="str">
        <f>"365521"</f>
        <v>365521</v>
      </c>
      <c r="C9939" s="19" t="s">
        <v>9792</v>
      </c>
      <c r="D9939" s="19" t="s">
        <v>25350</v>
      </c>
      <c r="E9939" s="19" t="s">
        <v>34478</v>
      </c>
      <c r="F9939" s="19" t="s">
        <v>36009</v>
      </c>
      <c r="G9939" s="18" t="str">
        <f>"44720"</f>
        <v>44720</v>
      </c>
      <c r="H9939" s="19" t="s">
        <v>36240</v>
      </c>
      <c r="I9939" s="20">
        <v>19.393000000000001</v>
      </c>
      <c r="J9939" s="44" t="s">
        <v>8</v>
      </c>
      <c r="K9939" s="23" t="s">
        <v>8</v>
      </c>
      <c r="L9939" s="23" t="s">
        <v>8</v>
      </c>
      <c r="M9939" s="23" t="s">
        <v>8</v>
      </c>
    </row>
    <row r="9940" spans="1:13" s="21" customFormat="1" x14ac:dyDescent="0.25">
      <c r="A9940" s="22" t="s">
        <v>8</v>
      </c>
      <c r="B9940" s="18" t="str">
        <f>"365523"</f>
        <v>365523</v>
      </c>
      <c r="C9940" s="19" t="s">
        <v>9793</v>
      </c>
      <c r="D9940" s="19" t="s">
        <v>25351</v>
      </c>
      <c r="E9940" s="19" t="s">
        <v>32013</v>
      </c>
      <c r="F9940" s="19" t="s">
        <v>36009</v>
      </c>
      <c r="G9940" s="18" t="str">
        <f>"43616"</f>
        <v>43616</v>
      </c>
      <c r="H9940" s="19" t="s">
        <v>36287</v>
      </c>
      <c r="I9940" s="20">
        <v>18.984999999999999</v>
      </c>
      <c r="J9940" s="44" t="s">
        <v>8</v>
      </c>
      <c r="K9940" s="23" t="s">
        <v>8</v>
      </c>
      <c r="L9940" s="23" t="s">
        <v>8</v>
      </c>
      <c r="M9940" s="23" t="s">
        <v>8</v>
      </c>
    </row>
    <row r="9941" spans="1:13" s="21" customFormat="1" x14ac:dyDescent="0.25">
      <c r="A9941" s="22" t="s">
        <v>8</v>
      </c>
      <c r="B9941" s="18" t="str">
        <f>"365525"</f>
        <v>365525</v>
      </c>
      <c r="C9941" s="19" t="s">
        <v>9794</v>
      </c>
      <c r="D9941" s="19" t="s">
        <v>25352</v>
      </c>
      <c r="E9941" s="19" t="s">
        <v>34479</v>
      </c>
      <c r="F9941" s="19" t="s">
        <v>36009</v>
      </c>
      <c r="G9941" s="18" t="str">
        <f>"43011"</f>
        <v>43011</v>
      </c>
      <c r="H9941" s="19" t="s">
        <v>32252</v>
      </c>
      <c r="I9941" s="20">
        <v>18.718</v>
      </c>
      <c r="J9941" s="44" t="s">
        <v>8</v>
      </c>
      <c r="K9941" s="23" t="s">
        <v>8</v>
      </c>
      <c r="L9941" s="23" t="s">
        <v>8</v>
      </c>
      <c r="M9941" s="23" t="s">
        <v>8</v>
      </c>
    </row>
    <row r="9942" spans="1:13" s="21" customFormat="1" x14ac:dyDescent="0.25">
      <c r="A9942" s="22" t="s">
        <v>8</v>
      </c>
      <c r="B9942" s="18" t="str">
        <f>"365527"</f>
        <v>365527</v>
      </c>
      <c r="C9942" s="19" t="s">
        <v>9795</v>
      </c>
      <c r="D9942" s="19" t="s">
        <v>25353</v>
      </c>
      <c r="E9942" s="19" t="s">
        <v>31717</v>
      </c>
      <c r="F9942" s="19" t="s">
        <v>36009</v>
      </c>
      <c r="G9942" s="18" t="str">
        <f>"45504"</f>
        <v>45504</v>
      </c>
      <c r="H9942" s="19" t="s">
        <v>33967</v>
      </c>
      <c r="I9942" s="20">
        <v>18.158999999999999</v>
      </c>
      <c r="J9942" s="44" t="s">
        <v>8</v>
      </c>
      <c r="K9942" s="23" t="s">
        <v>8</v>
      </c>
      <c r="L9942" s="23" t="s">
        <v>8</v>
      </c>
      <c r="M9942" s="23" t="s">
        <v>8</v>
      </c>
    </row>
    <row r="9943" spans="1:13" s="21" customFormat="1" x14ac:dyDescent="0.25">
      <c r="A9943" s="22" t="s">
        <v>8</v>
      </c>
      <c r="B9943" s="18" t="str">
        <f>"365529"</f>
        <v>365529</v>
      </c>
      <c r="C9943" s="19" t="s">
        <v>9796</v>
      </c>
      <c r="D9943" s="19" t="s">
        <v>25354</v>
      </c>
      <c r="E9943" s="19" t="s">
        <v>34412</v>
      </c>
      <c r="F9943" s="19" t="s">
        <v>36009</v>
      </c>
      <c r="G9943" s="18" t="str">
        <f>"45229"</f>
        <v>45229</v>
      </c>
      <c r="H9943" s="19" t="s">
        <v>30804</v>
      </c>
      <c r="I9943" s="20">
        <v>19.539000000000001</v>
      </c>
      <c r="J9943" s="44" t="s">
        <v>8</v>
      </c>
      <c r="K9943" s="23" t="s">
        <v>8</v>
      </c>
      <c r="L9943" s="23" t="s">
        <v>8</v>
      </c>
      <c r="M9943" s="23" t="s">
        <v>8</v>
      </c>
    </row>
    <row r="9944" spans="1:13" s="21" customFormat="1" x14ac:dyDescent="0.25">
      <c r="A9944" s="22" t="s">
        <v>8</v>
      </c>
      <c r="B9944" s="18" t="str">
        <f>"365530"</f>
        <v>365530</v>
      </c>
      <c r="C9944" s="19" t="s">
        <v>9797</v>
      </c>
      <c r="D9944" s="19" t="s">
        <v>25355</v>
      </c>
      <c r="E9944" s="19" t="s">
        <v>34412</v>
      </c>
      <c r="F9944" s="19" t="s">
        <v>36009</v>
      </c>
      <c r="G9944" s="18" t="str">
        <f>"45233"</f>
        <v>45233</v>
      </c>
      <c r="H9944" s="19" t="s">
        <v>30804</v>
      </c>
      <c r="I9944" s="20">
        <v>19.998999999999999</v>
      </c>
      <c r="J9944" s="44" t="s">
        <v>8</v>
      </c>
      <c r="K9944" s="23" t="s">
        <v>8</v>
      </c>
      <c r="L9944" s="23" t="s">
        <v>8</v>
      </c>
      <c r="M9944" s="23" t="s">
        <v>8</v>
      </c>
    </row>
    <row r="9945" spans="1:13" s="21" customFormat="1" x14ac:dyDescent="0.25">
      <c r="A9945" s="22" t="s">
        <v>8</v>
      </c>
      <c r="B9945" s="18" t="str">
        <f>"365531"</f>
        <v>365531</v>
      </c>
      <c r="C9945" s="19" t="s">
        <v>9798</v>
      </c>
      <c r="D9945" s="19" t="s">
        <v>25356</v>
      </c>
      <c r="E9945" s="19" t="s">
        <v>34436</v>
      </c>
      <c r="F9945" s="19" t="s">
        <v>36009</v>
      </c>
      <c r="G9945" s="18" t="str">
        <f>"43953"</f>
        <v>43953</v>
      </c>
      <c r="H9945" s="19" t="s">
        <v>32391</v>
      </c>
      <c r="I9945" s="20">
        <v>22.547000000000001</v>
      </c>
      <c r="J9945" s="44" t="s">
        <v>8</v>
      </c>
      <c r="K9945" s="23" t="s">
        <v>8</v>
      </c>
      <c r="L9945" s="23" t="s">
        <v>8</v>
      </c>
      <c r="M9945" s="23" t="s">
        <v>8</v>
      </c>
    </row>
    <row r="9946" spans="1:13" s="21" customFormat="1" x14ac:dyDescent="0.25">
      <c r="A9946" s="22" t="s">
        <v>8</v>
      </c>
      <c r="B9946" s="18" t="str">
        <f>"365532"</f>
        <v>365532</v>
      </c>
      <c r="C9946" s="19" t="s">
        <v>9799</v>
      </c>
      <c r="D9946" s="19" t="s">
        <v>25357</v>
      </c>
      <c r="E9946" s="19" t="s">
        <v>30817</v>
      </c>
      <c r="F9946" s="19" t="s">
        <v>36009</v>
      </c>
      <c r="G9946" s="18" t="str">
        <f>"45331"</f>
        <v>45331</v>
      </c>
      <c r="H9946" s="19" t="s">
        <v>36672</v>
      </c>
      <c r="I9946" s="20">
        <v>20.100999999999999</v>
      </c>
      <c r="J9946" s="44" t="s">
        <v>8</v>
      </c>
      <c r="K9946" s="23" t="s">
        <v>8</v>
      </c>
      <c r="L9946" s="23" t="s">
        <v>8</v>
      </c>
      <c r="M9946" s="23" t="s">
        <v>8</v>
      </c>
    </row>
    <row r="9947" spans="1:13" s="21" customFormat="1" x14ac:dyDescent="0.25">
      <c r="A9947" s="22" t="s">
        <v>8</v>
      </c>
      <c r="B9947" s="18" t="str">
        <f>"365533"</f>
        <v>365533</v>
      </c>
      <c r="C9947" s="19" t="s">
        <v>9800</v>
      </c>
      <c r="D9947" s="19" t="s">
        <v>25358</v>
      </c>
      <c r="E9947" s="19" t="s">
        <v>34443</v>
      </c>
      <c r="F9947" s="19" t="s">
        <v>36009</v>
      </c>
      <c r="G9947" s="18" t="str">
        <f>"44070"</f>
        <v>44070</v>
      </c>
      <c r="H9947" s="19" t="s">
        <v>36671</v>
      </c>
      <c r="I9947" s="20">
        <v>17.68</v>
      </c>
      <c r="J9947" s="44" t="s">
        <v>8</v>
      </c>
      <c r="K9947" s="23" t="s">
        <v>8</v>
      </c>
      <c r="L9947" s="23" t="s">
        <v>8</v>
      </c>
      <c r="M9947" s="23" t="s">
        <v>8</v>
      </c>
    </row>
    <row r="9948" spans="1:13" s="21" customFormat="1" x14ac:dyDescent="0.25">
      <c r="A9948" s="22" t="s">
        <v>8</v>
      </c>
      <c r="B9948" s="18" t="str">
        <f>"365535"</f>
        <v>365535</v>
      </c>
      <c r="C9948" s="19" t="s">
        <v>9801</v>
      </c>
      <c r="D9948" s="19" t="s">
        <v>25359</v>
      </c>
      <c r="E9948" s="19" t="s">
        <v>34480</v>
      </c>
      <c r="F9948" s="19" t="s">
        <v>36009</v>
      </c>
      <c r="G9948" s="18" t="str">
        <f>"43551"</f>
        <v>43551</v>
      </c>
      <c r="H9948" s="19" t="s">
        <v>36673</v>
      </c>
      <c r="I9948" s="20">
        <v>20.474</v>
      </c>
      <c r="J9948" s="44" t="s">
        <v>8</v>
      </c>
      <c r="K9948" s="23" t="s">
        <v>8</v>
      </c>
      <c r="L9948" s="23" t="s">
        <v>8</v>
      </c>
      <c r="M9948" s="23" t="s">
        <v>8</v>
      </c>
    </row>
    <row r="9949" spans="1:13" s="21" customFormat="1" x14ac:dyDescent="0.25">
      <c r="A9949" s="22" t="s">
        <v>8</v>
      </c>
      <c r="B9949" s="18" t="str">
        <f>"365538"</f>
        <v>365538</v>
      </c>
      <c r="C9949" s="19" t="s">
        <v>9802</v>
      </c>
      <c r="D9949" s="19" t="s">
        <v>25360</v>
      </c>
      <c r="E9949" s="19" t="s">
        <v>34481</v>
      </c>
      <c r="F9949" s="19" t="s">
        <v>36009</v>
      </c>
      <c r="G9949" s="18" t="str">
        <f>"45387"</f>
        <v>45387</v>
      </c>
      <c r="H9949" s="19" t="s">
        <v>32455</v>
      </c>
      <c r="I9949" s="20">
        <v>20.338000000000001</v>
      </c>
      <c r="J9949" s="44" t="s">
        <v>8</v>
      </c>
      <c r="K9949" s="23" t="s">
        <v>8</v>
      </c>
      <c r="L9949" s="23" t="s">
        <v>8</v>
      </c>
      <c r="M9949" s="23" t="s">
        <v>8</v>
      </c>
    </row>
    <row r="9950" spans="1:13" s="21" customFormat="1" x14ac:dyDescent="0.25">
      <c r="A9950" s="22" t="s">
        <v>8</v>
      </c>
      <c r="B9950" s="18" t="str">
        <f>"365539"</f>
        <v>365539</v>
      </c>
      <c r="C9950" s="19" t="s">
        <v>9803</v>
      </c>
      <c r="D9950" s="19" t="s">
        <v>25361</v>
      </c>
      <c r="E9950" s="19" t="s">
        <v>31025</v>
      </c>
      <c r="F9950" s="19" t="s">
        <v>36009</v>
      </c>
      <c r="G9950" s="18" t="str">
        <f>"44483"</f>
        <v>44483</v>
      </c>
      <c r="H9950" s="19" t="s">
        <v>31393</v>
      </c>
      <c r="I9950" s="20">
        <v>19.048999999999999</v>
      </c>
      <c r="J9950" s="44" t="s">
        <v>8</v>
      </c>
      <c r="K9950" s="23" t="s">
        <v>8</v>
      </c>
      <c r="L9950" s="23" t="s">
        <v>8</v>
      </c>
      <c r="M9950" s="23" t="s">
        <v>8</v>
      </c>
    </row>
    <row r="9951" spans="1:13" s="21" customFormat="1" x14ac:dyDescent="0.25">
      <c r="A9951" s="22" t="s">
        <v>8</v>
      </c>
      <c r="B9951" s="18" t="str">
        <f>"365541"</f>
        <v>365541</v>
      </c>
      <c r="C9951" s="19" t="s">
        <v>9804</v>
      </c>
      <c r="D9951" s="19" t="s">
        <v>25362</v>
      </c>
      <c r="E9951" s="19" t="s">
        <v>34448</v>
      </c>
      <c r="F9951" s="19" t="s">
        <v>36009</v>
      </c>
      <c r="G9951" s="18" t="str">
        <f>"45840"</f>
        <v>45840</v>
      </c>
      <c r="H9951" s="19" t="s">
        <v>33144</v>
      </c>
      <c r="I9951" s="20">
        <v>18.233000000000001</v>
      </c>
      <c r="J9951" s="44" t="s">
        <v>8</v>
      </c>
      <c r="K9951" s="23" t="s">
        <v>8</v>
      </c>
      <c r="L9951" s="23" t="s">
        <v>8</v>
      </c>
      <c r="M9951" s="23" t="s">
        <v>8</v>
      </c>
    </row>
    <row r="9952" spans="1:13" s="21" customFormat="1" x14ac:dyDescent="0.25">
      <c r="A9952" s="22" t="s">
        <v>8</v>
      </c>
      <c r="B9952" s="18" t="str">
        <f>"365545"</f>
        <v>365545</v>
      </c>
      <c r="C9952" s="19" t="s">
        <v>9805</v>
      </c>
      <c r="D9952" s="19" t="s">
        <v>25363</v>
      </c>
      <c r="E9952" s="19" t="s">
        <v>34421</v>
      </c>
      <c r="F9952" s="19" t="s">
        <v>36009</v>
      </c>
      <c r="G9952" s="18" t="str">
        <f>"44515"</f>
        <v>44515</v>
      </c>
      <c r="H9952" s="19" t="s">
        <v>36674</v>
      </c>
      <c r="I9952" s="20">
        <v>22.259</v>
      </c>
      <c r="J9952" s="44" t="s">
        <v>8</v>
      </c>
      <c r="K9952" s="23" t="s">
        <v>8</v>
      </c>
      <c r="L9952" s="23" t="s">
        <v>8</v>
      </c>
      <c r="M9952" s="23" t="s">
        <v>8</v>
      </c>
    </row>
    <row r="9953" spans="1:13" s="21" customFormat="1" x14ac:dyDescent="0.25">
      <c r="A9953" s="22" t="s">
        <v>8</v>
      </c>
      <c r="B9953" s="18" t="str">
        <f>"365550"</f>
        <v>365550</v>
      </c>
      <c r="C9953" s="19" t="s">
        <v>9806</v>
      </c>
      <c r="D9953" s="19" t="s">
        <v>25364</v>
      </c>
      <c r="E9953" s="19" t="s">
        <v>34482</v>
      </c>
      <c r="F9953" s="19" t="s">
        <v>36009</v>
      </c>
      <c r="G9953" s="18" t="str">
        <f>"44053"</f>
        <v>44053</v>
      </c>
      <c r="H9953" s="19" t="s">
        <v>34482</v>
      </c>
      <c r="I9953" s="20">
        <v>18.963999999999999</v>
      </c>
      <c r="J9953" s="44" t="s">
        <v>8</v>
      </c>
      <c r="K9953" s="23" t="s">
        <v>8</v>
      </c>
      <c r="L9953" s="23" t="s">
        <v>8</v>
      </c>
      <c r="M9953" s="23" t="s">
        <v>8</v>
      </c>
    </row>
    <row r="9954" spans="1:13" s="21" customFormat="1" x14ac:dyDescent="0.25">
      <c r="A9954" s="22" t="s">
        <v>8</v>
      </c>
      <c r="B9954" s="18" t="str">
        <f>"365551"</f>
        <v>365551</v>
      </c>
      <c r="C9954" s="19" t="s">
        <v>9807</v>
      </c>
      <c r="D9954" s="19" t="s">
        <v>25365</v>
      </c>
      <c r="E9954" s="19" t="s">
        <v>34412</v>
      </c>
      <c r="F9954" s="19" t="s">
        <v>36009</v>
      </c>
      <c r="G9954" s="18" t="str">
        <f>"45231"</f>
        <v>45231</v>
      </c>
      <c r="H9954" s="19" t="s">
        <v>30804</v>
      </c>
      <c r="I9954" s="20">
        <v>19.827000000000002</v>
      </c>
      <c r="J9954" s="44" t="s">
        <v>8</v>
      </c>
      <c r="K9954" s="23" t="s">
        <v>8</v>
      </c>
      <c r="L9954" s="23" t="s">
        <v>8</v>
      </c>
      <c r="M9954" s="23" t="s">
        <v>8</v>
      </c>
    </row>
    <row r="9955" spans="1:13" s="21" customFormat="1" x14ac:dyDescent="0.25">
      <c r="A9955" s="22" t="s">
        <v>8</v>
      </c>
      <c r="B9955" s="18" t="str">
        <f>"365552"</f>
        <v>365552</v>
      </c>
      <c r="C9955" s="19" t="s">
        <v>9808</v>
      </c>
      <c r="D9955" s="19" t="s">
        <v>25366</v>
      </c>
      <c r="E9955" s="19" t="s">
        <v>34483</v>
      </c>
      <c r="F9955" s="19" t="s">
        <v>36009</v>
      </c>
      <c r="G9955" s="18" t="str">
        <f>"45107"</f>
        <v>45107</v>
      </c>
      <c r="H9955" s="19" t="s">
        <v>31081</v>
      </c>
      <c r="I9955" s="20">
        <v>19.212</v>
      </c>
      <c r="J9955" s="44" t="s">
        <v>8</v>
      </c>
      <c r="K9955" s="23" t="s">
        <v>8</v>
      </c>
      <c r="L9955" s="23" t="s">
        <v>8</v>
      </c>
      <c r="M9955" s="23" t="s">
        <v>8</v>
      </c>
    </row>
    <row r="9956" spans="1:13" s="21" customFormat="1" x14ac:dyDescent="0.25">
      <c r="A9956" s="22" t="s">
        <v>8</v>
      </c>
      <c r="B9956" s="18" t="str">
        <f>"365554"</f>
        <v>365554</v>
      </c>
      <c r="C9956" s="19" t="s">
        <v>9809</v>
      </c>
      <c r="D9956" s="19" t="s">
        <v>25367</v>
      </c>
      <c r="E9956" s="19" t="s">
        <v>30804</v>
      </c>
      <c r="F9956" s="19" t="s">
        <v>36009</v>
      </c>
      <c r="G9956" s="18" t="str">
        <f>"45011"</f>
        <v>45011</v>
      </c>
      <c r="H9956" s="19" t="s">
        <v>30876</v>
      </c>
      <c r="I9956" s="20">
        <v>17.699000000000002</v>
      </c>
      <c r="J9956" s="44" t="s">
        <v>8</v>
      </c>
      <c r="K9956" s="23" t="s">
        <v>8</v>
      </c>
      <c r="L9956" s="23" t="s">
        <v>8</v>
      </c>
      <c r="M9956" s="23" t="s">
        <v>8</v>
      </c>
    </row>
    <row r="9957" spans="1:13" s="21" customFormat="1" x14ac:dyDescent="0.25">
      <c r="A9957" s="22" t="s">
        <v>8</v>
      </c>
      <c r="B9957" s="18" t="str">
        <f>"365555"</f>
        <v>365555</v>
      </c>
      <c r="C9957" s="19" t="s">
        <v>9810</v>
      </c>
      <c r="D9957" s="19" t="s">
        <v>25368</v>
      </c>
      <c r="E9957" s="19" t="s">
        <v>34484</v>
      </c>
      <c r="F9957" s="19" t="s">
        <v>36009</v>
      </c>
      <c r="G9957" s="18" t="str">
        <f>"44438"</f>
        <v>44438</v>
      </c>
      <c r="H9957" s="19" t="s">
        <v>31393</v>
      </c>
      <c r="I9957" s="20">
        <v>19.425000000000001</v>
      </c>
      <c r="J9957" s="44" t="s">
        <v>8</v>
      </c>
      <c r="K9957" s="23" t="s">
        <v>8</v>
      </c>
      <c r="L9957" s="23" t="s">
        <v>8</v>
      </c>
      <c r="M9957" s="23" t="s">
        <v>8</v>
      </c>
    </row>
    <row r="9958" spans="1:13" s="21" customFormat="1" x14ac:dyDescent="0.25">
      <c r="A9958" s="22" t="s">
        <v>8</v>
      </c>
      <c r="B9958" s="18" t="str">
        <f>"365556"</f>
        <v>365556</v>
      </c>
      <c r="C9958" s="19" t="s">
        <v>9811</v>
      </c>
      <c r="D9958" s="19" t="s">
        <v>25369</v>
      </c>
      <c r="E9958" s="19" t="s">
        <v>34441</v>
      </c>
      <c r="F9958" s="19" t="s">
        <v>36009</v>
      </c>
      <c r="G9958" s="18" t="str">
        <f>"43113"</f>
        <v>43113</v>
      </c>
      <c r="H9958" s="19" t="s">
        <v>36677</v>
      </c>
      <c r="I9958" s="20">
        <v>19.100000000000001</v>
      </c>
      <c r="J9958" s="44" t="s">
        <v>8</v>
      </c>
      <c r="K9958" s="23" t="s">
        <v>8</v>
      </c>
      <c r="L9958" s="23" t="s">
        <v>8</v>
      </c>
      <c r="M9958" s="23" t="s">
        <v>8</v>
      </c>
    </row>
    <row r="9959" spans="1:13" s="21" customFormat="1" x14ac:dyDescent="0.25">
      <c r="A9959" s="22" t="s">
        <v>8</v>
      </c>
      <c r="B9959" s="18" t="str">
        <f>"365557"</f>
        <v>365557</v>
      </c>
      <c r="C9959" s="19" t="s">
        <v>9812</v>
      </c>
      <c r="D9959" s="19" t="s">
        <v>25370</v>
      </c>
      <c r="E9959" s="19" t="s">
        <v>34485</v>
      </c>
      <c r="F9959" s="19" t="s">
        <v>36009</v>
      </c>
      <c r="G9959" s="18" t="str">
        <f>"45320"</f>
        <v>45320</v>
      </c>
      <c r="H9959" s="19" t="s">
        <v>36684</v>
      </c>
      <c r="I9959" s="20">
        <v>18.459</v>
      </c>
      <c r="J9959" s="44" t="s">
        <v>8</v>
      </c>
      <c r="K9959" s="23" t="s">
        <v>8</v>
      </c>
      <c r="L9959" s="23" t="s">
        <v>8</v>
      </c>
      <c r="M9959" s="23" t="s">
        <v>8</v>
      </c>
    </row>
    <row r="9960" spans="1:13" s="21" customFormat="1" x14ac:dyDescent="0.25">
      <c r="A9960" s="22" t="s">
        <v>8</v>
      </c>
      <c r="B9960" s="18" t="str">
        <f>"365558"</f>
        <v>365558</v>
      </c>
      <c r="C9960" s="19" t="s">
        <v>9813</v>
      </c>
      <c r="D9960" s="19" t="s">
        <v>25371</v>
      </c>
      <c r="E9960" s="19" t="s">
        <v>30804</v>
      </c>
      <c r="F9960" s="19" t="s">
        <v>36009</v>
      </c>
      <c r="G9960" s="18" t="str">
        <f>"45011"</f>
        <v>45011</v>
      </c>
      <c r="H9960" s="19" t="s">
        <v>30876</v>
      </c>
      <c r="I9960" s="20">
        <v>18.47</v>
      </c>
      <c r="J9960" s="44" t="s">
        <v>8</v>
      </c>
      <c r="K9960" s="23" t="s">
        <v>8</v>
      </c>
      <c r="L9960" s="23" t="s">
        <v>8</v>
      </c>
      <c r="M9960" s="23" t="s">
        <v>8</v>
      </c>
    </row>
    <row r="9961" spans="1:13" s="21" customFormat="1" x14ac:dyDescent="0.25">
      <c r="A9961" s="22" t="s">
        <v>8</v>
      </c>
      <c r="B9961" s="18" t="str">
        <f>"365559"</f>
        <v>365559</v>
      </c>
      <c r="C9961" s="19" t="s">
        <v>9814</v>
      </c>
      <c r="D9961" s="19" t="s">
        <v>25372</v>
      </c>
      <c r="E9961" s="19" t="s">
        <v>30920</v>
      </c>
      <c r="F9961" s="19" t="s">
        <v>36009</v>
      </c>
      <c r="G9961" s="18" t="str">
        <f>"43912"</f>
        <v>43912</v>
      </c>
      <c r="H9961" s="19" t="s">
        <v>33079</v>
      </c>
      <c r="I9961" s="20">
        <v>18.704999999999998</v>
      </c>
      <c r="J9961" s="44" t="s">
        <v>8</v>
      </c>
      <c r="K9961" s="23" t="s">
        <v>8</v>
      </c>
      <c r="L9961" s="23" t="s">
        <v>8</v>
      </c>
      <c r="M9961" s="23" t="s">
        <v>8</v>
      </c>
    </row>
    <row r="9962" spans="1:13" s="21" customFormat="1" x14ac:dyDescent="0.25">
      <c r="A9962" s="22" t="s">
        <v>8</v>
      </c>
      <c r="B9962" s="18" t="str">
        <f>"365560"</f>
        <v>365560</v>
      </c>
      <c r="C9962" s="19" t="s">
        <v>9815</v>
      </c>
      <c r="D9962" s="19" t="s">
        <v>25373</v>
      </c>
      <c r="E9962" s="19" t="s">
        <v>31747</v>
      </c>
      <c r="F9962" s="19" t="s">
        <v>36009</v>
      </c>
      <c r="G9962" s="18" t="str">
        <f>"43017"</f>
        <v>43017</v>
      </c>
      <c r="H9962" s="19" t="s">
        <v>5</v>
      </c>
      <c r="I9962" s="20">
        <v>16.716000000000001</v>
      </c>
      <c r="J9962" s="44" t="s">
        <v>8</v>
      </c>
      <c r="K9962" s="23" t="s">
        <v>8</v>
      </c>
      <c r="L9962" s="23" t="s">
        <v>8</v>
      </c>
      <c r="M9962" s="23" t="s">
        <v>8</v>
      </c>
    </row>
    <row r="9963" spans="1:13" s="21" customFormat="1" x14ac:dyDescent="0.25">
      <c r="A9963" s="22" t="s">
        <v>8</v>
      </c>
      <c r="B9963" s="18" t="str">
        <f>"365562"</f>
        <v>365562</v>
      </c>
      <c r="C9963" s="19" t="s">
        <v>9816</v>
      </c>
      <c r="D9963" s="19" t="s">
        <v>25374</v>
      </c>
      <c r="E9963" s="19" t="s">
        <v>34412</v>
      </c>
      <c r="F9963" s="19" t="s">
        <v>36009</v>
      </c>
      <c r="G9963" s="18" t="str">
        <f>"45243"</f>
        <v>45243</v>
      </c>
      <c r="H9963" s="19" t="s">
        <v>30804</v>
      </c>
      <c r="I9963" s="20">
        <v>21.363</v>
      </c>
      <c r="J9963" s="44" t="s">
        <v>8</v>
      </c>
      <c r="K9963" s="23" t="s">
        <v>8</v>
      </c>
      <c r="L9963" s="23" t="s">
        <v>8</v>
      </c>
      <c r="M9963" s="23" t="s">
        <v>8</v>
      </c>
    </row>
    <row r="9964" spans="1:13" s="21" customFormat="1" x14ac:dyDescent="0.25">
      <c r="A9964" s="22" t="s">
        <v>8</v>
      </c>
      <c r="B9964" s="18" t="str">
        <f>"365563"</f>
        <v>365563</v>
      </c>
      <c r="C9964" s="19" t="s">
        <v>9817</v>
      </c>
      <c r="D9964" s="19" t="s">
        <v>25375</v>
      </c>
      <c r="E9964" s="19" t="s">
        <v>34486</v>
      </c>
      <c r="F9964" s="19" t="s">
        <v>36009</v>
      </c>
      <c r="G9964" s="18" t="str">
        <f>"44270"</f>
        <v>44270</v>
      </c>
      <c r="H9964" s="19" t="s">
        <v>33280</v>
      </c>
      <c r="I9964" s="20">
        <v>18.059999999999999</v>
      </c>
      <c r="J9964" s="44" t="s">
        <v>8</v>
      </c>
      <c r="K9964" s="23" t="s">
        <v>8</v>
      </c>
      <c r="L9964" s="23" t="s">
        <v>8</v>
      </c>
      <c r="M9964" s="23" t="s">
        <v>8</v>
      </c>
    </row>
    <row r="9965" spans="1:13" s="21" customFormat="1" x14ac:dyDescent="0.25">
      <c r="A9965" s="22" t="s">
        <v>8</v>
      </c>
      <c r="B9965" s="18" t="str">
        <f>"365564"</f>
        <v>365564</v>
      </c>
      <c r="C9965" s="19" t="s">
        <v>9818</v>
      </c>
      <c r="D9965" s="19" t="s">
        <v>25376</v>
      </c>
      <c r="E9965" s="19" t="s">
        <v>34487</v>
      </c>
      <c r="F9965" s="19" t="s">
        <v>36009</v>
      </c>
      <c r="G9965" s="18" t="str">
        <f>"45638"</f>
        <v>45638</v>
      </c>
      <c r="H9965" s="19" t="s">
        <v>32568</v>
      </c>
      <c r="I9965" s="20">
        <v>20.085999999999999</v>
      </c>
      <c r="J9965" s="44" t="s">
        <v>8</v>
      </c>
      <c r="K9965" s="23" t="s">
        <v>8</v>
      </c>
      <c r="L9965" s="23" t="s">
        <v>8</v>
      </c>
      <c r="M9965" s="23" t="s">
        <v>8</v>
      </c>
    </row>
    <row r="9966" spans="1:13" s="21" customFormat="1" x14ac:dyDescent="0.25">
      <c r="A9966" s="22" t="s">
        <v>8</v>
      </c>
      <c r="B9966" s="18" t="str">
        <f>"365565"</f>
        <v>365565</v>
      </c>
      <c r="C9966" s="19" t="s">
        <v>9819</v>
      </c>
      <c r="D9966" s="19" t="s">
        <v>25377</v>
      </c>
      <c r="E9966" s="19" t="s">
        <v>34488</v>
      </c>
      <c r="F9966" s="19" t="s">
        <v>36009</v>
      </c>
      <c r="G9966" s="18" t="str">
        <f>"44273"</f>
        <v>44273</v>
      </c>
      <c r="H9966" s="19" t="s">
        <v>34102</v>
      </c>
      <c r="I9966" s="20">
        <v>19.582000000000001</v>
      </c>
      <c r="J9966" s="44" t="s">
        <v>8</v>
      </c>
      <c r="K9966" s="23" t="s">
        <v>8</v>
      </c>
      <c r="L9966" s="23" t="s">
        <v>8</v>
      </c>
      <c r="M9966" s="23" t="s">
        <v>8</v>
      </c>
    </row>
    <row r="9967" spans="1:13" s="21" customFormat="1" x14ac:dyDescent="0.25">
      <c r="A9967" s="22" t="s">
        <v>8</v>
      </c>
      <c r="B9967" s="18" t="str">
        <f>"365566"</f>
        <v>365566</v>
      </c>
      <c r="C9967" s="19" t="s">
        <v>9820</v>
      </c>
      <c r="D9967" s="19" t="s">
        <v>25378</v>
      </c>
      <c r="E9967" s="19" t="s">
        <v>34489</v>
      </c>
      <c r="F9967" s="19" t="s">
        <v>36009</v>
      </c>
      <c r="G9967" s="18" t="str">
        <f>"45865"</f>
        <v>45865</v>
      </c>
      <c r="H9967" s="19" t="s">
        <v>36676</v>
      </c>
      <c r="I9967" s="20">
        <v>18.567</v>
      </c>
      <c r="J9967" s="44" t="s">
        <v>8</v>
      </c>
      <c r="K9967" s="23" t="s">
        <v>8</v>
      </c>
      <c r="L9967" s="23" t="s">
        <v>8</v>
      </c>
      <c r="M9967" s="23" t="s">
        <v>8</v>
      </c>
    </row>
    <row r="9968" spans="1:13" s="21" customFormat="1" x14ac:dyDescent="0.25">
      <c r="A9968" s="22" t="s">
        <v>8</v>
      </c>
      <c r="B9968" s="18" t="str">
        <f>"365567"</f>
        <v>365567</v>
      </c>
      <c r="C9968" s="19" t="s">
        <v>9821</v>
      </c>
      <c r="D9968" s="19" t="s">
        <v>25379</v>
      </c>
      <c r="E9968" s="19" t="s">
        <v>31810</v>
      </c>
      <c r="F9968" s="19" t="s">
        <v>36009</v>
      </c>
      <c r="G9968" s="18" t="str">
        <f>"44119"</f>
        <v>44119</v>
      </c>
      <c r="H9968" s="19" t="s">
        <v>36671</v>
      </c>
      <c r="I9968" s="20">
        <v>19.184999999999999</v>
      </c>
      <c r="J9968" s="44" t="s">
        <v>8</v>
      </c>
      <c r="K9968" s="23" t="s">
        <v>8</v>
      </c>
      <c r="L9968" s="23" t="s">
        <v>8</v>
      </c>
      <c r="M9968" s="23" t="s">
        <v>8</v>
      </c>
    </row>
    <row r="9969" spans="1:13" s="21" customFormat="1" x14ac:dyDescent="0.25">
      <c r="A9969" s="22" t="s">
        <v>8</v>
      </c>
      <c r="B9969" s="18" t="str">
        <f>"365569"</f>
        <v>365569</v>
      </c>
      <c r="C9969" s="19" t="s">
        <v>9822</v>
      </c>
      <c r="D9969" s="19" t="s">
        <v>25380</v>
      </c>
      <c r="E9969" s="19" t="s">
        <v>34490</v>
      </c>
      <c r="F9969" s="19" t="s">
        <v>36009</v>
      </c>
      <c r="G9969" s="18" t="str">
        <f>"43935"</f>
        <v>43935</v>
      </c>
      <c r="H9969" s="19" t="s">
        <v>33079</v>
      </c>
      <c r="I9969" s="20">
        <v>20.91</v>
      </c>
      <c r="J9969" s="44" t="s">
        <v>8</v>
      </c>
      <c r="K9969" s="23" t="s">
        <v>8</v>
      </c>
      <c r="L9969" s="23" t="s">
        <v>8</v>
      </c>
      <c r="M9969" s="23" t="s">
        <v>8</v>
      </c>
    </row>
    <row r="9970" spans="1:13" s="21" customFormat="1" x14ac:dyDescent="0.25">
      <c r="A9970" s="22" t="s">
        <v>8</v>
      </c>
      <c r="B9970" s="18" t="str">
        <f>"365570"</f>
        <v>365570</v>
      </c>
      <c r="C9970" s="19" t="s">
        <v>9823</v>
      </c>
      <c r="D9970" s="19" t="s">
        <v>25381</v>
      </c>
      <c r="E9970" s="19" t="s">
        <v>33489</v>
      </c>
      <c r="F9970" s="19" t="s">
        <v>36009</v>
      </c>
      <c r="G9970" s="18" t="str">
        <f>"43517"</f>
        <v>43517</v>
      </c>
      <c r="H9970" s="19" t="s">
        <v>35728</v>
      </c>
      <c r="I9970" s="20">
        <v>18.213000000000001</v>
      </c>
      <c r="J9970" s="44" t="s">
        <v>8</v>
      </c>
      <c r="K9970" s="23" t="s">
        <v>8</v>
      </c>
      <c r="L9970" s="23" t="s">
        <v>8</v>
      </c>
      <c r="M9970" s="23" t="s">
        <v>8</v>
      </c>
    </row>
    <row r="9971" spans="1:13" s="21" customFormat="1" x14ac:dyDescent="0.25">
      <c r="A9971" s="22" t="s">
        <v>8</v>
      </c>
      <c r="B9971" s="18" t="str">
        <f>"365571"</f>
        <v>365571</v>
      </c>
      <c r="C9971" s="19" t="s">
        <v>9824</v>
      </c>
      <c r="D9971" s="19" t="s">
        <v>25382</v>
      </c>
      <c r="E9971" s="19" t="s">
        <v>34491</v>
      </c>
      <c r="F9971" s="19" t="s">
        <v>36009</v>
      </c>
      <c r="G9971" s="18" t="str">
        <f>"43450"</f>
        <v>43450</v>
      </c>
      <c r="H9971" s="19" t="s">
        <v>36673</v>
      </c>
      <c r="I9971" s="20">
        <v>18.239000000000001</v>
      </c>
      <c r="J9971" s="44" t="s">
        <v>8</v>
      </c>
      <c r="K9971" s="23" t="s">
        <v>8</v>
      </c>
      <c r="L9971" s="23" t="s">
        <v>8</v>
      </c>
      <c r="M9971" s="23" t="s">
        <v>8</v>
      </c>
    </row>
    <row r="9972" spans="1:13" s="21" customFormat="1" x14ac:dyDescent="0.25">
      <c r="A9972" s="22" t="s">
        <v>8</v>
      </c>
      <c r="B9972" s="18" t="str">
        <f>"365572"</f>
        <v>365572</v>
      </c>
      <c r="C9972" s="19" t="s">
        <v>9825</v>
      </c>
      <c r="D9972" s="19" t="s">
        <v>25383</v>
      </c>
      <c r="E9972" s="19" t="s">
        <v>31715</v>
      </c>
      <c r="F9972" s="19" t="s">
        <v>36009</v>
      </c>
      <c r="G9972" s="18" t="str">
        <f>"43232"</f>
        <v>43232</v>
      </c>
      <c r="H9972" s="19" t="s">
        <v>5</v>
      </c>
      <c r="I9972" s="20">
        <v>20.231999999999999</v>
      </c>
      <c r="J9972" s="44" t="s">
        <v>8</v>
      </c>
      <c r="K9972" s="23" t="s">
        <v>8</v>
      </c>
      <c r="L9972" s="23" t="s">
        <v>8</v>
      </c>
      <c r="M9972" s="23" t="s">
        <v>8</v>
      </c>
    </row>
    <row r="9973" spans="1:13" s="21" customFormat="1" x14ac:dyDescent="0.25">
      <c r="A9973" s="22" t="s">
        <v>8</v>
      </c>
      <c r="B9973" s="18" t="str">
        <f>"365574"</f>
        <v>365574</v>
      </c>
      <c r="C9973" s="19" t="s">
        <v>9826</v>
      </c>
      <c r="D9973" s="19" t="s">
        <v>25384</v>
      </c>
      <c r="E9973" s="19" t="s">
        <v>31512</v>
      </c>
      <c r="F9973" s="19" t="s">
        <v>36009</v>
      </c>
      <c r="G9973" s="18" t="str">
        <f>"44672"</f>
        <v>44672</v>
      </c>
      <c r="H9973" s="19" t="s">
        <v>36674</v>
      </c>
      <c r="I9973" s="20">
        <v>19.286000000000001</v>
      </c>
      <c r="J9973" s="44" t="s">
        <v>8</v>
      </c>
      <c r="K9973" s="23" t="s">
        <v>8</v>
      </c>
      <c r="L9973" s="23" t="s">
        <v>8</v>
      </c>
      <c r="M9973" s="23" t="s">
        <v>8</v>
      </c>
    </row>
    <row r="9974" spans="1:13" s="21" customFormat="1" x14ac:dyDescent="0.25">
      <c r="A9974" s="22" t="s">
        <v>8</v>
      </c>
      <c r="B9974" s="18" t="str">
        <f>"365575"</f>
        <v>365575</v>
      </c>
      <c r="C9974" s="19" t="s">
        <v>9827</v>
      </c>
      <c r="D9974" s="19" t="s">
        <v>25385</v>
      </c>
      <c r="E9974" s="19" t="s">
        <v>34492</v>
      </c>
      <c r="F9974" s="19" t="s">
        <v>36009</v>
      </c>
      <c r="G9974" s="18" t="str">
        <f>"44830"</f>
        <v>44830</v>
      </c>
      <c r="H9974" s="19" t="s">
        <v>32641</v>
      </c>
      <c r="I9974" s="20">
        <v>17.338999999999999</v>
      </c>
      <c r="J9974" s="44" t="s">
        <v>8</v>
      </c>
      <c r="K9974" s="23" t="s">
        <v>8</v>
      </c>
      <c r="L9974" s="23" t="s">
        <v>8</v>
      </c>
      <c r="M9974" s="23" t="s">
        <v>8</v>
      </c>
    </row>
    <row r="9975" spans="1:13" s="21" customFormat="1" x14ac:dyDescent="0.25">
      <c r="A9975" s="22" t="s">
        <v>8</v>
      </c>
      <c r="B9975" s="18" t="str">
        <f>"365576"</f>
        <v>365576</v>
      </c>
      <c r="C9975" s="19" t="s">
        <v>9828</v>
      </c>
      <c r="D9975" s="19" t="s">
        <v>25386</v>
      </c>
      <c r="E9975" s="19" t="s">
        <v>31927</v>
      </c>
      <c r="F9975" s="19" t="s">
        <v>36009</v>
      </c>
      <c r="G9975" s="18" t="str">
        <f>"45601"</f>
        <v>45601</v>
      </c>
      <c r="H9975" s="19" t="s">
        <v>36685</v>
      </c>
      <c r="I9975" s="20">
        <v>20.393000000000001</v>
      </c>
      <c r="J9975" s="44" t="s">
        <v>8</v>
      </c>
      <c r="K9975" s="23" t="s">
        <v>8</v>
      </c>
      <c r="L9975" s="23" t="s">
        <v>8</v>
      </c>
      <c r="M9975" s="23" t="s">
        <v>8</v>
      </c>
    </row>
    <row r="9976" spans="1:13" s="21" customFormat="1" x14ac:dyDescent="0.25">
      <c r="A9976" s="22" t="s">
        <v>8</v>
      </c>
      <c r="B9976" s="18" t="str">
        <f>"365577"</f>
        <v>365577</v>
      </c>
      <c r="C9976" s="19" t="s">
        <v>9829</v>
      </c>
      <c r="D9976" s="19" t="s">
        <v>25387</v>
      </c>
      <c r="E9976" s="19" t="s">
        <v>32618</v>
      </c>
      <c r="F9976" s="19" t="s">
        <v>36009</v>
      </c>
      <c r="G9976" s="18" t="str">
        <f>"43040"</f>
        <v>43040</v>
      </c>
      <c r="H9976" s="19" t="s">
        <v>33554</v>
      </c>
      <c r="I9976" s="20">
        <v>18.963000000000001</v>
      </c>
      <c r="J9976" s="44" t="s">
        <v>8</v>
      </c>
      <c r="K9976" s="23" t="s">
        <v>8</v>
      </c>
      <c r="L9976" s="23" t="s">
        <v>8</v>
      </c>
      <c r="M9976" s="23" t="s">
        <v>8</v>
      </c>
    </row>
    <row r="9977" spans="1:13" s="21" customFormat="1" x14ac:dyDescent="0.25">
      <c r="A9977" s="22" t="s">
        <v>8</v>
      </c>
      <c r="B9977" s="18" t="str">
        <f>"365578"</f>
        <v>365578</v>
      </c>
      <c r="C9977" s="19" t="s">
        <v>9830</v>
      </c>
      <c r="D9977" s="19" t="s">
        <v>25388</v>
      </c>
      <c r="E9977" s="19" t="s">
        <v>34493</v>
      </c>
      <c r="F9977" s="19" t="s">
        <v>36009</v>
      </c>
      <c r="G9977" s="18" t="str">
        <f>"43764"</f>
        <v>43764</v>
      </c>
      <c r="H9977" s="19" t="s">
        <v>31503</v>
      </c>
      <c r="I9977" s="20">
        <v>20.954999999999998</v>
      </c>
      <c r="J9977" s="44" t="s">
        <v>8</v>
      </c>
      <c r="K9977" s="23" t="s">
        <v>8</v>
      </c>
      <c r="L9977" s="23" t="s">
        <v>8</v>
      </c>
      <c r="M9977" s="23" t="s">
        <v>8</v>
      </c>
    </row>
    <row r="9978" spans="1:13" s="21" customFormat="1" x14ac:dyDescent="0.25">
      <c r="A9978" s="22" t="s">
        <v>8</v>
      </c>
      <c r="B9978" s="18" t="str">
        <f>"365579"</f>
        <v>365579</v>
      </c>
      <c r="C9978" s="19" t="s">
        <v>9831</v>
      </c>
      <c r="D9978" s="19" t="s">
        <v>25389</v>
      </c>
      <c r="E9978" s="19" t="s">
        <v>30812</v>
      </c>
      <c r="F9978" s="19" t="s">
        <v>36009</v>
      </c>
      <c r="G9978" s="18" t="str">
        <f>"44615"</f>
        <v>44615</v>
      </c>
      <c r="H9978" s="19" t="s">
        <v>32334</v>
      </c>
      <c r="I9978" s="20">
        <v>18.702000000000002</v>
      </c>
      <c r="J9978" s="44" t="s">
        <v>8</v>
      </c>
      <c r="K9978" s="23" t="s">
        <v>8</v>
      </c>
      <c r="L9978" s="23" t="s">
        <v>8</v>
      </c>
      <c r="M9978" s="23" t="s">
        <v>8</v>
      </c>
    </row>
    <row r="9979" spans="1:13" s="21" customFormat="1" x14ac:dyDescent="0.25">
      <c r="A9979" s="22" t="s">
        <v>8</v>
      </c>
      <c r="B9979" s="18" t="str">
        <f>"365580"</f>
        <v>365580</v>
      </c>
      <c r="C9979" s="19" t="s">
        <v>9832</v>
      </c>
      <c r="D9979" s="19" t="s">
        <v>25390</v>
      </c>
      <c r="E9979" s="19" t="s">
        <v>34421</v>
      </c>
      <c r="F9979" s="19" t="s">
        <v>36009</v>
      </c>
      <c r="G9979" s="18" t="str">
        <f>"44512"</f>
        <v>44512</v>
      </c>
      <c r="H9979" s="19" t="s">
        <v>36674</v>
      </c>
      <c r="I9979" s="20">
        <v>17.469000000000001</v>
      </c>
      <c r="J9979" s="44" t="s">
        <v>8</v>
      </c>
      <c r="K9979" s="23" t="s">
        <v>8</v>
      </c>
      <c r="L9979" s="23" t="s">
        <v>8</v>
      </c>
      <c r="M9979" s="23" t="s">
        <v>8</v>
      </c>
    </row>
    <row r="9980" spans="1:13" s="21" customFormat="1" x14ac:dyDescent="0.25">
      <c r="A9980" s="22" t="s">
        <v>8</v>
      </c>
      <c r="B9980" s="18" t="str">
        <f>"365581"</f>
        <v>365581</v>
      </c>
      <c r="C9980" s="19" t="s">
        <v>9833</v>
      </c>
      <c r="D9980" s="19" t="s">
        <v>25391</v>
      </c>
      <c r="E9980" s="19" t="s">
        <v>34442</v>
      </c>
      <c r="F9980" s="19" t="s">
        <v>36009</v>
      </c>
      <c r="G9980" s="18" t="str">
        <f>"44094"</f>
        <v>44094</v>
      </c>
      <c r="H9980" s="19" t="s">
        <v>36096</v>
      </c>
      <c r="I9980" s="20">
        <v>20.678999999999998</v>
      </c>
      <c r="J9980" s="44" t="s">
        <v>8</v>
      </c>
      <c r="K9980" s="23" t="s">
        <v>8</v>
      </c>
      <c r="L9980" s="23" t="s">
        <v>8</v>
      </c>
      <c r="M9980" s="23" t="s">
        <v>8</v>
      </c>
    </row>
    <row r="9981" spans="1:13" s="21" customFormat="1" x14ac:dyDescent="0.25">
      <c r="A9981" s="22" t="s">
        <v>8</v>
      </c>
      <c r="B9981" s="18" t="str">
        <f>"365583"</f>
        <v>365583</v>
      </c>
      <c r="C9981" s="19" t="s">
        <v>9834</v>
      </c>
      <c r="D9981" s="19" t="s">
        <v>25392</v>
      </c>
      <c r="E9981" s="19" t="s">
        <v>34494</v>
      </c>
      <c r="F9981" s="19" t="s">
        <v>36009</v>
      </c>
      <c r="G9981" s="18" t="str">
        <f>"44028"</f>
        <v>44028</v>
      </c>
      <c r="H9981" s="19" t="s">
        <v>34482</v>
      </c>
      <c r="I9981" s="20">
        <v>17.475000000000001</v>
      </c>
      <c r="J9981" s="44" t="s">
        <v>8</v>
      </c>
      <c r="K9981" s="23" t="s">
        <v>8</v>
      </c>
      <c r="L9981" s="23" t="s">
        <v>8</v>
      </c>
      <c r="M9981" s="23" t="s">
        <v>8</v>
      </c>
    </row>
    <row r="9982" spans="1:13" s="21" customFormat="1" x14ac:dyDescent="0.25">
      <c r="A9982" s="22" t="s">
        <v>8</v>
      </c>
      <c r="B9982" s="18" t="str">
        <f>"365584"</f>
        <v>365584</v>
      </c>
      <c r="C9982" s="19" t="s">
        <v>9835</v>
      </c>
      <c r="D9982" s="19" t="s">
        <v>25393</v>
      </c>
      <c r="E9982" s="19" t="s">
        <v>33852</v>
      </c>
      <c r="F9982" s="19" t="s">
        <v>36009</v>
      </c>
      <c r="G9982" s="18" t="str">
        <f>"45662"</f>
        <v>45662</v>
      </c>
      <c r="H9982" s="19" t="s">
        <v>36678</v>
      </c>
      <c r="I9982" s="20">
        <v>19.943000000000001</v>
      </c>
      <c r="J9982" s="44" t="s">
        <v>8</v>
      </c>
      <c r="K9982" s="23" t="s">
        <v>8</v>
      </c>
      <c r="L9982" s="23" t="s">
        <v>8</v>
      </c>
      <c r="M9982" s="23" t="s">
        <v>8</v>
      </c>
    </row>
    <row r="9983" spans="1:13" s="21" customFormat="1" x14ac:dyDescent="0.25">
      <c r="A9983" s="22" t="s">
        <v>8</v>
      </c>
      <c r="B9983" s="18" t="str">
        <f>"365585"</f>
        <v>365585</v>
      </c>
      <c r="C9983" s="19" t="s">
        <v>9836</v>
      </c>
      <c r="D9983" s="19" t="s">
        <v>25394</v>
      </c>
      <c r="E9983" s="19" t="s">
        <v>34495</v>
      </c>
      <c r="F9983" s="19" t="s">
        <v>36009</v>
      </c>
      <c r="G9983" s="18" t="str">
        <f>"45648"</f>
        <v>45648</v>
      </c>
      <c r="H9983" s="19" t="s">
        <v>36678</v>
      </c>
      <c r="I9983" s="20">
        <v>16.995000000000001</v>
      </c>
      <c r="J9983" s="44" t="s">
        <v>8</v>
      </c>
      <c r="K9983" s="23" t="s">
        <v>8</v>
      </c>
      <c r="L9983" s="23" t="s">
        <v>8</v>
      </c>
      <c r="M9983" s="23" t="s">
        <v>8</v>
      </c>
    </row>
    <row r="9984" spans="1:13" s="21" customFormat="1" x14ac:dyDescent="0.25">
      <c r="A9984" s="22" t="s">
        <v>8</v>
      </c>
      <c r="B9984" s="18" t="str">
        <f>"365586"</f>
        <v>365586</v>
      </c>
      <c r="C9984" s="19" t="s">
        <v>9837</v>
      </c>
      <c r="D9984" s="19" t="s">
        <v>25395</v>
      </c>
      <c r="E9984" s="19" t="s">
        <v>32363</v>
      </c>
      <c r="F9984" s="19" t="s">
        <v>36009</v>
      </c>
      <c r="G9984" s="18" t="str">
        <f>"45693"</f>
        <v>45693</v>
      </c>
      <c r="H9984" s="19" t="s">
        <v>33467</v>
      </c>
      <c r="I9984" s="20">
        <v>17.942</v>
      </c>
      <c r="J9984" s="44" t="s">
        <v>8</v>
      </c>
      <c r="K9984" s="23" t="s">
        <v>8</v>
      </c>
      <c r="L9984" s="23" t="s">
        <v>8</v>
      </c>
      <c r="M9984" s="23" t="s">
        <v>8</v>
      </c>
    </row>
    <row r="9985" spans="1:13" s="21" customFormat="1" x14ac:dyDescent="0.25">
      <c r="A9985" s="22" t="s">
        <v>8</v>
      </c>
      <c r="B9985" s="18" t="str">
        <f>"365587"</f>
        <v>365587</v>
      </c>
      <c r="C9985" s="19" t="s">
        <v>9838</v>
      </c>
      <c r="D9985" s="19" t="s">
        <v>25396</v>
      </c>
      <c r="E9985" s="19" t="s">
        <v>34496</v>
      </c>
      <c r="F9985" s="19" t="s">
        <v>36009</v>
      </c>
      <c r="G9985" s="18" t="str">
        <f>"45614"</f>
        <v>45614</v>
      </c>
      <c r="H9985" s="19" t="s">
        <v>36679</v>
      </c>
      <c r="I9985" s="20">
        <v>20.414000000000001</v>
      </c>
      <c r="J9985" s="44" t="s">
        <v>8</v>
      </c>
      <c r="K9985" s="23" t="s">
        <v>8</v>
      </c>
      <c r="L9985" s="23" t="s">
        <v>8</v>
      </c>
      <c r="M9985" s="23" t="s">
        <v>8</v>
      </c>
    </row>
    <row r="9986" spans="1:13" s="21" customFormat="1" x14ac:dyDescent="0.25">
      <c r="A9986" s="22" t="s">
        <v>8</v>
      </c>
      <c r="B9986" s="18" t="str">
        <f>"365588"</f>
        <v>365588</v>
      </c>
      <c r="C9986" s="19" t="s">
        <v>9839</v>
      </c>
      <c r="D9986" s="19" t="s">
        <v>25397</v>
      </c>
      <c r="E9986" s="19" t="s">
        <v>34497</v>
      </c>
      <c r="F9986" s="19" t="s">
        <v>36009</v>
      </c>
      <c r="G9986" s="18" t="str">
        <f>"45723"</f>
        <v>45723</v>
      </c>
      <c r="H9986" s="19" t="s">
        <v>30824</v>
      </c>
      <c r="I9986" s="20">
        <v>17.047999999999998</v>
      </c>
      <c r="J9986" s="44" t="s">
        <v>8</v>
      </c>
      <c r="K9986" s="23" t="s">
        <v>8</v>
      </c>
      <c r="L9986" s="23" t="s">
        <v>8</v>
      </c>
      <c r="M9986" s="23" t="s">
        <v>8</v>
      </c>
    </row>
    <row r="9987" spans="1:13" s="21" customFormat="1" x14ac:dyDescent="0.25">
      <c r="A9987" s="22" t="s">
        <v>8</v>
      </c>
      <c r="B9987" s="18" t="str">
        <f>"365589"</f>
        <v>365589</v>
      </c>
      <c r="C9987" s="19" t="s">
        <v>9840</v>
      </c>
      <c r="D9987" s="19" t="s">
        <v>25398</v>
      </c>
      <c r="E9987" s="19" t="s">
        <v>34498</v>
      </c>
      <c r="F9987" s="19" t="s">
        <v>36009</v>
      </c>
      <c r="G9987" s="18" t="str">
        <f>"45780"</f>
        <v>45780</v>
      </c>
      <c r="H9987" s="19" t="s">
        <v>30824</v>
      </c>
      <c r="I9987" s="20">
        <v>18.247</v>
      </c>
      <c r="J9987" s="44" t="s">
        <v>8</v>
      </c>
      <c r="K9987" s="23" t="s">
        <v>8</v>
      </c>
      <c r="L9987" s="23" t="s">
        <v>8</v>
      </c>
      <c r="M9987" s="23" t="s">
        <v>8</v>
      </c>
    </row>
    <row r="9988" spans="1:13" s="21" customFormat="1" x14ac:dyDescent="0.25">
      <c r="A9988" s="22" t="s">
        <v>8</v>
      </c>
      <c r="B9988" s="18" t="str">
        <f>"365591"</f>
        <v>365591</v>
      </c>
      <c r="C9988" s="19" t="s">
        <v>9841</v>
      </c>
      <c r="D9988" s="19" t="s">
        <v>25399</v>
      </c>
      <c r="E9988" s="19" t="s">
        <v>31744</v>
      </c>
      <c r="F9988" s="19" t="s">
        <v>36009</v>
      </c>
      <c r="G9988" s="18" t="str">
        <f>"44618"</f>
        <v>44618</v>
      </c>
      <c r="H9988" s="19" t="s">
        <v>33280</v>
      </c>
      <c r="I9988" s="20">
        <v>16.939</v>
      </c>
      <c r="J9988" s="44" t="s">
        <v>8</v>
      </c>
      <c r="K9988" s="23" t="s">
        <v>8</v>
      </c>
      <c r="L9988" s="23" t="s">
        <v>8</v>
      </c>
      <c r="M9988" s="23" t="s">
        <v>8</v>
      </c>
    </row>
    <row r="9989" spans="1:13" s="21" customFormat="1" x14ac:dyDescent="0.25">
      <c r="A9989" s="22" t="s">
        <v>8</v>
      </c>
      <c r="B9989" s="18" t="str">
        <f>"365592"</f>
        <v>365592</v>
      </c>
      <c r="C9989" s="19" t="s">
        <v>9842</v>
      </c>
      <c r="D9989" s="19" t="s">
        <v>25400</v>
      </c>
      <c r="E9989" s="19" t="s">
        <v>34483</v>
      </c>
      <c r="F9989" s="19" t="s">
        <v>36009</v>
      </c>
      <c r="G9989" s="18" t="str">
        <f>"45107"</f>
        <v>45107</v>
      </c>
      <c r="H9989" s="19" t="s">
        <v>31081</v>
      </c>
      <c r="I9989" s="20">
        <v>18.039000000000001</v>
      </c>
      <c r="J9989" s="44" t="s">
        <v>8</v>
      </c>
      <c r="K9989" s="23" t="s">
        <v>8</v>
      </c>
      <c r="L9989" s="23" t="s">
        <v>8</v>
      </c>
      <c r="M9989" s="23" t="s">
        <v>8</v>
      </c>
    </row>
    <row r="9990" spans="1:13" s="21" customFormat="1" x14ac:dyDescent="0.25">
      <c r="A9990" s="22" t="s">
        <v>8</v>
      </c>
      <c r="B9990" s="18" t="str">
        <f>"365594"</f>
        <v>365594</v>
      </c>
      <c r="C9990" s="19" t="s">
        <v>9843</v>
      </c>
      <c r="D9990" s="19" t="s">
        <v>25401</v>
      </c>
      <c r="E9990" s="19" t="s">
        <v>31810</v>
      </c>
      <c r="F9990" s="19" t="s">
        <v>36009</v>
      </c>
      <c r="G9990" s="18" t="str">
        <f>"44110"</f>
        <v>44110</v>
      </c>
      <c r="H9990" s="19" t="s">
        <v>36671</v>
      </c>
      <c r="I9990" s="20">
        <v>19.559999999999999</v>
      </c>
      <c r="J9990" s="44" t="s">
        <v>8</v>
      </c>
      <c r="K9990" s="23" t="s">
        <v>8</v>
      </c>
      <c r="L9990" s="23" t="s">
        <v>8</v>
      </c>
      <c r="M9990" s="23" t="s">
        <v>8</v>
      </c>
    </row>
    <row r="9991" spans="1:13" s="21" customFormat="1" x14ac:dyDescent="0.25">
      <c r="A9991" s="22" t="s">
        <v>8</v>
      </c>
      <c r="B9991" s="18" t="str">
        <f>"365595"</f>
        <v>365595</v>
      </c>
      <c r="C9991" s="19" t="s">
        <v>9844</v>
      </c>
      <c r="D9991" s="19" t="s">
        <v>25402</v>
      </c>
      <c r="E9991" s="19" t="s">
        <v>5</v>
      </c>
      <c r="F9991" s="19" t="s">
        <v>36009</v>
      </c>
      <c r="G9991" s="18" t="str">
        <f>"45005"</f>
        <v>45005</v>
      </c>
      <c r="H9991" s="19" t="s">
        <v>31025</v>
      </c>
      <c r="I9991" s="20">
        <v>18.266999999999999</v>
      </c>
      <c r="J9991" s="44" t="s">
        <v>8</v>
      </c>
      <c r="K9991" s="23" t="s">
        <v>8</v>
      </c>
      <c r="L9991" s="23" t="s">
        <v>8</v>
      </c>
      <c r="M9991" s="23" t="s">
        <v>8</v>
      </c>
    </row>
    <row r="9992" spans="1:13" s="21" customFormat="1" x14ac:dyDescent="0.25">
      <c r="A9992" s="22" t="s">
        <v>8</v>
      </c>
      <c r="B9992" s="18" t="str">
        <f>"365597"</f>
        <v>365597</v>
      </c>
      <c r="C9992" s="19" t="s">
        <v>9845</v>
      </c>
      <c r="D9992" s="19" t="s">
        <v>25403</v>
      </c>
      <c r="E9992" s="19" t="s">
        <v>31927</v>
      </c>
      <c r="F9992" s="19" t="s">
        <v>36009</v>
      </c>
      <c r="G9992" s="18" t="str">
        <f>"45601"</f>
        <v>45601</v>
      </c>
      <c r="H9992" s="19" t="s">
        <v>36685</v>
      </c>
      <c r="I9992" s="20">
        <v>17.55</v>
      </c>
      <c r="J9992" s="44" t="s">
        <v>8</v>
      </c>
      <c r="K9992" s="23" t="s">
        <v>8</v>
      </c>
      <c r="L9992" s="23" t="s">
        <v>8</v>
      </c>
      <c r="M9992" s="23" t="s">
        <v>8</v>
      </c>
    </row>
    <row r="9993" spans="1:13" s="21" customFormat="1" x14ac:dyDescent="0.25">
      <c r="A9993" s="22" t="s">
        <v>8</v>
      </c>
      <c r="B9993" s="18" t="str">
        <f>"365598"</f>
        <v>365598</v>
      </c>
      <c r="C9993" s="19" t="s">
        <v>9846</v>
      </c>
      <c r="D9993" s="19" t="s">
        <v>25404</v>
      </c>
      <c r="E9993" s="19" t="s">
        <v>34499</v>
      </c>
      <c r="F9993" s="19" t="s">
        <v>36009</v>
      </c>
      <c r="G9993" s="18" t="str">
        <f>"45449"</f>
        <v>45449</v>
      </c>
      <c r="H9993" s="19" t="s">
        <v>30833</v>
      </c>
      <c r="I9993" s="20">
        <v>18.428000000000001</v>
      </c>
      <c r="J9993" s="44" t="s">
        <v>8</v>
      </c>
      <c r="K9993" s="23" t="s">
        <v>8</v>
      </c>
      <c r="L9993" s="23" t="s">
        <v>8</v>
      </c>
      <c r="M9993" s="23" t="s">
        <v>8</v>
      </c>
    </row>
    <row r="9994" spans="1:13" s="21" customFormat="1" x14ac:dyDescent="0.25">
      <c r="A9994" s="22" t="s">
        <v>8</v>
      </c>
      <c r="B9994" s="18" t="str">
        <f>"365600"</f>
        <v>365600</v>
      </c>
      <c r="C9994" s="19" t="s">
        <v>9847</v>
      </c>
      <c r="D9994" s="19" t="s">
        <v>25405</v>
      </c>
      <c r="E9994" s="19" t="s">
        <v>34426</v>
      </c>
      <c r="F9994" s="19" t="s">
        <v>36009</v>
      </c>
      <c r="G9994" s="18" t="str">
        <f>"45804"</f>
        <v>45804</v>
      </c>
      <c r="H9994" s="19" t="s">
        <v>34710</v>
      </c>
      <c r="I9994" s="20">
        <v>21.277999999999999</v>
      </c>
      <c r="J9994" s="44" t="s">
        <v>8</v>
      </c>
      <c r="K9994" s="23" t="s">
        <v>8</v>
      </c>
      <c r="L9994" s="23" t="s">
        <v>8</v>
      </c>
      <c r="M9994" s="23" t="s">
        <v>8</v>
      </c>
    </row>
    <row r="9995" spans="1:13" s="21" customFormat="1" x14ac:dyDescent="0.25">
      <c r="A9995" s="22" t="s">
        <v>8</v>
      </c>
      <c r="B9995" s="18" t="str">
        <f>"365601"</f>
        <v>365601</v>
      </c>
      <c r="C9995" s="19" t="s">
        <v>9848</v>
      </c>
      <c r="D9995" s="19" t="s">
        <v>25406</v>
      </c>
      <c r="E9995" s="19" t="s">
        <v>34414</v>
      </c>
      <c r="F9995" s="19" t="s">
        <v>36009</v>
      </c>
      <c r="G9995" s="18" t="str">
        <f>"45385"</f>
        <v>45385</v>
      </c>
      <c r="H9995" s="19" t="s">
        <v>32455</v>
      </c>
      <c r="I9995" s="20">
        <v>20.815000000000001</v>
      </c>
      <c r="J9995" s="44" t="s">
        <v>8</v>
      </c>
      <c r="K9995" s="23" t="s">
        <v>8</v>
      </c>
      <c r="L9995" s="23" t="s">
        <v>8</v>
      </c>
      <c r="M9995" s="23" t="s">
        <v>8</v>
      </c>
    </row>
    <row r="9996" spans="1:13" s="21" customFormat="1" x14ac:dyDescent="0.25">
      <c r="A9996" s="22" t="s">
        <v>8</v>
      </c>
      <c r="B9996" s="18" t="str">
        <f>"365603"</f>
        <v>365603</v>
      </c>
      <c r="C9996" s="19" t="s">
        <v>9849</v>
      </c>
      <c r="D9996" s="19" t="s">
        <v>25407</v>
      </c>
      <c r="E9996" s="19" t="s">
        <v>34412</v>
      </c>
      <c r="F9996" s="19" t="s">
        <v>36009</v>
      </c>
      <c r="G9996" s="18" t="str">
        <f>"45238"</f>
        <v>45238</v>
      </c>
      <c r="H9996" s="19" t="s">
        <v>30804</v>
      </c>
      <c r="I9996" s="20">
        <v>17.535</v>
      </c>
      <c r="J9996" s="44" t="s">
        <v>8</v>
      </c>
      <c r="K9996" s="23" t="s">
        <v>8</v>
      </c>
      <c r="L9996" s="23" t="s">
        <v>8</v>
      </c>
      <c r="M9996" s="23" t="s">
        <v>8</v>
      </c>
    </row>
    <row r="9997" spans="1:13" s="21" customFormat="1" x14ac:dyDescent="0.25">
      <c r="A9997" s="22" t="s">
        <v>8</v>
      </c>
      <c r="B9997" s="18" t="str">
        <f>"365604"</f>
        <v>365604</v>
      </c>
      <c r="C9997" s="19" t="s">
        <v>9850</v>
      </c>
      <c r="D9997" s="19" t="s">
        <v>25408</v>
      </c>
      <c r="E9997" s="19" t="s">
        <v>31696</v>
      </c>
      <c r="F9997" s="19" t="s">
        <v>36009</v>
      </c>
      <c r="G9997" s="18" t="str">
        <f>"44641"</f>
        <v>44641</v>
      </c>
      <c r="H9997" s="19" t="s">
        <v>36240</v>
      </c>
      <c r="I9997" s="20">
        <v>19.181000000000001</v>
      </c>
      <c r="J9997" s="44" t="s">
        <v>8</v>
      </c>
      <c r="K9997" s="23" t="s">
        <v>8</v>
      </c>
      <c r="L9997" s="23" t="s">
        <v>8</v>
      </c>
      <c r="M9997" s="23" t="s">
        <v>8</v>
      </c>
    </row>
    <row r="9998" spans="1:13" s="21" customFormat="1" x14ac:dyDescent="0.25">
      <c r="A9998" s="22" t="s">
        <v>8</v>
      </c>
      <c r="B9998" s="18" t="str">
        <f>"365605"</f>
        <v>365605</v>
      </c>
      <c r="C9998" s="19" t="s">
        <v>9851</v>
      </c>
      <c r="D9998" s="19" t="s">
        <v>25409</v>
      </c>
      <c r="E9998" s="19" t="s">
        <v>32618</v>
      </c>
      <c r="F9998" s="19" t="s">
        <v>36009</v>
      </c>
      <c r="G9998" s="18" t="str">
        <f>"43040"</f>
        <v>43040</v>
      </c>
      <c r="H9998" s="19" t="s">
        <v>33554</v>
      </c>
      <c r="I9998" s="20">
        <v>19.341000000000001</v>
      </c>
      <c r="J9998" s="44" t="s">
        <v>8</v>
      </c>
      <c r="K9998" s="23" t="s">
        <v>8</v>
      </c>
      <c r="L9998" s="23" t="s">
        <v>8</v>
      </c>
      <c r="M9998" s="23" t="s">
        <v>8</v>
      </c>
    </row>
    <row r="9999" spans="1:13" s="21" customFormat="1" x14ac:dyDescent="0.25">
      <c r="A9999" s="22" t="s">
        <v>8</v>
      </c>
      <c r="B9999" s="18" t="str">
        <f>"365606"</f>
        <v>365606</v>
      </c>
      <c r="C9999" s="19" t="s">
        <v>9852</v>
      </c>
      <c r="D9999" s="19" t="s">
        <v>25410</v>
      </c>
      <c r="E9999" s="19" t="s">
        <v>31766</v>
      </c>
      <c r="F9999" s="19" t="s">
        <v>36009</v>
      </c>
      <c r="G9999" s="18" t="str">
        <f>"43084"</f>
        <v>43084</v>
      </c>
      <c r="H9999" s="19" t="s">
        <v>31939</v>
      </c>
      <c r="I9999" s="20">
        <v>18.847000000000001</v>
      </c>
      <c r="J9999" s="44" t="s">
        <v>8</v>
      </c>
      <c r="K9999" s="23" t="s">
        <v>8</v>
      </c>
      <c r="L9999" s="23" t="s">
        <v>8</v>
      </c>
      <c r="M9999" s="23" t="s">
        <v>8</v>
      </c>
    </row>
    <row r="10000" spans="1:13" s="21" customFormat="1" x14ac:dyDescent="0.25">
      <c r="A10000" s="22" t="s">
        <v>8</v>
      </c>
      <c r="B10000" s="18" t="str">
        <f>"365607"</f>
        <v>365607</v>
      </c>
      <c r="C10000" s="19" t="s">
        <v>9853</v>
      </c>
      <c r="D10000" s="19" t="s">
        <v>25411</v>
      </c>
      <c r="E10000" s="19" t="s">
        <v>34434</v>
      </c>
      <c r="F10000" s="19" t="s">
        <v>36009</v>
      </c>
      <c r="G10000" s="18" t="str">
        <f>"45356"</f>
        <v>45356</v>
      </c>
      <c r="H10000" s="19" t="s">
        <v>31507</v>
      </c>
      <c r="I10000" s="20">
        <v>21.3</v>
      </c>
      <c r="J10000" s="44" t="s">
        <v>8</v>
      </c>
      <c r="K10000" s="23" t="s">
        <v>8</v>
      </c>
      <c r="L10000" s="23" t="s">
        <v>8</v>
      </c>
      <c r="M10000" s="23" t="s">
        <v>8</v>
      </c>
    </row>
    <row r="10001" spans="1:13" s="21" customFormat="1" x14ac:dyDescent="0.25">
      <c r="A10001" s="22" t="s">
        <v>8</v>
      </c>
      <c r="B10001" s="18" t="str">
        <f>"365608"</f>
        <v>365608</v>
      </c>
      <c r="C10001" s="19" t="s">
        <v>9854</v>
      </c>
      <c r="D10001" s="19" t="s">
        <v>25412</v>
      </c>
      <c r="E10001" s="19" t="s">
        <v>32697</v>
      </c>
      <c r="F10001" s="19" t="s">
        <v>36009</v>
      </c>
      <c r="G10001" s="18" t="str">
        <f>"44017"</f>
        <v>44017</v>
      </c>
      <c r="H10001" s="19" t="s">
        <v>36671</v>
      </c>
      <c r="I10001" s="20">
        <v>18.381</v>
      </c>
      <c r="J10001" s="44" t="s">
        <v>8</v>
      </c>
      <c r="K10001" s="23" t="s">
        <v>8</v>
      </c>
      <c r="L10001" s="23" t="s">
        <v>8</v>
      </c>
      <c r="M10001" s="23" t="s">
        <v>8</v>
      </c>
    </row>
    <row r="10002" spans="1:13" s="21" customFormat="1" x14ac:dyDescent="0.25">
      <c r="A10002" s="22" t="s">
        <v>8</v>
      </c>
      <c r="B10002" s="18" t="str">
        <f>"365611"</f>
        <v>365611</v>
      </c>
      <c r="C10002" s="19" t="s">
        <v>9855</v>
      </c>
      <c r="D10002" s="19" t="s">
        <v>25413</v>
      </c>
      <c r="E10002" s="19" t="s">
        <v>34427</v>
      </c>
      <c r="F10002" s="19" t="s">
        <v>36009</v>
      </c>
      <c r="G10002" s="18" t="str">
        <f>"43081"</f>
        <v>43081</v>
      </c>
      <c r="H10002" s="19" t="s">
        <v>5</v>
      </c>
      <c r="I10002" s="20">
        <v>21.838999999999999</v>
      </c>
      <c r="J10002" s="44" t="s">
        <v>8</v>
      </c>
      <c r="K10002" s="23" t="s">
        <v>8</v>
      </c>
      <c r="L10002" s="23" t="s">
        <v>8</v>
      </c>
      <c r="M10002" s="23" t="s">
        <v>8</v>
      </c>
    </row>
    <row r="10003" spans="1:13" s="21" customFormat="1" x14ac:dyDescent="0.25">
      <c r="A10003" s="22" t="s">
        <v>8</v>
      </c>
      <c r="B10003" s="18" t="str">
        <f>"365612"</f>
        <v>365612</v>
      </c>
      <c r="C10003" s="19" t="s">
        <v>9856</v>
      </c>
      <c r="D10003" s="19" t="s">
        <v>25414</v>
      </c>
      <c r="E10003" s="19" t="s">
        <v>31876</v>
      </c>
      <c r="F10003" s="19" t="s">
        <v>36009</v>
      </c>
      <c r="G10003" s="18" t="str">
        <f>"43724"</f>
        <v>43724</v>
      </c>
      <c r="H10003" s="19" t="s">
        <v>34672</v>
      </c>
      <c r="I10003" s="20">
        <v>19.414000000000001</v>
      </c>
      <c r="J10003" s="44" t="s">
        <v>8</v>
      </c>
      <c r="K10003" s="23" t="s">
        <v>8</v>
      </c>
      <c r="L10003" s="23" t="s">
        <v>8</v>
      </c>
      <c r="M10003" s="23" t="s">
        <v>8</v>
      </c>
    </row>
    <row r="10004" spans="1:13" s="21" customFormat="1" x14ac:dyDescent="0.25">
      <c r="A10004" s="22" t="s">
        <v>8</v>
      </c>
      <c r="B10004" s="18" t="str">
        <f>"365615"</f>
        <v>365615</v>
      </c>
      <c r="C10004" s="19" t="s">
        <v>9857</v>
      </c>
      <c r="D10004" s="19" t="s">
        <v>25415</v>
      </c>
      <c r="E10004" s="19" t="s">
        <v>34500</v>
      </c>
      <c r="F10004" s="19" t="s">
        <v>36009</v>
      </c>
      <c r="G10004" s="18" t="str">
        <f>"43311"</f>
        <v>43311</v>
      </c>
      <c r="H10004" s="19" t="s">
        <v>32373</v>
      </c>
      <c r="I10004" s="20">
        <v>19.207000000000001</v>
      </c>
      <c r="J10004" s="44" t="s">
        <v>8</v>
      </c>
      <c r="K10004" s="23" t="s">
        <v>8</v>
      </c>
      <c r="L10004" s="23" t="s">
        <v>8</v>
      </c>
      <c r="M10004" s="23" t="s">
        <v>8</v>
      </c>
    </row>
    <row r="10005" spans="1:13" s="21" customFormat="1" x14ac:dyDescent="0.25">
      <c r="A10005" s="22" t="s">
        <v>8</v>
      </c>
      <c r="B10005" s="18" t="str">
        <f>"365616"</f>
        <v>365616</v>
      </c>
      <c r="C10005" s="19" t="s">
        <v>9858</v>
      </c>
      <c r="D10005" s="19" t="s">
        <v>25416</v>
      </c>
      <c r="E10005" s="19" t="s">
        <v>34446</v>
      </c>
      <c r="F10005" s="19" t="s">
        <v>36009</v>
      </c>
      <c r="G10005" s="18" t="str">
        <f>"45429"</f>
        <v>45429</v>
      </c>
      <c r="H10005" s="19" t="s">
        <v>30833</v>
      </c>
      <c r="I10005" s="20">
        <v>18.797000000000001</v>
      </c>
      <c r="J10005" s="44" t="s">
        <v>8</v>
      </c>
      <c r="K10005" s="23" t="s">
        <v>8</v>
      </c>
      <c r="L10005" s="23" t="s">
        <v>8</v>
      </c>
      <c r="M10005" s="23" t="s">
        <v>8</v>
      </c>
    </row>
    <row r="10006" spans="1:13" s="21" customFormat="1" x14ac:dyDescent="0.25">
      <c r="A10006" s="22" t="s">
        <v>8</v>
      </c>
      <c r="B10006" s="18" t="str">
        <f>"365617"</f>
        <v>365617</v>
      </c>
      <c r="C10006" s="19" t="s">
        <v>9859</v>
      </c>
      <c r="D10006" s="19" t="s">
        <v>25417</v>
      </c>
      <c r="E10006" s="19" t="s">
        <v>32897</v>
      </c>
      <c r="F10006" s="19" t="s">
        <v>36009</v>
      </c>
      <c r="G10006" s="18" t="str">
        <f>"43566"</f>
        <v>43566</v>
      </c>
      <c r="H10006" s="19" t="s">
        <v>36287</v>
      </c>
      <c r="I10006" s="20">
        <v>17.419</v>
      </c>
      <c r="J10006" s="44" t="s">
        <v>8</v>
      </c>
      <c r="K10006" s="23" t="s">
        <v>8</v>
      </c>
      <c r="L10006" s="23" t="s">
        <v>8</v>
      </c>
      <c r="M10006" s="23" t="s">
        <v>8</v>
      </c>
    </row>
    <row r="10007" spans="1:13" s="21" customFormat="1" x14ac:dyDescent="0.25">
      <c r="A10007" s="22" t="s">
        <v>8</v>
      </c>
      <c r="B10007" s="18" t="str">
        <f>"365618"</f>
        <v>365618</v>
      </c>
      <c r="C10007" s="19" t="s">
        <v>9860</v>
      </c>
      <c r="D10007" s="19" t="s">
        <v>25418</v>
      </c>
      <c r="E10007" s="19" t="s">
        <v>30850</v>
      </c>
      <c r="F10007" s="19" t="s">
        <v>36009</v>
      </c>
      <c r="G10007" s="18" t="str">
        <f>"43302"</f>
        <v>43302</v>
      </c>
      <c r="H10007" s="19" t="s">
        <v>30850</v>
      </c>
      <c r="I10007" s="20">
        <v>18.748999999999999</v>
      </c>
      <c r="J10007" s="44" t="s">
        <v>8</v>
      </c>
      <c r="K10007" s="23" t="s">
        <v>8</v>
      </c>
      <c r="L10007" s="23" t="s">
        <v>8</v>
      </c>
      <c r="M10007" s="23" t="s">
        <v>8</v>
      </c>
    </row>
    <row r="10008" spans="1:13" s="21" customFormat="1" x14ac:dyDescent="0.25">
      <c r="A10008" s="22" t="s">
        <v>8</v>
      </c>
      <c r="B10008" s="18" t="str">
        <f>"365619"</f>
        <v>365619</v>
      </c>
      <c r="C10008" s="19" t="s">
        <v>9861</v>
      </c>
      <c r="D10008" s="19" t="s">
        <v>25419</v>
      </c>
      <c r="E10008" s="19" t="s">
        <v>34501</v>
      </c>
      <c r="F10008" s="19" t="s">
        <v>36009</v>
      </c>
      <c r="G10008" s="18" t="str">
        <f>"44820"</f>
        <v>44820</v>
      </c>
      <c r="H10008" s="19" t="s">
        <v>31759</v>
      </c>
      <c r="I10008" s="20">
        <v>17.379000000000001</v>
      </c>
      <c r="J10008" s="44" t="s">
        <v>8</v>
      </c>
      <c r="K10008" s="23" t="s">
        <v>8</v>
      </c>
      <c r="L10008" s="23" t="s">
        <v>8</v>
      </c>
      <c r="M10008" s="23" t="s">
        <v>8</v>
      </c>
    </row>
    <row r="10009" spans="1:13" s="21" customFormat="1" x14ac:dyDescent="0.25">
      <c r="A10009" s="22" t="s">
        <v>8</v>
      </c>
      <c r="B10009" s="18" t="str">
        <f>"365620"</f>
        <v>365620</v>
      </c>
      <c r="C10009" s="19" t="s">
        <v>3131</v>
      </c>
      <c r="D10009" s="19" t="s">
        <v>25420</v>
      </c>
      <c r="E10009" s="19" t="s">
        <v>34502</v>
      </c>
      <c r="F10009" s="19" t="s">
        <v>36009</v>
      </c>
      <c r="G10009" s="18" t="str">
        <f>"45680"</f>
        <v>45680</v>
      </c>
      <c r="H10009" s="19" t="s">
        <v>32568</v>
      </c>
      <c r="I10009" s="20">
        <v>19.536999999999999</v>
      </c>
      <c r="J10009" s="44" t="s">
        <v>8</v>
      </c>
      <c r="K10009" s="23" t="s">
        <v>8</v>
      </c>
      <c r="L10009" s="23" t="s">
        <v>8</v>
      </c>
      <c r="M10009" s="23" t="s">
        <v>8</v>
      </c>
    </row>
    <row r="10010" spans="1:13" s="21" customFormat="1" x14ac:dyDescent="0.25">
      <c r="A10010" s="22" t="s">
        <v>8</v>
      </c>
      <c r="B10010" s="18" t="str">
        <f>"365621"</f>
        <v>365621</v>
      </c>
      <c r="C10010" s="19" t="s">
        <v>9862</v>
      </c>
      <c r="D10010" s="19" t="s">
        <v>25421</v>
      </c>
      <c r="E10010" s="19" t="s">
        <v>32016</v>
      </c>
      <c r="F10010" s="19" t="s">
        <v>36009</v>
      </c>
      <c r="G10010" s="18" t="str">
        <f>"45133"</f>
        <v>45133</v>
      </c>
      <c r="H10010" s="19" t="s">
        <v>31280</v>
      </c>
      <c r="I10010" s="20">
        <v>18.797999999999998</v>
      </c>
      <c r="J10010" s="44" t="s">
        <v>8</v>
      </c>
      <c r="K10010" s="23" t="s">
        <v>8</v>
      </c>
      <c r="L10010" s="23" t="s">
        <v>8</v>
      </c>
      <c r="M10010" s="23" t="s">
        <v>8</v>
      </c>
    </row>
    <row r="10011" spans="1:13" s="21" customFormat="1" x14ac:dyDescent="0.25">
      <c r="A10011" s="22" t="s">
        <v>8</v>
      </c>
      <c r="B10011" s="18" t="str">
        <f>"365623"</f>
        <v>365623</v>
      </c>
      <c r="C10011" s="19" t="s">
        <v>9863</v>
      </c>
      <c r="D10011" s="19" t="s">
        <v>25422</v>
      </c>
      <c r="E10011" s="19" t="s">
        <v>34482</v>
      </c>
      <c r="F10011" s="19" t="s">
        <v>36009</v>
      </c>
      <c r="G10011" s="18" t="str">
        <f>"44053"</f>
        <v>44053</v>
      </c>
      <c r="H10011" s="19" t="s">
        <v>34482</v>
      </c>
      <c r="I10011" s="20">
        <v>19.207000000000001</v>
      </c>
      <c r="J10011" s="44" t="s">
        <v>8</v>
      </c>
      <c r="K10011" s="23" t="s">
        <v>8</v>
      </c>
      <c r="L10011" s="23" t="s">
        <v>8</v>
      </c>
      <c r="M10011" s="23" t="s">
        <v>8</v>
      </c>
    </row>
    <row r="10012" spans="1:13" s="21" customFormat="1" x14ac:dyDescent="0.25">
      <c r="A10012" s="22" t="s">
        <v>8</v>
      </c>
      <c r="B10012" s="18" t="str">
        <f>"365624"</f>
        <v>365624</v>
      </c>
      <c r="C10012" s="19" t="s">
        <v>9864</v>
      </c>
      <c r="D10012" s="19" t="s">
        <v>25423</v>
      </c>
      <c r="E10012" s="19" t="s">
        <v>34480</v>
      </c>
      <c r="F10012" s="19" t="s">
        <v>36009</v>
      </c>
      <c r="G10012" s="18" t="str">
        <f>"43551"</f>
        <v>43551</v>
      </c>
      <c r="H10012" s="19" t="s">
        <v>36673</v>
      </c>
      <c r="I10012" s="20">
        <v>20.431000000000001</v>
      </c>
      <c r="J10012" s="44" t="s">
        <v>8</v>
      </c>
      <c r="K10012" s="23" t="s">
        <v>8</v>
      </c>
      <c r="L10012" s="23" t="s">
        <v>8</v>
      </c>
      <c r="M10012" s="23" t="s">
        <v>8</v>
      </c>
    </row>
    <row r="10013" spans="1:13" s="21" customFormat="1" x14ac:dyDescent="0.25">
      <c r="A10013" s="22" t="s">
        <v>8</v>
      </c>
      <c r="B10013" s="18" t="str">
        <f>"365625"</f>
        <v>365625</v>
      </c>
      <c r="C10013" s="19" t="s">
        <v>9865</v>
      </c>
      <c r="D10013" s="19" t="s">
        <v>25424</v>
      </c>
      <c r="E10013" s="19" t="s">
        <v>34501</v>
      </c>
      <c r="F10013" s="19" t="s">
        <v>36009</v>
      </c>
      <c r="G10013" s="18" t="str">
        <f>"44820"</f>
        <v>44820</v>
      </c>
      <c r="H10013" s="19" t="s">
        <v>31759</v>
      </c>
      <c r="I10013" s="20">
        <v>18.047999999999998</v>
      </c>
      <c r="J10013" s="44" t="s">
        <v>8</v>
      </c>
      <c r="K10013" s="23" t="s">
        <v>8</v>
      </c>
      <c r="L10013" s="23" t="s">
        <v>8</v>
      </c>
      <c r="M10013" s="23" t="s">
        <v>8</v>
      </c>
    </row>
    <row r="10014" spans="1:13" s="21" customFormat="1" x14ac:dyDescent="0.25">
      <c r="A10014" s="22" t="s">
        <v>8</v>
      </c>
      <c r="B10014" s="18" t="str">
        <f>"365626"</f>
        <v>365626</v>
      </c>
      <c r="C10014" s="19" t="s">
        <v>9866</v>
      </c>
      <c r="D10014" s="19" t="s">
        <v>25425</v>
      </c>
      <c r="E10014" s="19" t="s">
        <v>34503</v>
      </c>
      <c r="F10014" s="19" t="s">
        <v>36009</v>
      </c>
      <c r="G10014" s="18" t="str">
        <f>"45305"</f>
        <v>45305</v>
      </c>
      <c r="H10014" s="19" t="s">
        <v>32455</v>
      </c>
      <c r="I10014" s="20">
        <v>17.914999999999999</v>
      </c>
      <c r="J10014" s="44" t="s">
        <v>8</v>
      </c>
      <c r="K10014" s="23" t="s">
        <v>8</v>
      </c>
      <c r="L10014" s="23" t="s">
        <v>8</v>
      </c>
      <c r="M10014" s="23" t="s">
        <v>8</v>
      </c>
    </row>
    <row r="10015" spans="1:13" s="21" customFormat="1" x14ac:dyDescent="0.25">
      <c r="A10015" s="22" t="s">
        <v>8</v>
      </c>
      <c r="B10015" s="18" t="str">
        <f>"365627"</f>
        <v>365627</v>
      </c>
      <c r="C10015" s="19" t="s">
        <v>9867</v>
      </c>
      <c r="D10015" s="19" t="s">
        <v>25426</v>
      </c>
      <c r="E10015" s="19" t="s">
        <v>34504</v>
      </c>
      <c r="F10015" s="19" t="s">
        <v>36009</v>
      </c>
      <c r="G10015" s="18" t="str">
        <f>"45424"</f>
        <v>45424</v>
      </c>
      <c r="H10015" s="19" t="s">
        <v>30833</v>
      </c>
      <c r="I10015" s="20">
        <v>19.190999999999999</v>
      </c>
      <c r="J10015" s="44" t="s">
        <v>8</v>
      </c>
      <c r="K10015" s="23" t="s">
        <v>8</v>
      </c>
      <c r="L10015" s="23" t="s">
        <v>8</v>
      </c>
      <c r="M10015" s="23" t="s">
        <v>8</v>
      </c>
    </row>
    <row r="10016" spans="1:13" s="21" customFormat="1" x14ac:dyDescent="0.25">
      <c r="A10016" s="22" t="s">
        <v>8</v>
      </c>
      <c r="B10016" s="18" t="str">
        <f>"365628"</f>
        <v>365628</v>
      </c>
      <c r="C10016" s="19" t="s">
        <v>9868</v>
      </c>
      <c r="D10016" s="19" t="s">
        <v>25427</v>
      </c>
      <c r="E10016" s="19" t="s">
        <v>31405</v>
      </c>
      <c r="F10016" s="19" t="s">
        <v>36009</v>
      </c>
      <c r="G10016" s="18" t="str">
        <f>"45150"</f>
        <v>45150</v>
      </c>
      <c r="H10016" s="19" t="s">
        <v>31621</v>
      </c>
      <c r="I10016" s="20">
        <v>14.568</v>
      </c>
      <c r="J10016" s="44" t="s">
        <v>8</v>
      </c>
      <c r="K10016" s="23" t="s">
        <v>8</v>
      </c>
      <c r="L10016" s="23" t="s">
        <v>8</v>
      </c>
      <c r="M10016" s="23" t="s">
        <v>8</v>
      </c>
    </row>
    <row r="10017" spans="1:13" s="21" customFormat="1" x14ac:dyDescent="0.25">
      <c r="A10017" s="22" t="s">
        <v>8</v>
      </c>
      <c r="B10017" s="18" t="str">
        <f>"365629"</f>
        <v>365629</v>
      </c>
      <c r="C10017" s="19" t="s">
        <v>9869</v>
      </c>
      <c r="D10017" s="19" t="s">
        <v>25428</v>
      </c>
      <c r="E10017" s="19" t="s">
        <v>34505</v>
      </c>
      <c r="F10017" s="19" t="s">
        <v>36009</v>
      </c>
      <c r="G10017" s="18" t="str">
        <f>"43953"</f>
        <v>43953</v>
      </c>
      <c r="H10017" s="19" t="s">
        <v>32391</v>
      </c>
      <c r="I10017" s="20">
        <v>18.649999999999999</v>
      </c>
      <c r="J10017" s="44" t="s">
        <v>8</v>
      </c>
      <c r="K10017" s="23" t="s">
        <v>8</v>
      </c>
      <c r="L10017" s="23" t="s">
        <v>8</v>
      </c>
      <c r="M10017" s="23" t="s">
        <v>8</v>
      </c>
    </row>
    <row r="10018" spans="1:13" s="21" customFormat="1" x14ac:dyDescent="0.25">
      <c r="A10018" s="22" t="s">
        <v>8</v>
      </c>
      <c r="B10018" s="18" t="str">
        <f>"365632"</f>
        <v>365632</v>
      </c>
      <c r="C10018" s="19" t="s">
        <v>9870</v>
      </c>
      <c r="D10018" s="19" t="s">
        <v>25429</v>
      </c>
      <c r="E10018" s="19" t="s">
        <v>34506</v>
      </c>
      <c r="F10018" s="19" t="s">
        <v>36009</v>
      </c>
      <c r="G10018" s="18" t="str">
        <f>"44654"</f>
        <v>44654</v>
      </c>
      <c r="H10018" s="19" t="s">
        <v>34081</v>
      </c>
      <c r="I10018" s="20">
        <v>18.385000000000002</v>
      </c>
      <c r="J10018" s="44" t="s">
        <v>8</v>
      </c>
      <c r="K10018" s="23" t="s">
        <v>8</v>
      </c>
      <c r="L10018" s="23" t="s">
        <v>8</v>
      </c>
      <c r="M10018" s="23" t="s">
        <v>8</v>
      </c>
    </row>
    <row r="10019" spans="1:13" s="21" customFormat="1" x14ac:dyDescent="0.25">
      <c r="A10019" s="22" t="s">
        <v>8</v>
      </c>
      <c r="B10019" s="18" t="str">
        <f>"365633"</f>
        <v>365633</v>
      </c>
      <c r="C10019" s="19" t="s">
        <v>9871</v>
      </c>
      <c r="D10019" s="19" t="s">
        <v>25430</v>
      </c>
      <c r="E10019" s="19" t="s">
        <v>34507</v>
      </c>
      <c r="F10019" s="19" t="s">
        <v>36009</v>
      </c>
      <c r="G10019" s="18" t="str">
        <f>"44278"</f>
        <v>44278</v>
      </c>
      <c r="H10019" s="19" t="s">
        <v>36107</v>
      </c>
      <c r="I10019" s="20">
        <v>17.097000000000001</v>
      </c>
      <c r="J10019" s="44" t="s">
        <v>8</v>
      </c>
      <c r="K10019" s="23" t="s">
        <v>8</v>
      </c>
      <c r="L10019" s="23" t="s">
        <v>8</v>
      </c>
      <c r="M10019" s="23" t="s">
        <v>8</v>
      </c>
    </row>
    <row r="10020" spans="1:13" s="21" customFormat="1" x14ac:dyDescent="0.25">
      <c r="A10020" s="22" t="s">
        <v>8</v>
      </c>
      <c r="B10020" s="18" t="str">
        <f>"365634"</f>
        <v>365634</v>
      </c>
      <c r="C10020" s="19" t="s">
        <v>9872</v>
      </c>
      <c r="D10020" s="19" t="s">
        <v>25431</v>
      </c>
      <c r="E10020" s="19" t="s">
        <v>33765</v>
      </c>
      <c r="F10020" s="19" t="s">
        <v>36009</v>
      </c>
      <c r="G10020" s="18" t="str">
        <f>"44601"</f>
        <v>44601</v>
      </c>
      <c r="H10020" s="19" t="s">
        <v>36240</v>
      </c>
      <c r="I10020" s="20">
        <v>19.834</v>
      </c>
      <c r="J10020" s="44" t="s">
        <v>8</v>
      </c>
      <c r="K10020" s="23" t="s">
        <v>8</v>
      </c>
      <c r="L10020" s="23" t="s">
        <v>8</v>
      </c>
      <c r="M10020" s="23" t="s">
        <v>8</v>
      </c>
    </row>
    <row r="10021" spans="1:13" s="21" customFormat="1" x14ac:dyDescent="0.25">
      <c r="A10021" s="22" t="s">
        <v>8</v>
      </c>
      <c r="B10021" s="18" t="str">
        <f>"365636"</f>
        <v>365636</v>
      </c>
      <c r="C10021" s="19" t="s">
        <v>9873</v>
      </c>
      <c r="D10021" s="19" t="s">
        <v>25432</v>
      </c>
      <c r="E10021" s="19" t="s">
        <v>34508</v>
      </c>
      <c r="F10021" s="19" t="s">
        <v>36009</v>
      </c>
      <c r="G10021" s="18" t="str">
        <f>"43147"</f>
        <v>43147</v>
      </c>
      <c r="H10021" s="19" t="s">
        <v>31103</v>
      </c>
      <c r="I10021" s="20">
        <v>20.7</v>
      </c>
      <c r="J10021" s="44" t="s">
        <v>8</v>
      </c>
      <c r="K10021" s="23" t="s">
        <v>8</v>
      </c>
      <c r="L10021" s="23" t="s">
        <v>8</v>
      </c>
      <c r="M10021" s="23" t="s">
        <v>8</v>
      </c>
    </row>
    <row r="10022" spans="1:13" s="21" customFormat="1" x14ac:dyDescent="0.25">
      <c r="A10022" s="22" t="s">
        <v>8</v>
      </c>
      <c r="B10022" s="18" t="str">
        <f>"365638"</f>
        <v>365638</v>
      </c>
      <c r="C10022" s="19" t="s">
        <v>5186</v>
      </c>
      <c r="D10022" s="19" t="s">
        <v>25433</v>
      </c>
      <c r="E10022" s="19" t="s">
        <v>32391</v>
      </c>
      <c r="F10022" s="19" t="s">
        <v>36009</v>
      </c>
      <c r="G10022" s="18" t="str">
        <f>"44047"</f>
        <v>44047</v>
      </c>
      <c r="H10022" s="19" t="s">
        <v>34437</v>
      </c>
      <c r="I10022" s="20">
        <v>20.959</v>
      </c>
      <c r="J10022" s="44" t="s">
        <v>8</v>
      </c>
      <c r="K10022" s="23" t="s">
        <v>8</v>
      </c>
      <c r="L10022" s="23" t="s">
        <v>8</v>
      </c>
      <c r="M10022" s="23" t="s">
        <v>8</v>
      </c>
    </row>
    <row r="10023" spans="1:13" s="21" customFormat="1" x14ac:dyDescent="0.25">
      <c r="A10023" s="22" t="s">
        <v>8</v>
      </c>
      <c r="B10023" s="18" t="str">
        <f>"365639"</f>
        <v>365639</v>
      </c>
      <c r="C10023" s="19" t="s">
        <v>9874</v>
      </c>
      <c r="D10023" s="19" t="s">
        <v>25434</v>
      </c>
      <c r="E10023" s="19" t="s">
        <v>34509</v>
      </c>
      <c r="F10023" s="19" t="s">
        <v>36009</v>
      </c>
      <c r="G10023" s="18" t="str">
        <f>"44089"</f>
        <v>44089</v>
      </c>
      <c r="H10023" s="19" t="s">
        <v>34805</v>
      </c>
      <c r="I10023" s="20">
        <v>17.356999999999999</v>
      </c>
      <c r="J10023" s="44" t="s">
        <v>8</v>
      </c>
      <c r="K10023" s="23" t="s">
        <v>8</v>
      </c>
      <c r="L10023" s="23" t="s">
        <v>8</v>
      </c>
      <c r="M10023" s="23" t="s">
        <v>8</v>
      </c>
    </row>
    <row r="10024" spans="1:13" s="21" customFormat="1" x14ac:dyDescent="0.25">
      <c r="A10024" s="22" t="s">
        <v>8</v>
      </c>
      <c r="B10024" s="18" t="str">
        <f>"365640"</f>
        <v>365640</v>
      </c>
      <c r="C10024" s="19" t="s">
        <v>9875</v>
      </c>
      <c r="D10024" s="19" t="s">
        <v>25435</v>
      </c>
      <c r="E10024" s="19" t="s">
        <v>34510</v>
      </c>
      <c r="F10024" s="19" t="s">
        <v>36009</v>
      </c>
      <c r="G10024" s="18" t="str">
        <f>"45342"</f>
        <v>45342</v>
      </c>
      <c r="H10024" s="19" t="s">
        <v>30833</v>
      </c>
      <c r="I10024" s="20">
        <v>18.413</v>
      </c>
      <c r="J10024" s="44" t="s">
        <v>8</v>
      </c>
      <c r="K10024" s="23" t="s">
        <v>8</v>
      </c>
      <c r="L10024" s="23" t="s">
        <v>8</v>
      </c>
      <c r="M10024" s="23" t="s">
        <v>8</v>
      </c>
    </row>
    <row r="10025" spans="1:13" s="21" customFormat="1" x14ac:dyDescent="0.25">
      <c r="A10025" s="22" t="s">
        <v>8</v>
      </c>
      <c r="B10025" s="18" t="str">
        <f>"365642"</f>
        <v>365642</v>
      </c>
      <c r="C10025" s="19" t="s">
        <v>9876</v>
      </c>
      <c r="D10025" s="19" t="s">
        <v>25436</v>
      </c>
      <c r="E10025" s="19" t="s">
        <v>34437</v>
      </c>
      <c r="F10025" s="19" t="s">
        <v>36009</v>
      </c>
      <c r="G10025" s="18" t="str">
        <f>"44004"</f>
        <v>44004</v>
      </c>
      <c r="H10025" s="19" t="s">
        <v>34437</v>
      </c>
      <c r="I10025" s="20">
        <v>20.811</v>
      </c>
      <c r="J10025" s="44" t="s">
        <v>8</v>
      </c>
      <c r="K10025" s="23" t="s">
        <v>8</v>
      </c>
      <c r="L10025" s="23" t="s">
        <v>8</v>
      </c>
      <c r="M10025" s="23" t="s">
        <v>8</v>
      </c>
    </row>
    <row r="10026" spans="1:13" s="21" customFormat="1" x14ac:dyDescent="0.25">
      <c r="A10026" s="22" t="s">
        <v>8</v>
      </c>
      <c r="B10026" s="18" t="str">
        <f>"365643"</f>
        <v>365643</v>
      </c>
      <c r="C10026" s="19" t="s">
        <v>9877</v>
      </c>
      <c r="D10026" s="19" t="s">
        <v>25437</v>
      </c>
      <c r="E10026" s="19" t="s">
        <v>33852</v>
      </c>
      <c r="F10026" s="19" t="s">
        <v>36009</v>
      </c>
      <c r="G10026" s="18" t="str">
        <f>"45662"</f>
        <v>45662</v>
      </c>
      <c r="H10026" s="19" t="s">
        <v>36678</v>
      </c>
      <c r="I10026" s="20">
        <v>18.042000000000002</v>
      </c>
      <c r="J10026" s="44" t="s">
        <v>8</v>
      </c>
      <c r="K10026" s="23" t="s">
        <v>8</v>
      </c>
      <c r="L10026" s="23" t="s">
        <v>8</v>
      </c>
      <c r="M10026" s="23" t="s">
        <v>8</v>
      </c>
    </row>
    <row r="10027" spans="1:13" s="21" customFormat="1" x14ac:dyDescent="0.25">
      <c r="A10027" s="22" t="s">
        <v>8</v>
      </c>
      <c r="B10027" s="18" t="str">
        <f>"365644"</f>
        <v>365644</v>
      </c>
      <c r="C10027" s="19" t="s">
        <v>9878</v>
      </c>
      <c r="D10027" s="19" t="s">
        <v>25438</v>
      </c>
      <c r="E10027" s="19" t="s">
        <v>34511</v>
      </c>
      <c r="F10027" s="19" t="s">
        <v>36009</v>
      </c>
      <c r="G10027" s="18" t="str">
        <f>"43110"</f>
        <v>43110</v>
      </c>
      <c r="H10027" s="19" t="s">
        <v>5</v>
      </c>
      <c r="I10027" s="20">
        <v>20.242999999999999</v>
      </c>
      <c r="J10027" s="44" t="s">
        <v>8</v>
      </c>
      <c r="K10027" s="23" t="s">
        <v>8</v>
      </c>
      <c r="L10027" s="23" t="s">
        <v>8</v>
      </c>
      <c r="M10027" s="23" t="s">
        <v>8</v>
      </c>
    </row>
    <row r="10028" spans="1:13" s="21" customFormat="1" x14ac:dyDescent="0.25">
      <c r="A10028" s="22" t="s">
        <v>8</v>
      </c>
      <c r="B10028" s="18" t="str">
        <f>"365645"</f>
        <v>365645</v>
      </c>
      <c r="C10028" s="19" t="s">
        <v>9879</v>
      </c>
      <c r="D10028" s="19" t="s">
        <v>25439</v>
      </c>
      <c r="E10028" s="19" t="s">
        <v>34512</v>
      </c>
      <c r="F10028" s="19" t="s">
        <v>36009</v>
      </c>
      <c r="G10028" s="18" t="str">
        <f>"44039"</f>
        <v>44039</v>
      </c>
      <c r="H10028" s="19" t="s">
        <v>34482</v>
      </c>
      <c r="I10028" s="20">
        <v>18.747</v>
      </c>
      <c r="J10028" s="44" t="s">
        <v>8</v>
      </c>
      <c r="K10028" s="23" t="s">
        <v>8</v>
      </c>
      <c r="L10028" s="23" t="s">
        <v>8</v>
      </c>
      <c r="M10028" s="23" t="s">
        <v>8</v>
      </c>
    </row>
    <row r="10029" spans="1:13" s="21" customFormat="1" x14ac:dyDescent="0.25">
      <c r="A10029" s="22" t="s">
        <v>8</v>
      </c>
      <c r="B10029" s="18" t="str">
        <f>"365646"</f>
        <v>365646</v>
      </c>
      <c r="C10029" s="19" t="s">
        <v>9880</v>
      </c>
      <c r="D10029" s="19" t="s">
        <v>25440</v>
      </c>
      <c r="E10029" s="19" t="s">
        <v>30809</v>
      </c>
      <c r="F10029" s="19" t="s">
        <v>36009</v>
      </c>
      <c r="G10029" s="18" t="str">
        <f>"44805"</f>
        <v>44805</v>
      </c>
      <c r="H10029" s="19" t="s">
        <v>30809</v>
      </c>
      <c r="I10029" s="20">
        <v>19.548999999999999</v>
      </c>
      <c r="J10029" s="44" t="s">
        <v>8</v>
      </c>
      <c r="K10029" s="23" t="s">
        <v>8</v>
      </c>
      <c r="L10029" s="23" t="s">
        <v>8</v>
      </c>
      <c r="M10029" s="23" t="s">
        <v>8</v>
      </c>
    </row>
    <row r="10030" spans="1:13" s="21" customFormat="1" x14ac:dyDescent="0.25">
      <c r="A10030" s="22" t="s">
        <v>8</v>
      </c>
      <c r="B10030" s="18" t="str">
        <f>"365648"</f>
        <v>365648</v>
      </c>
      <c r="C10030" s="19" t="s">
        <v>9881</v>
      </c>
      <c r="D10030" s="19" t="s">
        <v>25441</v>
      </c>
      <c r="E10030" s="19" t="s">
        <v>31412</v>
      </c>
      <c r="F10030" s="19" t="s">
        <v>36009</v>
      </c>
      <c r="G10030" s="18" t="str">
        <f>"45042"</f>
        <v>45042</v>
      </c>
      <c r="H10030" s="19" t="s">
        <v>30876</v>
      </c>
      <c r="I10030" s="20">
        <v>18.2</v>
      </c>
      <c r="J10030" s="44" t="s">
        <v>8</v>
      </c>
      <c r="K10030" s="23" t="s">
        <v>8</v>
      </c>
      <c r="L10030" s="23" t="s">
        <v>8</v>
      </c>
      <c r="M10030" s="23" t="s">
        <v>8</v>
      </c>
    </row>
    <row r="10031" spans="1:13" s="21" customFormat="1" x14ac:dyDescent="0.25">
      <c r="A10031" s="22" t="s">
        <v>8</v>
      </c>
      <c r="B10031" s="18" t="str">
        <f>"365650"</f>
        <v>365650</v>
      </c>
      <c r="C10031" s="19" t="s">
        <v>9882</v>
      </c>
      <c r="D10031" s="19" t="s">
        <v>25442</v>
      </c>
      <c r="E10031" s="19" t="s">
        <v>31974</v>
      </c>
      <c r="F10031" s="19" t="s">
        <v>36009</v>
      </c>
      <c r="G10031" s="18" t="str">
        <f>"43078"</f>
        <v>43078</v>
      </c>
      <c r="H10031" s="19" t="s">
        <v>31939</v>
      </c>
      <c r="I10031" s="20">
        <v>18.933</v>
      </c>
      <c r="J10031" s="44" t="s">
        <v>8</v>
      </c>
      <c r="K10031" s="23" t="s">
        <v>8</v>
      </c>
      <c r="L10031" s="23" t="s">
        <v>8</v>
      </c>
      <c r="M10031" s="23" t="s">
        <v>8</v>
      </c>
    </row>
    <row r="10032" spans="1:13" s="21" customFormat="1" x14ac:dyDescent="0.25">
      <c r="A10032" s="22" t="s">
        <v>8</v>
      </c>
      <c r="B10032" s="18" t="str">
        <f>"365651"</f>
        <v>365651</v>
      </c>
      <c r="C10032" s="19" t="s">
        <v>9883</v>
      </c>
      <c r="D10032" s="19" t="s">
        <v>25443</v>
      </c>
      <c r="E10032" s="19" t="s">
        <v>32369</v>
      </c>
      <c r="F10032" s="19" t="s">
        <v>36009</v>
      </c>
      <c r="G10032" s="18" t="str">
        <f>"45403"</f>
        <v>45403</v>
      </c>
      <c r="H10032" s="19" t="s">
        <v>30833</v>
      </c>
      <c r="I10032" s="20">
        <v>19.574000000000002</v>
      </c>
      <c r="J10032" s="44" t="s">
        <v>8</v>
      </c>
      <c r="K10032" s="23" t="s">
        <v>8</v>
      </c>
      <c r="L10032" s="23" t="s">
        <v>8</v>
      </c>
      <c r="M10032" s="23" t="s">
        <v>8</v>
      </c>
    </row>
    <row r="10033" spans="1:13" s="21" customFormat="1" x14ac:dyDescent="0.25">
      <c r="A10033" s="22" t="s">
        <v>8</v>
      </c>
      <c r="B10033" s="18" t="str">
        <f>"365652"</f>
        <v>365652</v>
      </c>
      <c r="C10033" s="19" t="s">
        <v>9884</v>
      </c>
      <c r="D10033" s="19" t="s">
        <v>25444</v>
      </c>
      <c r="E10033" s="19" t="s">
        <v>34412</v>
      </c>
      <c r="F10033" s="19" t="s">
        <v>36009</v>
      </c>
      <c r="G10033" s="18" t="str">
        <f>"45241"</f>
        <v>45241</v>
      </c>
      <c r="H10033" s="19" t="s">
        <v>30804</v>
      </c>
      <c r="I10033" s="20">
        <v>17.306000000000001</v>
      </c>
      <c r="J10033" s="44" t="s">
        <v>8</v>
      </c>
      <c r="K10033" s="23" t="s">
        <v>8</v>
      </c>
      <c r="L10033" s="23" t="s">
        <v>8</v>
      </c>
      <c r="M10033" s="23" t="s">
        <v>8</v>
      </c>
    </row>
    <row r="10034" spans="1:13" s="21" customFormat="1" x14ac:dyDescent="0.25">
      <c r="A10034" s="22" t="s">
        <v>8</v>
      </c>
      <c r="B10034" s="18" t="str">
        <f>"365654"</f>
        <v>365654</v>
      </c>
      <c r="C10034" s="19" t="s">
        <v>9885</v>
      </c>
      <c r="D10034" s="19" t="s">
        <v>25445</v>
      </c>
      <c r="E10034" s="19" t="s">
        <v>34513</v>
      </c>
      <c r="F10034" s="19" t="s">
        <v>36009</v>
      </c>
      <c r="G10034" s="18" t="str">
        <f>"44515"</f>
        <v>44515</v>
      </c>
      <c r="H10034" s="19" t="s">
        <v>36674</v>
      </c>
      <c r="I10034" s="20">
        <v>19.707000000000001</v>
      </c>
      <c r="J10034" s="44" t="s">
        <v>8</v>
      </c>
      <c r="K10034" s="23" t="s">
        <v>8</v>
      </c>
      <c r="L10034" s="23" t="s">
        <v>8</v>
      </c>
      <c r="M10034" s="23" t="s">
        <v>8</v>
      </c>
    </row>
    <row r="10035" spans="1:13" s="21" customFormat="1" x14ac:dyDescent="0.25">
      <c r="A10035" s="22" t="s">
        <v>8</v>
      </c>
      <c r="B10035" s="18" t="str">
        <f>"365655"</f>
        <v>365655</v>
      </c>
      <c r="C10035" s="19" t="s">
        <v>9886</v>
      </c>
      <c r="D10035" s="19" t="s">
        <v>25446</v>
      </c>
      <c r="E10035" s="19" t="s">
        <v>31791</v>
      </c>
      <c r="F10035" s="19" t="s">
        <v>36009</v>
      </c>
      <c r="G10035" s="18" t="str">
        <f>"44702"</f>
        <v>44702</v>
      </c>
      <c r="H10035" s="19" t="s">
        <v>36240</v>
      </c>
      <c r="I10035" s="20">
        <v>16.442</v>
      </c>
      <c r="J10035" s="44" t="s">
        <v>8</v>
      </c>
      <c r="K10035" s="23" t="s">
        <v>8</v>
      </c>
      <c r="L10035" s="23" t="s">
        <v>8</v>
      </c>
      <c r="M10035" s="23" t="s">
        <v>8</v>
      </c>
    </row>
    <row r="10036" spans="1:13" s="21" customFormat="1" x14ac:dyDescent="0.25">
      <c r="A10036" s="22" t="s">
        <v>8</v>
      </c>
      <c r="B10036" s="18" t="str">
        <f>"365656"</f>
        <v>365656</v>
      </c>
      <c r="C10036" s="19" t="s">
        <v>9887</v>
      </c>
      <c r="D10036" s="19" t="s">
        <v>25447</v>
      </c>
      <c r="E10036" s="19" t="s">
        <v>31423</v>
      </c>
      <c r="F10036" s="19" t="s">
        <v>36009</v>
      </c>
      <c r="G10036" s="18" t="str">
        <f>"44851"</f>
        <v>44851</v>
      </c>
      <c r="H10036" s="19" t="s">
        <v>34559</v>
      </c>
      <c r="I10036" s="20">
        <v>16.829000000000001</v>
      </c>
      <c r="J10036" s="44" t="s">
        <v>8</v>
      </c>
      <c r="K10036" s="23" t="s">
        <v>8</v>
      </c>
      <c r="L10036" s="23" t="s">
        <v>8</v>
      </c>
      <c r="M10036" s="23" t="s">
        <v>8</v>
      </c>
    </row>
    <row r="10037" spans="1:13" s="21" customFormat="1" x14ac:dyDescent="0.25">
      <c r="A10037" s="22" t="s">
        <v>8</v>
      </c>
      <c r="B10037" s="18" t="str">
        <f>"365658"</f>
        <v>365658</v>
      </c>
      <c r="C10037" s="19" t="s">
        <v>9888</v>
      </c>
      <c r="D10037" s="19" t="s">
        <v>25448</v>
      </c>
      <c r="E10037" s="19" t="s">
        <v>30899</v>
      </c>
      <c r="F10037" s="19" t="s">
        <v>36009</v>
      </c>
      <c r="G10037" s="18" t="str">
        <f>"44057"</f>
        <v>44057</v>
      </c>
      <c r="H10037" s="19" t="s">
        <v>36096</v>
      </c>
      <c r="I10037" s="20">
        <v>20.751999999999999</v>
      </c>
      <c r="J10037" s="44" t="s">
        <v>8</v>
      </c>
      <c r="K10037" s="23" t="s">
        <v>8</v>
      </c>
      <c r="L10037" s="23" t="s">
        <v>8</v>
      </c>
      <c r="M10037" s="23" t="s">
        <v>8</v>
      </c>
    </row>
    <row r="10038" spans="1:13" s="21" customFormat="1" x14ac:dyDescent="0.25">
      <c r="A10038" s="22" t="s">
        <v>8</v>
      </c>
      <c r="B10038" s="18" t="str">
        <f>"365661"</f>
        <v>365661</v>
      </c>
      <c r="C10038" s="19" t="s">
        <v>9889</v>
      </c>
      <c r="D10038" s="19" t="s">
        <v>25449</v>
      </c>
      <c r="E10038" s="19" t="s">
        <v>34514</v>
      </c>
      <c r="F10038" s="19" t="s">
        <v>36009</v>
      </c>
      <c r="G10038" s="18" t="str">
        <f>"44147"</f>
        <v>44147</v>
      </c>
      <c r="H10038" s="19" t="s">
        <v>36671</v>
      </c>
      <c r="I10038" s="20">
        <v>20.282</v>
      </c>
      <c r="J10038" s="44" t="s">
        <v>8</v>
      </c>
      <c r="K10038" s="23" t="s">
        <v>8</v>
      </c>
      <c r="L10038" s="23" t="s">
        <v>8</v>
      </c>
      <c r="M10038" s="23" t="s">
        <v>8</v>
      </c>
    </row>
    <row r="10039" spans="1:13" s="21" customFormat="1" x14ac:dyDescent="0.25">
      <c r="A10039" s="22" t="s">
        <v>8</v>
      </c>
      <c r="B10039" s="18" t="str">
        <f>"365663"</f>
        <v>365663</v>
      </c>
      <c r="C10039" s="19" t="s">
        <v>9890</v>
      </c>
      <c r="D10039" s="19" t="s">
        <v>25450</v>
      </c>
      <c r="E10039" s="19" t="s">
        <v>34515</v>
      </c>
      <c r="F10039" s="19" t="s">
        <v>36009</v>
      </c>
      <c r="G10039" s="18" t="str">
        <f>"43430"</f>
        <v>43430</v>
      </c>
      <c r="H10039" s="19" t="s">
        <v>31994</v>
      </c>
      <c r="I10039" s="20">
        <v>18.343</v>
      </c>
      <c r="J10039" s="44" t="s">
        <v>8</v>
      </c>
      <c r="K10039" s="23" t="s">
        <v>8</v>
      </c>
      <c r="L10039" s="23" t="s">
        <v>8</v>
      </c>
      <c r="M10039" s="23" t="s">
        <v>8</v>
      </c>
    </row>
    <row r="10040" spans="1:13" s="21" customFormat="1" x14ac:dyDescent="0.25">
      <c r="A10040" s="22" t="s">
        <v>8</v>
      </c>
      <c r="B10040" s="18" t="str">
        <f>"365665"</f>
        <v>365665</v>
      </c>
      <c r="C10040" s="19" t="s">
        <v>9891</v>
      </c>
      <c r="D10040" s="19" t="s">
        <v>25451</v>
      </c>
      <c r="E10040" s="19" t="s">
        <v>34439</v>
      </c>
      <c r="F10040" s="19" t="s">
        <v>36009</v>
      </c>
      <c r="G10040" s="18" t="str">
        <f>"44646"</f>
        <v>44646</v>
      </c>
      <c r="H10040" s="19" t="s">
        <v>36240</v>
      </c>
      <c r="I10040" s="20">
        <v>19.416</v>
      </c>
      <c r="J10040" s="44" t="s">
        <v>8</v>
      </c>
      <c r="K10040" s="23" t="s">
        <v>8</v>
      </c>
      <c r="L10040" s="23" t="s">
        <v>8</v>
      </c>
      <c r="M10040" s="23" t="s">
        <v>8</v>
      </c>
    </row>
    <row r="10041" spans="1:13" s="21" customFormat="1" x14ac:dyDescent="0.25">
      <c r="A10041" s="22" t="s">
        <v>8</v>
      </c>
      <c r="B10041" s="18" t="str">
        <f>"365666"</f>
        <v>365666</v>
      </c>
      <c r="C10041" s="19" t="s">
        <v>9892</v>
      </c>
      <c r="D10041" s="19" t="s">
        <v>25452</v>
      </c>
      <c r="E10041" s="19" t="s">
        <v>33166</v>
      </c>
      <c r="F10041" s="19" t="s">
        <v>36009</v>
      </c>
      <c r="G10041" s="18" t="str">
        <f>"43331"</f>
        <v>43331</v>
      </c>
      <c r="H10041" s="19" t="s">
        <v>32373</v>
      </c>
      <c r="I10041" s="20">
        <v>20.532</v>
      </c>
      <c r="J10041" s="44" t="s">
        <v>8</v>
      </c>
      <c r="K10041" s="23" t="s">
        <v>8</v>
      </c>
      <c r="L10041" s="23" t="s">
        <v>8</v>
      </c>
      <c r="M10041" s="23" t="s">
        <v>8</v>
      </c>
    </row>
    <row r="10042" spans="1:13" s="21" customFormat="1" x14ac:dyDescent="0.25">
      <c r="A10042" s="22" t="s">
        <v>8</v>
      </c>
      <c r="B10042" s="18" t="str">
        <f>"365667"</f>
        <v>365667</v>
      </c>
      <c r="C10042" s="19" t="s">
        <v>9893</v>
      </c>
      <c r="D10042" s="19" t="s">
        <v>25453</v>
      </c>
      <c r="E10042" s="19" t="s">
        <v>34102</v>
      </c>
      <c r="F10042" s="19" t="s">
        <v>36009</v>
      </c>
      <c r="G10042" s="18" t="str">
        <f>"44256"</f>
        <v>44256</v>
      </c>
      <c r="H10042" s="19" t="s">
        <v>34102</v>
      </c>
      <c r="I10042" s="20">
        <v>18.190999999999999</v>
      </c>
      <c r="J10042" s="44" t="s">
        <v>8</v>
      </c>
      <c r="K10042" s="23" t="s">
        <v>8</v>
      </c>
      <c r="L10042" s="23" t="s">
        <v>8</v>
      </c>
      <c r="M10042" s="23" t="s">
        <v>8</v>
      </c>
    </row>
    <row r="10043" spans="1:13" s="21" customFormat="1" x14ac:dyDescent="0.25">
      <c r="A10043" s="22" t="s">
        <v>8</v>
      </c>
      <c r="B10043" s="18" t="str">
        <f>"365668"</f>
        <v>365668</v>
      </c>
      <c r="C10043" s="19" t="s">
        <v>9894</v>
      </c>
      <c r="D10043" s="19" t="s">
        <v>25454</v>
      </c>
      <c r="E10043" s="19" t="s">
        <v>31181</v>
      </c>
      <c r="F10043" s="19" t="s">
        <v>36009</v>
      </c>
      <c r="G10043" s="18" t="str">
        <f>"44857"</f>
        <v>44857</v>
      </c>
      <c r="H10043" s="19" t="s">
        <v>34559</v>
      </c>
      <c r="I10043" s="20">
        <v>19.725999999999999</v>
      </c>
      <c r="J10043" s="44" t="s">
        <v>8</v>
      </c>
      <c r="K10043" s="23" t="s">
        <v>8</v>
      </c>
      <c r="L10043" s="23" t="s">
        <v>8</v>
      </c>
      <c r="M10043" s="23" t="s">
        <v>8</v>
      </c>
    </row>
    <row r="10044" spans="1:13" s="21" customFormat="1" x14ac:dyDescent="0.25">
      <c r="A10044" s="22" t="s">
        <v>8</v>
      </c>
      <c r="B10044" s="18" t="str">
        <f>"365669"</f>
        <v>365669</v>
      </c>
      <c r="C10044" s="19" t="s">
        <v>9895</v>
      </c>
      <c r="D10044" s="19" t="s">
        <v>25455</v>
      </c>
      <c r="E10044" s="19" t="s">
        <v>30816</v>
      </c>
      <c r="F10044" s="19" t="s">
        <v>36009</v>
      </c>
      <c r="G10044" s="18" t="str">
        <f>"45640"</f>
        <v>45640</v>
      </c>
      <c r="H10044" s="19" t="s">
        <v>30816</v>
      </c>
      <c r="I10044" s="20">
        <v>18.315000000000001</v>
      </c>
      <c r="J10044" s="44" t="s">
        <v>8</v>
      </c>
      <c r="K10044" s="23" t="s">
        <v>8</v>
      </c>
      <c r="L10044" s="23" t="s">
        <v>8</v>
      </c>
      <c r="M10044" s="23" t="s">
        <v>8</v>
      </c>
    </row>
    <row r="10045" spans="1:13" s="21" customFormat="1" x14ac:dyDescent="0.25">
      <c r="A10045" s="22" t="s">
        <v>8</v>
      </c>
      <c r="B10045" s="18" t="str">
        <f>"365670"</f>
        <v>365670</v>
      </c>
      <c r="C10045" s="19" t="s">
        <v>9896</v>
      </c>
      <c r="D10045" s="19" t="s">
        <v>25456</v>
      </c>
      <c r="E10045" s="19" t="s">
        <v>34473</v>
      </c>
      <c r="F10045" s="19" t="s">
        <v>36009</v>
      </c>
      <c r="G10045" s="18" t="str">
        <f>"44117"</f>
        <v>44117</v>
      </c>
      <c r="H10045" s="19" t="s">
        <v>36671</v>
      </c>
      <c r="I10045" s="20">
        <v>18.326000000000001</v>
      </c>
      <c r="J10045" s="44" t="s">
        <v>8</v>
      </c>
      <c r="K10045" s="23" t="s">
        <v>8</v>
      </c>
      <c r="L10045" s="23" t="s">
        <v>8</v>
      </c>
      <c r="M10045" s="23" t="s">
        <v>8</v>
      </c>
    </row>
    <row r="10046" spans="1:13" s="21" customFormat="1" x14ac:dyDescent="0.25">
      <c r="A10046" s="22" t="s">
        <v>8</v>
      </c>
      <c r="B10046" s="18" t="str">
        <f>"365671"</f>
        <v>365671</v>
      </c>
      <c r="C10046" s="19" t="s">
        <v>9897</v>
      </c>
      <c r="D10046" s="19" t="s">
        <v>25457</v>
      </c>
      <c r="E10046" s="19" t="s">
        <v>31715</v>
      </c>
      <c r="F10046" s="19" t="s">
        <v>36009</v>
      </c>
      <c r="G10046" s="18" t="str">
        <f>"43235"</f>
        <v>43235</v>
      </c>
      <c r="H10046" s="19" t="s">
        <v>5</v>
      </c>
      <c r="I10046" s="20">
        <v>18.391999999999999</v>
      </c>
      <c r="J10046" s="44" t="s">
        <v>8</v>
      </c>
      <c r="K10046" s="23" t="s">
        <v>8</v>
      </c>
      <c r="L10046" s="23" t="s">
        <v>8</v>
      </c>
      <c r="M10046" s="23" t="s">
        <v>8</v>
      </c>
    </row>
    <row r="10047" spans="1:13" s="21" customFormat="1" x14ac:dyDescent="0.25">
      <c r="A10047" s="22" t="s">
        <v>8</v>
      </c>
      <c r="B10047" s="18" t="str">
        <f>"365672"</f>
        <v>365672</v>
      </c>
      <c r="C10047" s="19" t="s">
        <v>9898</v>
      </c>
      <c r="D10047" s="19" t="s">
        <v>25458</v>
      </c>
      <c r="E10047" s="19" t="s">
        <v>31948</v>
      </c>
      <c r="F10047" s="19" t="s">
        <v>36009</v>
      </c>
      <c r="G10047" s="18" t="str">
        <f>"44446"</f>
        <v>44446</v>
      </c>
      <c r="H10047" s="19" t="s">
        <v>31393</v>
      </c>
      <c r="I10047" s="20">
        <v>18.126000000000001</v>
      </c>
      <c r="J10047" s="44" t="s">
        <v>8</v>
      </c>
      <c r="K10047" s="23" t="s">
        <v>8</v>
      </c>
      <c r="L10047" s="23" t="s">
        <v>8</v>
      </c>
      <c r="M10047" s="23" t="s">
        <v>8</v>
      </c>
    </row>
    <row r="10048" spans="1:13" s="21" customFormat="1" x14ac:dyDescent="0.25">
      <c r="A10048" s="22" t="s">
        <v>8</v>
      </c>
      <c r="B10048" s="18" t="str">
        <f>"365673"</f>
        <v>365673</v>
      </c>
      <c r="C10048" s="19" t="s">
        <v>9899</v>
      </c>
      <c r="D10048" s="19" t="s">
        <v>25459</v>
      </c>
      <c r="E10048" s="19" t="s">
        <v>31715</v>
      </c>
      <c r="F10048" s="19" t="s">
        <v>36009</v>
      </c>
      <c r="G10048" s="18" t="str">
        <f>"43223"</f>
        <v>43223</v>
      </c>
      <c r="H10048" s="19" t="s">
        <v>5</v>
      </c>
      <c r="I10048" s="20">
        <v>20.503</v>
      </c>
      <c r="J10048" s="44" t="s">
        <v>8</v>
      </c>
      <c r="K10048" s="23" t="s">
        <v>8</v>
      </c>
      <c r="L10048" s="23" t="s">
        <v>8</v>
      </c>
      <c r="M10048" s="23" t="s">
        <v>8</v>
      </c>
    </row>
    <row r="10049" spans="1:13" s="21" customFormat="1" x14ac:dyDescent="0.25">
      <c r="A10049" s="22" t="s">
        <v>8</v>
      </c>
      <c r="B10049" s="18" t="str">
        <f>"365674"</f>
        <v>365674</v>
      </c>
      <c r="C10049" s="19" t="s">
        <v>9900</v>
      </c>
      <c r="D10049" s="19" t="s">
        <v>25460</v>
      </c>
      <c r="E10049" s="19" t="s">
        <v>34516</v>
      </c>
      <c r="F10049" s="19" t="s">
        <v>36009</v>
      </c>
      <c r="G10049" s="18" t="str">
        <f>"44657"</f>
        <v>44657</v>
      </c>
      <c r="H10049" s="19" t="s">
        <v>36240</v>
      </c>
      <c r="I10049" s="20">
        <v>19.065999999999999</v>
      </c>
      <c r="J10049" s="44" t="s">
        <v>8</v>
      </c>
      <c r="K10049" s="23" t="s">
        <v>8</v>
      </c>
      <c r="L10049" s="23" t="s">
        <v>8</v>
      </c>
      <c r="M10049" s="23" t="s">
        <v>8</v>
      </c>
    </row>
    <row r="10050" spans="1:13" s="21" customFormat="1" x14ac:dyDescent="0.25">
      <c r="A10050" s="22" t="s">
        <v>8</v>
      </c>
      <c r="B10050" s="18" t="str">
        <f>"365675"</f>
        <v>365675</v>
      </c>
      <c r="C10050" s="19" t="s">
        <v>9901</v>
      </c>
      <c r="D10050" s="19" t="s">
        <v>25461</v>
      </c>
      <c r="E10050" s="19" t="s">
        <v>31405</v>
      </c>
      <c r="F10050" s="19" t="s">
        <v>36009</v>
      </c>
      <c r="G10050" s="18" t="str">
        <f>"45150"</f>
        <v>45150</v>
      </c>
      <c r="H10050" s="19" t="s">
        <v>31621</v>
      </c>
      <c r="I10050" s="20">
        <v>18.338999999999999</v>
      </c>
      <c r="J10050" s="44" t="s">
        <v>8</v>
      </c>
      <c r="K10050" s="23" t="s">
        <v>8</v>
      </c>
      <c r="L10050" s="23" t="s">
        <v>8</v>
      </c>
      <c r="M10050" s="23" t="s">
        <v>8</v>
      </c>
    </row>
    <row r="10051" spans="1:13" s="21" customFormat="1" x14ac:dyDescent="0.25">
      <c r="A10051" s="22" t="s">
        <v>8</v>
      </c>
      <c r="B10051" s="18" t="str">
        <f>"365676"</f>
        <v>365676</v>
      </c>
      <c r="C10051" s="19" t="s">
        <v>9902</v>
      </c>
      <c r="D10051" s="19" t="s">
        <v>25462</v>
      </c>
      <c r="E10051" s="19" t="s">
        <v>34462</v>
      </c>
      <c r="F10051" s="19" t="s">
        <v>36009</v>
      </c>
      <c r="G10051" s="18" t="str">
        <f>"43015"</f>
        <v>43015</v>
      </c>
      <c r="H10051" s="19" t="s">
        <v>34462</v>
      </c>
      <c r="I10051" s="20">
        <v>16.507999999999999</v>
      </c>
      <c r="J10051" s="44" t="s">
        <v>8</v>
      </c>
      <c r="K10051" s="23" t="s">
        <v>8</v>
      </c>
      <c r="L10051" s="23" t="s">
        <v>8</v>
      </c>
      <c r="M10051" s="23" t="s">
        <v>8</v>
      </c>
    </row>
    <row r="10052" spans="1:13" s="21" customFormat="1" x14ac:dyDescent="0.25">
      <c r="A10052" s="22" t="s">
        <v>8</v>
      </c>
      <c r="B10052" s="18" t="str">
        <f>"365679"</f>
        <v>365679</v>
      </c>
      <c r="C10052" s="19" t="s">
        <v>9903</v>
      </c>
      <c r="D10052" s="19" t="s">
        <v>25463</v>
      </c>
      <c r="E10052" s="19" t="s">
        <v>34445</v>
      </c>
      <c r="F10052" s="19" t="s">
        <v>36009</v>
      </c>
      <c r="G10052" s="18" t="str">
        <f>"43160"</f>
        <v>43160</v>
      </c>
      <c r="H10052" s="19" t="s">
        <v>30805</v>
      </c>
      <c r="I10052" s="20">
        <v>20.155000000000001</v>
      </c>
      <c r="J10052" s="44" t="s">
        <v>8</v>
      </c>
      <c r="K10052" s="23" t="s">
        <v>8</v>
      </c>
      <c r="L10052" s="23" t="s">
        <v>8</v>
      </c>
      <c r="M10052" s="23" t="s">
        <v>8</v>
      </c>
    </row>
    <row r="10053" spans="1:13" s="21" customFormat="1" x14ac:dyDescent="0.25">
      <c r="A10053" s="22" t="s">
        <v>8</v>
      </c>
      <c r="B10053" s="18" t="str">
        <f>"365680"</f>
        <v>365680</v>
      </c>
      <c r="C10053" s="19" t="s">
        <v>9904</v>
      </c>
      <c r="D10053" s="19" t="s">
        <v>25464</v>
      </c>
      <c r="E10053" s="19" t="s">
        <v>34517</v>
      </c>
      <c r="F10053" s="19" t="s">
        <v>36009</v>
      </c>
      <c r="G10053" s="18" t="str">
        <f>"43526"</f>
        <v>43526</v>
      </c>
      <c r="H10053" s="19" t="s">
        <v>34458</v>
      </c>
      <c r="I10053" s="20">
        <v>18.577999999999999</v>
      </c>
      <c r="J10053" s="44" t="s">
        <v>8</v>
      </c>
      <c r="K10053" s="23" t="s">
        <v>8</v>
      </c>
      <c r="L10053" s="23" t="s">
        <v>8</v>
      </c>
      <c r="M10053" s="23" t="s">
        <v>8</v>
      </c>
    </row>
    <row r="10054" spans="1:13" s="21" customFormat="1" x14ac:dyDescent="0.25">
      <c r="A10054" s="22" t="s">
        <v>8</v>
      </c>
      <c r="B10054" s="18" t="str">
        <f>"365681"</f>
        <v>365681</v>
      </c>
      <c r="C10054" s="19" t="s">
        <v>9905</v>
      </c>
      <c r="D10054" s="19" t="s">
        <v>25465</v>
      </c>
      <c r="E10054" s="19" t="s">
        <v>34518</v>
      </c>
      <c r="F10054" s="19" t="s">
        <v>36009</v>
      </c>
      <c r="G10054" s="18" t="str">
        <f>"43431"</f>
        <v>43431</v>
      </c>
      <c r="H10054" s="19" t="s">
        <v>33186</v>
      </c>
      <c r="I10054" s="20">
        <v>17.882999999999999</v>
      </c>
      <c r="J10054" s="44" t="s">
        <v>8</v>
      </c>
      <c r="K10054" s="23" t="s">
        <v>8</v>
      </c>
      <c r="L10054" s="23" t="s">
        <v>8</v>
      </c>
      <c r="M10054" s="23" t="s">
        <v>8</v>
      </c>
    </row>
    <row r="10055" spans="1:13" s="21" customFormat="1" x14ac:dyDescent="0.25">
      <c r="A10055" s="22" t="s">
        <v>8</v>
      </c>
      <c r="B10055" s="18" t="str">
        <f>"365682"</f>
        <v>365682</v>
      </c>
      <c r="C10055" s="19" t="s">
        <v>9906</v>
      </c>
      <c r="D10055" s="19" t="s">
        <v>25466</v>
      </c>
      <c r="E10055" s="19" t="s">
        <v>31038</v>
      </c>
      <c r="F10055" s="19" t="s">
        <v>36009</v>
      </c>
      <c r="G10055" s="18" t="str">
        <f>"44460"</f>
        <v>44460</v>
      </c>
      <c r="H10055" s="19" t="s">
        <v>30927</v>
      </c>
      <c r="I10055" s="20">
        <v>19.173999999999999</v>
      </c>
      <c r="J10055" s="44" t="s">
        <v>8</v>
      </c>
      <c r="K10055" s="23" t="s">
        <v>8</v>
      </c>
      <c r="L10055" s="23" t="s">
        <v>8</v>
      </c>
      <c r="M10055" s="23" t="s">
        <v>8</v>
      </c>
    </row>
    <row r="10056" spans="1:13" s="21" customFormat="1" x14ac:dyDescent="0.25">
      <c r="A10056" s="22" t="s">
        <v>8</v>
      </c>
      <c r="B10056" s="18" t="str">
        <f>"365684"</f>
        <v>365684</v>
      </c>
      <c r="C10056" s="19" t="s">
        <v>9907</v>
      </c>
      <c r="D10056" s="19" t="s">
        <v>25467</v>
      </c>
      <c r="E10056" s="19" t="s">
        <v>31717</v>
      </c>
      <c r="F10056" s="19" t="s">
        <v>36009</v>
      </c>
      <c r="G10056" s="18" t="str">
        <f>"45503"</f>
        <v>45503</v>
      </c>
      <c r="H10056" s="19" t="s">
        <v>33967</v>
      </c>
      <c r="I10056" s="20">
        <v>17.923999999999999</v>
      </c>
      <c r="J10056" s="44" t="s">
        <v>8</v>
      </c>
      <c r="K10056" s="23" t="s">
        <v>8</v>
      </c>
      <c r="L10056" s="23" t="s">
        <v>8</v>
      </c>
      <c r="M10056" s="23" t="s">
        <v>8</v>
      </c>
    </row>
    <row r="10057" spans="1:13" s="21" customFormat="1" x14ac:dyDescent="0.25">
      <c r="A10057" s="22" t="s">
        <v>8</v>
      </c>
      <c r="B10057" s="18" t="str">
        <f>"365685"</f>
        <v>365685</v>
      </c>
      <c r="C10057" s="19" t="s">
        <v>9908</v>
      </c>
      <c r="D10057" s="19" t="s">
        <v>25468</v>
      </c>
      <c r="E10057" s="19" t="s">
        <v>34512</v>
      </c>
      <c r="F10057" s="19" t="s">
        <v>36009</v>
      </c>
      <c r="G10057" s="18" t="str">
        <f>"44039"</f>
        <v>44039</v>
      </c>
      <c r="H10057" s="19" t="s">
        <v>34482</v>
      </c>
      <c r="I10057" s="20">
        <v>18.817</v>
      </c>
      <c r="J10057" s="44" t="s">
        <v>8</v>
      </c>
      <c r="K10057" s="23" t="s">
        <v>8</v>
      </c>
      <c r="L10057" s="23" t="s">
        <v>8</v>
      </c>
      <c r="M10057" s="23" t="s">
        <v>8</v>
      </c>
    </row>
    <row r="10058" spans="1:13" s="21" customFormat="1" x14ac:dyDescent="0.25">
      <c r="A10058" s="22" t="s">
        <v>8</v>
      </c>
      <c r="B10058" s="18" t="str">
        <f>"365686"</f>
        <v>365686</v>
      </c>
      <c r="C10058" s="19" t="s">
        <v>9909</v>
      </c>
      <c r="D10058" s="19" t="s">
        <v>25469</v>
      </c>
      <c r="E10058" s="19" t="s">
        <v>31715</v>
      </c>
      <c r="F10058" s="19" t="s">
        <v>36009</v>
      </c>
      <c r="G10058" s="18" t="str">
        <f>"43228"</f>
        <v>43228</v>
      </c>
      <c r="H10058" s="19" t="s">
        <v>5</v>
      </c>
      <c r="I10058" s="20">
        <v>17.809999999999999</v>
      </c>
      <c r="J10058" s="44" t="s">
        <v>8</v>
      </c>
      <c r="K10058" s="23" t="s">
        <v>8</v>
      </c>
      <c r="L10058" s="23" t="s">
        <v>8</v>
      </c>
      <c r="M10058" s="23" t="s">
        <v>8</v>
      </c>
    </row>
    <row r="10059" spans="1:13" s="21" customFormat="1" x14ac:dyDescent="0.25">
      <c r="A10059" s="22" t="s">
        <v>8</v>
      </c>
      <c r="B10059" s="18" t="str">
        <f>"365687"</f>
        <v>365687</v>
      </c>
      <c r="C10059" s="19" t="s">
        <v>9910</v>
      </c>
      <c r="D10059" s="19" t="s">
        <v>22425</v>
      </c>
      <c r="E10059" s="19" t="s">
        <v>31718</v>
      </c>
      <c r="F10059" s="19" t="s">
        <v>36009</v>
      </c>
      <c r="G10059" s="18" t="str">
        <f>"45750"</f>
        <v>45750</v>
      </c>
      <c r="H10059" s="19" t="s">
        <v>31500</v>
      </c>
      <c r="I10059" s="20">
        <v>19.478999999999999</v>
      </c>
      <c r="J10059" s="44" t="s">
        <v>8</v>
      </c>
      <c r="K10059" s="23" t="s">
        <v>8</v>
      </c>
      <c r="L10059" s="23" t="s">
        <v>8</v>
      </c>
      <c r="M10059" s="23" t="s">
        <v>8</v>
      </c>
    </row>
    <row r="10060" spans="1:13" s="21" customFormat="1" x14ac:dyDescent="0.25">
      <c r="A10060" s="22" t="s">
        <v>8</v>
      </c>
      <c r="B10060" s="18" t="str">
        <f>"365688"</f>
        <v>365688</v>
      </c>
      <c r="C10060" s="19" t="s">
        <v>9911</v>
      </c>
      <c r="D10060" s="19" t="s">
        <v>25470</v>
      </c>
      <c r="E10060" s="19" t="s">
        <v>34449</v>
      </c>
      <c r="F10060" s="19" t="s">
        <v>36009</v>
      </c>
      <c r="G10060" s="18" t="str">
        <f>"44203"</f>
        <v>44203</v>
      </c>
      <c r="H10060" s="19" t="s">
        <v>36107</v>
      </c>
      <c r="I10060" s="20">
        <v>21.266999999999999</v>
      </c>
      <c r="J10060" s="44" t="s">
        <v>8</v>
      </c>
      <c r="K10060" s="23" t="s">
        <v>8</v>
      </c>
      <c r="L10060" s="23" t="s">
        <v>8</v>
      </c>
      <c r="M10060" s="23" t="s">
        <v>8</v>
      </c>
    </row>
    <row r="10061" spans="1:13" s="21" customFormat="1" x14ac:dyDescent="0.25">
      <c r="A10061" s="22" t="s">
        <v>8</v>
      </c>
      <c r="B10061" s="18" t="str">
        <f>"365689"</f>
        <v>365689</v>
      </c>
      <c r="C10061" s="19" t="s">
        <v>9912</v>
      </c>
      <c r="D10061" s="19" t="s">
        <v>25471</v>
      </c>
      <c r="E10061" s="19" t="s">
        <v>33963</v>
      </c>
      <c r="F10061" s="19" t="s">
        <v>36009</v>
      </c>
      <c r="G10061" s="18" t="str">
        <f>"44333"</f>
        <v>44333</v>
      </c>
      <c r="H10061" s="19" t="s">
        <v>36107</v>
      </c>
      <c r="I10061" s="20">
        <v>19.431999999999999</v>
      </c>
      <c r="J10061" s="44" t="s">
        <v>8</v>
      </c>
      <c r="K10061" s="23" t="s">
        <v>8</v>
      </c>
      <c r="L10061" s="23" t="s">
        <v>8</v>
      </c>
      <c r="M10061" s="23" t="s">
        <v>8</v>
      </c>
    </row>
    <row r="10062" spans="1:13" s="21" customFormat="1" x14ac:dyDescent="0.25">
      <c r="A10062" s="22" t="s">
        <v>8</v>
      </c>
      <c r="B10062" s="18" t="str">
        <f>"365690"</f>
        <v>365690</v>
      </c>
      <c r="C10062" s="19" t="s">
        <v>9913</v>
      </c>
      <c r="D10062" s="19" t="s">
        <v>25472</v>
      </c>
      <c r="E10062" s="19" t="s">
        <v>32035</v>
      </c>
      <c r="F10062" s="19" t="s">
        <v>36009</v>
      </c>
      <c r="G10062" s="18" t="str">
        <f>"45036"</f>
        <v>45036</v>
      </c>
      <c r="H10062" s="19" t="s">
        <v>31025</v>
      </c>
      <c r="I10062" s="20">
        <v>18.359000000000002</v>
      </c>
      <c r="J10062" s="44" t="s">
        <v>8</v>
      </c>
      <c r="K10062" s="23" t="s">
        <v>8</v>
      </c>
      <c r="L10062" s="23" t="s">
        <v>8</v>
      </c>
      <c r="M10062" s="23" t="s">
        <v>8</v>
      </c>
    </row>
    <row r="10063" spans="1:13" s="21" customFormat="1" x14ac:dyDescent="0.25">
      <c r="A10063" s="22" t="s">
        <v>8</v>
      </c>
      <c r="B10063" s="18" t="str">
        <f>"365691"</f>
        <v>365691</v>
      </c>
      <c r="C10063" s="19" t="s">
        <v>9914</v>
      </c>
      <c r="D10063" s="19" t="s">
        <v>25473</v>
      </c>
      <c r="E10063" s="19" t="s">
        <v>34519</v>
      </c>
      <c r="F10063" s="19" t="s">
        <v>36009</v>
      </c>
      <c r="G10063" s="18" t="str">
        <f>"44060"</f>
        <v>44060</v>
      </c>
      <c r="H10063" s="19" t="s">
        <v>36096</v>
      </c>
      <c r="I10063" s="20">
        <v>23.125</v>
      </c>
      <c r="J10063" s="44" t="s">
        <v>8</v>
      </c>
      <c r="K10063" s="23" t="s">
        <v>8</v>
      </c>
      <c r="L10063" s="23" t="s">
        <v>8</v>
      </c>
      <c r="M10063" s="23" t="s">
        <v>8</v>
      </c>
    </row>
    <row r="10064" spans="1:13" s="21" customFormat="1" x14ac:dyDescent="0.25">
      <c r="A10064" s="22" t="s">
        <v>8</v>
      </c>
      <c r="B10064" s="18" t="str">
        <f>"365693"</f>
        <v>365693</v>
      </c>
      <c r="C10064" s="19" t="s">
        <v>9915</v>
      </c>
      <c r="D10064" s="19" t="s">
        <v>25474</v>
      </c>
      <c r="E10064" s="19" t="s">
        <v>34412</v>
      </c>
      <c r="F10064" s="19" t="s">
        <v>36009</v>
      </c>
      <c r="G10064" s="18" t="str">
        <f>"45233"</f>
        <v>45233</v>
      </c>
      <c r="H10064" s="19" t="s">
        <v>30804</v>
      </c>
      <c r="I10064" s="20">
        <v>16.597999999999999</v>
      </c>
      <c r="J10064" s="44" t="s">
        <v>8</v>
      </c>
      <c r="K10064" s="23" t="s">
        <v>8</v>
      </c>
      <c r="L10064" s="23" t="s">
        <v>8</v>
      </c>
      <c r="M10064" s="23" t="s">
        <v>8</v>
      </c>
    </row>
    <row r="10065" spans="1:13" s="21" customFormat="1" x14ac:dyDescent="0.25">
      <c r="A10065" s="22" t="s">
        <v>8</v>
      </c>
      <c r="B10065" s="18" t="str">
        <f>"365694"</f>
        <v>365694</v>
      </c>
      <c r="C10065" s="19" t="s">
        <v>9916</v>
      </c>
      <c r="D10065" s="19" t="s">
        <v>25475</v>
      </c>
      <c r="E10065" s="19" t="s">
        <v>31927</v>
      </c>
      <c r="F10065" s="19" t="s">
        <v>36009</v>
      </c>
      <c r="G10065" s="18" t="str">
        <f>"45601"</f>
        <v>45601</v>
      </c>
      <c r="H10065" s="19" t="s">
        <v>36685</v>
      </c>
      <c r="I10065" s="20">
        <v>20.562999999999999</v>
      </c>
      <c r="J10065" s="44" t="s">
        <v>8</v>
      </c>
      <c r="K10065" s="23" t="s">
        <v>8</v>
      </c>
      <c r="L10065" s="23" t="s">
        <v>8</v>
      </c>
      <c r="M10065" s="23" t="s">
        <v>8</v>
      </c>
    </row>
    <row r="10066" spans="1:13" s="21" customFormat="1" x14ac:dyDescent="0.25">
      <c r="A10066" s="22" t="s">
        <v>8</v>
      </c>
      <c r="B10066" s="18" t="str">
        <f>"365695"</f>
        <v>365695</v>
      </c>
      <c r="C10066" s="19" t="s">
        <v>9917</v>
      </c>
      <c r="D10066" s="19" t="s">
        <v>25476</v>
      </c>
      <c r="E10066" s="19" t="s">
        <v>34520</v>
      </c>
      <c r="F10066" s="19" t="s">
        <v>36009</v>
      </c>
      <c r="G10066" s="18" t="str">
        <f>"44230"</f>
        <v>44230</v>
      </c>
      <c r="H10066" s="19" t="s">
        <v>33280</v>
      </c>
      <c r="I10066" s="20">
        <v>19.138999999999999</v>
      </c>
      <c r="J10066" s="44" t="s">
        <v>8</v>
      </c>
      <c r="K10066" s="23" t="s">
        <v>8</v>
      </c>
      <c r="L10066" s="23" t="s">
        <v>8</v>
      </c>
      <c r="M10066" s="23" t="s">
        <v>8</v>
      </c>
    </row>
    <row r="10067" spans="1:13" s="21" customFormat="1" x14ac:dyDescent="0.25">
      <c r="A10067" s="22" t="s">
        <v>8</v>
      </c>
      <c r="B10067" s="18" t="str">
        <f>"365696"</f>
        <v>365696</v>
      </c>
      <c r="C10067" s="19" t="s">
        <v>9918</v>
      </c>
      <c r="D10067" s="19" t="s">
        <v>25477</v>
      </c>
      <c r="E10067" s="19" t="s">
        <v>34521</v>
      </c>
      <c r="F10067" s="19" t="s">
        <v>36009</v>
      </c>
      <c r="G10067" s="18" t="str">
        <f>"43950"</f>
        <v>43950</v>
      </c>
      <c r="H10067" s="19" t="s">
        <v>33079</v>
      </c>
      <c r="I10067" s="20">
        <v>20.186</v>
      </c>
      <c r="J10067" s="44" t="s">
        <v>8</v>
      </c>
      <c r="K10067" s="23" t="s">
        <v>8</v>
      </c>
      <c r="L10067" s="23" t="s">
        <v>8</v>
      </c>
      <c r="M10067" s="23" t="s">
        <v>8</v>
      </c>
    </row>
    <row r="10068" spans="1:13" s="21" customFormat="1" x14ac:dyDescent="0.25">
      <c r="A10068" s="22" t="s">
        <v>8</v>
      </c>
      <c r="B10068" s="18" t="str">
        <f>"365699"</f>
        <v>365699</v>
      </c>
      <c r="C10068" s="19" t="s">
        <v>9919</v>
      </c>
      <c r="D10068" s="19" t="s">
        <v>25478</v>
      </c>
      <c r="E10068" s="19" t="s">
        <v>33155</v>
      </c>
      <c r="F10068" s="19" t="s">
        <v>36009</v>
      </c>
      <c r="G10068" s="18" t="str">
        <f>"43906"</f>
        <v>43906</v>
      </c>
      <c r="H10068" s="19" t="s">
        <v>33079</v>
      </c>
      <c r="I10068" s="20">
        <v>21.215</v>
      </c>
      <c r="J10068" s="44" t="s">
        <v>8</v>
      </c>
      <c r="K10068" s="23" t="s">
        <v>8</v>
      </c>
      <c r="L10068" s="23" t="s">
        <v>8</v>
      </c>
      <c r="M10068" s="23" t="s">
        <v>8</v>
      </c>
    </row>
    <row r="10069" spans="1:13" s="21" customFormat="1" x14ac:dyDescent="0.25">
      <c r="A10069" s="22" t="s">
        <v>8</v>
      </c>
      <c r="B10069" s="18" t="str">
        <f>"365701"</f>
        <v>365701</v>
      </c>
      <c r="C10069" s="19" t="s">
        <v>9920</v>
      </c>
      <c r="D10069" s="19" t="s">
        <v>25479</v>
      </c>
      <c r="E10069" s="19" t="s">
        <v>4250</v>
      </c>
      <c r="F10069" s="19" t="s">
        <v>36009</v>
      </c>
      <c r="G10069" s="18" t="str">
        <f>"44137"</f>
        <v>44137</v>
      </c>
      <c r="H10069" s="19" t="s">
        <v>36671</v>
      </c>
      <c r="I10069" s="20">
        <v>17.023</v>
      </c>
      <c r="J10069" s="44" t="s">
        <v>8</v>
      </c>
      <c r="K10069" s="23" t="s">
        <v>8</v>
      </c>
      <c r="L10069" s="23" t="s">
        <v>8</v>
      </c>
      <c r="M10069" s="23" t="s">
        <v>8</v>
      </c>
    </row>
    <row r="10070" spans="1:13" s="21" customFormat="1" x14ac:dyDescent="0.25">
      <c r="A10070" s="22" t="s">
        <v>8</v>
      </c>
      <c r="B10070" s="18" t="str">
        <f>"365702"</f>
        <v>365702</v>
      </c>
      <c r="C10070" s="19" t="s">
        <v>9921</v>
      </c>
      <c r="D10070" s="19" t="s">
        <v>25480</v>
      </c>
      <c r="E10070" s="19" t="s">
        <v>34522</v>
      </c>
      <c r="F10070" s="19" t="s">
        <v>36009</v>
      </c>
      <c r="G10070" s="18" t="str">
        <f>"44130"</f>
        <v>44130</v>
      </c>
      <c r="H10070" s="19" t="s">
        <v>36671</v>
      </c>
      <c r="I10070" s="20">
        <v>16.196000000000002</v>
      </c>
      <c r="J10070" s="44" t="s">
        <v>8</v>
      </c>
      <c r="K10070" s="23" t="s">
        <v>8</v>
      </c>
      <c r="L10070" s="23" t="s">
        <v>8</v>
      </c>
      <c r="M10070" s="23" t="s">
        <v>8</v>
      </c>
    </row>
    <row r="10071" spans="1:13" s="21" customFormat="1" x14ac:dyDescent="0.25">
      <c r="A10071" s="22" t="s">
        <v>8</v>
      </c>
      <c r="B10071" s="18" t="str">
        <f>"365704"</f>
        <v>365704</v>
      </c>
      <c r="C10071" s="19" t="s">
        <v>9922</v>
      </c>
      <c r="D10071" s="19" t="s">
        <v>25481</v>
      </c>
      <c r="E10071" s="19" t="s">
        <v>32505</v>
      </c>
      <c r="F10071" s="19" t="s">
        <v>36009</v>
      </c>
      <c r="G10071" s="18" t="str">
        <f>"43614"</f>
        <v>43614</v>
      </c>
      <c r="H10071" s="19" t="s">
        <v>36287</v>
      </c>
      <c r="I10071" s="20">
        <v>17.544</v>
      </c>
      <c r="J10071" s="44" t="s">
        <v>8</v>
      </c>
      <c r="K10071" s="23" t="s">
        <v>8</v>
      </c>
      <c r="L10071" s="23" t="s">
        <v>8</v>
      </c>
      <c r="M10071" s="23" t="s">
        <v>8</v>
      </c>
    </row>
    <row r="10072" spans="1:13" s="21" customFormat="1" x14ac:dyDescent="0.25">
      <c r="A10072" s="22" t="s">
        <v>8</v>
      </c>
      <c r="B10072" s="18" t="str">
        <f>"365705"</f>
        <v>365705</v>
      </c>
      <c r="C10072" s="19" t="s">
        <v>9923</v>
      </c>
      <c r="D10072" s="19" t="s">
        <v>25482</v>
      </c>
      <c r="E10072" s="19" t="s">
        <v>34523</v>
      </c>
      <c r="F10072" s="19" t="s">
        <v>36009</v>
      </c>
      <c r="G10072" s="18" t="str">
        <f>"44146"</f>
        <v>44146</v>
      </c>
      <c r="H10072" s="19" t="s">
        <v>36671</v>
      </c>
      <c r="I10072" s="20">
        <v>17.715</v>
      </c>
      <c r="J10072" s="44" t="s">
        <v>8</v>
      </c>
      <c r="K10072" s="23" t="s">
        <v>8</v>
      </c>
      <c r="L10072" s="23" t="s">
        <v>8</v>
      </c>
      <c r="M10072" s="23" t="s">
        <v>8</v>
      </c>
    </row>
    <row r="10073" spans="1:13" s="21" customFormat="1" x14ac:dyDescent="0.25">
      <c r="A10073" s="22" t="s">
        <v>8</v>
      </c>
      <c r="B10073" s="18" t="str">
        <f>"365706"</f>
        <v>365706</v>
      </c>
      <c r="C10073" s="19" t="s">
        <v>9924</v>
      </c>
      <c r="D10073" s="19" t="s">
        <v>25483</v>
      </c>
      <c r="E10073" s="19" t="s">
        <v>34417</v>
      </c>
      <c r="F10073" s="19" t="s">
        <v>36009</v>
      </c>
      <c r="G10073" s="18" t="str">
        <f>"44129"</f>
        <v>44129</v>
      </c>
      <c r="H10073" s="19" t="s">
        <v>36671</v>
      </c>
      <c r="I10073" s="20">
        <v>16.302</v>
      </c>
      <c r="J10073" s="44" t="s">
        <v>8</v>
      </c>
      <c r="K10073" s="23" t="s">
        <v>8</v>
      </c>
      <c r="L10073" s="23" t="s">
        <v>8</v>
      </c>
      <c r="M10073" s="23" t="s">
        <v>8</v>
      </c>
    </row>
    <row r="10074" spans="1:13" s="21" customFormat="1" x14ac:dyDescent="0.25">
      <c r="A10074" s="22" t="s">
        <v>8</v>
      </c>
      <c r="B10074" s="18" t="str">
        <f>"365707"</f>
        <v>365707</v>
      </c>
      <c r="C10074" s="19" t="s">
        <v>9925</v>
      </c>
      <c r="D10074" s="19" t="s">
        <v>25484</v>
      </c>
      <c r="E10074" s="19" t="s">
        <v>31375</v>
      </c>
      <c r="F10074" s="19" t="s">
        <v>36009</v>
      </c>
      <c r="G10074" s="18" t="str">
        <f>"44333"</f>
        <v>44333</v>
      </c>
      <c r="H10074" s="19" t="s">
        <v>36107</v>
      </c>
      <c r="I10074" s="20">
        <v>21.771999999999998</v>
      </c>
      <c r="J10074" s="44" t="s">
        <v>8</v>
      </c>
      <c r="K10074" s="23" t="s">
        <v>8</v>
      </c>
      <c r="L10074" s="23" t="s">
        <v>8</v>
      </c>
      <c r="M10074" s="23" t="s">
        <v>8</v>
      </c>
    </row>
    <row r="10075" spans="1:13" s="21" customFormat="1" x14ac:dyDescent="0.25">
      <c r="A10075" s="22" t="s">
        <v>8</v>
      </c>
      <c r="B10075" s="18" t="str">
        <f>"365708"</f>
        <v>365708</v>
      </c>
      <c r="C10075" s="19" t="s">
        <v>9926</v>
      </c>
      <c r="D10075" s="19" t="s">
        <v>25485</v>
      </c>
      <c r="E10075" s="19" t="s">
        <v>34524</v>
      </c>
      <c r="F10075" s="19" t="s">
        <v>36009</v>
      </c>
      <c r="G10075" s="18" t="str">
        <f>"44452"</f>
        <v>44452</v>
      </c>
      <c r="H10075" s="19" t="s">
        <v>36674</v>
      </c>
      <c r="I10075" s="20">
        <v>18.617000000000001</v>
      </c>
      <c r="J10075" s="44" t="s">
        <v>8</v>
      </c>
      <c r="K10075" s="23" t="s">
        <v>8</v>
      </c>
      <c r="L10075" s="23" t="s">
        <v>8</v>
      </c>
      <c r="M10075" s="23" t="s">
        <v>8</v>
      </c>
    </row>
    <row r="10076" spans="1:13" s="21" customFormat="1" x14ac:dyDescent="0.25">
      <c r="A10076" s="22" t="s">
        <v>8</v>
      </c>
      <c r="B10076" s="18" t="str">
        <f>"365711"</f>
        <v>365711</v>
      </c>
      <c r="C10076" s="19" t="s">
        <v>9927</v>
      </c>
      <c r="D10076" s="19" t="s">
        <v>25486</v>
      </c>
      <c r="E10076" s="19" t="s">
        <v>34525</v>
      </c>
      <c r="F10076" s="19" t="s">
        <v>36009</v>
      </c>
      <c r="G10076" s="18" t="str">
        <f>"44024"</f>
        <v>44024</v>
      </c>
      <c r="H10076" s="19" t="s">
        <v>36686</v>
      </c>
      <c r="I10076" s="20">
        <v>17.645</v>
      </c>
      <c r="J10076" s="44" t="s">
        <v>8</v>
      </c>
      <c r="K10076" s="23" t="s">
        <v>8</v>
      </c>
      <c r="L10076" s="23" t="s">
        <v>8</v>
      </c>
      <c r="M10076" s="23" t="s">
        <v>8</v>
      </c>
    </row>
    <row r="10077" spans="1:13" s="21" customFormat="1" x14ac:dyDescent="0.25">
      <c r="A10077" s="22" t="s">
        <v>8</v>
      </c>
      <c r="B10077" s="18" t="str">
        <f>"365712"</f>
        <v>365712</v>
      </c>
      <c r="C10077" s="19" t="s">
        <v>9928</v>
      </c>
      <c r="D10077" s="19" t="s">
        <v>25487</v>
      </c>
      <c r="E10077" s="19" t="s">
        <v>34412</v>
      </c>
      <c r="F10077" s="19" t="s">
        <v>36009</v>
      </c>
      <c r="G10077" s="18" t="str">
        <f>"45241"</f>
        <v>45241</v>
      </c>
      <c r="H10077" s="19" t="s">
        <v>30804</v>
      </c>
      <c r="I10077" s="20">
        <v>17.513999999999999</v>
      </c>
      <c r="J10077" s="44" t="s">
        <v>8</v>
      </c>
      <c r="K10077" s="23" t="s">
        <v>8</v>
      </c>
      <c r="L10077" s="23" t="s">
        <v>8</v>
      </c>
      <c r="M10077" s="23" t="s">
        <v>8</v>
      </c>
    </row>
    <row r="10078" spans="1:13" s="21" customFormat="1" x14ac:dyDescent="0.25">
      <c r="A10078" s="22" t="s">
        <v>8</v>
      </c>
      <c r="B10078" s="18" t="str">
        <f>"365713"</f>
        <v>365713</v>
      </c>
      <c r="C10078" s="19" t="s">
        <v>9929</v>
      </c>
      <c r="D10078" s="19" t="s">
        <v>25488</v>
      </c>
      <c r="E10078" s="19" t="s">
        <v>34430</v>
      </c>
      <c r="F10078" s="19" t="s">
        <v>36009</v>
      </c>
      <c r="G10078" s="18" t="str">
        <f>"44077"</f>
        <v>44077</v>
      </c>
      <c r="H10078" s="19" t="s">
        <v>36096</v>
      </c>
      <c r="I10078" s="20">
        <v>19.366</v>
      </c>
      <c r="J10078" s="44" t="s">
        <v>8</v>
      </c>
      <c r="K10078" s="23" t="s">
        <v>8</v>
      </c>
      <c r="L10078" s="23" t="s">
        <v>8</v>
      </c>
      <c r="M10078" s="23" t="s">
        <v>8</v>
      </c>
    </row>
    <row r="10079" spans="1:13" s="21" customFormat="1" x14ac:dyDescent="0.25">
      <c r="A10079" s="22" t="s">
        <v>8</v>
      </c>
      <c r="B10079" s="18" t="str">
        <f>"365714"</f>
        <v>365714</v>
      </c>
      <c r="C10079" s="19" t="s">
        <v>9930</v>
      </c>
      <c r="D10079" s="19" t="s">
        <v>25489</v>
      </c>
      <c r="E10079" s="19" t="s">
        <v>32280</v>
      </c>
      <c r="F10079" s="19" t="s">
        <v>36009</v>
      </c>
      <c r="G10079" s="18" t="str">
        <f>"45458"</f>
        <v>45458</v>
      </c>
      <c r="H10079" s="19" t="s">
        <v>30833</v>
      </c>
      <c r="I10079" s="20">
        <v>15.016</v>
      </c>
      <c r="J10079" s="44" t="s">
        <v>8</v>
      </c>
      <c r="K10079" s="23" t="s">
        <v>8</v>
      </c>
      <c r="L10079" s="23" t="s">
        <v>8</v>
      </c>
      <c r="M10079" s="23" t="s">
        <v>8</v>
      </c>
    </row>
    <row r="10080" spans="1:13" s="21" customFormat="1" x14ac:dyDescent="0.25">
      <c r="A10080" s="22" t="s">
        <v>8</v>
      </c>
      <c r="B10080" s="18" t="str">
        <f>"365715"</f>
        <v>365715</v>
      </c>
      <c r="C10080" s="19" t="s">
        <v>9931</v>
      </c>
      <c r="D10080" s="19" t="s">
        <v>25490</v>
      </c>
      <c r="E10080" s="19" t="s">
        <v>30927</v>
      </c>
      <c r="F10080" s="19" t="s">
        <v>36009</v>
      </c>
      <c r="G10080" s="18" t="str">
        <f>"44408"</f>
        <v>44408</v>
      </c>
      <c r="H10080" s="19" t="s">
        <v>30927</v>
      </c>
      <c r="I10080" s="20">
        <v>18.327000000000002</v>
      </c>
      <c r="J10080" s="44" t="s">
        <v>8</v>
      </c>
      <c r="K10080" s="23" t="s">
        <v>8</v>
      </c>
      <c r="L10080" s="23" t="s">
        <v>8</v>
      </c>
      <c r="M10080" s="23" t="s">
        <v>8</v>
      </c>
    </row>
    <row r="10081" spans="1:13" s="21" customFormat="1" x14ac:dyDescent="0.25">
      <c r="A10081" s="22" t="s">
        <v>8</v>
      </c>
      <c r="B10081" s="18" t="str">
        <f>"365716"</f>
        <v>365716</v>
      </c>
      <c r="C10081" s="19" t="s">
        <v>9932</v>
      </c>
      <c r="D10081" s="19" t="s">
        <v>25491</v>
      </c>
      <c r="E10081" s="19" t="s">
        <v>32369</v>
      </c>
      <c r="F10081" s="19" t="s">
        <v>36009</v>
      </c>
      <c r="G10081" s="18" t="str">
        <f>"45406"</f>
        <v>45406</v>
      </c>
      <c r="H10081" s="19" t="s">
        <v>30833</v>
      </c>
      <c r="I10081" s="20">
        <v>18.741</v>
      </c>
      <c r="J10081" s="44" t="s">
        <v>8</v>
      </c>
      <c r="K10081" s="23" t="s">
        <v>8</v>
      </c>
      <c r="L10081" s="23" t="s">
        <v>8</v>
      </c>
      <c r="M10081" s="23" t="s">
        <v>8</v>
      </c>
    </row>
    <row r="10082" spans="1:13" s="21" customFormat="1" x14ac:dyDescent="0.25">
      <c r="A10082" s="22" t="s">
        <v>8</v>
      </c>
      <c r="B10082" s="18" t="str">
        <f>"365717"</f>
        <v>365717</v>
      </c>
      <c r="C10082" s="19" t="s">
        <v>9933</v>
      </c>
      <c r="D10082" s="19" t="s">
        <v>25492</v>
      </c>
      <c r="E10082" s="19" t="s">
        <v>31747</v>
      </c>
      <c r="F10082" s="19" t="s">
        <v>36009</v>
      </c>
      <c r="G10082" s="18" t="str">
        <f>"43016"</f>
        <v>43016</v>
      </c>
      <c r="H10082" s="19" t="s">
        <v>5</v>
      </c>
      <c r="I10082" s="20">
        <v>18.550999999999998</v>
      </c>
      <c r="J10082" s="44" t="s">
        <v>8</v>
      </c>
      <c r="K10082" s="23" t="s">
        <v>8</v>
      </c>
      <c r="L10082" s="23" t="s">
        <v>8</v>
      </c>
      <c r="M10082" s="23" t="s">
        <v>8</v>
      </c>
    </row>
    <row r="10083" spans="1:13" s="21" customFormat="1" x14ac:dyDescent="0.25">
      <c r="A10083" s="22" t="s">
        <v>8</v>
      </c>
      <c r="B10083" s="18" t="str">
        <f>"365718"</f>
        <v>365718</v>
      </c>
      <c r="C10083" s="19" t="s">
        <v>9934</v>
      </c>
      <c r="D10083" s="19" t="s">
        <v>25493</v>
      </c>
      <c r="E10083" s="19" t="s">
        <v>34526</v>
      </c>
      <c r="F10083" s="19" t="s">
        <v>36009</v>
      </c>
      <c r="G10083" s="18" t="str">
        <f>"44241"</f>
        <v>44241</v>
      </c>
      <c r="H10083" s="19" t="s">
        <v>32230</v>
      </c>
      <c r="I10083" s="20">
        <v>17.620999999999999</v>
      </c>
      <c r="J10083" s="44" t="s">
        <v>8</v>
      </c>
      <c r="K10083" s="23" t="s">
        <v>8</v>
      </c>
      <c r="L10083" s="23" t="s">
        <v>8</v>
      </c>
      <c r="M10083" s="23" t="s">
        <v>8</v>
      </c>
    </row>
    <row r="10084" spans="1:13" s="21" customFormat="1" x14ac:dyDescent="0.25">
      <c r="A10084" s="22" t="s">
        <v>8</v>
      </c>
      <c r="B10084" s="18" t="str">
        <f>"365720"</f>
        <v>365720</v>
      </c>
      <c r="C10084" s="19" t="s">
        <v>9935</v>
      </c>
      <c r="D10084" s="19" t="s">
        <v>25494</v>
      </c>
      <c r="E10084" s="19" t="s">
        <v>34527</v>
      </c>
      <c r="F10084" s="19" t="s">
        <v>36009</v>
      </c>
      <c r="G10084" s="18" t="str">
        <f>"44224"</f>
        <v>44224</v>
      </c>
      <c r="H10084" s="19" t="s">
        <v>36107</v>
      </c>
      <c r="I10084" s="20">
        <v>17.141999999999999</v>
      </c>
      <c r="J10084" s="44" t="s">
        <v>8</v>
      </c>
      <c r="K10084" s="23" t="s">
        <v>8</v>
      </c>
      <c r="L10084" s="23" t="s">
        <v>8</v>
      </c>
      <c r="M10084" s="23" t="s">
        <v>8</v>
      </c>
    </row>
    <row r="10085" spans="1:13" s="21" customFormat="1" x14ac:dyDescent="0.25">
      <c r="A10085" s="22" t="s">
        <v>8</v>
      </c>
      <c r="B10085" s="18" t="str">
        <f>"365721"</f>
        <v>365721</v>
      </c>
      <c r="C10085" s="19" t="s">
        <v>9936</v>
      </c>
      <c r="D10085" s="19" t="s">
        <v>25495</v>
      </c>
      <c r="E10085" s="19" t="s">
        <v>34528</v>
      </c>
      <c r="F10085" s="19" t="s">
        <v>36009</v>
      </c>
      <c r="G10085" s="18" t="str">
        <f>"45760"</f>
        <v>45760</v>
      </c>
      <c r="H10085" s="19" t="s">
        <v>36682</v>
      </c>
      <c r="I10085" s="20">
        <v>17.309999999999999</v>
      </c>
      <c r="J10085" s="44" t="s">
        <v>8</v>
      </c>
      <c r="K10085" s="23" t="s">
        <v>8</v>
      </c>
      <c r="L10085" s="23" t="s">
        <v>8</v>
      </c>
      <c r="M10085" s="23" t="s">
        <v>8</v>
      </c>
    </row>
    <row r="10086" spans="1:13" s="21" customFormat="1" x14ac:dyDescent="0.25">
      <c r="A10086" s="22" t="s">
        <v>8</v>
      </c>
      <c r="B10086" s="18" t="str">
        <f>"365722"</f>
        <v>365722</v>
      </c>
      <c r="C10086" s="19" t="s">
        <v>9937</v>
      </c>
      <c r="D10086" s="19" t="s">
        <v>25496</v>
      </c>
      <c r="E10086" s="19" t="s">
        <v>32369</v>
      </c>
      <c r="F10086" s="19" t="s">
        <v>36009</v>
      </c>
      <c r="G10086" s="18" t="str">
        <f>"45449"</f>
        <v>45449</v>
      </c>
      <c r="H10086" s="19" t="s">
        <v>30833</v>
      </c>
      <c r="I10086" s="20">
        <v>19.777000000000001</v>
      </c>
      <c r="J10086" s="44" t="s">
        <v>8</v>
      </c>
      <c r="K10086" s="23" t="s">
        <v>8</v>
      </c>
      <c r="L10086" s="23" t="s">
        <v>8</v>
      </c>
      <c r="M10086" s="23" t="s">
        <v>8</v>
      </c>
    </row>
    <row r="10087" spans="1:13" s="21" customFormat="1" x14ac:dyDescent="0.25">
      <c r="A10087" s="22" t="s">
        <v>8</v>
      </c>
      <c r="B10087" s="18" t="str">
        <f>"365723"</f>
        <v>365723</v>
      </c>
      <c r="C10087" s="19" t="s">
        <v>9938</v>
      </c>
      <c r="D10087" s="19" t="s">
        <v>25497</v>
      </c>
      <c r="E10087" s="19" t="s">
        <v>34412</v>
      </c>
      <c r="F10087" s="19" t="s">
        <v>36009</v>
      </c>
      <c r="G10087" s="18" t="str">
        <f>"45216"</f>
        <v>45216</v>
      </c>
      <c r="H10087" s="19" t="s">
        <v>30804</v>
      </c>
      <c r="I10087" s="20">
        <v>20.100000000000001</v>
      </c>
      <c r="J10087" s="44" t="s">
        <v>8</v>
      </c>
      <c r="K10087" s="23" t="s">
        <v>8</v>
      </c>
      <c r="L10087" s="23" t="s">
        <v>8</v>
      </c>
      <c r="M10087" s="23" t="s">
        <v>8</v>
      </c>
    </row>
    <row r="10088" spans="1:13" s="21" customFormat="1" x14ac:dyDescent="0.25">
      <c r="A10088" s="22" t="s">
        <v>8</v>
      </c>
      <c r="B10088" s="18" t="str">
        <f>"365724"</f>
        <v>365724</v>
      </c>
      <c r="C10088" s="19" t="s">
        <v>9939</v>
      </c>
      <c r="D10088" s="19" t="s">
        <v>25498</v>
      </c>
      <c r="E10088" s="19" t="s">
        <v>34436</v>
      </c>
      <c r="F10088" s="19" t="s">
        <v>36009</v>
      </c>
      <c r="G10088" s="18" t="str">
        <f>"43952"</f>
        <v>43952</v>
      </c>
      <c r="H10088" s="19" t="s">
        <v>32391</v>
      </c>
      <c r="I10088" s="20">
        <v>21.491</v>
      </c>
      <c r="J10088" s="44" t="s">
        <v>8</v>
      </c>
      <c r="K10088" s="23" t="s">
        <v>8</v>
      </c>
      <c r="L10088" s="23" t="s">
        <v>8</v>
      </c>
      <c r="M10088" s="23" t="s">
        <v>8</v>
      </c>
    </row>
    <row r="10089" spans="1:13" s="21" customFormat="1" x14ac:dyDescent="0.25">
      <c r="A10089" s="22" t="s">
        <v>8</v>
      </c>
      <c r="B10089" s="18" t="str">
        <f>"365725"</f>
        <v>365725</v>
      </c>
      <c r="C10089" s="19" t="s">
        <v>9940</v>
      </c>
      <c r="D10089" s="19" t="s">
        <v>25499</v>
      </c>
      <c r="E10089" s="19" t="s">
        <v>31655</v>
      </c>
      <c r="F10089" s="19" t="s">
        <v>36009</v>
      </c>
      <c r="G10089" s="18" t="str">
        <f>"43026"</f>
        <v>43026</v>
      </c>
      <c r="H10089" s="19" t="s">
        <v>5</v>
      </c>
      <c r="I10089" s="20">
        <v>17.736000000000001</v>
      </c>
      <c r="J10089" s="44" t="s">
        <v>8</v>
      </c>
      <c r="K10089" s="23" t="s">
        <v>8</v>
      </c>
      <c r="L10089" s="23" t="s">
        <v>8</v>
      </c>
      <c r="M10089" s="23" t="s">
        <v>8</v>
      </c>
    </row>
    <row r="10090" spans="1:13" s="21" customFormat="1" x14ac:dyDescent="0.25">
      <c r="A10090" s="22" t="s">
        <v>8</v>
      </c>
      <c r="B10090" s="18" t="str">
        <f>"365727"</f>
        <v>365727</v>
      </c>
      <c r="C10090" s="19" t="s">
        <v>9941</v>
      </c>
      <c r="D10090" s="19" t="s">
        <v>25500</v>
      </c>
      <c r="E10090" s="19" t="s">
        <v>31375</v>
      </c>
      <c r="F10090" s="19" t="s">
        <v>36009</v>
      </c>
      <c r="G10090" s="18" t="str">
        <f>"44319"</f>
        <v>44319</v>
      </c>
      <c r="H10090" s="19" t="s">
        <v>36107</v>
      </c>
      <c r="I10090" s="20">
        <v>18.245999999999999</v>
      </c>
      <c r="J10090" s="44" t="s">
        <v>8</v>
      </c>
      <c r="K10090" s="23" t="s">
        <v>8</v>
      </c>
      <c r="L10090" s="23" t="s">
        <v>8</v>
      </c>
      <c r="M10090" s="23" t="s">
        <v>8</v>
      </c>
    </row>
    <row r="10091" spans="1:13" s="21" customFormat="1" x14ac:dyDescent="0.25">
      <c r="A10091" s="22" t="s">
        <v>8</v>
      </c>
      <c r="B10091" s="18" t="str">
        <f>"365729"</f>
        <v>365729</v>
      </c>
      <c r="C10091" s="19" t="s">
        <v>9942</v>
      </c>
      <c r="D10091" s="19" t="s">
        <v>25501</v>
      </c>
      <c r="E10091" s="19" t="s">
        <v>34473</v>
      </c>
      <c r="F10091" s="19" t="s">
        <v>36009</v>
      </c>
      <c r="G10091" s="18" t="str">
        <f>"44117"</f>
        <v>44117</v>
      </c>
      <c r="H10091" s="19" t="s">
        <v>36671</v>
      </c>
      <c r="I10091" s="20">
        <v>18.321000000000002</v>
      </c>
      <c r="J10091" s="44" t="s">
        <v>8</v>
      </c>
      <c r="K10091" s="23" t="s">
        <v>8</v>
      </c>
      <c r="L10091" s="23" t="s">
        <v>8</v>
      </c>
      <c r="M10091" s="23" t="s">
        <v>8</v>
      </c>
    </row>
    <row r="10092" spans="1:13" s="21" customFormat="1" x14ac:dyDescent="0.25">
      <c r="A10092" s="22" t="s">
        <v>8</v>
      </c>
      <c r="B10092" s="18" t="str">
        <f>"365730"</f>
        <v>365730</v>
      </c>
      <c r="C10092" s="19" t="s">
        <v>9943</v>
      </c>
      <c r="D10092" s="19" t="s">
        <v>25502</v>
      </c>
      <c r="E10092" s="19" t="s">
        <v>34473</v>
      </c>
      <c r="F10092" s="19" t="s">
        <v>36009</v>
      </c>
      <c r="G10092" s="18" t="str">
        <f>"44119"</f>
        <v>44119</v>
      </c>
      <c r="H10092" s="19" t="s">
        <v>36671</v>
      </c>
      <c r="I10092" s="20">
        <v>18.507000000000001</v>
      </c>
      <c r="J10092" s="44" t="s">
        <v>8</v>
      </c>
      <c r="K10092" s="23" t="s">
        <v>8</v>
      </c>
      <c r="L10092" s="23" t="s">
        <v>8</v>
      </c>
      <c r="M10092" s="23" t="s">
        <v>8</v>
      </c>
    </row>
    <row r="10093" spans="1:13" s="21" customFormat="1" x14ac:dyDescent="0.25">
      <c r="A10093" s="22" t="s">
        <v>8</v>
      </c>
      <c r="B10093" s="18" t="str">
        <f>"365731"</f>
        <v>365731</v>
      </c>
      <c r="C10093" s="19" t="s">
        <v>9944</v>
      </c>
      <c r="D10093" s="19" t="s">
        <v>25503</v>
      </c>
      <c r="E10093" s="19" t="s">
        <v>34529</v>
      </c>
      <c r="F10093" s="19" t="s">
        <v>36009</v>
      </c>
      <c r="G10093" s="18" t="str">
        <f>"44142"</f>
        <v>44142</v>
      </c>
      <c r="H10093" s="19" t="s">
        <v>36671</v>
      </c>
      <c r="I10093" s="20">
        <v>19.218</v>
      </c>
      <c r="J10093" s="44" t="s">
        <v>8</v>
      </c>
      <c r="K10093" s="23" t="s">
        <v>8</v>
      </c>
      <c r="L10093" s="23" t="s">
        <v>8</v>
      </c>
      <c r="M10093" s="23" t="s">
        <v>8</v>
      </c>
    </row>
    <row r="10094" spans="1:13" s="21" customFormat="1" x14ac:dyDescent="0.25">
      <c r="A10094" s="22" t="s">
        <v>8</v>
      </c>
      <c r="B10094" s="18" t="str">
        <f>"365732"</f>
        <v>365732</v>
      </c>
      <c r="C10094" s="19" t="s">
        <v>9945</v>
      </c>
      <c r="D10094" s="19" t="s">
        <v>25504</v>
      </c>
      <c r="E10094" s="19" t="s">
        <v>34421</v>
      </c>
      <c r="F10094" s="19" t="s">
        <v>36009</v>
      </c>
      <c r="G10094" s="18" t="str">
        <f>"44509"</f>
        <v>44509</v>
      </c>
      <c r="H10094" s="19" t="s">
        <v>36674</v>
      </c>
      <c r="I10094" s="20">
        <v>17.074999999999999</v>
      </c>
      <c r="J10094" s="44" t="s">
        <v>8</v>
      </c>
      <c r="K10094" s="23" t="s">
        <v>8</v>
      </c>
      <c r="L10094" s="23" t="s">
        <v>8</v>
      </c>
      <c r="M10094" s="23" t="s">
        <v>8</v>
      </c>
    </row>
    <row r="10095" spans="1:13" s="21" customFormat="1" x14ac:dyDescent="0.25">
      <c r="A10095" s="22" t="s">
        <v>8</v>
      </c>
      <c r="B10095" s="18" t="str">
        <f>"365733"</f>
        <v>365733</v>
      </c>
      <c r="C10095" s="19" t="s">
        <v>9946</v>
      </c>
      <c r="D10095" s="19" t="s">
        <v>25505</v>
      </c>
      <c r="E10095" s="19" t="s">
        <v>34412</v>
      </c>
      <c r="F10095" s="19" t="s">
        <v>36009</v>
      </c>
      <c r="G10095" s="18" t="str">
        <f>"45206"</f>
        <v>45206</v>
      </c>
      <c r="H10095" s="19" t="s">
        <v>30804</v>
      </c>
      <c r="I10095" s="20">
        <v>19.285</v>
      </c>
      <c r="J10095" s="44" t="s">
        <v>8</v>
      </c>
      <c r="K10095" s="23" t="s">
        <v>8</v>
      </c>
      <c r="L10095" s="23" t="s">
        <v>8</v>
      </c>
      <c r="M10095" s="23" t="s">
        <v>8</v>
      </c>
    </row>
    <row r="10096" spans="1:13" s="21" customFormat="1" x14ac:dyDescent="0.25">
      <c r="A10096" s="22" t="s">
        <v>8</v>
      </c>
      <c r="B10096" s="18" t="str">
        <f>"365734"</f>
        <v>365734</v>
      </c>
      <c r="C10096" s="19" t="s">
        <v>9947</v>
      </c>
      <c r="D10096" s="19" t="s">
        <v>25506</v>
      </c>
      <c r="E10096" s="19" t="s">
        <v>34412</v>
      </c>
      <c r="F10096" s="19" t="s">
        <v>36009</v>
      </c>
      <c r="G10096" s="18" t="str">
        <f>"45236"</f>
        <v>45236</v>
      </c>
      <c r="H10096" s="19" t="s">
        <v>30804</v>
      </c>
      <c r="I10096" s="20">
        <v>19.564</v>
      </c>
      <c r="J10096" s="44" t="s">
        <v>8</v>
      </c>
      <c r="K10096" s="23" t="s">
        <v>8</v>
      </c>
      <c r="L10096" s="23" t="s">
        <v>8</v>
      </c>
      <c r="M10096" s="23" t="s">
        <v>8</v>
      </c>
    </row>
    <row r="10097" spans="1:13" s="21" customFormat="1" x14ac:dyDescent="0.25">
      <c r="A10097" s="22" t="s">
        <v>8</v>
      </c>
      <c r="B10097" s="18" t="str">
        <f>"365735"</f>
        <v>365735</v>
      </c>
      <c r="C10097" s="19" t="s">
        <v>9948</v>
      </c>
      <c r="D10097" s="19" t="s">
        <v>25507</v>
      </c>
      <c r="E10097" s="19" t="s">
        <v>30815</v>
      </c>
      <c r="F10097" s="19" t="s">
        <v>36009</v>
      </c>
      <c r="G10097" s="18" t="str">
        <f>"45373"</f>
        <v>45373</v>
      </c>
      <c r="H10097" s="19" t="s">
        <v>31507</v>
      </c>
      <c r="I10097" s="20">
        <v>21.271999999999998</v>
      </c>
      <c r="J10097" s="44" t="s">
        <v>8</v>
      </c>
      <c r="K10097" s="23" t="s">
        <v>8</v>
      </c>
      <c r="L10097" s="23" t="s">
        <v>8</v>
      </c>
      <c r="M10097" s="23" t="s">
        <v>8</v>
      </c>
    </row>
    <row r="10098" spans="1:13" s="21" customFormat="1" x14ac:dyDescent="0.25">
      <c r="A10098" s="22" t="s">
        <v>8</v>
      </c>
      <c r="B10098" s="18" t="str">
        <f>"365737"</f>
        <v>365737</v>
      </c>
      <c r="C10098" s="19" t="s">
        <v>9949</v>
      </c>
      <c r="D10098" s="19" t="s">
        <v>25508</v>
      </c>
      <c r="E10098" s="19" t="s">
        <v>32505</v>
      </c>
      <c r="F10098" s="19" t="s">
        <v>36009</v>
      </c>
      <c r="G10098" s="18" t="str">
        <f>"43614"</f>
        <v>43614</v>
      </c>
      <c r="H10098" s="19" t="s">
        <v>36287</v>
      </c>
      <c r="I10098" s="20">
        <v>20.14</v>
      </c>
      <c r="J10098" s="44" t="s">
        <v>8</v>
      </c>
      <c r="K10098" s="23" t="s">
        <v>8</v>
      </c>
      <c r="L10098" s="23" t="s">
        <v>8</v>
      </c>
      <c r="M10098" s="23" t="s">
        <v>8</v>
      </c>
    </row>
    <row r="10099" spans="1:13" s="21" customFormat="1" x14ac:dyDescent="0.25">
      <c r="A10099" s="22" t="s">
        <v>8</v>
      </c>
      <c r="B10099" s="18" t="str">
        <f>"365738"</f>
        <v>365738</v>
      </c>
      <c r="C10099" s="19" t="s">
        <v>9950</v>
      </c>
      <c r="D10099" s="19" t="s">
        <v>25509</v>
      </c>
      <c r="E10099" s="19" t="s">
        <v>31103</v>
      </c>
      <c r="F10099" s="19" t="s">
        <v>36009</v>
      </c>
      <c r="G10099" s="18" t="str">
        <f>"45014"</f>
        <v>45014</v>
      </c>
      <c r="H10099" s="19" t="s">
        <v>30876</v>
      </c>
      <c r="I10099" s="20">
        <v>20.949000000000002</v>
      </c>
      <c r="J10099" s="44" t="s">
        <v>8</v>
      </c>
      <c r="K10099" s="23" t="s">
        <v>8</v>
      </c>
      <c r="L10099" s="23" t="s">
        <v>8</v>
      </c>
      <c r="M10099" s="23" t="s">
        <v>8</v>
      </c>
    </row>
    <row r="10100" spans="1:13" s="21" customFormat="1" x14ac:dyDescent="0.25">
      <c r="A10100" s="22" t="s">
        <v>8</v>
      </c>
      <c r="B10100" s="18" t="str">
        <f>"365739"</f>
        <v>365739</v>
      </c>
      <c r="C10100" s="19" t="s">
        <v>9951</v>
      </c>
      <c r="D10100" s="19" t="s">
        <v>25510</v>
      </c>
      <c r="E10100" s="19" t="s">
        <v>34507</v>
      </c>
      <c r="F10100" s="19" t="s">
        <v>36009</v>
      </c>
      <c r="G10100" s="18" t="str">
        <f>"44278"</f>
        <v>44278</v>
      </c>
      <c r="H10100" s="19" t="s">
        <v>36107</v>
      </c>
      <c r="I10100" s="20">
        <v>17.123999999999999</v>
      </c>
      <c r="J10100" s="44" t="s">
        <v>8</v>
      </c>
      <c r="K10100" s="23" t="s">
        <v>8</v>
      </c>
      <c r="L10100" s="23" t="s">
        <v>8</v>
      </c>
      <c r="M10100" s="23" t="s">
        <v>8</v>
      </c>
    </row>
    <row r="10101" spans="1:13" s="21" customFormat="1" x14ac:dyDescent="0.25">
      <c r="A10101" s="22" t="s">
        <v>8</v>
      </c>
      <c r="B10101" s="18" t="str">
        <f>"365740"</f>
        <v>365740</v>
      </c>
      <c r="C10101" s="19" t="s">
        <v>9952</v>
      </c>
      <c r="D10101" s="19" t="s">
        <v>25511</v>
      </c>
      <c r="E10101" s="19" t="s">
        <v>32660</v>
      </c>
      <c r="F10101" s="19" t="s">
        <v>36009</v>
      </c>
      <c r="G10101" s="18" t="str">
        <f>"43410"</f>
        <v>43410</v>
      </c>
      <c r="H10101" s="19" t="s">
        <v>33186</v>
      </c>
      <c r="I10101" s="20">
        <v>19.57</v>
      </c>
      <c r="J10101" s="44" t="s">
        <v>8</v>
      </c>
      <c r="K10101" s="23" t="s">
        <v>8</v>
      </c>
      <c r="L10101" s="23" t="s">
        <v>8</v>
      </c>
      <c r="M10101" s="23" t="s">
        <v>8</v>
      </c>
    </row>
    <row r="10102" spans="1:13" s="21" customFormat="1" x14ac:dyDescent="0.25">
      <c r="A10102" s="22" t="s">
        <v>8</v>
      </c>
      <c r="B10102" s="18" t="str">
        <f>"365741"</f>
        <v>365741</v>
      </c>
      <c r="C10102" s="19" t="s">
        <v>9953</v>
      </c>
      <c r="D10102" s="19" t="s">
        <v>25512</v>
      </c>
      <c r="E10102" s="19" t="s">
        <v>34530</v>
      </c>
      <c r="F10102" s="19" t="s">
        <v>36009</v>
      </c>
      <c r="G10102" s="18" t="str">
        <f>"44048"</f>
        <v>44048</v>
      </c>
      <c r="H10102" s="19" t="s">
        <v>34437</v>
      </c>
      <c r="I10102" s="20">
        <v>18.885999999999999</v>
      </c>
      <c r="J10102" s="44" t="s">
        <v>8</v>
      </c>
      <c r="K10102" s="23" t="s">
        <v>8</v>
      </c>
      <c r="L10102" s="23" t="s">
        <v>8</v>
      </c>
      <c r="M10102" s="23" t="s">
        <v>8</v>
      </c>
    </row>
    <row r="10103" spans="1:13" s="21" customFormat="1" x14ac:dyDescent="0.25">
      <c r="A10103" s="22" t="s">
        <v>8</v>
      </c>
      <c r="B10103" s="18" t="str">
        <f>"365742"</f>
        <v>365742</v>
      </c>
      <c r="C10103" s="19" t="s">
        <v>9954</v>
      </c>
      <c r="D10103" s="19" t="s">
        <v>25513</v>
      </c>
      <c r="E10103" s="19" t="s">
        <v>32500</v>
      </c>
      <c r="F10103" s="19" t="s">
        <v>36009</v>
      </c>
      <c r="G10103" s="18" t="str">
        <f>"45690"</f>
        <v>45690</v>
      </c>
      <c r="H10103" s="19" t="s">
        <v>36033</v>
      </c>
      <c r="I10103" s="20">
        <v>18.899000000000001</v>
      </c>
      <c r="J10103" s="44" t="s">
        <v>8</v>
      </c>
      <c r="K10103" s="23" t="s">
        <v>8</v>
      </c>
      <c r="L10103" s="23" t="s">
        <v>8</v>
      </c>
      <c r="M10103" s="23" t="s">
        <v>8</v>
      </c>
    </row>
    <row r="10104" spans="1:13" s="21" customFormat="1" x14ac:dyDescent="0.25">
      <c r="A10104" s="22" t="s">
        <v>8</v>
      </c>
      <c r="B10104" s="18" t="str">
        <f>"365743"</f>
        <v>365743</v>
      </c>
      <c r="C10104" s="19" t="s">
        <v>9955</v>
      </c>
      <c r="D10104" s="19" t="s">
        <v>25514</v>
      </c>
      <c r="E10104" s="19" t="s">
        <v>34531</v>
      </c>
      <c r="F10104" s="19" t="s">
        <v>36009</v>
      </c>
      <c r="G10104" s="18" t="str">
        <f>"45324"</f>
        <v>45324</v>
      </c>
      <c r="H10104" s="19" t="s">
        <v>32455</v>
      </c>
      <c r="I10104" s="20">
        <v>20.937000000000001</v>
      </c>
      <c r="J10104" s="44" t="s">
        <v>8</v>
      </c>
      <c r="K10104" s="23" t="s">
        <v>8</v>
      </c>
      <c r="L10104" s="23" t="s">
        <v>8</v>
      </c>
      <c r="M10104" s="23" t="s">
        <v>8</v>
      </c>
    </row>
    <row r="10105" spans="1:13" s="21" customFormat="1" x14ac:dyDescent="0.25">
      <c r="A10105" s="22" t="s">
        <v>8</v>
      </c>
      <c r="B10105" s="18" t="str">
        <f>"365744"</f>
        <v>365744</v>
      </c>
      <c r="C10105" s="19" t="s">
        <v>9956</v>
      </c>
      <c r="D10105" s="19" t="s">
        <v>25515</v>
      </c>
      <c r="E10105" s="19" t="s">
        <v>34532</v>
      </c>
      <c r="F10105" s="19" t="s">
        <v>36009</v>
      </c>
      <c r="G10105" s="18" t="str">
        <f>"45887"</f>
        <v>45887</v>
      </c>
      <c r="H10105" s="19" t="s">
        <v>34710</v>
      </c>
      <c r="I10105" s="20">
        <v>17.882000000000001</v>
      </c>
      <c r="J10105" s="44" t="s">
        <v>8</v>
      </c>
      <c r="K10105" s="23" t="s">
        <v>8</v>
      </c>
      <c r="L10105" s="23" t="s">
        <v>8</v>
      </c>
      <c r="M10105" s="23" t="s">
        <v>8</v>
      </c>
    </row>
    <row r="10106" spans="1:13" s="21" customFormat="1" x14ac:dyDescent="0.25">
      <c r="A10106" s="22" t="s">
        <v>8</v>
      </c>
      <c r="B10106" s="18" t="str">
        <f>"365745"</f>
        <v>365745</v>
      </c>
      <c r="C10106" s="19" t="s">
        <v>9957</v>
      </c>
      <c r="D10106" s="19" t="s">
        <v>25516</v>
      </c>
      <c r="E10106" s="19" t="s">
        <v>34533</v>
      </c>
      <c r="F10106" s="19" t="s">
        <v>36009</v>
      </c>
      <c r="G10106" s="18" t="str">
        <f>"43558"</f>
        <v>43558</v>
      </c>
      <c r="H10106" s="19" t="s">
        <v>32194</v>
      </c>
      <c r="I10106" s="20">
        <v>18.484999999999999</v>
      </c>
      <c r="J10106" s="44" t="s">
        <v>8</v>
      </c>
      <c r="K10106" s="23" t="s">
        <v>8</v>
      </c>
      <c r="L10106" s="23" t="s">
        <v>8</v>
      </c>
      <c r="M10106" s="23" t="s">
        <v>8</v>
      </c>
    </row>
    <row r="10107" spans="1:13" s="21" customFormat="1" x14ac:dyDescent="0.25">
      <c r="A10107" s="22" t="s">
        <v>8</v>
      </c>
      <c r="B10107" s="18" t="str">
        <f>"365746"</f>
        <v>365746</v>
      </c>
      <c r="C10107" s="19" t="s">
        <v>912</v>
      </c>
      <c r="D10107" s="19" t="s">
        <v>25517</v>
      </c>
      <c r="E10107" s="19" t="s">
        <v>34534</v>
      </c>
      <c r="F10107" s="19" t="s">
        <v>36009</v>
      </c>
      <c r="G10107" s="18" t="str">
        <f>"44067"</f>
        <v>44067</v>
      </c>
      <c r="H10107" s="19" t="s">
        <v>36107</v>
      </c>
      <c r="I10107" s="20">
        <v>20.367999999999999</v>
      </c>
      <c r="J10107" s="44" t="s">
        <v>8</v>
      </c>
      <c r="K10107" s="23" t="s">
        <v>8</v>
      </c>
      <c r="L10107" s="23" t="s">
        <v>8</v>
      </c>
      <c r="M10107" s="23" t="s">
        <v>8</v>
      </c>
    </row>
    <row r="10108" spans="1:13" s="21" customFormat="1" x14ac:dyDescent="0.25">
      <c r="A10108" s="22" t="s">
        <v>8</v>
      </c>
      <c r="B10108" s="18" t="str">
        <f>"365747"</f>
        <v>365747</v>
      </c>
      <c r="C10108" s="19" t="s">
        <v>9958</v>
      </c>
      <c r="D10108" s="19" t="s">
        <v>25518</v>
      </c>
      <c r="E10108" s="19" t="s">
        <v>32897</v>
      </c>
      <c r="F10108" s="19" t="s">
        <v>36009</v>
      </c>
      <c r="G10108" s="18" t="str">
        <f>"43566"</f>
        <v>43566</v>
      </c>
      <c r="H10108" s="19" t="s">
        <v>36287</v>
      </c>
      <c r="I10108" s="20">
        <v>18.64</v>
      </c>
      <c r="J10108" s="44" t="s">
        <v>8</v>
      </c>
      <c r="K10108" s="23" t="s">
        <v>8</v>
      </c>
      <c r="L10108" s="23" t="s">
        <v>8</v>
      </c>
      <c r="M10108" s="23" t="s">
        <v>8</v>
      </c>
    </row>
    <row r="10109" spans="1:13" s="21" customFormat="1" x14ac:dyDescent="0.25">
      <c r="A10109" s="22" t="s">
        <v>8</v>
      </c>
      <c r="B10109" s="18" t="str">
        <f>"365748"</f>
        <v>365748</v>
      </c>
      <c r="C10109" s="19" t="s">
        <v>9959</v>
      </c>
      <c r="D10109" s="19" t="s">
        <v>25519</v>
      </c>
      <c r="E10109" s="19" t="s">
        <v>31025</v>
      </c>
      <c r="F10109" s="19" t="s">
        <v>36009</v>
      </c>
      <c r="G10109" s="18" t="str">
        <f>"44484"</f>
        <v>44484</v>
      </c>
      <c r="H10109" s="19" t="s">
        <v>31393</v>
      </c>
      <c r="I10109" s="20">
        <v>18.138000000000002</v>
      </c>
      <c r="J10109" s="44" t="s">
        <v>8</v>
      </c>
      <c r="K10109" s="23" t="s">
        <v>8</v>
      </c>
      <c r="L10109" s="23" t="s">
        <v>8</v>
      </c>
      <c r="M10109" s="23" t="s">
        <v>8</v>
      </c>
    </row>
    <row r="10110" spans="1:13" s="21" customFormat="1" x14ac:dyDescent="0.25">
      <c r="A10110" s="22" t="s">
        <v>8</v>
      </c>
      <c r="B10110" s="18" t="str">
        <f>"365749"</f>
        <v>365749</v>
      </c>
      <c r="C10110" s="19" t="s">
        <v>9960</v>
      </c>
      <c r="D10110" s="19" t="s">
        <v>25520</v>
      </c>
      <c r="E10110" s="19" t="s">
        <v>31339</v>
      </c>
      <c r="F10110" s="19" t="s">
        <v>36009</v>
      </c>
      <c r="G10110" s="18" t="str">
        <f>"44107"</f>
        <v>44107</v>
      </c>
      <c r="H10110" s="19" t="s">
        <v>36671</v>
      </c>
      <c r="I10110" s="20">
        <v>17.367000000000001</v>
      </c>
      <c r="J10110" s="44" t="s">
        <v>8</v>
      </c>
      <c r="K10110" s="23" t="s">
        <v>8</v>
      </c>
      <c r="L10110" s="23" t="s">
        <v>8</v>
      </c>
      <c r="M10110" s="23" t="s">
        <v>8</v>
      </c>
    </row>
    <row r="10111" spans="1:13" s="21" customFormat="1" x14ac:dyDescent="0.25">
      <c r="A10111" s="22" t="s">
        <v>8</v>
      </c>
      <c r="B10111" s="18" t="str">
        <f>"365750"</f>
        <v>365750</v>
      </c>
      <c r="C10111" s="19" t="s">
        <v>9961</v>
      </c>
      <c r="D10111" s="19" t="s">
        <v>25521</v>
      </c>
      <c r="E10111" s="19" t="s">
        <v>32705</v>
      </c>
      <c r="F10111" s="19" t="s">
        <v>36009</v>
      </c>
      <c r="G10111" s="18" t="str">
        <f>"43783"</f>
        <v>43783</v>
      </c>
      <c r="H10111" s="19" t="s">
        <v>31503</v>
      </c>
      <c r="I10111" s="20">
        <v>20.850999999999999</v>
      </c>
      <c r="J10111" s="44" t="s">
        <v>8</v>
      </c>
      <c r="K10111" s="23" t="s">
        <v>8</v>
      </c>
      <c r="L10111" s="23" t="s">
        <v>8</v>
      </c>
      <c r="M10111" s="23" t="s">
        <v>8</v>
      </c>
    </row>
    <row r="10112" spans="1:13" s="21" customFormat="1" x14ac:dyDescent="0.25">
      <c r="A10112" s="22" t="s">
        <v>8</v>
      </c>
      <c r="B10112" s="18" t="str">
        <f>"365752"</f>
        <v>365752</v>
      </c>
      <c r="C10112" s="19" t="s">
        <v>9962</v>
      </c>
      <c r="D10112" s="19" t="s">
        <v>25522</v>
      </c>
      <c r="E10112" s="19" t="s">
        <v>32505</v>
      </c>
      <c r="F10112" s="19" t="s">
        <v>36009</v>
      </c>
      <c r="G10112" s="18" t="str">
        <f>"43614"</f>
        <v>43614</v>
      </c>
      <c r="H10112" s="19" t="s">
        <v>36287</v>
      </c>
      <c r="I10112" s="20">
        <v>19.780999999999999</v>
      </c>
      <c r="J10112" s="44" t="s">
        <v>8</v>
      </c>
      <c r="K10112" s="23" t="s">
        <v>8</v>
      </c>
      <c r="L10112" s="23" t="s">
        <v>8</v>
      </c>
      <c r="M10112" s="23" t="s">
        <v>8</v>
      </c>
    </row>
    <row r="10113" spans="1:13" s="21" customFormat="1" x14ac:dyDescent="0.25">
      <c r="A10113" s="22" t="s">
        <v>8</v>
      </c>
      <c r="B10113" s="18" t="str">
        <f>"365753"</f>
        <v>365753</v>
      </c>
      <c r="C10113" s="19" t="s">
        <v>9963</v>
      </c>
      <c r="D10113" s="19" t="s">
        <v>25523</v>
      </c>
      <c r="E10113" s="19" t="s">
        <v>34522</v>
      </c>
      <c r="F10113" s="19" t="s">
        <v>36009</v>
      </c>
      <c r="G10113" s="18" t="str">
        <f>"44130"</f>
        <v>44130</v>
      </c>
      <c r="H10113" s="19" t="s">
        <v>36671</v>
      </c>
      <c r="I10113" s="20">
        <v>19.591999999999999</v>
      </c>
      <c r="J10113" s="44" t="s">
        <v>8</v>
      </c>
      <c r="K10113" s="23" t="s">
        <v>8</v>
      </c>
      <c r="L10113" s="23" t="s">
        <v>8</v>
      </c>
      <c r="M10113" s="23" t="s">
        <v>8</v>
      </c>
    </row>
    <row r="10114" spans="1:13" s="21" customFormat="1" x14ac:dyDescent="0.25">
      <c r="A10114" s="22" t="s">
        <v>8</v>
      </c>
      <c r="B10114" s="18" t="str">
        <f>"365754"</f>
        <v>365754</v>
      </c>
      <c r="C10114" s="19" t="s">
        <v>9964</v>
      </c>
      <c r="D10114" s="19" t="s">
        <v>25524</v>
      </c>
      <c r="E10114" s="19" t="s">
        <v>31715</v>
      </c>
      <c r="F10114" s="19" t="s">
        <v>36009</v>
      </c>
      <c r="G10114" s="18" t="str">
        <f>"43222"</f>
        <v>43222</v>
      </c>
      <c r="H10114" s="19" t="s">
        <v>5</v>
      </c>
      <c r="I10114" s="20">
        <v>19.661000000000001</v>
      </c>
      <c r="J10114" s="44" t="s">
        <v>8</v>
      </c>
      <c r="K10114" s="23" t="s">
        <v>8</v>
      </c>
      <c r="L10114" s="23" t="s">
        <v>8</v>
      </c>
      <c r="M10114" s="23" t="s">
        <v>8</v>
      </c>
    </row>
    <row r="10115" spans="1:13" s="21" customFormat="1" x14ac:dyDescent="0.25">
      <c r="A10115" s="22" t="s">
        <v>8</v>
      </c>
      <c r="B10115" s="18" t="str">
        <f>"365755"</f>
        <v>365755</v>
      </c>
      <c r="C10115" s="19" t="s">
        <v>9965</v>
      </c>
      <c r="D10115" s="19" t="s">
        <v>25525</v>
      </c>
      <c r="E10115" s="19" t="s">
        <v>34535</v>
      </c>
      <c r="F10115" s="19" t="s">
        <v>36009</v>
      </c>
      <c r="G10115" s="18" t="str">
        <f>"44842"</f>
        <v>44842</v>
      </c>
      <c r="H10115" s="19" t="s">
        <v>30809</v>
      </c>
      <c r="I10115" s="20">
        <v>17.504999999999999</v>
      </c>
      <c r="J10115" s="44" t="s">
        <v>8</v>
      </c>
      <c r="K10115" s="23" t="s">
        <v>8</v>
      </c>
      <c r="L10115" s="23" t="s">
        <v>8</v>
      </c>
      <c r="M10115" s="23" t="s">
        <v>8</v>
      </c>
    </row>
    <row r="10116" spans="1:13" s="21" customFormat="1" x14ac:dyDescent="0.25">
      <c r="A10116" s="22" t="s">
        <v>8</v>
      </c>
      <c r="B10116" s="18" t="str">
        <f>"365756"</f>
        <v>365756</v>
      </c>
      <c r="C10116" s="19" t="s">
        <v>9966</v>
      </c>
      <c r="D10116" s="19" t="s">
        <v>25526</v>
      </c>
      <c r="E10116" s="19" t="s">
        <v>34536</v>
      </c>
      <c r="F10116" s="19" t="s">
        <v>36009</v>
      </c>
      <c r="G10116" s="18" t="str">
        <f>"43571"</f>
        <v>43571</v>
      </c>
      <c r="H10116" s="19" t="s">
        <v>36287</v>
      </c>
      <c r="I10116" s="20">
        <v>19.853999999999999</v>
      </c>
      <c r="J10116" s="44" t="s">
        <v>8</v>
      </c>
      <c r="K10116" s="23" t="s">
        <v>8</v>
      </c>
      <c r="L10116" s="23" t="s">
        <v>8</v>
      </c>
      <c r="M10116" s="23" t="s">
        <v>8</v>
      </c>
    </row>
    <row r="10117" spans="1:13" s="21" customFormat="1" x14ac:dyDescent="0.25">
      <c r="A10117" s="22" t="s">
        <v>8</v>
      </c>
      <c r="B10117" s="18" t="str">
        <f>"365757"</f>
        <v>365757</v>
      </c>
      <c r="C10117" s="19" t="s">
        <v>9967</v>
      </c>
      <c r="D10117" s="19" t="s">
        <v>25527</v>
      </c>
      <c r="E10117" s="19" t="s">
        <v>34417</v>
      </c>
      <c r="F10117" s="19" t="s">
        <v>36009</v>
      </c>
      <c r="G10117" s="18" t="str">
        <f>"44134"</f>
        <v>44134</v>
      </c>
      <c r="H10117" s="19" t="s">
        <v>36671</v>
      </c>
      <c r="I10117" s="20">
        <v>20.774000000000001</v>
      </c>
      <c r="J10117" s="44" t="s">
        <v>8</v>
      </c>
      <c r="K10117" s="23" t="s">
        <v>8</v>
      </c>
      <c r="L10117" s="23" t="s">
        <v>8</v>
      </c>
      <c r="M10117" s="23" t="s">
        <v>8</v>
      </c>
    </row>
    <row r="10118" spans="1:13" s="21" customFormat="1" x14ac:dyDescent="0.25">
      <c r="A10118" s="22" t="s">
        <v>8</v>
      </c>
      <c r="B10118" s="18" t="str">
        <f>"365758"</f>
        <v>365758</v>
      </c>
      <c r="C10118" s="19" t="s">
        <v>9968</v>
      </c>
      <c r="D10118" s="19" t="s">
        <v>25528</v>
      </c>
      <c r="E10118" s="19" t="s">
        <v>34417</v>
      </c>
      <c r="F10118" s="19" t="s">
        <v>36009</v>
      </c>
      <c r="G10118" s="18" t="str">
        <f>"44134"</f>
        <v>44134</v>
      </c>
      <c r="H10118" s="19" t="s">
        <v>36671</v>
      </c>
      <c r="I10118" s="20">
        <v>17.05</v>
      </c>
      <c r="J10118" s="44" t="s">
        <v>8</v>
      </c>
      <c r="K10118" s="23" t="s">
        <v>8</v>
      </c>
      <c r="L10118" s="23" t="s">
        <v>8</v>
      </c>
      <c r="M10118" s="23" t="s">
        <v>8</v>
      </c>
    </row>
    <row r="10119" spans="1:13" s="21" customFormat="1" x14ac:dyDescent="0.25">
      <c r="A10119" s="22" t="s">
        <v>8</v>
      </c>
      <c r="B10119" s="18" t="str">
        <f>"365759"</f>
        <v>365759</v>
      </c>
      <c r="C10119" s="19" t="s">
        <v>9969</v>
      </c>
      <c r="D10119" s="19" t="s">
        <v>25529</v>
      </c>
      <c r="E10119" s="19" t="s">
        <v>34537</v>
      </c>
      <c r="F10119" s="19" t="s">
        <v>36009</v>
      </c>
      <c r="G10119" s="18" t="str">
        <f>"44138"</f>
        <v>44138</v>
      </c>
      <c r="H10119" s="19" t="s">
        <v>36671</v>
      </c>
      <c r="I10119" s="20">
        <v>20.422999999999998</v>
      </c>
      <c r="J10119" s="44" t="s">
        <v>8</v>
      </c>
      <c r="K10119" s="23" t="s">
        <v>8</v>
      </c>
      <c r="L10119" s="23" t="s">
        <v>8</v>
      </c>
      <c r="M10119" s="23" t="s">
        <v>8</v>
      </c>
    </row>
    <row r="10120" spans="1:13" s="21" customFormat="1" x14ac:dyDescent="0.25">
      <c r="A10120" s="22" t="s">
        <v>8</v>
      </c>
      <c r="B10120" s="18" t="str">
        <f>"365760"</f>
        <v>365760</v>
      </c>
      <c r="C10120" s="19" t="s">
        <v>9970</v>
      </c>
      <c r="D10120" s="19" t="s">
        <v>25530</v>
      </c>
      <c r="E10120" s="19" t="s">
        <v>34538</v>
      </c>
      <c r="F10120" s="19" t="s">
        <v>36009</v>
      </c>
      <c r="G10120" s="18" t="str">
        <f>"44512"</f>
        <v>44512</v>
      </c>
      <c r="H10120" s="19" t="s">
        <v>36674</v>
      </c>
      <c r="I10120" s="20">
        <v>18.78</v>
      </c>
      <c r="J10120" s="44" t="s">
        <v>8</v>
      </c>
      <c r="K10120" s="23" t="s">
        <v>8</v>
      </c>
      <c r="L10120" s="23" t="s">
        <v>8</v>
      </c>
      <c r="M10120" s="23" t="s">
        <v>8</v>
      </c>
    </row>
    <row r="10121" spans="1:13" s="21" customFormat="1" x14ac:dyDescent="0.25">
      <c r="A10121" s="22" t="s">
        <v>8</v>
      </c>
      <c r="B10121" s="18" t="str">
        <f>"365762"</f>
        <v>365762</v>
      </c>
      <c r="C10121" s="19" t="s">
        <v>9971</v>
      </c>
      <c r="D10121" s="19" t="s">
        <v>25531</v>
      </c>
      <c r="E10121" s="19" t="s">
        <v>31444</v>
      </c>
      <c r="F10121" s="19" t="s">
        <v>36009</v>
      </c>
      <c r="G10121" s="18" t="str">
        <f>"44011"</f>
        <v>44011</v>
      </c>
      <c r="H10121" s="19" t="s">
        <v>34482</v>
      </c>
      <c r="I10121" s="20">
        <v>18.738</v>
      </c>
      <c r="J10121" s="44" t="s">
        <v>8</v>
      </c>
      <c r="K10121" s="23" t="s">
        <v>8</v>
      </c>
      <c r="L10121" s="23" t="s">
        <v>8</v>
      </c>
      <c r="M10121" s="23" t="s">
        <v>8</v>
      </c>
    </row>
    <row r="10122" spans="1:13" s="21" customFormat="1" x14ac:dyDescent="0.25">
      <c r="A10122" s="22" t="s">
        <v>8</v>
      </c>
      <c r="B10122" s="18" t="str">
        <f>"365763"</f>
        <v>365763</v>
      </c>
      <c r="C10122" s="19" t="s">
        <v>9972</v>
      </c>
      <c r="D10122" s="19" t="s">
        <v>25532</v>
      </c>
      <c r="E10122" s="19" t="s">
        <v>31481</v>
      </c>
      <c r="F10122" s="19" t="s">
        <v>36009</v>
      </c>
      <c r="G10122" s="18" t="str">
        <f>"44903"</f>
        <v>44903</v>
      </c>
      <c r="H10122" s="19" t="s">
        <v>31785</v>
      </c>
      <c r="I10122" s="20">
        <v>21.791</v>
      </c>
      <c r="J10122" s="44" t="s">
        <v>8</v>
      </c>
      <c r="K10122" s="23" t="s">
        <v>8</v>
      </c>
      <c r="L10122" s="23" t="s">
        <v>8</v>
      </c>
      <c r="M10122" s="23" t="s">
        <v>8</v>
      </c>
    </row>
    <row r="10123" spans="1:13" s="21" customFormat="1" x14ac:dyDescent="0.25">
      <c r="A10123" s="22" t="s">
        <v>8</v>
      </c>
      <c r="B10123" s="18" t="str">
        <f>"365764"</f>
        <v>365764</v>
      </c>
      <c r="C10123" s="19" t="s">
        <v>9973</v>
      </c>
      <c r="D10123" s="19" t="s">
        <v>25533</v>
      </c>
      <c r="E10123" s="19" t="s">
        <v>32369</v>
      </c>
      <c r="F10123" s="19" t="s">
        <v>36009</v>
      </c>
      <c r="G10123" s="18" t="str">
        <f>"45459"</f>
        <v>45459</v>
      </c>
      <c r="H10123" s="19" t="s">
        <v>30833</v>
      </c>
      <c r="I10123" s="20">
        <v>19.108000000000001</v>
      </c>
      <c r="J10123" s="44" t="s">
        <v>8</v>
      </c>
      <c r="K10123" s="23" t="s">
        <v>8</v>
      </c>
      <c r="L10123" s="23" t="s">
        <v>8</v>
      </c>
      <c r="M10123" s="23" t="s">
        <v>8</v>
      </c>
    </row>
    <row r="10124" spans="1:13" s="21" customFormat="1" x14ac:dyDescent="0.25">
      <c r="A10124" s="22" t="s">
        <v>8</v>
      </c>
      <c r="B10124" s="18" t="str">
        <f>"365766"</f>
        <v>365766</v>
      </c>
      <c r="C10124" s="19" t="s">
        <v>9974</v>
      </c>
      <c r="D10124" s="19" t="s">
        <v>25534</v>
      </c>
      <c r="E10124" s="19" t="s">
        <v>30927</v>
      </c>
      <c r="F10124" s="19" t="s">
        <v>36009</v>
      </c>
      <c r="G10124" s="18" t="str">
        <f>"44408"</f>
        <v>44408</v>
      </c>
      <c r="H10124" s="19" t="s">
        <v>30927</v>
      </c>
      <c r="I10124" s="20">
        <v>20.05</v>
      </c>
      <c r="J10124" s="44" t="s">
        <v>8</v>
      </c>
      <c r="K10124" s="23" t="s">
        <v>8</v>
      </c>
      <c r="L10124" s="23" t="s">
        <v>8</v>
      </c>
      <c r="M10124" s="23" t="s">
        <v>8</v>
      </c>
    </row>
    <row r="10125" spans="1:13" s="21" customFormat="1" x14ac:dyDescent="0.25">
      <c r="A10125" s="22" t="s">
        <v>8</v>
      </c>
      <c r="B10125" s="18" t="str">
        <f>"365767"</f>
        <v>365767</v>
      </c>
      <c r="C10125" s="19" t="s">
        <v>5470</v>
      </c>
      <c r="D10125" s="19" t="s">
        <v>25535</v>
      </c>
      <c r="E10125" s="19" t="s">
        <v>33832</v>
      </c>
      <c r="F10125" s="19" t="s">
        <v>36009</v>
      </c>
      <c r="G10125" s="18" t="str">
        <f>"43516"</f>
        <v>43516</v>
      </c>
      <c r="H10125" s="19" t="s">
        <v>32041</v>
      </c>
      <c r="I10125" s="20">
        <v>21.620999999999999</v>
      </c>
      <c r="J10125" s="44" t="s">
        <v>8</v>
      </c>
      <c r="K10125" s="23" t="s">
        <v>8</v>
      </c>
      <c r="L10125" s="23" t="s">
        <v>8</v>
      </c>
      <c r="M10125" s="23" t="s">
        <v>8</v>
      </c>
    </row>
    <row r="10126" spans="1:13" s="21" customFormat="1" x14ac:dyDescent="0.25">
      <c r="A10126" s="22" t="s">
        <v>8</v>
      </c>
      <c r="B10126" s="18" t="str">
        <f>"365768"</f>
        <v>365768</v>
      </c>
      <c r="C10126" s="19" t="s">
        <v>9975</v>
      </c>
      <c r="D10126" s="19" t="s">
        <v>25536</v>
      </c>
      <c r="E10126" s="19" t="s">
        <v>34500</v>
      </c>
      <c r="F10126" s="19" t="s">
        <v>36009</v>
      </c>
      <c r="G10126" s="18" t="str">
        <f>"43311"</f>
        <v>43311</v>
      </c>
      <c r="H10126" s="19" t="s">
        <v>32373</v>
      </c>
      <c r="I10126" s="20">
        <v>18.568999999999999</v>
      </c>
      <c r="J10126" s="44" t="s">
        <v>8</v>
      </c>
      <c r="K10126" s="23" t="s">
        <v>8</v>
      </c>
      <c r="L10126" s="23" t="s">
        <v>8</v>
      </c>
      <c r="M10126" s="23" t="s">
        <v>8</v>
      </c>
    </row>
    <row r="10127" spans="1:13" s="21" customFormat="1" x14ac:dyDescent="0.25">
      <c r="A10127" s="22" t="s">
        <v>8</v>
      </c>
      <c r="B10127" s="18" t="str">
        <f>"365769"</f>
        <v>365769</v>
      </c>
      <c r="C10127" s="19" t="s">
        <v>9976</v>
      </c>
      <c r="D10127" s="19" t="s">
        <v>25537</v>
      </c>
      <c r="E10127" s="19" t="s">
        <v>33654</v>
      </c>
      <c r="F10127" s="19" t="s">
        <v>36009</v>
      </c>
      <c r="G10127" s="18" t="str">
        <f>"44890"</f>
        <v>44890</v>
      </c>
      <c r="H10127" s="19" t="s">
        <v>34559</v>
      </c>
      <c r="I10127" s="20">
        <v>16.538</v>
      </c>
      <c r="J10127" s="44" t="s">
        <v>8</v>
      </c>
      <c r="K10127" s="23" t="s">
        <v>8</v>
      </c>
      <c r="L10127" s="23" t="s">
        <v>8</v>
      </c>
      <c r="M10127" s="23" t="s">
        <v>8</v>
      </c>
    </row>
    <row r="10128" spans="1:13" s="21" customFormat="1" x14ac:dyDescent="0.25">
      <c r="A10128" s="22" t="s">
        <v>8</v>
      </c>
      <c r="B10128" s="18" t="str">
        <f>"365770"</f>
        <v>365770</v>
      </c>
      <c r="C10128" s="19" t="s">
        <v>1595</v>
      </c>
      <c r="D10128" s="19" t="s">
        <v>25538</v>
      </c>
      <c r="E10128" s="19" t="s">
        <v>32969</v>
      </c>
      <c r="F10128" s="19" t="s">
        <v>36009</v>
      </c>
      <c r="G10128" s="18" t="str">
        <f>"43725"</f>
        <v>43725</v>
      </c>
      <c r="H10128" s="19" t="s">
        <v>36687</v>
      </c>
      <c r="I10128" s="20">
        <v>20.962</v>
      </c>
      <c r="J10128" s="44" t="s">
        <v>8</v>
      </c>
      <c r="K10128" s="23" t="s">
        <v>8</v>
      </c>
      <c r="L10128" s="23" t="s">
        <v>8</v>
      </c>
      <c r="M10128" s="23" t="s">
        <v>8</v>
      </c>
    </row>
    <row r="10129" spans="1:13" s="21" customFormat="1" x14ac:dyDescent="0.25">
      <c r="A10129" s="22" t="s">
        <v>8</v>
      </c>
      <c r="B10129" s="18" t="str">
        <f>"365771"</f>
        <v>365771</v>
      </c>
      <c r="C10129" s="19" t="s">
        <v>9977</v>
      </c>
      <c r="D10129" s="19" t="s">
        <v>25539</v>
      </c>
      <c r="E10129" s="19" t="s">
        <v>34539</v>
      </c>
      <c r="F10129" s="19" t="s">
        <v>36009</v>
      </c>
      <c r="G10129" s="18" t="str">
        <f>"44321"</f>
        <v>44321</v>
      </c>
      <c r="H10129" s="19" t="s">
        <v>36107</v>
      </c>
      <c r="I10129" s="20">
        <v>17.867999999999999</v>
      </c>
      <c r="J10129" s="44" t="s">
        <v>8</v>
      </c>
      <c r="K10129" s="23" t="s">
        <v>8</v>
      </c>
      <c r="L10129" s="23" t="s">
        <v>8</v>
      </c>
      <c r="M10129" s="23" t="s">
        <v>8</v>
      </c>
    </row>
    <row r="10130" spans="1:13" s="21" customFormat="1" x14ac:dyDescent="0.25">
      <c r="A10130" s="22" t="s">
        <v>8</v>
      </c>
      <c r="B10130" s="18" t="str">
        <f>"365772"</f>
        <v>365772</v>
      </c>
      <c r="C10130" s="19" t="s">
        <v>9978</v>
      </c>
      <c r="D10130" s="19" t="s">
        <v>25540</v>
      </c>
      <c r="E10130" s="19" t="s">
        <v>34412</v>
      </c>
      <c r="F10130" s="19" t="s">
        <v>36009</v>
      </c>
      <c r="G10130" s="18" t="str">
        <f>"45245"</f>
        <v>45245</v>
      </c>
      <c r="H10130" s="19" t="s">
        <v>31621</v>
      </c>
      <c r="I10130" s="20">
        <v>17.797000000000001</v>
      </c>
      <c r="J10130" s="44" t="s">
        <v>8</v>
      </c>
      <c r="K10130" s="23" t="s">
        <v>8</v>
      </c>
      <c r="L10130" s="23" t="s">
        <v>8</v>
      </c>
      <c r="M10130" s="23" t="s">
        <v>8</v>
      </c>
    </row>
    <row r="10131" spans="1:13" s="21" customFormat="1" x14ac:dyDescent="0.25">
      <c r="A10131" s="22" t="s">
        <v>8</v>
      </c>
      <c r="B10131" s="18" t="str">
        <f>"365773"</f>
        <v>365773</v>
      </c>
      <c r="C10131" s="19" t="s">
        <v>9979</v>
      </c>
      <c r="D10131" s="19" t="s">
        <v>25541</v>
      </c>
      <c r="E10131" s="19" t="s">
        <v>34446</v>
      </c>
      <c r="F10131" s="19" t="s">
        <v>36009</v>
      </c>
      <c r="G10131" s="18" t="str">
        <f>"45429"</f>
        <v>45429</v>
      </c>
      <c r="H10131" s="19" t="s">
        <v>30833</v>
      </c>
      <c r="I10131" s="20">
        <v>21.385999999999999</v>
      </c>
      <c r="J10131" s="44" t="s">
        <v>8</v>
      </c>
      <c r="K10131" s="23" t="s">
        <v>8</v>
      </c>
      <c r="L10131" s="23" t="s">
        <v>8</v>
      </c>
      <c r="M10131" s="23" t="s">
        <v>8</v>
      </c>
    </row>
    <row r="10132" spans="1:13" s="21" customFormat="1" x14ac:dyDescent="0.25">
      <c r="A10132" s="22" t="s">
        <v>8</v>
      </c>
      <c r="B10132" s="18" t="str">
        <f>"365774"</f>
        <v>365774</v>
      </c>
      <c r="C10132" s="19" t="s">
        <v>9980</v>
      </c>
      <c r="D10132" s="19" t="s">
        <v>25542</v>
      </c>
      <c r="E10132" s="19" t="s">
        <v>34102</v>
      </c>
      <c r="F10132" s="19" t="s">
        <v>36009</v>
      </c>
      <c r="G10132" s="18" t="str">
        <f>"44256"</f>
        <v>44256</v>
      </c>
      <c r="H10132" s="19" t="s">
        <v>34102</v>
      </c>
      <c r="I10132" s="20">
        <v>18.227</v>
      </c>
      <c r="J10132" s="44" t="s">
        <v>8</v>
      </c>
      <c r="K10132" s="23" t="s">
        <v>8</v>
      </c>
      <c r="L10132" s="23" t="s">
        <v>8</v>
      </c>
      <c r="M10132" s="23" t="s">
        <v>8</v>
      </c>
    </row>
    <row r="10133" spans="1:13" s="21" customFormat="1" x14ac:dyDescent="0.25">
      <c r="A10133" s="22" t="s">
        <v>8</v>
      </c>
      <c r="B10133" s="18" t="str">
        <f>"365775"</f>
        <v>365775</v>
      </c>
      <c r="C10133" s="19" t="s">
        <v>9981</v>
      </c>
      <c r="D10133" s="19" t="s">
        <v>25543</v>
      </c>
      <c r="E10133" s="19" t="s">
        <v>31715</v>
      </c>
      <c r="F10133" s="19" t="s">
        <v>36009</v>
      </c>
      <c r="G10133" s="18" t="str">
        <f>"43214"</f>
        <v>43214</v>
      </c>
      <c r="H10133" s="19" t="s">
        <v>5</v>
      </c>
      <c r="I10133" s="20">
        <v>18.529</v>
      </c>
      <c r="J10133" s="44" t="s">
        <v>8</v>
      </c>
      <c r="K10133" s="23" t="s">
        <v>8</v>
      </c>
      <c r="L10133" s="23" t="s">
        <v>8</v>
      </c>
      <c r="M10133" s="23" t="s">
        <v>8</v>
      </c>
    </row>
    <row r="10134" spans="1:13" s="21" customFormat="1" x14ac:dyDescent="0.25">
      <c r="A10134" s="22" t="s">
        <v>8</v>
      </c>
      <c r="B10134" s="18" t="str">
        <f>"365776"</f>
        <v>365776</v>
      </c>
      <c r="C10134" s="19" t="s">
        <v>9982</v>
      </c>
      <c r="D10134" s="19" t="s">
        <v>25544</v>
      </c>
      <c r="E10134" s="19" t="s">
        <v>34540</v>
      </c>
      <c r="F10134" s="19" t="s">
        <v>36009</v>
      </c>
      <c r="G10134" s="18" t="str">
        <f>"43074"</f>
        <v>43074</v>
      </c>
      <c r="H10134" s="19" t="s">
        <v>34462</v>
      </c>
      <c r="I10134" s="20">
        <v>20.579000000000001</v>
      </c>
      <c r="J10134" s="44" t="s">
        <v>8</v>
      </c>
      <c r="K10134" s="23" t="s">
        <v>8</v>
      </c>
      <c r="L10134" s="23" t="s">
        <v>8</v>
      </c>
      <c r="M10134" s="23" t="s">
        <v>8</v>
      </c>
    </row>
    <row r="10135" spans="1:13" s="21" customFormat="1" x14ac:dyDescent="0.25">
      <c r="A10135" s="22" t="s">
        <v>8</v>
      </c>
      <c r="B10135" s="18" t="str">
        <f>"365777"</f>
        <v>365777</v>
      </c>
      <c r="C10135" s="19" t="s">
        <v>9983</v>
      </c>
      <c r="D10135" s="19" t="s">
        <v>25545</v>
      </c>
      <c r="E10135" s="19" t="s">
        <v>34454</v>
      </c>
      <c r="F10135" s="19" t="s">
        <v>36009</v>
      </c>
      <c r="G10135" s="18" t="str">
        <f>"45440"</f>
        <v>45440</v>
      </c>
      <c r="H10135" s="19" t="s">
        <v>30833</v>
      </c>
      <c r="I10135" s="20">
        <v>19.742000000000001</v>
      </c>
      <c r="J10135" s="44" t="s">
        <v>8</v>
      </c>
      <c r="K10135" s="23" t="s">
        <v>8</v>
      </c>
      <c r="L10135" s="23" t="s">
        <v>8</v>
      </c>
      <c r="M10135" s="23" t="s">
        <v>8</v>
      </c>
    </row>
    <row r="10136" spans="1:13" s="21" customFormat="1" x14ac:dyDescent="0.25">
      <c r="A10136" s="22" t="s">
        <v>8</v>
      </c>
      <c r="B10136" s="18" t="str">
        <f>"365779"</f>
        <v>365779</v>
      </c>
      <c r="C10136" s="19" t="s">
        <v>9984</v>
      </c>
      <c r="D10136" s="19" t="s">
        <v>25546</v>
      </c>
      <c r="E10136" s="19" t="s">
        <v>31375</v>
      </c>
      <c r="F10136" s="19" t="s">
        <v>36009</v>
      </c>
      <c r="G10136" s="18" t="str">
        <f>"44313"</f>
        <v>44313</v>
      </c>
      <c r="H10136" s="19" t="s">
        <v>36107</v>
      </c>
      <c r="I10136" s="20">
        <v>19.227</v>
      </c>
      <c r="J10136" s="44" t="s">
        <v>8</v>
      </c>
      <c r="K10136" s="23" t="s">
        <v>8</v>
      </c>
      <c r="L10136" s="23" t="s">
        <v>8</v>
      </c>
      <c r="M10136" s="23" t="s">
        <v>8</v>
      </c>
    </row>
    <row r="10137" spans="1:13" s="21" customFormat="1" x14ac:dyDescent="0.25">
      <c r="A10137" s="22" t="s">
        <v>8</v>
      </c>
      <c r="B10137" s="18" t="str">
        <f>"365780"</f>
        <v>365780</v>
      </c>
      <c r="C10137" s="19" t="s">
        <v>9985</v>
      </c>
      <c r="D10137" s="19" t="s">
        <v>25547</v>
      </c>
      <c r="E10137" s="19" t="s">
        <v>31718</v>
      </c>
      <c r="F10137" s="19" t="s">
        <v>36009</v>
      </c>
      <c r="G10137" s="18" t="str">
        <f>"45750"</f>
        <v>45750</v>
      </c>
      <c r="H10137" s="19" t="s">
        <v>31500</v>
      </c>
      <c r="I10137" s="20">
        <v>21.140999999999998</v>
      </c>
      <c r="J10137" s="44" t="s">
        <v>8</v>
      </c>
      <c r="K10137" s="23" t="s">
        <v>8</v>
      </c>
      <c r="L10137" s="23" t="s">
        <v>8</v>
      </c>
      <c r="M10137" s="23" t="s">
        <v>8</v>
      </c>
    </row>
    <row r="10138" spans="1:13" s="21" customFormat="1" x14ac:dyDescent="0.25">
      <c r="A10138" s="22" t="s">
        <v>8</v>
      </c>
      <c r="B10138" s="18" t="str">
        <f>"365781"</f>
        <v>365781</v>
      </c>
      <c r="C10138" s="19" t="s">
        <v>966</v>
      </c>
      <c r="D10138" s="19" t="s">
        <v>25548</v>
      </c>
      <c r="E10138" s="19" t="s">
        <v>33765</v>
      </c>
      <c r="F10138" s="19" t="s">
        <v>36009</v>
      </c>
      <c r="G10138" s="18" t="str">
        <f>"44601"</f>
        <v>44601</v>
      </c>
      <c r="H10138" s="19" t="s">
        <v>36240</v>
      </c>
      <c r="I10138" s="20">
        <v>16.036999999999999</v>
      </c>
      <c r="J10138" s="44" t="s">
        <v>8</v>
      </c>
      <c r="K10138" s="23" t="s">
        <v>8</v>
      </c>
      <c r="L10138" s="23" t="s">
        <v>8</v>
      </c>
      <c r="M10138" s="23" t="s">
        <v>8</v>
      </c>
    </row>
    <row r="10139" spans="1:13" s="21" customFormat="1" x14ac:dyDescent="0.25">
      <c r="A10139" s="22" t="s">
        <v>8</v>
      </c>
      <c r="B10139" s="18" t="str">
        <f>"365783"</f>
        <v>365783</v>
      </c>
      <c r="C10139" s="19" t="s">
        <v>9986</v>
      </c>
      <c r="D10139" s="19" t="s">
        <v>25549</v>
      </c>
      <c r="E10139" s="19" t="s">
        <v>34524</v>
      </c>
      <c r="F10139" s="19" t="s">
        <v>36009</v>
      </c>
      <c r="G10139" s="18" t="str">
        <f>"44452"</f>
        <v>44452</v>
      </c>
      <c r="H10139" s="19" t="s">
        <v>36674</v>
      </c>
      <c r="I10139" s="20">
        <v>19.254999999999999</v>
      </c>
      <c r="J10139" s="44" t="s">
        <v>8</v>
      </c>
      <c r="K10139" s="23" t="s">
        <v>8</v>
      </c>
      <c r="L10139" s="23" t="s">
        <v>8</v>
      </c>
      <c r="M10139" s="23" t="s">
        <v>8</v>
      </c>
    </row>
    <row r="10140" spans="1:13" s="21" customFormat="1" x14ac:dyDescent="0.25">
      <c r="A10140" s="22" t="s">
        <v>8</v>
      </c>
      <c r="B10140" s="18" t="str">
        <f>"365784"</f>
        <v>365784</v>
      </c>
      <c r="C10140" s="19" t="s">
        <v>9987</v>
      </c>
      <c r="D10140" s="19" t="s">
        <v>25550</v>
      </c>
      <c r="E10140" s="19" t="s">
        <v>31025</v>
      </c>
      <c r="F10140" s="19" t="s">
        <v>36009</v>
      </c>
      <c r="G10140" s="18" t="str">
        <f>"44483"</f>
        <v>44483</v>
      </c>
      <c r="H10140" s="19" t="s">
        <v>31393</v>
      </c>
      <c r="I10140" s="20">
        <v>17.739000000000001</v>
      </c>
      <c r="J10140" s="44" t="s">
        <v>8</v>
      </c>
      <c r="K10140" s="23" t="s">
        <v>8</v>
      </c>
      <c r="L10140" s="23" t="s">
        <v>8</v>
      </c>
      <c r="M10140" s="23" t="s">
        <v>8</v>
      </c>
    </row>
    <row r="10141" spans="1:13" s="21" customFormat="1" x14ac:dyDescent="0.25">
      <c r="A10141" s="22" t="s">
        <v>8</v>
      </c>
      <c r="B10141" s="18" t="str">
        <f>"365785"</f>
        <v>365785</v>
      </c>
      <c r="C10141" s="19" t="s">
        <v>9988</v>
      </c>
      <c r="D10141" s="19" t="s">
        <v>25551</v>
      </c>
      <c r="E10141" s="19" t="s">
        <v>31794</v>
      </c>
      <c r="F10141" s="19" t="s">
        <v>36009</v>
      </c>
      <c r="G10141" s="18" t="str">
        <f>"44212"</f>
        <v>44212</v>
      </c>
      <c r="H10141" s="19" t="s">
        <v>34102</v>
      </c>
      <c r="I10141" s="20">
        <v>17.745000000000001</v>
      </c>
      <c r="J10141" s="44" t="s">
        <v>8</v>
      </c>
      <c r="K10141" s="23" t="s">
        <v>8</v>
      </c>
      <c r="L10141" s="23" t="s">
        <v>8</v>
      </c>
      <c r="M10141" s="23" t="s">
        <v>8</v>
      </c>
    </row>
    <row r="10142" spans="1:13" s="21" customFormat="1" x14ac:dyDescent="0.25">
      <c r="A10142" s="22" t="s">
        <v>8</v>
      </c>
      <c r="B10142" s="18" t="str">
        <f>"365786"</f>
        <v>365786</v>
      </c>
      <c r="C10142" s="19" t="s">
        <v>9989</v>
      </c>
      <c r="D10142" s="19" t="s">
        <v>25552</v>
      </c>
      <c r="E10142" s="19" t="s">
        <v>31495</v>
      </c>
      <c r="F10142" s="19" t="s">
        <v>36009</v>
      </c>
      <c r="G10142" s="18" t="str">
        <f>"45121"</f>
        <v>45121</v>
      </c>
      <c r="H10142" s="19" t="s">
        <v>36244</v>
      </c>
      <c r="I10142" s="20">
        <v>20.47</v>
      </c>
      <c r="J10142" s="44" t="s">
        <v>8</v>
      </c>
      <c r="K10142" s="23" t="s">
        <v>8</v>
      </c>
      <c r="L10142" s="23" t="s">
        <v>8</v>
      </c>
      <c r="M10142" s="23" t="s">
        <v>8</v>
      </c>
    </row>
    <row r="10143" spans="1:13" s="21" customFormat="1" x14ac:dyDescent="0.25">
      <c r="A10143" s="22" t="s">
        <v>8</v>
      </c>
      <c r="B10143" s="18" t="str">
        <f>"365787"</f>
        <v>365787</v>
      </c>
      <c r="C10143" s="19" t="s">
        <v>9990</v>
      </c>
      <c r="D10143" s="19" t="s">
        <v>25553</v>
      </c>
      <c r="E10143" s="19" t="s">
        <v>31810</v>
      </c>
      <c r="F10143" s="19" t="s">
        <v>36009</v>
      </c>
      <c r="G10143" s="18" t="str">
        <f>"44109"</f>
        <v>44109</v>
      </c>
      <c r="H10143" s="19" t="s">
        <v>36671</v>
      </c>
      <c r="I10143" s="20">
        <v>25.071999999999999</v>
      </c>
      <c r="J10143" s="44" t="s">
        <v>8</v>
      </c>
      <c r="K10143" s="23" t="s">
        <v>8</v>
      </c>
      <c r="L10143" s="23" t="s">
        <v>8</v>
      </c>
      <c r="M10143" s="23" t="s">
        <v>8</v>
      </c>
    </row>
    <row r="10144" spans="1:13" s="21" customFormat="1" x14ac:dyDescent="0.25">
      <c r="A10144" s="22" t="s">
        <v>8</v>
      </c>
      <c r="B10144" s="18" t="str">
        <f>"365789"</f>
        <v>365789</v>
      </c>
      <c r="C10144" s="19" t="s">
        <v>9991</v>
      </c>
      <c r="D10144" s="19" t="s">
        <v>25554</v>
      </c>
      <c r="E10144" s="19" t="s">
        <v>32369</v>
      </c>
      <c r="F10144" s="19" t="s">
        <v>36009</v>
      </c>
      <c r="G10144" s="18" t="str">
        <f>"45420"</f>
        <v>45420</v>
      </c>
      <c r="H10144" s="19" t="s">
        <v>30833</v>
      </c>
      <c r="I10144" s="20">
        <v>23.167999999999999</v>
      </c>
      <c r="J10144" s="44" t="s">
        <v>8</v>
      </c>
      <c r="K10144" s="23" t="s">
        <v>8</v>
      </c>
      <c r="L10144" s="23" t="s">
        <v>8</v>
      </c>
      <c r="M10144" s="23" t="s">
        <v>8</v>
      </c>
    </row>
    <row r="10145" spans="1:13" s="21" customFormat="1" x14ac:dyDescent="0.25">
      <c r="A10145" s="22" t="s">
        <v>8</v>
      </c>
      <c r="B10145" s="18" t="str">
        <f>"365791"</f>
        <v>365791</v>
      </c>
      <c r="C10145" s="19" t="s">
        <v>9992</v>
      </c>
      <c r="D10145" s="19" t="s">
        <v>25555</v>
      </c>
      <c r="E10145" s="19" t="s">
        <v>34487</v>
      </c>
      <c r="F10145" s="19" t="s">
        <v>36009</v>
      </c>
      <c r="G10145" s="18" t="str">
        <f>"45638"</f>
        <v>45638</v>
      </c>
      <c r="H10145" s="19" t="s">
        <v>32568</v>
      </c>
      <c r="I10145" s="20">
        <v>20.402000000000001</v>
      </c>
      <c r="J10145" s="44" t="s">
        <v>8</v>
      </c>
      <c r="K10145" s="23" t="s">
        <v>8</v>
      </c>
      <c r="L10145" s="23" t="s">
        <v>8</v>
      </c>
      <c r="M10145" s="23" t="s">
        <v>8</v>
      </c>
    </row>
    <row r="10146" spans="1:13" s="21" customFormat="1" x14ac:dyDescent="0.25">
      <c r="A10146" s="22" t="s">
        <v>8</v>
      </c>
      <c r="B10146" s="18" t="str">
        <f>"365792"</f>
        <v>365792</v>
      </c>
      <c r="C10146" s="19" t="s">
        <v>9993</v>
      </c>
      <c r="D10146" s="19" t="s">
        <v>25556</v>
      </c>
      <c r="E10146" s="19" t="s">
        <v>31718</v>
      </c>
      <c r="F10146" s="19" t="s">
        <v>36009</v>
      </c>
      <c r="G10146" s="18" t="str">
        <f>"45750"</f>
        <v>45750</v>
      </c>
      <c r="H10146" s="19" t="s">
        <v>31500</v>
      </c>
      <c r="I10146" s="20">
        <v>19.52</v>
      </c>
      <c r="J10146" s="44" t="s">
        <v>8</v>
      </c>
      <c r="K10146" s="23" t="s">
        <v>8</v>
      </c>
      <c r="L10146" s="23" t="s">
        <v>8</v>
      </c>
      <c r="M10146" s="23" t="s">
        <v>8</v>
      </c>
    </row>
    <row r="10147" spans="1:13" s="21" customFormat="1" x14ac:dyDescent="0.25">
      <c r="A10147" s="22" t="s">
        <v>8</v>
      </c>
      <c r="B10147" s="18" t="str">
        <f>"365793"</f>
        <v>365793</v>
      </c>
      <c r="C10147" s="19" t="s">
        <v>9994</v>
      </c>
      <c r="D10147" s="19" t="s">
        <v>25557</v>
      </c>
      <c r="E10147" s="19" t="s">
        <v>31588</v>
      </c>
      <c r="F10147" s="19" t="s">
        <v>36009</v>
      </c>
      <c r="G10147" s="18" t="str">
        <f>"44236"</f>
        <v>44236</v>
      </c>
      <c r="H10147" s="19" t="s">
        <v>36107</v>
      </c>
      <c r="I10147" s="20">
        <v>19.292999999999999</v>
      </c>
      <c r="J10147" s="44" t="s">
        <v>8</v>
      </c>
      <c r="K10147" s="23" t="s">
        <v>8</v>
      </c>
      <c r="L10147" s="23" t="s">
        <v>8</v>
      </c>
      <c r="M10147" s="23" t="s">
        <v>8</v>
      </c>
    </row>
    <row r="10148" spans="1:13" s="21" customFormat="1" x14ac:dyDescent="0.25">
      <c r="A10148" s="22" t="s">
        <v>8</v>
      </c>
      <c r="B10148" s="18" t="str">
        <f>"365794"</f>
        <v>365794</v>
      </c>
      <c r="C10148" s="19" t="s">
        <v>9995</v>
      </c>
      <c r="D10148" s="19" t="s">
        <v>25558</v>
      </c>
      <c r="E10148" s="19" t="s">
        <v>34541</v>
      </c>
      <c r="F10148" s="19" t="s">
        <v>36009</v>
      </c>
      <c r="G10148" s="18" t="str">
        <f>"43062"</f>
        <v>43062</v>
      </c>
      <c r="H10148" s="19" t="s">
        <v>33689</v>
      </c>
      <c r="I10148" s="20">
        <v>22.279</v>
      </c>
      <c r="J10148" s="44" t="s">
        <v>8</v>
      </c>
      <c r="K10148" s="23" t="s">
        <v>8</v>
      </c>
      <c r="L10148" s="23" t="s">
        <v>8</v>
      </c>
      <c r="M10148" s="23" t="s">
        <v>8</v>
      </c>
    </row>
    <row r="10149" spans="1:13" s="21" customFormat="1" x14ac:dyDescent="0.25">
      <c r="A10149" s="22" t="s">
        <v>8</v>
      </c>
      <c r="B10149" s="18" t="str">
        <f>"365795"</f>
        <v>365795</v>
      </c>
      <c r="C10149" s="19" t="s">
        <v>9996</v>
      </c>
      <c r="D10149" s="19" t="s">
        <v>25559</v>
      </c>
      <c r="E10149" s="19" t="s">
        <v>34421</v>
      </c>
      <c r="F10149" s="19" t="s">
        <v>36009</v>
      </c>
      <c r="G10149" s="18" t="str">
        <f>"44507"</f>
        <v>44507</v>
      </c>
      <c r="H10149" s="19" t="s">
        <v>36674</v>
      </c>
      <c r="I10149" s="20">
        <v>18.646000000000001</v>
      </c>
      <c r="J10149" s="44" t="s">
        <v>8</v>
      </c>
      <c r="K10149" s="23" t="s">
        <v>8</v>
      </c>
      <c r="L10149" s="23" t="s">
        <v>8</v>
      </c>
      <c r="M10149" s="23" t="s">
        <v>8</v>
      </c>
    </row>
    <row r="10150" spans="1:13" s="21" customFormat="1" x14ac:dyDescent="0.25">
      <c r="A10150" s="22" t="s">
        <v>8</v>
      </c>
      <c r="B10150" s="18" t="str">
        <f>"365796"</f>
        <v>365796</v>
      </c>
      <c r="C10150" s="19" t="s">
        <v>9997</v>
      </c>
      <c r="D10150" s="19" t="s">
        <v>25560</v>
      </c>
      <c r="E10150" s="19" t="s">
        <v>31810</v>
      </c>
      <c r="F10150" s="19" t="s">
        <v>36009</v>
      </c>
      <c r="G10150" s="18" t="str">
        <f>"44135"</f>
        <v>44135</v>
      </c>
      <c r="H10150" s="19" t="s">
        <v>36671</v>
      </c>
      <c r="I10150" s="20">
        <v>17.091999999999999</v>
      </c>
      <c r="J10150" s="44" t="s">
        <v>8</v>
      </c>
      <c r="K10150" s="23" t="s">
        <v>8</v>
      </c>
      <c r="L10150" s="23" t="s">
        <v>8</v>
      </c>
      <c r="M10150" s="23" t="s">
        <v>8</v>
      </c>
    </row>
    <row r="10151" spans="1:13" s="21" customFormat="1" x14ac:dyDescent="0.25">
      <c r="A10151" s="22" t="s">
        <v>8</v>
      </c>
      <c r="B10151" s="18" t="str">
        <f>"365798"</f>
        <v>365798</v>
      </c>
      <c r="C10151" s="19" t="s">
        <v>9998</v>
      </c>
      <c r="D10151" s="19" t="s">
        <v>25561</v>
      </c>
      <c r="E10151" s="19" t="s">
        <v>34412</v>
      </c>
      <c r="F10151" s="19" t="s">
        <v>36009</v>
      </c>
      <c r="G10151" s="18" t="str">
        <f>"45236"</f>
        <v>45236</v>
      </c>
      <c r="H10151" s="19" t="s">
        <v>30804</v>
      </c>
      <c r="I10151" s="20">
        <v>19.84</v>
      </c>
      <c r="J10151" s="44" t="s">
        <v>8</v>
      </c>
      <c r="K10151" s="23" t="s">
        <v>8</v>
      </c>
      <c r="L10151" s="23" t="s">
        <v>8</v>
      </c>
      <c r="M10151" s="23" t="s">
        <v>8</v>
      </c>
    </row>
    <row r="10152" spans="1:13" s="21" customFormat="1" x14ac:dyDescent="0.25">
      <c r="A10152" s="22" t="s">
        <v>8</v>
      </c>
      <c r="B10152" s="18" t="str">
        <f>"365799"</f>
        <v>365799</v>
      </c>
      <c r="C10152" s="19" t="s">
        <v>9999</v>
      </c>
      <c r="D10152" s="19" t="s">
        <v>25562</v>
      </c>
      <c r="E10152" s="19" t="s">
        <v>31715</v>
      </c>
      <c r="F10152" s="19" t="s">
        <v>36009</v>
      </c>
      <c r="G10152" s="18" t="str">
        <f>"43223"</f>
        <v>43223</v>
      </c>
      <c r="H10152" s="19" t="s">
        <v>5</v>
      </c>
      <c r="I10152" s="20">
        <v>17.922999999999998</v>
      </c>
      <c r="J10152" s="44" t="s">
        <v>8</v>
      </c>
      <c r="K10152" s="23" t="s">
        <v>8</v>
      </c>
      <c r="L10152" s="23" t="s">
        <v>8</v>
      </c>
      <c r="M10152" s="23" t="s">
        <v>8</v>
      </c>
    </row>
    <row r="10153" spans="1:13" s="21" customFormat="1" x14ac:dyDescent="0.25">
      <c r="A10153" s="22" t="s">
        <v>8</v>
      </c>
      <c r="B10153" s="18" t="str">
        <f>"365800"</f>
        <v>365800</v>
      </c>
      <c r="C10153" s="19" t="s">
        <v>10000</v>
      </c>
      <c r="D10153" s="19" t="s">
        <v>25563</v>
      </c>
      <c r="E10153" s="19" t="s">
        <v>34525</v>
      </c>
      <c r="F10153" s="19" t="s">
        <v>36009</v>
      </c>
      <c r="G10153" s="18" t="str">
        <f>"44024"</f>
        <v>44024</v>
      </c>
      <c r="H10153" s="19" t="s">
        <v>36686</v>
      </c>
      <c r="I10153" s="20">
        <v>17.343</v>
      </c>
      <c r="J10153" s="44" t="s">
        <v>8</v>
      </c>
      <c r="K10153" s="23" t="s">
        <v>8</v>
      </c>
      <c r="L10153" s="23" t="s">
        <v>8</v>
      </c>
      <c r="M10153" s="23" t="s">
        <v>8</v>
      </c>
    </row>
    <row r="10154" spans="1:13" s="21" customFormat="1" x14ac:dyDescent="0.25">
      <c r="A10154" s="22" t="s">
        <v>8</v>
      </c>
      <c r="B10154" s="18" t="str">
        <f>"365801"</f>
        <v>365801</v>
      </c>
      <c r="C10154" s="19" t="s">
        <v>10001</v>
      </c>
      <c r="D10154" s="19" t="s">
        <v>25564</v>
      </c>
      <c r="E10154" s="19" t="s">
        <v>31715</v>
      </c>
      <c r="F10154" s="19" t="s">
        <v>36009</v>
      </c>
      <c r="G10154" s="18" t="str">
        <f>"43230"</f>
        <v>43230</v>
      </c>
      <c r="H10154" s="19" t="s">
        <v>5</v>
      </c>
      <c r="I10154" s="20">
        <v>19.904</v>
      </c>
      <c r="J10154" s="44" t="s">
        <v>8</v>
      </c>
      <c r="K10154" s="23" t="s">
        <v>8</v>
      </c>
      <c r="L10154" s="23" t="s">
        <v>8</v>
      </c>
      <c r="M10154" s="23" t="s">
        <v>8</v>
      </c>
    </row>
    <row r="10155" spans="1:13" s="21" customFormat="1" x14ac:dyDescent="0.25">
      <c r="A10155" s="22" t="s">
        <v>8</v>
      </c>
      <c r="B10155" s="18" t="str">
        <f>"365802"</f>
        <v>365802</v>
      </c>
      <c r="C10155" s="19" t="s">
        <v>10002</v>
      </c>
      <c r="D10155" s="19" t="s">
        <v>25565</v>
      </c>
      <c r="E10155" s="19" t="s">
        <v>34412</v>
      </c>
      <c r="F10155" s="19" t="s">
        <v>36009</v>
      </c>
      <c r="G10155" s="18" t="str">
        <f>"45208"</f>
        <v>45208</v>
      </c>
      <c r="H10155" s="19" t="s">
        <v>30804</v>
      </c>
      <c r="I10155" s="20">
        <v>17.045000000000002</v>
      </c>
      <c r="J10155" s="44" t="s">
        <v>8</v>
      </c>
      <c r="K10155" s="23" t="s">
        <v>8</v>
      </c>
      <c r="L10155" s="23" t="s">
        <v>8</v>
      </c>
      <c r="M10155" s="23" t="s">
        <v>8</v>
      </c>
    </row>
    <row r="10156" spans="1:13" s="21" customFormat="1" x14ac:dyDescent="0.25">
      <c r="A10156" s="22" t="s">
        <v>8</v>
      </c>
      <c r="B10156" s="18" t="str">
        <f>"365806"</f>
        <v>365806</v>
      </c>
      <c r="C10156" s="19" t="s">
        <v>10003</v>
      </c>
      <c r="D10156" s="19" t="s">
        <v>25566</v>
      </c>
      <c r="E10156" s="19" t="s">
        <v>31715</v>
      </c>
      <c r="F10156" s="19" t="s">
        <v>36009</v>
      </c>
      <c r="G10156" s="18" t="str">
        <f>"43231"</f>
        <v>43231</v>
      </c>
      <c r="H10156" s="19" t="s">
        <v>5</v>
      </c>
      <c r="I10156" s="20">
        <v>20.263000000000002</v>
      </c>
      <c r="J10156" s="44" t="s">
        <v>8</v>
      </c>
      <c r="K10156" s="23" t="s">
        <v>8</v>
      </c>
      <c r="L10156" s="23" t="s">
        <v>8</v>
      </c>
      <c r="M10156" s="23" t="s">
        <v>8</v>
      </c>
    </row>
    <row r="10157" spans="1:13" s="21" customFormat="1" x14ac:dyDescent="0.25">
      <c r="A10157" s="22" t="s">
        <v>8</v>
      </c>
      <c r="B10157" s="18" t="str">
        <f>"365807"</f>
        <v>365807</v>
      </c>
      <c r="C10157" s="19" t="s">
        <v>10004</v>
      </c>
      <c r="D10157" s="19" t="s">
        <v>25567</v>
      </c>
      <c r="E10157" s="19" t="s">
        <v>31847</v>
      </c>
      <c r="F10157" s="19" t="s">
        <v>36009</v>
      </c>
      <c r="G10157" s="18" t="str">
        <f>"45885"</f>
        <v>45885</v>
      </c>
      <c r="H10157" s="19" t="s">
        <v>36676</v>
      </c>
      <c r="I10157" s="20">
        <v>21.79</v>
      </c>
      <c r="J10157" s="44" t="s">
        <v>8</v>
      </c>
      <c r="K10157" s="23" t="s">
        <v>8</v>
      </c>
      <c r="L10157" s="23" t="s">
        <v>8</v>
      </c>
      <c r="M10157" s="23" t="s">
        <v>8</v>
      </c>
    </row>
    <row r="10158" spans="1:13" s="21" customFormat="1" x14ac:dyDescent="0.25">
      <c r="A10158" s="22" t="s">
        <v>8</v>
      </c>
      <c r="B10158" s="18" t="str">
        <f>"365808"</f>
        <v>365808</v>
      </c>
      <c r="C10158" s="19" t="s">
        <v>10005</v>
      </c>
      <c r="D10158" s="19" t="s">
        <v>25568</v>
      </c>
      <c r="E10158" s="19" t="s">
        <v>34413</v>
      </c>
      <c r="F10158" s="19" t="s">
        <v>36009</v>
      </c>
      <c r="G10158" s="18" t="str">
        <f>"44145"</f>
        <v>44145</v>
      </c>
      <c r="H10158" s="19" t="s">
        <v>36671</v>
      </c>
      <c r="I10158" s="20">
        <v>22.277000000000001</v>
      </c>
      <c r="J10158" s="44" t="s">
        <v>8</v>
      </c>
      <c r="K10158" s="23" t="s">
        <v>8</v>
      </c>
      <c r="L10158" s="23" t="s">
        <v>8</v>
      </c>
      <c r="M10158" s="23" t="s">
        <v>8</v>
      </c>
    </row>
    <row r="10159" spans="1:13" s="21" customFormat="1" x14ac:dyDescent="0.25">
      <c r="A10159" s="22" t="s">
        <v>8</v>
      </c>
      <c r="B10159" s="18" t="str">
        <f>"365809"</f>
        <v>365809</v>
      </c>
      <c r="C10159" s="19" t="s">
        <v>10006</v>
      </c>
      <c r="D10159" s="19" t="s">
        <v>25569</v>
      </c>
      <c r="E10159" s="19" t="s">
        <v>34429</v>
      </c>
      <c r="F10159" s="19" t="s">
        <v>36009</v>
      </c>
      <c r="G10159" s="18" t="str">
        <f>"45885"</f>
        <v>45885</v>
      </c>
      <c r="H10159" s="19" t="s">
        <v>36676</v>
      </c>
      <c r="I10159" s="20">
        <v>17.385000000000002</v>
      </c>
      <c r="J10159" s="44" t="s">
        <v>8</v>
      </c>
      <c r="K10159" s="23" t="s">
        <v>8</v>
      </c>
      <c r="L10159" s="23" t="s">
        <v>8</v>
      </c>
      <c r="M10159" s="23" t="s">
        <v>8</v>
      </c>
    </row>
    <row r="10160" spans="1:13" s="21" customFormat="1" x14ac:dyDescent="0.25">
      <c r="A10160" s="22" t="s">
        <v>8</v>
      </c>
      <c r="B10160" s="18" t="str">
        <f>"365810"</f>
        <v>365810</v>
      </c>
      <c r="C10160" s="19" t="s">
        <v>10007</v>
      </c>
      <c r="D10160" s="19" t="s">
        <v>25570</v>
      </c>
      <c r="E10160" s="19" t="s">
        <v>34415</v>
      </c>
      <c r="F10160" s="19" t="s">
        <v>36009</v>
      </c>
      <c r="G10160" s="18" t="str">
        <f>"44122"</f>
        <v>44122</v>
      </c>
      <c r="H10160" s="19" t="s">
        <v>36671</v>
      </c>
      <c r="I10160" s="20">
        <v>20.065999999999999</v>
      </c>
      <c r="J10160" s="44" t="s">
        <v>8</v>
      </c>
      <c r="K10160" s="23" t="s">
        <v>8</v>
      </c>
      <c r="L10160" s="23" t="s">
        <v>8</v>
      </c>
      <c r="M10160" s="23" t="s">
        <v>8</v>
      </c>
    </row>
    <row r="10161" spans="1:13" s="21" customFormat="1" x14ac:dyDescent="0.25">
      <c r="A10161" s="22" t="s">
        <v>8</v>
      </c>
      <c r="B10161" s="18" t="str">
        <f>"365811"</f>
        <v>365811</v>
      </c>
      <c r="C10161" s="19" t="s">
        <v>10008</v>
      </c>
      <c r="D10161" s="19" t="s">
        <v>25571</v>
      </c>
      <c r="E10161" s="19" t="s">
        <v>32697</v>
      </c>
      <c r="F10161" s="19" t="s">
        <v>36009</v>
      </c>
      <c r="G10161" s="18" t="str">
        <f>"44017"</f>
        <v>44017</v>
      </c>
      <c r="H10161" s="19" t="s">
        <v>36671</v>
      </c>
      <c r="I10161" s="20">
        <v>21.792999999999999</v>
      </c>
      <c r="J10161" s="44" t="s">
        <v>8</v>
      </c>
      <c r="K10161" s="23" t="s">
        <v>8</v>
      </c>
      <c r="L10161" s="23" t="s">
        <v>8</v>
      </c>
      <c r="M10161" s="23" t="s">
        <v>8</v>
      </c>
    </row>
    <row r="10162" spans="1:13" s="21" customFormat="1" x14ac:dyDescent="0.25">
      <c r="A10162" s="22" t="s">
        <v>8</v>
      </c>
      <c r="B10162" s="18" t="str">
        <f>"365812"</f>
        <v>365812</v>
      </c>
      <c r="C10162" s="19" t="s">
        <v>10009</v>
      </c>
      <c r="D10162" s="19" t="s">
        <v>25572</v>
      </c>
      <c r="E10162" s="19" t="s">
        <v>34412</v>
      </c>
      <c r="F10162" s="19" t="s">
        <v>36009</v>
      </c>
      <c r="G10162" s="18" t="str">
        <f>"45215"</f>
        <v>45215</v>
      </c>
      <c r="H10162" s="19" t="s">
        <v>30804</v>
      </c>
      <c r="I10162" s="20">
        <v>18.384</v>
      </c>
      <c r="J10162" s="44" t="s">
        <v>8</v>
      </c>
      <c r="K10162" s="23" t="s">
        <v>8</v>
      </c>
      <c r="L10162" s="23" t="s">
        <v>8</v>
      </c>
      <c r="M10162" s="23" t="s">
        <v>8</v>
      </c>
    </row>
    <row r="10163" spans="1:13" s="21" customFormat="1" x14ac:dyDescent="0.25">
      <c r="A10163" s="22" t="s">
        <v>8</v>
      </c>
      <c r="B10163" s="18" t="str">
        <f>"365813"</f>
        <v>365813</v>
      </c>
      <c r="C10163" s="19" t="s">
        <v>10010</v>
      </c>
      <c r="D10163" s="19" t="s">
        <v>25573</v>
      </c>
      <c r="E10163" s="19" t="s">
        <v>31412</v>
      </c>
      <c r="F10163" s="19" t="s">
        <v>36009</v>
      </c>
      <c r="G10163" s="18" t="str">
        <f>"45044"</f>
        <v>45044</v>
      </c>
      <c r="H10163" s="19" t="s">
        <v>30876</v>
      </c>
      <c r="I10163" s="20">
        <v>17.645</v>
      </c>
      <c r="J10163" s="44" t="s">
        <v>8</v>
      </c>
      <c r="K10163" s="23" t="s">
        <v>8</v>
      </c>
      <c r="L10163" s="23" t="s">
        <v>8</v>
      </c>
      <c r="M10163" s="23" t="s">
        <v>8</v>
      </c>
    </row>
    <row r="10164" spans="1:13" s="21" customFormat="1" x14ac:dyDescent="0.25">
      <c r="A10164" s="22" t="s">
        <v>8</v>
      </c>
      <c r="B10164" s="18" t="str">
        <f>"365814"</f>
        <v>365814</v>
      </c>
      <c r="C10164" s="19" t="s">
        <v>10011</v>
      </c>
      <c r="D10164" s="19" t="s">
        <v>25574</v>
      </c>
      <c r="E10164" s="19" t="s">
        <v>34030</v>
      </c>
      <c r="F10164" s="19" t="s">
        <v>36009</v>
      </c>
      <c r="G10164" s="18" t="str">
        <f>"44410"</f>
        <v>44410</v>
      </c>
      <c r="H10164" s="19" t="s">
        <v>31393</v>
      </c>
      <c r="I10164" s="20">
        <v>18.032</v>
      </c>
      <c r="J10164" s="44" t="s">
        <v>8</v>
      </c>
      <c r="K10164" s="23" t="s">
        <v>8</v>
      </c>
      <c r="L10164" s="23" t="s">
        <v>8</v>
      </c>
      <c r="M10164" s="23" t="s">
        <v>8</v>
      </c>
    </row>
    <row r="10165" spans="1:13" s="21" customFormat="1" x14ac:dyDescent="0.25">
      <c r="A10165" s="22" t="s">
        <v>8</v>
      </c>
      <c r="B10165" s="18" t="str">
        <f>"365815"</f>
        <v>365815</v>
      </c>
      <c r="C10165" s="19" t="s">
        <v>10012</v>
      </c>
      <c r="D10165" s="19" t="s">
        <v>25575</v>
      </c>
      <c r="E10165" s="19" t="s">
        <v>32023</v>
      </c>
      <c r="F10165" s="19" t="s">
        <v>36009</v>
      </c>
      <c r="G10165" s="18" t="str">
        <f>"43050"</f>
        <v>43050</v>
      </c>
      <c r="H10165" s="19" t="s">
        <v>32252</v>
      </c>
      <c r="I10165" s="20">
        <v>20.98</v>
      </c>
      <c r="J10165" s="44" t="s">
        <v>8</v>
      </c>
      <c r="K10165" s="23" t="s">
        <v>8</v>
      </c>
      <c r="L10165" s="23" t="s">
        <v>8</v>
      </c>
      <c r="M10165" s="23" t="s">
        <v>8</v>
      </c>
    </row>
    <row r="10166" spans="1:13" s="21" customFormat="1" x14ac:dyDescent="0.25">
      <c r="A10166" s="22" t="s">
        <v>8</v>
      </c>
      <c r="B10166" s="18" t="str">
        <f>"365817"</f>
        <v>365817</v>
      </c>
      <c r="C10166" s="19" t="s">
        <v>10013</v>
      </c>
      <c r="D10166" s="19" t="s">
        <v>25576</v>
      </c>
      <c r="E10166" s="19" t="s">
        <v>34102</v>
      </c>
      <c r="F10166" s="19" t="s">
        <v>36009</v>
      </c>
      <c r="G10166" s="18" t="str">
        <f>"44256"</f>
        <v>44256</v>
      </c>
      <c r="H10166" s="19" t="s">
        <v>34102</v>
      </c>
      <c r="I10166" s="20">
        <v>19.657</v>
      </c>
      <c r="J10166" s="44" t="s">
        <v>8</v>
      </c>
      <c r="K10166" s="23" t="s">
        <v>8</v>
      </c>
      <c r="L10166" s="23" t="s">
        <v>8</v>
      </c>
      <c r="M10166" s="23" t="s">
        <v>8</v>
      </c>
    </row>
    <row r="10167" spans="1:13" s="21" customFormat="1" x14ac:dyDescent="0.25">
      <c r="A10167" s="22" t="s">
        <v>8</v>
      </c>
      <c r="B10167" s="18" t="str">
        <f>"365818"</f>
        <v>365818</v>
      </c>
      <c r="C10167" s="19" t="s">
        <v>10014</v>
      </c>
      <c r="D10167" s="19" t="s">
        <v>25577</v>
      </c>
      <c r="E10167" s="19" t="s">
        <v>34412</v>
      </c>
      <c r="F10167" s="19" t="s">
        <v>36009</v>
      </c>
      <c r="G10167" s="18" t="str">
        <f>"45233"</f>
        <v>45233</v>
      </c>
      <c r="H10167" s="19" t="s">
        <v>30804</v>
      </c>
      <c r="I10167" s="20">
        <v>18.558</v>
      </c>
      <c r="J10167" s="44" t="s">
        <v>8</v>
      </c>
      <c r="K10167" s="23" t="s">
        <v>8</v>
      </c>
      <c r="L10167" s="23" t="s">
        <v>8</v>
      </c>
      <c r="M10167" s="23" t="s">
        <v>8</v>
      </c>
    </row>
    <row r="10168" spans="1:13" s="21" customFormat="1" x14ac:dyDescent="0.25">
      <c r="A10168" s="22" t="s">
        <v>8</v>
      </c>
      <c r="B10168" s="18" t="str">
        <f>"365819"</f>
        <v>365819</v>
      </c>
      <c r="C10168" s="19" t="s">
        <v>10015</v>
      </c>
      <c r="D10168" s="19" t="s">
        <v>25578</v>
      </c>
      <c r="E10168" s="19" t="s">
        <v>32369</v>
      </c>
      <c r="F10168" s="19" t="s">
        <v>36009</v>
      </c>
      <c r="G10168" s="18" t="str">
        <f>"45415"</f>
        <v>45415</v>
      </c>
      <c r="H10168" s="19" t="s">
        <v>30833</v>
      </c>
      <c r="I10168" s="20">
        <v>19.443999999999999</v>
      </c>
      <c r="J10168" s="44" t="s">
        <v>8</v>
      </c>
      <c r="K10168" s="23" t="s">
        <v>8</v>
      </c>
      <c r="L10168" s="23" t="s">
        <v>8</v>
      </c>
      <c r="M10168" s="23" t="s">
        <v>8</v>
      </c>
    </row>
    <row r="10169" spans="1:13" s="21" customFormat="1" x14ac:dyDescent="0.25">
      <c r="A10169" s="22" t="s">
        <v>8</v>
      </c>
      <c r="B10169" s="18" t="str">
        <f>"365821"</f>
        <v>365821</v>
      </c>
      <c r="C10169" s="19" t="s">
        <v>10016</v>
      </c>
      <c r="D10169" s="19" t="s">
        <v>25579</v>
      </c>
      <c r="E10169" s="19" t="s">
        <v>34446</v>
      </c>
      <c r="F10169" s="19" t="s">
        <v>36009</v>
      </c>
      <c r="G10169" s="18" t="str">
        <f>"45439"</f>
        <v>45439</v>
      </c>
      <c r="H10169" s="19" t="s">
        <v>30833</v>
      </c>
      <c r="I10169" s="20">
        <v>17.709</v>
      </c>
      <c r="J10169" s="44" t="s">
        <v>8</v>
      </c>
      <c r="K10169" s="23" t="s">
        <v>8</v>
      </c>
      <c r="L10169" s="23" t="s">
        <v>8</v>
      </c>
      <c r="M10169" s="23" t="s">
        <v>8</v>
      </c>
    </row>
    <row r="10170" spans="1:13" s="21" customFormat="1" x14ac:dyDescent="0.25">
      <c r="A10170" s="22" t="s">
        <v>8</v>
      </c>
      <c r="B10170" s="18" t="str">
        <f>"365822"</f>
        <v>365822</v>
      </c>
      <c r="C10170" s="19" t="s">
        <v>10017</v>
      </c>
      <c r="D10170" s="19" t="s">
        <v>25580</v>
      </c>
      <c r="E10170" s="19" t="s">
        <v>34421</v>
      </c>
      <c r="F10170" s="19" t="s">
        <v>36009</v>
      </c>
      <c r="G10170" s="18" t="str">
        <f>"44515"</f>
        <v>44515</v>
      </c>
      <c r="H10170" s="19" t="s">
        <v>36674</v>
      </c>
      <c r="I10170" s="20">
        <v>26.640999999999998</v>
      </c>
      <c r="J10170" s="44" t="s">
        <v>8</v>
      </c>
      <c r="K10170" s="23" t="s">
        <v>8</v>
      </c>
      <c r="L10170" s="23" t="s">
        <v>8</v>
      </c>
      <c r="M10170" s="23" t="s">
        <v>8</v>
      </c>
    </row>
    <row r="10171" spans="1:13" s="21" customFormat="1" x14ac:dyDescent="0.25">
      <c r="A10171" s="22" t="s">
        <v>8</v>
      </c>
      <c r="B10171" s="18" t="str">
        <f>"365823"</f>
        <v>365823</v>
      </c>
      <c r="C10171" s="19" t="s">
        <v>10018</v>
      </c>
      <c r="D10171" s="19" t="s">
        <v>25581</v>
      </c>
      <c r="E10171" s="19" t="s">
        <v>34542</v>
      </c>
      <c r="F10171" s="19" t="s">
        <v>36009</v>
      </c>
      <c r="G10171" s="18" t="str">
        <f>"44440"</f>
        <v>44440</v>
      </c>
      <c r="H10171" s="19" t="s">
        <v>31393</v>
      </c>
      <c r="I10171" s="20">
        <v>20.577999999999999</v>
      </c>
      <c r="J10171" s="44" t="s">
        <v>8</v>
      </c>
      <c r="K10171" s="23" t="s">
        <v>8</v>
      </c>
      <c r="L10171" s="23" t="s">
        <v>8</v>
      </c>
      <c r="M10171" s="23" t="s">
        <v>8</v>
      </c>
    </row>
    <row r="10172" spans="1:13" s="21" customFormat="1" x14ac:dyDescent="0.25">
      <c r="A10172" s="22" t="s">
        <v>8</v>
      </c>
      <c r="B10172" s="18" t="str">
        <f>"365825"</f>
        <v>365825</v>
      </c>
      <c r="C10172" s="19" t="s">
        <v>10019</v>
      </c>
      <c r="D10172" s="19" t="s">
        <v>25582</v>
      </c>
      <c r="E10172" s="19" t="s">
        <v>10080</v>
      </c>
      <c r="F10172" s="19" t="s">
        <v>36009</v>
      </c>
      <c r="G10172" s="18" t="str">
        <f>"44146"</f>
        <v>44146</v>
      </c>
      <c r="H10172" s="19" t="s">
        <v>36671</v>
      </c>
      <c r="I10172" s="20">
        <v>19.667000000000002</v>
      </c>
      <c r="J10172" s="44" t="s">
        <v>8</v>
      </c>
      <c r="K10172" s="23" t="s">
        <v>8</v>
      </c>
      <c r="L10172" s="23" t="s">
        <v>8</v>
      </c>
      <c r="M10172" s="23" t="s">
        <v>8</v>
      </c>
    </row>
    <row r="10173" spans="1:13" s="21" customFormat="1" x14ac:dyDescent="0.25">
      <c r="A10173" s="22" t="s">
        <v>8</v>
      </c>
      <c r="B10173" s="18" t="str">
        <f>"365826"</f>
        <v>365826</v>
      </c>
      <c r="C10173" s="19" t="s">
        <v>10020</v>
      </c>
      <c r="D10173" s="19" t="s">
        <v>25583</v>
      </c>
      <c r="E10173" s="19" t="s">
        <v>34438</v>
      </c>
      <c r="F10173" s="19" t="s">
        <v>36009</v>
      </c>
      <c r="G10173" s="18" t="str">
        <f>"44223"</f>
        <v>44223</v>
      </c>
      <c r="H10173" s="19" t="s">
        <v>36107</v>
      </c>
      <c r="I10173" s="20">
        <v>17.510000000000002</v>
      </c>
      <c r="J10173" s="44" t="s">
        <v>8</v>
      </c>
      <c r="K10173" s="23" t="s">
        <v>8</v>
      </c>
      <c r="L10173" s="23" t="s">
        <v>8</v>
      </c>
      <c r="M10173" s="23" t="s">
        <v>8</v>
      </c>
    </row>
    <row r="10174" spans="1:13" s="21" customFormat="1" x14ac:dyDescent="0.25">
      <c r="A10174" s="22" t="s">
        <v>8</v>
      </c>
      <c r="B10174" s="18" t="str">
        <f>"365828"</f>
        <v>365828</v>
      </c>
      <c r="C10174" s="19" t="s">
        <v>10021</v>
      </c>
      <c r="D10174" s="19" t="s">
        <v>25584</v>
      </c>
      <c r="E10174" s="19" t="s">
        <v>31810</v>
      </c>
      <c r="F10174" s="19" t="s">
        <v>36009</v>
      </c>
      <c r="G10174" s="18" t="str">
        <f>"44122"</f>
        <v>44122</v>
      </c>
      <c r="H10174" s="19" t="s">
        <v>36671</v>
      </c>
      <c r="I10174" s="20">
        <v>19.536000000000001</v>
      </c>
      <c r="J10174" s="44" t="s">
        <v>8</v>
      </c>
      <c r="K10174" s="23" t="s">
        <v>8</v>
      </c>
      <c r="L10174" s="23" t="s">
        <v>8</v>
      </c>
      <c r="M10174" s="23" t="s">
        <v>8</v>
      </c>
    </row>
    <row r="10175" spans="1:13" s="21" customFormat="1" x14ac:dyDescent="0.25">
      <c r="A10175" s="22" t="s">
        <v>8</v>
      </c>
      <c r="B10175" s="18" t="str">
        <f>"365829"</f>
        <v>365829</v>
      </c>
      <c r="C10175" s="19" t="s">
        <v>10022</v>
      </c>
      <c r="D10175" s="19" t="s">
        <v>25585</v>
      </c>
      <c r="E10175" s="19" t="s">
        <v>31717</v>
      </c>
      <c r="F10175" s="19" t="s">
        <v>36009</v>
      </c>
      <c r="G10175" s="18" t="str">
        <f>"45503"</f>
        <v>45503</v>
      </c>
      <c r="H10175" s="19" t="s">
        <v>33967</v>
      </c>
      <c r="I10175" s="20">
        <v>17.327000000000002</v>
      </c>
      <c r="J10175" s="44" t="s">
        <v>8</v>
      </c>
      <c r="K10175" s="23" t="s">
        <v>8</v>
      </c>
      <c r="L10175" s="23" t="s">
        <v>8</v>
      </c>
      <c r="M10175" s="23" t="s">
        <v>8</v>
      </c>
    </row>
    <row r="10176" spans="1:13" s="21" customFormat="1" x14ac:dyDescent="0.25">
      <c r="A10176" s="22" t="s">
        <v>8</v>
      </c>
      <c r="B10176" s="18" t="str">
        <f>"365830"</f>
        <v>365830</v>
      </c>
      <c r="C10176" s="19" t="s">
        <v>10023</v>
      </c>
      <c r="D10176" s="19" t="s">
        <v>25586</v>
      </c>
      <c r="E10176" s="19" t="s">
        <v>34543</v>
      </c>
      <c r="F10176" s="19" t="s">
        <v>36009</v>
      </c>
      <c r="G10176" s="18" t="str">
        <f>"43506"</f>
        <v>43506</v>
      </c>
      <c r="H10176" s="19" t="s">
        <v>35728</v>
      </c>
      <c r="I10176" s="20">
        <v>19.346</v>
      </c>
      <c r="J10176" s="44" t="s">
        <v>8</v>
      </c>
      <c r="K10176" s="23" t="s">
        <v>8</v>
      </c>
      <c r="L10176" s="23" t="s">
        <v>8</v>
      </c>
      <c r="M10176" s="23" t="s">
        <v>8</v>
      </c>
    </row>
    <row r="10177" spans="1:13" s="21" customFormat="1" x14ac:dyDescent="0.25">
      <c r="A10177" s="22" t="s">
        <v>8</v>
      </c>
      <c r="B10177" s="18" t="str">
        <f>"365831"</f>
        <v>365831</v>
      </c>
      <c r="C10177" s="19" t="s">
        <v>10024</v>
      </c>
      <c r="D10177" s="19" t="s">
        <v>25587</v>
      </c>
      <c r="E10177" s="19" t="s">
        <v>34421</v>
      </c>
      <c r="F10177" s="19" t="s">
        <v>36009</v>
      </c>
      <c r="G10177" s="18" t="str">
        <f>"44505"</f>
        <v>44505</v>
      </c>
      <c r="H10177" s="19" t="s">
        <v>36674</v>
      </c>
      <c r="I10177" s="20">
        <v>20.626999999999999</v>
      </c>
      <c r="J10177" s="44" t="s">
        <v>8</v>
      </c>
      <c r="K10177" s="23" t="s">
        <v>8</v>
      </c>
      <c r="L10177" s="23" t="s">
        <v>8</v>
      </c>
      <c r="M10177" s="23" t="s">
        <v>8</v>
      </c>
    </row>
    <row r="10178" spans="1:13" s="21" customFormat="1" x14ac:dyDescent="0.25">
      <c r="A10178" s="22" t="s">
        <v>8</v>
      </c>
      <c r="B10178" s="18" t="str">
        <f>"365832"</f>
        <v>365832</v>
      </c>
      <c r="C10178" s="19" t="s">
        <v>10025</v>
      </c>
      <c r="D10178" s="19" t="s">
        <v>25588</v>
      </c>
      <c r="E10178" s="19" t="s">
        <v>31810</v>
      </c>
      <c r="F10178" s="19" t="s">
        <v>36009</v>
      </c>
      <c r="G10178" s="18" t="str">
        <f>"44106"</f>
        <v>44106</v>
      </c>
      <c r="H10178" s="19" t="s">
        <v>36671</v>
      </c>
      <c r="I10178" s="20">
        <v>17.527999999999999</v>
      </c>
      <c r="J10178" s="44" t="s">
        <v>8</v>
      </c>
      <c r="K10178" s="23" t="s">
        <v>8</v>
      </c>
      <c r="L10178" s="23" t="s">
        <v>8</v>
      </c>
      <c r="M10178" s="23" t="s">
        <v>8</v>
      </c>
    </row>
    <row r="10179" spans="1:13" s="21" customFormat="1" x14ac:dyDescent="0.25">
      <c r="A10179" s="22" t="s">
        <v>8</v>
      </c>
      <c r="B10179" s="18" t="str">
        <f>"365833"</f>
        <v>365833</v>
      </c>
      <c r="C10179" s="19" t="s">
        <v>10026</v>
      </c>
      <c r="D10179" s="19" t="s">
        <v>25589</v>
      </c>
      <c r="E10179" s="19" t="s">
        <v>34412</v>
      </c>
      <c r="F10179" s="19" t="s">
        <v>36009</v>
      </c>
      <c r="G10179" s="18" t="str">
        <f>"45211"</f>
        <v>45211</v>
      </c>
      <c r="H10179" s="19" t="s">
        <v>30804</v>
      </c>
      <c r="I10179" s="20">
        <v>19.369</v>
      </c>
      <c r="J10179" s="44" t="s">
        <v>8</v>
      </c>
      <c r="K10179" s="23" t="s">
        <v>8</v>
      </c>
      <c r="L10179" s="23" t="s">
        <v>8</v>
      </c>
      <c r="M10179" s="23" t="s">
        <v>8</v>
      </c>
    </row>
    <row r="10180" spans="1:13" s="21" customFormat="1" x14ac:dyDescent="0.25">
      <c r="A10180" s="22" t="s">
        <v>8</v>
      </c>
      <c r="B10180" s="18" t="str">
        <f>"365834"</f>
        <v>365834</v>
      </c>
      <c r="C10180" s="19" t="s">
        <v>10027</v>
      </c>
      <c r="D10180" s="19" t="s">
        <v>25590</v>
      </c>
      <c r="E10180" s="19" t="s">
        <v>31478</v>
      </c>
      <c r="F10180" s="19" t="s">
        <v>36009</v>
      </c>
      <c r="G10180" s="18" t="str">
        <f>"44240"</f>
        <v>44240</v>
      </c>
      <c r="H10180" s="19" t="s">
        <v>32230</v>
      </c>
      <c r="I10180" s="20">
        <v>17.713999999999999</v>
      </c>
      <c r="J10180" s="44" t="s">
        <v>8</v>
      </c>
      <c r="K10180" s="23" t="s">
        <v>8</v>
      </c>
      <c r="L10180" s="23" t="s">
        <v>8</v>
      </c>
      <c r="M10180" s="23" t="s">
        <v>8</v>
      </c>
    </row>
    <row r="10181" spans="1:13" s="21" customFormat="1" x14ac:dyDescent="0.25">
      <c r="A10181" s="22" t="s">
        <v>8</v>
      </c>
      <c r="B10181" s="18" t="str">
        <f>"365835"</f>
        <v>365835</v>
      </c>
      <c r="C10181" s="19" t="s">
        <v>10028</v>
      </c>
      <c r="D10181" s="19" t="s">
        <v>25591</v>
      </c>
      <c r="E10181" s="19" t="s">
        <v>34544</v>
      </c>
      <c r="F10181" s="19" t="s">
        <v>36009</v>
      </c>
      <c r="G10181" s="18" t="str">
        <f>"43317"</f>
        <v>43317</v>
      </c>
      <c r="H10181" s="19" t="s">
        <v>34548</v>
      </c>
      <c r="I10181" s="20">
        <v>19.321999999999999</v>
      </c>
      <c r="J10181" s="44" t="s">
        <v>8</v>
      </c>
      <c r="K10181" s="23" t="s">
        <v>8</v>
      </c>
      <c r="L10181" s="23" t="s">
        <v>8</v>
      </c>
      <c r="M10181" s="23" t="s">
        <v>8</v>
      </c>
    </row>
    <row r="10182" spans="1:13" s="21" customFormat="1" x14ac:dyDescent="0.25">
      <c r="A10182" s="22" t="s">
        <v>8</v>
      </c>
      <c r="B10182" s="18" t="str">
        <f>"365836"</f>
        <v>365836</v>
      </c>
      <c r="C10182" s="19" t="s">
        <v>10029</v>
      </c>
      <c r="D10182" s="19" t="s">
        <v>25592</v>
      </c>
      <c r="E10182" s="19" t="s">
        <v>33963</v>
      </c>
      <c r="F10182" s="19" t="s">
        <v>36009</v>
      </c>
      <c r="G10182" s="18" t="str">
        <f>"44333"</f>
        <v>44333</v>
      </c>
      <c r="H10182" s="19" t="s">
        <v>36107</v>
      </c>
      <c r="I10182" s="20">
        <v>19.277000000000001</v>
      </c>
      <c r="J10182" s="44" t="s">
        <v>8</v>
      </c>
      <c r="K10182" s="23" t="s">
        <v>8</v>
      </c>
      <c r="L10182" s="23" t="s">
        <v>8</v>
      </c>
      <c r="M10182" s="23" t="s">
        <v>8</v>
      </c>
    </row>
    <row r="10183" spans="1:13" s="21" customFormat="1" x14ac:dyDescent="0.25">
      <c r="A10183" s="22" t="s">
        <v>8</v>
      </c>
      <c r="B10183" s="18" t="str">
        <f>"365837"</f>
        <v>365837</v>
      </c>
      <c r="C10183" s="19" t="s">
        <v>10030</v>
      </c>
      <c r="D10183" s="19" t="s">
        <v>25593</v>
      </c>
      <c r="E10183" s="19" t="s">
        <v>31481</v>
      </c>
      <c r="F10183" s="19" t="s">
        <v>36009</v>
      </c>
      <c r="G10183" s="18" t="str">
        <f>"44903"</f>
        <v>44903</v>
      </c>
      <c r="H10183" s="19" t="s">
        <v>31785</v>
      </c>
      <c r="I10183" s="20">
        <v>17.994</v>
      </c>
      <c r="J10183" s="44" t="s">
        <v>8</v>
      </c>
      <c r="K10183" s="23" t="s">
        <v>8</v>
      </c>
      <c r="L10183" s="23" t="s">
        <v>8</v>
      </c>
      <c r="M10183" s="23" t="s">
        <v>8</v>
      </c>
    </row>
    <row r="10184" spans="1:13" s="21" customFormat="1" x14ac:dyDescent="0.25">
      <c r="A10184" s="22" t="s">
        <v>8</v>
      </c>
      <c r="B10184" s="18" t="str">
        <f>"365838"</f>
        <v>365838</v>
      </c>
      <c r="C10184" s="19" t="s">
        <v>10031</v>
      </c>
      <c r="D10184" s="19" t="s">
        <v>25594</v>
      </c>
      <c r="E10184" s="19" t="s">
        <v>31492</v>
      </c>
      <c r="F10184" s="19" t="s">
        <v>36009</v>
      </c>
      <c r="G10184" s="18" t="str">
        <f>"44622"</f>
        <v>44622</v>
      </c>
      <c r="H10184" s="19" t="s">
        <v>36675</v>
      </c>
      <c r="I10184" s="20">
        <v>19.597000000000001</v>
      </c>
      <c r="J10184" s="44" t="s">
        <v>8</v>
      </c>
      <c r="K10184" s="23" t="s">
        <v>8</v>
      </c>
      <c r="L10184" s="23" t="s">
        <v>8</v>
      </c>
      <c r="M10184" s="23" t="s">
        <v>8</v>
      </c>
    </row>
    <row r="10185" spans="1:13" s="21" customFormat="1" x14ac:dyDescent="0.25">
      <c r="A10185" s="22" t="s">
        <v>8</v>
      </c>
      <c r="B10185" s="18" t="str">
        <f>"365839"</f>
        <v>365839</v>
      </c>
      <c r="C10185" s="19" t="s">
        <v>10032</v>
      </c>
      <c r="D10185" s="19" t="s">
        <v>25595</v>
      </c>
      <c r="E10185" s="19" t="s">
        <v>31715</v>
      </c>
      <c r="F10185" s="19" t="s">
        <v>36009</v>
      </c>
      <c r="G10185" s="18" t="str">
        <f>"43214"</f>
        <v>43214</v>
      </c>
      <c r="H10185" s="19" t="s">
        <v>5</v>
      </c>
      <c r="I10185" s="20">
        <v>19.132999999999999</v>
      </c>
      <c r="J10185" s="44" t="s">
        <v>8</v>
      </c>
      <c r="K10185" s="23" t="s">
        <v>8</v>
      </c>
      <c r="L10185" s="23" t="s">
        <v>8</v>
      </c>
      <c r="M10185" s="23" t="s">
        <v>8</v>
      </c>
    </row>
    <row r="10186" spans="1:13" s="21" customFormat="1" x14ac:dyDescent="0.25">
      <c r="A10186" s="22" t="s">
        <v>8</v>
      </c>
      <c r="B10186" s="18" t="str">
        <f>"365841"</f>
        <v>365841</v>
      </c>
      <c r="C10186" s="19" t="s">
        <v>10033</v>
      </c>
      <c r="D10186" s="19" t="s">
        <v>25596</v>
      </c>
      <c r="E10186" s="19" t="s">
        <v>31175</v>
      </c>
      <c r="F10186" s="19" t="s">
        <v>36009</v>
      </c>
      <c r="G10186" s="18" t="str">
        <f>"43420"</f>
        <v>43420</v>
      </c>
      <c r="H10186" s="19" t="s">
        <v>33186</v>
      </c>
      <c r="I10186" s="20">
        <v>15.936</v>
      </c>
      <c r="J10186" s="44" t="s">
        <v>8</v>
      </c>
      <c r="K10186" s="23" t="s">
        <v>8</v>
      </c>
      <c r="L10186" s="23" t="s">
        <v>8</v>
      </c>
      <c r="M10186" s="23" t="s">
        <v>8</v>
      </c>
    </row>
    <row r="10187" spans="1:13" s="21" customFormat="1" x14ac:dyDescent="0.25">
      <c r="A10187" s="22" t="s">
        <v>8</v>
      </c>
      <c r="B10187" s="18" t="str">
        <f>"365843"</f>
        <v>365843</v>
      </c>
      <c r="C10187" s="19" t="s">
        <v>10034</v>
      </c>
      <c r="D10187" s="19" t="s">
        <v>25597</v>
      </c>
      <c r="E10187" s="19" t="s">
        <v>34545</v>
      </c>
      <c r="F10187" s="19" t="s">
        <v>36009</v>
      </c>
      <c r="G10187" s="18" t="str">
        <f>"43326"</f>
        <v>43326</v>
      </c>
      <c r="H10187" s="19" t="s">
        <v>32124</v>
      </c>
      <c r="I10187" s="20">
        <v>19.359000000000002</v>
      </c>
      <c r="J10187" s="44" t="s">
        <v>8</v>
      </c>
      <c r="K10187" s="23" t="s">
        <v>8</v>
      </c>
      <c r="L10187" s="23" t="s">
        <v>8</v>
      </c>
      <c r="M10187" s="23" t="s">
        <v>8</v>
      </c>
    </row>
    <row r="10188" spans="1:13" s="21" customFormat="1" x14ac:dyDescent="0.25">
      <c r="A10188" s="22" t="s">
        <v>8</v>
      </c>
      <c r="B10188" s="18" t="str">
        <f>"365844"</f>
        <v>365844</v>
      </c>
      <c r="C10188" s="19" t="s">
        <v>10035</v>
      </c>
      <c r="D10188" s="19" t="s">
        <v>25598</v>
      </c>
      <c r="E10188" s="19" t="s">
        <v>31333</v>
      </c>
      <c r="F10188" s="19" t="s">
        <v>36009</v>
      </c>
      <c r="G10188" s="18" t="str">
        <f>"44202"</f>
        <v>44202</v>
      </c>
      <c r="H10188" s="19" t="s">
        <v>32230</v>
      </c>
      <c r="I10188" s="20">
        <v>19.202999999999999</v>
      </c>
      <c r="J10188" s="44" t="s">
        <v>8</v>
      </c>
      <c r="K10188" s="23" t="s">
        <v>8</v>
      </c>
      <c r="L10188" s="23" t="s">
        <v>8</v>
      </c>
      <c r="M10188" s="23" t="s">
        <v>8</v>
      </c>
    </row>
    <row r="10189" spans="1:13" s="21" customFormat="1" x14ac:dyDescent="0.25">
      <c r="A10189" s="22" t="s">
        <v>8</v>
      </c>
      <c r="B10189" s="18" t="str">
        <f>"365845"</f>
        <v>365845</v>
      </c>
      <c r="C10189" s="19" t="s">
        <v>10036</v>
      </c>
      <c r="D10189" s="19" t="s">
        <v>25599</v>
      </c>
      <c r="E10189" s="19" t="s">
        <v>34413</v>
      </c>
      <c r="F10189" s="19" t="s">
        <v>36009</v>
      </c>
      <c r="G10189" s="18" t="str">
        <f>"44145"</f>
        <v>44145</v>
      </c>
      <c r="H10189" s="19" t="s">
        <v>36671</v>
      </c>
      <c r="I10189" s="20">
        <v>18.012</v>
      </c>
      <c r="J10189" s="44" t="s">
        <v>8</v>
      </c>
      <c r="K10189" s="23" t="s">
        <v>8</v>
      </c>
      <c r="L10189" s="23" t="s">
        <v>8</v>
      </c>
      <c r="M10189" s="23" t="s">
        <v>8</v>
      </c>
    </row>
    <row r="10190" spans="1:13" s="21" customFormat="1" x14ac:dyDescent="0.25">
      <c r="A10190" s="22" t="s">
        <v>8</v>
      </c>
      <c r="B10190" s="18" t="str">
        <f>"365847"</f>
        <v>365847</v>
      </c>
      <c r="C10190" s="19" t="s">
        <v>10037</v>
      </c>
      <c r="D10190" s="19" t="s">
        <v>25600</v>
      </c>
      <c r="E10190" s="19" t="s">
        <v>31375</v>
      </c>
      <c r="F10190" s="19" t="s">
        <v>36009</v>
      </c>
      <c r="G10190" s="18" t="str">
        <f>"44333"</f>
        <v>44333</v>
      </c>
      <c r="H10190" s="19" t="s">
        <v>36107</v>
      </c>
      <c r="I10190" s="20">
        <v>19.757999999999999</v>
      </c>
      <c r="J10190" s="44" t="s">
        <v>8</v>
      </c>
      <c r="K10190" s="23" t="s">
        <v>8</v>
      </c>
      <c r="L10190" s="23" t="s">
        <v>8</v>
      </c>
      <c r="M10190" s="23" t="s">
        <v>8</v>
      </c>
    </row>
    <row r="10191" spans="1:13" s="21" customFormat="1" x14ac:dyDescent="0.25">
      <c r="A10191" s="22" t="s">
        <v>8</v>
      </c>
      <c r="B10191" s="18" t="str">
        <f>"365849"</f>
        <v>365849</v>
      </c>
      <c r="C10191" s="19" t="s">
        <v>10038</v>
      </c>
      <c r="D10191" s="19" t="s">
        <v>25601</v>
      </c>
      <c r="E10191" s="19" t="s">
        <v>32505</v>
      </c>
      <c r="F10191" s="19" t="s">
        <v>36009</v>
      </c>
      <c r="G10191" s="18" t="str">
        <f>"43606"</f>
        <v>43606</v>
      </c>
      <c r="H10191" s="19" t="s">
        <v>36287</v>
      </c>
      <c r="I10191" s="20">
        <v>21.681000000000001</v>
      </c>
      <c r="J10191" s="44" t="s">
        <v>8</v>
      </c>
      <c r="K10191" s="23" t="s">
        <v>8</v>
      </c>
      <c r="L10191" s="23" t="s">
        <v>8</v>
      </c>
      <c r="M10191" s="23" t="s">
        <v>8</v>
      </c>
    </row>
    <row r="10192" spans="1:13" s="21" customFormat="1" x14ac:dyDescent="0.25">
      <c r="A10192" s="22" t="s">
        <v>8</v>
      </c>
      <c r="B10192" s="18" t="str">
        <f>"365851"</f>
        <v>365851</v>
      </c>
      <c r="C10192" s="19" t="s">
        <v>10039</v>
      </c>
      <c r="D10192" s="19" t="s">
        <v>25602</v>
      </c>
      <c r="E10192" s="19" t="s">
        <v>31715</v>
      </c>
      <c r="F10192" s="19" t="s">
        <v>36009</v>
      </c>
      <c r="G10192" s="18" t="str">
        <f>"43213"</f>
        <v>43213</v>
      </c>
      <c r="H10192" s="19" t="s">
        <v>5</v>
      </c>
      <c r="I10192" s="20">
        <v>18.576000000000001</v>
      </c>
      <c r="J10192" s="44" t="s">
        <v>8</v>
      </c>
      <c r="K10192" s="23" t="s">
        <v>8</v>
      </c>
      <c r="L10192" s="23" t="s">
        <v>8</v>
      </c>
      <c r="M10192" s="23" t="s">
        <v>8</v>
      </c>
    </row>
    <row r="10193" spans="1:13" s="21" customFormat="1" x14ac:dyDescent="0.25">
      <c r="A10193" s="22" t="s">
        <v>8</v>
      </c>
      <c r="B10193" s="18" t="str">
        <f>"365853"</f>
        <v>365853</v>
      </c>
      <c r="C10193" s="19" t="s">
        <v>10040</v>
      </c>
      <c r="D10193" s="19" t="s">
        <v>25603</v>
      </c>
      <c r="E10193" s="19" t="s">
        <v>34538</v>
      </c>
      <c r="F10193" s="19" t="s">
        <v>36009</v>
      </c>
      <c r="G10193" s="18" t="str">
        <f>"44512"</f>
        <v>44512</v>
      </c>
      <c r="H10193" s="19" t="s">
        <v>36674</v>
      </c>
      <c r="I10193" s="20">
        <v>20.594999999999999</v>
      </c>
      <c r="J10193" s="44" t="s">
        <v>8</v>
      </c>
      <c r="K10193" s="23" t="s">
        <v>8</v>
      </c>
      <c r="L10193" s="23" t="s">
        <v>8</v>
      </c>
      <c r="M10193" s="23" t="s">
        <v>8</v>
      </c>
    </row>
    <row r="10194" spans="1:13" s="21" customFormat="1" x14ac:dyDescent="0.25">
      <c r="A10194" s="22" t="s">
        <v>8</v>
      </c>
      <c r="B10194" s="18" t="str">
        <f>"365854"</f>
        <v>365854</v>
      </c>
      <c r="C10194" s="19" t="s">
        <v>10041</v>
      </c>
      <c r="D10194" s="19" t="s">
        <v>25604</v>
      </c>
      <c r="E10194" s="19" t="s">
        <v>34485</v>
      </c>
      <c r="F10194" s="19" t="s">
        <v>36009</v>
      </c>
      <c r="G10194" s="18" t="str">
        <f>"45320"</f>
        <v>45320</v>
      </c>
      <c r="H10194" s="19" t="s">
        <v>36684</v>
      </c>
      <c r="I10194" s="20">
        <v>17.846</v>
      </c>
      <c r="J10194" s="44" t="s">
        <v>8</v>
      </c>
      <c r="K10194" s="23" t="s">
        <v>8</v>
      </c>
      <c r="L10194" s="23" t="s">
        <v>8</v>
      </c>
      <c r="M10194" s="23" t="s">
        <v>8</v>
      </c>
    </row>
    <row r="10195" spans="1:13" s="21" customFormat="1" x14ac:dyDescent="0.25">
      <c r="A10195" s="22" t="s">
        <v>8</v>
      </c>
      <c r="B10195" s="18" t="str">
        <f>"365855"</f>
        <v>365855</v>
      </c>
      <c r="C10195" s="19" t="s">
        <v>10042</v>
      </c>
      <c r="D10195" s="19" t="s">
        <v>25605</v>
      </c>
      <c r="E10195" s="19" t="s">
        <v>34546</v>
      </c>
      <c r="F10195" s="19" t="s">
        <v>36009</v>
      </c>
      <c r="G10195" s="18" t="str">
        <f>"44444"</f>
        <v>44444</v>
      </c>
      <c r="H10195" s="19" t="s">
        <v>31393</v>
      </c>
      <c r="I10195" s="20">
        <v>16.887</v>
      </c>
      <c r="J10195" s="44" t="s">
        <v>8</v>
      </c>
      <c r="K10195" s="23" t="s">
        <v>8</v>
      </c>
      <c r="L10195" s="23" t="s">
        <v>8</v>
      </c>
      <c r="M10195" s="23" t="s">
        <v>8</v>
      </c>
    </row>
    <row r="10196" spans="1:13" s="21" customFormat="1" x14ac:dyDescent="0.25">
      <c r="A10196" s="22" t="s">
        <v>8</v>
      </c>
      <c r="B10196" s="18" t="str">
        <f>"365858"</f>
        <v>365858</v>
      </c>
      <c r="C10196" s="19" t="s">
        <v>10043</v>
      </c>
      <c r="D10196" s="19" t="s">
        <v>25606</v>
      </c>
      <c r="E10196" s="19" t="s">
        <v>34527</v>
      </c>
      <c r="F10196" s="19" t="s">
        <v>36009</v>
      </c>
      <c r="G10196" s="18" t="str">
        <f>"44224"</f>
        <v>44224</v>
      </c>
      <c r="H10196" s="19" t="s">
        <v>36107</v>
      </c>
      <c r="I10196" s="20">
        <v>17.824999999999999</v>
      </c>
      <c r="J10196" s="44" t="s">
        <v>8</v>
      </c>
      <c r="K10196" s="23" t="s">
        <v>8</v>
      </c>
      <c r="L10196" s="23" t="s">
        <v>8</v>
      </c>
      <c r="M10196" s="23" t="s">
        <v>8</v>
      </c>
    </row>
    <row r="10197" spans="1:13" s="21" customFormat="1" x14ac:dyDescent="0.25">
      <c r="A10197" s="22" t="s">
        <v>8</v>
      </c>
      <c r="B10197" s="18" t="str">
        <f>"365859"</f>
        <v>365859</v>
      </c>
      <c r="C10197" s="19" t="s">
        <v>10044</v>
      </c>
      <c r="D10197" s="19" t="s">
        <v>25607</v>
      </c>
      <c r="E10197" s="19" t="s">
        <v>31375</v>
      </c>
      <c r="F10197" s="19" t="s">
        <v>36009</v>
      </c>
      <c r="G10197" s="18" t="str">
        <f>"44303"</f>
        <v>44303</v>
      </c>
      <c r="H10197" s="19" t="s">
        <v>36107</v>
      </c>
      <c r="I10197" s="20">
        <v>18.553999999999998</v>
      </c>
      <c r="J10197" s="44" t="s">
        <v>8</v>
      </c>
      <c r="K10197" s="23" t="s">
        <v>8</v>
      </c>
      <c r="L10197" s="23" t="s">
        <v>8</v>
      </c>
      <c r="M10197" s="23" t="s">
        <v>8</v>
      </c>
    </row>
    <row r="10198" spans="1:13" s="21" customFormat="1" x14ac:dyDescent="0.25">
      <c r="A10198" s="22" t="s">
        <v>8</v>
      </c>
      <c r="B10198" s="18" t="str">
        <f>"365860"</f>
        <v>365860</v>
      </c>
      <c r="C10198" s="19" t="s">
        <v>10045</v>
      </c>
      <c r="D10198" s="19" t="s">
        <v>25608</v>
      </c>
      <c r="E10198" s="19" t="s">
        <v>34492</v>
      </c>
      <c r="F10198" s="19" t="s">
        <v>36009</v>
      </c>
      <c r="G10198" s="18" t="str">
        <f>"44830"</f>
        <v>44830</v>
      </c>
      <c r="H10198" s="19" t="s">
        <v>32641</v>
      </c>
      <c r="I10198" s="20">
        <v>17.213000000000001</v>
      </c>
      <c r="J10198" s="44" t="s">
        <v>8</v>
      </c>
      <c r="K10198" s="23" t="s">
        <v>8</v>
      </c>
      <c r="L10198" s="23" t="s">
        <v>8</v>
      </c>
      <c r="M10198" s="23" t="s">
        <v>8</v>
      </c>
    </row>
    <row r="10199" spans="1:13" s="21" customFormat="1" x14ac:dyDescent="0.25">
      <c r="A10199" s="22" t="s">
        <v>8</v>
      </c>
      <c r="B10199" s="18" t="str">
        <f>"365862"</f>
        <v>365862</v>
      </c>
      <c r="C10199" s="19" t="s">
        <v>10046</v>
      </c>
      <c r="D10199" s="19" t="s">
        <v>25609</v>
      </c>
      <c r="E10199" s="19" t="s">
        <v>31791</v>
      </c>
      <c r="F10199" s="19" t="s">
        <v>36009</v>
      </c>
      <c r="G10199" s="18" t="str">
        <f>"44708"</f>
        <v>44708</v>
      </c>
      <c r="H10199" s="19" t="s">
        <v>36240</v>
      </c>
      <c r="I10199" s="20">
        <v>18.32</v>
      </c>
      <c r="J10199" s="44" t="s">
        <v>8</v>
      </c>
      <c r="K10199" s="23" t="s">
        <v>8</v>
      </c>
      <c r="L10199" s="23" t="s">
        <v>8</v>
      </c>
      <c r="M10199" s="23" t="s">
        <v>8</v>
      </c>
    </row>
    <row r="10200" spans="1:13" s="21" customFormat="1" x14ac:dyDescent="0.25">
      <c r="A10200" s="22" t="s">
        <v>8</v>
      </c>
      <c r="B10200" s="18" t="str">
        <f>"365864"</f>
        <v>365864</v>
      </c>
      <c r="C10200" s="19" t="s">
        <v>10047</v>
      </c>
      <c r="D10200" s="19" t="s">
        <v>25610</v>
      </c>
      <c r="E10200" s="19" t="s">
        <v>32618</v>
      </c>
      <c r="F10200" s="19" t="s">
        <v>36009</v>
      </c>
      <c r="G10200" s="18" t="str">
        <f>"43040"</f>
        <v>43040</v>
      </c>
      <c r="H10200" s="19" t="s">
        <v>33554</v>
      </c>
      <c r="I10200" s="20">
        <v>18.09</v>
      </c>
      <c r="J10200" s="44" t="s">
        <v>8</v>
      </c>
      <c r="K10200" s="23" t="s">
        <v>8</v>
      </c>
      <c r="L10200" s="23" t="s">
        <v>8</v>
      </c>
      <c r="M10200" s="23" t="s">
        <v>8</v>
      </c>
    </row>
    <row r="10201" spans="1:13" s="21" customFormat="1" x14ac:dyDescent="0.25">
      <c r="A10201" s="22" t="s">
        <v>8</v>
      </c>
      <c r="B10201" s="18" t="str">
        <f>"365865"</f>
        <v>365865</v>
      </c>
      <c r="C10201" s="19" t="s">
        <v>10048</v>
      </c>
      <c r="D10201" s="19" t="s">
        <v>25611</v>
      </c>
      <c r="E10201" s="19" t="s">
        <v>34547</v>
      </c>
      <c r="F10201" s="19" t="s">
        <v>36009</v>
      </c>
      <c r="G10201" s="18" t="str">
        <f>"44012"</f>
        <v>44012</v>
      </c>
      <c r="H10201" s="19" t="s">
        <v>34482</v>
      </c>
      <c r="I10201" s="20">
        <v>20.677</v>
      </c>
      <c r="J10201" s="44" t="s">
        <v>8</v>
      </c>
      <c r="K10201" s="23" t="s">
        <v>8</v>
      </c>
      <c r="L10201" s="23" t="s">
        <v>8</v>
      </c>
      <c r="M10201" s="23" t="s">
        <v>8</v>
      </c>
    </row>
    <row r="10202" spans="1:13" s="21" customFormat="1" x14ac:dyDescent="0.25">
      <c r="A10202" s="22" t="s">
        <v>8</v>
      </c>
      <c r="B10202" s="18" t="str">
        <f>"365867"</f>
        <v>365867</v>
      </c>
      <c r="C10202" s="19" t="s">
        <v>10049</v>
      </c>
      <c r="D10202" s="19" t="s">
        <v>25612</v>
      </c>
      <c r="E10202" s="19" t="s">
        <v>33852</v>
      </c>
      <c r="F10202" s="19" t="s">
        <v>36009</v>
      </c>
      <c r="G10202" s="18" t="str">
        <f>"45662"</f>
        <v>45662</v>
      </c>
      <c r="H10202" s="19" t="s">
        <v>36678</v>
      </c>
      <c r="I10202" s="20">
        <v>19.218</v>
      </c>
      <c r="J10202" s="44" t="s">
        <v>8</v>
      </c>
      <c r="K10202" s="23" t="s">
        <v>8</v>
      </c>
      <c r="L10202" s="23" t="s">
        <v>8</v>
      </c>
      <c r="M10202" s="23" t="s">
        <v>8</v>
      </c>
    </row>
    <row r="10203" spans="1:13" s="21" customFormat="1" x14ac:dyDescent="0.25">
      <c r="A10203" s="22" t="s">
        <v>8</v>
      </c>
      <c r="B10203" s="18" t="str">
        <f>"365869"</f>
        <v>365869</v>
      </c>
      <c r="C10203" s="19" t="s">
        <v>10050</v>
      </c>
      <c r="D10203" s="19" t="s">
        <v>25613</v>
      </c>
      <c r="E10203" s="19" t="s">
        <v>31715</v>
      </c>
      <c r="F10203" s="19" t="s">
        <v>36009</v>
      </c>
      <c r="G10203" s="18" t="str">
        <f>"43205"</f>
        <v>43205</v>
      </c>
      <c r="H10203" s="19" t="s">
        <v>5</v>
      </c>
      <c r="I10203" s="20">
        <v>18.007999999999999</v>
      </c>
      <c r="J10203" s="44" t="s">
        <v>8</v>
      </c>
      <c r="K10203" s="23" t="s">
        <v>8</v>
      </c>
      <c r="L10203" s="23" t="s">
        <v>8</v>
      </c>
      <c r="M10203" s="23" t="s">
        <v>8</v>
      </c>
    </row>
    <row r="10204" spans="1:13" s="21" customFormat="1" x14ac:dyDescent="0.25">
      <c r="A10204" s="22" t="s">
        <v>8</v>
      </c>
      <c r="B10204" s="18" t="str">
        <f>"365870"</f>
        <v>365870</v>
      </c>
      <c r="C10204" s="19" t="s">
        <v>10051</v>
      </c>
      <c r="D10204" s="19" t="s">
        <v>25614</v>
      </c>
      <c r="E10204" s="19" t="s">
        <v>31810</v>
      </c>
      <c r="F10204" s="19" t="s">
        <v>36009</v>
      </c>
      <c r="G10204" s="18" t="str">
        <f>"44106"</f>
        <v>44106</v>
      </c>
      <c r="H10204" s="19" t="s">
        <v>36671</v>
      </c>
      <c r="I10204" s="20">
        <v>15.691000000000001</v>
      </c>
      <c r="J10204" s="44" t="s">
        <v>8</v>
      </c>
      <c r="K10204" s="23" t="s">
        <v>8</v>
      </c>
      <c r="L10204" s="23" t="s">
        <v>8</v>
      </c>
      <c r="M10204" s="23" t="s">
        <v>8</v>
      </c>
    </row>
    <row r="10205" spans="1:13" s="21" customFormat="1" x14ac:dyDescent="0.25">
      <c r="A10205" s="22" t="s">
        <v>8</v>
      </c>
      <c r="B10205" s="18" t="str">
        <f>"365874"</f>
        <v>365874</v>
      </c>
      <c r="C10205" s="19" t="s">
        <v>10052</v>
      </c>
      <c r="D10205" s="19" t="s">
        <v>25615</v>
      </c>
      <c r="E10205" s="19" t="s">
        <v>31588</v>
      </c>
      <c r="F10205" s="19" t="s">
        <v>36009</v>
      </c>
      <c r="G10205" s="18" t="str">
        <f>"44236"</f>
        <v>44236</v>
      </c>
      <c r="H10205" s="19" t="s">
        <v>36107</v>
      </c>
      <c r="I10205" s="20">
        <v>18.329999999999998</v>
      </c>
      <c r="J10205" s="44" t="s">
        <v>8</v>
      </c>
      <c r="K10205" s="23" t="s">
        <v>8</v>
      </c>
      <c r="L10205" s="23" t="s">
        <v>8</v>
      </c>
      <c r="M10205" s="23" t="s">
        <v>8</v>
      </c>
    </row>
    <row r="10206" spans="1:13" s="21" customFormat="1" x14ac:dyDescent="0.25">
      <c r="A10206" s="22" t="s">
        <v>8</v>
      </c>
      <c r="B10206" s="18" t="str">
        <f>"365875"</f>
        <v>365875</v>
      </c>
      <c r="C10206" s="19" t="s">
        <v>10053</v>
      </c>
      <c r="D10206" s="19" t="s">
        <v>25616</v>
      </c>
      <c r="E10206" s="19" t="s">
        <v>31339</v>
      </c>
      <c r="F10206" s="19" t="s">
        <v>36009</v>
      </c>
      <c r="G10206" s="18" t="str">
        <f>"44107"</f>
        <v>44107</v>
      </c>
      <c r="H10206" s="19" t="s">
        <v>36671</v>
      </c>
      <c r="I10206" s="20">
        <v>19.423999999999999</v>
      </c>
      <c r="J10206" s="44" t="s">
        <v>8</v>
      </c>
      <c r="K10206" s="23" t="s">
        <v>8</v>
      </c>
      <c r="L10206" s="23" t="s">
        <v>8</v>
      </c>
      <c r="M10206" s="23" t="s">
        <v>8</v>
      </c>
    </row>
    <row r="10207" spans="1:13" s="21" customFormat="1" x14ac:dyDescent="0.25">
      <c r="A10207" s="22" t="s">
        <v>8</v>
      </c>
      <c r="B10207" s="18" t="str">
        <f>"365876"</f>
        <v>365876</v>
      </c>
      <c r="C10207" s="19" t="s">
        <v>10054</v>
      </c>
      <c r="D10207" s="19" t="s">
        <v>25617</v>
      </c>
      <c r="E10207" s="19" t="s">
        <v>32369</v>
      </c>
      <c r="F10207" s="19" t="s">
        <v>36009</v>
      </c>
      <c r="G10207" s="18" t="str">
        <f>"45415"</f>
        <v>45415</v>
      </c>
      <c r="H10207" s="19" t="s">
        <v>30833</v>
      </c>
      <c r="I10207" s="20">
        <v>19.719000000000001</v>
      </c>
      <c r="J10207" s="44" t="s">
        <v>8</v>
      </c>
      <c r="K10207" s="23" t="s">
        <v>8</v>
      </c>
      <c r="L10207" s="23" t="s">
        <v>8</v>
      </c>
      <c r="M10207" s="23" t="s">
        <v>8</v>
      </c>
    </row>
    <row r="10208" spans="1:13" s="21" customFormat="1" x14ac:dyDescent="0.25">
      <c r="A10208" s="22" t="s">
        <v>8</v>
      </c>
      <c r="B10208" s="18" t="str">
        <f>"365877"</f>
        <v>365877</v>
      </c>
      <c r="C10208" s="19" t="s">
        <v>8152</v>
      </c>
      <c r="D10208" s="19" t="s">
        <v>25618</v>
      </c>
      <c r="E10208" s="19" t="s">
        <v>32369</v>
      </c>
      <c r="F10208" s="19" t="s">
        <v>36009</v>
      </c>
      <c r="G10208" s="18" t="str">
        <f>"45405"</f>
        <v>45405</v>
      </c>
      <c r="H10208" s="19" t="s">
        <v>30833</v>
      </c>
      <c r="I10208" s="20">
        <v>18.72</v>
      </c>
      <c r="J10208" s="44" t="s">
        <v>8</v>
      </c>
      <c r="K10208" s="23" t="s">
        <v>8</v>
      </c>
      <c r="L10208" s="23" t="s">
        <v>8</v>
      </c>
      <c r="M10208" s="23" t="s">
        <v>8</v>
      </c>
    </row>
    <row r="10209" spans="1:13" s="21" customFormat="1" x14ac:dyDescent="0.25">
      <c r="A10209" s="22" t="s">
        <v>8</v>
      </c>
      <c r="B10209" s="18" t="str">
        <f>"365878"</f>
        <v>365878</v>
      </c>
      <c r="C10209" s="19" t="s">
        <v>10055</v>
      </c>
      <c r="D10209" s="19" t="s">
        <v>25619</v>
      </c>
      <c r="E10209" s="19" t="s">
        <v>34548</v>
      </c>
      <c r="F10209" s="19" t="s">
        <v>36009</v>
      </c>
      <c r="G10209" s="18" t="str">
        <f>"45152"</f>
        <v>45152</v>
      </c>
      <c r="H10209" s="19" t="s">
        <v>31025</v>
      </c>
      <c r="I10209" s="20">
        <v>18.652000000000001</v>
      </c>
      <c r="J10209" s="44" t="s">
        <v>8</v>
      </c>
      <c r="K10209" s="23" t="s">
        <v>8</v>
      </c>
      <c r="L10209" s="23" t="s">
        <v>8</v>
      </c>
      <c r="M10209" s="23" t="s">
        <v>8</v>
      </c>
    </row>
    <row r="10210" spans="1:13" s="21" customFormat="1" x14ac:dyDescent="0.25">
      <c r="A10210" s="22" t="s">
        <v>8</v>
      </c>
      <c r="B10210" s="18" t="str">
        <f>"365879"</f>
        <v>365879</v>
      </c>
      <c r="C10210" s="19" t="s">
        <v>10056</v>
      </c>
      <c r="D10210" s="19" t="s">
        <v>25620</v>
      </c>
      <c r="E10210" s="19" t="s">
        <v>31810</v>
      </c>
      <c r="F10210" s="19" t="s">
        <v>36009</v>
      </c>
      <c r="G10210" s="18" t="str">
        <f>"44103"</f>
        <v>44103</v>
      </c>
      <c r="H10210" s="19" t="s">
        <v>36671</v>
      </c>
      <c r="I10210" s="20">
        <v>17.216000000000001</v>
      </c>
      <c r="J10210" s="44" t="s">
        <v>8</v>
      </c>
      <c r="K10210" s="23" t="s">
        <v>8</v>
      </c>
      <c r="L10210" s="23" t="s">
        <v>8</v>
      </c>
      <c r="M10210" s="23" t="s">
        <v>8</v>
      </c>
    </row>
    <row r="10211" spans="1:13" s="21" customFormat="1" x14ac:dyDescent="0.25">
      <c r="A10211" s="22" t="s">
        <v>8</v>
      </c>
      <c r="B10211" s="18" t="str">
        <f>"365880"</f>
        <v>365880</v>
      </c>
      <c r="C10211" s="19" t="s">
        <v>10057</v>
      </c>
      <c r="D10211" s="19" t="s">
        <v>25621</v>
      </c>
      <c r="E10211" s="19" t="s">
        <v>34418</v>
      </c>
      <c r="F10211" s="19" t="s">
        <v>36009</v>
      </c>
      <c r="G10211" s="18" t="str">
        <f>"43812"</f>
        <v>43812</v>
      </c>
      <c r="H10211" s="19" t="s">
        <v>34418</v>
      </c>
      <c r="I10211" s="20">
        <v>18.309000000000001</v>
      </c>
      <c r="J10211" s="44" t="s">
        <v>8</v>
      </c>
      <c r="K10211" s="23" t="s">
        <v>8</v>
      </c>
      <c r="L10211" s="23" t="s">
        <v>8</v>
      </c>
      <c r="M10211" s="23" t="s">
        <v>8</v>
      </c>
    </row>
    <row r="10212" spans="1:13" s="21" customFormat="1" x14ac:dyDescent="0.25">
      <c r="A10212" s="22" t="s">
        <v>8</v>
      </c>
      <c r="B10212" s="18" t="str">
        <f>"365881"</f>
        <v>365881</v>
      </c>
      <c r="C10212" s="19" t="s">
        <v>10058</v>
      </c>
      <c r="D10212" s="19" t="s">
        <v>25622</v>
      </c>
      <c r="E10212" s="19" t="s">
        <v>34508</v>
      </c>
      <c r="F10212" s="19" t="s">
        <v>36009</v>
      </c>
      <c r="G10212" s="18" t="str">
        <f>"43147"</f>
        <v>43147</v>
      </c>
      <c r="H10212" s="19" t="s">
        <v>31103</v>
      </c>
      <c r="I10212" s="20">
        <v>19.477</v>
      </c>
      <c r="J10212" s="44" t="s">
        <v>8</v>
      </c>
      <c r="K10212" s="23" t="s">
        <v>8</v>
      </c>
      <c r="L10212" s="23" t="s">
        <v>8</v>
      </c>
      <c r="M10212" s="23" t="s">
        <v>8</v>
      </c>
    </row>
    <row r="10213" spans="1:13" s="21" customFormat="1" x14ac:dyDescent="0.25">
      <c r="A10213" s="22" t="s">
        <v>8</v>
      </c>
      <c r="B10213" s="18" t="str">
        <f>"365882"</f>
        <v>365882</v>
      </c>
      <c r="C10213" s="19" t="s">
        <v>10059</v>
      </c>
      <c r="D10213" s="19" t="s">
        <v>25623</v>
      </c>
      <c r="E10213" s="19" t="s">
        <v>34549</v>
      </c>
      <c r="F10213" s="19" t="s">
        <v>36009</v>
      </c>
      <c r="G10213" s="18" t="str">
        <f>"45371"</f>
        <v>45371</v>
      </c>
      <c r="H10213" s="19" t="s">
        <v>31507</v>
      </c>
      <c r="I10213" s="20">
        <v>16.891999999999999</v>
      </c>
      <c r="J10213" s="44" t="s">
        <v>8</v>
      </c>
      <c r="K10213" s="23" t="s">
        <v>8</v>
      </c>
      <c r="L10213" s="23" t="s">
        <v>8</v>
      </c>
      <c r="M10213" s="23" t="s">
        <v>8</v>
      </c>
    </row>
    <row r="10214" spans="1:13" s="21" customFormat="1" x14ac:dyDescent="0.25">
      <c r="A10214" s="22" t="s">
        <v>8</v>
      </c>
      <c r="B10214" s="18" t="str">
        <f>"365883"</f>
        <v>365883</v>
      </c>
      <c r="C10214" s="19" t="s">
        <v>10060</v>
      </c>
      <c r="D10214" s="19" t="s">
        <v>25624</v>
      </c>
      <c r="E10214" s="19" t="s">
        <v>31810</v>
      </c>
      <c r="F10214" s="19" t="s">
        <v>36009</v>
      </c>
      <c r="G10214" s="18" t="str">
        <f>"44102"</f>
        <v>44102</v>
      </c>
      <c r="H10214" s="19" t="s">
        <v>36671</v>
      </c>
      <c r="I10214" s="20">
        <v>16.931000000000001</v>
      </c>
      <c r="J10214" s="44" t="s">
        <v>8</v>
      </c>
      <c r="K10214" s="23" t="s">
        <v>8</v>
      </c>
      <c r="L10214" s="23" t="s">
        <v>8</v>
      </c>
      <c r="M10214" s="23" t="s">
        <v>8</v>
      </c>
    </row>
    <row r="10215" spans="1:13" s="21" customFormat="1" x14ac:dyDescent="0.25">
      <c r="A10215" s="22" t="s">
        <v>8</v>
      </c>
      <c r="B10215" s="18" t="str">
        <f>"365885"</f>
        <v>365885</v>
      </c>
      <c r="C10215" s="19" t="s">
        <v>10061</v>
      </c>
      <c r="D10215" s="19" t="s">
        <v>25625</v>
      </c>
      <c r="E10215" s="19" t="s">
        <v>33186</v>
      </c>
      <c r="F10215" s="19" t="s">
        <v>36009</v>
      </c>
      <c r="G10215" s="18" t="str">
        <f>"44870"</f>
        <v>44870</v>
      </c>
      <c r="H10215" s="19" t="s">
        <v>34805</v>
      </c>
      <c r="I10215" s="20">
        <v>18.201000000000001</v>
      </c>
      <c r="J10215" s="44" t="s">
        <v>8</v>
      </c>
      <c r="K10215" s="23" t="s">
        <v>8</v>
      </c>
      <c r="L10215" s="23" t="s">
        <v>8</v>
      </c>
      <c r="M10215" s="23" t="s">
        <v>8</v>
      </c>
    </row>
    <row r="10216" spans="1:13" s="21" customFormat="1" x14ac:dyDescent="0.25">
      <c r="A10216" s="22" t="s">
        <v>8</v>
      </c>
      <c r="B10216" s="18" t="str">
        <f>"365886"</f>
        <v>365886</v>
      </c>
      <c r="C10216" s="19" t="s">
        <v>10062</v>
      </c>
      <c r="D10216" s="19" t="s">
        <v>25626</v>
      </c>
      <c r="E10216" s="19" t="s">
        <v>32505</v>
      </c>
      <c r="F10216" s="19" t="s">
        <v>36009</v>
      </c>
      <c r="G10216" s="18" t="str">
        <f>"43620"</f>
        <v>43620</v>
      </c>
      <c r="H10216" s="19" t="s">
        <v>36287</v>
      </c>
      <c r="I10216" s="20">
        <v>19.228000000000002</v>
      </c>
      <c r="J10216" s="44" t="s">
        <v>8</v>
      </c>
      <c r="K10216" s="23" t="s">
        <v>8</v>
      </c>
      <c r="L10216" s="23" t="s">
        <v>8</v>
      </c>
      <c r="M10216" s="23" t="s">
        <v>8</v>
      </c>
    </row>
    <row r="10217" spans="1:13" s="21" customFormat="1" x14ac:dyDescent="0.25">
      <c r="A10217" s="22" t="s">
        <v>8</v>
      </c>
      <c r="B10217" s="18" t="str">
        <f>"365887"</f>
        <v>365887</v>
      </c>
      <c r="C10217" s="19" t="s">
        <v>10063</v>
      </c>
      <c r="D10217" s="19" t="s">
        <v>25627</v>
      </c>
      <c r="E10217" s="19" t="s">
        <v>33116</v>
      </c>
      <c r="F10217" s="19" t="s">
        <v>36009</v>
      </c>
      <c r="G10217" s="18" t="str">
        <f>"45814"</f>
        <v>45814</v>
      </c>
      <c r="H10217" s="19" t="s">
        <v>33144</v>
      </c>
      <c r="I10217" s="20">
        <v>18.207999999999998</v>
      </c>
      <c r="J10217" s="44" t="s">
        <v>8</v>
      </c>
      <c r="K10217" s="23" t="s">
        <v>8</v>
      </c>
      <c r="L10217" s="23" t="s">
        <v>8</v>
      </c>
      <c r="M10217" s="23" t="s">
        <v>8</v>
      </c>
    </row>
    <row r="10218" spans="1:13" s="21" customFormat="1" x14ac:dyDescent="0.25">
      <c r="A10218" s="22" t="s">
        <v>8</v>
      </c>
      <c r="B10218" s="18" t="str">
        <f>"365889"</f>
        <v>365889</v>
      </c>
      <c r="C10218" s="19" t="s">
        <v>10064</v>
      </c>
      <c r="D10218" s="19" t="s">
        <v>25628</v>
      </c>
      <c r="E10218" s="19" t="s">
        <v>31344</v>
      </c>
      <c r="F10218" s="19" t="s">
        <v>36009</v>
      </c>
      <c r="G10218" s="18" t="str">
        <f>"45140"</f>
        <v>45140</v>
      </c>
      <c r="H10218" s="19" t="s">
        <v>31621</v>
      </c>
      <c r="I10218" s="20">
        <v>17.687999999999999</v>
      </c>
      <c r="J10218" s="44" t="s">
        <v>8</v>
      </c>
      <c r="K10218" s="23" t="s">
        <v>8</v>
      </c>
      <c r="L10218" s="23" t="s">
        <v>8</v>
      </c>
      <c r="M10218" s="23" t="s">
        <v>8</v>
      </c>
    </row>
    <row r="10219" spans="1:13" s="21" customFormat="1" x14ac:dyDescent="0.25">
      <c r="A10219" s="22" t="s">
        <v>8</v>
      </c>
      <c r="B10219" s="18" t="str">
        <f>"365890"</f>
        <v>365890</v>
      </c>
      <c r="C10219" s="19" t="s">
        <v>10065</v>
      </c>
      <c r="D10219" s="19" t="s">
        <v>25629</v>
      </c>
      <c r="E10219" s="19" t="s">
        <v>34418</v>
      </c>
      <c r="F10219" s="19" t="s">
        <v>36009</v>
      </c>
      <c r="G10219" s="18" t="str">
        <f>"43812"</f>
        <v>43812</v>
      </c>
      <c r="H10219" s="19" t="s">
        <v>34418</v>
      </c>
      <c r="I10219" s="20">
        <v>19.785</v>
      </c>
      <c r="J10219" s="44" t="s">
        <v>8</v>
      </c>
      <c r="K10219" s="23" t="s">
        <v>8</v>
      </c>
      <c r="L10219" s="23" t="s">
        <v>8</v>
      </c>
      <c r="M10219" s="23" t="s">
        <v>8</v>
      </c>
    </row>
    <row r="10220" spans="1:13" s="21" customFormat="1" x14ac:dyDescent="0.25">
      <c r="A10220" s="22" t="s">
        <v>8</v>
      </c>
      <c r="B10220" s="18" t="str">
        <f>"365891"</f>
        <v>365891</v>
      </c>
      <c r="C10220" s="19" t="s">
        <v>10066</v>
      </c>
      <c r="D10220" s="19" t="s">
        <v>25630</v>
      </c>
      <c r="E10220" s="19" t="s">
        <v>32227</v>
      </c>
      <c r="F10220" s="19" t="s">
        <v>36009</v>
      </c>
      <c r="G10220" s="18" t="str">
        <f>"43845"</f>
        <v>43845</v>
      </c>
      <c r="H10220" s="19" t="s">
        <v>34418</v>
      </c>
      <c r="I10220" s="20">
        <v>21.318000000000001</v>
      </c>
      <c r="J10220" s="44" t="s">
        <v>8</v>
      </c>
      <c r="K10220" s="23" t="s">
        <v>8</v>
      </c>
      <c r="L10220" s="23" t="s">
        <v>8</v>
      </c>
      <c r="M10220" s="23" t="s">
        <v>8</v>
      </c>
    </row>
    <row r="10221" spans="1:13" s="21" customFormat="1" x14ac:dyDescent="0.25">
      <c r="A10221" s="22" t="s">
        <v>8</v>
      </c>
      <c r="B10221" s="18" t="str">
        <f>"365892"</f>
        <v>365892</v>
      </c>
      <c r="C10221" s="19" t="s">
        <v>10067</v>
      </c>
      <c r="D10221" s="19" t="s">
        <v>25631</v>
      </c>
      <c r="E10221" s="19" t="s">
        <v>34412</v>
      </c>
      <c r="F10221" s="19" t="s">
        <v>36009</v>
      </c>
      <c r="G10221" s="18" t="str">
        <f>"45231"</f>
        <v>45231</v>
      </c>
      <c r="H10221" s="19" t="s">
        <v>30804</v>
      </c>
      <c r="I10221" s="20">
        <v>20.213999999999999</v>
      </c>
      <c r="J10221" s="44" t="s">
        <v>8</v>
      </c>
      <c r="K10221" s="23" t="s">
        <v>8</v>
      </c>
      <c r="L10221" s="23" t="s">
        <v>8</v>
      </c>
      <c r="M10221" s="23" t="s">
        <v>8</v>
      </c>
    </row>
    <row r="10222" spans="1:13" s="21" customFormat="1" x14ac:dyDescent="0.25">
      <c r="A10222" s="22" t="s">
        <v>8</v>
      </c>
      <c r="B10222" s="18" t="str">
        <f>"365893"</f>
        <v>365893</v>
      </c>
      <c r="C10222" s="19" t="s">
        <v>10068</v>
      </c>
      <c r="D10222" s="19" t="s">
        <v>25632</v>
      </c>
      <c r="E10222" s="19" t="s">
        <v>32697</v>
      </c>
      <c r="F10222" s="19" t="s">
        <v>36009</v>
      </c>
      <c r="G10222" s="18" t="str">
        <f>"44017"</f>
        <v>44017</v>
      </c>
      <c r="H10222" s="19" t="s">
        <v>36671</v>
      </c>
      <c r="I10222" s="20">
        <v>17.760999999999999</v>
      </c>
      <c r="J10222" s="44" t="s">
        <v>8</v>
      </c>
      <c r="K10222" s="23" t="s">
        <v>8</v>
      </c>
      <c r="L10222" s="23" t="s">
        <v>8</v>
      </c>
      <c r="M10222" s="23" t="s">
        <v>8</v>
      </c>
    </row>
    <row r="10223" spans="1:13" s="21" customFormat="1" x14ac:dyDescent="0.25">
      <c r="A10223" s="22" t="s">
        <v>8</v>
      </c>
      <c r="B10223" s="18" t="str">
        <f>"365894"</f>
        <v>365894</v>
      </c>
      <c r="C10223" s="19" t="s">
        <v>10069</v>
      </c>
      <c r="D10223" s="19" t="s">
        <v>25633</v>
      </c>
      <c r="E10223" s="19" t="s">
        <v>34550</v>
      </c>
      <c r="F10223" s="19" t="s">
        <v>36009</v>
      </c>
      <c r="G10223" s="18" t="str">
        <f>"45040"</f>
        <v>45040</v>
      </c>
      <c r="H10223" s="19" t="s">
        <v>31025</v>
      </c>
      <c r="I10223" s="20">
        <v>21.446000000000002</v>
      </c>
      <c r="J10223" s="44" t="s">
        <v>8</v>
      </c>
      <c r="K10223" s="23" t="s">
        <v>8</v>
      </c>
      <c r="L10223" s="23" t="s">
        <v>8</v>
      </c>
      <c r="M10223" s="23" t="s">
        <v>8</v>
      </c>
    </row>
    <row r="10224" spans="1:13" s="21" customFormat="1" x14ac:dyDescent="0.25">
      <c r="A10224" s="22" t="s">
        <v>8</v>
      </c>
      <c r="B10224" s="18" t="str">
        <f>"365896"</f>
        <v>365896</v>
      </c>
      <c r="C10224" s="19" t="s">
        <v>10070</v>
      </c>
      <c r="D10224" s="19" t="s">
        <v>25634</v>
      </c>
      <c r="E10224" s="19" t="s">
        <v>34448</v>
      </c>
      <c r="F10224" s="19" t="s">
        <v>36009</v>
      </c>
      <c r="G10224" s="18" t="str">
        <f>"45840"</f>
        <v>45840</v>
      </c>
      <c r="H10224" s="19" t="s">
        <v>33144</v>
      </c>
      <c r="I10224" s="20">
        <v>18.018000000000001</v>
      </c>
      <c r="J10224" s="44" t="s">
        <v>8</v>
      </c>
      <c r="K10224" s="23" t="s">
        <v>8</v>
      </c>
      <c r="L10224" s="23" t="s">
        <v>8</v>
      </c>
      <c r="M10224" s="23" t="s">
        <v>8</v>
      </c>
    </row>
    <row r="10225" spans="1:13" s="21" customFormat="1" x14ac:dyDescent="0.25">
      <c r="A10225" s="22" t="s">
        <v>8</v>
      </c>
      <c r="B10225" s="18" t="str">
        <f>"365897"</f>
        <v>365897</v>
      </c>
      <c r="C10225" s="19" t="s">
        <v>10071</v>
      </c>
      <c r="D10225" s="19" t="s">
        <v>25635</v>
      </c>
      <c r="E10225" s="19" t="s">
        <v>34551</v>
      </c>
      <c r="F10225" s="19" t="s">
        <v>36009</v>
      </c>
      <c r="G10225" s="18" t="str">
        <f>"45345"</f>
        <v>45345</v>
      </c>
      <c r="H10225" s="19" t="s">
        <v>30833</v>
      </c>
      <c r="I10225" s="20">
        <v>22.376999999999999</v>
      </c>
      <c r="J10225" s="44" t="s">
        <v>8</v>
      </c>
      <c r="K10225" s="23" t="s">
        <v>8</v>
      </c>
      <c r="L10225" s="23" t="s">
        <v>8</v>
      </c>
      <c r="M10225" s="23" t="s">
        <v>8</v>
      </c>
    </row>
    <row r="10226" spans="1:13" s="21" customFormat="1" x14ac:dyDescent="0.25">
      <c r="A10226" s="22" t="s">
        <v>8</v>
      </c>
      <c r="B10226" s="18" t="str">
        <f>"365898"</f>
        <v>365898</v>
      </c>
      <c r="C10226" s="19" t="s">
        <v>10072</v>
      </c>
      <c r="D10226" s="19" t="s">
        <v>25636</v>
      </c>
      <c r="E10226" s="19" t="s">
        <v>31804</v>
      </c>
      <c r="F10226" s="19" t="s">
        <v>36009</v>
      </c>
      <c r="G10226" s="18" t="str">
        <f>"43560"</f>
        <v>43560</v>
      </c>
      <c r="H10226" s="19" t="s">
        <v>36287</v>
      </c>
      <c r="I10226" s="20">
        <v>17.254999999999999</v>
      </c>
      <c r="J10226" s="44" t="s">
        <v>8</v>
      </c>
      <c r="K10226" s="23" t="s">
        <v>8</v>
      </c>
      <c r="L10226" s="23" t="s">
        <v>8</v>
      </c>
      <c r="M10226" s="23" t="s">
        <v>8</v>
      </c>
    </row>
    <row r="10227" spans="1:13" s="21" customFormat="1" x14ac:dyDescent="0.25">
      <c r="A10227" s="22" t="s">
        <v>8</v>
      </c>
      <c r="B10227" s="18" t="str">
        <f>"365899"</f>
        <v>365899</v>
      </c>
      <c r="C10227" s="19" t="s">
        <v>10073</v>
      </c>
      <c r="D10227" s="19" t="s">
        <v>25637</v>
      </c>
      <c r="E10227" s="19" t="s">
        <v>34446</v>
      </c>
      <c r="F10227" s="19" t="s">
        <v>36009</v>
      </c>
      <c r="G10227" s="18" t="str">
        <f>"45440"</f>
        <v>45440</v>
      </c>
      <c r="H10227" s="19" t="s">
        <v>30833</v>
      </c>
      <c r="I10227" s="20">
        <v>20.114000000000001</v>
      </c>
      <c r="J10227" s="44" t="s">
        <v>8</v>
      </c>
      <c r="K10227" s="23" t="s">
        <v>8</v>
      </c>
      <c r="L10227" s="23" t="s">
        <v>8</v>
      </c>
      <c r="M10227" s="23" t="s">
        <v>8</v>
      </c>
    </row>
    <row r="10228" spans="1:13" s="21" customFormat="1" x14ac:dyDescent="0.25">
      <c r="A10228" s="22" t="s">
        <v>8</v>
      </c>
      <c r="B10228" s="18" t="str">
        <f>"365900"</f>
        <v>365900</v>
      </c>
      <c r="C10228" s="19" t="s">
        <v>10074</v>
      </c>
      <c r="D10228" s="19" t="s">
        <v>25638</v>
      </c>
      <c r="E10228" s="19" t="s">
        <v>33670</v>
      </c>
      <c r="F10228" s="19" t="s">
        <v>36009</v>
      </c>
      <c r="G10228" s="18" t="str">
        <f>"45380"</f>
        <v>45380</v>
      </c>
      <c r="H10228" s="19" t="s">
        <v>36672</v>
      </c>
      <c r="I10228" s="20">
        <v>18.832000000000001</v>
      </c>
      <c r="J10228" s="44" t="s">
        <v>8</v>
      </c>
      <c r="K10228" s="23" t="s">
        <v>8</v>
      </c>
      <c r="L10228" s="23" t="s">
        <v>8</v>
      </c>
      <c r="M10228" s="23" t="s">
        <v>8</v>
      </c>
    </row>
    <row r="10229" spans="1:13" s="21" customFormat="1" x14ac:dyDescent="0.25">
      <c r="A10229" s="22" t="s">
        <v>8</v>
      </c>
      <c r="B10229" s="18" t="str">
        <f>"365902"</f>
        <v>365902</v>
      </c>
      <c r="C10229" s="19" t="s">
        <v>3258</v>
      </c>
      <c r="D10229" s="19" t="s">
        <v>25639</v>
      </c>
      <c r="E10229" s="19" t="s">
        <v>31206</v>
      </c>
      <c r="F10229" s="19" t="s">
        <v>36009</v>
      </c>
      <c r="G10229" s="18" t="str">
        <f>"44418"</f>
        <v>44418</v>
      </c>
      <c r="H10229" s="19" t="s">
        <v>31393</v>
      </c>
      <c r="I10229" s="20">
        <v>18.728999999999999</v>
      </c>
      <c r="J10229" s="44" t="s">
        <v>8</v>
      </c>
      <c r="K10229" s="23" t="s">
        <v>8</v>
      </c>
      <c r="L10229" s="23" t="s">
        <v>8</v>
      </c>
      <c r="M10229" s="23" t="s">
        <v>8</v>
      </c>
    </row>
    <row r="10230" spans="1:13" s="21" customFormat="1" x14ac:dyDescent="0.25">
      <c r="A10230" s="22" t="s">
        <v>8</v>
      </c>
      <c r="B10230" s="18" t="str">
        <f>"365903"</f>
        <v>365903</v>
      </c>
      <c r="C10230" s="19" t="s">
        <v>10075</v>
      </c>
      <c r="D10230" s="19" t="s">
        <v>25640</v>
      </c>
      <c r="E10230" s="19" t="s">
        <v>34426</v>
      </c>
      <c r="F10230" s="19" t="s">
        <v>36009</v>
      </c>
      <c r="G10230" s="18" t="str">
        <f>"45804"</f>
        <v>45804</v>
      </c>
      <c r="H10230" s="19" t="s">
        <v>34710</v>
      </c>
      <c r="I10230" s="20">
        <v>21.311</v>
      </c>
      <c r="J10230" s="44" t="s">
        <v>8</v>
      </c>
      <c r="K10230" s="23" t="s">
        <v>8</v>
      </c>
      <c r="L10230" s="23" t="s">
        <v>8</v>
      </c>
      <c r="M10230" s="23" t="s">
        <v>8</v>
      </c>
    </row>
    <row r="10231" spans="1:13" s="21" customFormat="1" x14ac:dyDescent="0.25">
      <c r="A10231" s="22" t="s">
        <v>8</v>
      </c>
      <c r="B10231" s="18" t="str">
        <f>"365904"</f>
        <v>365904</v>
      </c>
      <c r="C10231" s="19" t="s">
        <v>10076</v>
      </c>
      <c r="D10231" s="19" t="s">
        <v>25641</v>
      </c>
      <c r="E10231" s="19" t="s">
        <v>31696</v>
      </c>
      <c r="F10231" s="19" t="s">
        <v>36009</v>
      </c>
      <c r="G10231" s="18" t="str">
        <f>"44641"</f>
        <v>44641</v>
      </c>
      <c r="H10231" s="19" t="s">
        <v>36240</v>
      </c>
      <c r="I10231" s="20">
        <v>19.234000000000002</v>
      </c>
      <c r="J10231" s="44" t="s">
        <v>8</v>
      </c>
      <c r="K10231" s="23" t="s">
        <v>8</v>
      </c>
      <c r="L10231" s="23" t="s">
        <v>8</v>
      </c>
      <c r="M10231" s="23" t="s">
        <v>8</v>
      </c>
    </row>
    <row r="10232" spans="1:13" s="21" customFormat="1" x14ac:dyDescent="0.25">
      <c r="A10232" s="22" t="s">
        <v>8</v>
      </c>
      <c r="B10232" s="18" t="str">
        <f>"365906"</f>
        <v>365906</v>
      </c>
      <c r="C10232" s="19" t="s">
        <v>10077</v>
      </c>
      <c r="D10232" s="19" t="s">
        <v>25642</v>
      </c>
      <c r="E10232" s="19" t="s">
        <v>34552</v>
      </c>
      <c r="F10232" s="19" t="s">
        <v>36009</v>
      </c>
      <c r="G10232" s="18" t="str">
        <f>"45660"</f>
        <v>45660</v>
      </c>
      <c r="H10232" s="19" t="s">
        <v>33467</v>
      </c>
      <c r="I10232" s="20">
        <v>19.815000000000001</v>
      </c>
      <c r="J10232" s="44" t="s">
        <v>8</v>
      </c>
      <c r="K10232" s="23" t="s">
        <v>8</v>
      </c>
      <c r="L10232" s="23" t="s">
        <v>8</v>
      </c>
      <c r="M10232" s="23" t="s">
        <v>8</v>
      </c>
    </row>
    <row r="10233" spans="1:13" s="21" customFormat="1" x14ac:dyDescent="0.25">
      <c r="A10233" s="22" t="s">
        <v>8</v>
      </c>
      <c r="B10233" s="18" t="str">
        <f>"365907"</f>
        <v>365907</v>
      </c>
      <c r="C10233" s="19" t="s">
        <v>10078</v>
      </c>
      <c r="D10233" s="19" t="s">
        <v>25643</v>
      </c>
      <c r="E10233" s="19" t="s">
        <v>32505</v>
      </c>
      <c r="F10233" s="19" t="s">
        <v>36009</v>
      </c>
      <c r="G10233" s="18" t="str">
        <f>"43623"</f>
        <v>43623</v>
      </c>
      <c r="H10233" s="19" t="s">
        <v>36287</v>
      </c>
      <c r="I10233" s="20">
        <v>19.812999999999999</v>
      </c>
      <c r="J10233" s="44" t="s">
        <v>8</v>
      </c>
      <c r="K10233" s="23" t="s">
        <v>8</v>
      </c>
      <c r="L10233" s="23" t="s">
        <v>8</v>
      </c>
      <c r="M10233" s="23" t="s">
        <v>8</v>
      </c>
    </row>
    <row r="10234" spans="1:13" s="21" customFormat="1" x14ac:dyDescent="0.25">
      <c r="A10234" s="22" t="s">
        <v>8</v>
      </c>
      <c r="B10234" s="18" t="str">
        <f>"365911"</f>
        <v>365911</v>
      </c>
      <c r="C10234" s="19" t="s">
        <v>10079</v>
      </c>
      <c r="D10234" s="19" t="s">
        <v>25644</v>
      </c>
      <c r="E10234" s="19" t="s">
        <v>31481</v>
      </c>
      <c r="F10234" s="19" t="s">
        <v>36009</v>
      </c>
      <c r="G10234" s="18" t="str">
        <f>"44907"</f>
        <v>44907</v>
      </c>
      <c r="H10234" s="19" t="s">
        <v>31785</v>
      </c>
      <c r="I10234" s="20">
        <v>21.81</v>
      </c>
      <c r="J10234" s="44" t="s">
        <v>8</v>
      </c>
      <c r="K10234" s="23" t="s">
        <v>8</v>
      </c>
      <c r="L10234" s="23" t="s">
        <v>8</v>
      </c>
      <c r="M10234" s="23" t="s">
        <v>8</v>
      </c>
    </row>
    <row r="10235" spans="1:13" s="21" customFormat="1" x14ac:dyDescent="0.25">
      <c r="A10235" s="22" t="s">
        <v>8</v>
      </c>
      <c r="B10235" s="18" t="str">
        <f>"365917"</f>
        <v>365917</v>
      </c>
      <c r="C10235" s="19" t="s">
        <v>10080</v>
      </c>
      <c r="D10235" s="19" t="s">
        <v>25645</v>
      </c>
      <c r="E10235" s="19" t="s">
        <v>31717</v>
      </c>
      <c r="F10235" s="19" t="s">
        <v>36009</v>
      </c>
      <c r="G10235" s="18" t="str">
        <f>"45503"</f>
        <v>45503</v>
      </c>
      <c r="H10235" s="19" t="s">
        <v>33967</v>
      </c>
      <c r="I10235" s="20">
        <v>16.870999999999999</v>
      </c>
      <c r="J10235" s="44" t="s">
        <v>8</v>
      </c>
      <c r="K10235" s="23" t="s">
        <v>8</v>
      </c>
      <c r="L10235" s="23" t="s">
        <v>8</v>
      </c>
      <c r="M10235" s="23" t="s">
        <v>8</v>
      </c>
    </row>
    <row r="10236" spans="1:13" s="21" customFormat="1" x14ac:dyDescent="0.25">
      <c r="A10236" s="22" t="s">
        <v>8</v>
      </c>
      <c r="B10236" s="18" t="str">
        <f>"365919"</f>
        <v>365919</v>
      </c>
      <c r="C10236" s="19" t="s">
        <v>10081</v>
      </c>
      <c r="D10236" s="19" t="s">
        <v>25646</v>
      </c>
      <c r="E10236" s="19" t="s">
        <v>34522</v>
      </c>
      <c r="F10236" s="19" t="s">
        <v>36009</v>
      </c>
      <c r="G10236" s="18" t="str">
        <f>"44130"</f>
        <v>44130</v>
      </c>
      <c r="H10236" s="19" t="s">
        <v>36671</v>
      </c>
      <c r="I10236" s="20">
        <v>18.809000000000001</v>
      </c>
      <c r="J10236" s="44" t="s">
        <v>8</v>
      </c>
      <c r="K10236" s="23" t="s">
        <v>8</v>
      </c>
      <c r="L10236" s="23" t="s">
        <v>8</v>
      </c>
      <c r="M10236" s="23" t="s">
        <v>8</v>
      </c>
    </row>
    <row r="10237" spans="1:13" s="21" customFormat="1" x14ac:dyDescent="0.25">
      <c r="A10237" s="22" t="s">
        <v>8</v>
      </c>
      <c r="B10237" s="18" t="str">
        <f>"365920"</f>
        <v>365920</v>
      </c>
      <c r="C10237" s="19" t="s">
        <v>10082</v>
      </c>
      <c r="D10237" s="19" t="s">
        <v>25647</v>
      </c>
      <c r="E10237" s="19" t="s">
        <v>32035</v>
      </c>
      <c r="F10237" s="19" t="s">
        <v>36009</v>
      </c>
      <c r="G10237" s="18" t="str">
        <f>"45036"</f>
        <v>45036</v>
      </c>
      <c r="H10237" s="19" t="s">
        <v>31025</v>
      </c>
      <c r="I10237" s="20">
        <v>19.126000000000001</v>
      </c>
      <c r="J10237" s="44" t="s">
        <v>8</v>
      </c>
      <c r="K10237" s="23" t="s">
        <v>8</v>
      </c>
      <c r="L10237" s="23" t="s">
        <v>8</v>
      </c>
      <c r="M10237" s="23" t="s">
        <v>8</v>
      </c>
    </row>
    <row r="10238" spans="1:13" s="21" customFormat="1" x14ac:dyDescent="0.25">
      <c r="A10238" s="22" t="s">
        <v>8</v>
      </c>
      <c r="B10238" s="18" t="str">
        <f>"365922"</f>
        <v>365922</v>
      </c>
      <c r="C10238" s="19" t="s">
        <v>10083</v>
      </c>
      <c r="D10238" s="19" t="s">
        <v>25648</v>
      </c>
      <c r="E10238" s="19" t="s">
        <v>34553</v>
      </c>
      <c r="F10238" s="19" t="s">
        <v>36009</v>
      </c>
      <c r="G10238" s="18" t="str">
        <f>"43901"</f>
        <v>43901</v>
      </c>
      <c r="H10238" s="19" t="s">
        <v>32391</v>
      </c>
      <c r="I10238" s="20">
        <v>20.286000000000001</v>
      </c>
      <c r="J10238" s="44" t="s">
        <v>8</v>
      </c>
      <c r="K10238" s="23" t="s">
        <v>8</v>
      </c>
      <c r="L10238" s="23" t="s">
        <v>8</v>
      </c>
      <c r="M10238" s="23" t="s">
        <v>8</v>
      </c>
    </row>
    <row r="10239" spans="1:13" s="21" customFormat="1" x14ac:dyDescent="0.25">
      <c r="A10239" s="22" t="s">
        <v>8</v>
      </c>
      <c r="B10239" s="18" t="str">
        <f>"365924"</f>
        <v>365924</v>
      </c>
      <c r="C10239" s="19" t="s">
        <v>10084</v>
      </c>
      <c r="D10239" s="19" t="s">
        <v>25649</v>
      </c>
      <c r="E10239" s="19" t="s">
        <v>33080</v>
      </c>
      <c r="F10239" s="19" t="s">
        <v>36009</v>
      </c>
      <c r="G10239" s="18" t="str">
        <f>"44001"</f>
        <v>44001</v>
      </c>
      <c r="H10239" s="19" t="s">
        <v>34482</v>
      </c>
      <c r="I10239" s="20">
        <v>17.286999999999999</v>
      </c>
      <c r="J10239" s="44" t="s">
        <v>8</v>
      </c>
      <c r="K10239" s="23" t="s">
        <v>8</v>
      </c>
      <c r="L10239" s="23" t="s">
        <v>8</v>
      </c>
      <c r="M10239" s="23" t="s">
        <v>8</v>
      </c>
    </row>
    <row r="10240" spans="1:13" s="21" customFormat="1" x14ac:dyDescent="0.25">
      <c r="A10240" s="22" t="s">
        <v>8</v>
      </c>
      <c r="B10240" s="18" t="str">
        <f>"365925"</f>
        <v>365925</v>
      </c>
      <c r="C10240" s="19" t="s">
        <v>9797</v>
      </c>
      <c r="D10240" s="19" t="s">
        <v>25650</v>
      </c>
      <c r="E10240" s="19" t="s">
        <v>34412</v>
      </c>
      <c r="F10240" s="19" t="s">
        <v>36009</v>
      </c>
      <c r="G10240" s="18" t="str">
        <f>"45204"</f>
        <v>45204</v>
      </c>
      <c r="H10240" s="19" t="s">
        <v>30804</v>
      </c>
      <c r="I10240" s="20">
        <v>17.920000000000002</v>
      </c>
      <c r="J10240" s="44" t="s">
        <v>8</v>
      </c>
      <c r="K10240" s="23" t="s">
        <v>8</v>
      </c>
      <c r="L10240" s="23" t="s">
        <v>8</v>
      </c>
      <c r="M10240" s="23" t="s">
        <v>8</v>
      </c>
    </row>
    <row r="10241" spans="1:13" s="21" customFormat="1" x14ac:dyDescent="0.25">
      <c r="A10241" s="22" t="s">
        <v>8</v>
      </c>
      <c r="B10241" s="18" t="str">
        <f>"365926"</f>
        <v>365926</v>
      </c>
      <c r="C10241" s="19" t="s">
        <v>10085</v>
      </c>
      <c r="D10241" s="19" t="s">
        <v>25651</v>
      </c>
      <c r="E10241" s="19" t="s">
        <v>34554</v>
      </c>
      <c r="F10241" s="19" t="s">
        <v>36009</v>
      </c>
      <c r="G10241" s="18" t="str">
        <f>"44116"</f>
        <v>44116</v>
      </c>
      <c r="H10241" s="19" t="s">
        <v>36671</v>
      </c>
      <c r="I10241" s="20">
        <v>19.725000000000001</v>
      </c>
      <c r="J10241" s="44" t="s">
        <v>8</v>
      </c>
      <c r="K10241" s="23" t="s">
        <v>8</v>
      </c>
      <c r="L10241" s="23" t="s">
        <v>8</v>
      </c>
      <c r="M10241" s="23" t="s">
        <v>8</v>
      </c>
    </row>
    <row r="10242" spans="1:13" s="21" customFormat="1" x14ac:dyDescent="0.25">
      <c r="A10242" s="22" t="s">
        <v>8</v>
      </c>
      <c r="B10242" s="18" t="str">
        <f>"365927"</f>
        <v>365927</v>
      </c>
      <c r="C10242" s="19" t="s">
        <v>10086</v>
      </c>
      <c r="D10242" s="19" t="s">
        <v>25652</v>
      </c>
      <c r="E10242" s="19" t="s">
        <v>33366</v>
      </c>
      <c r="F10242" s="19" t="s">
        <v>36009</v>
      </c>
      <c r="G10242" s="18" t="str">
        <f>"44286"</f>
        <v>44286</v>
      </c>
      <c r="H10242" s="19" t="s">
        <v>36107</v>
      </c>
      <c r="I10242" s="20">
        <v>16.018999999999998</v>
      </c>
      <c r="J10242" s="44" t="s">
        <v>8</v>
      </c>
      <c r="K10242" s="23" t="s">
        <v>8</v>
      </c>
      <c r="L10242" s="23" t="s">
        <v>8</v>
      </c>
      <c r="M10242" s="23" t="s">
        <v>8</v>
      </c>
    </row>
    <row r="10243" spans="1:13" s="21" customFormat="1" x14ac:dyDescent="0.25">
      <c r="A10243" s="22" t="s">
        <v>8</v>
      </c>
      <c r="B10243" s="18" t="str">
        <f>"365928"</f>
        <v>365928</v>
      </c>
      <c r="C10243" s="19" t="s">
        <v>10087</v>
      </c>
      <c r="D10243" s="19" t="s">
        <v>25653</v>
      </c>
      <c r="E10243" s="19" t="s">
        <v>34555</v>
      </c>
      <c r="F10243" s="19" t="s">
        <v>36009</v>
      </c>
      <c r="G10243" s="18" t="str">
        <f>"43160"</f>
        <v>43160</v>
      </c>
      <c r="H10243" s="19" t="s">
        <v>30805</v>
      </c>
      <c r="I10243" s="20">
        <v>19.401</v>
      </c>
      <c r="J10243" s="44" t="s">
        <v>8</v>
      </c>
      <c r="K10243" s="23" t="s">
        <v>8</v>
      </c>
      <c r="L10243" s="23" t="s">
        <v>8</v>
      </c>
      <c r="M10243" s="23" t="s">
        <v>8</v>
      </c>
    </row>
    <row r="10244" spans="1:13" s="21" customFormat="1" x14ac:dyDescent="0.25">
      <c r="A10244" s="22" t="s">
        <v>8</v>
      </c>
      <c r="B10244" s="18" t="str">
        <f>"365929"</f>
        <v>365929</v>
      </c>
      <c r="C10244" s="19" t="s">
        <v>10088</v>
      </c>
      <c r="D10244" s="19" t="s">
        <v>25654</v>
      </c>
      <c r="E10244" s="19" t="s">
        <v>31715</v>
      </c>
      <c r="F10244" s="19" t="s">
        <v>36009</v>
      </c>
      <c r="G10244" s="18" t="str">
        <f>"43235"</f>
        <v>43235</v>
      </c>
      <c r="H10244" s="19" t="s">
        <v>5</v>
      </c>
      <c r="I10244" s="20">
        <v>18.645</v>
      </c>
      <c r="J10244" s="44" t="s">
        <v>8</v>
      </c>
      <c r="K10244" s="23" t="s">
        <v>8</v>
      </c>
      <c r="L10244" s="23" t="s">
        <v>8</v>
      </c>
      <c r="M10244" s="23" t="s">
        <v>8</v>
      </c>
    </row>
    <row r="10245" spans="1:13" s="21" customFormat="1" x14ac:dyDescent="0.25">
      <c r="A10245" s="22" t="s">
        <v>8</v>
      </c>
      <c r="B10245" s="18" t="str">
        <f>"365932"</f>
        <v>365932</v>
      </c>
      <c r="C10245" s="19" t="s">
        <v>10089</v>
      </c>
      <c r="D10245" s="19" t="s">
        <v>25655</v>
      </c>
      <c r="E10245" s="19" t="s">
        <v>34495</v>
      </c>
      <c r="F10245" s="19" t="s">
        <v>36009</v>
      </c>
      <c r="G10245" s="18" t="str">
        <f>"45648"</f>
        <v>45648</v>
      </c>
      <c r="H10245" s="19" t="s">
        <v>36678</v>
      </c>
      <c r="I10245" s="20">
        <v>17.939</v>
      </c>
      <c r="J10245" s="44" t="s">
        <v>8</v>
      </c>
      <c r="K10245" s="23" t="s">
        <v>8</v>
      </c>
      <c r="L10245" s="23" t="s">
        <v>8</v>
      </c>
      <c r="M10245" s="23" t="s">
        <v>8</v>
      </c>
    </row>
    <row r="10246" spans="1:13" s="21" customFormat="1" x14ac:dyDescent="0.25">
      <c r="A10246" s="22" t="s">
        <v>8</v>
      </c>
      <c r="B10246" s="18" t="str">
        <f>"365933"</f>
        <v>365933</v>
      </c>
      <c r="C10246" s="19" t="s">
        <v>10090</v>
      </c>
      <c r="D10246" s="19" t="s">
        <v>25656</v>
      </c>
      <c r="E10246" s="19" t="s">
        <v>34427</v>
      </c>
      <c r="F10246" s="19" t="s">
        <v>36009</v>
      </c>
      <c r="G10246" s="18" t="str">
        <f>"43081"</f>
        <v>43081</v>
      </c>
      <c r="H10246" s="19" t="s">
        <v>5</v>
      </c>
      <c r="I10246" s="20">
        <v>19.974</v>
      </c>
      <c r="J10246" s="44" t="s">
        <v>8</v>
      </c>
      <c r="K10246" s="23" t="s">
        <v>8</v>
      </c>
      <c r="L10246" s="23" t="s">
        <v>8</v>
      </c>
      <c r="M10246" s="23" t="s">
        <v>8</v>
      </c>
    </row>
    <row r="10247" spans="1:13" s="21" customFormat="1" x14ac:dyDescent="0.25">
      <c r="A10247" s="22" t="s">
        <v>8</v>
      </c>
      <c r="B10247" s="18" t="str">
        <f>"365934"</f>
        <v>365934</v>
      </c>
      <c r="C10247" s="19" t="s">
        <v>10091</v>
      </c>
      <c r="D10247" s="19" t="s">
        <v>25657</v>
      </c>
      <c r="E10247" s="19" t="s">
        <v>32016</v>
      </c>
      <c r="F10247" s="19" t="s">
        <v>36009</v>
      </c>
      <c r="G10247" s="18" t="str">
        <f>"45133"</f>
        <v>45133</v>
      </c>
      <c r="H10247" s="19" t="s">
        <v>31280</v>
      </c>
      <c r="I10247" s="20">
        <v>19.210999999999999</v>
      </c>
      <c r="J10247" s="44" t="s">
        <v>8</v>
      </c>
      <c r="K10247" s="23" t="s">
        <v>8</v>
      </c>
      <c r="L10247" s="23" t="s">
        <v>8</v>
      </c>
      <c r="M10247" s="23" t="s">
        <v>8</v>
      </c>
    </row>
    <row r="10248" spans="1:13" s="21" customFormat="1" x14ac:dyDescent="0.25">
      <c r="A10248" s="22" t="s">
        <v>8</v>
      </c>
      <c r="B10248" s="18" t="str">
        <f>"365935"</f>
        <v>365935</v>
      </c>
      <c r="C10248" s="19" t="s">
        <v>10092</v>
      </c>
      <c r="D10248" s="19" t="s">
        <v>25658</v>
      </c>
      <c r="E10248" s="19" t="s">
        <v>30850</v>
      </c>
      <c r="F10248" s="19" t="s">
        <v>36009</v>
      </c>
      <c r="G10248" s="18" t="str">
        <f>"43302"</f>
        <v>43302</v>
      </c>
      <c r="H10248" s="19" t="s">
        <v>30850</v>
      </c>
      <c r="I10248" s="20">
        <v>18.713999999999999</v>
      </c>
      <c r="J10248" s="44" t="s">
        <v>8</v>
      </c>
      <c r="K10248" s="23" t="s">
        <v>8</v>
      </c>
      <c r="L10248" s="23" t="s">
        <v>8</v>
      </c>
      <c r="M10248" s="23" t="s">
        <v>8</v>
      </c>
    </row>
    <row r="10249" spans="1:13" s="21" customFormat="1" x14ac:dyDescent="0.25">
      <c r="A10249" s="22" t="s">
        <v>8</v>
      </c>
      <c r="B10249" s="18" t="str">
        <f>"365936"</f>
        <v>365936</v>
      </c>
      <c r="C10249" s="19" t="s">
        <v>10093</v>
      </c>
      <c r="D10249" s="19" t="s">
        <v>25659</v>
      </c>
      <c r="E10249" s="19" t="s">
        <v>34426</v>
      </c>
      <c r="F10249" s="19" t="s">
        <v>36009</v>
      </c>
      <c r="G10249" s="18" t="str">
        <f>"45805"</f>
        <v>45805</v>
      </c>
      <c r="H10249" s="19" t="s">
        <v>34710</v>
      </c>
      <c r="I10249" s="20">
        <v>20.077000000000002</v>
      </c>
      <c r="J10249" s="44" t="s">
        <v>8</v>
      </c>
      <c r="K10249" s="23" t="s">
        <v>8</v>
      </c>
      <c r="L10249" s="23" t="s">
        <v>8</v>
      </c>
      <c r="M10249" s="23" t="s">
        <v>8</v>
      </c>
    </row>
    <row r="10250" spans="1:13" s="21" customFormat="1" x14ac:dyDescent="0.25">
      <c r="A10250" s="22" t="s">
        <v>8</v>
      </c>
      <c r="B10250" s="18" t="str">
        <f>"365937"</f>
        <v>365937</v>
      </c>
      <c r="C10250" s="19" t="s">
        <v>10094</v>
      </c>
      <c r="D10250" s="19" t="s">
        <v>25660</v>
      </c>
      <c r="E10250" s="19" t="s">
        <v>34556</v>
      </c>
      <c r="F10250" s="19" t="s">
        <v>36009</v>
      </c>
      <c r="G10250" s="18" t="str">
        <f>"44062"</f>
        <v>44062</v>
      </c>
      <c r="H10250" s="19" t="s">
        <v>36686</v>
      </c>
      <c r="I10250" s="20">
        <v>20.023</v>
      </c>
      <c r="J10250" s="44" t="s">
        <v>8</v>
      </c>
      <c r="K10250" s="23" t="s">
        <v>8</v>
      </c>
      <c r="L10250" s="23" t="s">
        <v>8</v>
      </c>
      <c r="M10250" s="23" t="s">
        <v>8</v>
      </c>
    </row>
    <row r="10251" spans="1:13" s="21" customFormat="1" x14ac:dyDescent="0.25">
      <c r="A10251" s="22" t="s">
        <v>8</v>
      </c>
      <c r="B10251" s="18" t="str">
        <f>"365939"</f>
        <v>365939</v>
      </c>
      <c r="C10251" s="19" t="s">
        <v>10095</v>
      </c>
      <c r="D10251" s="19" t="s">
        <v>25661</v>
      </c>
      <c r="E10251" s="19" t="s">
        <v>34465</v>
      </c>
      <c r="F10251" s="19" t="s">
        <v>36009</v>
      </c>
      <c r="G10251" s="18" t="str">
        <f>"45692"</f>
        <v>45692</v>
      </c>
      <c r="H10251" s="19" t="s">
        <v>30816</v>
      </c>
      <c r="I10251" s="20">
        <v>16.481999999999999</v>
      </c>
      <c r="J10251" s="44" t="s">
        <v>8</v>
      </c>
      <c r="K10251" s="23" t="s">
        <v>8</v>
      </c>
      <c r="L10251" s="23" t="s">
        <v>8</v>
      </c>
      <c r="M10251" s="23" t="s">
        <v>8</v>
      </c>
    </row>
    <row r="10252" spans="1:13" s="21" customFormat="1" x14ac:dyDescent="0.25">
      <c r="A10252" s="22" t="s">
        <v>8</v>
      </c>
      <c r="B10252" s="18" t="str">
        <f>"365940"</f>
        <v>365940</v>
      </c>
      <c r="C10252" s="19" t="s">
        <v>10096</v>
      </c>
      <c r="D10252" s="19" t="s">
        <v>25662</v>
      </c>
      <c r="E10252" s="19" t="s">
        <v>34482</v>
      </c>
      <c r="F10252" s="19" t="s">
        <v>36009</v>
      </c>
      <c r="G10252" s="18" t="str">
        <f>"44052"</f>
        <v>44052</v>
      </c>
      <c r="H10252" s="19" t="s">
        <v>34482</v>
      </c>
      <c r="I10252" s="20">
        <v>19.843</v>
      </c>
      <c r="J10252" s="44" t="s">
        <v>8</v>
      </c>
      <c r="K10252" s="23" t="s">
        <v>8</v>
      </c>
      <c r="L10252" s="23" t="s">
        <v>8</v>
      </c>
      <c r="M10252" s="23" t="s">
        <v>8</v>
      </c>
    </row>
    <row r="10253" spans="1:13" s="21" customFormat="1" x14ac:dyDescent="0.25">
      <c r="A10253" s="22" t="s">
        <v>8</v>
      </c>
      <c r="B10253" s="18" t="str">
        <f>"365942"</f>
        <v>365942</v>
      </c>
      <c r="C10253" s="19" t="s">
        <v>10097</v>
      </c>
      <c r="D10253" s="19" t="s">
        <v>25663</v>
      </c>
      <c r="E10253" s="19" t="s">
        <v>34412</v>
      </c>
      <c r="F10253" s="19" t="s">
        <v>36009</v>
      </c>
      <c r="G10253" s="18" t="str">
        <f>"45229"</f>
        <v>45229</v>
      </c>
      <c r="H10253" s="19" t="s">
        <v>30804</v>
      </c>
      <c r="I10253" s="20">
        <v>19.254000000000001</v>
      </c>
      <c r="J10253" s="44" t="s">
        <v>8</v>
      </c>
      <c r="K10253" s="23" t="s">
        <v>8</v>
      </c>
      <c r="L10253" s="23" t="s">
        <v>8</v>
      </c>
      <c r="M10253" s="23" t="s">
        <v>8</v>
      </c>
    </row>
    <row r="10254" spans="1:13" s="21" customFormat="1" x14ac:dyDescent="0.25">
      <c r="A10254" s="22" t="s">
        <v>8</v>
      </c>
      <c r="B10254" s="18" t="str">
        <f>"365943"</f>
        <v>365943</v>
      </c>
      <c r="C10254" s="19" t="s">
        <v>10098</v>
      </c>
      <c r="D10254" s="19" t="s">
        <v>25664</v>
      </c>
      <c r="E10254" s="19" t="s">
        <v>34473</v>
      </c>
      <c r="F10254" s="19" t="s">
        <v>36009</v>
      </c>
      <c r="G10254" s="18" t="str">
        <f>"44119"</f>
        <v>44119</v>
      </c>
      <c r="H10254" s="19" t="s">
        <v>36671</v>
      </c>
      <c r="I10254" s="20">
        <v>18.172000000000001</v>
      </c>
      <c r="J10254" s="44" t="s">
        <v>8</v>
      </c>
      <c r="K10254" s="23" t="s">
        <v>8</v>
      </c>
      <c r="L10254" s="23" t="s">
        <v>8</v>
      </c>
      <c r="M10254" s="23" t="s">
        <v>8</v>
      </c>
    </row>
    <row r="10255" spans="1:13" s="21" customFormat="1" x14ac:dyDescent="0.25">
      <c r="A10255" s="22" t="s">
        <v>8</v>
      </c>
      <c r="B10255" s="18" t="str">
        <f>"365945"</f>
        <v>365945</v>
      </c>
      <c r="C10255" s="19" t="s">
        <v>10099</v>
      </c>
      <c r="D10255" s="19" t="s">
        <v>25665</v>
      </c>
      <c r="E10255" s="19" t="s">
        <v>31481</v>
      </c>
      <c r="F10255" s="19" t="s">
        <v>36009</v>
      </c>
      <c r="G10255" s="18" t="str">
        <f>"44906"</f>
        <v>44906</v>
      </c>
      <c r="H10255" s="19" t="s">
        <v>31785</v>
      </c>
      <c r="I10255" s="20">
        <v>18.177</v>
      </c>
      <c r="J10255" s="44" t="s">
        <v>8</v>
      </c>
      <c r="K10255" s="23" t="s">
        <v>8</v>
      </c>
      <c r="L10255" s="23" t="s">
        <v>8</v>
      </c>
      <c r="M10255" s="23" t="s">
        <v>8</v>
      </c>
    </row>
    <row r="10256" spans="1:13" s="21" customFormat="1" x14ac:dyDescent="0.25">
      <c r="A10256" s="22" t="s">
        <v>8</v>
      </c>
      <c r="B10256" s="18" t="str">
        <f>"365946"</f>
        <v>365946</v>
      </c>
      <c r="C10256" s="19" t="s">
        <v>10100</v>
      </c>
      <c r="D10256" s="19" t="s">
        <v>25666</v>
      </c>
      <c r="E10256" s="19" t="s">
        <v>34412</v>
      </c>
      <c r="F10256" s="19" t="s">
        <v>36009</v>
      </c>
      <c r="G10256" s="18" t="str">
        <f>"45227"</f>
        <v>45227</v>
      </c>
      <c r="H10256" s="19" t="s">
        <v>30804</v>
      </c>
      <c r="I10256" s="20">
        <v>20.396000000000001</v>
      </c>
      <c r="J10256" s="44" t="s">
        <v>8</v>
      </c>
      <c r="K10256" s="23" t="s">
        <v>8</v>
      </c>
      <c r="L10256" s="23" t="s">
        <v>8</v>
      </c>
      <c r="M10256" s="23" t="s">
        <v>8</v>
      </c>
    </row>
    <row r="10257" spans="1:13" s="21" customFormat="1" x14ac:dyDescent="0.25">
      <c r="A10257" s="22" t="s">
        <v>8</v>
      </c>
      <c r="B10257" s="18" t="str">
        <f>"365947"</f>
        <v>365947</v>
      </c>
      <c r="C10257" s="19" t="s">
        <v>10101</v>
      </c>
      <c r="D10257" s="19" t="s">
        <v>25667</v>
      </c>
      <c r="E10257" s="19" t="s">
        <v>34557</v>
      </c>
      <c r="F10257" s="19" t="s">
        <v>36009</v>
      </c>
      <c r="G10257" s="18" t="str">
        <f>"44065"</f>
        <v>44065</v>
      </c>
      <c r="H10257" s="19" t="s">
        <v>36686</v>
      </c>
      <c r="I10257" s="20">
        <v>19.655999999999999</v>
      </c>
      <c r="J10257" s="44" t="s">
        <v>8</v>
      </c>
      <c r="K10257" s="23" t="s">
        <v>8</v>
      </c>
      <c r="L10257" s="23" t="s">
        <v>8</v>
      </c>
      <c r="M10257" s="23" t="s">
        <v>8</v>
      </c>
    </row>
    <row r="10258" spans="1:13" s="21" customFormat="1" x14ac:dyDescent="0.25">
      <c r="A10258" s="22" t="s">
        <v>8</v>
      </c>
      <c r="B10258" s="18" t="str">
        <f>"365949"</f>
        <v>365949</v>
      </c>
      <c r="C10258" s="19" t="s">
        <v>10102</v>
      </c>
      <c r="D10258" s="19" t="s">
        <v>25668</v>
      </c>
      <c r="E10258" s="19" t="s">
        <v>34030</v>
      </c>
      <c r="F10258" s="19" t="s">
        <v>36009</v>
      </c>
      <c r="G10258" s="18" t="str">
        <f>"44410"</f>
        <v>44410</v>
      </c>
      <c r="H10258" s="19" t="s">
        <v>31393</v>
      </c>
      <c r="I10258" s="20">
        <v>19.901</v>
      </c>
      <c r="J10258" s="44" t="s">
        <v>8</v>
      </c>
      <c r="K10258" s="23" t="s">
        <v>8</v>
      </c>
      <c r="L10258" s="23" t="s">
        <v>8</v>
      </c>
      <c r="M10258" s="23" t="s">
        <v>8</v>
      </c>
    </row>
    <row r="10259" spans="1:13" s="21" customFormat="1" x14ac:dyDescent="0.25">
      <c r="A10259" s="22" t="s">
        <v>8</v>
      </c>
      <c r="B10259" s="18" t="str">
        <f>"365950"</f>
        <v>365950</v>
      </c>
      <c r="C10259" s="19" t="s">
        <v>10103</v>
      </c>
      <c r="D10259" s="19" t="s">
        <v>25669</v>
      </c>
      <c r="E10259" s="19" t="s">
        <v>31715</v>
      </c>
      <c r="F10259" s="19" t="s">
        <v>36009</v>
      </c>
      <c r="G10259" s="18" t="str">
        <f>"43220"</f>
        <v>43220</v>
      </c>
      <c r="H10259" s="19" t="s">
        <v>5</v>
      </c>
      <c r="I10259" s="20">
        <v>24.381</v>
      </c>
      <c r="J10259" s="44" t="s">
        <v>8</v>
      </c>
      <c r="K10259" s="23" t="s">
        <v>8</v>
      </c>
      <c r="L10259" s="23" t="s">
        <v>8</v>
      </c>
      <c r="M10259" s="23" t="s">
        <v>8</v>
      </c>
    </row>
    <row r="10260" spans="1:13" s="21" customFormat="1" x14ac:dyDescent="0.25">
      <c r="A10260" s="22" t="s">
        <v>8</v>
      </c>
      <c r="B10260" s="18" t="str">
        <f>"365952"</f>
        <v>365952</v>
      </c>
      <c r="C10260" s="19" t="s">
        <v>10104</v>
      </c>
      <c r="D10260" s="19" t="s">
        <v>25670</v>
      </c>
      <c r="E10260" s="19" t="s">
        <v>34558</v>
      </c>
      <c r="F10260" s="19" t="s">
        <v>36009</v>
      </c>
      <c r="G10260" s="18" t="str">
        <f>"43537"</f>
        <v>43537</v>
      </c>
      <c r="H10260" s="19" t="s">
        <v>36287</v>
      </c>
      <c r="I10260" s="20">
        <v>19.184999999999999</v>
      </c>
      <c r="J10260" s="44" t="s">
        <v>8</v>
      </c>
      <c r="K10260" s="23" t="s">
        <v>8</v>
      </c>
      <c r="L10260" s="23" t="s">
        <v>8</v>
      </c>
      <c r="M10260" s="23" t="s">
        <v>8</v>
      </c>
    </row>
    <row r="10261" spans="1:13" s="21" customFormat="1" x14ac:dyDescent="0.25">
      <c r="A10261" s="22" t="s">
        <v>8</v>
      </c>
      <c r="B10261" s="18" t="str">
        <f>"365953"</f>
        <v>365953</v>
      </c>
      <c r="C10261" s="19" t="s">
        <v>10105</v>
      </c>
      <c r="D10261" s="19" t="s">
        <v>25671</v>
      </c>
      <c r="E10261" s="19" t="s">
        <v>34429</v>
      </c>
      <c r="F10261" s="19" t="s">
        <v>36009</v>
      </c>
      <c r="G10261" s="18" t="str">
        <f>"45885"</f>
        <v>45885</v>
      </c>
      <c r="H10261" s="19" t="s">
        <v>36676</v>
      </c>
      <c r="I10261" s="20">
        <v>17.466999999999999</v>
      </c>
      <c r="J10261" s="44" t="s">
        <v>8</v>
      </c>
      <c r="K10261" s="23" t="s">
        <v>8</v>
      </c>
      <c r="L10261" s="23" t="s">
        <v>8</v>
      </c>
      <c r="M10261" s="23" t="s">
        <v>8</v>
      </c>
    </row>
    <row r="10262" spans="1:13" s="21" customFormat="1" x14ac:dyDescent="0.25">
      <c r="A10262" s="22" t="s">
        <v>8</v>
      </c>
      <c r="B10262" s="18" t="str">
        <f>"365956"</f>
        <v>365956</v>
      </c>
      <c r="C10262" s="19" t="s">
        <v>10106</v>
      </c>
      <c r="D10262" s="19" t="s">
        <v>25672</v>
      </c>
      <c r="E10262" s="19" t="s">
        <v>32621</v>
      </c>
      <c r="F10262" s="19" t="s">
        <v>36009</v>
      </c>
      <c r="G10262" s="18" t="str">
        <f>"44074"</f>
        <v>44074</v>
      </c>
      <c r="H10262" s="19" t="s">
        <v>34482</v>
      </c>
      <c r="I10262" s="20">
        <v>18.035</v>
      </c>
      <c r="J10262" s="44" t="s">
        <v>8</v>
      </c>
      <c r="K10262" s="23" t="s">
        <v>8</v>
      </c>
      <c r="L10262" s="23" t="s">
        <v>8</v>
      </c>
      <c r="M10262" s="23" t="s">
        <v>8</v>
      </c>
    </row>
    <row r="10263" spans="1:13" s="21" customFormat="1" x14ac:dyDescent="0.25">
      <c r="A10263" s="22" t="s">
        <v>8</v>
      </c>
      <c r="B10263" s="18" t="str">
        <f>"365961"</f>
        <v>365961</v>
      </c>
      <c r="C10263" s="19" t="s">
        <v>10107</v>
      </c>
      <c r="D10263" s="19" t="s">
        <v>25673</v>
      </c>
      <c r="E10263" s="19" t="s">
        <v>34468</v>
      </c>
      <c r="F10263" s="19" t="s">
        <v>36009</v>
      </c>
      <c r="G10263" s="18" t="str">
        <f>"45661"</f>
        <v>45661</v>
      </c>
      <c r="H10263" s="19" t="s">
        <v>36033</v>
      </c>
      <c r="I10263" s="20">
        <v>20.286000000000001</v>
      </c>
      <c r="J10263" s="44" t="s">
        <v>8</v>
      </c>
      <c r="K10263" s="23" t="s">
        <v>8</v>
      </c>
      <c r="L10263" s="23" t="s">
        <v>8</v>
      </c>
      <c r="M10263" s="23" t="s">
        <v>8</v>
      </c>
    </row>
    <row r="10264" spans="1:13" s="21" customFormat="1" x14ac:dyDescent="0.25">
      <c r="A10264" s="22" t="s">
        <v>8</v>
      </c>
      <c r="B10264" s="18" t="str">
        <f>"365962"</f>
        <v>365962</v>
      </c>
      <c r="C10264" s="19" t="s">
        <v>10108</v>
      </c>
      <c r="D10264" s="19" t="s">
        <v>25674</v>
      </c>
      <c r="E10264" s="19" t="s">
        <v>30870</v>
      </c>
      <c r="F10264" s="19" t="s">
        <v>36009</v>
      </c>
      <c r="G10264" s="18" t="str">
        <f>"44041"</f>
        <v>44041</v>
      </c>
      <c r="H10264" s="19" t="s">
        <v>34437</v>
      </c>
      <c r="I10264" s="20">
        <v>20.05</v>
      </c>
      <c r="J10264" s="44" t="s">
        <v>8</v>
      </c>
      <c r="K10264" s="23" t="s">
        <v>8</v>
      </c>
      <c r="L10264" s="23" t="s">
        <v>8</v>
      </c>
      <c r="M10264" s="23" t="s">
        <v>8</v>
      </c>
    </row>
    <row r="10265" spans="1:13" s="21" customFormat="1" x14ac:dyDescent="0.25">
      <c r="A10265" s="22" t="s">
        <v>8</v>
      </c>
      <c r="B10265" s="18" t="str">
        <f>"365963"</f>
        <v>365963</v>
      </c>
      <c r="C10265" s="19" t="s">
        <v>10109</v>
      </c>
      <c r="D10265" s="19" t="s">
        <v>25675</v>
      </c>
      <c r="E10265" s="19" t="s">
        <v>34492</v>
      </c>
      <c r="F10265" s="19" t="s">
        <v>36009</v>
      </c>
      <c r="G10265" s="18" t="str">
        <f>"44830"</f>
        <v>44830</v>
      </c>
      <c r="H10265" s="19" t="s">
        <v>32641</v>
      </c>
      <c r="I10265" s="20">
        <v>18.073</v>
      </c>
      <c r="J10265" s="44" t="s">
        <v>8</v>
      </c>
      <c r="K10265" s="23" t="s">
        <v>8</v>
      </c>
      <c r="L10265" s="23" t="s">
        <v>8</v>
      </c>
      <c r="M10265" s="23" t="s">
        <v>8</v>
      </c>
    </row>
    <row r="10266" spans="1:13" s="21" customFormat="1" x14ac:dyDescent="0.25">
      <c r="A10266" s="22" t="s">
        <v>8</v>
      </c>
      <c r="B10266" s="18" t="str">
        <f>"365964"</f>
        <v>365964</v>
      </c>
      <c r="C10266" s="19" t="s">
        <v>10110</v>
      </c>
      <c r="D10266" s="19" t="s">
        <v>25676</v>
      </c>
      <c r="E10266" s="19" t="s">
        <v>34417</v>
      </c>
      <c r="F10266" s="19" t="s">
        <v>36009</v>
      </c>
      <c r="G10266" s="18" t="str">
        <f>"44129"</f>
        <v>44129</v>
      </c>
      <c r="H10266" s="19" t="s">
        <v>36671</v>
      </c>
      <c r="I10266" s="20">
        <v>18.167000000000002</v>
      </c>
      <c r="J10266" s="44" t="s">
        <v>8</v>
      </c>
      <c r="K10266" s="23" t="s">
        <v>8</v>
      </c>
      <c r="L10266" s="23" t="s">
        <v>8</v>
      </c>
      <c r="M10266" s="23" t="s">
        <v>8</v>
      </c>
    </row>
    <row r="10267" spans="1:13" s="21" customFormat="1" x14ac:dyDescent="0.25">
      <c r="A10267" s="22" t="s">
        <v>8</v>
      </c>
      <c r="B10267" s="18" t="str">
        <f>"365967"</f>
        <v>365967</v>
      </c>
      <c r="C10267" s="19" t="s">
        <v>10111</v>
      </c>
      <c r="D10267" s="19" t="s">
        <v>25677</v>
      </c>
      <c r="E10267" s="19" t="s">
        <v>34426</v>
      </c>
      <c r="F10267" s="19" t="s">
        <v>36009</v>
      </c>
      <c r="G10267" s="18" t="str">
        <f>"45801"</f>
        <v>45801</v>
      </c>
      <c r="H10267" s="19" t="s">
        <v>34710</v>
      </c>
      <c r="I10267" s="20">
        <v>21.641999999999999</v>
      </c>
      <c r="J10267" s="44" t="s">
        <v>8</v>
      </c>
      <c r="K10267" s="23" t="s">
        <v>8</v>
      </c>
      <c r="L10267" s="23" t="s">
        <v>8</v>
      </c>
      <c r="M10267" s="23" t="s">
        <v>8</v>
      </c>
    </row>
    <row r="10268" spans="1:13" s="21" customFormat="1" x14ac:dyDescent="0.25">
      <c r="A10268" s="22" t="s">
        <v>8</v>
      </c>
      <c r="B10268" s="18" t="str">
        <f>"365968"</f>
        <v>365968</v>
      </c>
      <c r="C10268" s="19" t="s">
        <v>10112</v>
      </c>
      <c r="D10268" s="19" t="s">
        <v>25678</v>
      </c>
      <c r="E10268" s="19" t="s">
        <v>34559</v>
      </c>
      <c r="F10268" s="19" t="s">
        <v>36009</v>
      </c>
      <c r="G10268" s="18" t="str">
        <f>"44839"</f>
        <v>44839</v>
      </c>
      <c r="H10268" s="19" t="s">
        <v>34805</v>
      </c>
      <c r="I10268" s="20">
        <v>16.655999999999999</v>
      </c>
      <c r="J10268" s="44" t="s">
        <v>8</v>
      </c>
      <c r="K10268" s="23" t="s">
        <v>8</v>
      </c>
      <c r="L10268" s="23" t="s">
        <v>8</v>
      </c>
      <c r="M10268" s="23" t="s">
        <v>8</v>
      </c>
    </row>
    <row r="10269" spans="1:13" s="21" customFormat="1" x14ac:dyDescent="0.25">
      <c r="A10269" s="22" t="s">
        <v>8</v>
      </c>
      <c r="B10269" s="18" t="str">
        <f>"365969"</f>
        <v>365969</v>
      </c>
      <c r="C10269" s="19" t="s">
        <v>10113</v>
      </c>
      <c r="D10269" s="19" t="s">
        <v>25679</v>
      </c>
      <c r="E10269" s="19" t="s">
        <v>34482</v>
      </c>
      <c r="F10269" s="19" t="s">
        <v>36009</v>
      </c>
      <c r="G10269" s="18" t="str">
        <f>"44053"</f>
        <v>44053</v>
      </c>
      <c r="H10269" s="19" t="s">
        <v>34482</v>
      </c>
      <c r="I10269" s="20">
        <v>20.937999999999999</v>
      </c>
      <c r="J10269" s="44" t="s">
        <v>8</v>
      </c>
      <c r="K10269" s="23" t="s">
        <v>8</v>
      </c>
      <c r="L10269" s="23" t="s">
        <v>8</v>
      </c>
      <c r="M10269" s="23" t="s">
        <v>8</v>
      </c>
    </row>
    <row r="10270" spans="1:13" s="21" customFormat="1" x14ac:dyDescent="0.25">
      <c r="A10270" s="22" t="s">
        <v>8</v>
      </c>
      <c r="B10270" s="18" t="str">
        <f>"365970"</f>
        <v>365970</v>
      </c>
      <c r="C10270" s="19" t="s">
        <v>10114</v>
      </c>
      <c r="D10270" s="19" t="s">
        <v>25680</v>
      </c>
      <c r="E10270" s="19" t="s">
        <v>31813</v>
      </c>
      <c r="F10270" s="19" t="s">
        <v>36009</v>
      </c>
      <c r="G10270" s="18" t="str">
        <f>"45390"</f>
        <v>45390</v>
      </c>
      <c r="H10270" s="19" t="s">
        <v>36672</v>
      </c>
      <c r="I10270" s="20">
        <v>18.370999999999999</v>
      </c>
      <c r="J10270" s="44" t="s">
        <v>8</v>
      </c>
      <c r="K10270" s="23" t="s">
        <v>8</v>
      </c>
      <c r="L10270" s="23" t="s">
        <v>8</v>
      </c>
      <c r="M10270" s="23" t="s">
        <v>8</v>
      </c>
    </row>
    <row r="10271" spans="1:13" s="21" customFormat="1" x14ac:dyDescent="0.25">
      <c r="A10271" s="22" t="s">
        <v>8</v>
      </c>
      <c r="B10271" s="18" t="str">
        <f>"365972"</f>
        <v>365972</v>
      </c>
      <c r="C10271" s="19" t="s">
        <v>10115</v>
      </c>
      <c r="D10271" s="19" t="s">
        <v>25681</v>
      </c>
      <c r="E10271" s="19" t="s">
        <v>34421</v>
      </c>
      <c r="F10271" s="19" t="s">
        <v>36009</v>
      </c>
      <c r="G10271" s="18" t="str">
        <f>"44511"</f>
        <v>44511</v>
      </c>
      <c r="H10271" s="19" t="s">
        <v>36674</v>
      </c>
      <c r="I10271" s="20">
        <v>18.922999999999998</v>
      </c>
      <c r="J10271" s="44" t="s">
        <v>8</v>
      </c>
      <c r="K10271" s="23" t="s">
        <v>8</v>
      </c>
      <c r="L10271" s="23" t="s">
        <v>8</v>
      </c>
      <c r="M10271" s="23" t="s">
        <v>8</v>
      </c>
    </row>
    <row r="10272" spans="1:13" s="21" customFormat="1" x14ac:dyDescent="0.25">
      <c r="A10272" s="22" t="s">
        <v>8</v>
      </c>
      <c r="B10272" s="18" t="str">
        <f>"365973"</f>
        <v>365973</v>
      </c>
      <c r="C10272" s="19" t="s">
        <v>10116</v>
      </c>
      <c r="D10272" s="19" t="s">
        <v>25682</v>
      </c>
      <c r="E10272" s="19" t="s">
        <v>34448</v>
      </c>
      <c r="F10272" s="19" t="s">
        <v>36009</v>
      </c>
      <c r="G10272" s="18" t="str">
        <f>"45840"</f>
        <v>45840</v>
      </c>
      <c r="H10272" s="19" t="s">
        <v>33144</v>
      </c>
      <c r="I10272" s="20">
        <v>18.931999999999999</v>
      </c>
      <c r="J10272" s="44" t="s">
        <v>8</v>
      </c>
      <c r="K10272" s="23" t="s">
        <v>8</v>
      </c>
      <c r="L10272" s="23" t="s">
        <v>8</v>
      </c>
      <c r="M10272" s="23" t="s">
        <v>8</v>
      </c>
    </row>
    <row r="10273" spans="1:13" s="21" customFormat="1" x14ac:dyDescent="0.25">
      <c r="A10273" s="22" t="s">
        <v>8</v>
      </c>
      <c r="B10273" s="18" t="str">
        <f>"365974"</f>
        <v>365974</v>
      </c>
      <c r="C10273" s="19" t="s">
        <v>10117</v>
      </c>
      <c r="D10273" s="19" t="s">
        <v>25683</v>
      </c>
      <c r="E10273" s="19" t="s">
        <v>33637</v>
      </c>
      <c r="F10273" s="19" t="s">
        <v>36009</v>
      </c>
      <c r="G10273" s="18" t="str">
        <f>"45068"</f>
        <v>45068</v>
      </c>
      <c r="H10273" s="19" t="s">
        <v>31025</v>
      </c>
      <c r="I10273" s="20">
        <v>19.690999999999999</v>
      </c>
      <c r="J10273" s="44" t="s">
        <v>8</v>
      </c>
      <c r="K10273" s="23" t="s">
        <v>8</v>
      </c>
      <c r="L10273" s="23" t="s">
        <v>8</v>
      </c>
      <c r="M10273" s="23" t="s">
        <v>8</v>
      </c>
    </row>
    <row r="10274" spans="1:13" s="21" customFormat="1" x14ac:dyDescent="0.25">
      <c r="A10274" s="22" t="s">
        <v>8</v>
      </c>
      <c r="B10274" s="18" t="str">
        <f>"365975"</f>
        <v>365975</v>
      </c>
      <c r="C10274" s="19" t="s">
        <v>10118</v>
      </c>
      <c r="D10274" s="19" t="s">
        <v>25684</v>
      </c>
      <c r="E10274" s="19" t="s">
        <v>34521</v>
      </c>
      <c r="F10274" s="19" t="s">
        <v>36009</v>
      </c>
      <c r="G10274" s="18" t="str">
        <f>"43950"</f>
        <v>43950</v>
      </c>
      <c r="H10274" s="19" t="s">
        <v>33079</v>
      </c>
      <c r="I10274" s="20">
        <v>20.834</v>
      </c>
      <c r="J10274" s="44" t="s">
        <v>8</v>
      </c>
      <c r="K10274" s="23" t="s">
        <v>8</v>
      </c>
      <c r="L10274" s="23" t="s">
        <v>8</v>
      </c>
      <c r="M10274" s="23" t="s">
        <v>8</v>
      </c>
    </row>
    <row r="10275" spans="1:13" s="21" customFormat="1" x14ac:dyDescent="0.25">
      <c r="A10275" s="22" t="s">
        <v>8</v>
      </c>
      <c r="B10275" s="18" t="str">
        <f>"365976"</f>
        <v>365976</v>
      </c>
      <c r="C10275" s="19" t="s">
        <v>10119</v>
      </c>
      <c r="D10275" s="19" t="s">
        <v>25685</v>
      </c>
      <c r="E10275" s="19" t="s">
        <v>33186</v>
      </c>
      <c r="F10275" s="19" t="s">
        <v>36009</v>
      </c>
      <c r="G10275" s="18" t="str">
        <f>"44870"</f>
        <v>44870</v>
      </c>
      <c r="H10275" s="19" t="s">
        <v>34805</v>
      </c>
      <c r="I10275" s="20">
        <v>18.111999999999998</v>
      </c>
      <c r="J10275" s="44" t="s">
        <v>8</v>
      </c>
      <c r="K10275" s="23" t="s">
        <v>8</v>
      </c>
      <c r="L10275" s="23" t="s">
        <v>8</v>
      </c>
      <c r="M10275" s="23" t="s">
        <v>8</v>
      </c>
    </row>
    <row r="10276" spans="1:13" s="21" customFormat="1" x14ac:dyDescent="0.25">
      <c r="A10276" s="22" t="s">
        <v>8</v>
      </c>
      <c r="B10276" s="18" t="str">
        <f>"365977"</f>
        <v>365977</v>
      </c>
      <c r="C10276" s="19" t="s">
        <v>10120</v>
      </c>
      <c r="D10276" s="19" t="s">
        <v>25686</v>
      </c>
      <c r="E10276" s="19" t="s">
        <v>31038</v>
      </c>
      <c r="F10276" s="19" t="s">
        <v>36009</v>
      </c>
      <c r="G10276" s="18" t="str">
        <f>"44460"</f>
        <v>44460</v>
      </c>
      <c r="H10276" s="19" t="s">
        <v>30927</v>
      </c>
      <c r="I10276" s="20">
        <v>18.596</v>
      </c>
      <c r="J10276" s="44" t="s">
        <v>8</v>
      </c>
      <c r="K10276" s="23" t="s">
        <v>8</v>
      </c>
      <c r="L10276" s="23" t="s">
        <v>8</v>
      </c>
      <c r="M10276" s="23" t="s">
        <v>8</v>
      </c>
    </row>
    <row r="10277" spans="1:13" s="21" customFormat="1" x14ac:dyDescent="0.25">
      <c r="A10277" s="22" t="s">
        <v>8</v>
      </c>
      <c r="B10277" s="18" t="str">
        <f>"365978"</f>
        <v>365978</v>
      </c>
      <c r="C10277" s="19" t="s">
        <v>10121</v>
      </c>
      <c r="D10277" s="19" t="s">
        <v>25687</v>
      </c>
      <c r="E10277" s="19" t="s">
        <v>34412</v>
      </c>
      <c r="F10277" s="19" t="s">
        <v>36009</v>
      </c>
      <c r="G10277" s="18" t="str">
        <f>"45220"</f>
        <v>45220</v>
      </c>
      <c r="H10277" s="19" t="s">
        <v>30804</v>
      </c>
      <c r="I10277" s="20">
        <v>19.352</v>
      </c>
      <c r="J10277" s="44" t="s">
        <v>8</v>
      </c>
      <c r="K10277" s="23" t="s">
        <v>8</v>
      </c>
      <c r="L10277" s="23" t="s">
        <v>8</v>
      </c>
      <c r="M10277" s="23" t="s">
        <v>8</v>
      </c>
    </row>
    <row r="10278" spans="1:13" s="21" customFormat="1" x14ac:dyDescent="0.25">
      <c r="A10278" s="22" t="s">
        <v>8</v>
      </c>
      <c r="B10278" s="18" t="str">
        <f>"365979"</f>
        <v>365979</v>
      </c>
      <c r="C10278" s="19" t="s">
        <v>10122</v>
      </c>
      <c r="D10278" s="19" t="s">
        <v>25688</v>
      </c>
      <c r="E10278" s="19" t="s">
        <v>34531</v>
      </c>
      <c r="F10278" s="19" t="s">
        <v>36009</v>
      </c>
      <c r="G10278" s="18" t="str">
        <f>"45324"</f>
        <v>45324</v>
      </c>
      <c r="H10278" s="19" t="s">
        <v>32455</v>
      </c>
      <c r="I10278" s="20">
        <v>18.166</v>
      </c>
      <c r="J10278" s="44" t="s">
        <v>8</v>
      </c>
      <c r="K10278" s="23" t="s">
        <v>8</v>
      </c>
      <c r="L10278" s="23" t="s">
        <v>8</v>
      </c>
      <c r="M10278" s="23" t="s">
        <v>8</v>
      </c>
    </row>
    <row r="10279" spans="1:13" s="21" customFormat="1" x14ac:dyDescent="0.25">
      <c r="A10279" s="22" t="s">
        <v>8</v>
      </c>
      <c r="B10279" s="18" t="str">
        <f>"365980"</f>
        <v>365980</v>
      </c>
      <c r="C10279" s="19" t="s">
        <v>10123</v>
      </c>
      <c r="D10279" s="19" t="s">
        <v>25689</v>
      </c>
      <c r="E10279" s="19" t="s">
        <v>31715</v>
      </c>
      <c r="F10279" s="19" t="s">
        <v>36009</v>
      </c>
      <c r="G10279" s="18" t="str">
        <f>"43231"</f>
        <v>43231</v>
      </c>
      <c r="H10279" s="19" t="s">
        <v>5</v>
      </c>
      <c r="I10279" s="20">
        <v>18.004000000000001</v>
      </c>
      <c r="J10279" s="44" t="s">
        <v>8</v>
      </c>
      <c r="K10279" s="23" t="s">
        <v>8</v>
      </c>
      <c r="L10279" s="23" t="s">
        <v>8</v>
      </c>
      <c r="M10279" s="23" t="s">
        <v>8</v>
      </c>
    </row>
    <row r="10280" spans="1:13" s="21" customFormat="1" x14ac:dyDescent="0.25">
      <c r="A10280" s="22" t="s">
        <v>8</v>
      </c>
      <c r="B10280" s="18" t="str">
        <f>"365981"</f>
        <v>365981</v>
      </c>
      <c r="C10280" s="19" t="s">
        <v>10124</v>
      </c>
      <c r="D10280" s="19" t="s">
        <v>25690</v>
      </c>
      <c r="E10280" s="19" t="s">
        <v>32369</v>
      </c>
      <c r="F10280" s="19" t="s">
        <v>36009</v>
      </c>
      <c r="G10280" s="18" t="str">
        <f>"45405"</f>
        <v>45405</v>
      </c>
      <c r="H10280" s="19" t="s">
        <v>30833</v>
      </c>
      <c r="I10280" s="20">
        <v>19.571999999999999</v>
      </c>
      <c r="J10280" s="44" t="s">
        <v>8</v>
      </c>
      <c r="K10280" s="23" t="s">
        <v>8</v>
      </c>
      <c r="L10280" s="23" t="s">
        <v>8</v>
      </c>
      <c r="M10280" s="23" t="s">
        <v>8</v>
      </c>
    </row>
    <row r="10281" spans="1:13" s="21" customFormat="1" x14ac:dyDescent="0.25">
      <c r="A10281" s="22" t="s">
        <v>8</v>
      </c>
      <c r="B10281" s="18" t="str">
        <f>"365982"</f>
        <v>365982</v>
      </c>
      <c r="C10281" s="19" t="s">
        <v>10125</v>
      </c>
      <c r="D10281" s="19" t="s">
        <v>25691</v>
      </c>
      <c r="E10281" s="19" t="s">
        <v>34560</v>
      </c>
      <c r="F10281" s="19" t="s">
        <v>36009</v>
      </c>
      <c r="G10281" s="18" t="str">
        <f>"44818"</f>
        <v>44818</v>
      </c>
      <c r="H10281" s="19" t="s">
        <v>32641</v>
      </c>
      <c r="I10281" s="20">
        <v>19.885000000000002</v>
      </c>
      <c r="J10281" s="44" t="s">
        <v>8</v>
      </c>
      <c r="K10281" s="23" t="s">
        <v>8</v>
      </c>
      <c r="L10281" s="23" t="s">
        <v>8</v>
      </c>
      <c r="M10281" s="23" t="s">
        <v>8</v>
      </c>
    </row>
    <row r="10282" spans="1:13" s="21" customFormat="1" x14ac:dyDescent="0.25">
      <c r="A10282" s="22" t="s">
        <v>8</v>
      </c>
      <c r="B10282" s="18" t="str">
        <f>"365984"</f>
        <v>365984</v>
      </c>
      <c r="C10282" s="19" t="s">
        <v>10126</v>
      </c>
      <c r="D10282" s="19" t="s">
        <v>25692</v>
      </c>
      <c r="E10282" s="19" t="s">
        <v>34510</v>
      </c>
      <c r="F10282" s="19" t="s">
        <v>36009</v>
      </c>
      <c r="G10282" s="18" t="str">
        <f>"45342"</f>
        <v>45342</v>
      </c>
      <c r="H10282" s="19" t="s">
        <v>30833</v>
      </c>
      <c r="I10282" s="20">
        <v>21.850999999999999</v>
      </c>
      <c r="J10282" s="44" t="s">
        <v>8</v>
      </c>
      <c r="K10282" s="23" t="s">
        <v>8</v>
      </c>
      <c r="L10282" s="23" t="s">
        <v>8</v>
      </c>
      <c r="M10282" s="23" t="s">
        <v>8</v>
      </c>
    </row>
    <row r="10283" spans="1:13" s="21" customFormat="1" x14ac:dyDescent="0.25">
      <c r="A10283" s="22" t="s">
        <v>8</v>
      </c>
      <c r="B10283" s="18" t="str">
        <f>"365987"</f>
        <v>365987</v>
      </c>
      <c r="C10283" s="19" t="s">
        <v>10127</v>
      </c>
      <c r="D10283" s="19" t="s">
        <v>25693</v>
      </c>
      <c r="E10283" s="19" t="s">
        <v>34561</v>
      </c>
      <c r="F10283" s="19" t="s">
        <v>36009</v>
      </c>
      <c r="G10283" s="18" t="str">
        <f>"43920"</f>
        <v>43920</v>
      </c>
      <c r="H10283" s="19" t="s">
        <v>30927</v>
      </c>
      <c r="I10283" s="20">
        <v>24.533999999999999</v>
      </c>
      <c r="J10283" s="44" t="s">
        <v>8</v>
      </c>
      <c r="K10283" s="23" t="s">
        <v>8</v>
      </c>
      <c r="L10283" s="23" t="s">
        <v>8</v>
      </c>
      <c r="M10283" s="23" t="s">
        <v>8</v>
      </c>
    </row>
    <row r="10284" spans="1:13" s="21" customFormat="1" x14ac:dyDescent="0.25">
      <c r="A10284" s="22" t="s">
        <v>8</v>
      </c>
      <c r="B10284" s="18" t="str">
        <f>"365988"</f>
        <v>365988</v>
      </c>
      <c r="C10284" s="19" t="s">
        <v>10128</v>
      </c>
      <c r="D10284" s="19" t="s">
        <v>25694</v>
      </c>
      <c r="E10284" s="19" t="s">
        <v>31715</v>
      </c>
      <c r="F10284" s="19" t="s">
        <v>36009</v>
      </c>
      <c r="G10284" s="18" t="str">
        <f>"43235"</f>
        <v>43235</v>
      </c>
      <c r="H10284" s="19" t="s">
        <v>5</v>
      </c>
      <c r="I10284" s="20">
        <v>19.157</v>
      </c>
      <c r="J10284" s="44" t="s">
        <v>8</v>
      </c>
      <c r="K10284" s="23" t="s">
        <v>8</v>
      </c>
      <c r="L10284" s="23" t="s">
        <v>8</v>
      </c>
      <c r="M10284" s="23" t="s">
        <v>8</v>
      </c>
    </row>
    <row r="10285" spans="1:13" s="21" customFormat="1" x14ac:dyDescent="0.25">
      <c r="A10285" s="22" t="s">
        <v>8</v>
      </c>
      <c r="B10285" s="18" t="str">
        <f>"365990"</f>
        <v>365990</v>
      </c>
      <c r="C10285" s="19" t="s">
        <v>10129</v>
      </c>
      <c r="D10285" s="19" t="s">
        <v>25695</v>
      </c>
      <c r="E10285" s="19" t="s">
        <v>31492</v>
      </c>
      <c r="F10285" s="19" t="s">
        <v>36009</v>
      </c>
      <c r="G10285" s="18" t="str">
        <f>"44622"</f>
        <v>44622</v>
      </c>
      <c r="H10285" s="19" t="s">
        <v>36675</v>
      </c>
      <c r="I10285" s="20">
        <v>19.312000000000001</v>
      </c>
      <c r="J10285" s="44" t="s">
        <v>8</v>
      </c>
      <c r="K10285" s="23" t="s">
        <v>8</v>
      </c>
      <c r="L10285" s="23" t="s">
        <v>8</v>
      </c>
      <c r="M10285" s="23" t="s">
        <v>8</v>
      </c>
    </row>
    <row r="10286" spans="1:13" s="21" customFormat="1" x14ac:dyDescent="0.25">
      <c r="A10286" s="22" t="s">
        <v>8</v>
      </c>
      <c r="B10286" s="18" t="str">
        <f>"365991"</f>
        <v>365991</v>
      </c>
      <c r="C10286" s="19" t="s">
        <v>10130</v>
      </c>
      <c r="D10286" s="19" t="s">
        <v>25696</v>
      </c>
      <c r="E10286" s="19" t="s">
        <v>34484</v>
      </c>
      <c r="F10286" s="19" t="s">
        <v>36009</v>
      </c>
      <c r="G10286" s="18" t="str">
        <f>"44438"</f>
        <v>44438</v>
      </c>
      <c r="H10286" s="19" t="s">
        <v>31393</v>
      </c>
      <c r="I10286" s="20">
        <v>18.562999999999999</v>
      </c>
      <c r="J10286" s="44" t="s">
        <v>8</v>
      </c>
      <c r="K10286" s="23" t="s">
        <v>8</v>
      </c>
      <c r="L10286" s="23" t="s">
        <v>8</v>
      </c>
      <c r="M10286" s="23" t="s">
        <v>8</v>
      </c>
    </row>
    <row r="10287" spans="1:13" s="21" customFormat="1" x14ac:dyDescent="0.25">
      <c r="A10287" s="22" t="s">
        <v>8</v>
      </c>
      <c r="B10287" s="18" t="str">
        <f>"365993"</f>
        <v>365993</v>
      </c>
      <c r="C10287" s="19" t="s">
        <v>10131</v>
      </c>
      <c r="D10287" s="19" t="s">
        <v>25697</v>
      </c>
      <c r="E10287" s="19" t="s">
        <v>31696</v>
      </c>
      <c r="F10287" s="19" t="s">
        <v>36009</v>
      </c>
      <c r="G10287" s="18" t="str">
        <f>"44641"</f>
        <v>44641</v>
      </c>
      <c r="H10287" s="19" t="s">
        <v>36240</v>
      </c>
      <c r="I10287" s="20">
        <v>17.465</v>
      </c>
      <c r="J10287" s="44" t="s">
        <v>8</v>
      </c>
      <c r="K10287" s="23" t="s">
        <v>8</v>
      </c>
      <c r="L10287" s="23" t="s">
        <v>8</v>
      </c>
      <c r="M10287" s="23" t="s">
        <v>8</v>
      </c>
    </row>
    <row r="10288" spans="1:13" s="21" customFormat="1" x14ac:dyDescent="0.25">
      <c r="A10288" s="22" t="s">
        <v>8</v>
      </c>
      <c r="B10288" s="18" t="str">
        <f>"365994"</f>
        <v>365994</v>
      </c>
      <c r="C10288" s="19" t="s">
        <v>10132</v>
      </c>
      <c r="D10288" s="19" t="s">
        <v>25698</v>
      </c>
      <c r="E10288" s="19" t="s">
        <v>32016</v>
      </c>
      <c r="F10288" s="19" t="s">
        <v>36009</v>
      </c>
      <c r="G10288" s="18" t="str">
        <f>"45133"</f>
        <v>45133</v>
      </c>
      <c r="H10288" s="19" t="s">
        <v>31280</v>
      </c>
      <c r="I10288" s="20">
        <v>19.091000000000001</v>
      </c>
      <c r="J10288" s="44" t="s">
        <v>8</v>
      </c>
      <c r="K10288" s="23" t="s">
        <v>8</v>
      </c>
      <c r="L10288" s="23" t="s">
        <v>8</v>
      </c>
      <c r="M10288" s="23" t="s">
        <v>8</v>
      </c>
    </row>
    <row r="10289" spans="1:13" s="21" customFormat="1" x14ac:dyDescent="0.25">
      <c r="A10289" s="22" t="s">
        <v>8</v>
      </c>
      <c r="B10289" s="18" t="str">
        <f>"365995"</f>
        <v>365995</v>
      </c>
      <c r="C10289" s="19" t="s">
        <v>10133</v>
      </c>
      <c r="D10289" s="19" t="s">
        <v>25699</v>
      </c>
      <c r="E10289" s="19" t="s">
        <v>34472</v>
      </c>
      <c r="F10289" s="19" t="s">
        <v>36009</v>
      </c>
      <c r="G10289" s="18" t="str">
        <f>"44662"</f>
        <v>44662</v>
      </c>
      <c r="H10289" s="19" t="s">
        <v>36240</v>
      </c>
      <c r="I10289" s="20">
        <v>17.904</v>
      </c>
      <c r="J10289" s="44" t="s">
        <v>8</v>
      </c>
      <c r="K10289" s="23" t="s">
        <v>8</v>
      </c>
      <c r="L10289" s="23" t="s">
        <v>8</v>
      </c>
      <c r="M10289" s="23" t="s">
        <v>8</v>
      </c>
    </row>
    <row r="10290" spans="1:13" s="21" customFormat="1" x14ac:dyDescent="0.25">
      <c r="A10290" s="22" t="s">
        <v>8</v>
      </c>
      <c r="B10290" s="18" t="str">
        <f>"365996"</f>
        <v>365996</v>
      </c>
      <c r="C10290" s="19" t="s">
        <v>10134</v>
      </c>
      <c r="D10290" s="19" t="s">
        <v>25700</v>
      </c>
      <c r="E10290" s="19" t="s">
        <v>32505</v>
      </c>
      <c r="F10290" s="19" t="s">
        <v>36009</v>
      </c>
      <c r="G10290" s="18" t="str">
        <f>"43614"</f>
        <v>43614</v>
      </c>
      <c r="H10290" s="19" t="s">
        <v>36287</v>
      </c>
      <c r="I10290" s="20">
        <v>17.271999999999998</v>
      </c>
      <c r="J10290" s="44" t="s">
        <v>8</v>
      </c>
      <c r="K10290" s="23" t="s">
        <v>8</v>
      </c>
      <c r="L10290" s="23" t="s">
        <v>8</v>
      </c>
      <c r="M10290" s="23" t="s">
        <v>8</v>
      </c>
    </row>
    <row r="10291" spans="1:13" s="21" customFormat="1" x14ac:dyDescent="0.25">
      <c r="A10291" s="22" t="s">
        <v>8</v>
      </c>
      <c r="B10291" s="18" t="str">
        <f>"365997"</f>
        <v>365997</v>
      </c>
      <c r="C10291" s="19" t="s">
        <v>10135</v>
      </c>
      <c r="D10291" s="19" t="s">
        <v>25701</v>
      </c>
      <c r="E10291" s="19" t="s">
        <v>33186</v>
      </c>
      <c r="F10291" s="19" t="s">
        <v>36009</v>
      </c>
      <c r="G10291" s="18" t="str">
        <f>"44870"</f>
        <v>44870</v>
      </c>
      <c r="H10291" s="19" t="s">
        <v>34805</v>
      </c>
      <c r="I10291" s="20">
        <v>16.13</v>
      </c>
      <c r="J10291" s="44" t="s">
        <v>8</v>
      </c>
      <c r="K10291" s="23" t="s">
        <v>8</v>
      </c>
      <c r="L10291" s="23" t="s">
        <v>8</v>
      </c>
      <c r="M10291" s="23" t="s">
        <v>8</v>
      </c>
    </row>
    <row r="10292" spans="1:13" s="21" customFormat="1" x14ac:dyDescent="0.25">
      <c r="A10292" s="22" t="s">
        <v>8</v>
      </c>
      <c r="B10292" s="18" t="str">
        <f>"365998"</f>
        <v>365998</v>
      </c>
      <c r="C10292" s="19" t="s">
        <v>10136</v>
      </c>
      <c r="D10292" s="19" t="s">
        <v>25702</v>
      </c>
      <c r="E10292" s="19" t="s">
        <v>34496</v>
      </c>
      <c r="F10292" s="19" t="s">
        <v>36009</v>
      </c>
      <c r="G10292" s="18" t="str">
        <f>"45614"</f>
        <v>45614</v>
      </c>
      <c r="H10292" s="19" t="s">
        <v>36679</v>
      </c>
      <c r="I10292" s="20">
        <v>17.326000000000001</v>
      </c>
      <c r="J10292" s="44" t="s">
        <v>8</v>
      </c>
      <c r="K10292" s="23" t="s">
        <v>8</v>
      </c>
      <c r="L10292" s="23" t="s">
        <v>8</v>
      </c>
      <c r="M10292" s="23" t="s">
        <v>8</v>
      </c>
    </row>
    <row r="10293" spans="1:13" s="21" customFormat="1" x14ac:dyDescent="0.25">
      <c r="A10293" s="22" t="s">
        <v>8</v>
      </c>
      <c r="B10293" s="18" t="str">
        <f>"366000"</f>
        <v>366000</v>
      </c>
      <c r="C10293" s="19" t="s">
        <v>10137</v>
      </c>
      <c r="D10293" s="19" t="s">
        <v>25703</v>
      </c>
      <c r="E10293" s="19" t="s">
        <v>34510</v>
      </c>
      <c r="F10293" s="19" t="s">
        <v>36009</v>
      </c>
      <c r="G10293" s="18" t="str">
        <f>"45342"</f>
        <v>45342</v>
      </c>
      <c r="H10293" s="19" t="s">
        <v>30833</v>
      </c>
      <c r="I10293" s="20">
        <v>16.001999999999999</v>
      </c>
      <c r="J10293" s="44" t="s">
        <v>8</v>
      </c>
      <c r="K10293" s="23" t="s">
        <v>8</v>
      </c>
      <c r="L10293" s="23" t="s">
        <v>8</v>
      </c>
      <c r="M10293" s="23" t="s">
        <v>8</v>
      </c>
    </row>
    <row r="10294" spans="1:13" s="21" customFormat="1" x14ac:dyDescent="0.25">
      <c r="A10294" s="22" t="s">
        <v>8</v>
      </c>
      <c r="B10294" s="18" t="str">
        <f>"366001"</f>
        <v>366001</v>
      </c>
      <c r="C10294" s="19" t="s">
        <v>10138</v>
      </c>
      <c r="D10294" s="19" t="s">
        <v>25704</v>
      </c>
      <c r="E10294" s="19" t="s">
        <v>31718</v>
      </c>
      <c r="F10294" s="19" t="s">
        <v>36009</v>
      </c>
      <c r="G10294" s="18" t="str">
        <f>"45750"</f>
        <v>45750</v>
      </c>
      <c r="H10294" s="19" t="s">
        <v>31500</v>
      </c>
      <c r="I10294" s="20">
        <v>19.858000000000001</v>
      </c>
      <c r="J10294" s="44" t="s">
        <v>8</v>
      </c>
      <c r="K10294" s="23" t="s">
        <v>8</v>
      </c>
      <c r="L10294" s="23" t="s">
        <v>8</v>
      </c>
      <c r="M10294" s="23" t="s">
        <v>8</v>
      </c>
    </row>
    <row r="10295" spans="1:13" s="21" customFormat="1" x14ac:dyDescent="0.25">
      <c r="A10295" s="22" t="s">
        <v>8</v>
      </c>
      <c r="B10295" s="18" t="str">
        <f>"366002"</f>
        <v>366002</v>
      </c>
      <c r="C10295" s="19" t="s">
        <v>10139</v>
      </c>
      <c r="D10295" s="19" t="s">
        <v>25705</v>
      </c>
      <c r="E10295" s="19" t="s">
        <v>34562</v>
      </c>
      <c r="F10295" s="19" t="s">
        <v>36009</v>
      </c>
      <c r="G10295" s="18" t="str">
        <f>"44827"</f>
        <v>44827</v>
      </c>
      <c r="H10295" s="19" t="s">
        <v>31759</v>
      </c>
      <c r="I10295" s="20">
        <v>20.45</v>
      </c>
      <c r="J10295" s="44" t="s">
        <v>8</v>
      </c>
      <c r="K10295" s="23" t="s">
        <v>8</v>
      </c>
      <c r="L10295" s="23" t="s">
        <v>8</v>
      </c>
      <c r="M10295" s="23" t="s">
        <v>8</v>
      </c>
    </row>
    <row r="10296" spans="1:13" s="21" customFormat="1" x14ac:dyDescent="0.25">
      <c r="A10296" s="22" t="s">
        <v>8</v>
      </c>
      <c r="B10296" s="18" t="str">
        <f>"366003"</f>
        <v>366003</v>
      </c>
      <c r="C10296" s="19" t="s">
        <v>10140</v>
      </c>
      <c r="D10296" s="19" t="s">
        <v>25706</v>
      </c>
      <c r="E10296" s="19" t="s">
        <v>34563</v>
      </c>
      <c r="F10296" s="19" t="s">
        <v>36009</v>
      </c>
      <c r="G10296" s="18" t="str">
        <f>"45629"</f>
        <v>45629</v>
      </c>
      <c r="H10296" s="19" t="s">
        <v>36678</v>
      </c>
      <c r="I10296" s="20">
        <v>17.404</v>
      </c>
      <c r="J10296" s="44" t="s">
        <v>8</v>
      </c>
      <c r="K10296" s="23" t="s">
        <v>8</v>
      </c>
      <c r="L10296" s="23" t="s">
        <v>8</v>
      </c>
      <c r="M10296" s="23" t="s">
        <v>8</v>
      </c>
    </row>
    <row r="10297" spans="1:13" s="21" customFormat="1" x14ac:dyDescent="0.25">
      <c r="A10297" s="22" t="s">
        <v>8</v>
      </c>
      <c r="B10297" s="18" t="str">
        <f>"366004"</f>
        <v>366004</v>
      </c>
      <c r="C10297" s="19" t="s">
        <v>10141</v>
      </c>
      <c r="D10297" s="19" t="s">
        <v>25707</v>
      </c>
      <c r="E10297" s="19" t="s">
        <v>31333</v>
      </c>
      <c r="F10297" s="19" t="s">
        <v>36009</v>
      </c>
      <c r="G10297" s="18" t="str">
        <f>"44202"</f>
        <v>44202</v>
      </c>
      <c r="H10297" s="19" t="s">
        <v>32230</v>
      </c>
      <c r="I10297" s="20">
        <v>21.7</v>
      </c>
      <c r="J10297" s="44" t="s">
        <v>8</v>
      </c>
      <c r="K10297" s="23" t="s">
        <v>8</v>
      </c>
      <c r="L10297" s="23" t="s">
        <v>8</v>
      </c>
      <c r="M10297" s="23" t="s">
        <v>8</v>
      </c>
    </row>
    <row r="10298" spans="1:13" s="21" customFormat="1" x14ac:dyDescent="0.25">
      <c r="A10298" s="22" t="s">
        <v>8</v>
      </c>
      <c r="B10298" s="18" t="str">
        <f>"366008"</f>
        <v>366008</v>
      </c>
      <c r="C10298" s="19" t="s">
        <v>10142</v>
      </c>
      <c r="D10298" s="19" t="s">
        <v>25708</v>
      </c>
      <c r="E10298" s="19" t="s">
        <v>34564</v>
      </c>
      <c r="F10298" s="19" t="s">
        <v>36009</v>
      </c>
      <c r="G10298" s="18" t="str">
        <f>"44143"</f>
        <v>44143</v>
      </c>
      <c r="H10298" s="19" t="s">
        <v>36671</v>
      </c>
      <c r="I10298" s="20">
        <v>18.850000000000001</v>
      </c>
      <c r="J10298" s="44" t="s">
        <v>8</v>
      </c>
      <c r="K10298" s="23" t="s">
        <v>8</v>
      </c>
      <c r="L10298" s="23" t="s">
        <v>8</v>
      </c>
      <c r="M10298" s="23" t="s">
        <v>8</v>
      </c>
    </row>
    <row r="10299" spans="1:13" s="21" customFormat="1" x14ac:dyDescent="0.25">
      <c r="A10299" s="22" t="s">
        <v>8</v>
      </c>
      <c r="B10299" s="18" t="str">
        <f>"366010"</f>
        <v>366010</v>
      </c>
      <c r="C10299" s="19" t="s">
        <v>10143</v>
      </c>
      <c r="D10299" s="19" t="s">
        <v>25709</v>
      </c>
      <c r="E10299" s="19" t="s">
        <v>34507</v>
      </c>
      <c r="F10299" s="19" t="s">
        <v>36009</v>
      </c>
      <c r="G10299" s="18" t="str">
        <f>"44278"</f>
        <v>44278</v>
      </c>
      <c r="H10299" s="19" t="s">
        <v>36107</v>
      </c>
      <c r="I10299" s="20">
        <v>18.053999999999998</v>
      </c>
      <c r="J10299" s="44" t="s">
        <v>8</v>
      </c>
      <c r="K10299" s="23" t="s">
        <v>8</v>
      </c>
      <c r="L10299" s="23" t="s">
        <v>8</v>
      </c>
      <c r="M10299" s="23" t="s">
        <v>8</v>
      </c>
    </row>
    <row r="10300" spans="1:13" s="21" customFormat="1" x14ac:dyDescent="0.25">
      <c r="A10300" s="22" t="s">
        <v>8</v>
      </c>
      <c r="B10300" s="18" t="str">
        <f>"366011"</f>
        <v>366011</v>
      </c>
      <c r="C10300" s="19" t="s">
        <v>10144</v>
      </c>
      <c r="D10300" s="19" t="s">
        <v>25710</v>
      </c>
      <c r="E10300" s="19" t="s">
        <v>34519</v>
      </c>
      <c r="F10300" s="19" t="s">
        <v>36009</v>
      </c>
      <c r="G10300" s="18" t="str">
        <f>"44060"</f>
        <v>44060</v>
      </c>
      <c r="H10300" s="19" t="s">
        <v>36096</v>
      </c>
      <c r="I10300" s="20">
        <v>17.963000000000001</v>
      </c>
      <c r="J10300" s="44" t="s">
        <v>8</v>
      </c>
      <c r="K10300" s="23" t="s">
        <v>8</v>
      </c>
      <c r="L10300" s="23" t="s">
        <v>8</v>
      </c>
      <c r="M10300" s="23" t="s">
        <v>8</v>
      </c>
    </row>
    <row r="10301" spans="1:13" s="21" customFormat="1" x14ac:dyDescent="0.25">
      <c r="A10301" s="22" t="s">
        <v>8</v>
      </c>
      <c r="B10301" s="18" t="str">
        <f>"366012"</f>
        <v>366012</v>
      </c>
      <c r="C10301" s="19" t="s">
        <v>10145</v>
      </c>
      <c r="D10301" s="19" t="s">
        <v>25711</v>
      </c>
      <c r="E10301" s="19" t="s">
        <v>34565</v>
      </c>
      <c r="F10301" s="19" t="s">
        <v>36009</v>
      </c>
      <c r="G10301" s="18" t="str">
        <f>"44813"</f>
        <v>44813</v>
      </c>
      <c r="H10301" s="19" t="s">
        <v>31785</v>
      </c>
      <c r="I10301" s="20">
        <v>17.361999999999998</v>
      </c>
      <c r="J10301" s="44" t="s">
        <v>8</v>
      </c>
      <c r="K10301" s="23" t="s">
        <v>8</v>
      </c>
      <c r="L10301" s="23" t="s">
        <v>8</v>
      </c>
      <c r="M10301" s="23" t="s">
        <v>8</v>
      </c>
    </row>
    <row r="10302" spans="1:13" s="21" customFormat="1" x14ac:dyDescent="0.25">
      <c r="A10302" s="22" t="s">
        <v>8</v>
      </c>
      <c r="B10302" s="18" t="str">
        <f>"366013"</f>
        <v>366013</v>
      </c>
      <c r="C10302" s="19" t="s">
        <v>10146</v>
      </c>
      <c r="D10302" s="19" t="s">
        <v>25712</v>
      </c>
      <c r="E10302" s="19" t="s">
        <v>32692</v>
      </c>
      <c r="F10302" s="19" t="s">
        <v>36009</v>
      </c>
      <c r="G10302" s="18" t="str">
        <f>"44904"</f>
        <v>44904</v>
      </c>
      <c r="H10302" s="19" t="s">
        <v>31785</v>
      </c>
      <c r="I10302" s="20">
        <v>19.946999999999999</v>
      </c>
      <c r="J10302" s="44" t="s">
        <v>8</v>
      </c>
      <c r="K10302" s="23" t="s">
        <v>8</v>
      </c>
      <c r="L10302" s="23" t="s">
        <v>8</v>
      </c>
      <c r="M10302" s="23" t="s">
        <v>8</v>
      </c>
    </row>
    <row r="10303" spans="1:13" s="21" customFormat="1" x14ac:dyDescent="0.25">
      <c r="A10303" s="22" t="s">
        <v>8</v>
      </c>
      <c r="B10303" s="18" t="str">
        <f>"366014"</f>
        <v>366014</v>
      </c>
      <c r="C10303" s="19" t="s">
        <v>10147</v>
      </c>
      <c r="D10303" s="19" t="s">
        <v>25713</v>
      </c>
      <c r="E10303" s="19" t="s">
        <v>32023</v>
      </c>
      <c r="F10303" s="19" t="s">
        <v>36009</v>
      </c>
      <c r="G10303" s="18" t="str">
        <f>"43050"</f>
        <v>43050</v>
      </c>
      <c r="H10303" s="19" t="s">
        <v>32252</v>
      </c>
      <c r="I10303" s="20">
        <v>17.382999999999999</v>
      </c>
      <c r="J10303" s="44" t="s">
        <v>8</v>
      </c>
      <c r="K10303" s="23" t="s">
        <v>8</v>
      </c>
      <c r="L10303" s="23" t="s">
        <v>8</v>
      </c>
      <c r="M10303" s="23" t="s">
        <v>8</v>
      </c>
    </row>
    <row r="10304" spans="1:13" s="21" customFormat="1" x14ac:dyDescent="0.25">
      <c r="A10304" s="22" t="s">
        <v>8</v>
      </c>
      <c r="B10304" s="18" t="str">
        <f>"366015"</f>
        <v>366015</v>
      </c>
      <c r="C10304" s="19" t="s">
        <v>10148</v>
      </c>
      <c r="D10304" s="19" t="s">
        <v>25714</v>
      </c>
      <c r="E10304" s="19" t="s">
        <v>34519</v>
      </c>
      <c r="F10304" s="19" t="s">
        <v>36009</v>
      </c>
      <c r="G10304" s="18" t="str">
        <f>"44060"</f>
        <v>44060</v>
      </c>
      <c r="H10304" s="19" t="s">
        <v>36096</v>
      </c>
      <c r="I10304" s="20">
        <v>21.28</v>
      </c>
      <c r="J10304" s="44" t="s">
        <v>8</v>
      </c>
      <c r="K10304" s="23" t="s">
        <v>8</v>
      </c>
      <c r="L10304" s="23" t="s">
        <v>8</v>
      </c>
      <c r="M10304" s="23" t="s">
        <v>8</v>
      </c>
    </row>
    <row r="10305" spans="1:13" s="21" customFormat="1" x14ac:dyDescent="0.25">
      <c r="A10305" s="22" t="s">
        <v>8</v>
      </c>
      <c r="B10305" s="18" t="str">
        <f>"366016"</f>
        <v>366016</v>
      </c>
      <c r="C10305" s="19" t="s">
        <v>10149</v>
      </c>
      <c r="D10305" s="19" t="s">
        <v>25715</v>
      </c>
      <c r="E10305" s="19" t="s">
        <v>31184</v>
      </c>
      <c r="F10305" s="19" t="s">
        <v>36009</v>
      </c>
      <c r="G10305" s="18" t="str">
        <f>"43130"</f>
        <v>43130</v>
      </c>
      <c r="H10305" s="19" t="s">
        <v>31103</v>
      </c>
      <c r="I10305" s="20">
        <v>19.427</v>
      </c>
      <c r="J10305" s="44" t="s">
        <v>8</v>
      </c>
      <c r="K10305" s="23" t="s">
        <v>8</v>
      </c>
      <c r="L10305" s="23" t="s">
        <v>8</v>
      </c>
      <c r="M10305" s="23" t="s">
        <v>8</v>
      </c>
    </row>
    <row r="10306" spans="1:13" s="21" customFormat="1" x14ac:dyDescent="0.25">
      <c r="A10306" s="22" t="s">
        <v>8</v>
      </c>
      <c r="B10306" s="18" t="str">
        <f>"366017"</f>
        <v>366017</v>
      </c>
      <c r="C10306" s="19" t="s">
        <v>10150</v>
      </c>
      <c r="D10306" s="19" t="s">
        <v>25716</v>
      </c>
      <c r="E10306" s="19" t="s">
        <v>32373</v>
      </c>
      <c r="F10306" s="19" t="s">
        <v>36009</v>
      </c>
      <c r="G10306" s="18" t="str">
        <f>"43138"</f>
        <v>43138</v>
      </c>
      <c r="H10306" s="19" t="s">
        <v>36681</v>
      </c>
      <c r="I10306" s="20">
        <v>18.760999999999999</v>
      </c>
      <c r="J10306" s="44" t="s">
        <v>8</v>
      </c>
      <c r="K10306" s="23" t="s">
        <v>8</v>
      </c>
      <c r="L10306" s="23" t="s">
        <v>8</v>
      </c>
      <c r="M10306" s="23" t="s">
        <v>8</v>
      </c>
    </row>
    <row r="10307" spans="1:13" s="21" customFormat="1" x14ac:dyDescent="0.25">
      <c r="A10307" s="22" t="s">
        <v>8</v>
      </c>
      <c r="B10307" s="18" t="str">
        <f>"366021"</f>
        <v>366021</v>
      </c>
      <c r="C10307" s="19" t="s">
        <v>10151</v>
      </c>
      <c r="D10307" s="19" t="s">
        <v>25717</v>
      </c>
      <c r="E10307" s="19" t="s">
        <v>34566</v>
      </c>
      <c r="F10307" s="19" t="s">
        <v>36009</v>
      </c>
      <c r="G10307" s="18" t="str">
        <f>"44122"</f>
        <v>44122</v>
      </c>
      <c r="H10307" s="19" t="s">
        <v>36671</v>
      </c>
      <c r="I10307" s="20">
        <v>21.597999999999999</v>
      </c>
      <c r="J10307" s="44" t="s">
        <v>8</v>
      </c>
      <c r="K10307" s="23" t="s">
        <v>8</v>
      </c>
      <c r="L10307" s="23" t="s">
        <v>8</v>
      </c>
      <c r="M10307" s="23" t="s">
        <v>8</v>
      </c>
    </row>
    <row r="10308" spans="1:13" s="21" customFormat="1" x14ac:dyDescent="0.25">
      <c r="A10308" s="22" t="s">
        <v>8</v>
      </c>
      <c r="B10308" s="18" t="str">
        <f>"366022"</f>
        <v>366022</v>
      </c>
      <c r="C10308" s="19" t="s">
        <v>10152</v>
      </c>
      <c r="D10308" s="19" t="s">
        <v>25718</v>
      </c>
      <c r="E10308" s="19" t="s">
        <v>34480</v>
      </c>
      <c r="F10308" s="19" t="s">
        <v>36009</v>
      </c>
      <c r="G10308" s="18" t="str">
        <f>"43551"</f>
        <v>43551</v>
      </c>
      <c r="H10308" s="19" t="s">
        <v>36673</v>
      </c>
      <c r="I10308" s="20">
        <v>18.603000000000002</v>
      </c>
      <c r="J10308" s="44" t="s">
        <v>8</v>
      </c>
      <c r="K10308" s="23" t="s">
        <v>8</v>
      </c>
      <c r="L10308" s="23" t="s">
        <v>8</v>
      </c>
      <c r="M10308" s="23" t="s">
        <v>8</v>
      </c>
    </row>
    <row r="10309" spans="1:13" s="21" customFormat="1" x14ac:dyDescent="0.25">
      <c r="A10309" s="22" t="s">
        <v>8</v>
      </c>
      <c r="B10309" s="18" t="str">
        <f>"366023"</f>
        <v>366023</v>
      </c>
      <c r="C10309" s="19" t="s">
        <v>10153</v>
      </c>
      <c r="D10309" s="19" t="s">
        <v>25719</v>
      </c>
      <c r="E10309" s="19" t="s">
        <v>34412</v>
      </c>
      <c r="F10309" s="19" t="s">
        <v>36009</v>
      </c>
      <c r="G10309" s="18" t="str">
        <f>"45224"</f>
        <v>45224</v>
      </c>
      <c r="H10309" s="19" t="s">
        <v>30804</v>
      </c>
      <c r="I10309" s="20">
        <v>18.353000000000002</v>
      </c>
      <c r="J10309" s="44" t="s">
        <v>8</v>
      </c>
      <c r="K10309" s="23" t="s">
        <v>8</v>
      </c>
      <c r="L10309" s="23" t="s">
        <v>8</v>
      </c>
      <c r="M10309" s="23" t="s">
        <v>8</v>
      </c>
    </row>
    <row r="10310" spans="1:13" s="21" customFormat="1" x14ac:dyDescent="0.25">
      <c r="A10310" s="22" t="s">
        <v>8</v>
      </c>
      <c r="B10310" s="18" t="str">
        <f>"366024"</f>
        <v>366024</v>
      </c>
      <c r="C10310" s="19" t="s">
        <v>10154</v>
      </c>
      <c r="D10310" s="19" t="s">
        <v>25720</v>
      </c>
      <c r="E10310" s="19" t="s">
        <v>34506</v>
      </c>
      <c r="F10310" s="19" t="s">
        <v>36009</v>
      </c>
      <c r="G10310" s="18" t="str">
        <f>"44654"</f>
        <v>44654</v>
      </c>
      <c r="H10310" s="19" t="s">
        <v>34081</v>
      </c>
      <c r="I10310" s="20">
        <v>17.047000000000001</v>
      </c>
      <c r="J10310" s="44" t="s">
        <v>8</v>
      </c>
      <c r="K10310" s="23" t="s">
        <v>8</v>
      </c>
      <c r="L10310" s="23" t="s">
        <v>8</v>
      </c>
      <c r="M10310" s="23" t="s">
        <v>8</v>
      </c>
    </row>
    <row r="10311" spans="1:13" s="21" customFormat="1" x14ac:dyDescent="0.25">
      <c r="A10311" s="22" t="s">
        <v>8</v>
      </c>
      <c r="B10311" s="18" t="str">
        <f>"366025"</f>
        <v>366025</v>
      </c>
      <c r="C10311" s="19" t="s">
        <v>10155</v>
      </c>
      <c r="D10311" s="19" t="s">
        <v>25721</v>
      </c>
      <c r="E10311" s="19" t="s">
        <v>34412</v>
      </c>
      <c r="F10311" s="19" t="s">
        <v>36009</v>
      </c>
      <c r="G10311" s="18" t="str">
        <f>"45231"</f>
        <v>45231</v>
      </c>
      <c r="H10311" s="19" t="s">
        <v>30804</v>
      </c>
      <c r="I10311" s="20">
        <v>18.138000000000002</v>
      </c>
      <c r="J10311" s="44" t="s">
        <v>8</v>
      </c>
      <c r="K10311" s="23" t="s">
        <v>8</v>
      </c>
      <c r="L10311" s="23" t="s">
        <v>8</v>
      </c>
      <c r="M10311" s="23" t="s">
        <v>8</v>
      </c>
    </row>
    <row r="10312" spans="1:13" s="21" customFormat="1" x14ac:dyDescent="0.25">
      <c r="A10312" s="22" t="s">
        <v>8</v>
      </c>
      <c r="B10312" s="18" t="str">
        <f>"366026"</f>
        <v>366026</v>
      </c>
      <c r="C10312" s="19" t="s">
        <v>10156</v>
      </c>
      <c r="D10312" s="19" t="s">
        <v>25722</v>
      </c>
      <c r="E10312" s="19" t="s">
        <v>34462</v>
      </c>
      <c r="F10312" s="19" t="s">
        <v>36009</v>
      </c>
      <c r="G10312" s="18" t="str">
        <f>"43015"</f>
        <v>43015</v>
      </c>
      <c r="H10312" s="19" t="s">
        <v>34462</v>
      </c>
      <c r="I10312" s="20">
        <v>18.041</v>
      </c>
      <c r="J10312" s="44" t="s">
        <v>8</v>
      </c>
      <c r="K10312" s="23" t="s">
        <v>8</v>
      </c>
      <c r="L10312" s="23" t="s">
        <v>8</v>
      </c>
      <c r="M10312" s="23" t="s">
        <v>8</v>
      </c>
    </row>
    <row r="10313" spans="1:13" s="21" customFormat="1" x14ac:dyDescent="0.25">
      <c r="A10313" s="22" t="s">
        <v>8</v>
      </c>
      <c r="B10313" s="18" t="str">
        <f>"366027"</f>
        <v>366027</v>
      </c>
      <c r="C10313" s="19" t="s">
        <v>10157</v>
      </c>
      <c r="D10313" s="19" t="s">
        <v>25723</v>
      </c>
      <c r="E10313" s="19" t="s">
        <v>33682</v>
      </c>
      <c r="F10313" s="19" t="s">
        <v>36009</v>
      </c>
      <c r="G10313" s="18" t="str">
        <f>"44632"</f>
        <v>44632</v>
      </c>
      <c r="H10313" s="19" t="s">
        <v>36240</v>
      </c>
      <c r="I10313" s="20">
        <v>16.585000000000001</v>
      </c>
      <c r="J10313" s="44" t="s">
        <v>8</v>
      </c>
      <c r="K10313" s="23" t="s">
        <v>8</v>
      </c>
      <c r="L10313" s="23" t="s">
        <v>8</v>
      </c>
      <c r="M10313" s="23" t="s">
        <v>8</v>
      </c>
    </row>
    <row r="10314" spans="1:13" s="21" customFormat="1" x14ac:dyDescent="0.25">
      <c r="A10314" s="22" t="s">
        <v>8</v>
      </c>
      <c r="B10314" s="18" t="str">
        <f>"366028"</f>
        <v>366028</v>
      </c>
      <c r="C10314" s="19" t="s">
        <v>10158</v>
      </c>
      <c r="D10314" s="19" t="s">
        <v>25724</v>
      </c>
      <c r="E10314" s="19" t="s">
        <v>34567</v>
      </c>
      <c r="F10314" s="19" t="s">
        <v>36009</v>
      </c>
      <c r="G10314" s="18" t="str">
        <f>"43338"</f>
        <v>43338</v>
      </c>
      <c r="H10314" s="19" t="s">
        <v>34548</v>
      </c>
      <c r="I10314" s="20">
        <v>16.585999999999999</v>
      </c>
      <c r="J10314" s="44" t="s">
        <v>8</v>
      </c>
      <c r="K10314" s="23" t="s">
        <v>8</v>
      </c>
      <c r="L10314" s="23" t="s">
        <v>8</v>
      </c>
      <c r="M10314" s="23" t="s">
        <v>8</v>
      </c>
    </row>
    <row r="10315" spans="1:13" s="21" customFormat="1" x14ac:dyDescent="0.25">
      <c r="A10315" s="22" t="s">
        <v>8</v>
      </c>
      <c r="B10315" s="18" t="str">
        <f>"366031"</f>
        <v>366031</v>
      </c>
      <c r="C10315" s="19" t="s">
        <v>10159</v>
      </c>
      <c r="D10315" s="19" t="s">
        <v>25725</v>
      </c>
      <c r="E10315" s="19" t="s">
        <v>34509</v>
      </c>
      <c r="F10315" s="19" t="s">
        <v>36009</v>
      </c>
      <c r="G10315" s="18" t="str">
        <f>"44089"</f>
        <v>44089</v>
      </c>
      <c r="H10315" s="19" t="s">
        <v>34805</v>
      </c>
      <c r="I10315" s="20">
        <v>18.256</v>
      </c>
      <c r="J10315" s="44" t="s">
        <v>8</v>
      </c>
      <c r="K10315" s="23" t="s">
        <v>8</v>
      </c>
      <c r="L10315" s="23" t="s">
        <v>8</v>
      </c>
      <c r="M10315" s="23" t="s">
        <v>8</v>
      </c>
    </row>
    <row r="10316" spans="1:13" s="21" customFormat="1" x14ac:dyDescent="0.25">
      <c r="A10316" s="22" t="s">
        <v>8</v>
      </c>
      <c r="B10316" s="18" t="str">
        <f>"366032"</f>
        <v>366032</v>
      </c>
      <c r="C10316" s="19" t="s">
        <v>10160</v>
      </c>
      <c r="D10316" s="19" t="s">
        <v>25726</v>
      </c>
      <c r="E10316" s="19" t="s">
        <v>34568</v>
      </c>
      <c r="F10316" s="19" t="s">
        <v>36009</v>
      </c>
      <c r="G10316" s="18" t="str">
        <f>"45877"</f>
        <v>45877</v>
      </c>
      <c r="H10316" s="19" t="s">
        <v>31482</v>
      </c>
      <c r="I10316" s="20">
        <v>16.471</v>
      </c>
      <c r="J10316" s="44" t="s">
        <v>8</v>
      </c>
      <c r="K10316" s="23" t="s">
        <v>8</v>
      </c>
      <c r="L10316" s="23" t="s">
        <v>8</v>
      </c>
      <c r="M10316" s="23" t="s">
        <v>8</v>
      </c>
    </row>
    <row r="10317" spans="1:13" s="21" customFormat="1" x14ac:dyDescent="0.25">
      <c r="A10317" s="22" t="s">
        <v>8</v>
      </c>
      <c r="B10317" s="18" t="str">
        <f>"366033"</f>
        <v>366033</v>
      </c>
      <c r="C10317" s="19" t="s">
        <v>10161</v>
      </c>
      <c r="D10317" s="19" t="s">
        <v>25727</v>
      </c>
      <c r="E10317" s="19" t="s">
        <v>32515</v>
      </c>
      <c r="F10317" s="19" t="s">
        <v>36009</v>
      </c>
      <c r="G10317" s="18" t="str">
        <f>"45365"</f>
        <v>45365</v>
      </c>
      <c r="H10317" s="19" t="s">
        <v>33565</v>
      </c>
      <c r="I10317" s="20">
        <v>18.559999999999999</v>
      </c>
      <c r="J10317" s="44" t="s">
        <v>8</v>
      </c>
      <c r="K10317" s="23" t="s">
        <v>8</v>
      </c>
      <c r="L10317" s="23" t="s">
        <v>8</v>
      </c>
      <c r="M10317" s="23" t="s">
        <v>8</v>
      </c>
    </row>
    <row r="10318" spans="1:13" s="21" customFormat="1" x14ac:dyDescent="0.25">
      <c r="A10318" s="22" t="s">
        <v>8</v>
      </c>
      <c r="B10318" s="18" t="str">
        <f>"366034"</f>
        <v>366034</v>
      </c>
      <c r="C10318" s="19" t="s">
        <v>10162</v>
      </c>
      <c r="D10318" s="19" t="s">
        <v>25728</v>
      </c>
      <c r="E10318" s="19" t="s">
        <v>31038</v>
      </c>
      <c r="F10318" s="19" t="s">
        <v>36009</v>
      </c>
      <c r="G10318" s="18" t="str">
        <f>"44460"</f>
        <v>44460</v>
      </c>
      <c r="H10318" s="19" t="s">
        <v>30927</v>
      </c>
      <c r="I10318" s="20">
        <v>18.920999999999999</v>
      </c>
      <c r="J10318" s="44" t="s">
        <v>8</v>
      </c>
      <c r="K10318" s="23" t="s">
        <v>8</v>
      </c>
      <c r="L10318" s="23" t="s">
        <v>8</v>
      </c>
      <c r="M10318" s="23" t="s">
        <v>8</v>
      </c>
    </row>
    <row r="10319" spans="1:13" s="21" customFormat="1" x14ac:dyDescent="0.25">
      <c r="A10319" s="22" t="s">
        <v>8</v>
      </c>
      <c r="B10319" s="18" t="str">
        <f>"366035"</f>
        <v>366035</v>
      </c>
      <c r="C10319" s="19" t="s">
        <v>10163</v>
      </c>
      <c r="D10319" s="19" t="s">
        <v>25729</v>
      </c>
      <c r="E10319" s="19" t="s">
        <v>32122</v>
      </c>
      <c r="F10319" s="19" t="s">
        <v>36009</v>
      </c>
      <c r="G10319" s="18" t="str">
        <f>"45377"</f>
        <v>45377</v>
      </c>
      <c r="H10319" s="19" t="s">
        <v>30833</v>
      </c>
      <c r="I10319" s="20">
        <v>19.498000000000001</v>
      </c>
      <c r="J10319" s="44" t="s">
        <v>8</v>
      </c>
      <c r="K10319" s="23" t="s">
        <v>8</v>
      </c>
      <c r="L10319" s="23" t="s">
        <v>8</v>
      </c>
      <c r="M10319" s="23" t="s">
        <v>8</v>
      </c>
    </row>
    <row r="10320" spans="1:13" s="21" customFormat="1" x14ac:dyDescent="0.25">
      <c r="A10320" s="22" t="s">
        <v>8</v>
      </c>
      <c r="B10320" s="18" t="str">
        <f>"366036"</f>
        <v>366036</v>
      </c>
      <c r="C10320" s="19" t="s">
        <v>10164</v>
      </c>
      <c r="D10320" s="19" t="s">
        <v>25730</v>
      </c>
      <c r="E10320" s="19" t="s">
        <v>34444</v>
      </c>
      <c r="F10320" s="19" t="s">
        <v>36009</v>
      </c>
      <c r="G10320" s="18" t="str">
        <f>"44691"</f>
        <v>44691</v>
      </c>
      <c r="H10320" s="19" t="s">
        <v>33280</v>
      </c>
      <c r="I10320" s="20">
        <v>19.786000000000001</v>
      </c>
      <c r="J10320" s="44" t="s">
        <v>8</v>
      </c>
      <c r="K10320" s="23" t="s">
        <v>8</v>
      </c>
      <c r="L10320" s="23" t="s">
        <v>8</v>
      </c>
      <c r="M10320" s="23" t="s">
        <v>8</v>
      </c>
    </row>
    <row r="10321" spans="1:13" s="21" customFormat="1" x14ac:dyDescent="0.25">
      <c r="A10321" s="22" t="s">
        <v>8</v>
      </c>
      <c r="B10321" s="18" t="str">
        <f>"366037"</f>
        <v>366037</v>
      </c>
      <c r="C10321" s="19" t="s">
        <v>10165</v>
      </c>
      <c r="D10321" s="19" t="s">
        <v>25731</v>
      </c>
      <c r="E10321" s="19" t="s">
        <v>34569</v>
      </c>
      <c r="F10321" s="19" t="s">
        <v>36009</v>
      </c>
      <c r="G10321" s="18" t="str">
        <f>"44695"</f>
        <v>44695</v>
      </c>
      <c r="H10321" s="19" t="s">
        <v>31020</v>
      </c>
      <c r="I10321" s="20">
        <v>18.617000000000001</v>
      </c>
      <c r="J10321" s="44" t="s">
        <v>8</v>
      </c>
      <c r="K10321" s="23" t="s">
        <v>8</v>
      </c>
      <c r="L10321" s="23" t="s">
        <v>8</v>
      </c>
      <c r="M10321" s="23" t="s">
        <v>8</v>
      </c>
    </row>
    <row r="10322" spans="1:13" s="21" customFormat="1" x14ac:dyDescent="0.25">
      <c r="A10322" s="22" t="s">
        <v>8</v>
      </c>
      <c r="B10322" s="18" t="str">
        <f>"366038"</f>
        <v>366038</v>
      </c>
      <c r="C10322" s="19" t="s">
        <v>10166</v>
      </c>
      <c r="D10322" s="19" t="s">
        <v>25732</v>
      </c>
      <c r="E10322" s="19" t="s">
        <v>32220</v>
      </c>
      <c r="F10322" s="19" t="s">
        <v>36009</v>
      </c>
      <c r="G10322" s="18" t="str">
        <f>"45123"</f>
        <v>45123</v>
      </c>
      <c r="H10322" s="19" t="s">
        <v>31280</v>
      </c>
      <c r="I10322" s="20">
        <v>18.184000000000001</v>
      </c>
      <c r="J10322" s="44" t="s">
        <v>8</v>
      </c>
      <c r="K10322" s="23" t="s">
        <v>8</v>
      </c>
      <c r="L10322" s="23" t="s">
        <v>8</v>
      </c>
      <c r="M10322" s="23" t="s">
        <v>8</v>
      </c>
    </row>
    <row r="10323" spans="1:13" s="21" customFormat="1" x14ac:dyDescent="0.25">
      <c r="A10323" s="22" t="s">
        <v>8</v>
      </c>
      <c r="B10323" s="18" t="str">
        <f>"366039"</f>
        <v>366039</v>
      </c>
      <c r="C10323" s="19" t="s">
        <v>10167</v>
      </c>
      <c r="D10323" s="19" t="s">
        <v>25733</v>
      </c>
      <c r="E10323" s="19" t="s">
        <v>32505</v>
      </c>
      <c r="F10323" s="19" t="s">
        <v>36009</v>
      </c>
      <c r="G10323" s="18" t="str">
        <f>"43611"</f>
        <v>43611</v>
      </c>
      <c r="H10323" s="19" t="s">
        <v>36287</v>
      </c>
      <c r="I10323" s="20">
        <v>17.501999999999999</v>
      </c>
      <c r="J10323" s="44" t="s">
        <v>8</v>
      </c>
      <c r="K10323" s="23" t="s">
        <v>8</v>
      </c>
      <c r="L10323" s="23" t="s">
        <v>8</v>
      </c>
      <c r="M10323" s="23" t="s">
        <v>8</v>
      </c>
    </row>
    <row r="10324" spans="1:13" s="21" customFormat="1" x14ac:dyDescent="0.25">
      <c r="A10324" s="22" t="s">
        <v>8</v>
      </c>
      <c r="B10324" s="18" t="str">
        <f>"366040"</f>
        <v>366040</v>
      </c>
      <c r="C10324" s="19" t="s">
        <v>10168</v>
      </c>
      <c r="D10324" s="19" t="s">
        <v>25734</v>
      </c>
      <c r="E10324" s="19" t="s">
        <v>30804</v>
      </c>
      <c r="F10324" s="19" t="s">
        <v>36009</v>
      </c>
      <c r="G10324" s="18" t="str">
        <f>"45011"</f>
        <v>45011</v>
      </c>
      <c r="H10324" s="19" t="s">
        <v>30876</v>
      </c>
      <c r="I10324" s="20">
        <v>22.861999999999998</v>
      </c>
      <c r="J10324" s="44" t="s">
        <v>8</v>
      </c>
      <c r="K10324" s="23" t="s">
        <v>8</v>
      </c>
      <c r="L10324" s="23" t="s">
        <v>8</v>
      </c>
      <c r="M10324" s="23" t="s">
        <v>8</v>
      </c>
    </row>
    <row r="10325" spans="1:13" s="21" customFormat="1" x14ac:dyDescent="0.25">
      <c r="A10325" s="22" t="s">
        <v>8</v>
      </c>
      <c r="B10325" s="18" t="str">
        <f>"366041"</f>
        <v>366041</v>
      </c>
      <c r="C10325" s="19" t="s">
        <v>10169</v>
      </c>
      <c r="D10325" s="19" t="s">
        <v>25735</v>
      </c>
      <c r="E10325" s="19" t="s">
        <v>34558</v>
      </c>
      <c r="F10325" s="19" t="s">
        <v>36009</v>
      </c>
      <c r="G10325" s="18" t="str">
        <f>"43537"</f>
        <v>43537</v>
      </c>
      <c r="H10325" s="19" t="s">
        <v>36287</v>
      </c>
      <c r="I10325" s="20">
        <v>18.353000000000002</v>
      </c>
      <c r="J10325" s="44" t="s">
        <v>8</v>
      </c>
      <c r="K10325" s="23" t="s">
        <v>8</v>
      </c>
      <c r="L10325" s="23" t="s">
        <v>8</v>
      </c>
      <c r="M10325" s="23" t="s">
        <v>8</v>
      </c>
    </row>
    <row r="10326" spans="1:13" s="21" customFormat="1" x14ac:dyDescent="0.25">
      <c r="A10326" s="22" t="s">
        <v>8</v>
      </c>
      <c r="B10326" s="18" t="str">
        <f>"366042"</f>
        <v>366042</v>
      </c>
      <c r="C10326" s="19" t="s">
        <v>10170</v>
      </c>
      <c r="D10326" s="19" t="s">
        <v>25736</v>
      </c>
      <c r="E10326" s="19" t="s">
        <v>33176</v>
      </c>
      <c r="F10326" s="19" t="s">
        <v>36009</v>
      </c>
      <c r="G10326" s="18" t="str">
        <f>"43528"</f>
        <v>43528</v>
      </c>
      <c r="H10326" s="19" t="s">
        <v>36287</v>
      </c>
      <c r="I10326" s="20">
        <v>20.53</v>
      </c>
      <c r="J10326" s="44" t="s">
        <v>8</v>
      </c>
      <c r="K10326" s="23" t="s">
        <v>8</v>
      </c>
      <c r="L10326" s="23" t="s">
        <v>8</v>
      </c>
      <c r="M10326" s="23" t="s">
        <v>8</v>
      </c>
    </row>
    <row r="10327" spans="1:13" s="21" customFormat="1" x14ac:dyDescent="0.25">
      <c r="A10327" s="22" t="s">
        <v>8</v>
      </c>
      <c r="B10327" s="18" t="str">
        <f>"366043"</f>
        <v>366043</v>
      </c>
      <c r="C10327" s="19" t="s">
        <v>10171</v>
      </c>
      <c r="D10327" s="19" t="s">
        <v>25737</v>
      </c>
      <c r="E10327" s="19" t="s">
        <v>31056</v>
      </c>
      <c r="F10327" s="19" t="s">
        <v>36009</v>
      </c>
      <c r="G10327" s="18" t="str">
        <f>"45005"</f>
        <v>45005</v>
      </c>
      <c r="H10327" s="19" t="s">
        <v>31025</v>
      </c>
      <c r="I10327" s="20">
        <v>19.763999999999999</v>
      </c>
      <c r="J10327" s="44" t="s">
        <v>8</v>
      </c>
      <c r="K10327" s="23" t="s">
        <v>8</v>
      </c>
      <c r="L10327" s="23" t="s">
        <v>8</v>
      </c>
      <c r="M10327" s="23" t="s">
        <v>8</v>
      </c>
    </row>
    <row r="10328" spans="1:13" s="21" customFormat="1" x14ac:dyDescent="0.25">
      <c r="A10328" s="22" t="s">
        <v>8</v>
      </c>
      <c r="B10328" s="18" t="str">
        <f>"366044"</f>
        <v>366044</v>
      </c>
      <c r="C10328" s="19" t="s">
        <v>10172</v>
      </c>
      <c r="D10328" s="19" t="s">
        <v>25738</v>
      </c>
      <c r="E10328" s="19" t="s">
        <v>34570</v>
      </c>
      <c r="F10328" s="19" t="s">
        <v>36009</v>
      </c>
      <c r="G10328" s="18" t="str">
        <f>"45879"</f>
        <v>45879</v>
      </c>
      <c r="H10328" s="19" t="s">
        <v>34570</v>
      </c>
      <c r="I10328" s="20">
        <v>20.263999999999999</v>
      </c>
      <c r="J10328" s="44" t="s">
        <v>8</v>
      </c>
      <c r="K10328" s="23" t="s">
        <v>8</v>
      </c>
      <c r="L10328" s="23" t="s">
        <v>8</v>
      </c>
      <c r="M10328" s="23" t="s">
        <v>8</v>
      </c>
    </row>
    <row r="10329" spans="1:13" s="21" customFormat="1" x14ac:dyDescent="0.25">
      <c r="A10329" s="22" t="s">
        <v>8</v>
      </c>
      <c r="B10329" s="18" t="str">
        <f>"366045"</f>
        <v>366045</v>
      </c>
      <c r="C10329" s="19" t="s">
        <v>10173</v>
      </c>
      <c r="D10329" s="19" t="s">
        <v>25739</v>
      </c>
      <c r="E10329" s="19" t="s">
        <v>34571</v>
      </c>
      <c r="F10329" s="19" t="s">
        <v>36009</v>
      </c>
      <c r="G10329" s="18" t="str">
        <f>"44125"</f>
        <v>44125</v>
      </c>
      <c r="H10329" s="19" t="s">
        <v>36671</v>
      </c>
      <c r="I10329" s="20">
        <v>17.684999999999999</v>
      </c>
      <c r="J10329" s="44" t="s">
        <v>8</v>
      </c>
      <c r="K10329" s="23" t="s">
        <v>8</v>
      </c>
      <c r="L10329" s="23" t="s">
        <v>8</v>
      </c>
      <c r="M10329" s="23" t="s">
        <v>8</v>
      </c>
    </row>
    <row r="10330" spans="1:13" s="21" customFormat="1" x14ac:dyDescent="0.25">
      <c r="A10330" s="22" t="s">
        <v>8</v>
      </c>
      <c r="B10330" s="18" t="str">
        <f>"366047"</f>
        <v>366047</v>
      </c>
      <c r="C10330" s="19" t="s">
        <v>10174</v>
      </c>
      <c r="D10330" s="19" t="s">
        <v>25740</v>
      </c>
      <c r="E10330" s="19" t="s">
        <v>30870</v>
      </c>
      <c r="F10330" s="19" t="s">
        <v>36009</v>
      </c>
      <c r="G10330" s="18" t="str">
        <f>"44041"</f>
        <v>44041</v>
      </c>
      <c r="H10330" s="19" t="s">
        <v>34437</v>
      </c>
      <c r="I10330" s="20">
        <v>15.843</v>
      </c>
      <c r="J10330" s="44" t="s">
        <v>8</v>
      </c>
      <c r="K10330" s="23" t="s">
        <v>8</v>
      </c>
      <c r="L10330" s="23" t="s">
        <v>8</v>
      </c>
      <c r="M10330" s="23" t="s">
        <v>8</v>
      </c>
    </row>
    <row r="10331" spans="1:13" s="21" customFormat="1" x14ac:dyDescent="0.25">
      <c r="A10331" s="22" t="s">
        <v>8</v>
      </c>
      <c r="B10331" s="18" t="str">
        <f>"366048"</f>
        <v>366048</v>
      </c>
      <c r="C10331" s="19" t="s">
        <v>10175</v>
      </c>
      <c r="D10331" s="19" t="s">
        <v>25741</v>
      </c>
      <c r="E10331" s="19" t="s">
        <v>34437</v>
      </c>
      <c r="F10331" s="19" t="s">
        <v>36009</v>
      </c>
      <c r="G10331" s="18" t="str">
        <f>"44004"</f>
        <v>44004</v>
      </c>
      <c r="H10331" s="19" t="s">
        <v>34437</v>
      </c>
      <c r="I10331" s="20">
        <v>24.748000000000001</v>
      </c>
      <c r="J10331" s="44" t="s">
        <v>8</v>
      </c>
      <c r="K10331" s="23" t="s">
        <v>8</v>
      </c>
      <c r="L10331" s="23" t="s">
        <v>8</v>
      </c>
      <c r="M10331" s="23" t="s">
        <v>8</v>
      </c>
    </row>
    <row r="10332" spans="1:13" s="21" customFormat="1" x14ac:dyDescent="0.25">
      <c r="A10332" s="22" t="s">
        <v>8</v>
      </c>
      <c r="B10332" s="18" t="str">
        <f>"366049"</f>
        <v>366049</v>
      </c>
      <c r="C10332" s="19" t="s">
        <v>10176</v>
      </c>
      <c r="D10332" s="19" t="s">
        <v>25742</v>
      </c>
      <c r="E10332" s="19" t="s">
        <v>31810</v>
      </c>
      <c r="F10332" s="19" t="s">
        <v>36009</v>
      </c>
      <c r="G10332" s="18" t="str">
        <f>"44106"</f>
        <v>44106</v>
      </c>
      <c r="H10332" s="19" t="s">
        <v>36671</v>
      </c>
      <c r="I10332" s="20">
        <v>20.419</v>
      </c>
      <c r="J10332" s="44" t="s">
        <v>8</v>
      </c>
      <c r="K10332" s="23" t="s">
        <v>8</v>
      </c>
      <c r="L10332" s="23" t="s">
        <v>8</v>
      </c>
      <c r="M10332" s="23" t="s">
        <v>8</v>
      </c>
    </row>
    <row r="10333" spans="1:13" s="21" customFormat="1" x14ac:dyDescent="0.25">
      <c r="A10333" s="22" t="s">
        <v>8</v>
      </c>
      <c r="B10333" s="18" t="str">
        <f>"366050"</f>
        <v>366050</v>
      </c>
      <c r="C10333" s="19" t="s">
        <v>10177</v>
      </c>
      <c r="D10333" s="19" t="s">
        <v>25743</v>
      </c>
      <c r="E10333" s="19" t="s">
        <v>34572</v>
      </c>
      <c r="F10333" s="19" t="s">
        <v>36009</v>
      </c>
      <c r="G10333" s="18" t="str">
        <f>"45806"</f>
        <v>45806</v>
      </c>
      <c r="H10333" s="19" t="s">
        <v>34710</v>
      </c>
      <c r="I10333" s="20">
        <v>18.350999999999999</v>
      </c>
      <c r="J10333" s="44" t="s">
        <v>8</v>
      </c>
      <c r="K10333" s="23" t="s">
        <v>8</v>
      </c>
      <c r="L10333" s="23" t="s">
        <v>8</v>
      </c>
      <c r="M10333" s="23" t="s">
        <v>8</v>
      </c>
    </row>
    <row r="10334" spans="1:13" s="21" customFormat="1" x14ac:dyDescent="0.25">
      <c r="A10334" s="22" t="s">
        <v>8</v>
      </c>
      <c r="B10334" s="18" t="str">
        <f>"366051"</f>
        <v>366051</v>
      </c>
      <c r="C10334" s="19" t="s">
        <v>10178</v>
      </c>
      <c r="D10334" s="19" t="s">
        <v>25744</v>
      </c>
      <c r="E10334" s="19" t="s">
        <v>34459</v>
      </c>
      <c r="F10334" s="19" t="s">
        <v>36009</v>
      </c>
      <c r="G10334" s="18" t="str">
        <f>"43701"</f>
        <v>43701</v>
      </c>
      <c r="H10334" s="19" t="s">
        <v>36680</v>
      </c>
      <c r="I10334" s="20">
        <v>22.053999999999998</v>
      </c>
      <c r="J10334" s="44" t="s">
        <v>8</v>
      </c>
      <c r="K10334" s="23" t="s">
        <v>8</v>
      </c>
      <c r="L10334" s="23" t="s">
        <v>8</v>
      </c>
      <c r="M10334" s="23" t="s">
        <v>8</v>
      </c>
    </row>
    <row r="10335" spans="1:13" s="21" customFormat="1" x14ac:dyDescent="0.25">
      <c r="A10335" s="22" t="s">
        <v>8</v>
      </c>
      <c r="B10335" s="18" t="str">
        <f>"366052"</f>
        <v>366052</v>
      </c>
      <c r="C10335" s="19" t="s">
        <v>10179</v>
      </c>
      <c r="D10335" s="19" t="s">
        <v>25745</v>
      </c>
      <c r="E10335" s="19" t="s">
        <v>34573</v>
      </c>
      <c r="F10335" s="19" t="s">
        <v>36009</v>
      </c>
      <c r="G10335" s="18" t="str">
        <f>"43976"</f>
        <v>43976</v>
      </c>
      <c r="H10335" s="19" t="s">
        <v>31020</v>
      </c>
      <c r="I10335" s="20">
        <v>21.452000000000002</v>
      </c>
      <c r="J10335" s="44" t="s">
        <v>8</v>
      </c>
      <c r="K10335" s="23" t="s">
        <v>8</v>
      </c>
      <c r="L10335" s="23" t="s">
        <v>8</v>
      </c>
      <c r="M10335" s="23" t="s">
        <v>8</v>
      </c>
    </row>
    <row r="10336" spans="1:13" s="21" customFormat="1" x14ac:dyDescent="0.25">
      <c r="A10336" s="22" t="s">
        <v>8</v>
      </c>
      <c r="B10336" s="18" t="str">
        <f>"366053"</f>
        <v>366053</v>
      </c>
      <c r="C10336" s="19" t="s">
        <v>10180</v>
      </c>
      <c r="D10336" s="19" t="s">
        <v>25746</v>
      </c>
      <c r="E10336" s="19" t="s">
        <v>30804</v>
      </c>
      <c r="F10336" s="19" t="s">
        <v>36009</v>
      </c>
      <c r="G10336" s="18" t="str">
        <f>"45013"</f>
        <v>45013</v>
      </c>
      <c r="H10336" s="19" t="s">
        <v>30876</v>
      </c>
      <c r="I10336" s="20">
        <v>21.097999999999999</v>
      </c>
      <c r="J10336" s="44" t="s">
        <v>8</v>
      </c>
      <c r="K10336" s="23" t="s">
        <v>8</v>
      </c>
      <c r="L10336" s="23" t="s">
        <v>8</v>
      </c>
      <c r="M10336" s="23" t="s">
        <v>8</v>
      </c>
    </row>
    <row r="10337" spans="1:13" s="21" customFormat="1" x14ac:dyDescent="0.25">
      <c r="A10337" s="22" t="s">
        <v>8</v>
      </c>
      <c r="B10337" s="18" t="str">
        <f>"366057"</f>
        <v>366057</v>
      </c>
      <c r="C10337" s="19" t="s">
        <v>10181</v>
      </c>
      <c r="D10337" s="19" t="s">
        <v>25747</v>
      </c>
      <c r="E10337" s="19" t="s">
        <v>34522</v>
      </c>
      <c r="F10337" s="19" t="s">
        <v>36009</v>
      </c>
      <c r="G10337" s="18" t="str">
        <f>"44130"</f>
        <v>44130</v>
      </c>
      <c r="H10337" s="19" t="s">
        <v>36671</v>
      </c>
      <c r="I10337" s="20">
        <v>22.309000000000001</v>
      </c>
      <c r="J10337" s="44" t="s">
        <v>8</v>
      </c>
      <c r="K10337" s="23" t="s">
        <v>8</v>
      </c>
      <c r="L10337" s="23" t="s">
        <v>8</v>
      </c>
      <c r="M10337" s="23" t="s">
        <v>8</v>
      </c>
    </row>
    <row r="10338" spans="1:13" s="21" customFormat="1" x14ac:dyDescent="0.25">
      <c r="A10338" s="22" t="s">
        <v>8</v>
      </c>
      <c r="B10338" s="18" t="str">
        <f>"366058"</f>
        <v>366058</v>
      </c>
      <c r="C10338" s="19" t="s">
        <v>10182</v>
      </c>
      <c r="D10338" s="19" t="s">
        <v>25748</v>
      </c>
      <c r="E10338" s="19" t="s">
        <v>31810</v>
      </c>
      <c r="F10338" s="19" t="s">
        <v>36009</v>
      </c>
      <c r="G10338" s="18" t="str">
        <f>"44135"</f>
        <v>44135</v>
      </c>
      <c r="H10338" s="19" t="s">
        <v>36671</v>
      </c>
      <c r="I10338" s="20">
        <v>18.012</v>
      </c>
      <c r="J10338" s="44" t="s">
        <v>8</v>
      </c>
      <c r="K10338" s="23" t="s">
        <v>8</v>
      </c>
      <c r="L10338" s="23" t="s">
        <v>8</v>
      </c>
      <c r="M10338" s="23" t="s">
        <v>8</v>
      </c>
    </row>
    <row r="10339" spans="1:13" s="21" customFormat="1" x14ac:dyDescent="0.25">
      <c r="A10339" s="22" t="s">
        <v>8</v>
      </c>
      <c r="B10339" s="18" t="str">
        <f>"366060"</f>
        <v>366060</v>
      </c>
      <c r="C10339" s="19" t="s">
        <v>10183</v>
      </c>
      <c r="D10339" s="19" t="s">
        <v>25749</v>
      </c>
      <c r="E10339" s="19" t="s">
        <v>32505</v>
      </c>
      <c r="F10339" s="19" t="s">
        <v>36009</v>
      </c>
      <c r="G10339" s="18" t="str">
        <f>"43617"</f>
        <v>43617</v>
      </c>
      <c r="H10339" s="19" t="s">
        <v>36287</v>
      </c>
      <c r="I10339" s="20">
        <v>20.687000000000001</v>
      </c>
      <c r="J10339" s="44" t="s">
        <v>8</v>
      </c>
      <c r="K10339" s="23" t="s">
        <v>8</v>
      </c>
      <c r="L10339" s="23" t="s">
        <v>8</v>
      </c>
      <c r="M10339" s="23" t="s">
        <v>8</v>
      </c>
    </row>
    <row r="10340" spans="1:13" s="21" customFormat="1" x14ac:dyDescent="0.25">
      <c r="A10340" s="22" t="s">
        <v>8</v>
      </c>
      <c r="B10340" s="18" t="str">
        <f>"366062"</f>
        <v>366062</v>
      </c>
      <c r="C10340" s="19" t="s">
        <v>10184</v>
      </c>
      <c r="D10340" s="19" t="s">
        <v>25750</v>
      </c>
      <c r="E10340" s="19" t="s">
        <v>34524</v>
      </c>
      <c r="F10340" s="19" t="s">
        <v>36009</v>
      </c>
      <c r="G10340" s="18" t="str">
        <f>"44452"</f>
        <v>44452</v>
      </c>
      <c r="H10340" s="19" t="s">
        <v>36674</v>
      </c>
      <c r="I10340" s="20">
        <v>20.885000000000002</v>
      </c>
      <c r="J10340" s="44" t="s">
        <v>8</v>
      </c>
      <c r="K10340" s="23" t="s">
        <v>8</v>
      </c>
      <c r="L10340" s="23" t="s">
        <v>8</v>
      </c>
      <c r="M10340" s="23" t="s">
        <v>8</v>
      </c>
    </row>
    <row r="10341" spans="1:13" s="21" customFormat="1" x14ac:dyDescent="0.25">
      <c r="A10341" s="22" t="s">
        <v>8</v>
      </c>
      <c r="B10341" s="18" t="str">
        <f>"366064"</f>
        <v>366064</v>
      </c>
      <c r="C10341" s="19" t="s">
        <v>10185</v>
      </c>
      <c r="D10341" s="19" t="s">
        <v>25751</v>
      </c>
      <c r="E10341" s="19" t="s">
        <v>34476</v>
      </c>
      <c r="F10341" s="19" t="s">
        <v>36009</v>
      </c>
      <c r="G10341" s="18" t="str">
        <f>"43793"</f>
        <v>43793</v>
      </c>
      <c r="H10341" s="19" t="s">
        <v>31711</v>
      </c>
      <c r="I10341" s="20">
        <v>19.623999999999999</v>
      </c>
      <c r="J10341" s="44" t="s">
        <v>8</v>
      </c>
      <c r="K10341" s="23" t="s">
        <v>8</v>
      </c>
      <c r="L10341" s="23" t="s">
        <v>8</v>
      </c>
      <c r="M10341" s="23" t="s">
        <v>8</v>
      </c>
    </row>
    <row r="10342" spans="1:13" s="21" customFormat="1" x14ac:dyDescent="0.25">
      <c r="A10342" s="22" t="s">
        <v>8</v>
      </c>
      <c r="B10342" s="18" t="str">
        <f>"366066"</f>
        <v>366066</v>
      </c>
      <c r="C10342" s="19" t="s">
        <v>10186</v>
      </c>
      <c r="D10342" s="19" t="s">
        <v>25752</v>
      </c>
      <c r="E10342" s="19" t="s">
        <v>34574</v>
      </c>
      <c r="F10342" s="19" t="s">
        <v>36009</v>
      </c>
      <c r="G10342" s="18" t="str">
        <f>"45832"</f>
        <v>45832</v>
      </c>
      <c r="H10342" s="19" t="s">
        <v>34432</v>
      </c>
      <c r="I10342" s="20">
        <v>20.228000000000002</v>
      </c>
      <c r="J10342" s="44" t="s">
        <v>8</v>
      </c>
      <c r="K10342" s="23" t="s">
        <v>8</v>
      </c>
      <c r="L10342" s="23" t="s">
        <v>8</v>
      </c>
      <c r="M10342" s="23" t="s">
        <v>8</v>
      </c>
    </row>
    <row r="10343" spans="1:13" s="21" customFormat="1" x14ac:dyDescent="0.25">
      <c r="A10343" s="22" t="s">
        <v>8</v>
      </c>
      <c r="B10343" s="18" t="str">
        <f>"366067"</f>
        <v>366067</v>
      </c>
      <c r="C10343" s="19" t="s">
        <v>10187</v>
      </c>
      <c r="D10343" s="19" t="s">
        <v>25753</v>
      </c>
      <c r="E10343" s="19" t="s">
        <v>32326</v>
      </c>
      <c r="F10343" s="19" t="s">
        <v>36009</v>
      </c>
      <c r="G10343" s="18" t="str">
        <f>"44846"</f>
        <v>44846</v>
      </c>
      <c r="H10343" s="19" t="s">
        <v>34805</v>
      </c>
      <c r="I10343" s="20">
        <v>16.513999999999999</v>
      </c>
      <c r="J10343" s="44" t="s">
        <v>8</v>
      </c>
      <c r="K10343" s="23" t="s">
        <v>8</v>
      </c>
      <c r="L10343" s="23" t="s">
        <v>8</v>
      </c>
      <c r="M10343" s="23" t="s">
        <v>8</v>
      </c>
    </row>
    <row r="10344" spans="1:13" s="21" customFormat="1" x14ac:dyDescent="0.25">
      <c r="A10344" s="22" t="s">
        <v>8</v>
      </c>
      <c r="B10344" s="18" t="str">
        <f>"366068"</f>
        <v>366068</v>
      </c>
      <c r="C10344" s="19" t="s">
        <v>10188</v>
      </c>
      <c r="D10344" s="19" t="s">
        <v>25754</v>
      </c>
      <c r="E10344" s="19" t="s">
        <v>32013</v>
      </c>
      <c r="F10344" s="19" t="s">
        <v>36009</v>
      </c>
      <c r="G10344" s="18" t="str">
        <f>"43616"</f>
        <v>43616</v>
      </c>
      <c r="H10344" s="19" t="s">
        <v>36287</v>
      </c>
      <c r="I10344" s="20">
        <v>18.922999999999998</v>
      </c>
      <c r="J10344" s="44" t="s">
        <v>8</v>
      </c>
      <c r="K10344" s="23" t="s">
        <v>8</v>
      </c>
      <c r="L10344" s="23" t="s">
        <v>8</v>
      </c>
      <c r="M10344" s="23" t="s">
        <v>8</v>
      </c>
    </row>
    <row r="10345" spans="1:13" s="21" customFormat="1" x14ac:dyDescent="0.25">
      <c r="A10345" s="22" t="s">
        <v>8</v>
      </c>
      <c r="B10345" s="18" t="str">
        <f>"366071"</f>
        <v>366071</v>
      </c>
      <c r="C10345" s="19" t="s">
        <v>10189</v>
      </c>
      <c r="D10345" s="19" t="s">
        <v>25755</v>
      </c>
      <c r="E10345" s="19" t="s">
        <v>34417</v>
      </c>
      <c r="F10345" s="19" t="s">
        <v>36009</v>
      </c>
      <c r="G10345" s="18" t="str">
        <f>"44134"</f>
        <v>44134</v>
      </c>
      <c r="H10345" s="19" t="s">
        <v>36671</v>
      </c>
      <c r="I10345" s="20">
        <v>21.178999999999998</v>
      </c>
      <c r="J10345" s="44" t="s">
        <v>8</v>
      </c>
      <c r="K10345" s="23" t="s">
        <v>8</v>
      </c>
      <c r="L10345" s="23" t="s">
        <v>8</v>
      </c>
      <c r="M10345" s="23" t="s">
        <v>8</v>
      </c>
    </row>
    <row r="10346" spans="1:13" s="21" customFormat="1" x14ac:dyDescent="0.25">
      <c r="A10346" s="22" t="s">
        <v>8</v>
      </c>
      <c r="B10346" s="18" t="str">
        <f>"366072"</f>
        <v>366072</v>
      </c>
      <c r="C10346" s="19" t="s">
        <v>10190</v>
      </c>
      <c r="D10346" s="19" t="s">
        <v>25756</v>
      </c>
      <c r="E10346" s="19" t="s">
        <v>34559</v>
      </c>
      <c r="F10346" s="19" t="s">
        <v>36009</v>
      </c>
      <c r="G10346" s="18" t="str">
        <f>"44839"</f>
        <v>44839</v>
      </c>
      <c r="H10346" s="19" t="s">
        <v>34805</v>
      </c>
      <c r="I10346" s="20">
        <v>16.988</v>
      </c>
      <c r="J10346" s="44" t="s">
        <v>8</v>
      </c>
      <c r="K10346" s="23" t="s">
        <v>8</v>
      </c>
      <c r="L10346" s="23" t="s">
        <v>8</v>
      </c>
      <c r="M10346" s="23" t="s">
        <v>8</v>
      </c>
    </row>
    <row r="10347" spans="1:13" s="21" customFormat="1" x14ac:dyDescent="0.25">
      <c r="A10347" s="22" t="s">
        <v>8</v>
      </c>
      <c r="B10347" s="18" t="str">
        <f>"366073"</f>
        <v>366073</v>
      </c>
      <c r="C10347" s="19" t="s">
        <v>10191</v>
      </c>
      <c r="D10347" s="19" t="s">
        <v>25757</v>
      </c>
      <c r="E10347" s="19" t="s">
        <v>34533</v>
      </c>
      <c r="F10347" s="19" t="s">
        <v>36009</v>
      </c>
      <c r="G10347" s="18" t="str">
        <f>"43558"</f>
        <v>43558</v>
      </c>
      <c r="H10347" s="19" t="s">
        <v>32194</v>
      </c>
      <c r="I10347" s="20">
        <v>17.806000000000001</v>
      </c>
      <c r="J10347" s="44" t="s">
        <v>8</v>
      </c>
      <c r="K10347" s="23" t="s">
        <v>8</v>
      </c>
      <c r="L10347" s="23" t="s">
        <v>8</v>
      </c>
      <c r="M10347" s="23" t="s">
        <v>8</v>
      </c>
    </row>
    <row r="10348" spans="1:13" s="21" customFormat="1" x14ac:dyDescent="0.25">
      <c r="A10348" s="22" t="s">
        <v>8</v>
      </c>
      <c r="B10348" s="18" t="str">
        <f>"366074"</f>
        <v>366074</v>
      </c>
      <c r="C10348" s="19" t="s">
        <v>10192</v>
      </c>
      <c r="D10348" s="19" t="s">
        <v>25758</v>
      </c>
      <c r="E10348" s="19" t="s">
        <v>31791</v>
      </c>
      <c r="F10348" s="19" t="s">
        <v>36009</v>
      </c>
      <c r="G10348" s="18" t="str">
        <f>"44708"</f>
        <v>44708</v>
      </c>
      <c r="H10348" s="19" t="s">
        <v>36240</v>
      </c>
      <c r="I10348" s="20">
        <v>16.872</v>
      </c>
      <c r="J10348" s="44" t="s">
        <v>8</v>
      </c>
      <c r="K10348" s="23" t="s">
        <v>8</v>
      </c>
      <c r="L10348" s="23" t="s">
        <v>8</v>
      </c>
      <c r="M10348" s="23" t="s">
        <v>8</v>
      </c>
    </row>
    <row r="10349" spans="1:13" s="21" customFormat="1" x14ac:dyDescent="0.25">
      <c r="A10349" s="22" t="s">
        <v>8</v>
      </c>
      <c r="B10349" s="18" t="str">
        <f>"366075"</f>
        <v>366075</v>
      </c>
      <c r="C10349" s="19" t="s">
        <v>10193</v>
      </c>
      <c r="D10349" s="19" t="s">
        <v>25759</v>
      </c>
      <c r="E10349" s="19" t="s">
        <v>32256</v>
      </c>
      <c r="F10349" s="19" t="s">
        <v>36009</v>
      </c>
      <c r="G10349" s="18" t="str">
        <f>"45628"</f>
        <v>45628</v>
      </c>
      <c r="H10349" s="19" t="s">
        <v>36685</v>
      </c>
      <c r="I10349" s="20">
        <v>20.39</v>
      </c>
      <c r="J10349" s="44" t="s">
        <v>8</v>
      </c>
      <c r="K10349" s="23" t="s">
        <v>8</v>
      </c>
      <c r="L10349" s="23" t="s">
        <v>8</v>
      </c>
      <c r="M10349" s="23" t="s">
        <v>8</v>
      </c>
    </row>
    <row r="10350" spans="1:13" s="21" customFormat="1" x14ac:dyDescent="0.25">
      <c r="A10350" s="22" t="s">
        <v>8</v>
      </c>
      <c r="B10350" s="18" t="str">
        <f>"366076"</f>
        <v>366076</v>
      </c>
      <c r="C10350" s="19" t="s">
        <v>10194</v>
      </c>
      <c r="D10350" s="19" t="s">
        <v>25760</v>
      </c>
      <c r="E10350" s="19" t="s">
        <v>32023</v>
      </c>
      <c r="F10350" s="19" t="s">
        <v>36009</v>
      </c>
      <c r="G10350" s="18" t="str">
        <f>"43050"</f>
        <v>43050</v>
      </c>
      <c r="H10350" s="19" t="s">
        <v>32252</v>
      </c>
      <c r="I10350" s="20">
        <v>18.689</v>
      </c>
      <c r="J10350" s="44" t="s">
        <v>8</v>
      </c>
      <c r="K10350" s="23" t="s">
        <v>8</v>
      </c>
      <c r="L10350" s="23" t="s">
        <v>8</v>
      </c>
      <c r="M10350" s="23" t="s">
        <v>8</v>
      </c>
    </row>
    <row r="10351" spans="1:13" s="21" customFormat="1" x14ac:dyDescent="0.25">
      <c r="A10351" s="22" t="s">
        <v>8</v>
      </c>
      <c r="B10351" s="18" t="str">
        <f>"366077"</f>
        <v>366077</v>
      </c>
      <c r="C10351" s="19" t="s">
        <v>10195</v>
      </c>
      <c r="D10351" s="19" t="s">
        <v>25761</v>
      </c>
      <c r="E10351" s="19" t="s">
        <v>31791</v>
      </c>
      <c r="F10351" s="19" t="s">
        <v>36009</v>
      </c>
      <c r="G10351" s="18" t="str">
        <f>"44714"</f>
        <v>44714</v>
      </c>
      <c r="H10351" s="19" t="s">
        <v>36240</v>
      </c>
      <c r="I10351" s="20">
        <v>18.84</v>
      </c>
      <c r="J10351" s="44" t="s">
        <v>8</v>
      </c>
      <c r="K10351" s="23" t="s">
        <v>8</v>
      </c>
      <c r="L10351" s="23" t="s">
        <v>8</v>
      </c>
      <c r="M10351" s="23" t="s">
        <v>8</v>
      </c>
    </row>
    <row r="10352" spans="1:13" s="21" customFormat="1" x14ac:dyDescent="0.25">
      <c r="A10352" s="22" t="s">
        <v>8</v>
      </c>
      <c r="B10352" s="18" t="str">
        <f>"366078"</f>
        <v>366078</v>
      </c>
      <c r="C10352" s="19" t="s">
        <v>10196</v>
      </c>
      <c r="D10352" s="19" t="s">
        <v>25762</v>
      </c>
      <c r="E10352" s="19" t="s">
        <v>34439</v>
      </c>
      <c r="F10352" s="19" t="s">
        <v>36009</v>
      </c>
      <c r="G10352" s="18" t="str">
        <f>"44646"</f>
        <v>44646</v>
      </c>
      <c r="H10352" s="19" t="s">
        <v>36240</v>
      </c>
      <c r="I10352" s="20">
        <v>19.622</v>
      </c>
      <c r="J10352" s="44" t="s">
        <v>8</v>
      </c>
      <c r="K10352" s="23" t="s">
        <v>8</v>
      </c>
      <c r="L10352" s="23" t="s">
        <v>8</v>
      </c>
      <c r="M10352" s="23" t="s">
        <v>8</v>
      </c>
    </row>
    <row r="10353" spans="1:13" s="21" customFormat="1" x14ac:dyDescent="0.25">
      <c r="A10353" s="22" t="s">
        <v>8</v>
      </c>
      <c r="B10353" s="18" t="str">
        <f>"366079"</f>
        <v>366079</v>
      </c>
      <c r="C10353" s="19" t="s">
        <v>10197</v>
      </c>
      <c r="D10353" s="19" t="s">
        <v>25763</v>
      </c>
      <c r="E10353" s="19" t="s">
        <v>31810</v>
      </c>
      <c r="F10353" s="19" t="s">
        <v>36009</v>
      </c>
      <c r="G10353" s="18" t="str">
        <f>"44102"</f>
        <v>44102</v>
      </c>
      <c r="H10353" s="19" t="s">
        <v>36671</v>
      </c>
      <c r="I10353" s="20">
        <v>19.454999999999998</v>
      </c>
      <c r="J10353" s="44" t="s">
        <v>8</v>
      </c>
      <c r="K10353" s="23" t="s">
        <v>8</v>
      </c>
      <c r="L10353" s="23" t="s">
        <v>8</v>
      </c>
      <c r="M10353" s="23" t="s">
        <v>8</v>
      </c>
    </row>
    <row r="10354" spans="1:13" s="21" customFormat="1" x14ac:dyDescent="0.25">
      <c r="A10354" s="22" t="s">
        <v>8</v>
      </c>
      <c r="B10354" s="18" t="str">
        <f>"366080"</f>
        <v>366080</v>
      </c>
      <c r="C10354" s="19" t="s">
        <v>10198</v>
      </c>
      <c r="D10354" s="19" t="s">
        <v>25764</v>
      </c>
      <c r="E10354" s="19" t="s">
        <v>34575</v>
      </c>
      <c r="F10354" s="19" t="s">
        <v>36009</v>
      </c>
      <c r="G10354" s="18" t="str">
        <f>"45069"</f>
        <v>45069</v>
      </c>
      <c r="H10354" s="19" t="s">
        <v>30876</v>
      </c>
      <c r="I10354" s="20">
        <v>20.754999999999999</v>
      </c>
      <c r="J10354" s="44" t="s">
        <v>8</v>
      </c>
      <c r="K10354" s="23" t="s">
        <v>8</v>
      </c>
      <c r="L10354" s="23" t="s">
        <v>8</v>
      </c>
      <c r="M10354" s="23" t="s">
        <v>8</v>
      </c>
    </row>
    <row r="10355" spans="1:13" s="21" customFormat="1" x14ac:dyDescent="0.25">
      <c r="A10355" s="22" t="s">
        <v>8</v>
      </c>
      <c r="B10355" s="18" t="str">
        <f>"366081"</f>
        <v>366081</v>
      </c>
      <c r="C10355" s="19" t="s">
        <v>10199</v>
      </c>
      <c r="D10355" s="19" t="s">
        <v>25765</v>
      </c>
      <c r="E10355" s="19" t="s">
        <v>31175</v>
      </c>
      <c r="F10355" s="19" t="s">
        <v>36009</v>
      </c>
      <c r="G10355" s="18" t="str">
        <f>"43420"</f>
        <v>43420</v>
      </c>
      <c r="H10355" s="19" t="s">
        <v>33186</v>
      </c>
      <c r="I10355" s="20">
        <v>18.847000000000001</v>
      </c>
      <c r="J10355" s="44" t="s">
        <v>8</v>
      </c>
      <c r="K10355" s="23" t="s">
        <v>8</v>
      </c>
      <c r="L10355" s="23" t="s">
        <v>8</v>
      </c>
      <c r="M10355" s="23" t="s">
        <v>8</v>
      </c>
    </row>
    <row r="10356" spans="1:13" s="21" customFormat="1" x14ac:dyDescent="0.25">
      <c r="A10356" s="22" t="s">
        <v>8</v>
      </c>
      <c r="B10356" s="18" t="str">
        <f>"366084"</f>
        <v>366084</v>
      </c>
      <c r="C10356" s="19" t="s">
        <v>10200</v>
      </c>
      <c r="D10356" s="19" t="s">
        <v>25766</v>
      </c>
      <c r="E10356" s="19" t="s">
        <v>34485</v>
      </c>
      <c r="F10356" s="19" t="s">
        <v>36009</v>
      </c>
      <c r="G10356" s="18" t="str">
        <f>"45320"</f>
        <v>45320</v>
      </c>
      <c r="H10356" s="19" t="s">
        <v>36684</v>
      </c>
      <c r="I10356" s="20">
        <v>20.773</v>
      </c>
      <c r="J10356" s="44" t="s">
        <v>8</v>
      </c>
      <c r="K10356" s="23" t="s">
        <v>8</v>
      </c>
      <c r="L10356" s="23" t="s">
        <v>8</v>
      </c>
      <c r="M10356" s="23" t="s">
        <v>8</v>
      </c>
    </row>
    <row r="10357" spans="1:13" s="21" customFormat="1" x14ac:dyDescent="0.25">
      <c r="A10357" s="22" t="s">
        <v>8</v>
      </c>
      <c r="B10357" s="18" t="str">
        <f>"366085"</f>
        <v>366085</v>
      </c>
      <c r="C10357" s="19" t="s">
        <v>10201</v>
      </c>
      <c r="D10357" s="19" t="s">
        <v>25767</v>
      </c>
      <c r="E10357" s="19" t="s">
        <v>34439</v>
      </c>
      <c r="F10357" s="19" t="s">
        <v>36009</v>
      </c>
      <c r="G10357" s="18" t="str">
        <f>"44646"</f>
        <v>44646</v>
      </c>
      <c r="H10357" s="19" t="s">
        <v>36240</v>
      </c>
      <c r="I10357" s="20">
        <v>21.827000000000002</v>
      </c>
      <c r="J10357" s="44" t="s">
        <v>8</v>
      </c>
      <c r="K10357" s="23" t="s">
        <v>8</v>
      </c>
      <c r="L10357" s="23" t="s">
        <v>8</v>
      </c>
      <c r="M10357" s="23" t="s">
        <v>8</v>
      </c>
    </row>
    <row r="10358" spans="1:13" s="21" customFormat="1" x14ac:dyDescent="0.25">
      <c r="A10358" s="22" t="s">
        <v>8</v>
      </c>
      <c r="B10358" s="18" t="str">
        <f>"366087"</f>
        <v>366087</v>
      </c>
      <c r="C10358" s="19" t="s">
        <v>10202</v>
      </c>
      <c r="D10358" s="19" t="s">
        <v>25768</v>
      </c>
      <c r="E10358" s="19" t="s">
        <v>34408</v>
      </c>
      <c r="F10358" s="19" t="s">
        <v>36009</v>
      </c>
      <c r="G10358" s="18" t="str">
        <f>"44432"</f>
        <v>44432</v>
      </c>
      <c r="H10358" s="19" t="s">
        <v>30927</v>
      </c>
      <c r="I10358" s="20">
        <v>19.251999999999999</v>
      </c>
      <c r="J10358" s="44" t="s">
        <v>8</v>
      </c>
      <c r="K10358" s="23" t="s">
        <v>8</v>
      </c>
      <c r="L10358" s="23" t="s">
        <v>8</v>
      </c>
      <c r="M10358" s="23" t="s">
        <v>8</v>
      </c>
    </row>
    <row r="10359" spans="1:13" s="21" customFormat="1" x14ac:dyDescent="0.25">
      <c r="A10359" s="22" t="s">
        <v>8</v>
      </c>
      <c r="B10359" s="18" t="str">
        <f>"366088"</f>
        <v>366088</v>
      </c>
      <c r="C10359" s="19" t="s">
        <v>10203</v>
      </c>
      <c r="D10359" s="19" t="s">
        <v>25769</v>
      </c>
      <c r="E10359" s="19" t="s">
        <v>34576</v>
      </c>
      <c r="F10359" s="19" t="s">
        <v>36009</v>
      </c>
      <c r="G10359" s="18" t="str">
        <f>"44010"</f>
        <v>44010</v>
      </c>
      <c r="H10359" s="19" t="s">
        <v>34437</v>
      </c>
      <c r="I10359" s="20">
        <v>19.053999999999998</v>
      </c>
      <c r="J10359" s="44" t="s">
        <v>8</v>
      </c>
      <c r="K10359" s="23" t="s">
        <v>8</v>
      </c>
      <c r="L10359" s="23" t="s">
        <v>8</v>
      </c>
      <c r="M10359" s="23" t="s">
        <v>8</v>
      </c>
    </row>
    <row r="10360" spans="1:13" s="21" customFormat="1" x14ac:dyDescent="0.25">
      <c r="A10360" s="22" t="s">
        <v>8</v>
      </c>
      <c r="B10360" s="18" t="str">
        <f>"366091"</f>
        <v>366091</v>
      </c>
      <c r="C10360" s="19" t="s">
        <v>10204</v>
      </c>
      <c r="D10360" s="19" t="s">
        <v>25770</v>
      </c>
      <c r="E10360" s="19" t="s">
        <v>34577</v>
      </c>
      <c r="F10360" s="19" t="s">
        <v>36009</v>
      </c>
      <c r="G10360" s="18" t="str">
        <f>"45169"</f>
        <v>45169</v>
      </c>
      <c r="H10360" s="19" t="s">
        <v>31081</v>
      </c>
      <c r="I10360" s="20">
        <v>20.692</v>
      </c>
      <c r="J10360" s="44" t="s">
        <v>8</v>
      </c>
      <c r="K10360" s="23" t="s">
        <v>8</v>
      </c>
      <c r="L10360" s="23" t="s">
        <v>8</v>
      </c>
      <c r="M10360" s="23" t="s">
        <v>8</v>
      </c>
    </row>
    <row r="10361" spans="1:13" s="21" customFormat="1" x14ac:dyDescent="0.25">
      <c r="A10361" s="22" t="s">
        <v>8</v>
      </c>
      <c r="B10361" s="18" t="str">
        <f>"366092"</f>
        <v>366092</v>
      </c>
      <c r="C10361" s="19" t="s">
        <v>10205</v>
      </c>
      <c r="D10361" s="19" t="s">
        <v>25771</v>
      </c>
      <c r="E10361" s="19" t="s">
        <v>34578</v>
      </c>
      <c r="F10361" s="19" t="s">
        <v>36009</v>
      </c>
      <c r="G10361" s="18" t="str">
        <f>"44021"</f>
        <v>44021</v>
      </c>
      <c r="H10361" s="19" t="s">
        <v>36686</v>
      </c>
      <c r="I10361" s="20">
        <v>17.096</v>
      </c>
      <c r="J10361" s="44" t="s">
        <v>8</v>
      </c>
      <c r="K10361" s="23" t="s">
        <v>8</v>
      </c>
      <c r="L10361" s="23" t="s">
        <v>8</v>
      </c>
      <c r="M10361" s="23" t="s">
        <v>8</v>
      </c>
    </row>
    <row r="10362" spans="1:13" s="21" customFormat="1" x14ac:dyDescent="0.25">
      <c r="A10362" s="22" t="s">
        <v>8</v>
      </c>
      <c r="B10362" s="18" t="str">
        <f>"366093"</f>
        <v>366093</v>
      </c>
      <c r="C10362" s="19" t="s">
        <v>10206</v>
      </c>
      <c r="D10362" s="19" t="s">
        <v>25772</v>
      </c>
      <c r="E10362" s="19" t="s">
        <v>31492</v>
      </c>
      <c r="F10362" s="19" t="s">
        <v>36009</v>
      </c>
      <c r="G10362" s="18" t="str">
        <f>"44622"</f>
        <v>44622</v>
      </c>
      <c r="H10362" s="19" t="s">
        <v>36675</v>
      </c>
      <c r="I10362" s="20">
        <v>17.949000000000002</v>
      </c>
      <c r="J10362" s="44" t="s">
        <v>8</v>
      </c>
      <c r="K10362" s="23" t="s">
        <v>8</v>
      </c>
      <c r="L10362" s="23" t="s">
        <v>8</v>
      </c>
      <c r="M10362" s="23" t="s">
        <v>8</v>
      </c>
    </row>
    <row r="10363" spans="1:13" s="21" customFormat="1" x14ac:dyDescent="0.25">
      <c r="A10363" s="22" t="s">
        <v>8</v>
      </c>
      <c r="B10363" s="18" t="str">
        <f>"366094"</f>
        <v>366094</v>
      </c>
      <c r="C10363" s="19" t="s">
        <v>10207</v>
      </c>
      <c r="D10363" s="19" t="s">
        <v>25773</v>
      </c>
      <c r="E10363" s="19" t="s">
        <v>34579</v>
      </c>
      <c r="F10363" s="19" t="s">
        <v>36009</v>
      </c>
      <c r="G10363" s="18" t="str">
        <f>"43230"</f>
        <v>43230</v>
      </c>
      <c r="H10363" s="19" t="s">
        <v>5</v>
      </c>
      <c r="I10363" s="20">
        <v>20.067</v>
      </c>
      <c r="J10363" s="44" t="s">
        <v>8</v>
      </c>
      <c r="K10363" s="23" t="s">
        <v>8</v>
      </c>
      <c r="L10363" s="23" t="s">
        <v>8</v>
      </c>
      <c r="M10363" s="23" t="s">
        <v>8</v>
      </c>
    </row>
    <row r="10364" spans="1:13" s="21" customFormat="1" x14ac:dyDescent="0.25">
      <c r="A10364" s="22" t="s">
        <v>8</v>
      </c>
      <c r="B10364" s="18" t="str">
        <f>"366095"</f>
        <v>366095</v>
      </c>
      <c r="C10364" s="19" t="s">
        <v>10208</v>
      </c>
      <c r="D10364" s="19" t="s">
        <v>25774</v>
      </c>
      <c r="E10364" s="19" t="s">
        <v>31791</v>
      </c>
      <c r="F10364" s="19" t="s">
        <v>36009</v>
      </c>
      <c r="G10364" s="18" t="str">
        <f>"44709"</f>
        <v>44709</v>
      </c>
      <c r="H10364" s="19" t="s">
        <v>36240</v>
      </c>
      <c r="I10364" s="20">
        <v>19.173999999999999</v>
      </c>
      <c r="J10364" s="44" t="s">
        <v>8</v>
      </c>
      <c r="K10364" s="23" t="s">
        <v>8</v>
      </c>
      <c r="L10364" s="23" t="s">
        <v>8</v>
      </c>
      <c r="M10364" s="23" t="s">
        <v>8</v>
      </c>
    </row>
    <row r="10365" spans="1:13" s="21" customFormat="1" x14ac:dyDescent="0.25">
      <c r="A10365" s="22" t="s">
        <v>8</v>
      </c>
      <c r="B10365" s="18" t="str">
        <f>"366096"</f>
        <v>366096</v>
      </c>
      <c r="C10365" s="19" t="s">
        <v>10209</v>
      </c>
      <c r="D10365" s="19" t="s">
        <v>25775</v>
      </c>
      <c r="E10365" s="19" t="s">
        <v>31038</v>
      </c>
      <c r="F10365" s="19" t="s">
        <v>36009</v>
      </c>
      <c r="G10365" s="18" t="str">
        <f>"44460"</f>
        <v>44460</v>
      </c>
      <c r="H10365" s="19" t="s">
        <v>30927</v>
      </c>
      <c r="I10365" s="20">
        <v>18.587</v>
      </c>
      <c r="J10365" s="44" t="s">
        <v>8</v>
      </c>
      <c r="K10365" s="23" t="s">
        <v>8</v>
      </c>
      <c r="L10365" s="23" t="s">
        <v>8</v>
      </c>
      <c r="M10365" s="23" t="s">
        <v>8</v>
      </c>
    </row>
    <row r="10366" spans="1:13" s="21" customFormat="1" x14ac:dyDescent="0.25">
      <c r="A10366" s="22" t="s">
        <v>8</v>
      </c>
      <c r="B10366" s="18" t="str">
        <f>"366097"</f>
        <v>366097</v>
      </c>
      <c r="C10366" s="19" t="s">
        <v>10210</v>
      </c>
      <c r="D10366" s="19" t="s">
        <v>25776</v>
      </c>
      <c r="E10366" s="19" t="s">
        <v>34447</v>
      </c>
      <c r="F10366" s="19" t="s">
        <v>36009</v>
      </c>
      <c r="G10366" s="18" t="str">
        <f>"43567"</f>
        <v>43567</v>
      </c>
      <c r="H10366" s="19" t="s">
        <v>32194</v>
      </c>
      <c r="I10366" s="20">
        <v>15.487</v>
      </c>
      <c r="J10366" s="44" t="s">
        <v>8</v>
      </c>
      <c r="K10366" s="23" t="s">
        <v>8</v>
      </c>
      <c r="L10366" s="23" t="s">
        <v>8</v>
      </c>
      <c r="M10366" s="23" t="s">
        <v>8</v>
      </c>
    </row>
    <row r="10367" spans="1:13" s="21" customFormat="1" x14ac:dyDescent="0.25">
      <c r="A10367" s="22" t="s">
        <v>8</v>
      </c>
      <c r="B10367" s="18" t="str">
        <f>"366098"</f>
        <v>366098</v>
      </c>
      <c r="C10367" s="19" t="s">
        <v>10211</v>
      </c>
      <c r="D10367" s="19" t="s">
        <v>25777</v>
      </c>
      <c r="E10367" s="19" t="s">
        <v>34436</v>
      </c>
      <c r="F10367" s="19" t="s">
        <v>36009</v>
      </c>
      <c r="G10367" s="18" t="str">
        <f>"43952"</f>
        <v>43952</v>
      </c>
      <c r="H10367" s="19" t="s">
        <v>32391</v>
      </c>
      <c r="I10367" s="20">
        <v>18.954000000000001</v>
      </c>
      <c r="J10367" s="44" t="s">
        <v>8</v>
      </c>
      <c r="K10367" s="23" t="s">
        <v>8</v>
      </c>
      <c r="L10367" s="23" t="s">
        <v>8</v>
      </c>
      <c r="M10367" s="23" t="s">
        <v>8</v>
      </c>
    </row>
    <row r="10368" spans="1:13" s="21" customFormat="1" x14ac:dyDescent="0.25">
      <c r="A10368" s="22" t="s">
        <v>8</v>
      </c>
      <c r="B10368" s="18" t="str">
        <f>"366099"</f>
        <v>366099</v>
      </c>
      <c r="C10368" s="19" t="s">
        <v>10212</v>
      </c>
      <c r="D10368" s="19" t="s">
        <v>25778</v>
      </c>
      <c r="E10368" s="19" t="s">
        <v>31717</v>
      </c>
      <c r="F10368" s="19" t="s">
        <v>36009</v>
      </c>
      <c r="G10368" s="18" t="str">
        <f>"45503"</f>
        <v>45503</v>
      </c>
      <c r="H10368" s="19" t="s">
        <v>33967</v>
      </c>
      <c r="I10368" s="20">
        <v>18.882999999999999</v>
      </c>
      <c r="J10368" s="44" t="s">
        <v>8</v>
      </c>
      <c r="K10368" s="23" t="s">
        <v>8</v>
      </c>
      <c r="L10368" s="23" t="s">
        <v>8</v>
      </c>
      <c r="M10368" s="23" t="s">
        <v>8</v>
      </c>
    </row>
    <row r="10369" spans="1:13" s="21" customFormat="1" x14ac:dyDescent="0.25">
      <c r="A10369" s="22" t="s">
        <v>8</v>
      </c>
      <c r="B10369" s="18" t="str">
        <f>"366100"</f>
        <v>366100</v>
      </c>
      <c r="C10369" s="19" t="s">
        <v>10213</v>
      </c>
      <c r="D10369" s="19" t="s">
        <v>25779</v>
      </c>
      <c r="E10369" s="19" t="s">
        <v>32280</v>
      </c>
      <c r="F10369" s="19" t="s">
        <v>36009</v>
      </c>
      <c r="G10369" s="18" t="str">
        <f>"45459"</f>
        <v>45459</v>
      </c>
      <c r="H10369" s="19" t="s">
        <v>30833</v>
      </c>
      <c r="I10369" s="20">
        <v>17.706</v>
      </c>
      <c r="J10369" s="44" t="s">
        <v>8</v>
      </c>
      <c r="K10369" s="23" t="s">
        <v>8</v>
      </c>
      <c r="L10369" s="23" t="s">
        <v>8</v>
      </c>
      <c r="M10369" s="23" t="s">
        <v>8</v>
      </c>
    </row>
    <row r="10370" spans="1:13" s="21" customFormat="1" x14ac:dyDescent="0.25">
      <c r="A10370" s="22" t="s">
        <v>8</v>
      </c>
      <c r="B10370" s="18" t="str">
        <f>"366101"</f>
        <v>366101</v>
      </c>
      <c r="C10370" s="19" t="s">
        <v>10214</v>
      </c>
      <c r="D10370" s="19" t="s">
        <v>25780</v>
      </c>
      <c r="E10370" s="19" t="s">
        <v>31810</v>
      </c>
      <c r="F10370" s="19" t="s">
        <v>36009</v>
      </c>
      <c r="G10370" s="18" t="str">
        <f>"44103"</f>
        <v>44103</v>
      </c>
      <c r="H10370" s="19" t="s">
        <v>36671</v>
      </c>
      <c r="I10370" s="20">
        <v>17.468</v>
      </c>
      <c r="J10370" s="44" t="s">
        <v>8</v>
      </c>
      <c r="K10370" s="23" t="s">
        <v>8</v>
      </c>
      <c r="L10370" s="23" t="s">
        <v>8</v>
      </c>
      <c r="M10370" s="23" t="s">
        <v>8</v>
      </c>
    </row>
    <row r="10371" spans="1:13" s="21" customFormat="1" x14ac:dyDescent="0.25">
      <c r="A10371" s="22" t="s">
        <v>8</v>
      </c>
      <c r="B10371" s="18" t="str">
        <f>"366102"</f>
        <v>366102</v>
      </c>
      <c r="C10371" s="19" t="s">
        <v>10215</v>
      </c>
      <c r="D10371" s="19" t="s">
        <v>25781</v>
      </c>
      <c r="E10371" s="19" t="s">
        <v>34411</v>
      </c>
      <c r="F10371" s="19" t="s">
        <v>36009</v>
      </c>
      <c r="G10371" s="18" t="str">
        <f>"44883"</f>
        <v>44883</v>
      </c>
      <c r="H10371" s="19" t="s">
        <v>32641</v>
      </c>
      <c r="I10371" s="20">
        <v>19.600999999999999</v>
      </c>
      <c r="J10371" s="44" t="s">
        <v>8</v>
      </c>
      <c r="K10371" s="23" t="s">
        <v>8</v>
      </c>
      <c r="L10371" s="23" t="s">
        <v>8</v>
      </c>
      <c r="M10371" s="23" t="s">
        <v>8</v>
      </c>
    </row>
    <row r="10372" spans="1:13" s="21" customFormat="1" x14ac:dyDescent="0.25">
      <c r="A10372" s="22" t="s">
        <v>8</v>
      </c>
      <c r="B10372" s="18" t="str">
        <f>"366103"</f>
        <v>366103</v>
      </c>
      <c r="C10372" s="19" t="s">
        <v>10216</v>
      </c>
      <c r="D10372" s="19" t="s">
        <v>25782</v>
      </c>
      <c r="E10372" s="19" t="s">
        <v>34554</v>
      </c>
      <c r="F10372" s="19" t="s">
        <v>36009</v>
      </c>
      <c r="G10372" s="18" t="str">
        <f>"44116"</f>
        <v>44116</v>
      </c>
      <c r="H10372" s="19" t="s">
        <v>36671</v>
      </c>
      <c r="I10372" s="20">
        <v>18.843</v>
      </c>
      <c r="J10372" s="44" t="s">
        <v>8</v>
      </c>
      <c r="K10372" s="23" t="s">
        <v>8</v>
      </c>
      <c r="L10372" s="23" t="s">
        <v>8</v>
      </c>
      <c r="M10372" s="23" t="s">
        <v>8</v>
      </c>
    </row>
    <row r="10373" spans="1:13" s="21" customFormat="1" x14ac:dyDescent="0.25">
      <c r="A10373" s="22" t="s">
        <v>8</v>
      </c>
      <c r="B10373" s="18" t="str">
        <f>"366104"</f>
        <v>366104</v>
      </c>
      <c r="C10373" s="19" t="s">
        <v>10217</v>
      </c>
      <c r="D10373" s="19" t="s">
        <v>25783</v>
      </c>
      <c r="E10373" s="19" t="s">
        <v>31038</v>
      </c>
      <c r="F10373" s="19" t="s">
        <v>36009</v>
      </c>
      <c r="G10373" s="18" t="str">
        <f>"44460"</f>
        <v>44460</v>
      </c>
      <c r="H10373" s="19" t="s">
        <v>30927</v>
      </c>
      <c r="I10373" s="20">
        <v>18.762</v>
      </c>
      <c r="J10373" s="44" t="s">
        <v>8</v>
      </c>
      <c r="K10373" s="23" t="s">
        <v>8</v>
      </c>
      <c r="L10373" s="23" t="s">
        <v>8</v>
      </c>
      <c r="M10373" s="23" t="s">
        <v>8</v>
      </c>
    </row>
    <row r="10374" spans="1:13" s="21" customFormat="1" x14ac:dyDescent="0.25">
      <c r="A10374" s="22" t="s">
        <v>8</v>
      </c>
      <c r="B10374" s="18" t="str">
        <f>"366106"</f>
        <v>366106</v>
      </c>
      <c r="C10374" s="19" t="s">
        <v>10218</v>
      </c>
      <c r="D10374" s="19" t="s">
        <v>25784</v>
      </c>
      <c r="E10374" s="19" t="s">
        <v>31810</v>
      </c>
      <c r="F10374" s="19" t="s">
        <v>36009</v>
      </c>
      <c r="G10374" s="18" t="str">
        <f>"44106"</f>
        <v>44106</v>
      </c>
      <c r="H10374" s="19" t="s">
        <v>36671</v>
      </c>
      <c r="I10374" s="20">
        <v>17.716000000000001</v>
      </c>
      <c r="J10374" s="44" t="s">
        <v>8</v>
      </c>
      <c r="K10374" s="23" t="s">
        <v>8</v>
      </c>
      <c r="L10374" s="23" t="s">
        <v>8</v>
      </c>
      <c r="M10374" s="23" t="s">
        <v>8</v>
      </c>
    </row>
    <row r="10375" spans="1:13" s="21" customFormat="1" x14ac:dyDescent="0.25">
      <c r="A10375" s="22" t="s">
        <v>8</v>
      </c>
      <c r="B10375" s="18" t="str">
        <f>"366107"</f>
        <v>366107</v>
      </c>
      <c r="C10375" s="19" t="s">
        <v>10219</v>
      </c>
      <c r="D10375" s="19" t="s">
        <v>25785</v>
      </c>
      <c r="E10375" s="19" t="s">
        <v>34580</v>
      </c>
      <c r="F10375" s="19" t="s">
        <v>36009</v>
      </c>
      <c r="G10375" s="18" t="str">
        <f>"45652"</f>
        <v>45652</v>
      </c>
      <c r="H10375" s="19" t="s">
        <v>36678</v>
      </c>
      <c r="I10375" s="20">
        <v>19.829999999999998</v>
      </c>
      <c r="J10375" s="44" t="s">
        <v>8</v>
      </c>
      <c r="K10375" s="23" t="s">
        <v>8</v>
      </c>
      <c r="L10375" s="23" t="s">
        <v>8</v>
      </c>
      <c r="M10375" s="23" t="s">
        <v>8</v>
      </c>
    </row>
    <row r="10376" spans="1:13" s="21" customFormat="1" x14ac:dyDescent="0.25">
      <c r="A10376" s="22" t="s">
        <v>8</v>
      </c>
      <c r="B10376" s="18" t="str">
        <f>"366108"</f>
        <v>366108</v>
      </c>
      <c r="C10376" s="19" t="s">
        <v>10220</v>
      </c>
      <c r="D10376" s="19" t="s">
        <v>25786</v>
      </c>
      <c r="E10376" s="19" t="s">
        <v>32304</v>
      </c>
      <c r="F10376" s="19" t="s">
        <v>36009</v>
      </c>
      <c r="G10376" s="18" t="str">
        <f>"45344"</f>
        <v>45344</v>
      </c>
      <c r="H10376" s="19" t="s">
        <v>33967</v>
      </c>
      <c r="I10376" s="20">
        <v>20.614000000000001</v>
      </c>
      <c r="J10376" s="44" t="s">
        <v>8</v>
      </c>
      <c r="K10376" s="23" t="s">
        <v>8</v>
      </c>
      <c r="L10376" s="23" t="s">
        <v>8</v>
      </c>
      <c r="M10376" s="23" t="s">
        <v>8</v>
      </c>
    </row>
    <row r="10377" spans="1:13" s="21" customFormat="1" x14ac:dyDescent="0.25">
      <c r="A10377" s="22" t="s">
        <v>8</v>
      </c>
      <c r="B10377" s="18" t="str">
        <f>"366109"</f>
        <v>366109</v>
      </c>
      <c r="C10377" s="19" t="s">
        <v>10221</v>
      </c>
      <c r="D10377" s="19" t="s">
        <v>25787</v>
      </c>
      <c r="E10377" s="19" t="s">
        <v>33090</v>
      </c>
      <c r="F10377" s="19" t="s">
        <v>36009</v>
      </c>
      <c r="G10377" s="18" t="str">
        <f>"45064"</f>
        <v>45064</v>
      </c>
      <c r="H10377" s="19" t="s">
        <v>30876</v>
      </c>
      <c r="I10377" s="20">
        <v>21.413</v>
      </c>
      <c r="J10377" s="44" t="s">
        <v>8</v>
      </c>
      <c r="K10377" s="23" t="s">
        <v>8</v>
      </c>
      <c r="L10377" s="23" t="s">
        <v>8</v>
      </c>
      <c r="M10377" s="23" t="s">
        <v>8</v>
      </c>
    </row>
    <row r="10378" spans="1:13" s="21" customFormat="1" x14ac:dyDescent="0.25">
      <c r="A10378" s="22" t="s">
        <v>8</v>
      </c>
      <c r="B10378" s="18" t="str">
        <f>"366110"</f>
        <v>366110</v>
      </c>
      <c r="C10378" s="19" t="s">
        <v>10222</v>
      </c>
      <c r="D10378" s="19" t="s">
        <v>25788</v>
      </c>
      <c r="E10378" s="19" t="s">
        <v>31810</v>
      </c>
      <c r="F10378" s="19" t="s">
        <v>36009</v>
      </c>
      <c r="G10378" s="18" t="str">
        <f>"44106"</f>
        <v>44106</v>
      </c>
      <c r="H10378" s="19" t="s">
        <v>36671</v>
      </c>
      <c r="I10378" s="20">
        <v>20.364999999999998</v>
      </c>
      <c r="J10378" s="44" t="s">
        <v>8</v>
      </c>
      <c r="K10378" s="23" t="s">
        <v>8</v>
      </c>
      <c r="L10378" s="23" t="s">
        <v>8</v>
      </c>
      <c r="M10378" s="23" t="s">
        <v>8</v>
      </c>
    </row>
    <row r="10379" spans="1:13" s="21" customFormat="1" x14ac:dyDescent="0.25">
      <c r="A10379" s="22" t="s">
        <v>8</v>
      </c>
      <c r="B10379" s="18" t="str">
        <f>"366111"</f>
        <v>366111</v>
      </c>
      <c r="C10379" s="19" t="s">
        <v>10223</v>
      </c>
      <c r="D10379" s="19" t="s">
        <v>25789</v>
      </c>
      <c r="E10379" s="19" t="s">
        <v>34420</v>
      </c>
      <c r="F10379" s="19" t="s">
        <v>36009</v>
      </c>
      <c r="G10379" s="18" t="str">
        <f>"44136"</f>
        <v>44136</v>
      </c>
      <c r="H10379" s="19" t="s">
        <v>36671</v>
      </c>
      <c r="I10379" s="20">
        <v>18.742999999999999</v>
      </c>
      <c r="J10379" s="44" t="s">
        <v>8</v>
      </c>
      <c r="K10379" s="23" t="s">
        <v>8</v>
      </c>
      <c r="L10379" s="23" t="s">
        <v>8</v>
      </c>
      <c r="M10379" s="23" t="s">
        <v>8</v>
      </c>
    </row>
    <row r="10380" spans="1:13" s="21" customFormat="1" x14ac:dyDescent="0.25">
      <c r="A10380" s="22" t="s">
        <v>8</v>
      </c>
      <c r="B10380" s="18" t="str">
        <f>"366112"</f>
        <v>366112</v>
      </c>
      <c r="C10380" s="19" t="s">
        <v>10224</v>
      </c>
      <c r="D10380" s="19" t="s">
        <v>25790</v>
      </c>
      <c r="E10380" s="19" t="s">
        <v>34441</v>
      </c>
      <c r="F10380" s="19" t="s">
        <v>36009</v>
      </c>
      <c r="G10380" s="18" t="str">
        <f>"43113"</f>
        <v>43113</v>
      </c>
      <c r="H10380" s="19" t="s">
        <v>36677</v>
      </c>
      <c r="I10380" s="20">
        <v>20.643000000000001</v>
      </c>
      <c r="J10380" s="44" t="s">
        <v>8</v>
      </c>
      <c r="K10380" s="23" t="s">
        <v>8</v>
      </c>
      <c r="L10380" s="23" t="s">
        <v>8</v>
      </c>
      <c r="M10380" s="23" t="s">
        <v>8</v>
      </c>
    </row>
    <row r="10381" spans="1:13" s="21" customFormat="1" x14ac:dyDescent="0.25">
      <c r="A10381" s="22" t="s">
        <v>8</v>
      </c>
      <c r="B10381" s="18" t="str">
        <f>"366113"</f>
        <v>366113</v>
      </c>
      <c r="C10381" s="19" t="s">
        <v>10225</v>
      </c>
      <c r="D10381" s="19" t="s">
        <v>25791</v>
      </c>
      <c r="E10381" s="19" t="s">
        <v>34421</v>
      </c>
      <c r="F10381" s="19" t="s">
        <v>36009</v>
      </c>
      <c r="G10381" s="18" t="str">
        <f>"44505"</f>
        <v>44505</v>
      </c>
      <c r="H10381" s="19" t="s">
        <v>36674</v>
      </c>
      <c r="I10381" s="20">
        <v>24.898</v>
      </c>
      <c r="J10381" s="44" t="s">
        <v>8</v>
      </c>
      <c r="K10381" s="23" t="s">
        <v>8</v>
      </c>
      <c r="L10381" s="23" t="s">
        <v>8</v>
      </c>
      <c r="M10381" s="23" t="s">
        <v>8</v>
      </c>
    </row>
    <row r="10382" spans="1:13" s="21" customFormat="1" x14ac:dyDescent="0.25">
      <c r="A10382" s="22" t="s">
        <v>8</v>
      </c>
      <c r="B10382" s="18" t="str">
        <f>"366114"</f>
        <v>366114</v>
      </c>
      <c r="C10382" s="19" t="s">
        <v>10226</v>
      </c>
      <c r="D10382" s="19" t="s">
        <v>25792</v>
      </c>
      <c r="E10382" s="19" t="s">
        <v>34581</v>
      </c>
      <c r="F10382" s="19" t="s">
        <v>36009</v>
      </c>
      <c r="G10382" s="18" t="str">
        <f>"44124"</f>
        <v>44124</v>
      </c>
      <c r="H10382" s="19" t="s">
        <v>36671</v>
      </c>
      <c r="I10382" s="20">
        <v>21.010999999999999</v>
      </c>
      <c r="J10382" s="44" t="s">
        <v>8</v>
      </c>
      <c r="K10382" s="23" t="s">
        <v>8</v>
      </c>
      <c r="L10382" s="23" t="s">
        <v>8</v>
      </c>
      <c r="M10382" s="23" t="s">
        <v>8</v>
      </c>
    </row>
    <row r="10383" spans="1:13" s="21" customFormat="1" x14ac:dyDescent="0.25">
      <c r="A10383" s="22" t="s">
        <v>8</v>
      </c>
      <c r="B10383" s="18" t="str">
        <f>"366116"</f>
        <v>366116</v>
      </c>
      <c r="C10383" s="19" t="s">
        <v>10227</v>
      </c>
      <c r="D10383" s="19" t="s">
        <v>25793</v>
      </c>
      <c r="E10383" s="19" t="s">
        <v>31717</v>
      </c>
      <c r="F10383" s="19" t="s">
        <v>36009</v>
      </c>
      <c r="G10383" s="18" t="str">
        <f>"45501"</f>
        <v>45501</v>
      </c>
      <c r="H10383" s="19" t="s">
        <v>33967</v>
      </c>
      <c r="I10383" s="20">
        <v>19.657</v>
      </c>
      <c r="J10383" s="44" t="s">
        <v>8</v>
      </c>
      <c r="K10383" s="23" t="s">
        <v>8</v>
      </c>
      <c r="L10383" s="23" t="s">
        <v>8</v>
      </c>
      <c r="M10383" s="23" t="s">
        <v>8</v>
      </c>
    </row>
    <row r="10384" spans="1:13" s="21" customFormat="1" x14ac:dyDescent="0.25">
      <c r="A10384" s="22" t="s">
        <v>8</v>
      </c>
      <c r="B10384" s="18" t="str">
        <f>"366117"</f>
        <v>366117</v>
      </c>
      <c r="C10384" s="19" t="s">
        <v>10228</v>
      </c>
      <c r="D10384" s="19" t="s">
        <v>25794</v>
      </c>
      <c r="E10384" s="19" t="s">
        <v>34411</v>
      </c>
      <c r="F10384" s="19" t="s">
        <v>36009</v>
      </c>
      <c r="G10384" s="18" t="str">
        <f>"44883"</f>
        <v>44883</v>
      </c>
      <c r="H10384" s="19" t="s">
        <v>32641</v>
      </c>
      <c r="I10384" s="20">
        <v>18.216999999999999</v>
      </c>
      <c r="J10384" s="44" t="s">
        <v>8</v>
      </c>
      <c r="K10384" s="23" t="s">
        <v>8</v>
      </c>
      <c r="L10384" s="23" t="s">
        <v>8</v>
      </c>
      <c r="M10384" s="23" t="s">
        <v>8</v>
      </c>
    </row>
    <row r="10385" spans="1:13" s="21" customFormat="1" x14ac:dyDescent="0.25">
      <c r="A10385" s="22" t="s">
        <v>8</v>
      </c>
      <c r="B10385" s="18" t="str">
        <f>"366118"</f>
        <v>366118</v>
      </c>
      <c r="C10385" s="19" t="s">
        <v>10229</v>
      </c>
      <c r="D10385" s="19" t="s">
        <v>25795</v>
      </c>
      <c r="E10385" s="19" t="s">
        <v>31683</v>
      </c>
      <c r="F10385" s="19" t="s">
        <v>36009</v>
      </c>
      <c r="G10385" s="18" t="str">
        <f>"44090"</f>
        <v>44090</v>
      </c>
      <c r="H10385" s="19" t="s">
        <v>34482</v>
      </c>
      <c r="I10385" s="20">
        <v>17.280999999999999</v>
      </c>
      <c r="J10385" s="44" t="s">
        <v>8</v>
      </c>
      <c r="K10385" s="23" t="s">
        <v>8</v>
      </c>
      <c r="L10385" s="23" t="s">
        <v>8</v>
      </c>
      <c r="M10385" s="23" t="s">
        <v>8</v>
      </c>
    </row>
    <row r="10386" spans="1:13" s="21" customFormat="1" x14ac:dyDescent="0.25">
      <c r="A10386" s="22" t="s">
        <v>8</v>
      </c>
      <c r="B10386" s="18" t="str">
        <f>"366120"</f>
        <v>366120</v>
      </c>
      <c r="C10386" s="19" t="s">
        <v>10230</v>
      </c>
      <c r="D10386" s="19" t="s">
        <v>25796</v>
      </c>
      <c r="E10386" s="19" t="s">
        <v>34550</v>
      </c>
      <c r="F10386" s="19" t="s">
        <v>36009</v>
      </c>
      <c r="G10386" s="18" t="str">
        <f>"45040"</f>
        <v>45040</v>
      </c>
      <c r="H10386" s="19" t="s">
        <v>31025</v>
      </c>
      <c r="I10386" s="20">
        <v>20.952000000000002</v>
      </c>
      <c r="J10386" s="44" t="s">
        <v>8</v>
      </c>
      <c r="K10386" s="23" t="s">
        <v>8</v>
      </c>
      <c r="L10386" s="23" t="s">
        <v>8</v>
      </c>
      <c r="M10386" s="23" t="s">
        <v>8</v>
      </c>
    </row>
    <row r="10387" spans="1:13" s="21" customFormat="1" x14ac:dyDescent="0.25">
      <c r="A10387" s="22" t="s">
        <v>8</v>
      </c>
      <c r="B10387" s="18" t="str">
        <f>"366122"</f>
        <v>366122</v>
      </c>
      <c r="C10387" s="19" t="s">
        <v>10231</v>
      </c>
      <c r="D10387" s="19" t="s">
        <v>25797</v>
      </c>
      <c r="E10387" s="19" t="s">
        <v>32369</v>
      </c>
      <c r="F10387" s="19" t="s">
        <v>36009</v>
      </c>
      <c r="G10387" s="18" t="str">
        <f>"45406"</f>
        <v>45406</v>
      </c>
      <c r="H10387" s="19" t="s">
        <v>30833</v>
      </c>
      <c r="I10387" s="20">
        <v>18.646000000000001</v>
      </c>
      <c r="J10387" s="44" t="s">
        <v>8</v>
      </c>
      <c r="K10387" s="23" t="s">
        <v>8</v>
      </c>
      <c r="L10387" s="23" t="s">
        <v>8</v>
      </c>
      <c r="M10387" s="23" t="s">
        <v>8</v>
      </c>
    </row>
    <row r="10388" spans="1:13" s="21" customFormat="1" x14ac:dyDescent="0.25">
      <c r="A10388" s="22" t="s">
        <v>8</v>
      </c>
      <c r="B10388" s="18" t="str">
        <f>"366123"</f>
        <v>366123</v>
      </c>
      <c r="C10388" s="19" t="s">
        <v>10232</v>
      </c>
      <c r="D10388" s="19" t="s">
        <v>25798</v>
      </c>
      <c r="E10388" s="19" t="s">
        <v>34582</v>
      </c>
      <c r="F10388" s="19" t="s">
        <v>36009</v>
      </c>
      <c r="G10388" s="18" t="str">
        <f>"44667"</f>
        <v>44667</v>
      </c>
      <c r="H10388" s="19" t="s">
        <v>33280</v>
      </c>
      <c r="I10388" s="20">
        <v>20.326000000000001</v>
      </c>
      <c r="J10388" s="44" t="s">
        <v>8</v>
      </c>
      <c r="K10388" s="23" t="s">
        <v>8</v>
      </c>
      <c r="L10388" s="23" t="s">
        <v>8</v>
      </c>
      <c r="M10388" s="23" t="s">
        <v>8</v>
      </c>
    </row>
    <row r="10389" spans="1:13" s="21" customFormat="1" x14ac:dyDescent="0.25">
      <c r="A10389" s="22" t="s">
        <v>8</v>
      </c>
      <c r="B10389" s="18" t="str">
        <f>"366124"</f>
        <v>366124</v>
      </c>
      <c r="C10389" s="19" t="s">
        <v>10233</v>
      </c>
      <c r="D10389" s="19" t="s">
        <v>25799</v>
      </c>
      <c r="E10389" s="19" t="s">
        <v>34583</v>
      </c>
      <c r="F10389" s="19" t="s">
        <v>36009</v>
      </c>
      <c r="G10389" s="18" t="str">
        <f>"44046"</f>
        <v>44046</v>
      </c>
      <c r="H10389" s="19" t="s">
        <v>36686</v>
      </c>
      <c r="I10389" s="20">
        <v>17.568999999999999</v>
      </c>
      <c r="J10389" s="44" t="s">
        <v>8</v>
      </c>
      <c r="K10389" s="23" t="s">
        <v>8</v>
      </c>
      <c r="L10389" s="23" t="s">
        <v>8</v>
      </c>
      <c r="M10389" s="23" t="s">
        <v>8</v>
      </c>
    </row>
    <row r="10390" spans="1:13" s="21" customFormat="1" x14ac:dyDescent="0.25">
      <c r="A10390" s="22" t="s">
        <v>8</v>
      </c>
      <c r="B10390" s="18" t="str">
        <f>"366125"</f>
        <v>366125</v>
      </c>
      <c r="C10390" s="19" t="s">
        <v>10234</v>
      </c>
      <c r="D10390" s="19" t="s">
        <v>25800</v>
      </c>
      <c r="E10390" s="19" t="s">
        <v>31935</v>
      </c>
      <c r="F10390" s="19" t="s">
        <v>36009</v>
      </c>
      <c r="G10390" s="18" t="str">
        <f>"45882"</f>
        <v>45882</v>
      </c>
      <c r="H10390" s="19" t="s">
        <v>34991</v>
      </c>
      <c r="I10390" s="20">
        <v>18.808</v>
      </c>
      <c r="J10390" s="44" t="s">
        <v>8</v>
      </c>
      <c r="K10390" s="23" t="s">
        <v>8</v>
      </c>
      <c r="L10390" s="23" t="s">
        <v>8</v>
      </c>
      <c r="M10390" s="23" t="s">
        <v>8</v>
      </c>
    </row>
    <row r="10391" spans="1:13" s="21" customFormat="1" x14ac:dyDescent="0.25">
      <c r="A10391" s="22" t="s">
        <v>8</v>
      </c>
      <c r="B10391" s="18" t="str">
        <f>"366127"</f>
        <v>366127</v>
      </c>
      <c r="C10391" s="19" t="s">
        <v>10235</v>
      </c>
      <c r="D10391" s="19" t="s">
        <v>25801</v>
      </c>
      <c r="E10391" s="19" t="s">
        <v>33812</v>
      </c>
      <c r="F10391" s="19" t="s">
        <v>36009</v>
      </c>
      <c r="G10391" s="18" t="str">
        <f>"44266"</f>
        <v>44266</v>
      </c>
      <c r="H10391" s="19" t="s">
        <v>32230</v>
      </c>
      <c r="I10391" s="20">
        <v>17.634</v>
      </c>
      <c r="J10391" s="44" t="s">
        <v>8</v>
      </c>
      <c r="K10391" s="23" t="s">
        <v>8</v>
      </c>
      <c r="L10391" s="23" t="s">
        <v>8</v>
      </c>
      <c r="M10391" s="23" t="s">
        <v>8</v>
      </c>
    </row>
    <row r="10392" spans="1:13" s="21" customFormat="1" x14ac:dyDescent="0.25">
      <c r="A10392" s="22" t="s">
        <v>8</v>
      </c>
      <c r="B10392" s="18" t="str">
        <f>"366128"</f>
        <v>366128</v>
      </c>
      <c r="C10392" s="19" t="s">
        <v>10236</v>
      </c>
      <c r="D10392" s="19" t="s">
        <v>25802</v>
      </c>
      <c r="E10392" s="19" t="s">
        <v>32969</v>
      </c>
      <c r="F10392" s="19" t="s">
        <v>36009</v>
      </c>
      <c r="G10392" s="18" t="str">
        <f>"43725"</f>
        <v>43725</v>
      </c>
      <c r="H10392" s="19" t="s">
        <v>36687</v>
      </c>
      <c r="I10392" s="20">
        <v>19.399999999999999</v>
      </c>
      <c r="J10392" s="44" t="s">
        <v>8</v>
      </c>
      <c r="K10392" s="23" t="s">
        <v>8</v>
      </c>
      <c r="L10392" s="23" t="s">
        <v>8</v>
      </c>
      <c r="M10392" s="23" t="s">
        <v>8</v>
      </c>
    </row>
    <row r="10393" spans="1:13" s="21" customFormat="1" x14ac:dyDescent="0.25">
      <c r="A10393" s="22" t="s">
        <v>8</v>
      </c>
      <c r="B10393" s="18" t="str">
        <f>"366129"</f>
        <v>366129</v>
      </c>
      <c r="C10393" s="19" t="s">
        <v>10237</v>
      </c>
      <c r="D10393" s="19" t="s">
        <v>25803</v>
      </c>
      <c r="E10393" s="19" t="s">
        <v>31025</v>
      </c>
      <c r="F10393" s="19" t="s">
        <v>36009</v>
      </c>
      <c r="G10393" s="18" t="str">
        <f>"44483"</f>
        <v>44483</v>
      </c>
      <c r="H10393" s="19" t="s">
        <v>31393</v>
      </c>
      <c r="I10393" s="20">
        <v>20.128</v>
      </c>
      <c r="J10393" s="44" t="s">
        <v>8</v>
      </c>
      <c r="K10393" s="23" t="s">
        <v>8</v>
      </c>
      <c r="L10393" s="23" t="s">
        <v>8</v>
      </c>
      <c r="M10393" s="23" t="s">
        <v>8</v>
      </c>
    </row>
    <row r="10394" spans="1:13" s="21" customFormat="1" x14ac:dyDescent="0.25">
      <c r="A10394" s="22" t="s">
        <v>8</v>
      </c>
      <c r="B10394" s="18" t="str">
        <f>"366130"</f>
        <v>366130</v>
      </c>
      <c r="C10394" s="19" t="s">
        <v>10238</v>
      </c>
      <c r="D10394" s="19" t="s">
        <v>25804</v>
      </c>
      <c r="E10394" s="19" t="s">
        <v>34422</v>
      </c>
      <c r="F10394" s="19" t="s">
        <v>36009</v>
      </c>
      <c r="G10394" s="18" t="str">
        <f>"43756"</f>
        <v>43756</v>
      </c>
      <c r="H10394" s="19" t="s">
        <v>33505</v>
      </c>
      <c r="I10394" s="20">
        <v>20.202999999999999</v>
      </c>
      <c r="J10394" s="44" t="s">
        <v>8</v>
      </c>
      <c r="K10394" s="23" t="s">
        <v>8</v>
      </c>
      <c r="L10394" s="23" t="s">
        <v>8</v>
      </c>
      <c r="M10394" s="23" t="s">
        <v>8</v>
      </c>
    </row>
    <row r="10395" spans="1:13" s="21" customFormat="1" x14ac:dyDescent="0.25">
      <c r="A10395" s="22" t="s">
        <v>8</v>
      </c>
      <c r="B10395" s="18" t="str">
        <f>"366131"</f>
        <v>366131</v>
      </c>
      <c r="C10395" s="19" t="s">
        <v>10239</v>
      </c>
      <c r="D10395" s="19" t="s">
        <v>25805</v>
      </c>
      <c r="E10395" s="19" t="s">
        <v>31892</v>
      </c>
      <c r="F10395" s="19" t="s">
        <v>36009</v>
      </c>
      <c r="G10395" s="18" t="str">
        <f>"44811"</f>
        <v>44811</v>
      </c>
      <c r="H10395" s="19" t="s">
        <v>34559</v>
      </c>
      <c r="I10395" s="20">
        <v>17.959</v>
      </c>
      <c r="J10395" s="44" t="s">
        <v>8</v>
      </c>
      <c r="K10395" s="23" t="s">
        <v>8</v>
      </c>
      <c r="L10395" s="23" t="s">
        <v>8</v>
      </c>
      <c r="M10395" s="23" t="s">
        <v>8</v>
      </c>
    </row>
    <row r="10396" spans="1:13" s="21" customFormat="1" x14ac:dyDescent="0.25">
      <c r="A10396" s="22" t="s">
        <v>8</v>
      </c>
      <c r="B10396" s="18" t="str">
        <f>"366134"</f>
        <v>366134</v>
      </c>
      <c r="C10396" s="19" t="s">
        <v>10240</v>
      </c>
      <c r="D10396" s="19" t="s">
        <v>25806</v>
      </c>
      <c r="E10396" s="19" t="s">
        <v>34545</v>
      </c>
      <c r="F10396" s="19" t="s">
        <v>36009</v>
      </c>
      <c r="G10396" s="18" t="str">
        <f>"43326"</f>
        <v>43326</v>
      </c>
      <c r="H10396" s="19" t="s">
        <v>32124</v>
      </c>
      <c r="I10396" s="20">
        <v>20.867999999999999</v>
      </c>
      <c r="J10396" s="44" t="s">
        <v>8</v>
      </c>
      <c r="K10396" s="23" t="s">
        <v>8</v>
      </c>
      <c r="L10396" s="23" t="s">
        <v>8</v>
      </c>
      <c r="M10396" s="23" t="s">
        <v>8</v>
      </c>
    </row>
    <row r="10397" spans="1:13" s="21" customFormat="1" x14ac:dyDescent="0.25">
      <c r="A10397" s="22" t="s">
        <v>8</v>
      </c>
      <c r="B10397" s="18" t="str">
        <f>"366135"</f>
        <v>366135</v>
      </c>
      <c r="C10397" s="19" t="s">
        <v>10241</v>
      </c>
      <c r="D10397" s="19" t="s">
        <v>25807</v>
      </c>
      <c r="E10397" s="19" t="s">
        <v>31715</v>
      </c>
      <c r="F10397" s="19" t="s">
        <v>36009</v>
      </c>
      <c r="G10397" s="18" t="str">
        <f>"43219"</f>
        <v>43219</v>
      </c>
      <c r="H10397" s="19" t="s">
        <v>5</v>
      </c>
      <c r="I10397" s="20">
        <v>17.166</v>
      </c>
      <c r="J10397" s="44" t="s">
        <v>8</v>
      </c>
      <c r="K10397" s="23" t="s">
        <v>8</v>
      </c>
      <c r="L10397" s="23" t="s">
        <v>8</v>
      </c>
      <c r="M10397" s="23" t="s">
        <v>8</v>
      </c>
    </row>
    <row r="10398" spans="1:13" s="21" customFormat="1" x14ac:dyDescent="0.25">
      <c r="A10398" s="22" t="s">
        <v>8</v>
      </c>
      <c r="B10398" s="18" t="str">
        <f>"366139"</f>
        <v>366139</v>
      </c>
      <c r="C10398" s="19" t="s">
        <v>10242</v>
      </c>
      <c r="D10398" s="19" t="s">
        <v>25808</v>
      </c>
      <c r="E10398" s="19" t="s">
        <v>34584</v>
      </c>
      <c r="F10398" s="19" t="s">
        <v>36009</v>
      </c>
      <c r="G10398" s="18" t="str">
        <f>"45651"</f>
        <v>45651</v>
      </c>
      <c r="H10398" s="19" t="s">
        <v>32537</v>
      </c>
      <c r="I10398" s="20">
        <v>19.045999999999999</v>
      </c>
      <c r="J10398" s="44" t="s">
        <v>8</v>
      </c>
      <c r="K10398" s="23" t="s">
        <v>8</v>
      </c>
      <c r="L10398" s="23" t="s">
        <v>8</v>
      </c>
      <c r="M10398" s="23" t="s">
        <v>8</v>
      </c>
    </row>
    <row r="10399" spans="1:13" s="21" customFormat="1" x14ac:dyDescent="0.25">
      <c r="A10399" s="22" t="s">
        <v>8</v>
      </c>
      <c r="B10399" s="18" t="str">
        <f>"366140"</f>
        <v>366140</v>
      </c>
      <c r="C10399" s="19" t="s">
        <v>10243</v>
      </c>
      <c r="D10399" s="19" t="s">
        <v>25809</v>
      </c>
      <c r="E10399" s="19" t="s">
        <v>34553</v>
      </c>
      <c r="F10399" s="19" t="s">
        <v>36009</v>
      </c>
      <c r="G10399" s="18" t="str">
        <f>"43901"</f>
        <v>43901</v>
      </c>
      <c r="H10399" s="19" t="s">
        <v>32391</v>
      </c>
      <c r="I10399" s="20">
        <v>18.079999999999998</v>
      </c>
      <c r="J10399" s="44" t="s">
        <v>8</v>
      </c>
      <c r="K10399" s="23" t="s">
        <v>8</v>
      </c>
      <c r="L10399" s="23" t="s">
        <v>8</v>
      </c>
      <c r="M10399" s="23" t="s">
        <v>8</v>
      </c>
    </row>
    <row r="10400" spans="1:13" s="21" customFormat="1" x14ac:dyDescent="0.25">
      <c r="A10400" s="22" t="s">
        <v>8</v>
      </c>
      <c r="B10400" s="18" t="str">
        <f>"366141"</f>
        <v>366141</v>
      </c>
      <c r="C10400" s="19" t="s">
        <v>10244</v>
      </c>
      <c r="D10400" s="19" t="s">
        <v>25810</v>
      </c>
      <c r="E10400" s="19" t="s">
        <v>31696</v>
      </c>
      <c r="F10400" s="19" t="s">
        <v>36009</v>
      </c>
      <c r="G10400" s="18" t="str">
        <f>"44641"</f>
        <v>44641</v>
      </c>
      <c r="H10400" s="19" t="s">
        <v>36240</v>
      </c>
      <c r="I10400" s="20">
        <v>18.382000000000001</v>
      </c>
      <c r="J10400" s="44" t="s">
        <v>8</v>
      </c>
      <c r="K10400" s="23" t="s">
        <v>8</v>
      </c>
      <c r="L10400" s="23" t="s">
        <v>8</v>
      </c>
      <c r="M10400" s="23" t="s">
        <v>8</v>
      </c>
    </row>
    <row r="10401" spans="1:13" s="21" customFormat="1" x14ac:dyDescent="0.25">
      <c r="A10401" s="22" t="s">
        <v>8</v>
      </c>
      <c r="B10401" s="18" t="str">
        <f>"366142"</f>
        <v>366142</v>
      </c>
      <c r="C10401" s="19" t="s">
        <v>10245</v>
      </c>
      <c r="D10401" s="19" t="s">
        <v>25811</v>
      </c>
      <c r="E10401" s="19" t="s">
        <v>31655</v>
      </c>
      <c r="F10401" s="19" t="s">
        <v>36009</v>
      </c>
      <c r="G10401" s="18" t="str">
        <f>"43026"</f>
        <v>43026</v>
      </c>
      <c r="H10401" s="19" t="s">
        <v>5</v>
      </c>
      <c r="I10401" s="20">
        <v>20.117999999999999</v>
      </c>
      <c r="J10401" s="44" t="s">
        <v>8</v>
      </c>
      <c r="K10401" s="23" t="s">
        <v>8</v>
      </c>
      <c r="L10401" s="23" t="s">
        <v>8</v>
      </c>
      <c r="M10401" s="23" t="s">
        <v>8</v>
      </c>
    </row>
    <row r="10402" spans="1:13" s="21" customFormat="1" x14ac:dyDescent="0.25">
      <c r="A10402" s="22" t="s">
        <v>8</v>
      </c>
      <c r="B10402" s="18" t="str">
        <f>"366143"</f>
        <v>366143</v>
      </c>
      <c r="C10402" s="19" t="s">
        <v>10246</v>
      </c>
      <c r="D10402" s="19" t="s">
        <v>25812</v>
      </c>
      <c r="E10402" s="19" t="s">
        <v>32363</v>
      </c>
      <c r="F10402" s="19" t="s">
        <v>36009</v>
      </c>
      <c r="G10402" s="18" t="str">
        <f>"45693"</f>
        <v>45693</v>
      </c>
      <c r="H10402" s="19" t="s">
        <v>33467</v>
      </c>
      <c r="I10402" s="20">
        <v>17.856999999999999</v>
      </c>
      <c r="J10402" s="44" t="s">
        <v>8</v>
      </c>
      <c r="K10402" s="23" t="s">
        <v>8</v>
      </c>
      <c r="L10402" s="23" t="s">
        <v>8</v>
      </c>
      <c r="M10402" s="23" t="s">
        <v>8</v>
      </c>
    </row>
    <row r="10403" spans="1:13" s="21" customFormat="1" x14ac:dyDescent="0.25">
      <c r="A10403" s="22" t="s">
        <v>8</v>
      </c>
      <c r="B10403" s="18" t="str">
        <f>"366144"</f>
        <v>366144</v>
      </c>
      <c r="C10403" s="19" t="s">
        <v>10247</v>
      </c>
      <c r="D10403" s="19" t="s">
        <v>25813</v>
      </c>
      <c r="E10403" s="19" t="s">
        <v>32266</v>
      </c>
      <c r="F10403" s="19" t="s">
        <v>36009</v>
      </c>
      <c r="G10403" s="18" t="str">
        <f>"45817"</f>
        <v>45817</v>
      </c>
      <c r="H10403" s="19" t="s">
        <v>34710</v>
      </c>
      <c r="I10403" s="20">
        <v>16.943999999999999</v>
      </c>
      <c r="J10403" s="44" t="s">
        <v>8</v>
      </c>
      <c r="K10403" s="23" t="s">
        <v>8</v>
      </c>
      <c r="L10403" s="23" t="s">
        <v>8</v>
      </c>
      <c r="M10403" s="23" t="s">
        <v>8</v>
      </c>
    </row>
    <row r="10404" spans="1:13" s="21" customFormat="1" x14ac:dyDescent="0.25">
      <c r="A10404" s="22" t="s">
        <v>8</v>
      </c>
      <c r="B10404" s="18" t="str">
        <f>"366145"</f>
        <v>366145</v>
      </c>
      <c r="C10404" s="19" t="s">
        <v>10248</v>
      </c>
      <c r="D10404" s="19" t="s">
        <v>25814</v>
      </c>
      <c r="E10404" s="19" t="s">
        <v>34412</v>
      </c>
      <c r="F10404" s="19" t="s">
        <v>36009</v>
      </c>
      <c r="G10404" s="18" t="str">
        <f>"45239"</f>
        <v>45239</v>
      </c>
      <c r="H10404" s="19" t="s">
        <v>30804</v>
      </c>
      <c r="I10404" s="20">
        <v>19.111000000000001</v>
      </c>
      <c r="J10404" s="44" t="s">
        <v>8</v>
      </c>
      <c r="K10404" s="23" t="s">
        <v>8</v>
      </c>
      <c r="L10404" s="23" t="s">
        <v>8</v>
      </c>
      <c r="M10404" s="23" t="s">
        <v>8</v>
      </c>
    </row>
    <row r="10405" spans="1:13" s="21" customFormat="1" x14ac:dyDescent="0.25">
      <c r="A10405" s="22" t="s">
        <v>8</v>
      </c>
      <c r="B10405" s="18" t="str">
        <f>"366148"</f>
        <v>366148</v>
      </c>
      <c r="C10405" s="19" t="s">
        <v>10249</v>
      </c>
      <c r="D10405" s="19" t="s">
        <v>25815</v>
      </c>
      <c r="E10405" s="19" t="s">
        <v>32505</v>
      </c>
      <c r="F10405" s="19" t="s">
        <v>36009</v>
      </c>
      <c r="G10405" s="18" t="str">
        <f>"43606"</f>
        <v>43606</v>
      </c>
      <c r="H10405" s="19" t="s">
        <v>36287</v>
      </c>
      <c r="I10405" s="20">
        <v>18.239000000000001</v>
      </c>
      <c r="J10405" s="44" t="s">
        <v>8</v>
      </c>
      <c r="K10405" s="23" t="s">
        <v>8</v>
      </c>
      <c r="L10405" s="23" t="s">
        <v>8</v>
      </c>
      <c r="M10405" s="23" t="s">
        <v>8</v>
      </c>
    </row>
    <row r="10406" spans="1:13" s="21" customFormat="1" x14ac:dyDescent="0.25">
      <c r="A10406" s="22" t="s">
        <v>8</v>
      </c>
      <c r="B10406" s="18" t="str">
        <f>"366149"</f>
        <v>366149</v>
      </c>
      <c r="C10406" s="19" t="s">
        <v>10250</v>
      </c>
      <c r="D10406" s="19" t="s">
        <v>25816</v>
      </c>
      <c r="E10406" s="19" t="s">
        <v>34543</v>
      </c>
      <c r="F10406" s="19" t="s">
        <v>36009</v>
      </c>
      <c r="G10406" s="18" t="str">
        <f>"43506"</f>
        <v>43506</v>
      </c>
      <c r="H10406" s="19" t="s">
        <v>35728</v>
      </c>
      <c r="I10406" s="20">
        <v>21.318000000000001</v>
      </c>
      <c r="J10406" s="44" t="s">
        <v>8</v>
      </c>
      <c r="K10406" s="23" t="s">
        <v>8</v>
      </c>
      <c r="L10406" s="23" t="s">
        <v>8</v>
      </c>
      <c r="M10406" s="23" t="s">
        <v>8</v>
      </c>
    </row>
    <row r="10407" spans="1:13" s="21" customFormat="1" x14ac:dyDescent="0.25">
      <c r="A10407" s="22" t="s">
        <v>8</v>
      </c>
      <c r="B10407" s="18" t="str">
        <f>"366150"</f>
        <v>366150</v>
      </c>
      <c r="C10407" s="19" t="s">
        <v>10251</v>
      </c>
      <c r="D10407" s="19" t="s">
        <v>25817</v>
      </c>
      <c r="E10407" s="19" t="s">
        <v>34412</v>
      </c>
      <c r="F10407" s="19" t="s">
        <v>36009</v>
      </c>
      <c r="G10407" s="18" t="str">
        <f>"45229"</f>
        <v>45229</v>
      </c>
      <c r="H10407" s="19" t="s">
        <v>30804</v>
      </c>
      <c r="I10407" s="20">
        <v>19.001999999999999</v>
      </c>
      <c r="J10407" s="44" t="s">
        <v>8</v>
      </c>
      <c r="K10407" s="23" t="s">
        <v>8</v>
      </c>
      <c r="L10407" s="23" t="s">
        <v>8</v>
      </c>
      <c r="M10407" s="23" t="s">
        <v>8</v>
      </c>
    </row>
    <row r="10408" spans="1:13" s="21" customFormat="1" x14ac:dyDescent="0.25">
      <c r="A10408" s="22" t="s">
        <v>8</v>
      </c>
      <c r="B10408" s="18" t="str">
        <f>"366151"</f>
        <v>366151</v>
      </c>
      <c r="C10408" s="19" t="s">
        <v>10252</v>
      </c>
      <c r="D10408" s="19" t="s">
        <v>25818</v>
      </c>
      <c r="E10408" s="19" t="s">
        <v>34531</v>
      </c>
      <c r="F10408" s="19" t="s">
        <v>36009</v>
      </c>
      <c r="G10408" s="18" t="str">
        <f>"45324"</f>
        <v>45324</v>
      </c>
      <c r="H10408" s="19" t="s">
        <v>32455</v>
      </c>
      <c r="I10408" s="20">
        <v>20.465</v>
      </c>
      <c r="J10408" s="44" t="s">
        <v>8</v>
      </c>
      <c r="K10408" s="23" t="s">
        <v>8</v>
      </c>
      <c r="L10408" s="23" t="s">
        <v>8</v>
      </c>
      <c r="M10408" s="23" t="s">
        <v>8</v>
      </c>
    </row>
    <row r="10409" spans="1:13" s="21" customFormat="1" x14ac:dyDescent="0.25">
      <c r="A10409" s="22" t="s">
        <v>8</v>
      </c>
      <c r="B10409" s="18" t="str">
        <f>"366152"</f>
        <v>366152</v>
      </c>
      <c r="C10409" s="19" t="s">
        <v>10253</v>
      </c>
      <c r="D10409" s="19" t="s">
        <v>25819</v>
      </c>
      <c r="E10409" s="19" t="s">
        <v>34444</v>
      </c>
      <c r="F10409" s="19" t="s">
        <v>36009</v>
      </c>
      <c r="G10409" s="18" t="str">
        <f>"44691"</f>
        <v>44691</v>
      </c>
      <c r="H10409" s="19" t="s">
        <v>33280</v>
      </c>
      <c r="I10409" s="20">
        <v>15.52</v>
      </c>
      <c r="J10409" s="44" t="s">
        <v>8</v>
      </c>
      <c r="K10409" s="23" t="s">
        <v>8</v>
      </c>
      <c r="L10409" s="23" t="s">
        <v>8</v>
      </c>
      <c r="M10409" s="23" t="s">
        <v>8</v>
      </c>
    </row>
    <row r="10410" spans="1:13" s="21" customFormat="1" x14ac:dyDescent="0.25">
      <c r="A10410" s="22" t="s">
        <v>8</v>
      </c>
      <c r="B10410" s="18" t="str">
        <f>"366153"</f>
        <v>366153</v>
      </c>
      <c r="C10410" s="19" t="s">
        <v>10254</v>
      </c>
      <c r="D10410" s="19" t="s">
        <v>25820</v>
      </c>
      <c r="E10410" s="19" t="s">
        <v>34412</v>
      </c>
      <c r="F10410" s="19" t="s">
        <v>36009</v>
      </c>
      <c r="G10410" s="18" t="str">
        <f>"45211"</f>
        <v>45211</v>
      </c>
      <c r="H10410" s="19" t="s">
        <v>30804</v>
      </c>
      <c r="I10410" s="20">
        <v>17.963999999999999</v>
      </c>
      <c r="J10410" s="44" t="s">
        <v>8</v>
      </c>
      <c r="K10410" s="23" t="s">
        <v>8</v>
      </c>
      <c r="L10410" s="23" t="s">
        <v>8</v>
      </c>
      <c r="M10410" s="23" t="s">
        <v>8</v>
      </c>
    </row>
    <row r="10411" spans="1:13" s="21" customFormat="1" x14ac:dyDescent="0.25">
      <c r="A10411" s="22" t="s">
        <v>8</v>
      </c>
      <c r="B10411" s="18" t="str">
        <f>"366155"</f>
        <v>366155</v>
      </c>
      <c r="C10411" s="19" t="s">
        <v>10255</v>
      </c>
      <c r="D10411" s="19" t="s">
        <v>25821</v>
      </c>
      <c r="E10411" s="19" t="s">
        <v>31715</v>
      </c>
      <c r="F10411" s="19" t="s">
        <v>36009</v>
      </c>
      <c r="G10411" s="18" t="str">
        <f>"43230"</f>
        <v>43230</v>
      </c>
      <c r="H10411" s="19" t="s">
        <v>5</v>
      </c>
      <c r="I10411" s="20">
        <v>18.835999999999999</v>
      </c>
      <c r="J10411" s="44" t="s">
        <v>8</v>
      </c>
      <c r="K10411" s="23" t="s">
        <v>8</v>
      </c>
      <c r="L10411" s="23" t="s">
        <v>8</v>
      </c>
      <c r="M10411" s="23" t="s">
        <v>8</v>
      </c>
    </row>
    <row r="10412" spans="1:13" s="21" customFormat="1" x14ac:dyDescent="0.25">
      <c r="A10412" s="22" t="s">
        <v>8</v>
      </c>
      <c r="B10412" s="18" t="str">
        <f>"366156"</f>
        <v>366156</v>
      </c>
      <c r="C10412" s="19" t="s">
        <v>10256</v>
      </c>
      <c r="D10412" s="19" t="s">
        <v>25822</v>
      </c>
      <c r="E10412" s="19" t="s">
        <v>34412</v>
      </c>
      <c r="F10412" s="19" t="s">
        <v>36009</v>
      </c>
      <c r="G10412" s="18" t="str">
        <f>"45206"</f>
        <v>45206</v>
      </c>
      <c r="H10412" s="19" t="s">
        <v>30804</v>
      </c>
      <c r="I10412" s="20">
        <v>18.896999999999998</v>
      </c>
      <c r="J10412" s="44" t="s">
        <v>8</v>
      </c>
      <c r="K10412" s="23" t="s">
        <v>8</v>
      </c>
      <c r="L10412" s="23" t="s">
        <v>8</v>
      </c>
      <c r="M10412" s="23" t="s">
        <v>8</v>
      </c>
    </row>
    <row r="10413" spans="1:13" s="21" customFormat="1" x14ac:dyDescent="0.25">
      <c r="A10413" s="22" t="s">
        <v>8</v>
      </c>
      <c r="B10413" s="18" t="str">
        <f>"366157"</f>
        <v>366157</v>
      </c>
      <c r="C10413" s="19" t="s">
        <v>10257</v>
      </c>
      <c r="D10413" s="19" t="s">
        <v>25823</v>
      </c>
      <c r="E10413" s="19" t="s">
        <v>32369</v>
      </c>
      <c r="F10413" s="19" t="s">
        <v>36009</v>
      </c>
      <c r="G10413" s="18" t="str">
        <f>"45417"</f>
        <v>45417</v>
      </c>
      <c r="H10413" s="19" t="s">
        <v>30833</v>
      </c>
      <c r="I10413" s="20">
        <v>20.788</v>
      </c>
      <c r="J10413" s="44" t="s">
        <v>8</v>
      </c>
      <c r="K10413" s="23" t="s">
        <v>8</v>
      </c>
      <c r="L10413" s="23" t="s">
        <v>8</v>
      </c>
      <c r="M10413" s="23" t="s">
        <v>8</v>
      </c>
    </row>
    <row r="10414" spans="1:13" s="21" customFormat="1" x14ac:dyDescent="0.25">
      <c r="A10414" s="22" t="s">
        <v>8</v>
      </c>
      <c r="B10414" s="18" t="str">
        <f>"366158"</f>
        <v>366158</v>
      </c>
      <c r="C10414" s="19" t="s">
        <v>10258</v>
      </c>
      <c r="D10414" s="19" t="s">
        <v>25824</v>
      </c>
      <c r="E10414" s="19" t="s">
        <v>34466</v>
      </c>
      <c r="F10414" s="19" t="s">
        <v>36009</v>
      </c>
      <c r="G10414" s="18" t="str">
        <f>"44133"</f>
        <v>44133</v>
      </c>
      <c r="H10414" s="19" t="s">
        <v>36671</v>
      </c>
      <c r="I10414" s="20">
        <v>17.754999999999999</v>
      </c>
      <c r="J10414" s="44" t="s">
        <v>8</v>
      </c>
      <c r="K10414" s="23" t="s">
        <v>8</v>
      </c>
      <c r="L10414" s="23" t="s">
        <v>8</v>
      </c>
      <c r="M10414" s="23" t="s">
        <v>8</v>
      </c>
    </row>
    <row r="10415" spans="1:13" s="21" customFormat="1" x14ac:dyDescent="0.25">
      <c r="A10415" s="22" t="s">
        <v>8</v>
      </c>
      <c r="B10415" s="18" t="str">
        <f>"366159"</f>
        <v>366159</v>
      </c>
      <c r="C10415" s="19" t="s">
        <v>10259</v>
      </c>
      <c r="D10415" s="19" t="s">
        <v>25825</v>
      </c>
      <c r="E10415" s="19" t="s">
        <v>30804</v>
      </c>
      <c r="F10415" s="19" t="s">
        <v>36009</v>
      </c>
      <c r="G10415" s="18" t="str">
        <f>"45011"</f>
        <v>45011</v>
      </c>
      <c r="H10415" s="19" t="s">
        <v>30876</v>
      </c>
      <c r="I10415" s="20">
        <v>19.861999999999998</v>
      </c>
      <c r="J10415" s="44" t="s">
        <v>8</v>
      </c>
      <c r="K10415" s="23" t="s">
        <v>8</v>
      </c>
      <c r="L10415" s="23" t="s">
        <v>8</v>
      </c>
      <c r="M10415" s="23" t="s">
        <v>8</v>
      </c>
    </row>
    <row r="10416" spans="1:13" s="21" customFormat="1" x14ac:dyDescent="0.25">
      <c r="A10416" s="22" t="s">
        <v>8</v>
      </c>
      <c r="B10416" s="18" t="str">
        <f>"366160"</f>
        <v>366160</v>
      </c>
      <c r="C10416" s="19" t="s">
        <v>10260</v>
      </c>
      <c r="D10416" s="19" t="s">
        <v>25826</v>
      </c>
      <c r="E10416" s="19" t="s">
        <v>33304</v>
      </c>
      <c r="F10416" s="19" t="s">
        <v>36009</v>
      </c>
      <c r="G10416" s="18" t="str">
        <f>"43080"</f>
        <v>43080</v>
      </c>
      <c r="H10416" s="19" t="s">
        <v>33689</v>
      </c>
      <c r="I10416" s="20">
        <v>19.09</v>
      </c>
      <c r="J10416" s="44" t="s">
        <v>8</v>
      </c>
      <c r="K10416" s="23" t="s">
        <v>8</v>
      </c>
      <c r="L10416" s="23" t="s">
        <v>8</v>
      </c>
      <c r="M10416" s="23" t="s">
        <v>8</v>
      </c>
    </row>
    <row r="10417" spans="1:13" s="21" customFormat="1" x14ac:dyDescent="0.25">
      <c r="A10417" s="22" t="s">
        <v>8</v>
      </c>
      <c r="B10417" s="18" t="str">
        <f>"366162"</f>
        <v>366162</v>
      </c>
      <c r="C10417" s="19" t="s">
        <v>6915</v>
      </c>
      <c r="D10417" s="19" t="s">
        <v>25827</v>
      </c>
      <c r="E10417" s="19" t="s">
        <v>34401</v>
      </c>
      <c r="F10417" s="19" t="s">
        <v>36009</v>
      </c>
      <c r="G10417" s="18" t="str">
        <f>"43545"</f>
        <v>43545</v>
      </c>
      <c r="H10417" s="19" t="s">
        <v>32041</v>
      </c>
      <c r="I10417" s="20">
        <v>19.623000000000001</v>
      </c>
      <c r="J10417" s="44" t="s">
        <v>8</v>
      </c>
      <c r="K10417" s="23" t="s">
        <v>8</v>
      </c>
      <c r="L10417" s="23" t="s">
        <v>8</v>
      </c>
      <c r="M10417" s="23" t="s">
        <v>8</v>
      </c>
    </row>
    <row r="10418" spans="1:13" s="21" customFormat="1" x14ac:dyDescent="0.25">
      <c r="A10418" s="22" t="s">
        <v>8</v>
      </c>
      <c r="B10418" s="18" t="str">
        <f>"366166"</f>
        <v>366166</v>
      </c>
      <c r="C10418" s="19" t="s">
        <v>10261</v>
      </c>
      <c r="D10418" s="19" t="s">
        <v>25828</v>
      </c>
      <c r="E10418" s="19" t="s">
        <v>30809</v>
      </c>
      <c r="F10418" s="19" t="s">
        <v>36009</v>
      </c>
      <c r="G10418" s="18" t="str">
        <f>"44805"</f>
        <v>44805</v>
      </c>
      <c r="H10418" s="19" t="s">
        <v>30809</v>
      </c>
      <c r="I10418" s="20">
        <v>17.553000000000001</v>
      </c>
      <c r="J10418" s="44" t="s">
        <v>8</v>
      </c>
      <c r="K10418" s="23" t="s">
        <v>8</v>
      </c>
      <c r="L10418" s="23" t="s">
        <v>8</v>
      </c>
      <c r="M10418" s="23" t="s">
        <v>8</v>
      </c>
    </row>
    <row r="10419" spans="1:13" s="21" customFormat="1" x14ac:dyDescent="0.25">
      <c r="A10419" s="22" t="s">
        <v>8</v>
      </c>
      <c r="B10419" s="18" t="str">
        <f>"366167"</f>
        <v>366167</v>
      </c>
      <c r="C10419" s="19" t="s">
        <v>10262</v>
      </c>
      <c r="D10419" s="19" t="s">
        <v>25829</v>
      </c>
      <c r="E10419" s="19" t="s">
        <v>34412</v>
      </c>
      <c r="F10419" s="19" t="s">
        <v>36009</v>
      </c>
      <c r="G10419" s="18" t="str">
        <f>"45255"</f>
        <v>45255</v>
      </c>
      <c r="H10419" s="19" t="s">
        <v>30804</v>
      </c>
      <c r="I10419" s="20">
        <v>16.454000000000001</v>
      </c>
      <c r="J10419" s="44" t="s">
        <v>8</v>
      </c>
      <c r="K10419" s="23" t="s">
        <v>8</v>
      </c>
      <c r="L10419" s="23" t="s">
        <v>8</v>
      </c>
      <c r="M10419" s="23" t="s">
        <v>8</v>
      </c>
    </row>
    <row r="10420" spans="1:13" s="21" customFormat="1" x14ac:dyDescent="0.25">
      <c r="A10420" s="22" t="s">
        <v>8</v>
      </c>
      <c r="B10420" s="18" t="str">
        <f>"366169"</f>
        <v>366169</v>
      </c>
      <c r="C10420" s="19" t="s">
        <v>10263</v>
      </c>
      <c r="D10420" s="19" t="s">
        <v>25830</v>
      </c>
      <c r="E10420" s="19" t="s">
        <v>31038</v>
      </c>
      <c r="F10420" s="19" t="s">
        <v>36009</v>
      </c>
      <c r="G10420" s="18" t="str">
        <f>"44460"</f>
        <v>44460</v>
      </c>
      <c r="H10420" s="19" t="s">
        <v>30927</v>
      </c>
      <c r="I10420" s="20">
        <v>17.106000000000002</v>
      </c>
      <c r="J10420" s="44" t="s">
        <v>8</v>
      </c>
      <c r="K10420" s="23" t="s">
        <v>8</v>
      </c>
      <c r="L10420" s="23" t="s">
        <v>8</v>
      </c>
      <c r="M10420" s="23" t="s">
        <v>8</v>
      </c>
    </row>
    <row r="10421" spans="1:13" s="21" customFormat="1" x14ac:dyDescent="0.25">
      <c r="A10421" s="22" t="s">
        <v>8</v>
      </c>
      <c r="B10421" s="18" t="str">
        <f>"366170"</f>
        <v>366170</v>
      </c>
      <c r="C10421" s="19" t="s">
        <v>10264</v>
      </c>
      <c r="D10421" s="19" t="s">
        <v>25831</v>
      </c>
      <c r="E10421" s="19" t="s">
        <v>31747</v>
      </c>
      <c r="F10421" s="19" t="s">
        <v>36009</v>
      </c>
      <c r="G10421" s="18" t="str">
        <f>"43017"</f>
        <v>43017</v>
      </c>
      <c r="H10421" s="19" t="s">
        <v>5</v>
      </c>
      <c r="I10421" s="20">
        <v>20.823</v>
      </c>
      <c r="J10421" s="44" t="s">
        <v>8</v>
      </c>
      <c r="K10421" s="23" t="s">
        <v>8</v>
      </c>
      <c r="L10421" s="23" t="s">
        <v>8</v>
      </c>
      <c r="M10421" s="23" t="s">
        <v>8</v>
      </c>
    </row>
    <row r="10422" spans="1:13" s="21" customFormat="1" x14ac:dyDescent="0.25">
      <c r="A10422" s="22" t="s">
        <v>8</v>
      </c>
      <c r="B10422" s="18" t="str">
        <f>"366171"</f>
        <v>366171</v>
      </c>
      <c r="C10422" s="19" t="s">
        <v>10265</v>
      </c>
      <c r="D10422" s="19" t="s">
        <v>25832</v>
      </c>
      <c r="E10422" s="19" t="s">
        <v>34572</v>
      </c>
      <c r="F10422" s="19" t="s">
        <v>36009</v>
      </c>
      <c r="G10422" s="18" t="str">
        <f>"45806"</f>
        <v>45806</v>
      </c>
      <c r="H10422" s="19" t="s">
        <v>34710</v>
      </c>
      <c r="I10422" s="20">
        <v>20.675999999999998</v>
      </c>
      <c r="J10422" s="44" t="s">
        <v>8</v>
      </c>
      <c r="K10422" s="23" t="s">
        <v>8</v>
      </c>
      <c r="L10422" s="23" t="s">
        <v>8</v>
      </c>
      <c r="M10422" s="23" t="s">
        <v>8</v>
      </c>
    </row>
    <row r="10423" spans="1:13" s="21" customFormat="1" x14ac:dyDescent="0.25">
      <c r="A10423" s="22" t="s">
        <v>8</v>
      </c>
      <c r="B10423" s="18" t="str">
        <f>"366172"</f>
        <v>366172</v>
      </c>
      <c r="C10423" s="19" t="s">
        <v>10266</v>
      </c>
      <c r="D10423" s="19" t="s">
        <v>25833</v>
      </c>
      <c r="E10423" s="19" t="s">
        <v>32505</v>
      </c>
      <c r="F10423" s="19" t="s">
        <v>36009</v>
      </c>
      <c r="G10423" s="18" t="str">
        <f>"43606"</f>
        <v>43606</v>
      </c>
      <c r="H10423" s="19" t="s">
        <v>36287</v>
      </c>
      <c r="I10423" s="20">
        <v>18.212</v>
      </c>
      <c r="J10423" s="44" t="s">
        <v>8</v>
      </c>
      <c r="K10423" s="23" t="s">
        <v>8</v>
      </c>
      <c r="L10423" s="23" t="s">
        <v>8</v>
      </c>
      <c r="M10423" s="23" t="s">
        <v>8</v>
      </c>
    </row>
    <row r="10424" spans="1:13" s="21" customFormat="1" x14ac:dyDescent="0.25">
      <c r="A10424" s="22" t="s">
        <v>8</v>
      </c>
      <c r="B10424" s="18" t="str">
        <f>"366173"</f>
        <v>366173</v>
      </c>
      <c r="C10424" s="19" t="s">
        <v>10267</v>
      </c>
      <c r="D10424" s="19" t="s">
        <v>25834</v>
      </c>
      <c r="E10424" s="19" t="s">
        <v>34585</v>
      </c>
      <c r="F10424" s="19" t="s">
        <v>36009</v>
      </c>
      <c r="G10424" s="18" t="str">
        <f>"43762"</f>
        <v>43762</v>
      </c>
      <c r="H10424" s="19" t="s">
        <v>36680</v>
      </c>
      <c r="I10424" s="20">
        <v>18.75</v>
      </c>
      <c r="J10424" s="44" t="s">
        <v>8</v>
      </c>
      <c r="K10424" s="23" t="s">
        <v>8</v>
      </c>
      <c r="L10424" s="23" t="s">
        <v>8</v>
      </c>
      <c r="M10424" s="23" t="s">
        <v>8</v>
      </c>
    </row>
    <row r="10425" spans="1:13" s="21" customFormat="1" x14ac:dyDescent="0.25">
      <c r="A10425" s="22" t="s">
        <v>8</v>
      </c>
      <c r="B10425" s="18" t="str">
        <f>"366175"</f>
        <v>366175</v>
      </c>
      <c r="C10425" s="19" t="s">
        <v>10268</v>
      </c>
      <c r="D10425" s="19" t="s">
        <v>25835</v>
      </c>
      <c r="E10425" s="19" t="s">
        <v>34412</v>
      </c>
      <c r="F10425" s="19" t="s">
        <v>36009</v>
      </c>
      <c r="G10425" s="18" t="str">
        <f>"45240"</f>
        <v>45240</v>
      </c>
      <c r="H10425" s="19" t="s">
        <v>30804</v>
      </c>
      <c r="I10425" s="20">
        <v>19.327000000000002</v>
      </c>
      <c r="J10425" s="44" t="s">
        <v>8</v>
      </c>
      <c r="K10425" s="23" t="s">
        <v>8</v>
      </c>
      <c r="L10425" s="23" t="s">
        <v>8</v>
      </c>
      <c r="M10425" s="23" t="s">
        <v>8</v>
      </c>
    </row>
    <row r="10426" spans="1:13" s="21" customFormat="1" x14ac:dyDescent="0.25">
      <c r="A10426" s="22" t="s">
        <v>8</v>
      </c>
      <c r="B10426" s="18" t="str">
        <f>"366176"</f>
        <v>366176</v>
      </c>
      <c r="C10426" s="19" t="s">
        <v>10269</v>
      </c>
      <c r="D10426" s="19" t="s">
        <v>25836</v>
      </c>
      <c r="E10426" s="19" t="s">
        <v>34424</v>
      </c>
      <c r="F10426" s="19" t="s">
        <v>36009</v>
      </c>
      <c r="G10426" s="18" t="str">
        <f>"44035"</f>
        <v>44035</v>
      </c>
      <c r="H10426" s="19" t="s">
        <v>34482</v>
      </c>
      <c r="I10426" s="20">
        <v>20.087</v>
      </c>
      <c r="J10426" s="44" t="s">
        <v>8</v>
      </c>
      <c r="K10426" s="23" t="s">
        <v>8</v>
      </c>
      <c r="L10426" s="23" t="s">
        <v>8</v>
      </c>
      <c r="M10426" s="23" t="s">
        <v>8</v>
      </c>
    </row>
    <row r="10427" spans="1:13" s="21" customFormat="1" x14ac:dyDescent="0.25">
      <c r="A10427" s="22" t="s">
        <v>8</v>
      </c>
      <c r="B10427" s="18" t="str">
        <f>"366177"</f>
        <v>366177</v>
      </c>
      <c r="C10427" s="19" t="s">
        <v>10270</v>
      </c>
      <c r="D10427" s="19" t="s">
        <v>25837</v>
      </c>
      <c r="E10427" s="19" t="s">
        <v>34521</v>
      </c>
      <c r="F10427" s="19" t="s">
        <v>36009</v>
      </c>
      <c r="G10427" s="18" t="str">
        <f>"43950"</f>
        <v>43950</v>
      </c>
      <c r="H10427" s="19" t="s">
        <v>33079</v>
      </c>
      <c r="I10427" s="20">
        <v>19.724</v>
      </c>
      <c r="J10427" s="44" t="s">
        <v>8</v>
      </c>
      <c r="K10427" s="23" t="s">
        <v>8</v>
      </c>
      <c r="L10427" s="23" t="s">
        <v>8</v>
      </c>
      <c r="M10427" s="23" t="s">
        <v>8</v>
      </c>
    </row>
    <row r="10428" spans="1:13" s="21" customFormat="1" x14ac:dyDescent="0.25">
      <c r="A10428" s="22" t="s">
        <v>8</v>
      </c>
      <c r="B10428" s="18" t="str">
        <f>"366178"</f>
        <v>366178</v>
      </c>
      <c r="C10428" s="19" t="s">
        <v>10271</v>
      </c>
      <c r="D10428" s="19" t="s">
        <v>25838</v>
      </c>
      <c r="E10428" s="19" t="s">
        <v>32369</v>
      </c>
      <c r="F10428" s="19" t="s">
        <v>36009</v>
      </c>
      <c r="G10428" s="18" t="str">
        <f>"45403"</f>
        <v>45403</v>
      </c>
      <c r="H10428" s="19" t="s">
        <v>30833</v>
      </c>
      <c r="I10428" s="20">
        <v>16.757999999999999</v>
      </c>
      <c r="J10428" s="44" t="s">
        <v>8</v>
      </c>
      <c r="K10428" s="23" t="s">
        <v>8</v>
      </c>
      <c r="L10428" s="23" t="s">
        <v>8</v>
      </c>
      <c r="M10428" s="23" t="s">
        <v>8</v>
      </c>
    </row>
    <row r="10429" spans="1:13" s="21" customFormat="1" x14ac:dyDescent="0.25">
      <c r="A10429" s="22" t="s">
        <v>8</v>
      </c>
      <c r="B10429" s="18" t="str">
        <f>"366179"</f>
        <v>366179</v>
      </c>
      <c r="C10429" s="19" t="s">
        <v>10272</v>
      </c>
      <c r="D10429" s="19" t="s">
        <v>25839</v>
      </c>
      <c r="E10429" s="19" t="s">
        <v>32536</v>
      </c>
      <c r="F10429" s="19" t="s">
        <v>36009</v>
      </c>
      <c r="G10429" s="18" t="str">
        <f>"44139"</f>
        <v>44139</v>
      </c>
      <c r="H10429" s="19" t="s">
        <v>36671</v>
      </c>
      <c r="I10429" s="20">
        <v>18.346</v>
      </c>
      <c r="J10429" s="44" t="s">
        <v>8</v>
      </c>
      <c r="K10429" s="23" t="s">
        <v>8</v>
      </c>
      <c r="L10429" s="23" t="s">
        <v>8</v>
      </c>
      <c r="M10429" s="23" t="s">
        <v>8</v>
      </c>
    </row>
    <row r="10430" spans="1:13" s="21" customFormat="1" x14ac:dyDescent="0.25">
      <c r="A10430" s="22" t="s">
        <v>8</v>
      </c>
      <c r="B10430" s="18" t="str">
        <f>"366180"</f>
        <v>366180</v>
      </c>
      <c r="C10430" s="19" t="s">
        <v>10273</v>
      </c>
      <c r="D10430" s="19" t="s">
        <v>25840</v>
      </c>
      <c r="E10430" s="19" t="s">
        <v>34586</v>
      </c>
      <c r="F10430" s="19" t="s">
        <v>36009</v>
      </c>
      <c r="G10430" s="18" t="str">
        <f>"44138"</f>
        <v>44138</v>
      </c>
      <c r="H10430" s="19" t="s">
        <v>36671</v>
      </c>
      <c r="I10430" s="20">
        <v>17.902999999999999</v>
      </c>
      <c r="J10430" s="44" t="s">
        <v>8</v>
      </c>
      <c r="K10430" s="23" t="s">
        <v>8</v>
      </c>
      <c r="L10430" s="23" t="s">
        <v>8</v>
      </c>
      <c r="M10430" s="23" t="s">
        <v>8</v>
      </c>
    </row>
    <row r="10431" spans="1:13" s="21" customFormat="1" x14ac:dyDescent="0.25">
      <c r="A10431" s="22" t="s">
        <v>8</v>
      </c>
      <c r="B10431" s="18" t="str">
        <f>"366181"</f>
        <v>366181</v>
      </c>
      <c r="C10431" s="19" t="s">
        <v>10274</v>
      </c>
      <c r="D10431" s="19" t="s">
        <v>25841</v>
      </c>
      <c r="E10431" s="19" t="s">
        <v>33160</v>
      </c>
      <c r="F10431" s="19" t="s">
        <v>36009</v>
      </c>
      <c r="G10431" s="18" t="str">
        <f>"43522"</f>
        <v>43522</v>
      </c>
      <c r="H10431" s="19" t="s">
        <v>36673</v>
      </c>
      <c r="I10431" s="20">
        <v>17.687999999999999</v>
      </c>
      <c r="J10431" s="44" t="s">
        <v>8</v>
      </c>
      <c r="K10431" s="23" t="s">
        <v>8</v>
      </c>
      <c r="L10431" s="23" t="s">
        <v>8</v>
      </c>
      <c r="M10431" s="23" t="s">
        <v>8</v>
      </c>
    </row>
    <row r="10432" spans="1:13" s="21" customFormat="1" x14ac:dyDescent="0.25">
      <c r="A10432" s="22" t="s">
        <v>8</v>
      </c>
      <c r="B10432" s="18" t="str">
        <f>"366182"</f>
        <v>366182</v>
      </c>
      <c r="C10432" s="19" t="s">
        <v>10275</v>
      </c>
      <c r="D10432" s="19" t="s">
        <v>25842</v>
      </c>
      <c r="E10432" s="19" t="s">
        <v>30804</v>
      </c>
      <c r="F10432" s="19" t="s">
        <v>36009</v>
      </c>
      <c r="G10432" s="18" t="str">
        <f>"45011"</f>
        <v>45011</v>
      </c>
      <c r="H10432" s="19" t="s">
        <v>30876</v>
      </c>
      <c r="I10432" s="20">
        <v>20.047999999999998</v>
      </c>
      <c r="J10432" s="44" t="s">
        <v>8</v>
      </c>
      <c r="K10432" s="23" t="s">
        <v>8</v>
      </c>
      <c r="L10432" s="23" t="s">
        <v>8</v>
      </c>
      <c r="M10432" s="23" t="s">
        <v>8</v>
      </c>
    </row>
    <row r="10433" spans="1:13" s="21" customFormat="1" x14ac:dyDescent="0.25">
      <c r="A10433" s="22" t="s">
        <v>8</v>
      </c>
      <c r="B10433" s="18" t="str">
        <f>"366183"</f>
        <v>366183</v>
      </c>
      <c r="C10433" s="19" t="s">
        <v>10276</v>
      </c>
      <c r="D10433" s="19" t="s">
        <v>25843</v>
      </c>
      <c r="E10433" s="19" t="s">
        <v>34527</v>
      </c>
      <c r="F10433" s="19" t="s">
        <v>36009</v>
      </c>
      <c r="G10433" s="18" t="str">
        <f>"44224"</f>
        <v>44224</v>
      </c>
      <c r="H10433" s="19" t="s">
        <v>36107</v>
      </c>
      <c r="I10433" s="20">
        <v>18.22</v>
      </c>
      <c r="J10433" s="44" t="s">
        <v>8</v>
      </c>
      <c r="K10433" s="23" t="s">
        <v>8</v>
      </c>
      <c r="L10433" s="23" t="s">
        <v>8</v>
      </c>
      <c r="M10433" s="23" t="s">
        <v>8</v>
      </c>
    </row>
    <row r="10434" spans="1:13" s="21" customFormat="1" x14ac:dyDescent="0.25">
      <c r="A10434" s="22" t="s">
        <v>8</v>
      </c>
      <c r="B10434" s="18" t="str">
        <f>"366184"</f>
        <v>366184</v>
      </c>
      <c r="C10434" s="19" t="s">
        <v>10277</v>
      </c>
      <c r="D10434" s="19" t="s">
        <v>25844</v>
      </c>
      <c r="E10434" s="19" t="s">
        <v>34558</v>
      </c>
      <c r="F10434" s="19" t="s">
        <v>36009</v>
      </c>
      <c r="G10434" s="18" t="str">
        <f>"43537"</f>
        <v>43537</v>
      </c>
      <c r="H10434" s="19" t="s">
        <v>36287</v>
      </c>
      <c r="I10434" s="20">
        <v>16.864000000000001</v>
      </c>
      <c r="J10434" s="44" t="s">
        <v>8</v>
      </c>
      <c r="K10434" s="23" t="s">
        <v>8</v>
      </c>
      <c r="L10434" s="23" t="s">
        <v>8</v>
      </c>
      <c r="M10434" s="23" t="s">
        <v>8</v>
      </c>
    </row>
    <row r="10435" spans="1:13" s="21" customFormat="1" x14ac:dyDescent="0.25">
      <c r="A10435" s="22" t="s">
        <v>8</v>
      </c>
      <c r="B10435" s="18" t="str">
        <f>"366185"</f>
        <v>366185</v>
      </c>
      <c r="C10435" s="19" t="s">
        <v>10278</v>
      </c>
      <c r="D10435" s="19" t="s">
        <v>25845</v>
      </c>
      <c r="E10435" s="19" t="s">
        <v>34587</v>
      </c>
      <c r="F10435" s="19" t="s">
        <v>36009</v>
      </c>
      <c r="G10435" s="18" t="str">
        <f>"45066"</f>
        <v>45066</v>
      </c>
      <c r="H10435" s="19" t="s">
        <v>31025</v>
      </c>
      <c r="I10435" s="20">
        <v>17.876999999999999</v>
      </c>
      <c r="J10435" s="44" t="s">
        <v>8</v>
      </c>
      <c r="K10435" s="23" t="s">
        <v>8</v>
      </c>
      <c r="L10435" s="23" t="s">
        <v>8</v>
      </c>
      <c r="M10435" s="23" t="s">
        <v>8</v>
      </c>
    </row>
    <row r="10436" spans="1:13" s="21" customFormat="1" x14ac:dyDescent="0.25">
      <c r="A10436" s="22" t="s">
        <v>8</v>
      </c>
      <c r="B10436" s="18" t="str">
        <f>"366186"</f>
        <v>366186</v>
      </c>
      <c r="C10436" s="19" t="s">
        <v>10279</v>
      </c>
      <c r="D10436" s="19" t="s">
        <v>25846</v>
      </c>
      <c r="E10436" s="19" t="s">
        <v>34513</v>
      </c>
      <c r="F10436" s="19" t="s">
        <v>36009</v>
      </c>
      <c r="G10436" s="18" t="str">
        <f>"44515"</f>
        <v>44515</v>
      </c>
      <c r="H10436" s="19" t="s">
        <v>36674</v>
      </c>
      <c r="I10436" s="20">
        <v>19.597000000000001</v>
      </c>
      <c r="J10436" s="44" t="s">
        <v>8</v>
      </c>
      <c r="K10436" s="23" t="s">
        <v>8</v>
      </c>
      <c r="L10436" s="23" t="s">
        <v>8</v>
      </c>
      <c r="M10436" s="23" t="s">
        <v>8</v>
      </c>
    </row>
    <row r="10437" spans="1:13" s="21" customFormat="1" x14ac:dyDescent="0.25">
      <c r="A10437" s="22" t="s">
        <v>8</v>
      </c>
      <c r="B10437" s="18" t="str">
        <f>"366187"</f>
        <v>366187</v>
      </c>
      <c r="C10437" s="19" t="s">
        <v>10280</v>
      </c>
      <c r="D10437" s="19" t="s">
        <v>25847</v>
      </c>
      <c r="E10437" s="19" t="s">
        <v>34516</v>
      </c>
      <c r="F10437" s="19" t="s">
        <v>36009</v>
      </c>
      <c r="G10437" s="18" t="str">
        <f>"44657"</f>
        <v>44657</v>
      </c>
      <c r="H10437" s="19" t="s">
        <v>36240</v>
      </c>
      <c r="I10437" s="20">
        <v>21.02</v>
      </c>
      <c r="J10437" s="44" t="s">
        <v>8</v>
      </c>
      <c r="K10437" s="23" t="s">
        <v>8</v>
      </c>
      <c r="L10437" s="23" t="s">
        <v>8</v>
      </c>
      <c r="M10437" s="23" t="s">
        <v>8</v>
      </c>
    </row>
    <row r="10438" spans="1:13" s="21" customFormat="1" x14ac:dyDescent="0.25">
      <c r="A10438" s="22" t="s">
        <v>8</v>
      </c>
      <c r="B10438" s="18" t="str">
        <f>"366188"</f>
        <v>366188</v>
      </c>
      <c r="C10438" s="19" t="s">
        <v>10281</v>
      </c>
      <c r="D10438" s="19" t="s">
        <v>25848</v>
      </c>
      <c r="E10438" s="19" t="s">
        <v>32505</v>
      </c>
      <c r="F10438" s="19" t="s">
        <v>36009</v>
      </c>
      <c r="G10438" s="18" t="str">
        <f>"43605"</f>
        <v>43605</v>
      </c>
      <c r="H10438" s="19" t="s">
        <v>36287</v>
      </c>
      <c r="I10438" s="20">
        <v>20.545000000000002</v>
      </c>
      <c r="J10438" s="44" t="s">
        <v>8</v>
      </c>
      <c r="K10438" s="23" t="s">
        <v>8</v>
      </c>
      <c r="L10438" s="23" t="s">
        <v>8</v>
      </c>
      <c r="M10438" s="23" t="s">
        <v>8</v>
      </c>
    </row>
    <row r="10439" spans="1:13" s="21" customFormat="1" x14ac:dyDescent="0.25">
      <c r="A10439" s="22" t="s">
        <v>8</v>
      </c>
      <c r="B10439" s="18" t="str">
        <f>"366189"</f>
        <v>366189</v>
      </c>
      <c r="C10439" s="19" t="s">
        <v>10282</v>
      </c>
      <c r="D10439" s="19" t="s">
        <v>25849</v>
      </c>
      <c r="E10439" s="19" t="s">
        <v>34588</v>
      </c>
      <c r="F10439" s="19" t="s">
        <v>36009</v>
      </c>
      <c r="G10439" s="18" t="str">
        <f>"45833"</f>
        <v>45833</v>
      </c>
      <c r="H10439" s="19" t="s">
        <v>34710</v>
      </c>
      <c r="I10439" s="20">
        <v>19.466999999999999</v>
      </c>
      <c r="J10439" s="44" t="s">
        <v>8</v>
      </c>
      <c r="K10439" s="23" t="s">
        <v>8</v>
      </c>
      <c r="L10439" s="23" t="s">
        <v>8</v>
      </c>
      <c r="M10439" s="23" t="s">
        <v>8</v>
      </c>
    </row>
    <row r="10440" spans="1:13" s="21" customFormat="1" x14ac:dyDescent="0.25">
      <c r="A10440" s="22" t="s">
        <v>8</v>
      </c>
      <c r="B10440" s="18" t="str">
        <f>"366190"</f>
        <v>366190</v>
      </c>
      <c r="C10440" s="19" t="s">
        <v>10283</v>
      </c>
      <c r="D10440" s="19" t="s">
        <v>25850</v>
      </c>
      <c r="E10440" s="19" t="s">
        <v>34521</v>
      </c>
      <c r="F10440" s="19" t="s">
        <v>36009</v>
      </c>
      <c r="G10440" s="18" t="str">
        <f>"43950"</f>
        <v>43950</v>
      </c>
      <c r="H10440" s="19" t="s">
        <v>33079</v>
      </c>
      <c r="I10440" s="20">
        <v>20.634</v>
      </c>
      <c r="J10440" s="44" t="s">
        <v>8</v>
      </c>
      <c r="K10440" s="23" t="s">
        <v>8</v>
      </c>
      <c r="L10440" s="23" t="s">
        <v>8</v>
      </c>
      <c r="M10440" s="23" t="s">
        <v>8</v>
      </c>
    </row>
    <row r="10441" spans="1:13" s="21" customFormat="1" x14ac:dyDescent="0.25">
      <c r="A10441" s="22" t="s">
        <v>8</v>
      </c>
      <c r="B10441" s="18" t="str">
        <f>"366191"</f>
        <v>366191</v>
      </c>
      <c r="C10441" s="19" t="s">
        <v>10284</v>
      </c>
      <c r="D10441" s="19" t="s">
        <v>25851</v>
      </c>
      <c r="E10441" s="19" t="s">
        <v>34589</v>
      </c>
      <c r="F10441" s="19" t="s">
        <v>36009</v>
      </c>
      <c r="G10441" s="18" t="str">
        <f>"44471"</f>
        <v>44471</v>
      </c>
      <c r="H10441" s="19" t="s">
        <v>36674</v>
      </c>
      <c r="I10441" s="20">
        <v>18.077000000000002</v>
      </c>
      <c r="J10441" s="44" t="s">
        <v>8</v>
      </c>
      <c r="K10441" s="23" t="s">
        <v>8</v>
      </c>
      <c r="L10441" s="23" t="s">
        <v>8</v>
      </c>
      <c r="M10441" s="23" t="s">
        <v>8</v>
      </c>
    </row>
    <row r="10442" spans="1:13" s="21" customFormat="1" x14ac:dyDescent="0.25">
      <c r="A10442" s="22" t="s">
        <v>8</v>
      </c>
      <c r="B10442" s="18" t="str">
        <f>"366192"</f>
        <v>366192</v>
      </c>
      <c r="C10442" s="19" t="s">
        <v>10285</v>
      </c>
      <c r="D10442" s="19" t="s">
        <v>25852</v>
      </c>
      <c r="E10442" s="19" t="s">
        <v>33176</v>
      </c>
      <c r="F10442" s="19" t="s">
        <v>36009</v>
      </c>
      <c r="G10442" s="18" t="str">
        <f>"43528"</f>
        <v>43528</v>
      </c>
      <c r="H10442" s="19" t="s">
        <v>36287</v>
      </c>
      <c r="I10442" s="20">
        <v>18.189</v>
      </c>
      <c r="J10442" s="44" t="s">
        <v>8</v>
      </c>
      <c r="K10442" s="23" t="s">
        <v>8</v>
      </c>
      <c r="L10442" s="23" t="s">
        <v>8</v>
      </c>
      <c r="M10442" s="23" t="s">
        <v>8</v>
      </c>
    </row>
    <row r="10443" spans="1:13" s="21" customFormat="1" x14ac:dyDescent="0.25">
      <c r="A10443" s="22" t="s">
        <v>8</v>
      </c>
      <c r="B10443" s="18" t="str">
        <f>"366194"</f>
        <v>366194</v>
      </c>
      <c r="C10443" s="19" t="s">
        <v>10286</v>
      </c>
      <c r="D10443" s="19" t="s">
        <v>25853</v>
      </c>
      <c r="E10443" s="19" t="s">
        <v>32186</v>
      </c>
      <c r="F10443" s="19" t="s">
        <v>36009</v>
      </c>
      <c r="G10443" s="18" t="str">
        <f>"43334"</f>
        <v>43334</v>
      </c>
      <c r="H10443" s="19" t="s">
        <v>34548</v>
      </c>
      <c r="I10443" s="20">
        <v>16.55</v>
      </c>
      <c r="J10443" s="44" t="s">
        <v>8</v>
      </c>
      <c r="K10443" s="23" t="s">
        <v>8</v>
      </c>
      <c r="L10443" s="23" t="s">
        <v>8</v>
      </c>
      <c r="M10443" s="23" t="s">
        <v>8</v>
      </c>
    </row>
    <row r="10444" spans="1:13" s="21" customFormat="1" x14ac:dyDescent="0.25">
      <c r="A10444" s="22" t="s">
        <v>8</v>
      </c>
      <c r="B10444" s="18" t="str">
        <f>"366195"</f>
        <v>366195</v>
      </c>
      <c r="C10444" s="19" t="s">
        <v>10287</v>
      </c>
      <c r="D10444" s="19" t="s">
        <v>25854</v>
      </c>
      <c r="E10444" s="19" t="s">
        <v>34421</v>
      </c>
      <c r="F10444" s="19" t="s">
        <v>36009</v>
      </c>
      <c r="G10444" s="18" t="str">
        <f>"44512"</f>
        <v>44512</v>
      </c>
      <c r="H10444" s="19" t="s">
        <v>36674</v>
      </c>
      <c r="I10444" s="20">
        <v>20.457000000000001</v>
      </c>
      <c r="J10444" s="44" t="s">
        <v>8</v>
      </c>
      <c r="K10444" s="23" t="s">
        <v>8</v>
      </c>
      <c r="L10444" s="23" t="s">
        <v>8</v>
      </c>
      <c r="M10444" s="23" t="s">
        <v>8</v>
      </c>
    </row>
    <row r="10445" spans="1:13" s="21" customFormat="1" x14ac:dyDescent="0.25">
      <c r="A10445" s="22" t="s">
        <v>8</v>
      </c>
      <c r="B10445" s="18" t="str">
        <f>"366196"</f>
        <v>366196</v>
      </c>
      <c r="C10445" s="19" t="s">
        <v>10288</v>
      </c>
      <c r="D10445" s="19" t="s">
        <v>25855</v>
      </c>
      <c r="E10445" s="19" t="s">
        <v>31494</v>
      </c>
      <c r="F10445" s="19" t="s">
        <v>36009</v>
      </c>
      <c r="G10445" s="18" t="str">
        <f>"43055"</f>
        <v>43055</v>
      </c>
      <c r="H10445" s="19" t="s">
        <v>33689</v>
      </c>
      <c r="I10445" s="20">
        <v>19.006</v>
      </c>
      <c r="J10445" s="44" t="s">
        <v>8</v>
      </c>
      <c r="K10445" s="23" t="s">
        <v>8</v>
      </c>
      <c r="L10445" s="23" t="s">
        <v>8</v>
      </c>
      <c r="M10445" s="23" t="s">
        <v>8</v>
      </c>
    </row>
    <row r="10446" spans="1:13" s="21" customFormat="1" x14ac:dyDescent="0.25">
      <c r="A10446" s="22" t="s">
        <v>8</v>
      </c>
      <c r="B10446" s="18" t="str">
        <f>"366197"</f>
        <v>366197</v>
      </c>
      <c r="C10446" s="19" t="s">
        <v>10289</v>
      </c>
      <c r="D10446" s="19" t="s">
        <v>25856</v>
      </c>
      <c r="E10446" s="19" t="s">
        <v>34590</v>
      </c>
      <c r="F10446" s="19" t="s">
        <v>36009</v>
      </c>
      <c r="G10446" s="18" t="str">
        <f>"45883"</f>
        <v>45883</v>
      </c>
      <c r="H10446" s="19" t="s">
        <v>34991</v>
      </c>
      <c r="I10446" s="20">
        <v>17.541</v>
      </c>
      <c r="J10446" s="44" t="s">
        <v>8</v>
      </c>
      <c r="K10446" s="23" t="s">
        <v>8</v>
      </c>
      <c r="L10446" s="23" t="s">
        <v>8</v>
      </c>
      <c r="M10446" s="23" t="s">
        <v>8</v>
      </c>
    </row>
    <row r="10447" spans="1:13" s="21" customFormat="1" x14ac:dyDescent="0.25">
      <c r="A10447" s="22" t="s">
        <v>8</v>
      </c>
      <c r="B10447" s="18" t="str">
        <f>"366198"</f>
        <v>366198</v>
      </c>
      <c r="C10447" s="19" t="s">
        <v>10290</v>
      </c>
      <c r="D10447" s="19" t="s">
        <v>25857</v>
      </c>
      <c r="E10447" s="19" t="s">
        <v>30804</v>
      </c>
      <c r="F10447" s="19" t="s">
        <v>36009</v>
      </c>
      <c r="G10447" s="18" t="str">
        <f>"45013"</f>
        <v>45013</v>
      </c>
      <c r="H10447" s="19" t="s">
        <v>30876</v>
      </c>
      <c r="I10447" s="20">
        <v>17.402999999999999</v>
      </c>
      <c r="J10447" s="44" t="s">
        <v>8</v>
      </c>
      <c r="K10447" s="23" t="s">
        <v>8</v>
      </c>
      <c r="L10447" s="23" t="s">
        <v>8</v>
      </c>
      <c r="M10447" s="23" t="s">
        <v>8</v>
      </c>
    </row>
    <row r="10448" spans="1:13" s="21" customFormat="1" x14ac:dyDescent="0.25">
      <c r="A10448" s="22" t="s">
        <v>8</v>
      </c>
      <c r="B10448" s="18" t="str">
        <f>"366199"</f>
        <v>366199</v>
      </c>
      <c r="C10448" s="19" t="s">
        <v>10291</v>
      </c>
      <c r="D10448" s="19" t="s">
        <v>25858</v>
      </c>
      <c r="E10448" s="19" t="s">
        <v>32433</v>
      </c>
      <c r="F10448" s="19" t="s">
        <v>36009</v>
      </c>
      <c r="G10448" s="18" t="str">
        <f>"43148"</f>
        <v>43148</v>
      </c>
      <c r="H10448" s="19" t="s">
        <v>31103</v>
      </c>
      <c r="I10448" s="20">
        <v>18.306999999999999</v>
      </c>
      <c r="J10448" s="44" t="s">
        <v>8</v>
      </c>
      <c r="K10448" s="23" t="s">
        <v>8</v>
      </c>
      <c r="L10448" s="23" t="s">
        <v>8</v>
      </c>
      <c r="M10448" s="23" t="s">
        <v>8</v>
      </c>
    </row>
    <row r="10449" spans="1:13" s="21" customFormat="1" x14ac:dyDescent="0.25">
      <c r="A10449" s="22" t="s">
        <v>8</v>
      </c>
      <c r="B10449" s="18" t="str">
        <f>"366200"</f>
        <v>366200</v>
      </c>
      <c r="C10449" s="19" t="s">
        <v>10292</v>
      </c>
      <c r="D10449" s="19" t="s">
        <v>25859</v>
      </c>
      <c r="E10449" s="19" t="s">
        <v>33582</v>
      </c>
      <c r="F10449" s="19" t="s">
        <v>36009</v>
      </c>
      <c r="G10449" s="18" t="str">
        <f>"44612"</f>
        <v>44612</v>
      </c>
      <c r="H10449" s="19" t="s">
        <v>36675</v>
      </c>
      <c r="I10449" s="20">
        <v>17.239999999999998</v>
      </c>
      <c r="J10449" s="44" t="s">
        <v>8</v>
      </c>
      <c r="K10449" s="23" t="s">
        <v>8</v>
      </c>
      <c r="L10449" s="23" t="s">
        <v>8</v>
      </c>
      <c r="M10449" s="23" t="s">
        <v>8</v>
      </c>
    </row>
    <row r="10450" spans="1:13" s="21" customFormat="1" x14ac:dyDescent="0.25">
      <c r="A10450" s="22" t="s">
        <v>8</v>
      </c>
      <c r="B10450" s="18" t="str">
        <f>"366201"</f>
        <v>366201</v>
      </c>
      <c r="C10450" s="19" t="s">
        <v>10293</v>
      </c>
      <c r="D10450" s="19" t="s">
        <v>25860</v>
      </c>
      <c r="E10450" s="19" t="s">
        <v>33198</v>
      </c>
      <c r="F10450" s="19" t="s">
        <v>36009</v>
      </c>
      <c r="G10450" s="18" t="str">
        <f>"43213"</f>
        <v>43213</v>
      </c>
      <c r="H10450" s="19" t="s">
        <v>5</v>
      </c>
      <c r="I10450" s="20">
        <v>19.027999999999999</v>
      </c>
      <c r="J10450" s="44" t="s">
        <v>8</v>
      </c>
      <c r="K10450" s="23" t="s">
        <v>8</v>
      </c>
      <c r="L10450" s="23" t="s">
        <v>8</v>
      </c>
      <c r="M10450" s="23" t="s">
        <v>8</v>
      </c>
    </row>
    <row r="10451" spans="1:13" s="21" customFormat="1" x14ac:dyDescent="0.25">
      <c r="A10451" s="22" t="s">
        <v>8</v>
      </c>
      <c r="B10451" s="18" t="str">
        <f>"366202"</f>
        <v>366202</v>
      </c>
      <c r="C10451" s="19" t="s">
        <v>10294</v>
      </c>
      <c r="D10451" s="19" t="s">
        <v>25861</v>
      </c>
      <c r="E10451" s="19" t="s">
        <v>34591</v>
      </c>
      <c r="F10451" s="19" t="s">
        <v>36009</v>
      </c>
      <c r="G10451" s="18" t="str">
        <f>"45638"</f>
        <v>45638</v>
      </c>
      <c r="H10451" s="19" t="s">
        <v>32568</v>
      </c>
      <c r="I10451" s="20">
        <v>19.512</v>
      </c>
      <c r="J10451" s="44" t="s">
        <v>8</v>
      </c>
      <c r="K10451" s="23" t="s">
        <v>8</v>
      </c>
      <c r="L10451" s="23" t="s">
        <v>8</v>
      </c>
      <c r="M10451" s="23" t="s">
        <v>8</v>
      </c>
    </row>
    <row r="10452" spans="1:13" s="21" customFormat="1" x14ac:dyDescent="0.25">
      <c r="A10452" s="22" t="s">
        <v>8</v>
      </c>
      <c r="B10452" s="18" t="str">
        <f>"366203"</f>
        <v>366203</v>
      </c>
      <c r="C10452" s="19" t="s">
        <v>10295</v>
      </c>
      <c r="D10452" s="19" t="s">
        <v>25862</v>
      </c>
      <c r="E10452" s="19" t="s">
        <v>34582</v>
      </c>
      <c r="F10452" s="19" t="s">
        <v>36009</v>
      </c>
      <c r="G10452" s="18" t="str">
        <f>"44667"</f>
        <v>44667</v>
      </c>
      <c r="H10452" s="19" t="s">
        <v>33280</v>
      </c>
      <c r="I10452" s="20">
        <v>18.010999999999999</v>
      </c>
      <c r="J10452" s="44" t="s">
        <v>8</v>
      </c>
      <c r="K10452" s="23" t="s">
        <v>8</v>
      </c>
      <c r="L10452" s="23" t="s">
        <v>8</v>
      </c>
      <c r="M10452" s="23" t="s">
        <v>8</v>
      </c>
    </row>
    <row r="10453" spans="1:13" s="21" customFormat="1" x14ac:dyDescent="0.25">
      <c r="A10453" s="22" t="s">
        <v>8</v>
      </c>
      <c r="B10453" s="18" t="str">
        <f>"366204"</f>
        <v>366204</v>
      </c>
      <c r="C10453" s="19" t="s">
        <v>4465</v>
      </c>
      <c r="D10453" s="19" t="s">
        <v>25863</v>
      </c>
      <c r="E10453" s="19" t="s">
        <v>32045</v>
      </c>
      <c r="F10453" s="19" t="s">
        <v>36009</v>
      </c>
      <c r="G10453" s="18" t="str">
        <f>"43971"</f>
        <v>43971</v>
      </c>
      <c r="H10453" s="19" t="s">
        <v>32391</v>
      </c>
      <c r="I10453" s="20">
        <v>18.664000000000001</v>
      </c>
      <c r="J10453" s="44" t="s">
        <v>8</v>
      </c>
      <c r="K10453" s="23" t="s">
        <v>8</v>
      </c>
      <c r="L10453" s="23" t="s">
        <v>8</v>
      </c>
      <c r="M10453" s="23" t="s">
        <v>8</v>
      </c>
    </row>
    <row r="10454" spans="1:13" s="21" customFormat="1" x14ac:dyDescent="0.25">
      <c r="A10454" s="22" t="s">
        <v>8</v>
      </c>
      <c r="B10454" s="18" t="str">
        <f>"366207"</f>
        <v>366207</v>
      </c>
      <c r="C10454" s="19" t="s">
        <v>10296</v>
      </c>
      <c r="D10454" s="19" t="s">
        <v>25864</v>
      </c>
      <c r="E10454" s="19" t="s">
        <v>31715</v>
      </c>
      <c r="F10454" s="19" t="s">
        <v>36009</v>
      </c>
      <c r="G10454" s="18" t="str">
        <f>"43203"</f>
        <v>43203</v>
      </c>
      <c r="H10454" s="19" t="s">
        <v>5</v>
      </c>
      <c r="I10454" s="20">
        <v>17.937999999999999</v>
      </c>
      <c r="J10454" s="44" t="s">
        <v>8</v>
      </c>
      <c r="K10454" s="23" t="s">
        <v>8</v>
      </c>
      <c r="L10454" s="23" t="s">
        <v>8</v>
      </c>
      <c r="M10454" s="23" t="s">
        <v>8</v>
      </c>
    </row>
    <row r="10455" spans="1:13" s="21" customFormat="1" x14ac:dyDescent="0.25">
      <c r="A10455" s="22" t="s">
        <v>8</v>
      </c>
      <c r="B10455" s="18" t="str">
        <f>"366208"</f>
        <v>366208</v>
      </c>
      <c r="C10455" s="19" t="s">
        <v>10297</v>
      </c>
      <c r="D10455" s="19" t="s">
        <v>25865</v>
      </c>
      <c r="E10455" s="19" t="s">
        <v>30804</v>
      </c>
      <c r="F10455" s="19" t="s">
        <v>36009</v>
      </c>
      <c r="G10455" s="18" t="str">
        <f>"45011"</f>
        <v>45011</v>
      </c>
      <c r="H10455" s="19" t="s">
        <v>30876</v>
      </c>
      <c r="I10455" s="20">
        <v>22.672999999999998</v>
      </c>
      <c r="J10455" s="44" t="s">
        <v>8</v>
      </c>
      <c r="K10455" s="23" t="s">
        <v>8</v>
      </c>
      <c r="L10455" s="23" t="s">
        <v>8</v>
      </c>
      <c r="M10455" s="23" t="s">
        <v>8</v>
      </c>
    </row>
    <row r="10456" spans="1:13" s="21" customFormat="1" x14ac:dyDescent="0.25">
      <c r="A10456" s="22" t="s">
        <v>8</v>
      </c>
      <c r="B10456" s="18" t="str">
        <f>"366209"</f>
        <v>366209</v>
      </c>
      <c r="C10456" s="19" t="s">
        <v>10298</v>
      </c>
      <c r="D10456" s="19" t="s">
        <v>25866</v>
      </c>
      <c r="E10456" s="19" t="s">
        <v>34412</v>
      </c>
      <c r="F10456" s="19" t="s">
        <v>36009</v>
      </c>
      <c r="G10456" s="18" t="str">
        <f>"45216"</f>
        <v>45216</v>
      </c>
      <c r="H10456" s="19" t="s">
        <v>30804</v>
      </c>
      <c r="I10456" s="20">
        <v>19.035</v>
      </c>
      <c r="J10456" s="44" t="s">
        <v>8</v>
      </c>
      <c r="K10456" s="23" t="s">
        <v>8</v>
      </c>
      <c r="L10456" s="23" t="s">
        <v>8</v>
      </c>
      <c r="M10456" s="23" t="s">
        <v>8</v>
      </c>
    </row>
    <row r="10457" spans="1:13" s="21" customFormat="1" x14ac:dyDescent="0.25">
      <c r="A10457" s="22" t="s">
        <v>8</v>
      </c>
      <c r="B10457" s="18" t="str">
        <f>"366211"</f>
        <v>366211</v>
      </c>
      <c r="C10457" s="19" t="s">
        <v>10299</v>
      </c>
      <c r="D10457" s="19" t="s">
        <v>25867</v>
      </c>
      <c r="E10457" s="19" t="s">
        <v>34588</v>
      </c>
      <c r="F10457" s="19" t="s">
        <v>36009</v>
      </c>
      <c r="G10457" s="18" t="str">
        <f>"45833"</f>
        <v>45833</v>
      </c>
      <c r="H10457" s="19" t="s">
        <v>34710</v>
      </c>
      <c r="I10457" s="20">
        <v>19.199000000000002</v>
      </c>
      <c r="J10457" s="44" t="s">
        <v>8</v>
      </c>
      <c r="K10457" s="23" t="s">
        <v>8</v>
      </c>
      <c r="L10457" s="23" t="s">
        <v>8</v>
      </c>
      <c r="M10457" s="23" t="s">
        <v>8</v>
      </c>
    </row>
    <row r="10458" spans="1:13" s="21" customFormat="1" x14ac:dyDescent="0.25">
      <c r="A10458" s="22" t="s">
        <v>8</v>
      </c>
      <c r="B10458" s="18" t="str">
        <f>"366214"</f>
        <v>366214</v>
      </c>
      <c r="C10458" s="19" t="s">
        <v>10300</v>
      </c>
      <c r="D10458" s="19" t="s">
        <v>25868</v>
      </c>
      <c r="E10458" s="19" t="s">
        <v>33765</v>
      </c>
      <c r="F10458" s="19" t="s">
        <v>36009</v>
      </c>
      <c r="G10458" s="18" t="str">
        <f>"44601"</f>
        <v>44601</v>
      </c>
      <c r="H10458" s="19" t="s">
        <v>36240</v>
      </c>
      <c r="I10458" s="20">
        <v>17.626999999999999</v>
      </c>
      <c r="J10458" s="44" t="s">
        <v>8</v>
      </c>
      <c r="K10458" s="23" t="s">
        <v>8</v>
      </c>
      <c r="L10458" s="23" t="s">
        <v>8</v>
      </c>
      <c r="M10458" s="23" t="s">
        <v>8</v>
      </c>
    </row>
    <row r="10459" spans="1:13" s="21" customFormat="1" x14ac:dyDescent="0.25">
      <c r="A10459" s="22" t="s">
        <v>8</v>
      </c>
      <c r="B10459" s="18" t="str">
        <f>"366215"</f>
        <v>366215</v>
      </c>
      <c r="C10459" s="19" t="s">
        <v>10301</v>
      </c>
      <c r="D10459" s="19" t="s">
        <v>25869</v>
      </c>
      <c r="E10459" s="19" t="s">
        <v>31184</v>
      </c>
      <c r="F10459" s="19" t="s">
        <v>36009</v>
      </c>
      <c r="G10459" s="18" t="str">
        <f>"43130"</f>
        <v>43130</v>
      </c>
      <c r="H10459" s="19" t="s">
        <v>31103</v>
      </c>
      <c r="I10459" s="20">
        <v>17.564</v>
      </c>
      <c r="J10459" s="44" t="s">
        <v>8</v>
      </c>
      <c r="K10459" s="23" t="s">
        <v>8</v>
      </c>
      <c r="L10459" s="23" t="s">
        <v>8</v>
      </c>
      <c r="M10459" s="23" t="s">
        <v>8</v>
      </c>
    </row>
    <row r="10460" spans="1:13" s="21" customFormat="1" x14ac:dyDescent="0.25">
      <c r="A10460" s="22" t="s">
        <v>8</v>
      </c>
      <c r="B10460" s="18" t="str">
        <f>"366216"</f>
        <v>366216</v>
      </c>
      <c r="C10460" s="19" t="s">
        <v>3641</v>
      </c>
      <c r="D10460" s="19" t="s">
        <v>25870</v>
      </c>
      <c r="E10460" s="19" t="s">
        <v>34550</v>
      </c>
      <c r="F10460" s="19" t="s">
        <v>36009</v>
      </c>
      <c r="G10460" s="18" t="str">
        <f>"45040"</f>
        <v>45040</v>
      </c>
      <c r="H10460" s="19" t="s">
        <v>31025</v>
      </c>
      <c r="I10460" s="20">
        <v>20.748999999999999</v>
      </c>
      <c r="J10460" s="44" t="s">
        <v>8</v>
      </c>
      <c r="K10460" s="23" t="s">
        <v>8</v>
      </c>
      <c r="L10460" s="23" t="s">
        <v>8</v>
      </c>
      <c r="M10460" s="23" t="s">
        <v>8</v>
      </c>
    </row>
    <row r="10461" spans="1:13" s="21" customFormat="1" x14ac:dyDescent="0.25">
      <c r="A10461" s="22" t="s">
        <v>8</v>
      </c>
      <c r="B10461" s="18" t="str">
        <f>"366217"</f>
        <v>366217</v>
      </c>
      <c r="C10461" s="19" t="s">
        <v>10302</v>
      </c>
      <c r="D10461" s="19" t="s">
        <v>25871</v>
      </c>
      <c r="E10461" s="19" t="s">
        <v>31994</v>
      </c>
      <c r="F10461" s="19" t="s">
        <v>36009</v>
      </c>
      <c r="G10461" s="18" t="str">
        <f>"45875"</f>
        <v>45875</v>
      </c>
      <c r="H10461" s="19" t="s">
        <v>31482</v>
      </c>
      <c r="I10461" s="20">
        <v>19.228999999999999</v>
      </c>
      <c r="J10461" s="44" t="s">
        <v>8</v>
      </c>
      <c r="K10461" s="23" t="s">
        <v>8</v>
      </c>
      <c r="L10461" s="23" t="s">
        <v>8</v>
      </c>
      <c r="M10461" s="23" t="s">
        <v>8</v>
      </c>
    </row>
    <row r="10462" spans="1:13" s="21" customFormat="1" x14ac:dyDescent="0.25">
      <c r="A10462" s="22" t="s">
        <v>8</v>
      </c>
      <c r="B10462" s="18" t="str">
        <f>"366218"</f>
        <v>366218</v>
      </c>
      <c r="C10462" s="19" t="s">
        <v>10303</v>
      </c>
      <c r="D10462" s="19" t="s">
        <v>25872</v>
      </c>
      <c r="E10462" s="19" t="s">
        <v>31038</v>
      </c>
      <c r="F10462" s="19" t="s">
        <v>36009</v>
      </c>
      <c r="G10462" s="18" t="str">
        <f>"44460"</f>
        <v>44460</v>
      </c>
      <c r="H10462" s="19" t="s">
        <v>30927</v>
      </c>
      <c r="I10462" s="20">
        <v>18.027000000000001</v>
      </c>
      <c r="J10462" s="44" t="s">
        <v>8</v>
      </c>
      <c r="K10462" s="23" t="s">
        <v>8</v>
      </c>
      <c r="L10462" s="23" t="s">
        <v>8</v>
      </c>
      <c r="M10462" s="23" t="s">
        <v>8</v>
      </c>
    </row>
    <row r="10463" spans="1:13" s="21" customFormat="1" x14ac:dyDescent="0.25">
      <c r="A10463" s="22" t="s">
        <v>8</v>
      </c>
      <c r="B10463" s="18" t="str">
        <f>"366219"</f>
        <v>366219</v>
      </c>
      <c r="C10463" s="19" t="s">
        <v>10304</v>
      </c>
      <c r="D10463" s="19" t="s">
        <v>25873</v>
      </c>
      <c r="E10463" s="19" t="s">
        <v>33186</v>
      </c>
      <c r="F10463" s="19" t="s">
        <v>36009</v>
      </c>
      <c r="G10463" s="18" t="str">
        <f>"44870"</f>
        <v>44870</v>
      </c>
      <c r="H10463" s="19" t="s">
        <v>34805</v>
      </c>
      <c r="I10463" s="20">
        <v>18.428000000000001</v>
      </c>
      <c r="J10463" s="44" t="s">
        <v>8</v>
      </c>
      <c r="K10463" s="23" t="s">
        <v>8</v>
      </c>
      <c r="L10463" s="23" t="s">
        <v>8</v>
      </c>
      <c r="M10463" s="23" t="s">
        <v>8</v>
      </c>
    </row>
    <row r="10464" spans="1:13" s="21" customFormat="1" x14ac:dyDescent="0.25">
      <c r="A10464" s="22" t="s">
        <v>8</v>
      </c>
      <c r="B10464" s="18" t="str">
        <f>"366220"</f>
        <v>366220</v>
      </c>
      <c r="C10464" s="19" t="s">
        <v>10305</v>
      </c>
      <c r="D10464" s="19" t="s">
        <v>25874</v>
      </c>
      <c r="E10464" s="19" t="s">
        <v>34412</v>
      </c>
      <c r="F10464" s="19" t="s">
        <v>36009</v>
      </c>
      <c r="G10464" s="18" t="str">
        <f>"45237"</f>
        <v>45237</v>
      </c>
      <c r="H10464" s="19" t="s">
        <v>30804</v>
      </c>
      <c r="I10464" s="20">
        <v>18.82</v>
      </c>
      <c r="J10464" s="44" t="s">
        <v>8</v>
      </c>
      <c r="K10464" s="23" t="s">
        <v>8</v>
      </c>
      <c r="L10464" s="23" t="s">
        <v>8</v>
      </c>
      <c r="M10464" s="23" t="s">
        <v>8</v>
      </c>
    </row>
    <row r="10465" spans="1:13" s="21" customFormat="1" x14ac:dyDescent="0.25">
      <c r="A10465" s="22" t="s">
        <v>8</v>
      </c>
      <c r="B10465" s="18" t="str">
        <f>"366221"</f>
        <v>366221</v>
      </c>
      <c r="C10465" s="19" t="s">
        <v>10306</v>
      </c>
      <c r="D10465" s="19" t="s">
        <v>25875</v>
      </c>
      <c r="E10465" s="19" t="s">
        <v>34426</v>
      </c>
      <c r="F10465" s="19" t="s">
        <v>36009</v>
      </c>
      <c r="G10465" s="18" t="str">
        <f>"45805"</f>
        <v>45805</v>
      </c>
      <c r="H10465" s="19" t="s">
        <v>34710</v>
      </c>
      <c r="I10465" s="20">
        <v>15.801</v>
      </c>
      <c r="J10465" s="44" t="s">
        <v>8</v>
      </c>
      <c r="K10465" s="23" t="s">
        <v>8</v>
      </c>
      <c r="L10465" s="23" t="s">
        <v>8</v>
      </c>
      <c r="M10465" s="23" t="s">
        <v>8</v>
      </c>
    </row>
    <row r="10466" spans="1:13" s="21" customFormat="1" x14ac:dyDescent="0.25">
      <c r="A10466" s="22" t="s">
        <v>8</v>
      </c>
      <c r="B10466" s="18" t="str">
        <f>"366222"</f>
        <v>366222</v>
      </c>
      <c r="C10466" s="19" t="s">
        <v>10307</v>
      </c>
      <c r="D10466" s="19" t="s">
        <v>25876</v>
      </c>
      <c r="E10466" s="19" t="s">
        <v>34438</v>
      </c>
      <c r="F10466" s="19" t="s">
        <v>36009</v>
      </c>
      <c r="G10466" s="18" t="str">
        <f>"44221"</f>
        <v>44221</v>
      </c>
      <c r="H10466" s="19" t="s">
        <v>36107</v>
      </c>
      <c r="I10466" s="20">
        <v>18.076000000000001</v>
      </c>
      <c r="J10466" s="44" t="s">
        <v>8</v>
      </c>
      <c r="K10466" s="23" t="s">
        <v>8</v>
      </c>
      <c r="L10466" s="23" t="s">
        <v>8</v>
      </c>
      <c r="M10466" s="23" t="s">
        <v>8</v>
      </c>
    </row>
    <row r="10467" spans="1:13" s="21" customFormat="1" x14ac:dyDescent="0.25">
      <c r="A10467" s="22" t="s">
        <v>8</v>
      </c>
      <c r="B10467" s="18" t="str">
        <f>"366223"</f>
        <v>366223</v>
      </c>
      <c r="C10467" s="19" t="s">
        <v>10308</v>
      </c>
      <c r="D10467" s="19" t="s">
        <v>25877</v>
      </c>
      <c r="E10467" s="19" t="s">
        <v>34412</v>
      </c>
      <c r="F10467" s="19" t="s">
        <v>36009</v>
      </c>
      <c r="G10467" s="18" t="str">
        <f>"45215"</f>
        <v>45215</v>
      </c>
      <c r="H10467" s="19" t="s">
        <v>30804</v>
      </c>
      <c r="I10467" s="20">
        <v>18.64</v>
      </c>
      <c r="J10467" s="44" t="s">
        <v>8</v>
      </c>
      <c r="K10467" s="23" t="s">
        <v>8</v>
      </c>
      <c r="L10467" s="23" t="s">
        <v>8</v>
      </c>
      <c r="M10467" s="23" t="s">
        <v>8</v>
      </c>
    </row>
    <row r="10468" spans="1:13" s="21" customFormat="1" x14ac:dyDescent="0.25">
      <c r="A10468" s="22" t="s">
        <v>8</v>
      </c>
      <c r="B10468" s="18" t="str">
        <f>"366224"</f>
        <v>366224</v>
      </c>
      <c r="C10468" s="19" t="s">
        <v>10309</v>
      </c>
      <c r="D10468" s="19" t="s">
        <v>25878</v>
      </c>
      <c r="E10468" s="19" t="s">
        <v>34455</v>
      </c>
      <c r="F10468" s="19" t="s">
        <v>36009</v>
      </c>
      <c r="G10468" s="18" t="str">
        <f>"45822"</f>
        <v>45822</v>
      </c>
      <c r="H10468" s="19" t="s">
        <v>34991</v>
      </c>
      <c r="I10468" s="20">
        <v>17.925999999999998</v>
      </c>
      <c r="J10468" s="44" t="s">
        <v>8</v>
      </c>
      <c r="K10468" s="23" t="s">
        <v>8</v>
      </c>
      <c r="L10468" s="23" t="s">
        <v>8</v>
      </c>
      <c r="M10468" s="23" t="s">
        <v>8</v>
      </c>
    </row>
    <row r="10469" spans="1:13" s="21" customFormat="1" x14ac:dyDescent="0.25">
      <c r="A10469" s="22" t="s">
        <v>8</v>
      </c>
      <c r="B10469" s="18" t="str">
        <f>"366225"</f>
        <v>366225</v>
      </c>
      <c r="C10469" s="19" t="s">
        <v>10310</v>
      </c>
      <c r="D10469" s="19" t="s">
        <v>25879</v>
      </c>
      <c r="E10469" s="19" t="s">
        <v>34592</v>
      </c>
      <c r="F10469" s="19" t="s">
        <v>36009</v>
      </c>
      <c r="G10469" s="18" t="str">
        <f>"44139"</f>
        <v>44139</v>
      </c>
      <c r="H10469" s="19" t="s">
        <v>36671</v>
      </c>
      <c r="I10469" s="20">
        <v>16.687000000000001</v>
      </c>
      <c r="J10469" s="44" t="s">
        <v>8</v>
      </c>
      <c r="K10469" s="23" t="s">
        <v>8</v>
      </c>
      <c r="L10469" s="23" t="s">
        <v>8</v>
      </c>
      <c r="M10469" s="23" t="s">
        <v>8</v>
      </c>
    </row>
    <row r="10470" spans="1:13" s="21" customFormat="1" x14ac:dyDescent="0.25">
      <c r="A10470" s="22" t="s">
        <v>8</v>
      </c>
      <c r="B10470" s="18" t="str">
        <f>"366227"</f>
        <v>366227</v>
      </c>
      <c r="C10470" s="19" t="s">
        <v>1541</v>
      </c>
      <c r="D10470" s="19" t="s">
        <v>25880</v>
      </c>
      <c r="E10470" s="19" t="s">
        <v>31704</v>
      </c>
      <c r="F10470" s="19" t="s">
        <v>36009</v>
      </c>
      <c r="G10470" s="18" t="str">
        <f>"45612"</f>
        <v>45612</v>
      </c>
      <c r="H10470" s="19" t="s">
        <v>36685</v>
      </c>
      <c r="I10470" s="20">
        <v>18.684999999999999</v>
      </c>
      <c r="J10470" s="44" t="s">
        <v>8</v>
      </c>
      <c r="K10470" s="23" t="s">
        <v>8</v>
      </c>
      <c r="L10470" s="23" t="s">
        <v>8</v>
      </c>
      <c r="M10470" s="23" t="s">
        <v>8</v>
      </c>
    </row>
    <row r="10471" spans="1:13" s="21" customFormat="1" x14ac:dyDescent="0.25">
      <c r="A10471" s="22" t="s">
        <v>8</v>
      </c>
      <c r="B10471" s="18" t="str">
        <f>"366229"</f>
        <v>366229</v>
      </c>
      <c r="C10471" s="19" t="s">
        <v>10311</v>
      </c>
      <c r="D10471" s="19" t="s">
        <v>25881</v>
      </c>
      <c r="E10471" s="19" t="s">
        <v>34522</v>
      </c>
      <c r="F10471" s="19" t="s">
        <v>36009</v>
      </c>
      <c r="G10471" s="18" t="str">
        <f>"44130"</f>
        <v>44130</v>
      </c>
      <c r="H10471" s="19" t="s">
        <v>36671</v>
      </c>
      <c r="I10471" s="20">
        <v>18.716000000000001</v>
      </c>
      <c r="J10471" s="44" t="s">
        <v>8</v>
      </c>
      <c r="K10471" s="23" t="s">
        <v>8</v>
      </c>
      <c r="L10471" s="23" t="s">
        <v>8</v>
      </c>
      <c r="M10471" s="23" t="s">
        <v>8</v>
      </c>
    </row>
    <row r="10472" spans="1:13" s="21" customFormat="1" x14ac:dyDescent="0.25">
      <c r="A10472" s="22" t="s">
        <v>8</v>
      </c>
      <c r="B10472" s="18" t="str">
        <f>"366231"</f>
        <v>366231</v>
      </c>
      <c r="C10472" s="19" t="s">
        <v>10312</v>
      </c>
      <c r="D10472" s="19" t="s">
        <v>25882</v>
      </c>
      <c r="E10472" s="19" t="s">
        <v>33765</v>
      </c>
      <c r="F10472" s="19" t="s">
        <v>36009</v>
      </c>
      <c r="G10472" s="18" t="str">
        <f>"44601"</f>
        <v>44601</v>
      </c>
      <c r="H10472" s="19" t="s">
        <v>36240</v>
      </c>
      <c r="I10472" s="20">
        <v>19.309999999999999</v>
      </c>
      <c r="J10472" s="44" t="s">
        <v>8</v>
      </c>
      <c r="K10472" s="23" t="s">
        <v>8</v>
      </c>
      <c r="L10472" s="23" t="s">
        <v>8</v>
      </c>
      <c r="M10472" s="23" t="s">
        <v>8</v>
      </c>
    </row>
    <row r="10473" spans="1:13" s="21" customFormat="1" x14ac:dyDescent="0.25">
      <c r="A10473" s="22" t="s">
        <v>8</v>
      </c>
      <c r="B10473" s="18" t="str">
        <f>"366232"</f>
        <v>366232</v>
      </c>
      <c r="C10473" s="19" t="s">
        <v>10313</v>
      </c>
      <c r="D10473" s="19" t="s">
        <v>25883</v>
      </c>
      <c r="E10473" s="19" t="s">
        <v>30804</v>
      </c>
      <c r="F10473" s="19" t="s">
        <v>36009</v>
      </c>
      <c r="G10473" s="18" t="str">
        <f>"45013"</f>
        <v>45013</v>
      </c>
      <c r="H10473" s="19" t="s">
        <v>30876</v>
      </c>
      <c r="I10473" s="20">
        <v>18.16</v>
      </c>
      <c r="J10473" s="44" t="s">
        <v>8</v>
      </c>
      <c r="K10473" s="23" t="s">
        <v>8</v>
      </c>
      <c r="L10473" s="23" t="s">
        <v>8</v>
      </c>
      <c r="M10473" s="23" t="s">
        <v>8</v>
      </c>
    </row>
    <row r="10474" spans="1:13" s="21" customFormat="1" x14ac:dyDescent="0.25">
      <c r="A10474" s="22" t="s">
        <v>8</v>
      </c>
      <c r="B10474" s="18" t="str">
        <f>"366233"</f>
        <v>366233</v>
      </c>
      <c r="C10474" s="19" t="s">
        <v>10314</v>
      </c>
      <c r="D10474" s="19" t="s">
        <v>25884</v>
      </c>
      <c r="E10474" s="19" t="s">
        <v>31480</v>
      </c>
      <c r="F10474" s="19" t="s">
        <v>36009</v>
      </c>
      <c r="G10474" s="18" t="str">
        <f>"45106"</f>
        <v>45106</v>
      </c>
      <c r="H10474" s="19" t="s">
        <v>31621</v>
      </c>
      <c r="I10474" s="20">
        <v>20.664000000000001</v>
      </c>
      <c r="J10474" s="44" t="s">
        <v>8</v>
      </c>
      <c r="K10474" s="23" t="s">
        <v>8</v>
      </c>
      <c r="L10474" s="23" t="s">
        <v>8</v>
      </c>
      <c r="M10474" s="23" t="s">
        <v>8</v>
      </c>
    </row>
    <row r="10475" spans="1:13" s="21" customFormat="1" x14ac:dyDescent="0.25">
      <c r="A10475" s="22" t="s">
        <v>8</v>
      </c>
      <c r="B10475" s="18" t="str">
        <f>"366234"</f>
        <v>366234</v>
      </c>
      <c r="C10475" s="19" t="s">
        <v>10315</v>
      </c>
      <c r="D10475" s="19" t="s">
        <v>25885</v>
      </c>
      <c r="E10475" s="19" t="s">
        <v>31935</v>
      </c>
      <c r="F10475" s="19" t="s">
        <v>36009</v>
      </c>
      <c r="G10475" s="18" t="str">
        <f>"45882"</f>
        <v>45882</v>
      </c>
      <c r="H10475" s="19" t="s">
        <v>34991</v>
      </c>
      <c r="I10475" s="20">
        <v>19.219000000000001</v>
      </c>
      <c r="J10475" s="44" t="s">
        <v>8</v>
      </c>
      <c r="K10475" s="23" t="s">
        <v>8</v>
      </c>
      <c r="L10475" s="23" t="s">
        <v>8</v>
      </c>
      <c r="M10475" s="23" t="s">
        <v>8</v>
      </c>
    </row>
    <row r="10476" spans="1:13" s="21" customFormat="1" x14ac:dyDescent="0.25">
      <c r="A10476" s="22" t="s">
        <v>8</v>
      </c>
      <c r="B10476" s="18" t="str">
        <f>"366235"</f>
        <v>366235</v>
      </c>
      <c r="C10476" s="19" t="s">
        <v>10316</v>
      </c>
      <c r="D10476" s="19" t="s">
        <v>25886</v>
      </c>
      <c r="E10476" s="19" t="s">
        <v>32515</v>
      </c>
      <c r="F10476" s="19" t="s">
        <v>36009</v>
      </c>
      <c r="G10476" s="18" t="str">
        <f>"45365"</f>
        <v>45365</v>
      </c>
      <c r="H10476" s="19" t="s">
        <v>33565</v>
      </c>
      <c r="I10476" s="20">
        <v>18.004000000000001</v>
      </c>
      <c r="J10476" s="44" t="s">
        <v>8</v>
      </c>
      <c r="K10476" s="23" t="s">
        <v>8</v>
      </c>
      <c r="L10476" s="23" t="s">
        <v>8</v>
      </c>
      <c r="M10476" s="23" t="s">
        <v>8</v>
      </c>
    </row>
    <row r="10477" spans="1:13" s="21" customFormat="1" x14ac:dyDescent="0.25">
      <c r="A10477" s="22" t="s">
        <v>8</v>
      </c>
      <c r="B10477" s="18" t="str">
        <f>"366236"</f>
        <v>366236</v>
      </c>
      <c r="C10477" s="19" t="s">
        <v>10317</v>
      </c>
      <c r="D10477" s="19" t="s">
        <v>25887</v>
      </c>
      <c r="E10477" s="19" t="s">
        <v>31717</v>
      </c>
      <c r="F10477" s="19" t="s">
        <v>36009</v>
      </c>
      <c r="G10477" s="18" t="str">
        <f>"45503"</f>
        <v>45503</v>
      </c>
      <c r="H10477" s="19" t="s">
        <v>33967</v>
      </c>
      <c r="I10477" s="20">
        <v>18.998999999999999</v>
      </c>
      <c r="J10477" s="44" t="s">
        <v>8</v>
      </c>
      <c r="K10477" s="23" t="s">
        <v>8</v>
      </c>
      <c r="L10477" s="23" t="s">
        <v>8</v>
      </c>
      <c r="M10477" s="23" t="s">
        <v>8</v>
      </c>
    </row>
    <row r="10478" spans="1:13" s="21" customFormat="1" x14ac:dyDescent="0.25">
      <c r="A10478" s="22" t="s">
        <v>8</v>
      </c>
      <c r="B10478" s="18" t="str">
        <f>"366237"</f>
        <v>366237</v>
      </c>
      <c r="C10478" s="19" t="s">
        <v>10318</v>
      </c>
      <c r="D10478" s="19" t="s">
        <v>25888</v>
      </c>
      <c r="E10478" s="19" t="s">
        <v>34435</v>
      </c>
      <c r="F10478" s="19" t="s">
        <v>36009</v>
      </c>
      <c r="G10478" s="18" t="str">
        <f>"44281"</f>
        <v>44281</v>
      </c>
      <c r="H10478" s="19" t="s">
        <v>34102</v>
      </c>
      <c r="I10478" s="20">
        <v>20.114000000000001</v>
      </c>
      <c r="J10478" s="44" t="s">
        <v>8</v>
      </c>
      <c r="K10478" s="23" t="s">
        <v>8</v>
      </c>
      <c r="L10478" s="23" t="s">
        <v>8</v>
      </c>
      <c r="M10478" s="23" t="s">
        <v>8</v>
      </c>
    </row>
    <row r="10479" spans="1:13" s="21" customFormat="1" x14ac:dyDescent="0.25">
      <c r="A10479" s="22" t="s">
        <v>8</v>
      </c>
      <c r="B10479" s="18" t="str">
        <f>"366238"</f>
        <v>366238</v>
      </c>
      <c r="C10479" s="19" t="s">
        <v>10319</v>
      </c>
      <c r="D10479" s="19" t="s">
        <v>25889</v>
      </c>
      <c r="E10479" s="19" t="s">
        <v>34412</v>
      </c>
      <c r="F10479" s="19" t="s">
        <v>36009</v>
      </c>
      <c r="G10479" s="18" t="str">
        <f>"45212"</f>
        <v>45212</v>
      </c>
      <c r="H10479" s="19" t="s">
        <v>30804</v>
      </c>
      <c r="I10479" s="20">
        <v>18.437999999999999</v>
      </c>
      <c r="J10479" s="44" t="s">
        <v>8</v>
      </c>
      <c r="K10479" s="23" t="s">
        <v>8</v>
      </c>
      <c r="L10479" s="23" t="s">
        <v>8</v>
      </c>
      <c r="M10479" s="23" t="s">
        <v>8</v>
      </c>
    </row>
    <row r="10480" spans="1:13" s="21" customFormat="1" x14ac:dyDescent="0.25">
      <c r="A10480" s="22" t="s">
        <v>8</v>
      </c>
      <c r="B10480" s="18" t="str">
        <f>"366239"</f>
        <v>366239</v>
      </c>
      <c r="C10480" s="19" t="s">
        <v>10320</v>
      </c>
      <c r="D10480" s="19" t="s">
        <v>25890</v>
      </c>
      <c r="E10480" s="19" t="s">
        <v>30809</v>
      </c>
      <c r="F10480" s="19" t="s">
        <v>36009</v>
      </c>
      <c r="G10480" s="18" t="str">
        <f>"44805"</f>
        <v>44805</v>
      </c>
      <c r="H10480" s="19" t="s">
        <v>30809</v>
      </c>
      <c r="I10480" s="20">
        <v>19.564</v>
      </c>
      <c r="J10480" s="44" t="s">
        <v>8</v>
      </c>
      <c r="K10480" s="23" t="s">
        <v>8</v>
      </c>
      <c r="L10480" s="23" t="s">
        <v>8</v>
      </c>
      <c r="M10480" s="23" t="s">
        <v>8</v>
      </c>
    </row>
    <row r="10481" spans="1:13" s="21" customFormat="1" x14ac:dyDescent="0.25">
      <c r="A10481" s="22" t="s">
        <v>8</v>
      </c>
      <c r="B10481" s="18" t="str">
        <f>"366240"</f>
        <v>366240</v>
      </c>
      <c r="C10481" s="19" t="s">
        <v>10321</v>
      </c>
      <c r="D10481" s="19" t="s">
        <v>25891</v>
      </c>
      <c r="E10481" s="19" t="s">
        <v>34102</v>
      </c>
      <c r="F10481" s="19" t="s">
        <v>36009</v>
      </c>
      <c r="G10481" s="18" t="str">
        <f>"44256"</f>
        <v>44256</v>
      </c>
      <c r="H10481" s="19" t="s">
        <v>34102</v>
      </c>
      <c r="I10481" s="20">
        <v>18.446000000000002</v>
      </c>
      <c r="J10481" s="44" t="s">
        <v>8</v>
      </c>
      <c r="K10481" s="23" t="s">
        <v>8</v>
      </c>
      <c r="L10481" s="23" t="s">
        <v>8</v>
      </c>
      <c r="M10481" s="23" t="s">
        <v>8</v>
      </c>
    </row>
    <row r="10482" spans="1:13" s="21" customFormat="1" x14ac:dyDescent="0.25">
      <c r="A10482" s="22" t="s">
        <v>8</v>
      </c>
      <c r="B10482" s="18" t="str">
        <f>"366241"</f>
        <v>366241</v>
      </c>
      <c r="C10482" s="19" t="s">
        <v>10322</v>
      </c>
      <c r="D10482" s="19" t="s">
        <v>25892</v>
      </c>
      <c r="E10482" s="19" t="s">
        <v>34436</v>
      </c>
      <c r="F10482" s="19" t="s">
        <v>36009</v>
      </c>
      <c r="G10482" s="18" t="str">
        <f>"43953"</f>
        <v>43953</v>
      </c>
      <c r="H10482" s="19" t="s">
        <v>32391</v>
      </c>
      <c r="I10482" s="20">
        <v>19.829999999999998</v>
      </c>
      <c r="J10482" s="44" t="s">
        <v>8</v>
      </c>
      <c r="K10482" s="23" t="s">
        <v>8</v>
      </c>
      <c r="L10482" s="23" t="s">
        <v>8</v>
      </c>
      <c r="M10482" s="23" t="s">
        <v>8</v>
      </c>
    </row>
    <row r="10483" spans="1:13" s="21" customFormat="1" x14ac:dyDescent="0.25">
      <c r="A10483" s="22" t="s">
        <v>8</v>
      </c>
      <c r="B10483" s="18" t="str">
        <f>"366242"</f>
        <v>366242</v>
      </c>
      <c r="C10483" s="19" t="s">
        <v>10323</v>
      </c>
      <c r="D10483" s="19" t="s">
        <v>25893</v>
      </c>
      <c r="E10483" s="19" t="s">
        <v>31804</v>
      </c>
      <c r="F10483" s="19" t="s">
        <v>36009</v>
      </c>
      <c r="G10483" s="18" t="str">
        <f>"43560"</f>
        <v>43560</v>
      </c>
      <c r="H10483" s="19" t="s">
        <v>36287</v>
      </c>
      <c r="I10483" s="20">
        <v>17.077000000000002</v>
      </c>
      <c r="J10483" s="44" t="s">
        <v>8</v>
      </c>
      <c r="K10483" s="23" t="s">
        <v>8</v>
      </c>
      <c r="L10483" s="23" t="s">
        <v>8</v>
      </c>
      <c r="M10483" s="23" t="s">
        <v>8</v>
      </c>
    </row>
    <row r="10484" spans="1:13" s="21" customFormat="1" x14ac:dyDescent="0.25">
      <c r="A10484" s="22" t="s">
        <v>8</v>
      </c>
      <c r="B10484" s="18" t="str">
        <f>"366244"</f>
        <v>366244</v>
      </c>
      <c r="C10484" s="19" t="s">
        <v>10324</v>
      </c>
      <c r="D10484" s="19" t="s">
        <v>25894</v>
      </c>
      <c r="E10484" s="19" t="s">
        <v>34459</v>
      </c>
      <c r="F10484" s="19" t="s">
        <v>36009</v>
      </c>
      <c r="G10484" s="18" t="str">
        <f>"43701"</f>
        <v>43701</v>
      </c>
      <c r="H10484" s="19" t="s">
        <v>36680</v>
      </c>
      <c r="I10484" s="20">
        <v>18.611000000000001</v>
      </c>
      <c r="J10484" s="44" t="s">
        <v>8</v>
      </c>
      <c r="K10484" s="23" t="s">
        <v>8</v>
      </c>
      <c r="L10484" s="23" t="s">
        <v>8</v>
      </c>
      <c r="M10484" s="23" t="s">
        <v>8</v>
      </c>
    </row>
    <row r="10485" spans="1:13" s="21" customFormat="1" x14ac:dyDescent="0.25">
      <c r="A10485" s="22" t="s">
        <v>8</v>
      </c>
      <c r="B10485" s="18" t="str">
        <f>"366245"</f>
        <v>366245</v>
      </c>
      <c r="C10485" s="19" t="s">
        <v>10325</v>
      </c>
      <c r="D10485" s="19" t="s">
        <v>25895</v>
      </c>
      <c r="E10485" s="19" t="s">
        <v>31717</v>
      </c>
      <c r="F10485" s="19" t="s">
        <v>36009</v>
      </c>
      <c r="G10485" s="18" t="str">
        <f>"45503"</f>
        <v>45503</v>
      </c>
      <c r="H10485" s="19" t="s">
        <v>33967</v>
      </c>
      <c r="I10485" s="20">
        <v>19.632000000000001</v>
      </c>
      <c r="J10485" s="44" t="s">
        <v>8</v>
      </c>
      <c r="K10485" s="23" t="s">
        <v>8</v>
      </c>
      <c r="L10485" s="23" t="s">
        <v>8</v>
      </c>
      <c r="M10485" s="23" t="s">
        <v>8</v>
      </c>
    </row>
    <row r="10486" spans="1:13" s="21" customFormat="1" x14ac:dyDescent="0.25">
      <c r="A10486" s="22" t="s">
        <v>8</v>
      </c>
      <c r="B10486" s="18" t="str">
        <f>"366246"</f>
        <v>366246</v>
      </c>
      <c r="C10486" s="19" t="s">
        <v>10326</v>
      </c>
      <c r="D10486" s="19" t="s">
        <v>25896</v>
      </c>
      <c r="E10486" s="19" t="s">
        <v>34462</v>
      </c>
      <c r="F10486" s="19" t="s">
        <v>36009</v>
      </c>
      <c r="G10486" s="18" t="str">
        <f>"43015"</f>
        <v>43015</v>
      </c>
      <c r="H10486" s="19" t="s">
        <v>34462</v>
      </c>
      <c r="I10486" s="20">
        <v>17.773</v>
      </c>
      <c r="J10486" s="44" t="s">
        <v>8</v>
      </c>
      <c r="K10486" s="23" t="s">
        <v>8</v>
      </c>
      <c r="L10486" s="23" t="s">
        <v>8</v>
      </c>
      <c r="M10486" s="23" t="s">
        <v>8</v>
      </c>
    </row>
    <row r="10487" spans="1:13" s="21" customFormat="1" x14ac:dyDescent="0.25">
      <c r="A10487" s="22" t="s">
        <v>8</v>
      </c>
      <c r="B10487" s="18" t="str">
        <f>"366247"</f>
        <v>366247</v>
      </c>
      <c r="C10487" s="19" t="s">
        <v>10327</v>
      </c>
      <c r="D10487" s="19" t="s">
        <v>25897</v>
      </c>
      <c r="E10487" s="19" t="s">
        <v>34431</v>
      </c>
      <c r="F10487" s="19" t="s">
        <v>36009</v>
      </c>
      <c r="G10487" s="18" t="str">
        <f>"45895"</f>
        <v>45895</v>
      </c>
      <c r="H10487" s="19" t="s">
        <v>36676</v>
      </c>
      <c r="I10487" s="20">
        <v>18.524999999999999</v>
      </c>
      <c r="J10487" s="44" t="s">
        <v>8</v>
      </c>
      <c r="K10487" s="23" t="s">
        <v>8</v>
      </c>
      <c r="L10487" s="23" t="s">
        <v>8</v>
      </c>
      <c r="M10487" s="23" t="s">
        <v>8</v>
      </c>
    </row>
    <row r="10488" spans="1:13" s="21" customFormat="1" x14ac:dyDescent="0.25">
      <c r="A10488" s="22" t="s">
        <v>8</v>
      </c>
      <c r="B10488" s="18" t="str">
        <f>"366248"</f>
        <v>366248</v>
      </c>
      <c r="C10488" s="19" t="s">
        <v>10328</v>
      </c>
      <c r="D10488" s="19" t="s">
        <v>25898</v>
      </c>
      <c r="E10488" s="19" t="s">
        <v>34486</v>
      </c>
      <c r="F10488" s="19" t="s">
        <v>36009</v>
      </c>
      <c r="G10488" s="18" t="str">
        <f>"44270"</f>
        <v>44270</v>
      </c>
      <c r="H10488" s="19" t="s">
        <v>33280</v>
      </c>
      <c r="I10488" s="20">
        <v>18.526</v>
      </c>
      <c r="J10488" s="44" t="s">
        <v>8</v>
      </c>
      <c r="K10488" s="23" t="s">
        <v>8</v>
      </c>
      <c r="L10488" s="23" t="s">
        <v>8</v>
      </c>
      <c r="M10488" s="23" t="s">
        <v>8</v>
      </c>
    </row>
    <row r="10489" spans="1:13" s="21" customFormat="1" x14ac:dyDescent="0.25">
      <c r="A10489" s="22" t="s">
        <v>8</v>
      </c>
      <c r="B10489" s="18" t="str">
        <f>"366249"</f>
        <v>366249</v>
      </c>
      <c r="C10489" s="19" t="s">
        <v>10329</v>
      </c>
      <c r="D10489" s="19" t="s">
        <v>25899</v>
      </c>
      <c r="E10489" s="19" t="s">
        <v>34569</v>
      </c>
      <c r="F10489" s="19" t="s">
        <v>36009</v>
      </c>
      <c r="G10489" s="18" t="str">
        <f>"44695"</f>
        <v>44695</v>
      </c>
      <c r="H10489" s="19" t="s">
        <v>31020</v>
      </c>
      <c r="I10489" s="20">
        <v>20.65</v>
      </c>
      <c r="J10489" s="44" t="s">
        <v>8</v>
      </c>
      <c r="K10489" s="23" t="s">
        <v>8</v>
      </c>
      <c r="L10489" s="23" t="s">
        <v>8</v>
      </c>
      <c r="M10489" s="23" t="s">
        <v>8</v>
      </c>
    </row>
    <row r="10490" spans="1:13" s="21" customFormat="1" x14ac:dyDescent="0.25">
      <c r="A10490" s="22" t="s">
        <v>8</v>
      </c>
      <c r="B10490" s="18" t="str">
        <f>"366250"</f>
        <v>366250</v>
      </c>
      <c r="C10490" s="19" t="s">
        <v>10330</v>
      </c>
      <c r="D10490" s="19" t="s">
        <v>25900</v>
      </c>
      <c r="E10490" s="19" t="s">
        <v>30824</v>
      </c>
      <c r="F10490" s="19" t="s">
        <v>36009</v>
      </c>
      <c r="G10490" s="18" t="str">
        <f>"45701"</f>
        <v>45701</v>
      </c>
      <c r="H10490" s="19" t="s">
        <v>30824</v>
      </c>
      <c r="I10490" s="20">
        <v>19.143000000000001</v>
      </c>
      <c r="J10490" s="44" t="s">
        <v>8</v>
      </c>
      <c r="K10490" s="23" t="s">
        <v>8</v>
      </c>
      <c r="L10490" s="23" t="s">
        <v>8</v>
      </c>
      <c r="M10490" s="23" t="s">
        <v>8</v>
      </c>
    </row>
    <row r="10491" spans="1:13" s="21" customFormat="1" x14ac:dyDescent="0.25">
      <c r="A10491" s="22" t="s">
        <v>8</v>
      </c>
      <c r="B10491" s="18" t="str">
        <f>"366251"</f>
        <v>366251</v>
      </c>
      <c r="C10491" s="19" t="s">
        <v>10331</v>
      </c>
      <c r="D10491" s="19" t="s">
        <v>25901</v>
      </c>
      <c r="E10491" s="19" t="s">
        <v>34412</v>
      </c>
      <c r="F10491" s="19" t="s">
        <v>36009</v>
      </c>
      <c r="G10491" s="18" t="str">
        <f>"45231"</f>
        <v>45231</v>
      </c>
      <c r="H10491" s="19" t="s">
        <v>30804</v>
      </c>
      <c r="I10491" s="20">
        <v>17.399000000000001</v>
      </c>
      <c r="J10491" s="44" t="s">
        <v>8</v>
      </c>
      <c r="K10491" s="23" t="s">
        <v>8</v>
      </c>
      <c r="L10491" s="23" t="s">
        <v>8</v>
      </c>
      <c r="M10491" s="23" t="s">
        <v>8</v>
      </c>
    </row>
    <row r="10492" spans="1:13" s="21" customFormat="1" x14ac:dyDescent="0.25">
      <c r="A10492" s="22" t="s">
        <v>8</v>
      </c>
      <c r="B10492" s="18" t="str">
        <f>"366252"</f>
        <v>366252</v>
      </c>
      <c r="C10492" s="19" t="s">
        <v>10332</v>
      </c>
      <c r="D10492" s="19" t="s">
        <v>25902</v>
      </c>
      <c r="E10492" s="19" t="s">
        <v>34593</v>
      </c>
      <c r="F10492" s="19" t="s">
        <v>36009</v>
      </c>
      <c r="G10492" s="18" t="str">
        <f>"45856"</f>
        <v>45856</v>
      </c>
      <c r="H10492" s="19" t="s">
        <v>31482</v>
      </c>
      <c r="I10492" s="20">
        <v>17.484999999999999</v>
      </c>
      <c r="J10492" s="44" t="s">
        <v>8</v>
      </c>
      <c r="K10492" s="23" t="s">
        <v>8</v>
      </c>
      <c r="L10492" s="23" t="s">
        <v>8</v>
      </c>
      <c r="M10492" s="23" t="s">
        <v>8</v>
      </c>
    </row>
    <row r="10493" spans="1:13" s="21" customFormat="1" x14ac:dyDescent="0.25">
      <c r="A10493" s="22" t="s">
        <v>8</v>
      </c>
      <c r="B10493" s="18" t="str">
        <f>"366253"</f>
        <v>366253</v>
      </c>
      <c r="C10493" s="19" t="s">
        <v>10333</v>
      </c>
      <c r="D10493" s="19" t="s">
        <v>25903</v>
      </c>
      <c r="E10493" s="19" t="s">
        <v>34423</v>
      </c>
      <c r="F10493" s="19" t="s">
        <v>36009</v>
      </c>
      <c r="G10493" s="18" t="str">
        <f>"44663"</f>
        <v>44663</v>
      </c>
      <c r="H10493" s="19" t="s">
        <v>36675</v>
      </c>
      <c r="I10493" s="20">
        <v>17.271999999999998</v>
      </c>
      <c r="J10493" s="44" t="s">
        <v>8</v>
      </c>
      <c r="K10493" s="23" t="s">
        <v>8</v>
      </c>
      <c r="L10493" s="23" t="s">
        <v>8</v>
      </c>
      <c r="M10493" s="23" t="s">
        <v>8</v>
      </c>
    </row>
    <row r="10494" spans="1:13" s="21" customFormat="1" x14ac:dyDescent="0.25">
      <c r="A10494" s="22" t="s">
        <v>8</v>
      </c>
      <c r="B10494" s="18" t="str">
        <f>"366254"</f>
        <v>366254</v>
      </c>
      <c r="C10494" s="19" t="s">
        <v>10334</v>
      </c>
      <c r="D10494" s="19" t="s">
        <v>25904</v>
      </c>
      <c r="E10494" s="19" t="s">
        <v>34594</v>
      </c>
      <c r="F10494" s="19" t="s">
        <v>36009</v>
      </c>
      <c r="G10494" s="18" t="str">
        <f>"43804"</f>
        <v>43804</v>
      </c>
      <c r="H10494" s="19" t="s">
        <v>36675</v>
      </c>
      <c r="I10494" s="20">
        <v>17.239999999999998</v>
      </c>
      <c r="J10494" s="44" t="s">
        <v>8</v>
      </c>
      <c r="K10494" s="23" t="s">
        <v>8</v>
      </c>
      <c r="L10494" s="23" t="s">
        <v>8</v>
      </c>
      <c r="M10494" s="23" t="s">
        <v>8</v>
      </c>
    </row>
    <row r="10495" spans="1:13" s="21" customFormat="1" x14ac:dyDescent="0.25">
      <c r="A10495" s="22" t="s">
        <v>8</v>
      </c>
      <c r="B10495" s="18" t="str">
        <f>"366255"</f>
        <v>366255</v>
      </c>
      <c r="C10495" s="19" t="s">
        <v>10335</v>
      </c>
      <c r="D10495" s="19" t="s">
        <v>25905</v>
      </c>
      <c r="E10495" s="19" t="s">
        <v>34595</v>
      </c>
      <c r="F10495" s="19" t="s">
        <v>36009</v>
      </c>
      <c r="G10495" s="18" t="str">
        <f>"43527"</f>
        <v>43527</v>
      </c>
      <c r="H10495" s="19" t="s">
        <v>32041</v>
      </c>
      <c r="I10495" s="20">
        <v>16.001000000000001</v>
      </c>
      <c r="J10495" s="44" t="s">
        <v>8</v>
      </c>
      <c r="K10495" s="23" t="s">
        <v>8</v>
      </c>
      <c r="L10495" s="23" t="s">
        <v>8</v>
      </c>
      <c r="M10495" s="23" t="s">
        <v>8</v>
      </c>
    </row>
    <row r="10496" spans="1:13" s="21" customFormat="1" x14ac:dyDescent="0.25">
      <c r="A10496" s="22" t="s">
        <v>8</v>
      </c>
      <c r="B10496" s="18" t="str">
        <f>"366256"</f>
        <v>366256</v>
      </c>
      <c r="C10496" s="19" t="s">
        <v>10336</v>
      </c>
      <c r="D10496" s="19" t="s">
        <v>25906</v>
      </c>
      <c r="E10496" s="19" t="s">
        <v>34412</v>
      </c>
      <c r="F10496" s="19" t="s">
        <v>36009</v>
      </c>
      <c r="G10496" s="18" t="str">
        <f>"45236"</f>
        <v>45236</v>
      </c>
      <c r="H10496" s="19" t="s">
        <v>30804</v>
      </c>
      <c r="I10496" s="20">
        <v>18.074999999999999</v>
      </c>
      <c r="J10496" s="44" t="s">
        <v>8</v>
      </c>
      <c r="K10496" s="23" t="s">
        <v>8</v>
      </c>
      <c r="L10496" s="23" t="s">
        <v>8</v>
      </c>
      <c r="M10496" s="23" t="s">
        <v>8</v>
      </c>
    </row>
    <row r="10497" spans="1:13" s="21" customFormat="1" x14ac:dyDescent="0.25">
      <c r="A10497" s="22" t="s">
        <v>8</v>
      </c>
      <c r="B10497" s="18" t="str">
        <f>"366258"</f>
        <v>366258</v>
      </c>
      <c r="C10497" s="19" t="s">
        <v>10337</v>
      </c>
      <c r="D10497" s="19" t="s">
        <v>25907</v>
      </c>
      <c r="E10497" s="19" t="s">
        <v>32918</v>
      </c>
      <c r="F10497" s="19" t="s">
        <v>36009</v>
      </c>
      <c r="G10497" s="18" t="str">
        <f>"44484"</f>
        <v>44484</v>
      </c>
      <c r="H10497" s="19" t="s">
        <v>31393</v>
      </c>
      <c r="I10497" s="20">
        <v>22.356999999999999</v>
      </c>
      <c r="J10497" s="44" t="s">
        <v>8</v>
      </c>
      <c r="K10497" s="23" t="s">
        <v>8</v>
      </c>
      <c r="L10497" s="23" t="s">
        <v>8</v>
      </c>
      <c r="M10497" s="23" t="s">
        <v>8</v>
      </c>
    </row>
    <row r="10498" spans="1:13" s="21" customFormat="1" x14ac:dyDescent="0.25">
      <c r="A10498" s="22" t="s">
        <v>8</v>
      </c>
      <c r="B10498" s="18" t="str">
        <f>"366259"</f>
        <v>366259</v>
      </c>
      <c r="C10498" s="19" t="s">
        <v>10338</v>
      </c>
      <c r="D10498" s="19" t="s">
        <v>25908</v>
      </c>
      <c r="E10498" s="19" t="s">
        <v>31715</v>
      </c>
      <c r="F10498" s="19" t="s">
        <v>36009</v>
      </c>
      <c r="G10498" s="18" t="str">
        <f>"43207"</f>
        <v>43207</v>
      </c>
      <c r="H10498" s="19" t="s">
        <v>5</v>
      </c>
      <c r="I10498" s="20">
        <v>22.402999999999999</v>
      </c>
      <c r="J10498" s="44" t="s">
        <v>8</v>
      </c>
      <c r="K10498" s="23" t="s">
        <v>8</v>
      </c>
      <c r="L10498" s="23" t="s">
        <v>8</v>
      </c>
      <c r="M10498" s="23" t="s">
        <v>8</v>
      </c>
    </row>
    <row r="10499" spans="1:13" s="21" customFormat="1" x14ac:dyDescent="0.25">
      <c r="A10499" s="22" t="s">
        <v>8</v>
      </c>
      <c r="B10499" s="18" t="str">
        <f>"366260"</f>
        <v>366260</v>
      </c>
      <c r="C10499" s="19" t="s">
        <v>10339</v>
      </c>
      <c r="D10499" s="19" t="s">
        <v>25909</v>
      </c>
      <c r="E10499" s="19" t="s">
        <v>34596</v>
      </c>
      <c r="F10499" s="19" t="s">
        <v>36009</v>
      </c>
      <c r="G10499" s="18" t="str">
        <f>"44683"</f>
        <v>44683</v>
      </c>
      <c r="H10499" s="19" t="s">
        <v>36675</v>
      </c>
      <c r="I10499" s="20">
        <v>20.718</v>
      </c>
      <c r="J10499" s="44" t="s">
        <v>8</v>
      </c>
      <c r="K10499" s="23" t="s">
        <v>8</v>
      </c>
      <c r="L10499" s="23" t="s">
        <v>8</v>
      </c>
      <c r="M10499" s="23" t="s">
        <v>8</v>
      </c>
    </row>
    <row r="10500" spans="1:13" s="21" customFormat="1" x14ac:dyDescent="0.25">
      <c r="A10500" s="22" t="s">
        <v>8</v>
      </c>
      <c r="B10500" s="18" t="str">
        <f>"366261"</f>
        <v>366261</v>
      </c>
      <c r="C10500" s="19" t="s">
        <v>10340</v>
      </c>
      <c r="D10500" s="19" t="s">
        <v>25910</v>
      </c>
      <c r="E10500" s="19" t="s">
        <v>31773</v>
      </c>
      <c r="F10500" s="19" t="s">
        <v>36009</v>
      </c>
      <c r="G10500" s="18" t="str">
        <f>"43713"</f>
        <v>43713</v>
      </c>
      <c r="H10500" s="19" t="s">
        <v>33079</v>
      </c>
      <c r="I10500" s="20">
        <v>18.067</v>
      </c>
      <c r="J10500" s="44" t="s">
        <v>8</v>
      </c>
      <c r="K10500" s="23" t="s">
        <v>8</v>
      </c>
      <c r="L10500" s="23" t="s">
        <v>8</v>
      </c>
      <c r="M10500" s="23" t="s">
        <v>8</v>
      </c>
    </row>
    <row r="10501" spans="1:13" s="21" customFormat="1" x14ac:dyDescent="0.25">
      <c r="A10501" s="22" t="s">
        <v>8</v>
      </c>
      <c r="B10501" s="18" t="str">
        <f>"366263"</f>
        <v>366263</v>
      </c>
      <c r="C10501" s="19" t="s">
        <v>10341</v>
      </c>
      <c r="D10501" s="19" t="s">
        <v>25911</v>
      </c>
      <c r="E10501" s="19" t="s">
        <v>31337</v>
      </c>
      <c r="F10501" s="19" t="s">
        <v>36009</v>
      </c>
      <c r="G10501" s="18" t="str">
        <f>"45322"</f>
        <v>45322</v>
      </c>
      <c r="H10501" s="19" t="s">
        <v>30833</v>
      </c>
      <c r="I10501" s="20">
        <v>17.138999999999999</v>
      </c>
      <c r="J10501" s="44" t="s">
        <v>8</v>
      </c>
      <c r="K10501" s="23" t="s">
        <v>8</v>
      </c>
      <c r="L10501" s="23" t="s">
        <v>8</v>
      </c>
      <c r="M10501" s="23" t="s">
        <v>8</v>
      </c>
    </row>
    <row r="10502" spans="1:13" s="21" customFormat="1" x14ac:dyDescent="0.25">
      <c r="A10502" s="22" t="s">
        <v>8</v>
      </c>
      <c r="B10502" s="18" t="str">
        <f>"366264"</f>
        <v>366264</v>
      </c>
      <c r="C10502" s="19" t="s">
        <v>10342</v>
      </c>
      <c r="D10502" s="19" t="s">
        <v>25912</v>
      </c>
      <c r="E10502" s="19" t="s">
        <v>33082</v>
      </c>
      <c r="F10502" s="19" t="s">
        <v>36009</v>
      </c>
      <c r="G10502" s="18" t="str">
        <f>"44613"</f>
        <v>44613</v>
      </c>
      <c r="H10502" s="19" t="s">
        <v>36240</v>
      </c>
      <c r="I10502" s="20">
        <v>18.981999999999999</v>
      </c>
      <c r="J10502" s="44" t="s">
        <v>8</v>
      </c>
      <c r="K10502" s="23" t="s">
        <v>8</v>
      </c>
      <c r="L10502" s="23" t="s">
        <v>8</v>
      </c>
      <c r="M10502" s="23" t="s">
        <v>8</v>
      </c>
    </row>
    <row r="10503" spans="1:13" s="21" customFormat="1" x14ac:dyDescent="0.25">
      <c r="A10503" s="22" t="s">
        <v>8</v>
      </c>
      <c r="B10503" s="18" t="str">
        <f>"366265"</f>
        <v>366265</v>
      </c>
      <c r="C10503" s="19" t="s">
        <v>10343</v>
      </c>
      <c r="D10503" s="19" t="s">
        <v>25913</v>
      </c>
      <c r="E10503" s="19" t="s">
        <v>34502</v>
      </c>
      <c r="F10503" s="19" t="s">
        <v>36009</v>
      </c>
      <c r="G10503" s="18" t="str">
        <f>"45680"</f>
        <v>45680</v>
      </c>
      <c r="H10503" s="19" t="s">
        <v>32568</v>
      </c>
      <c r="I10503" s="20">
        <v>17.030999999999999</v>
      </c>
      <c r="J10503" s="44" t="s">
        <v>8</v>
      </c>
      <c r="K10503" s="23" t="s">
        <v>8</v>
      </c>
      <c r="L10503" s="23" t="s">
        <v>8</v>
      </c>
      <c r="M10503" s="23" t="s">
        <v>8</v>
      </c>
    </row>
    <row r="10504" spans="1:13" s="21" customFormat="1" x14ac:dyDescent="0.25">
      <c r="A10504" s="22" t="s">
        <v>8</v>
      </c>
      <c r="B10504" s="18" t="str">
        <f>"366266"</f>
        <v>366266</v>
      </c>
      <c r="C10504" s="19" t="s">
        <v>10344</v>
      </c>
      <c r="D10504" s="19" t="s">
        <v>25914</v>
      </c>
      <c r="E10504" s="19" t="s">
        <v>31339</v>
      </c>
      <c r="F10504" s="19" t="s">
        <v>36009</v>
      </c>
      <c r="G10504" s="18" t="str">
        <f>"44107"</f>
        <v>44107</v>
      </c>
      <c r="H10504" s="19" t="s">
        <v>36671</v>
      </c>
      <c r="I10504" s="20">
        <v>19.821000000000002</v>
      </c>
      <c r="J10504" s="44" t="s">
        <v>8</v>
      </c>
      <c r="K10504" s="23" t="s">
        <v>8</v>
      </c>
      <c r="L10504" s="23" t="s">
        <v>8</v>
      </c>
      <c r="M10504" s="23" t="s">
        <v>8</v>
      </c>
    </row>
    <row r="10505" spans="1:13" s="21" customFormat="1" x14ac:dyDescent="0.25">
      <c r="A10505" s="22" t="s">
        <v>8</v>
      </c>
      <c r="B10505" s="18" t="str">
        <f>"366267"</f>
        <v>366267</v>
      </c>
      <c r="C10505" s="19" t="s">
        <v>10345</v>
      </c>
      <c r="D10505" s="19" t="s">
        <v>25915</v>
      </c>
      <c r="E10505" s="19" t="s">
        <v>34597</v>
      </c>
      <c r="F10505" s="19" t="s">
        <v>36009</v>
      </c>
      <c r="G10505" s="18" t="str">
        <f>"44143"</f>
        <v>44143</v>
      </c>
      <c r="H10505" s="19" t="s">
        <v>36671</v>
      </c>
      <c r="I10505" s="20">
        <v>14.898999999999999</v>
      </c>
      <c r="J10505" s="44" t="s">
        <v>8</v>
      </c>
      <c r="K10505" s="23" t="s">
        <v>8</v>
      </c>
      <c r="L10505" s="23" t="s">
        <v>8</v>
      </c>
      <c r="M10505" s="23" t="s">
        <v>8</v>
      </c>
    </row>
    <row r="10506" spans="1:13" s="21" customFormat="1" x14ac:dyDescent="0.25">
      <c r="A10506" s="22" t="s">
        <v>8</v>
      </c>
      <c r="B10506" s="18" t="str">
        <f>"366268"</f>
        <v>366268</v>
      </c>
      <c r="C10506" s="19" t="s">
        <v>10346</v>
      </c>
      <c r="D10506" s="19" t="s">
        <v>25916</v>
      </c>
      <c r="E10506" s="19" t="s">
        <v>31304</v>
      </c>
      <c r="F10506" s="19" t="s">
        <v>36009</v>
      </c>
      <c r="G10506" s="18" t="str">
        <f>"44687"</f>
        <v>44687</v>
      </c>
      <c r="H10506" s="19" t="s">
        <v>34081</v>
      </c>
      <c r="I10506" s="20">
        <v>17.509</v>
      </c>
      <c r="J10506" s="44" t="s">
        <v>8</v>
      </c>
      <c r="K10506" s="23" t="s">
        <v>8</v>
      </c>
      <c r="L10506" s="23" t="s">
        <v>8</v>
      </c>
      <c r="M10506" s="23" t="s">
        <v>8</v>
      </c>
    </row>
    <row r="10507" spans="1:13" s="21" customFormat="1" x14ac:dyDescent="0.25">
      <c r="A10507" s="22" t="s">
        <v>8</v>
      </c>
      <c r="B10507" s="18" t="str">
        <f>"366269"</f>
        <v>366269</v>
      </c>
      <c r="C10507" s="19" t="s">
        <v>10347</v>
      </c>
      <c r="D10507" s="19" t="s">
        <v>25917</v>
      </c>
      <c r="E10507" s="19" t="s">
        <v>34471</v>
      </c>
      <c r="F10507" s="19" t="s">
        <v>36009</v>
      </c>
      <c r="G10507" s="18" t="str">
        <f>"43351"</f>
        <v>43351</v>
      </c>
      <c r="H10507" s="19" t="s">
        <v>36683</v>
      </c>
      <c r="I10507" s="20">
        <v>17.965</v>
      </c>
      <c r="J10507" s="44" t="s">
        <v>8</v>
      </c>
      <c r="K10507" s="23" t="s">
        <v>8</v>
      </c>
      <c r="L10507" s="23" t="s">
        <v>8</v>
      </c>
      <c r="M10507" s="23" t="s">
        <v>8</v>
      </c>
    </row>
    <row r="10508" spans="1:13" s="21" customFormat="1" x14ac:dyDescent="0.25">
      <c r="A10508" s="22" t="s">
        <v>8</v>
      </c>
      <c r="B10508" s="18" t="str">
        <f>"366270"</f>
        <v>366270</v>
      </c>
      <c r="C10508" s="19" t="s">
        <v>10348</v>
      </c>
      <c r="D10508" s="19" t="s">
        <v>25918</v>
      </c>
      <c r="E10508" s="19" t="s">
        <v>34598</v>
      </c>
      <c r="F10508" s="19" t="s">
        <v>36009</v>
      </c>
      <c r="G10508" s="18" t="str">
        <f>"44076"</f>
        <v>44076</v>
      </c>
      <c r="H10508" s="19" t="s">
        <v>34437</v>
      </c>
      <c r="I10508" s="20">
        <v>19.510000000000002</v>
      </c>
      <c r="J10508" s="44" t="s">
        <v>8</v>
      </c>
      <c r="K10508" s="23" t="s">
        <v>8</v>
      </c>
      <c r="L10508" s="23" t="s">
        <v>8</v>
      </c>
      <c r="M10508" s="23" t="s">
        <v>8</v>
      </c>
    </row>
    <row r="10509" spans="1:13" s="21" customFormat="1" x14ac:dyDescent="0.25">
      <c r="A10509" s="22" t="s">
        <v>8</v>
      </c>
      <c r="B10509" s="18" t="str">
        <f>"366271"</f>
        <v>366271</v>
      </c>
      <c r="C10509" s="19" t="s">
        <v>10349</v>
      </c>
      <c r="D10509" s="19" t="s">
        <v>25919</v>
      </c>
      <c r="E10509" s="19" t="s">
        <v>34475</v>
      </c>
      <c r="F10509" s="19" t="s">
        <v>36009</v>
      </c>
      <c r="G10509" s="18" t="str">
        <f>"44614"</f>
        <v>44614</v>
      </c>
      <c r="H10509" s="19" t="s">
        <v>36240</v>
      </c>
      <c r="I10509" s="20">
        <v>18.5</v>
      </c>
      <c r="J10509" s="44" t="s">
        <v>8</v>
      </c>
      <c r="K10509" s="23" t="s">
        <v>8</v>
      </c>
      <c r="L10509" s="23" t="s">
        <v>8</v>
      </c>
      <c r="M10509" s="23" t="s">
        <v>8</v>
      </c>
    </row>
    <row r="10510" spans="1:13" s="21" customFormat="1" x14ac:dyDescent="0.25">
      <c r="A10510" s="22" t="s">
        <v>8</v>
      </c>
      <c r="B10510" s="18" t="str">
        <f>"366272"</f>
        <v>366272</v>
      </c>
      <c r="C10510" s="19" t="s">
        <v>10350</v>
      </c>
      <c r="D10510" s="19" t="s">
        <v>25920</v>
      </c>
      <c r="E10510" s="19" t="s">
        <v>34443</v>
      </c>
      <c r="F10510" s="19" t="s">
        <v>36009</v>
      </c>
      <c r="G10510" s="18" t="str">
        <f>"44070"</f>
        <v>44070</v>
      </c>
      <c r="H10510" s="19" t="s">
        <v>36671</v>
      </c>
      <c r="I10510" s="20">
        <v>20.314</v>
      </c>
      <c r="J10510" s="44" t="s">
        <v>8</v>
      </c>
      <c r="K10510" s="23" t="s">
        <v>8</v>
      </c>
      <c r="L10510" s="23" t="s">
        <v>8</v>
      </c>
      <c r="M10510" s="23" t="s">
        <v>8</v>
      </c>
    </row>
    <row r="10511" spans="1:13" s="21" customFormat="1" x14ac:dyDescent="0.25">
      <c r="A10511" s="22" t="s">
        <v>8</v>
      </c>
      <c r="B10511" s="18" t="str">
        <f>"366273"</f>
        <v>366273</v>
      </c>
      <c r="C10511" s="19" t="s">
        <v>10351</v>
      </c>
      <c r="D10511" s="19" t="s">
        <v>25921</v>
      </c>
      <c r="E10511" s="19" t="s">
        <v>32969</v>
      </c>
      <c r="F10511" s="19" t="s">
        <v>36009</v>
      </c>
      <c r="G10511" s="18" t="str">
        <f>"43725"</f>
        <v>43725</v>
      </c>
      <c r="H10511" s="19" t="s">
        <v>36687</v>
      </c>
      <c r="I10511" s="20">
        <v>22.260999999999999</v>
      </c>
      <c r="J10511" s="44" t="s">
        <v>8</v>
      </c>
      <c r="K10511" s="23" t="s">
        <v>8</v>
      </c>
      <c r="L10511" s="23" t="s">
        <v>8</v>
      </c>
      <c r="M10511" s="23" t="s">
        <v>8</v>
      </c>
    </row>
    <row r="10512" spans="1:13" s="21" customFormat="1" x14ac:dyDescent="0.25">
      <c r="A10512" s="22" t="s">
        <v>8</v>
      </c>
      <c r="B10512" s="18" t="str">
        <f>"366274"</f>
        <v>366274</v>
      </c>
      <c r="C10512" s="19" t="s">
        <v>10352</v>
      </c>
      <c r="D10512" s="19" t="s">
        <v>25922</v>
      </c>
      <c r="E10512" s="19" t="s">
        <v>34599</v>
      </c>
      <c r="F10512" s="19" t="s">
        <v>36009</v>
      </c>
      <c r="G10512" s="18" t="str">
        <f>"44022"</f>
        <v>44022</v>
      </c>
      <c r="H10512" s="19" t="s">
        <v>36671</v>
      </c>
      <c r="I10512" s="20">
        <v>19.048999999999999</v>
      </c>
      <c r="J10512" s="44" t="s">
        <v>8</v>
      </c>
      <c r="K10512" s="23" t="s">
        <v>8</v>
      </c>
      <c r="L10512" s="23" t="s">
        <v>8</v>
      </c>
      <c r="M10512" s="23" t="s">
        <v>8</v>
      </c>
    </row>
    <row r="10513" spans="1:13" s="21" customFormat="1" x14ac:dyDescent="0.25">
      <c r="A10513" s="22" t="s">
        <v>8</v>
      </c>
      <c r="B10513" s="18" t="str">
        <f>"366275"</f>
        <v>366275</v>
      </c>
      <c r="C10513" s="19" t="s">
        <v>10353</v>
      </c>
      <c r="D10513" s="19" t="s">
        <v>25923</v>
      </c>
      <c r="E10513" s="19" t="s">
        <v>33352</v>
      </c>
      <c r="F10513" s="19" t="s">
        <v>36009</v>
      </c>
      <c r="G10513" s="18" t="str">
        <f>"44067"</f>
        <v>44067</v>
      </c>
      <c r="H10513" s="19" t="s">
        <v>36107</v>
      </c>
      <c r="I10513" s="20">
        <v>17.297000000000001</v>
      </c>
      <c r="J10513" s="44" t="s">
        <v>8</v>
      </c>
      <c r="K10513" s="23" t="s">
        <v>8</v>
      </c>
      <c r="L10513" s="23" t="s">
        <v>8</v>
      </c>
      <c r="M10513" s="23" t="s">
        <v>8</v>
      </c>
    </row>
    <row r="10514" spans="1:13" s="21" customFormat="1" x14ac:dyDescent="0.25">
      <c r="A10514" s="22" t="s">
        <v>8</v>
      </c>
      <c r="B10514" s="18" t="str">
        <f>"366277"</f>
        <v>366277</v>
      </c>
      <c r="C10514" s="19" t="s">
        <v>10354</v>
      </c>
      <c r="D10514" s="19" t="s">
        <v>25924</v>
      </c>
      <c r="E10514" s="19" t="s">
        <v>33765</v>
      </c>
      <c r="F10514" s="19" t="s">
        <v>36009</v>
      </c>
      <c r="G10514" s="18" t="str">
        <f>"44601"</f>
        <v>44601</v>
      </c>
      <c r="H10514" s="19" t="s">
        <v>36240</v>
      </c>
      <c r="I10514" s="20">
        <v>20.231999999999999</v>
      </c>
      <c r="J10514" s="44" t="s">
        <v>8</v>
      </c>
      <c r="K10514" s="23" t="s">
        <v>8</v>
      </c>
      <c r="L10514" s="23" t="s">
        <v>8</v>
      </c>
      <c r="M10514" s="23" t="s">
        <v>8</v>
      </c>
    </row>
    <row r="10515" spans="1:13" s="21" customFormat="1" x14ac:dyDescent="0.25">
      <c r="A10515" s="22" t="s">
        <v>8</v>
      </c>
      <c r="B10515" s="18" t="str">
        <f>"366278"</f>
        <v>366278</v>
      </c>
      <c r="C10515" s="19" t="s">
        <v>10355</v>
      </c>
      <c r="D10515" s="19" t="s">
        <v>25925</v>
      </c>
      <c r="E10515" s="19" t="s">
        <v>34527</v>
      </c>
      <c r="F10515" s="19" t="s">
        <v>36009</v>
      </c>
      <c r="G10515" s="18" t="str">
        <f>"44224"</f>
        <v>44224</v>
      </c>
      <c r="H10515" s="19" t="s">
        <v>36107</v>
      </c>
      <c r="I10515" s="20">
        <v>17.202999999999999</v>
      </c>
      <c r="J10515" s="44" t="s">
        <v>8</v>
      </c>
      <c r="K10515" s="23" t="s">
        <v>8</v>
      </c>
      <c r="L10515" s="23" t="s">
        <v>8</v>
      </c>
      <c r="M10515" s="23" t="s">
        <v>8</v>
      </c>
    </row>
    <row r="10516" spans="1:13" s="21" customFormat="1" x14ac:dyDescent="0.25">
      <c r="A10516" s="22" t="s">
        <v>8</v>
      </c>
      <c r="B10516" s="18" t="str">
        <f>"366279"</f>
        <v>366279</v>
      </c>
      <c r="C10516" s="19" t="s">
        <v>10356</v>
      </c>
      <c r="D10516" s="19" t="s">
        <v>25926</v>
      </c>
      <c r="E10516" s="19" t="s">
        <v>31804</v>
      </c>
      <c r="F10516" s="19" t="s">
        <v>36009</v>
      </c>
      <c r="G10516" s="18" t="str">
        <f>"43560"</f>
        <v>43560</v>
      </c>
      <c r="H10516" s="19" t="s">
        <v>36287</v>
      </c>
      <c r="I10516" s="20">
        <v>22.077000000000002</v>
      </c>
      <c r="J10516" s="44" t="s">
        <v>8</v>
      </c>
      <c r="K10516" s="23" t="s">
        <v>8</v>
      </c>
      <c r="L10516" s="23" t="s">
        <v>8</v>
      </c>
      <c r="M10516" s="23" t="s">
        <v>8</v>
      </c>
    </row>
    <row r="10517" spans="1:13" s="21" customFormat="1" x14ac:dyDescent="0.25">
      <c r="A10517" s="22" t="s">
        <v>8</v>
      </c>
      <c r="B10517" s="18" t="str">
        <f>"366280"</f>
        <v>366280</v>
      </c>
      <c r="C10517" s="19" t="s">
        <v>10357</v>
      </c>
      <c r="D10517" s="19" t="s">
        <v>25927</v>
      </c>
      <c r="E10517" s="19" t="s">
        <v>31375</v>
      </c>
      <c r="F10517" s="19" t="s">
        <v>36009</v>
      </c>
      <c r="G10517" s="18" t="str">
        <f>"44319"</f>
        <v>44319</v>
      </c>
      <c r="H10517" s="19" t="s">
        <v>36107</v>
      </c>
      <c r="I10517" s="20">
        <v>22.27</v>
      </c>
      <c r="J10517" s="44" t="s">
        <v>8</v>
      </c>
      <c r="K10517" s="23" t="s">
        <v>8</v>
      </c>
      <c r="L10517" s="23" t="s">
        <v>8</v>
      </c>
      <c r="M10517" s="23" t="s">
        <v>8</v>
      </c>
    </row>
    <row r="10518" spans="1:13" s="21" customFormat="1" x14ac:dyDescent="0.25">
      <c r="A10518" s="22" t="s">
        <v>8</v>
      </c>
      <c r="B10518" s="18" t="str">
        <f>"366281"</f>
        <v>366281</v>
      </c>
      <c r="C10518" s="19" t="s">
        <v>10358</v>
      </c>
      <c r="D10518" s="19" t="s">
        <v>25928</v>
      </c>
      <c r="E10518" s="19" t="s">
        <v>34600</v>
      </c>
      <c r="F10518" s="19" t="s">
        <v>36009</v>
      </c>
      <c r="G10518" s="18" t="str">
        <f>"44483"</f>
        <v>44483</v>
      </c>
      <c r="H10518" s="19" t="s">
        <v>31393</v>
      </c>
      <c r="I10518" s="20">
        <v>20.370999999999999</v>
      </c>
      <c r="J10518" s="44" t="s">
        <v>8</v>
      </c>
      <c r="K10518" s="23" t="s">
        <v>8</v>
      </c>
      <c r="L10518" s="23" t="s">
        <v>8</v>
      </c>
      <c r="M10518" s="23" t="s">
        <v>8</v>
      </c>
    </row>
    <row r="10519" spans="1:13" s="21" customFormat="1" x14ac:dyDescent="0.25">
      <c r="A10519" s="22" t="s">
        <v>8</v>
      </c>
      <c r="B10519" s="18" t="str">
        <f>"366282"</f>
        <v>366282</v>
      </c>
      <c r="C10519" s="19" t="s">
        <v>10359</v>
      </c>
      <c r="D10519" s="19" t="s">
        <v>25929</v>
      </c>
      <c r="E10519" s="19" t="s">
        <v>30861</v>
      </c>
      <c r="F10519" s="19" t="s">
        <v>36009</v>
      </c>
      <c r="G10519" s="18" t="str">
        <f>"45056"</f>
        <v>45056</v>
      </c>
      <c r="H10519" s="19" t="s">
        <v>30876</v>
      </c>
      <c r="I10519" s="20">
        <v>17.28</v>
      </c>
      <c r="J10519" s="44" t="s">
        <v>8</v>
      </c>
      <c r="K10519" s="23" t="s">
        <v>8</v>
      </c>
      <c r="L10519" s="23" t="s">
        <v>8</v>
      </c>
      <c r="M10519" s="23" t="s">
        <v>8</v>
      </c>
    </row>
    <row r="10520" spans="1:13" s="21" customFormat="1" x14ac:dyDescent="0.25">
      <c r="A10520" s="22" t="s">
        <v>8</v>
      </c>
      <c r="B10520" s="18" t="str">
        <f>"366284"</f>
        <v>366284</v>
      </c>
      <c r="C10520" s="19" t="s">
        <v>10360</v>
      </c>
      <c r="D10520" s="19" t="s">
        <v>25930</v>
      </c>
      <c r="E10520" s="19" t="s">
        <v>34439</v>
      </c>
      <c r="F10520" s="19" t="s">
        <v>36009</v>
      </c>
      <c r="G10520" s="18" t="str">
        <f>"44646"</f>
        <v>44646</v>
      </c>
      <c r="H10520" s="19" t="s">
        <v>36240</v>
      </c>
      <c r="I10520" s="20">
        <v>19.448</v>
      </c>
      <c r="J10520" s="44" t="s">
        <v>8</v>
      </c>
      <c r="K10520" s="23" t="s">
        <v>8</v>
      </c>
      <c r="L10520" s="23" t="s">
        <v>8</v>
      </c>
      <c r="M10520" s="23" t="s">
        <v>8</v>
      </c>
    </row>
    <row r="10521" spans="1:13" s="21" customFormat="1" x14ac:dyDescent="0.25">
      <c r="A10521" s="22" t="s">
        <v>8</v>
      </c>
      <c r="B10521" s="18" t="str">
        <f>"366285"</f>
        <v>366285</v>
      </c>
      <c r="C10521" s="19" t="s">
        <v>10361</v>
      </c>
      <c r="D10521" s="19" t="s">
        <v>25931</v>
      </c>
      <c r="E10521" s="19" t="s">
        <v>34601</v>
      </c>
      <c r="F10521" s="19" t="s">
        <v>36009</v>
      </c>
      <c r="G10521" s="18" t="str">
        <f>"43947"</f>
        <v>43947</v>
      </c>
      <c r="H10521" s="19" t="s">
        <v>33079</v>
      </c>
      <c r="I10521" s="20">
        <v>18.542000000000002</v>
      </c>
      <c r="J10521" s="44" t="s">
        <v>8</v>
      </c>
      <c r="K10521" s="23" t="s">
        <v>8</v>
      </c>
      <c r="L10521" s="23" t="s">
        <v>8</v>
      </c>
      <c r="M10521" s="23" t="s">
        <v>8</v>
      </c>
    </row>
    <row r="10522" spans="1:13" s="21" customFormat="1" x14ac:dyDescent="0.25">
      <c r="A10522" s="22" t="s">
        <v>8</v>
      </c>
      <c r="B10522" s="18" t="str">
        <f>"366286"</f>
        <v>366286</v>
      </c>
      <c r="C10522" s="19" t="s">
        <v>10362</v>
      </c>
      <c r="D10522" s="19" t="s">
        <v>25932</v>
      </c>
      <c r="E10522" s="19" t="s">
        <v>34459</v>
      </c>
      <c r="F10522" s="19" t="s">
        <v>36009</v>
      </c>
      <c r="G10522" s="18" t="str">
        <f>"43701"</f>
        <v>43701</v>
      </c>
      <c r="H10522" s="19" t="s">
        <v>36680</v>
      </c>
      <c r="I10522" s="20">
        <v>17.02</v>
      </c>
      <c r="J10522" s="44" t="s">
        <v>8</v>
      </c>
      <c r="K10522" s="23" t="s">
        <v>8</v>
      </c>
      <c r="L10522" s="23" t="s">
        <v>8</v>
      </c>
      <c r="M10522" s="23" t="s">
        <v>8</v>
      </c>
    </row>
    <row r="10523" spans="1:13" s="21" customFormat="1" x14ac:dyDescent="0.25">
      <c r="A10523" s="22" t="s">
        <v>8</v>
      </c>
      <c r="B10523" s="18" t="str">
        <f>"366288"</f>
        <v>366288</v>
      </c>
      <c r="C10523" s="19" t="s">
        <v>10363</v>
      </c>
      <c r="D10523" s="19" t="s">
        <v>25933</v>
      </c>
      <c r="E10523" s="19" t="s">
        <v>34602</v>
      </c>
      <c r="F10523" s="19" t="s">
        <v>36009</v>
      </c>
      <c r="G10523" s="18" t="str">
        <f>"45102"</f>
        <v>45102</v>
      </c>
      <c r="H10523" s="19" t="s">
        <v>31621</v>
      </c>
      <c r="I10523" s="20">
        <v>18.507999999999999</v>
      </c>
      <c r="J10523" s="44" t="s">
        <v>8</v>
      </c>
      <c r="K10523" s="23" t="s">
        <v>8</v>
      </c>
      <c r="L10523" s="23" t="s">
        <v>8</v>
      </c>
      <c r="M10523" s="23" t="s">
        <v>8</v>
      </c>
    </row>
    <row r="10524" spans="1:13" s="21" customFormat="1" x14ac:dyDescent="0.25">
      <c r="A10524" s="22" t="s">
        <v>8</v>
      </c>
      <c r="B10524" s="18" t="str">
        <f>"366289"</f>
        <v>366289</v>
      </c>
      <c r="C10524" s="19" t="s">
        <v>10364</v>
      </c>
      <c r="D10524" s="19" t="s">
        <v>25934</v>
      </c>
      <c r="E10524" s="19" t="s">
        <v>34539</v>
      </c>
      <c r="F10524" s="19" t="s">
        <v>36009</v>
      </c>
      <c r="G10524" s="18" t="str">
        <f>"44321"</f>
        <v>44321</v>
      </c>
      <c r="H10524" s="19" t="s">
        <v>36107</v>
      </c>
      <c r="I10524" s="20">
        <v>18.242000000000001</v>
      </c>
      <c r="J10524" s="44" t="s">
        <v>8</v>
      </c>
      <c r="K10524" s="23" t="s">
        <v>8</v>
      </c>
      <c r="L10524" s="23" t="s">
        <v>8</v>
      </c>
      <c r="M10524" s="23" t="s">
        <v>8</v>
      </c>
    </row>
    <row r="10525" spans="1:13" s="21" customFormat="1" x14ac:dyDescent="0.25">
      <c r="A10525" s="22" t="s">
        <v>8</v>
      </c>
      <c r="B10525" s="18" t="str">
        <f>"366290"</f>
        <v>366290</v>
      </c>
      <c r="C10525" s="19" t="s">
        <v>10365</v>
      </c>
      <c r="D10525" s="19" t="s">
        <v>25935</v>
      </c>
      <c r="E10525" s="19" t="s">
        <v>34603</v>
      </c>
      <c r="F10525" s="19" t="s">
        <v>36009</v>
      </c>
      <c r="G10525" s="18" t="str">
        <f>"43502"</f>
        <v>43502</v>
      </c>
      <c r="H10525" s="19" t="s">
        <v>32194</v>
      </c>
      <c r="I10525" s="20">
        <v>17.364000000000001</v>
      </c>
      <c r="J10525" s="44" t="s">
        <v>8</v>
      </c>
      <c r="K10525" s="23" t="s">
        <v>8</v>
      </c>
      <c r="L10525" s="23" t="s">
        <v>8</v>
      </c>
      <c r="M10525" s="23" t="s">
        <v>8</v>
      </c>
    </row>
    <row r="10526" spans="1:13" s="21" customFormat="1" x14ac:dyDescent="0.25">
      <c r="A10526" s="22" t="s">
        <v>8</v>
      </c>
      <c r="B10526" s="18" t="str">
        <f>"366291"</f>
        <v>366291</v>
      </c>
      <c r="C10526" s="19" t="s">
        <v>10366</v>
      </c>
      <c r="D10526" s="19" t="s">
        <v>25936</v>
      </c>
      <c r="E10526" s="19" t="s">
        <v>34604</v>
      </c>
      <c r="F10526" s="19" t="s">
        <v>36009</v>
      </c>
      <c r="G10526" s="18" t="str">
        <f>"45327"</f>
        <v>45327</v>
      </c>
      <c r="H10526" s="19" t="s">
        <v>30833</v>
      </c>
      <c r="I10526" s="20">
        <v>19.491</v>
      </c>
      <c r="J10526" s="44" t="s">
        <v>8</v>
      </c>
      <c r="K10526" s="23" t="s">
        <v>8</v>
      </c>
      <c r="L10526" s="23" t="s">
        <v>8</v>
      </c>
      <c r="M10526" s="23" t="s">
        <v>8</v>
      </c>
    </row>
    <row r="10527" spans="1:13" s="21" customFormat="1" x14ac:dyDescent="0.25">
      <c r="A10527" s="22" t="s">
        <v>8</v>
      </c>
      <c r="B10527" s="18" t="str">
        <f>"366292"</f>
        <v>366292</v>
      </c>
      <c r="C10527" s="19" t="s">
        <v>10367</v>
      </c>
      <c r="D10527" s="19" t="s">
        <v>25937</v>
      </c>
      <c r="E10527" s="19" t="s">
        <v>32505</v>
      </c>
      <c r="F10527" s="19" t="s">
        <v>36009</v>
      </c>
      <c r="G10527" s="18" t="str">
        <f>"43606"</f>
        <v>43606</v>
      </c>
      <c r="H10527" s="19" t="s">
        <v>36287</v>
      </c>
      <c r="I10527" s="20">
        <v>19.277000000000001</v>
      </c>
      <c r="J10527" s="44" t="s">
        <v>8</v>
      </c>
      <c r="K10527" s="23" t="s">
        <v>8</v>
      </c>
      <c r="L10527" s="23" t="s">
        <v>8</v>
      </c>
      <c r="M10527" s="23" t="s">
        <v>8</v>
      </c>
    </row>
    <row r="10528" spans="1:13" s="21" customFormat="1" x14ac:dyDescent="0.25">
      <c r="A10528" s="22" t="s">
        <v>8</v>
      </c>
      <c r="B10528" s="18" t="str">
        <f>"366294"</f>
        <v>366294</v>
      </c>
      <c r="C10528" s="19" t="s">
        <v>10368</v>
      </c>
      <c r="D10528" s="19" t="s">
        <v>25938</v>
      </c>
      <c r="E10528" s="19" t="s">
        <v>34439</v>
      </c>
      <c r="F10528" s="19" t="s">
        <v>36009</v>
      </c>
      <c r="G10528" s="18" t="str">
        <f>"44646"</f>
        <v>44646</v>
      </c>
      <c r="H10528" s="19" t="s">
        <v>36240</v>
      </c>
      <c r="I10528" s="20">
        <v>18.664999999999999</v>
      </c>
      <c r="J10528" s="44" t="s">
        <v>8</v>
      </c>
      <c r="K10528" s="23" t="s">
        <v>8</v>
      </c>
      <c r="L10528" s="23" t="s">
        <v>8</v>
      </c>
      <c r="M10528" s="23" t="s">
        <v>8</v>
      </c>
    </row>
    <row r="10529" spans="1:13" s="21" customFormat="1" x14ac:dyDescent="0.25">
      <c r="A10529" s="22" t="s">
        <v>8</v>
      </c>
      <c r="B10529" s="18" t="str">
        <f>"366295"</f>
        <v>366295</v>
      </c>
      <c r="C10529" s="19" t="s">
        <v>10369</v>
      </c>
      <c r="D10529" s="19" t="s">
        <v>25939</v>
      </c>
      <c r="E10529" s="19" t="s">
        <v>34421</v>
      </c>
      <c r="F10529" s="19" t="s">
        <v>36009</v>
      </c>
      <c r="G10529" s="18" t="str">
        <f>"44505"</f>
        <v>44505</v>
      </c>
      <c r="H10529" s="19" t="s">
        <v>36674</v>
      </c>
      <c r="I10529" s="20">
        <v>19.228000000000002</v>
      </c>
      <c r="J10529" s="44" t="s">
        <v>8</v>
      </c>
      <c r="K10529" s="23" t="s">
        <v>8</v>
      </c>
      <c r="L10529" s="23" t="s">
        <v>8</v>
      </c>
      <c r="M10529" s="23" t="s">
        <v>8</v>
      </c>
    </row>
    <row r="10530" spans="1:13" s="21" customFormat="1" x14ac:dyDescent="0.25">
      <c r="A10530" s="22" t="s">
        <v>8</v>
      </c>
      <c r="B10530" s="18" t="str">
        <f>"366296"</f>
        <v>366296</v>
      </c>
      <c r="C10530" s="19" t="s">
        <v>10370</v>
      </c>
      <c r="D10530" s="19" t="s">
        <v>25940</v>
      </c>
      <c r="E10530" s="19" t="s">
        <v>32035</v>
      </c>
      <c r="F10530" s="19" t="s">
        <v>36009</v>
      </c>
      <c r="G10530" s="18" t="str">
        <f>"45036"</f>
        <v>45036</v>
      </c>
      <c r="H10530" s="19" t="s">
        <v>31025</v>
      </c>
      <c r="I10530" s="20">
        <v>18.326000000000001</v>
      </c>
      <c r="J10530" s="44" t="s">
        <v>8</v>
      </c>
      <c r="K10530" s="23" t="s">
        <v>8</v>
      </c>
      <c r="L10530" s="23" t="s">
        <v>8</v>
      </c>
      <c r="M10530" s="23" t="s">
        <v>8</v>
      </c>
    </row>
    <row r="10531" spans="1:13" s="21" customFormat="1" x14ac:dyDescent="0.25">
      <c r="A10531" s="22" t="s">
        <v>8</v>
      </c>
      <c r="B10531" s="18" t="str">
        <f>"366297"</f>
        <v>366297</v>
      </c>
      <c r="C10531" s="19" t="s">
        <v>10371</v>
      </c>
      <c r="D10531" s="19" t="s">
        <v>25941</v>
      </c>
      <c r="E10531" s="19" t="s">
        <v>34426</v>
      </c>
      <c r="F10531" s="19" t="s">
        <v>36009</v>
      </c>
      <c r="G10531" s="18" t="str">
        <f>"45805"</f>
        <v>45805</v>
      </c>
      <c r="H10531" s="19" t="s">
        <v>34710</v>
      </c>
      <c r="I10531" s="20">
        <v>15.563000000000001</v>
      </c>
      <c r="J10531" s="44" t="s">
        <v>8</v>
      </c>
      <c r="K10531" s="23" t="s">
        <v>8</v>
      </c>
      <c r="L10531" s="23" t="s">
        <v>8</v>
      </c>
      <c r="M10531" s="23" t="s">
        <v>8</v>
      </c>
    </row>
    <row r="10532" spans="1:13" s="21" customFormat="1" x14ac:dyDescent="0.25">
      <c r="A10532" s="22" t="s">
        <v>8</v>
      </c>
      <c r="B10532" s="18" t="str">
        <f>"366298"</f>
        <v>366298</v>
      </c>
      <c r="C10532" s="19" t="s">
        <v>10372</v>
      </c>
      <c r="D10532" s="19" t="s">
        <v>25942</v>
      </c>
      <c r="E10532" s="19" t="s">
        <v>31791</v>
      </c>
      <c r="F10532" s="19" t="s">
        <v>36009</v>
      </c>
      <c r="G10532" s="18" t="str">
        <f>"44718"</f>
        <v>44718</v>
      </c>
      <c r="H10532" s="19" t="s">
        <v>36240</v>
      </c>
      <c r="I10532" s="20">
        <v>17.584</v>
      </c>
      <c r="J10532" s="44" t="s">
        <v>8</v>
      </c>
      <c r="K10532" s="23" t="s">
        <v>8</v>
      </c>
      <c r="L10532" s="23" t="s">
        <v>8</v>
      </c>
      <c r="M10532" s="23" t="s">
        <v>8</v>
      </c>
    </row>
    <row r="10533" spans="1:13" s="21" customFormat="1" x14ac:dyDescent="0.25">
      <c r="A10533" s="22" t="s">
        <v>8</v>
      </c>
      <c r="B10533" s="18" t="str">
        <f>"366299"</f>
        <v>366299</v>
      </c>
      <c r="C10533" s="19" t="s">
        <v>10373</v>
      </c>
      <c r="D10533" s="19" t="s">
        <v>25943</v>
      </c>
      <c r="E10533" s="19" t="s">
        <v>34479</v>
      </c>
      <c r="F10533" s="19" t="s">
        <v>36009</v>
      </c>
      <c r="G10533" s="18" t="str">
        <f>"43011"</f>
        <v>43011</v>
      </c>
      <c r="H10533" s="19" t="s">
        <v>32252</v>
      </c>
      <c r="I10533" s="20">
        <v>20.300999999999998</v>
      </c>
      <c r="J10533" s="44" t="s">
        <v>8</v>
      </c>
      <c r="K10533" s="23" t="s">
        <v>8</v>
      </c>
      <c r="L10533" s="23" t="s">
        <v>8</v>
      </c>
      <c r="M10533" s="23" t="s">
        <v>8</v>
      </c>
    </row>
    <row r="10534" spans="1:13" s="21" customFormat="1" x14ac:dyDescent="0.25">
      <c r="A10534" s="22" t="s">
        <v>8</v>
      </c>
      <c r="B10534" s="18" t="str">
        <f>"366300"</f>
        <v>366300</v>
      </c>
      <c r="C10534" s="19" t="s">
        <v>10374</v>
      </c>
      <c r="D10534" s="19" t="s">
        <v>25944</v>
      </c>
      <c r="E10534" s="19" t="s">
        <v>31791</v>
      </c>
      <c r="F10534" s="19" t="s">
        <v>36009</v>
      </c>
      <c r="G10534" s="18" t="str">
        <f>"44709"</f>
        <v>44709</v>
      </c>
      <c r="H10534" s="19" t="s">
        <v>36240</v>
      </c>
      <c r="I10534" s="20">
        <v>20.67</v>
      </c>
      <c r="J10534" s="44" t="s">
        <v>8</v>
      </c>
      <c r="K10534" s="23" t="s">
        <v>8</v>
      </c>
      <c r="L10534" s="23" t="s">
        <v>8</v>
      </c>
      <c r="M10534" s="23" t="s">
        <v>8</v>
      </c>
    </row>
    <row r="10535" spans="1:13" s="21" customFormat="1" x14ac:dyDescent="0.25">
      <c r="A10535" s="22" t="s">
        <v>8</v>
      </c>
      <c r="B10535" s="18" t="str">
        <f>"366301"</f>
        <v>366301</v>
      </c>
      <c r="C10535" s="19" t="s">
        <v>10375</v>
      </c>
      <c r="D10535" s="19" t="s">
        <v>25945</v>
      </c>
      <c r="E10535" s="19" t="s">
        <v>34575</v>
      </c>
      <c r="F10535" s="19" t="s">
        <v>36009</v>
      </c>
      <c r="G10535" s="18" t="str">
        <f>"45069"</f>
        <v>45069</v>
      </c>
      <c r="H10535" s="19" t="s">
        <v>30876</v>
      </c>
      <c r="I10535" s="20">
        <v>21.404</v>
      </c>
      <c r="J10535" s="44" t="s">
        <v>8</v>
      </c>
      <c r="K10535" s="23" t="s">
        <v>8</v>
      </c>
      <c r="L10535" s="23" t="s">
        <v>8</v>
      </c>
      <c r="M10535" s="23" t="s">
        <v>8</v>
      </c>
    </row>
    <row r="10536" spans="1:13" s="21" customFormat="1" x14ac:dyDescent="0.25">
      <c r="A10536" s="22" t="s">
        <v>8</v>
      </c>
      <c r="B10536" s="18" t="str">
        <f>"366302"</f>
        <v>366302</v>
      </c>
      <c r="C10536" s="19" t="s">
        <v>10376</v>
      </c>
      <c r="D10536" s="19" t="s">
        <v>25946</v>
      </c>
      <c r="E10536" s="19" t="s">
        <v>34605</v>
      </c>
      <c r="F10536" s="19" t="s">
        <v>36009</v>
      </c>
      <c r="G10536" s="18" t="str">
        <f>"45426"</f>
        <v>45426</v>
      </c>
      <c r="H10536" s="19" t="s">
        <v>30833</v>
      </c>
      <c r="I10536" s="20">
        <v>20.265999999999998</v>
      </c>
      <c r="J10536" s="44" t="s">
        <v>8</v>
      </c>
      <c r="K10536" s="23" t="s">
        <v>8</v>
      </c>
      <c r="L10536" s="23" t="s">
        <v>8</v>
      </c>
      <c r="M10536" s="23" t="s">
        <v>8</v>
      </c>
    </row>
    <row r="10537" spans="1:13" s="21" customFormat="1" x14ac:dyDescent="0.25">
      <c r="A10537" s="22" t="s">
        <v>8</v>
      </c>
      <c r="B10537" s="18" t="str">
        <f>"366303"</f>
        <v>366303</v>
      </c>
      <c r="C10537" s="19" t="s">
        <v>10377</v>
      </c>
      <c r="D10537" s="19" t="s">
        <v>25947</v>
      </c>
      <c r="E10537" s="19" t="s">
        <v>31715</v>
      </c>
      <c r="F10537" s="19" t="s">
        <v>36009</v>
      </c>
      <c r="G10537" s="18" t="str">
        <f>"43235"</f>
        <v>43235</v>
      </c>
      <c r="H10537" s="19" t="s">
        <v>5</v>
      </c>
      <c r="I10537" s="20">
        <v>21.206</v>
      </c>
      <c r="J10537" s="44" t="s">
        <v>8</v>
      </c>
      <c r="K10537" s="23" t="s">
        <v>8</v>
      </c>
      <c r="L10537" s="23" t="s">
        <v>8</v>
      </c>
      <c r="M10537" s="23" t="s">
        <v>8</v>
      </c>
    </row>
    <row r="10538" spans="1:13" s="21" customFormat="1" x14ac:dyDescent="0.25">
      <c r="A10538" s="22" t="s">
        <v>8</v>
      </c>
      <c r="B10538" s="18" t="str">
        <f>"366304"</f>
        <v>366304</v>
      </c>
      <c r="C10538" s="19" t="s">
        <v>10378</v>
      </c>
      <c r="D10538" s="19" t="s">
        <v>25948</v>
      </c>
      <c r="E10538" s="19" t="s">
        <v>30850</v>
      </c>
      <c r="F10538" s="19" t="s">
        <v>36009</v>
      </c>
      <c r="G10538" s="18" t="str">
        <f>"43302"</f>
        <v>43302</v>
      </c>
      <c r="H10538" s="19" t="s">
        <v>30850</v>
      </c>
      <c r="I10538" s="20">
        <v>19.07</v>
      </c>
      <c r="J10538" s="44" t="s">
        <v>8</v>
      </c>
      <c r="K10538" s="23" t="s">
        <v>8</v>
      </c>
      <c r="L10538" s="23" t="s">
        <v>8</v>
      </c>
      <c r="M10538" s="23" t="s">
        <v>8</v>
      </c>
    </row>
    <row r="10539" spans="1:13" s="21" customFormat="1" x14ac:dyDescent="0.25">
      <c r="A10539" s="22" t="s">
        <v>8</v>
      </c>
      <c r="B10539" s="18" t="str">
        <f>"366305"</f>
        <v>366305</v>
      </c>
      <c r="C10539" s="19" t="s">
        <v>10379</v>
      </c>
      <c r="D10539" s="19" t="s">
        <v>25949</v>
      </c>
      <c r="E10539" s="19" t="s">
        <v>31804</v>
      </c>
      <c r="F10539" s="19" t="s">
        <v>36009</v>
      </c>
      <c r="G10539" s="18" t="str">
        <f>"43560"</f>
        <v>43560</v>
      </c>
      <c r="H10539" s="19" t="s">
        <v>36287</v>
      </c>
      <c r="I10539" s="20">
        <v>17.228000000000002</v>
      </c>
      <c r="J10539" s="44" t="s">
        <v>8</v>
      </c>
      <c r="K10539" s="23" t="s">
        <v>8</v>
      </c>
      <c r="L10539" s="23" t="s">
        <v>8</v>
      </c>
      <c r="M10539" s="23" t="s">
        <v>8</v>
      </c>
    </row>
    <row r="10540" spans="1:13" s="21" customFormat="1" x14ac:dyDescent="0.25">
      <c r="A10540" s="22" t="s">
        <v>8</v>
      </c>
      <c r="B10540" s="18" t="str">
        <f>"366306"</f>
        <v>366306</v>
      </c>
      <c r="C10540" s="19" t="s">
        <v>10380</v>
      </c>
      <c r="D10540" s="19" t="s">
        <v>25950</v>
      </c>
      <c r="E10540" s="19" t="s">
        <v>34606</v>
      </c>
      <c r="F10540" s="19" t="s">
        <v>36009</v>
      </c>
      <c r="G10540" s="18" t="str">
        <f>"43920"</f>
        <v>43920</v>
      </c>
      <c r="H10540" s="19" t="s">
        <v>30927</v>
      </c>
      <c r="I10540" s="20">
        <v>20.021000000000001</v>
      </c>
      <c r="J10540" s="44" t="s">
        <v>8</v>
      </c>
      <c r="K10540" s="23" t="s">
        <v>8</v>
      </c>
      <c r="L10540" s="23" t="s">
        <v>8</v>
      </c>
      <c r="M10540" s="23" t="s">
        <v>8</v>
      </c>
    </row>
    <row r="10541" spans="1:13" s="21" customFormat="1" x14ac:dyDescent="0.25">
      <c r="A10541" s="22" t="s">
        <v>8</v>
      </c>
      <c r="B10541" s="18" t="str">
        <f>"366308"</f>
        <v>366308</v>
      </c>
      <c r="C10541" s="19" t="s">
        <v>10381</v>
      </c>
      <c r="D10541" s="19" t="s">
        <v>25951</v>
      </c>
      <c r="E10541" s="19" t="s">
        <v>31810</v>
      </c>
      <c r="F10541" s="19" t="s">
        <v>36009</v>
      </c>
      <c r="G10541" s="18" t="str">
        <f>"44102"</f>
        <v>44102</v>
      </c>
      <c r="H10541" s="19" t="s">
        <v>36671</v>
      </c>
      <c r="I10541" s="20">
        <v>19.263000000000002</v>
      </c>
      <c r="J10541" s="44" t="s">
        <v>8</v>
      </c>
      <c r="K10541" s="23" t="s">
        <v>8</v>
      </c>
      <c r="L10541" s="23" t="s">
        <v>8</v>
      </c>
      <c r="M10541" s="23" t="s">
        <v>8</v>
      </c>
    </row>
    <row r="10542" spans="1:13" s="21" customFormat="1" x14ac:dyDescent="0.25">
      <c r="A10542" s="22" t="s">
        <v>8</v>
      </c>
      <c r="B10542" s="18" t="str">
        <f>"366309"</f>
        <v>366309</v>
      </c>
      <c r="C10542" s="19" t="s">
        <v>10382</v>
      </c>
      <c r="D10542" s="19" t="s">
        <v>25952</v>
      </c>
      <c r="E10542" s="19" t="s">
        <v>34606</v>
      </c>
      <c r="F10542" s="19" t="s">
        <v>36009</v>
      </c>
      <c r="G10542" s="18" t="str">
        <f>"43920"</f>
        <v>43920</v>
      </c>
      <c r="H10542" s="19" t="s">
        <v>30927</v>
      </c>
      <c r="I10542" s="20">
        <v>19.783000000000001</v>
      </c>
      <c r="J10542" s="44" t="s">
        <v>8</v>
      </c>
      <c r="K10542" s="23" t="s">
        <v>8</v>
      </c>
      <c r="L10542" s="23" t="s">
        <v>8</v>
      </c>
      <c r="M10542" s="23" t="s">
        <v>8</v>
      </c>
    </row>
    <row r="10543" spans="1:13" s="21" customFormat="1" x14ac:dyDescent="0.25">
      <c r="A10543" s="22" t="s">
        <v>8</v>
      </c>
      <c r="B10543" s="18" t="str">
        <f>"366310"</f>
        <v>366310</v>
      </c>
      <c r="C10543" s="19" t="s">
        <v>10383</v>
      </c>
      <c r="D10543" s="19" t="s">
        <v>25953</v>
      </c>
      <c r="E10543" s="19" t="s">
        <v>34462</v>
      </c>
      <c r="F10543" s="19" t="s">
        <v>36009</v>
      </c>
      <c r="G10543" s="18" t="str">
        <f>"43015"</f>
        <v>43015</v>
      </c>
      <c r="H10543" s="19" t="s">
        <v>34462</v>
      </c>
      <c r="I10543" s="20">
        <v>19.209</v>
      </c>
      <c r="J10543" s="44" t="s">
        <v>8</v>
      </c>
      <c r="K10543" s="23" t="s">
        <v>8</v>
      </c>
      <c r="L10543" s="23" t="s">
        <v>8</v>
      </c>
      <c r="M10543" s="23" t="s">
        <v>8</v>
      </c>
    </row>
    <row r="10544" spans="1:13" s="21" customFormat="1" x14ac:dyDescent="0.25">
      <c r="A10544" s="22" t="s">
        <v>8</v>
      </c>
      <c r="B10544" s="18" t="str">
        <f>"366312"</f>
        <v>366312</v>
      </c>
      <c r="C10544" s="19" t="s">
        <v>4991</v>
      </c>
      <c r="D10544" s="19" t="s">
        <v>25954</v>
      </c>
      <c r="E10544" s="19" t="s">
        <v>32013</v>
      </c>
      <c r="F10544" s="19" t="s">
        <v>36009</v>
      </c>
      <c r="G10544" s="18" t="str">
        <f>"43616"</f>
        <v>43616</v>
      </c>
      <c r="H10544" s="19" t="s">
        <v>36287</v>
      </c>
      <c r="I10544" s="20">
        <v>18.545999999999999</v>
      </c>
      <c r="J10544" s="44" t="s">
        <v>8</v>
      </c>
      <c r="K10544" s="23" t="s">
        <v>8</v>
      </c>
      <c r="L10544" s="23" t="s">
        <v>8</v>
      </c>
      <c r="M10544" s="23" t="s">
        <v>8</v>
      </c>
    </row>
    <row r="10545" spans="1:13" s="21" customFormat="1" x14ac:dyDescent="0.25">
      <c r="A10545" s="22" t="s">
        <v>8</v>
      </c>
      <c r="B10545" s="18" t="str">
        <f>"366313"</f>
        <v>366313</v>
      </c>
      <c r="C10545" s="19" t="s">
        <v>10384</v>
      </c>
      <c r="D10545" s="19" t="s">
        <v>25955</v>
      </c>
      <c r="E10545" s="19" t="s">
        <v>31715</v>
      </c>
      <c r="F10545" s="19" t="s">
        <v>36009</v>
      </c>
      <c r="G10545" s="18" t="str">
        <f>"43223"</f>
        <v>43223</v>
      </c>
      <c r="H10545" s="19" t="s">
        <v>5</v>
      </c>
      <c r="I10545" s="20">
        <v>19.577000000000002</v>
      </c>
      <c r="J10545" s="44" t="s">
        <v>8</v>
      </c>
      <c r="K10545" s="23" t="s">
        <v>8</v>
      </c>
      <c r="L10545" s="23" t="s">
        <v>8</v>
      </c>
      <c r="M10545" s="23" t="s">
        <v>8</v>
      </c>
    </row>
    <row r="10546" spans="1:13" s="21" customFormat="1" x14ac:dyDescent="0.25">
      <c r="A10546" s="22" t="s">
        <v>8</v>
      </c>
      <c r="B10546" s="18" t="str">
        <f>"366314"</f>
        <v>366314</v>
      </c>
      <c r="C10546" s="19" t="s">
        <v>10385</v>
      </c>
      <c r="D10546" s="19" t="s">
        <v>25956</v>
      </c>
      <c r="E10546" s="19" t="s">
        <v>34107</v>
      </c>
      <c r="F10546" s="19" t="s">
        <v>36009</v>
      </c>
      <c r="G10546" s="18" t="str">
        <f>"43023"</f>
        <v>43023</v>
      </c>
      <c r="H10546" s="19" t="s">
        <v>33689</v>
      </c>
      <c r="I10546" s="20">
        <v>18.268000000000001</v>
      </c>
      <c r="J10546" s="44" t="s">
        <v>8</v>
      </c>
      <c r="K10546" s="23" t="s">
        <v>8</v>
      </c>
      <c r="L10546" s="23" t="s">
        <v>8</v>
      </c>
      <c r="M10546" s="23" t="s">
        <v>8</v>
      </c>
    </row>
    <row r="10547" spans="1:13" s="21" customFormat="1" x14ac:dyDescent="0.25">
      <c r="A10547" s="22" t="s">
        <v>8</v>
      </c>
      <c r="B10547" s="18" t="str">
        <f>"366315"</f>
        <v>366315</v>
      </c>
      <c r="C10547" s="19" t="s">
        <v>10386</v>
      </c>
      <c r="D10547" s="19" t="s">
        <v>25957</v>
      </c>
      <c r="E10547" s="19" t="s">
        <v>33080</v>
      </c>
      <c r="F10547" s="19" t="s">
        <v>36009</v>
      </c>
      <c r="G10547" s="18" t="str">
        <f>"44001"</f>
        <v>44001</v>
      </c>
      <c r="H10547" s="19" t="s">
        <v>34482</v>
      </c>
      <c r="I10547" s="20">
        <v>17.408999999999999</v>
      </c>
      <c r="J10547" s="44" t="s">
        <v>8</v>
      </c>
      <c r="K10547" s="23" t="s">
        <v>8</v>
      </c>
      <c r="L10547" s="23" t="s">
        <v>8</v>
      </c>
      <c r="M10547" s="23" t="s">
        <v>8</v>
      </c>
    </row>
    <row r="10548" spans="1:13" s="21" customFormat="1" x14ac:dyDescent="0.25">
      <c r="A10548" s="22" t="s">
        <v>8</v>
      </c>
      <c r="B10548" s="18" t="str">
        <f>"366316"</f>
        <v>366316</v>
      </c>
      <c r="C10548" s="19" t="s">
        <v>10387</v>
      </c>
      <c r="D10548" s="19" t="s">
        <v>25958</v>
      </c>
      <c r="E10548" s="19" t="s">
        <v>34412</v>
      </c>
      <c r="F10548" s="19" t="s">
        <v>36009</v>
      </c>
      <c r="G10548" s="18" t="str">
        <f>"45220"</f>
        <v>45220</v>
      </c>
      <c r="H10548" s="19" t="s">
        <v>30804</v>
      </c>
      <c r="I10548" s="20">
        <v>19.059999999999999</v>
      </c>
      <c r="J10548" s="44" t="s">
        <v>8</v>
      </c>
      <c r="K10548" s="23" t="s">
        <v>8</v>
      </c>
      <c r="L10548" s="23" t="s">
        <v>8</v>
      </c>
      <c r="M10548" s="23" t="s">
        <v>8</v>
      </c>
    </row>
    <row r="10549" spans="1:13" s="21" customFormat="1" x14ac:dyDescent="0.25">
      <c r="A10549" s="22" t="s">
        <v>8</v>
      </c>
      <c r="B10549" s="18" t="str">
        <f>"366317"</f>
        <v>366317</v>
      </c>
      <c r="C10549" s="19" t="s">
        <v>10388</v>
      </c>
      <c r="D10549" s="19" t="s">
        <v>25959</v>
      </c>
      <c r="E10549" s="19" t="s">
        <v>31804</v>
      </c>
      <c r="F10549" s="19" t="s">
        <v>36009</v>
      </c>
      <c r="G10549" s="18" t="str">
        <f>"43560"</f>
        <v>43560</v>
      </c>
      <c r="H10549" s="19" t="s">
        <v>36287</v>
      </c>
      <c r="I10549" s="20">
        <v>16.940999999999999</v>
      </c>
      <c r="J10549" s="44" t="s">
        <v>8</v>
      </c>
      <c r="K10549" s="23" t="s">
        <v>8</v>
      </c>
      <c r="L10549" s="23" t="s">
        <v>8</v>
      </c>
      <c r="M10549" s="23" t="s">
        <v>8</v>
      </c>
    </row>
    <row r="10550" spans="1:13" s="21" customFormat="1" x14ac:dyDescent="0.25">
      <c r="A10550" s="22" t="s">
        <v>8</v>
      </c>
      <c r="B10550" s="18" t="str">
        <f>"366318"</f>
        <v>366318</v>
      </c>
      <c r="C10550" s="19" t="s">
        <v>10389</v>
      </c>
      <c r="D10550" s="19" t="s">
        <v>25960</v>
      </c>
      <c r="E10550" s="19" t="s">
        <v>31810</v>
      </c>
      <c r="F10550" s="19" t="s">
        <v>36009</v>
      </c>
      <c r="G10550" s="18" t="str">
        <f>"44122"</f>
        <v>44122</v>
      </c>
      <c r="H10550" s="19" t="s">
        <v>36671</v>
      </c>
      <c r="I10550" s="20">
        <v>18.498999999999999</v>
      </c>
      <c r="J10550" s="44" t="s">
        <v>8</v>
      </c>
      <c r="K10550" s="23" t="s">
        <v>8</v>
      </c>
      <c r="L10550" s="23" t="s">
        <v>8</v>
      </c>
      <c r="M10550" s="23" t="s">
        <v>8</v>
      </c>
    </row>
    <row r="10551" spans="1:13" s="21" customFormat="1" x14ac:dyDescent="0.25">
      <c r="A10551" s="22" t="s">
        <v>8</v>
      </c>
      <c r="B10551" s="18" t="str">
        <f>"366319"</f>
        <v>366319</v>
      </c>
      <c r="C10551" s="19" t="s">
        <v>10390</v>
      </c>
      <c r="D10551" s="19" t="s">
        <v>25961</v>
      </c>
      <c r="E10551" s="19" t="s">
        <v>34412</v>
      </c>
      <c r="F10551" s="19" t="s">
        <v>36009</v>
      </c>
      <c r="G10551" s="18" t="str">
        <f>"45242"</f>
        <v>45242</v>
      </c>
      <c r="H10551" s="19" t="s">
        <v>30804</v>
      </c>
      <c r="I10551" s="20">
        <v>16.626000000000001</v>
      </c>
      <c r="J10551" s="44" t="s">
        <v>8</v>
      </c>
      <c r="K10551" s="23" t="s">
        <v>8</v>
      </c>
      <c r="L10551" s="23" t="s">
        <v>8</v>
      </c>
      <c r="M10551" s="23" t="s">
        <v>8</v>
      </c>
    </row>
    <row r="10552" spans="1:13" s="21" customFormat="1" x14ac:dyDescent="0.25">
      <c r="A10552" s="22" t="s">
        <v>8</v>
      </c>
      <c r="B10552" s="18" t="str">
        <f>"366320"</f>
        <v>366320</v>
      </c>
      <c r="C10552" s="19" t="s">
        <v>10391</v>
      </c>
      <c r="D10552" s="19" t="s">
        <v>25962</v>
      </c>
      <c r="E10552" s="19" t="s">
        <v>31020</v>
      </c>
      <c r="F10552" s="19" t="s">
        <v>36009</v>
      </c>
      <c r="G10552" s="18" t="str">
        <f>"45030"</f>
        <v>45030</v>
      </c>
      <c r="H10552" s="19" t="s">
        <v>30804</v>
      </c>
      <c r="I10552" s="20">
        <v>18.785</v>
      </c>
      <c r="J10552" s="44" t="s">
        <v>8</v>
      </c>
      <c r="K10552" s="23" t="s">
        <v>8</v>
      </c>
      <c r="L10552" s="23" t="s">
        <v>8</v>
      </c>
      <c r="M10552" s="23" t="s">
        <v>8</v>
      </c>
    </row>
    <row r="10553" spans="1:13" s="21" customFormat="1" x14ac:dyDescent="0.25">
      <c r="A10553" s="22" t="s">
        <v>8</v>
      </c>
      <c r="B10553" s="18" t="str">
        <f>"366323"</f>
        <v>366323</v>
      </c>
      <c r="C10553" s="19" t="s">
        <v>10392</v>
      </c>
      <c r="D10553" s="19" t="s">
        <v>25963</v>
      </c>
      <c r="E10553" s="19" t="s">
        <v>34607</v>
      </c>
      <c r="F10553" s="19" t="s">
        <v>36009</v>
      </c>
      <c r="G10553" s="18" t="str">
        <f>"44264"</f>
        <v>44264</v>
      </c>
      <c r="H10553" s="19" t="s">
        <v>36107</v>
      </c>
      <c r="I10553" s="20">
        <v>18.477</v>
      </c>
      <c r="J10553" s="44" t="s">
        <v>8</v>
      </c>
      <c r="K10553" s="23" t="s">
        <v>8</v>
      </c>
      <c r="L10553" s="23" t="s">
        <v>8</v>
      </c>
      <c r="M10553" s="23" t="s">
        <v>8</v>
      </c>
    </row>
    <row r="10554" spans="1:13" s="21" customFormat="1" x14ac:dyDescent="0.25">
      <c r="A10554" s="22" t="s">
        <v>8</v>
      </c>
      <c r="B10554" s="18" t="str">
        <f>"366324"</f>
        <v>366324</v>
      </c>
      <c r="C10554" s="19" t="s">
        <v>10393</v>
      </c>
      <c r="D10554" s="19" t="s">
        <v>25964</v>
      </c>
      <c r="E10554" s="19" t="s">
        <v>34608</v>
      </c>
      <c r="F10554" s="19" t="s">
        <v>36009</v>
      </c>
      <c r="G10554" s="18" t="str">
        <f>"43033"</f>
        <v>43033</v>
      </c>
      <c r="H10554" s="19" t="s">
        <v>33689</v>
      </c>
      <c r="I10554" s="20">
        <v>18.591999999999999</v>
      </c>
      <c r="J10554" s="44" t="s">
        <v>8</v>
      </c>
      <c r="K10554" s="23" t="s">
        <v>8</v>
      </c>
      <c r="L10554" s="23" t="s">
        <v>8</v>
      </c>
      <c r="M10554" s="23" t="s">
        <v>8</v>
      </c>
    </row>
    <row r="10555" spans="1:13" s="21" customFormat="1" x14ac:dyDescent="0.25">
      <c r="A10555" s="22" t="s">
        <v>8</v>
      </c>
      <c r="B10555" s="18" t="str">
        <f>"366325"</f>
        <v>366325</v>
      </c>
      <c r="C10555" s="19" t="s">
        <v>10394</v>
      </c>
      <c r="D10555" s="19" t="s">
        <v>25965</v>
      </c>
      <c r="E10555" s="19" t="s">
        <v>33186</v>
      </c>
      <c r="F10555" s="19" t="s">
        <v>36009</v>
      </c>
      <c r="G10555" s="18" t="str">
        <f>"44870"</f>
        <v>44870</v>
      </c>
      <c r="H10555" s="19" t="s">
        <v>34805</v>
      </c>
      <c r="I10555" s="20">
        <v>16.189</v>
      </c>
      <c r="J10555" s="44" t="s">
        <v>8</v>
      </c>
      <c r="K10555" s="23" t="s">
        <v>8</v>
      </c>
      <c r="L10555" s="23" t="s">
        <v>8</v>
      </c>
      <c r="M10555" s="23" t="s">
        <v>8</v>
      </c>
    </row>
    <row r="10556" spans="1:13" s="21" customFormat="1" x14ac:dyDescent="0.25">
      <c r="A10556" s="22" t="s">
        <v>8</v>
      </c>
      <c r="B10556" s="18" t="str">
        <f>"366326"</f>
        <v>366326</v>
      </c>
      <c r="C10556" s="19" t="s">
        <v>10395</v>
      </c>
      <c r="D10556" s="19" t="s">
        <v>25966</v>
      </c>
      <c r="E10556" s="19" t="s">
        <v>30870</v>
      </c>
      <c r="F10556" s="19" t="s">
        <v>36009</v>
      </c>
      <c r="G10556" s="18" t="str">
        <f>"44041"</f>
        <v>44041</v>
      </c>
      <c r="H10556" s="19" t="s">
        <v>34437</v>
      </c>
      <c r="I10556" s="20">
        <v>20.571999999999999</v>
      </c>
      <c r="J10556" s="44" t="s">
        <v>8</v>
      </c>
      <c r="K10556" s="23" t="s">
        <v>8</v>
      </c>
      <c r="L10556" s="23" t="s">
        <v>8</v>
      </c>
      <c r="M10556" s="23" t="s">
        <v>8</v>
      </c>
    </row>
    <row r="10557" spans="1:13" s="21" customFormat="1" x14ac:dyDescent="0.25">
      <c r="A10557" s="22" t="s">
        <v>8</v>
      </c>
      <c r="B10557" s="18" t="str">
        <f>"366327"</f>
        <v>366327</v>
      </c>
      <c r="C10557" s="19" t="s">
        <v>10396</v>
      </c>
      <c r="D10557" s="19" t="s">
        <v>25967</v>
      </c>
      <c r="E10557" s="19" t="s">
        <v>34412</v>
      </c>
      <c r="F10557" s="19" t="s">
        <v>36009</v>
      </c>
      <c r="G10557" s="18" t="str">
        <f>"45215"</f>
        <v>45215</v>
      </c>
      <c r="H10557" s="19" t="s">
        <v>30804</v>
      </c>
      <c r="I10557" s="20">
        <v>19.948</v>
      </c>
      <c r="J10557" s="44" t="s">
        <v>8</v>
      </c>
      <c r="K10557" s="23" t="s">
        <v>8</v>
      </c>
      <c r="L10557" s="23" t="s">
        <v>8</v>
      </c>
      <c r="M10557" s="23" t="s">
        <v>8</v>
      </c>
    </row>
    <row r="10558" spans="1:13" s="21" customFormat="1" x14ac:dyDescent="0.25">
      <c r="A10558" s="22" t="s">
        <v>8</v>
      </c>
      <c r="B10558" s="18" t="str">
        <f>"366328"</f>
        <v>366328</v>
      </c>
      <c r="C10558" s="19" t="s">
        <v>10397</v>
      </c>
      <c r="D10558" s="19" t="s">
        <v>25968</v>
      </c>
      <c r="E10558" s="19" t="s">
        <v>32505</v>
      </c>
      <c r="F10558" s="19" t="s">
        <v>36009</v>
      </c>
      <c r="G10558" s="18" t="str">
        <f>"43607"</f>
        <v>43607</v>
      </c>
      <c r="H10558" s="19" t="s">
        <v>36287</v>
      </c>
      <c r="I10558" s="20">
        <v>20.12</v>
      </c>
      <c r="J10558" s="44" t="s">
        <v>8</v>
      </c>
      <c r="K10558" s="23" t="s">
        <v>8</v>
      </c>
      <c r="L10558" s="23" t="s">
        <v>8</v>
      </c>
      <c r="M10558" s="23" t="s">
        <v>8</v>
      </c>
    </row>
    <row r="10559" spans="1:13" s="21" customFormat="1" x14ac:dyDescent="0.25">
      <c r="A10559" s="22" t="s">
        <v>8</v>
      </c>
      <c r="B10559" s="18" t="str">
        <f>"366329"</f>
        <v>366329</v>
      </c>
      <c r="C10559" s="19" t="s">
        <v>10398</v>
      </c>
      <c r="D10559" s="19" t="s">
        <v>25969</v>
      </c>
      <c r="E10559" s="19" t="s">
        <v>34609</v>
      </c>
      <c r="F10559" s="19" t="s">
        <v>36009</v>
      </c>
      <c r="G10559" s="18" t="str">
        <f>"44514"</f>
        <v>44514</v>
      </c>
      <c r="H10559" s="19" t="s">
        <v>36674</v>
      </c>
      <c r="I10559" s="20">
        <v>23.675999999999998</v>
      </c>
      <c r="J10559" s="44" t="s">
        <v>8</v>
      </c>
      <c r="K10559" s="23" t="s">
        <v>8</v>
      </c>
      <c r="L10559" s="23" t="s">
        <v>8</v>
      </c>
      <c r="M10559" s="23" t="s">
        <v>8</v>
      </c>
    </row>
    <row r="10560" spans="1:13" s="21" customFormat="1" x14ac:dyDescent="0.25">
      <c r="A10560" s="22" t="s">
        <v>8</v>
      </c>
      <c r="B10560" s="18" t="str">
        <f>"366331"</f>
        <v>366331</v>
      </c>
      <c r="C10560" s="19" t="s">
        <v>10399</v>
      </c>
      <c r="D10560" s="19" t="s">
        <v>25970</v>
      </c>
      <c r="E10560" s="19" t="s">
        <v>34505</v>
      </c>
      <c r="F10560" s="19" t="s">
        <v>36009</v>
      </c>
      <c r="G10560" s="18" t="str">
        <f>"43953"</f>
        <v>43953</v>
      </c>
      <c r="H10560" s="19" t="s">
        <v>32391</v>
      </c>
      <c r="I10560" s="20">
        <v>19.677</v>
      </c>
      <c r="J10560" s="44" t="s">
        <v>8</v>
      </c>
      <c r="K10560" s="23" t="s">
        <v>8</v>
      </c>
      <c r="L10560" s="23" t="s">
        <v>8</v>
      </c>
      <c r="M10560" s="23" t="s">
        <v>8</v>
      </c>
    </row>
    <row r="10561" spans="1:13" s="21" customFormat="1" x14ac:dyDescent="0.25">
      <c r="A10561" s="22" t="s">
        <v>8</v>
      </c>
      <c r="B10561" s="18" t="str">
        <f>"366332"</f>
        <v>366332</v>
      </c>
      <c r="C10561" s="19" t="s">
        <v>10400</v>
      </c>
      <c r="D10561" s="19" t="s">
        <v>25971</v>
      </c>
      <c r="E10561" s="19" t="s">
        <v>34412</v>
      </c>
      <c r="F10561" s="19" t="s">
        <v>36009</v>
      </c>
      <c r="G10561" s="18" t="str">
        <f>"45251"</f>
        <v>45251</v>
      </c>
      <c r="H10561" s="19" t="s">
        <v>30804</v>
      </c>
      <c r="I10561" s="20">
        <v>18.670000000000002</v>
      </c>
      <c r="J10561" s="44" t="s">
        <v>8</v>
      </c>
      <c r="K10561" s="23" t="s">
        <v>8</v>
      </c>
      <c r="L10561" s="23" t="s">
        <v>8</v>
      </c>
      <c r="M10561" s="23" t="s">
        <v>8</v>
      </c>
    </row>
    <row r="10562" spans="1:13" s="21" customFormat="1" x14ac:dyDescent="0.25">
      <c r="A10562" s="22" t="s">
        <v>8</v>
      </c>
      <c r="B10562" s="18" t="str">
        <f>"366333"</f>
        <v>366333</v>
      </c>
      <c r="C10562" s="19" t="s">
        <v>10401</v>
      </c>
      <c r="D10562" s="19" t="s">
        <v>25972</v>
      </c>
      <c r="E10562" s="19" t="s">
        <v>34506</v>
      </c>
      <c r="F10562" s="19" t="s">
        <v>36009</v>
      </c>
      <c r="G10562" s="18" t="str">
        <f>"44654"</f>
        <v>44654</v>
      </c>
      <c r="H10562" s="19" t="s">
        <v>34081</v>
      </c>
      <c r="I10562" s="20">
        <v>17.876000000000001</v>
      </c>
      <c r="J10562" s="44" t="s">
        <v>8</v>
      </c>
      <c r="K10562" s="23" t="s">
        <v>8</v>
      </c>
      <c r="L10562" s="23" t="s">
        <v>8</v>
      </c>
      <c r="M10562" s="23" t="s">
        <v>8</v>
      </c>
    </row>
    <row r="10563" spans="1:13" s="21" customFormat="1" x14ac:dyDescent="0.25">
      <c r="A10563" s="22" t="s">
        <v>8</v>
      </c>
      <c r="B10563" s="18" t="str">
        <f>"366334"</f>
        <v>366334</v>
      </c>
      <c r="C10563" s="19" t="s">
        <v>10402</v>
      </c>
      <c r="D10563" s="19" t="s">
        <v>25973</v>
      </c>
      <c r="E10563" s="19" t="s">
        <v>31791</v>
      </c>
      <c r="F10563" s="19" t="s">
        <v>36009</v>
      </c>
      <c r="G10563" s="18" t="str">
        <f>"44709"</f>
        <v>44709</v>
      </c>
      <c r="H10563" s="19" t="s">
        <v>36240</v>
      </c>
      <c r="I10563" s="20">
        <v>17.524999999999999</v>
      </c>
      <c r="J10563" s="44" t="s">
        <v>8</v>
      </c>
      <c r="K10563" s="23" t="s">
        <v>8</v>
      </c>
      <c r="L10563" s="23" t="s">
        <v>8</v>
      </c>
      <c r="M10563" s="23" t="s">
        <v>8</v>
      </c>
    </row>
    <row r="10564" spans="1:13" s="21" customFormat="1" x14ac:dyDescent="0.25">
      <c r="A10564" s="22" t="s">
        <v>8</v>
      </c>
      <c r="B10564" s="18" t="str">
        <f>"366335"</f>
        <v>366335</v>
      </c>
      <c r="C10564" s="19" t="s">
        <v>4598</v>
      </c>
      <c r="D10564" s="19" t="s">
        <v>25974</v>
      </c>
      <c r="E10564" s="19" t="s">
        <v>34571</v>
      </c>
      <c r="F10564" s="19" t="s">
        <v>36009</v>
      </c>
      <c r="G10564" s="18" t="str">
        <f>"44125"</f>
        <v>44125</v>
      </c>
      <c r="H10564" s="19" t="s">
        <v>36671</v>
      </c>
      <c r="I10564" s="20">
        <v>21.792999999999999</v>
      </c>
      <c r="J10564" s="44" t="s">
        <v>8</v>
      </c>
      <c r="K10564" s="23" t="s">
        <v>8</v>
      </c>
      <c r="L10564" s="23" t="s">
        <v>8</v>
      </c>
      <c r="M10564" s="23" t="s">
        <v>8</v>
      </c>
    </row>
    <row r="10565" spans="1:13" s="21" customFormat="1" x14ac:dyDescent="0.25">
      <c r="A10565" s="22" t="s">
        <v>8</v>
      </c>
      <c r="B10565" s="18" t="str">
        <f>"366336"</f>
        <v>366336</v>
      </c>
      <c r="C10565" s="19" t="s">
        <v>10403</v>
      </c>
      <c r="D10565" s="19" t="s">
        <v>25975</v>
      </c>
      <c r="E10565" s="19" t="s">
        <v>34419</v>
      </c>
      <c r="F10565" s="19" t="s">
        <v>36009</v>
      </c>
      <c r="G10565" s="18" t="str">
        <f>"44836"</f>
        <v>44836</v>
      </c>
      <c r="H10565" s="19" t="s">
        <v>32641</v>
      </c>
      <c r="I10565" s="20">
        <v>18.013000000000002</v>
      </c>
      <c r="J10565" s="44" t="s">
        <v>8</v>
      </c>
      <c r="K10565" s="23" t="s">
        <v>8</v>
      </c>
      <c r="L10565" s="23" t="s">
        <v>8</v>
      </c>
      <c r="M10565" s="23" t="s">
        <v>8</v>
      </c>
    </row>
    <row r="10566" spans="1:13" s="21" customFormat="1" x14ac:dyDescent="0.25">
      <c r="A10566" s="22" t="s">
        <v>8</v>
      </c>
      <c r="B10566" s="18" t="str">
        <f>"366337"</f>
        <v>366337</v>
      </c>
      <c r="C10566" s="19" t="s">
        <v>10404</v>
      </c>
      <c r="D10566" s="19" t="s">
        <v>25976</v>
      </c>
      <c r="E10566" s="19" t="s">
        <v>31810</v>
      </c>
      <c r="F10566" s="19" t="s">
        <v>36009</v>
      </c>
      <c r="G10566" s="18" t="str">
        <f>"44120"</f>
        <v>44120</v>
      </c>
      <c r="H10566" s="19" t="s">
        <v>36671</v>
      </c>
      <c r="I10566" s="20">
        <v>17.899000000000001</v>
      </c>
      <c r="J10566" s="44" t="s">
        <v>8</v>
      </c>
      <c r="K10566" s="23" t="s">
        <v>8</v>
      </c>
      <c r="L10566" s="23" t="s">
        <v>8</v>
      </c>
      <c r="M10566" s="23" t="s">
        <v>8</v>
      </c>
    </row>
    <row r="10567" spans="1:13" s="21" customFormat="1" x14ac:dyDescent="0.25">
      <c r="A10567" s="22" t="s">
        <v>8</v>
      </c>
      <c r="B10567" s="18" t="str">
        <f>"366338"</f>
        <v>366338</v>
      </c>
      <c r="C10567" s="19" t="s">
        <v>10405</v>
      </c>
      <c r="D10567" s="19" t="s">
        <v>25977</v>
      </c>
      <c r="E10567" s="19" t="s">
        <v>31927</v>
      </c>
      <c r="F10567" s="19" t="s">
        <v>36009</v>
      </c>
      <c r="G10567" s="18" t="str">
        <f>"45601"</f>
        <v>45601</v>
      </c>
      <c r="H10567" s="19" t="s">
        <v>36685</v>
      </c>
      <c r="I10567" s="20">
        <v>21.459</v>
      </c>
      <c r="J10567" s="44" t="s">
        <v>8</v>
      </c>
      <c r="K10567" s="23" t="s">
        <v>8</v>
      </c>
      <c r="L10567" s="23" t="s">
        <v>8</v>
      </c>
      <c r="M10567" s="23" t="s">
        <v>8</v>
      </c>
    </row>
    <row r="10568" spans="1:13" s="21" customFormat="1" x14ac:dyDescent="0.25">
      <c r="A10568" s="22" t="s">
        <v>8</v>
      </c>
      <c r="B10568" s="18" t="str">
        <f>"366339"</f>
        <v>366339</v>
      </c>
      <c r="C10568" s="19" t="s">
        <v>10406</v>
      </c>
      <c r="D10568" s="19" t="s">
        <v>25978</v>
      </c>
      <c r="E10568" s="19" t="s">
        <v>34030</v>
      </c>
      <c r="F10568" s="19" t="s">
        <v>36009</v>
      </c>
      <c r="G10568" s="18" t="str">
        <f>"44410"</f>
        <v>44410</v>
      </c>
      <c r="H10568" s="19" t="s">
        <v>31393</v>
      </c>
      <c r="I10568" s="20">
        <v>20.818999999999999</v>
      </c>
      <c r="J10568" s="44" t="s">
        <v>8</v>
      </c>
      <c r="K10568" s="23" t="s">
        <v>8</v>
      </c>
      <c r="L10568" s="23" t="s">
        <v>8</v>
      </c>
      <c r="M10568" s="23" t="s">
        <v>8</v>
      </c>
    </row>
    <row r="10569" spans="1:13" s="21" customFormat="1" x14ac:dyDescent="0.25">
      <c r="A10569" s="22" t="s">
        <v>8</v>
      </c>
      <c r="B10569" s="18" t="str">
        <f>"366340"</f>
        <v>366340</v>
      </c>
      <c r="C10569" s="19" t="s">
        <v>10407</v>
      </c>
      <c r="D10569" s="19" t="s">
        <v>25979</v>
      </c>
      <c r="E10569" s="19" t="s">
        <v>30850</v>
      </c>
      <c r="F10569" s="19" t="s">
        <v>36009</v>
      </c>
      <c r="G10569" s="18" t="str">
        <f>"43302"</f>
        <v>43302</v>
      </c>
      <c r="H10569" s="19" t="s">
        <v>30850</v>
      </c>
      <c r="I10569" s="20">
        <v>18.428000000000001</v>
      </c>
      <c r="J10569" s="44" t="s">
        <v>8</v>
      </c>
      <c r="K10569" s="23" t="s">
        <v>8</v>
      </c>
      <c r="L10569" s="23" t="s">
        <v>8</v>
      </c>
      <c r="M10569" s="23" t="s">
        <v>8</v>
      </c>
    </row>
    <row r="10570" spans="1:13" s="21" customFormat="1" x14ac:dyDescent="0.25">
      <c r="A10570" s="22" t="s">
        <v>8</v>
      </c>
      <c r="B10570" s="18" t="str">
        <f>"366341"</f>
        <v>366341</v>
      </c>
      <c r="C10570" s="19" t="s">
        <v>10408</v>
      </c>
      <c r="D10570" s="19" t="s">
        <v>25980</v>
      </c>
      <c r="E10570" s="19" t="s">
        <v>34444</v>
      </c>
      <c r="F10570" s="19" t="s">
        <v>36009</v>
      </c>
      <c r="G10570" s="18" t="str">
        <f>"44691"</f>
        <v>44691</v>
      </c>
      <c r="H10570" s="19" t="s">
        <v>33280</v>
      </c>
      <c r="I10570" s="20">
        <v>19.372</v>
      </c>
      <c r="J10570" s="44" t="s">
        <v>8</v>
      </c>
      <c r="K10570" s="23" t="s">
        <v>8</v>
      </c>
      <c r="L10570" s="23" t="s">
        <v>8</v>
      </c>
      <c r="M10570" s="23" t="s">
        <v>8</v>
      </c>
    </row>
    <row r="10571" spans="1:13" s="21" customFormat="1" x14ac:dyDescent="0.25">
      <c r="A10571" s="22" t="s">
        <v>8</v>
      </c>
      <c r="B10571" s="18" t="str">
        <f>"366342"</f>
        <v>366342</v>
      </c>
      <c r="C10571" s="19" t="s">
        <v>10409</v>
      </c>
      <c r="D10571" s="19" t="s">
        <v>25981</v>
      </c>
      <c r="E10571" s="19" t="s">
        <v>31444</v>
      </c>
      <c r="F10571" s="19" t="s">
        <v>36009</v>
      </c>
      <c r="G10571" s="18" t="str">
        <f>"44011"</f>
        <v>44011</v>
      </c>
      <c r="H10571" s="19" t="s">
        <v>34482</v>
      </c>
      <c r="I10571" s="20">
        <v>18.664000000000001</v>
      </c>
      <c r="J10571" s="44" t="s">
        <v>8</v>
      </c>
      <c r="K10571" s="23" t="s">
        <v>8</v>
      </c>
      <c r="L10571" s="23" t="s">
        <v>8</v>
      </c>
      <c r="M10571" s="23" t="s">
        <v>8</v>
      </c>
    </row>
    <row r="10572" spans="1:13" s="21" customFormat="1" x14ac:dyDescent="0.25">
      <c r="A10572" s="22" t="s">
        <v>8</v>
      </c>
      <c r="B10572" s="18" t="str">
        <f>"366343"</f>
        <v>366343</v>
      </c>
      <c r="C10572" s="19" t="s">
        <v>10410</v>
      </c>
      <c r="D10572" s="19" t="s">
        <v>25982</v>
      </c>
      <c r="E10572" s="19" t="s">
        <v>34417</v>
      </c>
      <c r="F10572" s="19" t="s">
        <v>36009</v>
      </c>
      <c r="G10572" s="18" t="str">
        <f>"44133"</f>
        <v>44133</v>
      </c>
      <c r="H10572" s="19" t="s">
        <v>36671</v>
      </c>
      <c r="I10572" s="20">
        <v>21.338000000000001</v>
      </c>
      <c r="J10572" s="44" t="s">
        <v>8</v>
      </c>
      <c r="K10572" s="23" t="s">
        <v>8</v>
      </c>
      <c r="L10572" s="23" t="s">
        <v>8</v>
      </c>
      <c r="M10572" s="23" t="s">
        <v>8</v>
      </c>
    </row>
    <row r="10573" spans="1:13" s="21" customFormat="1" x14ac:dyDescent="0.25">
      <c r="A10573" s="22" t="s">
        <v>8</v>
      </c>
      <c r="B10573" s="18" t="str">
        <f>"366346"</f>
        <v>366346</v>
      </c>
      <c r="C10573" s="19" t="s">
        <v>10411</v>
      </c>
      <c r="D10573" s="19" t="s">
        <v>25983</v>
      </c>
      <c r="E10573" s="19" t="s">
        <v>34610</v>
      </c>
      <c r="F10573" s="19" t="s">
        <v>36009</v>
      </c>
      <c r="G10573" s="18" t="str">
        <f>"44087"</f>
        <v>44087</v>
      </c>
      <c r="H10573" s="19" t="s">
        <v>36107</v>
      </c>
      <c r="I10573" s="20">
        <v>22.085000000000001</v>
      </c>
      <c r="J10573" s="44" t="s">
        <v>8</v>
      </c>
      <c r="K10573" s="23" t="s">
        <v>8</v>
      </c>
      <c r="L10573" s="23" t="s">
        <v>8</v>
      </c>
      <c r="M10573" s="23" t="s">
        <v>8</v>
      </c>
    </row>
    <row r="10574" spans="1:13" s="21" customFormat="1" x14ac:dyDescent="0.25">
      <c r="A10574" s="22" t="s">
        <v>8</v>
      </c>
      <c r="B10574" s="18" t="str">
        <f>"366347"</f>
        <v>366347</v>
      </c>
      <c r="C10574" s="19" t="s">
        <v>10412</v>
      </c>
      <c r="D10574" s="19" t="s">
        <v>25984</v>
      </c>
      <c r="E10574" s="19" t="s">
        <v>34412</v>
      </c>
      <c r="F10574" s="19" t="s">
        <v>36009</v>
      </c>
      <c r="G10574" s="18" t="str">
        <f>"45231"</f>
        <v>45231</v>
      </c>
      <c r="H10574" s="19" t="s">
        <v>30804</v>
      </c>
      <c r="I10574" s="20">
        <v>17.446000000000002</v>
      </c>
      <c r="J10574" s="44" t="s">
        <v>8</v>
      </c>
      <c r="K10574" s="23" t="s">
        <v>8</v>
      </c>
      <c r="L10574" s="23" t="s">
        <v>8</v>
      </c>
      <c r="M10574" s="23" t="s">
        <v>8</v>
      </c>
    </row>
    <row r="10575" spans="1:13" s="21" customFormat="1" x14ac:dyDescent="0.25">
      <c r="A10575" s="22" t="s">
        <v>8</v>
      </c>
      <c r="B10575" s="18" t="str">
        <f>"366348"</f>
        <v>366348</v>
      </c>
      <c r="C10575" s="19" t="s">
        <v>10413</v>
      </c>
      <c r="D10575" s="19" t="s">
        <v>25985</v>
      </c>
      <c r="E10575" s="19" t="s">
        <v>31344</v>
      </c>
      <c r="F10575" s="19" t="s">
        <v>36009</v>
      </c>
      <c r="G10575" s="18" t="str">
        <f>"45140"</f>
        <v>45140</v>
      </c>
      <c r="H10575" s="19" t="s">
        <v>31621</v>
      </c>
      <c r="I10575" s="20">
        <v>18.498999999999999</v>
      </c>
      <c r="J10575" s="44" t="s">
        <v>8</v>
      </c>
      <c r="K10575" s="23" t="s">
        <v>8</v>
      </c>
      <c r="L10575" s="23" t="s">
        <v>8</v>
      </c>
      <c r="M10575" s="23" t="s">
        <v>8</v>
      </c>
    </row>
    <row r="10576" spans="1:13" s="21" customFormat="1" x14ac:dyDescent="0.25">
      <c r="A10576" s="22" t="s">
        <v>8</v>
      </c>
      <c r="B10576" s="18" t="str">
        <f>"366350"</f>
        <v>366350</v>
      </c>
      <c r="C10576" s="19" t="s">
        <v>10414</v>
      </c>
      <c r="D10576" s="19" t="s">
        <v>25986</v>
      </c>
      <c r="E10576" s="19" t="s">
        <v>34452</v>
      </c>
      <c r="F10576" s="19" t="s">
        <v>36009</v>
      </c>
      <c r="G10576" s="18" t="str">
        <f>"44112"</f>
        <v>44112</v>
      </c>
      <c r="H10576" s="19" t="s">
        <v>36671</v>
      </c>
      <c r="I10576" s="20">
        <v>17.023</v>
      </c>
      <c r="J10576" s="44" t="s">
        <v>8</v>
      </c>
      <c r="K10576" s="23" t="s">
        <v>8</v>
      </c>
      <c r="L10576" s="23" t="s">
        <v>8</v>
      </c>
      <c r="M10576" s="23" t="s">
        <v>8</v>
      </c>
    </row>
    <row r="10577" spans="1:13" s="21" customFormat="1" x14ac:dyDescent="0.25">
      <c r="A10577" s="22" t="s">
        <v>8</v>
      </c>
      <c r="B10577" s="18" t="str">
        <f>"366351"</f>
        <v>366351</v>
      </c>
      <c r="C10577" s="19" t="s">
        <v>10415</v>
      </c>
      <c r="D10577" s="19" t="s">
        <v>25987</v>
      </c>
      <c r="E10577" s="19" t="s">
        <v>31495</v>
      </c>
      <c r="F10577" s="19" t="s">
        <v>36009</v>
      </c>
      <c r="G10577" s="18" t="str">
        <f>"45121"</f>
        <v>45121</v>
      </c>
      <c r="H10577" s="19" t="s">
        <v>36244</v>
      </c>
      <c r="I10577" s="20">
        <v>19.07</v>
      </c>
      <c r="J10577" s="44" t="s">
        <v>8</v>
      </c>
      <c r="K10577" s="23" t="s">
        <v>8</v>
      </c>
      <c r="L10577" s="23" t="s">
        <v>8</v>
      </c>
      <c r="M10577" s="23" t="s">
        <v>8</v>
      </c>
    </row>
    <row r="10578" spans="1:13" s="21" customFormat="1" x14ac:dyDescent="0.25">
      <c r="A10578" s="22" t="s">
        <v>8</v>
      </c>
      <c r="B10578" s="18" t="str">
        <f>"366352"</f>
        <v>366352</v>
      </c>
      <c r="C10578" s="19" t="s">
        <v>10416</v>
      </c>
      <c r="D10578" s="19" t="s">
        <v>25988</v>
      </c>
      <c r="E10578" s="19" t="s">
        <v>31773</v>
      </c>
      <c r="F10578" s="19" t="s">
        <v>36009</v>
      </c>
      <c r="G10578" s="18" t="str">
        <f>"43713"</f>
        <v>43713</v>
      </c>
      <c r="H10578" s="19" t="s">
        <v>33079</v>
      </c>
      <c r="I10578" s="20">
        <v>18.033000000000001</v>
      </c>
      <c r="J10578" s="44" t="s">
        <v>8</v>
      </c>
      <c r="K10578" s="23" t="s">
        <v>8</v>
      </c>
      <c r="L10578" s="23" t="s">
        <v>8</v>
      </c>
      <c r="M10578" s="23" t="s">
        <v>8</v>
      </c>
    </row>
    <row r="10579" spans="1:13" s="21" customFormat="1" x14ac:dyDescent="0.25">
      <c r="A10579" s="22" t="s">
        <v>8</v>
      </c>
      <c r="B10579" s="18" t="str">
        <f>"366353"</f>
        <v>366353</v>
      </c>
      <c r="C10579" s="19" t="s">
        <v>10417</v>
      </c>
      <c r="D10579" s="19" t="s">
        <v>25989</v>
      </c>
      <c r="E10579" s="19" t="s">
        <v>34541</v>
      </c>
      <c r="F10579" s="19" t="s">
        <v>36009</v>
      </c>
      <c r="G10579" s="18" t="str">
        <f>"43062"</f>
        <v>43062</v>
      </c>
      <c r="H10579" s="19" t="s">
        <v>33689</v>
      </c>
      <c r="I10579" s="20">
        <v>19.812999999999999</v>
      </c>
      <c r="J10579" s="44" t="s">
        <v>8</v>
      </c>
      <c r="K10579" s="23" t="s">
        <v>8</v>
      </c>
      <c r="L10579" s="23" t="s">
        <v>8</v>
      </c>
      <c r="M10579" s="23" t="s">
        <v>8</v>
      </c>
    </row>
    <row r="10580" spans="1:13" s="21" customFormat="1" x14ac:dyDescent="0.25">
      <c r="A10580" s="22" t="s">
        <v>8</v>
      </c>
      <c r="B10580" s="18" t="str">
        <f>"366354"</f>
        <v>366354</v>
      </c>
      <c r="C10580" s="19" t="s">
        <v>10418</v>
      </c>
      <c r="D10580" s="19" t="s">
        <v>25990</v>
      </c>
      <c r="E10580" s="19" t="s">
        <v>34480</v>
      </c>
      <c r="F10580" s="19" t="s">
        <v>36009</v>
      </c>
      <c r="G10580" s="18" t="str">
        <f>"43551"</f>
        <v>43551</v>
      </c>
      <c r="H10580" s="19" t="s">
        <v>36673</v>
      </c>
      <c r="I10580" s="20">
        <v>17.920000000000002</v>
      </c>
      <c r="J10580" s="44" t="s">
        <v>8</v>
      </c>
      <c r="K10580" s="23" t="s">
        <v>8</v>
      </c>
      <c r="L10580" s="23" t="s">
        <v>8</v>
      </c>
      <c r="M10580" s="23" t="s">
        <v>8</v>
      </c>
    </row>
    <row r="10581" spans="1:13" s="21" customFormat="1" x14ac:dyDescent="0.25">
      <c r="A10581" s="22" t="s">
        <v>8</v>
      </c>
      <c r="B10581" s="18" t="str">
        <f>"366355"</f>
        <v>366355</v>
      </c>
      <c r="C10581" s="19" t="s">
        <v>10419</v>
      </c>
      <c r="D10581" s="19" t="s">
        <v>25991</v>
      </c>
      <c r="E10581" s="19" t="s">
        <v>31810</v>
      </c>
      <c r="F10581" s="19" t="s">
        <v>36009</v>
      </c>
      <c r="G10581" s="18" t="str">
        <f>"44103"</f>
        <v>44103</v>
      </c>
      <c r="H10581" s="19" t="s">
        <v>36671</v>
      </c>
      <c r="I10581" s="20">
        <v>18.509</v>
      </c>
      <c r="J10581" s="44" t="s">
        <v>8</v>
      </c>
      <c r="K10581" s="23" t="s">
        <v>8</v>
      </c>
      <c r="L10581" s="23" t="s">
        <v>8</v>
      </c>
      <c r="M10581" s="23" t="s">
        <v>8</v>
      </c>
    </row>
    <row r="10582" spans="1:13" s="21" customFormat="1" x14ac:dyDescent="0.25">
      <c r="A10582" s="22" t="s">
        <v>8</v>
      </c>
      <c r="B10582" s="18" t="str">
        <f>"366358"</f>
        <v>366358</v>
      </c>
      <c r="C10582" s="19" t="s">
        <v>10420</v>
      </c>
      <c r="D10582" s="19" t="s">
        <v>25992</v>
      </c>
      <c r="E10582" s="19" t="s">
        <v>30978</v>
      </c>
      <c r="F10582" s="19" t="s">
        <v>36009</v>
      </c>
      <c r="G10582" s="18" t="str">
        <f>"43440"</f>
        <v>43440</v>
      </c>
      <c r="H10582" s="19" t="s">
        <v>31994</v>
      </c>
      <c r="I10582" s="20">
        <v>20.225999999999999</v>
      </c>
      <c r="J10582" s="44" t="s">
        <v>8</v>
      </c>
      <c r="K10582" s="23" t="s">
        <v>8</v>
      </c>
      <c r="L10582" s="23" t="s">
        <v>8</v>
      </c>
      <c r="M10582" s="23" t="s">
        <v>8</v>
      </c>
    </row>
    <row r="10583" spans="1:13" s="21" customFormat="1" x14ac:dyDescent="0.25">
      <c r="A10583" s="22" t="s">
        <v>8</v>
      </c>
      <c r="B10583" s="18" t="str">
        <f>"366359"</f>
        <v>366359</v>
      </c>
      <c r="C10583" s="19" t="s">
        <v>10421</v>
      </c>
      <c r="D10583" s="19" t="s">
        <v>25993</v>
      </c>
      <c r="E10583" s="19" t="s">
        <v>31810</v>
      </c>
      <c r="F10583" s="19" t="s">
        <v>36009</v>
      </c>
      <c r="G10583" s="18" t="str">
        <f>"44135"</f>
        <v>44135</v>
      </c>
      <c r="H10583" s="19" t="s">
        <v>36671</v>
      </c>
      <c r="I10583" s="20">
        <v>19.428999999999998</v>
      </c>
      <c r="J10583" s="44" t="s">
        <v>8</v>
      </c>
      <c r="K10583" s="23" t="s">
        <v>8</v>
      </c>
      <c r="L10583" s="23" t="s">
        <v>8</v>
      </c>
      <c r="M10583" s="23" t="s">
        <v>8</v>
      </c>
    </row>
    <row r="10584" spans="1:13" s="21" customFormat="1" x14ac:dyDescent="0.25">
      <c r="A10584" s="22" t="s">
        <v>8</v>
      </c>
      <c r="B10584" s="18" t="str">
        <f>"366360"</f>
        <v>366360</v>
      </c>
      <c r="C10584" s="19" t="s">
        <v>10422</v>
      </c>
      <c r="D10584" s="19" t="s">
        <v>25994</v>
      </c>
      <c r="E10584" s="19" t="s">
        <v>32256</v>
      </c>
      <c r="F10584" s="19" t="s">
        <v>36009</v>
      </c>
      <c r="G10584" s="18" t="str">
        <f>"45628"</f>
        <v>45628</v>
      </c>
      <c r="H10584" s="19" t="s">
        <v>36685</v>
      </c>
      <c r="I10584" s="20">
        <v>19.146000000000001</v>
      </c>
      <c r="J10584" s="44" t="s">
        <v>8</v>
      </c>
      <c r="K10584" s="23" t="s">
        <v>8</v>
      </c>
      <c r="L10584" s="23" t="s">
        <v>8</v>
      </c>
      <c r="M10584" s="23" t="s">
        <v>8</v>
      </c>
    </row>
    <row r="10585" spans="1:13" s="21" customFormat="1" x14ac:dyDescent="0.25">
      <c r="A10585" s="22" t="s">
        <v>8</v>
      </c>
      <c r="B10585" s="18" t="str">
        <f>"366361"</f>
        <v>366361</v>
      </c>
      <c r="C10585" s="19" t="s">
        <v>10423</v>
      </c>
      <c r="D10585" s="19" t="s">
        <v>25995</v>
      </c>
      <c r="E10585" s="19" t="s">
        <v>34611</v>
      </c>
      <c r="F10585" s="19" t="s">
        <v>36009</v>
      </c>
      <c r="G10585" s="18" t="str">
        <f>"43542"</f>
        <v>43542</v>
      </c>
      <c r="H10585" s="19" t="s">
        <v>36287</v>
      </c>
      <c r="I10585" s="20">
        <v>19.158000000000001</v>
      </c>
      <c r="J10585" s="44" t="s">
        <v>8</v>
      </c>
      <c r="K10585" s="23" t="s">
        <v>8</v>
      </c>
      <c r="L10585" s="23" t="s">
        <v>8</v>
      </c>
      <c r="M10585" s="23" t="s">
        <v>8</v>
      </c>
    </row>
    <row r="10586" spans="1:13" s="21" customFormat="1" x14ac:dyDescent="0.25">
      <c r="A10586" s="22" t="s">
        <v>8</v>
      </c>
      <c r="B10586" s="18" t="str">
        <f>"366362"</f>
        <v>366362</v>
      </c>
      <c r="C10586" s="19" t="s">
        <v>10424</v>
      </c>
      <c r="D10586" s="19" t="s">
        <v>25996</v>
      </c>
      <c r="E10586" s="19" t="s">
        <v>34413</v>
      </c>
      <c r="F10586" s="19" t="s">
        <v>36009</v>
      </c>
      <c r="G10586" s="18" t="str">
        <f>"44145"</f>
        <v>44145</v>
      </c>
      <c r="H10586" s="19" t="s">
        <v>36671</v>
      </c>
      <c r="I10586" s="20">
        <v>17.635999999999999</v>
      </c>
      <c r="J10586" s="44" t="s">
        <v>8</v>
      </c>
      <c r="K10586" s="23" t="s">
        <v>8</v>
      </c>
      <c r="L10586" s="23" t="s">
        <v>8</v>
      </c>
      <c r="M10586" s="23" t="s">
        <v>8</v>
      </c>
    </row>
    <row r="10587" spans="1:13" s="21" customFormat="1" x14ac:dyDescent="0.25">
      <c r="A10587" s="22" t="s">
        <v>8</v>
      </c>
      <c r="B10587" s="18" t="str">
        <f>"366363"</f>
        <v>366363</v>
      </c>
      <c r="C10587" s="19" t="s">
        <v>10425</v>
      </c>
      <c r="D10587" s="19" t="s">
        <v>25997</v>
      </c>
      <c r="E10587" s="19" t="s">
        <v>34436</v>
      </c>
      <c r="F10587" s="19" t="s">
        <v>36009</v>
      </c>
      <c r="G10587" s="18" t="str">
        <f>"43952"</f>
        <v>43952</v>
      </c>
      <c r="H10587" s="19" t="s">
        <v>32391</v>
      </c>
      <c r="I10587" s="20">
        <v>21.326000000000001</v>
      </c>
      <c r="J10587" s="44" t="s">
        <v>8</v>
      </c>
      <c r="K10587" s="23" t="s">
        <v>8</v>
      </c>
      <c r="L10587" s="23" t="s">
        <v>8</v>
      </c>
      <c r="M10587" s="23" t="s">
        <v>8</v>
      </c>
    </row>
    <row r="10588" spans="1:13" s="21" customFormat="1" x14ac:dyDescent="0.25">
      <c r="A10588" s="22" t="s">
        <v>8</v>
      </c>
      <c r="B10588" s="18" t="str">
        <f>"366364"</f>
        <v>366364</v>
      </c>
      <c r="C10588" s="19" t="s">
        <v>10426</v>
      </c>
      <c r="D10588" s="19" t="s">
        <v>25998</v>
      </c>
      <c r="E10588" s="19" t="s">
        <v>34412</v>
      </c>
      <c r="F10588" s="19" t="s">
        <v>36009</v>
      </c>
      <c r="G10588" s="18" t="str">
        <f>"45231"</f>
        <v>45231</v>
      </c>
      <c r="H10588" s="19" t="s">
        <v>30804</v>
      </c>
      <c r="I10588" s="20">
        <v>17.684999999999999</v>
      </c>
      <c r="J10588" s="44" t="s">
        <v>8</v>
      </c>
      <c r="K10588" s="23" t="s">
        <v>8</v>
      </c>
      <c r="L10588" s="23" t="s">
        <v>8</v>
      </c>
      <c r="M10588" s="23" t="s">
        <v>8</v>
      </c>
    </row>
    <row r="10589" spans="1:13" s="21" customFormat="1" x14ac:dyDescent="0.25">
      <c r="A10589" s="22" t="s">
        <v>8</v>
      </c>
      <c r="B10589" s="18" t="str">
        <f>"366365"</f>
        <v>366365</v>
      </c>
      <c r="C10589" s="19" t="s">
        <v>10427</v>
      </c>
      <c r="D10589" s="19" t="s">
        <v>25999</v>
      </c>
      <c r="E10589" s="19" t="s">
        <v>31892</v>
      </c>
      <c r="F10589" s="19" t="s">
        <v>36009</v>
      </c>
      <c r="G10589" s="18" t="str">
        <f>"44811"</f>
        <v>44811</v>
      </c>
      <c r="H10589" s="19" t="s">
        <v>34559</v>
      </c>
      <c r="I10589" s="20">
        <v>16.959</v>
      </c>
      <c r="J10589" s="44" t="s">
        <v>8</v>
      </c>
      <c r="K10589" s="23" t="s">
        <v>8</v>
      </c>
      <c r="L10589" s="23" t="s">
        <v>8</v>
      </c>
      <c r="M10589" s="23" t="s">
        <v>8</v>
      </c>
    </row>
    <row r="10590" spans="1:13" s="21" customFormat="1" x14ac:dyDescent="0.25">
      <c r="A10590" s="22" t="s">
        <v>8</v>
      </c>
      <c r="B10590" s="18" t="str">
        <f>"366366"</f>
        <v>366366</v>
      </c>
      <c r="C10590" s="19" t="s">
        <v>10428</v>
      </c>
      <c r="D10590" s="19" t="s">
        <v>26000</v>
      </c>
      <c r="E10590" s="19" t="s">
        <v>30870</v>
      </c>
      <c r="F10590" s="19" t="s">
        <v>36009</v>
      </c>
      <c r="G10590" s="18" t="str">
        <f>"44041"</f>
        <v>44041</v>
      </c>
      <c r="H10590" s="19" t="s">
        <v>34437</v>
      </c>
      <c r="I10590" s="20">
        <v>18.542999999999999</v>
      </c>
      <c r="J10590" s="44" t="s">
        <v>8</v>
      </c>
      <c r="K10590" s="23" t="s">
        <v>8</v>
      </c>
      <c r="L10590" s="23" t="s">
        <v>8</v>
      </c>
      <c r="M10590" s="23" t="s">
        <v>8</v>
      </c>
    </row>
    <row r="10591" spans="1:13" s="21" customFormat="1" x14ac:dyDescent="0.25">
      <c r="A10591" s="22" t="s">
        <v>8</v>
      </c>
      <c r="B10591" s="18" t="str">
        <f>"366367"</f>
        <v>366367</v>
      </c>
      <c r="C10591" s="19" t="s">
        <v>10429</v>
      </c>
      <c r="D10591" s="19" t="s">
        <v>26001</v>
      </c>
      <c r="E10591" s="19" t="s">
        <v>34511</v>
      </c>
      <c r="F10591" s="19" t="s">
        <v>36009</v>
      </c>
      <c r="G10591" s="18" t="str">
        <f>"43110"</f>
        <v>43110</v>
      </c>
      <c r="H10591" s="19" t="s">
        <v>5</v>
      </c>
      <c r="I10591" s="20">
        <v>16.713999999999999</v>
      </c>
      <c r="J10591" s="44" t="s">
        <v>8</v>
      </c>
      <c r="K10591" s="23" t="s">
        <v>8</v>
      </c>
      <c r="L10591" s="23" t="s">
        <v>8</v>
      </c>
      <c r="M10591" s="23" t="s">
        <v>8</v>
      </c>
    </row>
    <row r="10592" spans="1:13" s="21" customFormat="1" x14ac:dyDescent="0.25">
      <c r="A10592" s="22" t="s">
        <v>8</v>
      </c>
      <c r="B10592" s="18" t="str">
        <f>"366368"</f>
        <v>366368</v>
      </c>
      <c r="C10592" s="19" t="s">
        <v>10430</v>
      </c>
      <c r="D10592" s="19" t="s">
        <v>26002</v>
      </c>
      <c r="E10592" s="19" t="s">
        <v>32280</v>
      </c>
      <c r="F10592" s="19" t="s">
        <v>36009</v>
      </c>
      <c r="G10592" s="18" t="str">
        <f>"45458"</f>
        <v>45458</v>
      </c>
      <c r="H10592" s="19" t="s">
        <v>30833</v>
      </c>
      <c r="I10592" s="20">
        <v>18.948</v>
      </c>
      <c r="J10592" s="44" t="s">
        <v>8</v>
      </c>
      <c r="K10592" s="23" t="s">
        <v>8</v>
      </c>
      <c r="L10592" s="23" t="s">
        <v>8</v>
      </c>
      <c r="M10592" s="23" t="s">
        <v>8</v>
      </c>
    </row>
    <row r="10593" spans="1:13" s="21" customFormat="1" x14ac:dyDescent="0.25">
      <c r="A10593" s="22" t="s">
        <v>8</v>
      </c>
      <c r="B10593" s="18" t="str">
        <f>"366369"</f>
        <v>366369</v>
      </c>
      <c r="C10593" s="19" t="s">
        <v>10431</v>
      </c>
      <c r="D10593" s="19" t="s">
        <v>26003</v>
      </c>
      <c r="E10593" s="19" t="s">
        <v>34612</v>
      </c>
      <c r="F10593" s="19" t="s">
        <v>36009</v>
      </c>
      <c r="G10593" s="18" t="str">
        <f>"43076"</f>
        <v>43076</v>
      </c>
      <c r="H10593" s="19" t="s">
        <v>31503</v>
      </c>
      <c r="I10593" s="20">
        <v>20.483000000000001</v>
      </c>
      <c r="J10593" s="44" t="s">
        <v>8</v>
      </c>
      <c r="K10593" s="23" t="s">
        <v>8</v>
      </c>
      <c r="L10593" s="23" t="s">
        <v>8</v>
      </c>
      <c r="M10593" s="23" t="s">
        <v>8</v>
      </c>
    </row>
    <row r="10594" spans="1:13" s="21" customFormat="1" x14ac:dyDescent="0.25">
      <c r="A10594" s="22" t="s">
        <v>8</v>
      </c>
      <c r="B10594" s="18" t="str">
        <f>"366370"</f>
        <v>366370</v>
      </c>
      <c r="C10594" s="19" t="s">
        <v>10432</v>
      </c>
      <c r="D10594" s="19" t="s">
        <v>26004</v>
      </c>
      <c r="E10594" s="19" t="s">
        <v>34451</v>
      </c>
      <c r="F10594" s="19" t="s">
        <v>36009</v>
      </c>
      <c r="G10594" s="18" t="str">
        <f>"44833"</f>
        <v>44833</v>
      </c>
      <c r="H10594" s="19" t="s">
        <v>31759</v>
      </c>
      <c r="I10594" s="20">
        <v>15.62</v>
      </c>
      <c r="J10594" s="44" t="s">
        <v>8</v>
      </c>
      <c r="K10594" s="23" t="s">
        <v>8</v>
      </c>
      <c r="L10594" s="23" t="s">
        <v>8</v>
      </c>
      <c r="M10594" s="23" t="s">
        <v>8</v>
      </c>
    </row>
    <row r="10595" spans="1:13" s="21" customFormat="1" x14ac:dyDescent="0.25">
      <c r="A10595" s="22" t="s">
        <v>8</v>
      </c>
      <c r="B10595" s="18" t="str">
        <f>"366371"</f>
        <v>366371</v>
      </c>
      <c r="C10595" s="19" t="s">
        <v>10433</v>
      </c>
      <c r="D10595" s="19" t="s">
        <v>26005</v>
      </c>
      <c r="E10595" s="19" t="s">
        <v>31375</v>
      </c>
      <c r="F10595" s="19" t="s">
        <v>36009</v>
      </c>
      <c r="G10595" s="18" t="str">
        <f>"44310"</f>
        <v>44310</v>
      </c>
      <c r="H10595" s="19" t="s">
        <v>36107</v>
      </c>
      <c r="I10595" s="20">
        <v>18.977</v>
      </c>
      <c r="J10595" s="44" t="s">
        <v>8</v>
      </c>
      <c r="K10595" s="23" t="s">
        <v>8</v>
      </c>
      <c r="L10595" s="23" t="s">
        <v>8</v>
      </c>
      <c r="M10595" s="23" t="s">
        <v>8</v>
      </c>
    </row>
    <row r="10596" spans="1:13" s="21" customFormat="1" x14ac:dyDescent="0.25">
      <c r="A10596" s="22" t="s">
        <v>8</v>
      </c>
      <c r="B10596" s="18" t="str">
        <f>"366372"</f>
        <v>366372</v>
      </c>
      <c r="C10596" s="19" t="s">
        <v>10434</v>
      </c>
      <c r="D10596" s="19" t="s">
        <v>26006</v>
      </c>
      <c r="E10596" s="19" t="s">
        <v>31730</v>
      </c>
      <c r="F10596" s="19" t="s">
        <v>36009</v>
      </c>
      <c r="G10596" s="18" t="str">
        <f>"44050"</f>
        <v>44050</v>
      </c>
      <c r="H10596" s="19" t="s">
        <v>34482</v>
      </c>
      <c r="I10596" s="20">
        <v>20.334</v>
      </c>
      <c r="J10596" s="44" t="s">
        <v>8</v>
      </c>
      <c r="K10596" s="23" t="s">
        <v>8</v>
      </c>
      <c r="L10596" s="23" t="s">
        <v>8</v>
      </c>
      <c r="M10596" s="23" t="s">
        <v>8</v>
      </c>
    </row>
    <row r="10597" spans="1:13" s="21" customFormat="1" x14ac:dyDescent="0.25">
      <c r="A10597" s="22" t="s">
        <v>8</v>
      </c>
      <c r="B10597" s="18" t="str">
        <f>"366373"</f>
        <v>366373</v>
      </c>
      <c r="C10597" s="19" t="s">
        <v>10435</v>
      </c>
      <c r="D10597" s="19" t="s">
        <v>26007</v>
      </c>
      <c r="E10597" s="19" t="s">
        <v>34413</v>
      </c>
      <c r="F10597" s="19" t="s">
        <v>36009</v>
      </c>
      <c r="G10597" s="18" t="str">
        <f>"44145"</f>
        <v>44145</v>
      </c>
      <c r="H10597" s="19" t="s">
        <v>36671</v>
      </c>
      <c r="I10597" s="20">
        <v>17.260999999999999</v>
      </c>
      <c r="J10597" s="44" t="s">
        <v>8</v>
      </c>
      <c r="K10597" s="23" t="s">
        <v>8</v>
      </c>
      <c r="L10597" s="23" t="s">
        <v>8</v>
      </c>
      <c r="M10597" s="23" t="s">
        <v>8</v>
      </c>
    </row>
    <row r="10598" spans="1:13" s="21" customFormat="1" x14ac:dyDescent="0.25">
      <c r="A10598" s="22" t="s">
        <v>8</v>
      </c>
      <c r="B10598" s="18" t="str">
        <f>"366374"</f>
        <v>366374</v>
      </c>
      <c r="C10598" s="19" t="s">
        <v>10436</v>
      </c>
      <c r="D10598" s="19" t="s">
        <v>26008</v>
      </c>
      <c r="E10598" s="19" t="s">
        <v>31655</v>
      </c>
      <c r="F10598" s="19" t="s">
        <v>36009</v>
      </c>
      <c r="G10598" s="18" t="str">
        <f>"43026"</f>
        <v>43026</v>
      </c>
      <c r="H10598" s="19" t="s">
        <v>5</v>
      </c>
      <c r="I10598" s="20">
        <v>20.802</v>
      </c>
      <c r="J10598" s="44" t="s">
        <v>8</v>
      </c>
      <c r="K10598" s="23" t="s">
        <v>8</v>
      </c>
      <c r="L10598" s="23" t="s">
        <v>8</v>
      </c>
      <c r="M10598" s="23" t="s">
        <v>8</v>
      </c>
    </row>
    <row r="10599" spans="1:13" s="21" customFormat="1" x14ac:dyDescent="0.25">
      <c r="A10599" s="22" t="s">
        <v>8</v>
      </c>
      <c r="B10599" s="18" t="str">
        <f>"366375"</f>
        <v>366375</v>
      </c>
      <c r="C10599" s="19" t="s">
        <v>10437</v>
      </c>
      <c r="D10599" s="19" t="s">
        <v>26009</v>
      </c>
      <c r="E10599" s="19" t="s">
        <v>34613</v>
      </c>
      <c r="F10599" s="19" t="s">
        <v>36009</v>
      </c>
      <c r="G10599" s="18" t="str">
        <f>"44442"</f>
        <v>44442</v>
      </c>
      <c r="H10599" s="19" t="s">
        <v>36674</v>
      </c>
      <c r="I10599" s="20">
        <v>21.591000000000001</v>
      </c>
      <c r="J10599" s="44" t="s">
        <v>8</v>
      </c>
      <c r="K10599" s="23" t="s">
        <v>8</v>
      </c>
      <c r="L10599" s="23" t="s">
        <v>8</v>
      </c>
      <c r="M10599" s="23" t="s">
        <v>8</v>
      </c>
    </row>
    <row r="10600" spans="1:13" s="21" customFormat="1" x14ac:dyDescent="0.25">
      <c r="A10600" s="22" t="s">
        <v>8</v>
      </c>
      <c r="B10600" s="18" t="str">
        <f>"366376"</f>
        <v>366376</v>
      </c>
      <c r="C10600" s="19" t="s">
        <v>10438</v>
      </c>
      <c r="D10600" s="19" t="s">
        <v>26010</v>
      </c>
      <c r="E10600" s="19" t="s">
        <v>5</v>
      </c>
      <c r="F10600" s="19" t="s">
        <v>36009</v>
      </c>
      <c r="G10600" s="18" t="str">
        <f>"45005"</f>
        <v>45005</v>
      </c>
      <c r="H10600" s="19" t="s">
        <v>31025</v>
      </c>
      <c r="I10600" s="20">
        <v>19.507000000000001</v>
      </c>
      <c r="J10600" s="44" t="s">
        <v>8</v>
      </c>
      <c r="K10600" s="23" t="s">
        <v>8</v>
      </c>
      <c r="L10600" s="23" t="s">
        <v>8</v>
      </c>
      <c r="M10600" s="23" t="s">
        <v>8</v>
      </c>
    </row>
    <row r="10601" spans="1:13" s="21" customFormat="1" x14ac:dyDescent="0.25">
      <c r="A10601" s="22" t="s">
        <v>8</v>
      </c>
      <c r="B10601" s="18" t="str">
        <f>"366377"</f>
        <v>366377</v>
      </c>
      <c r="C10601" s="19" t="s">
        <v>10439</v>
      </c>
      <c r="D10601" s="19" t="s">
        <v>26011</v>
      </c>
      <c r="E10601" s="19" t="s">
        <v>34564</v>
      </c>
      <c r="F10601" s="19" t="s">
        <v>36009</v>
      </c>
      <c r="G10601" s="18" t="str">
        <f>"44143"</f>
        <v>44143</v>
      </c>
      <c r="H10601" s="19" t="s">
        <v>36671</v>
      </c>
      <c r="I10601" s="20">
        <v>21.535</v>
      </c>
      <c r="J10601" s="44" t="s">
        <v>8</v>
      </c>
      <c r="K10601" s="23" t="s">
        <v>8</v>
      </c>
      <c r="L10601" s="23" t="s">
        <v>8</v>
      </c>
      <c r="M10601" s="23" t="s">
        <v>8</v>
      </c>
    </row>
    <row r="10602" spans="1:13" s="21" customFormat="1" x14ac:dyDescent="0.25">
      <c r="A10602" s="22" t="s">
        <v>8</v>
      </c>
      <c r="B10602" s="18" t="str">
        <f>"366378"</f>
        <v>366378</v>
      </c>
      <c r="C10602" s="19" t="s">
        <v>10440</v>
      </c>
      <c r="D10602" s="19" t="s">
        <v>26012</v>
      </c>
      <c r="E10602" s="19" t="s">
        <v>34614</v>
      </c>
      <c r="F10602" s="19" t="s">
        <v>36009</v>
      </c>
      <c r="G10602" s="18" t="str">
        <f>"44413"</f>
        <v>44413</v>
      </c>
      <c r="H10602" s="19" t="s">
        <v>30927</v>
      </c>
      <c r="I10602" s="20">
        <v>17.321000000000002</v>
      </c>
      <c r="J10602" s="44" t="s">
        <v>8</v>
      </c>
      <c r="K10602" s="23" t="s">
        <v>8</v>
      </c>
      <c r="L10602" s="23" t="s">
        <v>8</v>
      </c>
      <c r="M10602" s="23" t="s">
        <v>8</v>
      </c>
    </row>
    <row r="10603" spans="1:13" s="21" customFormat="1" x14ac:dyDescent="0.25">
      <c r="A10603" s="22" t="s">
        <v>8</v>
      </c>
      <c r="B10603" s="18" t="str">
        <f>"366379"</f>
        <v>366379</v>
      </c>
      <c r="C10603" s="19" t="s">
        <v>10441</v>
      </c>
      <c r="D10603" s="19" t="s">
        <v>26013</v>
      </c>
      <c r="E10603" s="19" t="s">
        <v>34599</v>
      </c>
      <c r="F10603" s="19" t="s">
        <v>36009</v>
      </c>
      <c r="G10603" s="18" t="str">
        <f>"44023"</f>
        <v>44023</v>
      </c>
      <c r="H10603" s="19" t="s">
        <v>36686</v>
      </c>
      <c r="I10603" s="20">
        <v>22.018000000000001</v>
      </c>
      <c r="J10603" s="44" t="s">
        <v>8</v>
      </c>
      <c r="K10603" s="23" t="s">
        <v>8</v>
      </c>
      <c r="L10603" s="23" t="s">
        <v>8</v>
      </c>
      <c r="M10603" s="23" t="s">
        <v>8</v>
      </c>
    </row>
    <row r="10604" spans="1:13" s="21" customFormat="1" x14ac:dyDescent="0.25">
      <c r="A10604" s="22" t="s">
        <v>8</v>
      </c>
      <c r="B10604" s="18" t="str">
        <f>"366380"</f>
        <v>366380</v>
      </c>
      <c r="C10604" s="19" t="s">
        <v>10442</v>
      </c>
      <c r="D10604" s="19" t="s">
        <v>26014</v>
      </c>
      <c r="E10604" s="19" t="s">
        <v>34412</v>
      </c>
      <c r="F10604" s="19" t="s">
        <v>36009</v>
      </c>
      <c r="G10604" s="18" t="str">
        <f>"45227"</f>
        <v>45227</v>
      </c>
      <c r="H10604" s="19" t="s">
        <v>30804</v>
      </c>
      <c r="I10604" s="20">
        <v>17.88</v>
      </c>
      <c r="J10604" s="44" t="s">
        <v>8</v>
      </c>
      <c r="K10604" s="23" t="s">
        <v>8</v>
      </c>
      <c r="L10604" s="23" t="s">
        <v>8</v>
      </c>
      <c r="M10604" s="23" t="s">
        <v>8</v>
      </c>
    </row>
    <row r="10605" spans="1:13" s="21" customFormat="1" x14ac:dyDescent="0.25">
      <c r="A10605" s="22" t="s">
        <v>8</v>
      </c>
      <c r="B10605" s="18" t="str">
        <f>"366381"</f>
        <v>366381</v>
      </c>
      <c r="C10605" s="19" t="s">
        <v>10443</v>
      </c>
      <c r="D10605" s="19" t="s">
        <v>26015</v>
      </c>
      <c r="E10605" s="19" t="s">
        <v>34460</v>
      </c>
      <c r="F10605" s="19" t="s">
        <v>36009</v>
      </c>
      <c r="G10605" s="18" t="str">
        <f>"45694"</f>
        <v>45694</v>
      </c>
      <c r="H10605" s="19" t="s">
        <v>36678</v>
      </c>
      <c r="I10605" s="20">
        <v>18.459</v>
      </c>
      <c r="J10605" s="44" t="s">
        <v>8</v>
      </c>
      <c r="K10605" s="23" t="s">
        <v>8</v>
      </c>
      <c r="L10605" s="23" t="s">
        <v>8</v>
      </c>
      <c r="M10605" s="23" t="s">
        <v>8</v>
      </c>
    </row>
    <row r="10606" spans="1:13" s="21" customFormat="1" x14ac:dyDescent="0.25">
      <c r="A10606" s="22" t="s">
        <v>8</v>
      </c>
      <c r="B10606" s="18" t="str">
        <f>"366382"</f>
        <v>366382</v>
      </c>
      <c r="C10606" s="19" t="s">
        <v>10444</v>
      </c>
      <c r="D10606" s="19" t="s">
        <v>26016</v>
      </c>
      <c r="E10606" s="19" t="s">
        <v>34437</v>
      </c>
      <c r="F10606" s="19" t="s">
        <v>36009</v>
      </c>
      <c r="G10606" s="18" t="str">
        <f>"44004"</f>
        <v>44004</v>
      </c>
      <c r="H10606" s="19" t="s">
        <v>34437</v>
      </c>
      <c r="I10606" s="20">
        <v>18.212</v>
      </c>
      <c r="J10606" s="44" t="s">
        <v>8</v>
      </c>
      <c r="K10606" s="23" t="s">
        <v>8</v>
      </c>
      <c r="L10606" s="23" t="s">
        <v>8</v>
      </c>
      <c r="M10606" s="23" t="s">
        <v>8</v>
      </c>
    </row>
    <row r="10607" spans="1:13" s="21" customFormat="1" x14ac:dyDescent="0.25">
      <c r="A10607" s="22" t="s">
        <v>8</v>
      </c>
      <c r="B10607" s="18" t="str">
        <f>"366383"</f>
        <v>366383</v>
      </c>
      <c r="C10607" s="19" t="s">
        <v>10445</v>
      </c>
      <c r="D10607" s="19" t="s">
        <v>26017</v>
      </c>
      <c r="E10607" s="19" t="s">
        <v>31810</v>
      </c>
      <c r="F10607" s="19" t="s">
        <v>36009</v>
      </c>
      <c r="G10607" s="18" t="str">
        <f>"44106"</f>
        <v>44106</v>
      </c>
      <c r="H10607" s="19" t="s">
        <v>36671</v>
      </c>
      <c r="I10607" s="20">
        <v>18.818999999999999</v>
      </c>
      <c r="J10607" s="44" t="s">
        <v>8</v>
      </c>
      <c r="K10607" s="23" t="s">
        <v>8</v>
      </c>
      <c r="L10607" s="23" t="s">
        <v>8</v>
      </c>
      <c r="M10607" s="23" t="s">
        <v>8</v>
      </c>
    </row>
    <row r="10608" spans="1:13" s="21" customFormat="1" x14ac:dyDescent="0.25">
      <c r="A10608" s="22" t="s">
        <v>8</v>
      </c>
      <c r="B10608" s="18" t="str">
        <f>"366384"</f>
        <v>366384</v>
      </c>
      <c r="C10608" s="19" t="s">
        <v>10446</v>
      </c>
      <c r="D10608" s="19" t="s">
        <v>26018</v>
      </c>
      <c r="E10608" s="19" t="s">
        <v>31337</v>
      </c>
      <c r="F10608" s="19" t="s">
        <v>36009</v>
      </c>
      <c r="G10608" s="18" t="str">
        <f>"45322"</f>
        <v>45322</v>
      </c>
      <c r="H10608" s="19" t="s">
        <v>30833</v>
      </c>
      <c r="I10608" s="20">
        <v>19.414000000000001</v>
      </c>
      <c r="J10608" s="44" t="s">
        <v>8</v>
      </c>
      <c r="K10608" s="23" t="s">
        <v>8</v>
      </c>
      <c r="L10608" s="23" t="s">
        <v>8</v>
      </c>
      <c r="M10608" s="23" t="s">
        <v>8</v>
      </c>
    </row>
    <row r="10609" spans="1:13" s="21" customFormat="1" x14ac:dyDescent="0.25">
      <c r="A10609" s="22" t="s">
        <v>8</v>
      </c>
      <c r="B10609" s="18" t="str">
        <f>"366385"</f>
        <v>366385</v>
      </c>
      <c r="C10609" s="19" t="s">
        <v>10447</v>
      </c>
      <c r="D10609" s="19" t="s">
        <v>26019</v>
      </c>
      <c r="E10609" s="19" t="s">
        <v>34610</v>
      </c>
      <c r="F10609" s="19" t="s">
        <v>36009</v>
      </c>
      <c r="G10609" s="18" t="str">
        <f>"44087"</f>
        <v>44087</v>
      </c>
      <c r="H10609" s="19" t="s">
        <v>36107</v>
      </c>
      <c r="I10609" s="20">
        <v>22.51</v>
      </c>
      <c r="J10609" s="44" t="s">
        <v>8</v>
      </c>
      <c r="K10609" s="23" t="s">
        <v>8</v>
      </c>
      <c r="L10609" s="23" t="s">
        <v>8</v>
      </c>
      <c r="M10609" s="23" t="s">
        <v>8</v>
      </c>
    </row>
    <row r="10610" spans="1:13" s="21" customFormat="1" x14ac:dyDescent="0.25">
      <c r="A10610" s="22" t="s">
        <v>8</v>
      </c>
      <c r="B10610" s="18" t="str">
        <f>"366386"</f>
        <v>366386</v>
      </c>
      <c r="C10610" s="19" t="s">
        <v>10448</v>
      </c>
      <c r="D10610" s="19" t="s">
        <v>26020</v>
      </c>
      <c r="E10610" s="19" t="s">
        <v>34412</v>
      </c>
      <c r="F10610" s="19" t="s">
        <v>36009</v>
      </c>
      <c r="G10610" s="18" t="str">
        <f>"45208"</f>
        <v>45208</v>
      </c>
      <c r="H10610" s="19" t="s">
        <v>30804</v>
      </c>
      <c r="I10610" s="20">
        <v>17.981999999999999</v>
      </c>
      <c r="J10610" s="44" t="s">
        <v>8</v>
      </c>
      <c r="K10610" s="23" t="s">
        <v>8</v>
      </c>
      <c r="L10610" s="23" t="s">
        <v>8</v>
      </c>
      <c r="M10610" s="23" t="s">
        <v>8</v>
      </c>
    </row>
    <row r="10611" spans="1:13" s="21" customFormat="1" x14ac:dyDescent="0.25">
      <c r="A10611" s="22" t="s">
        <v>8</v>
      </c>
      <c r="B10611" s="18" t="str">
        <f>"366387"</f>
        <v>366387</v>
      </c>
      <c r="C10611" s="19" t="s">
        <v>10449</v>
      </c>
      <c r="D10611" s="19" t="s">
        <v>26021</v>
      </c>
      <c r="E10611" s="19" t="s">
        <v>31655</v>
      </c>
      <c r="F10611" s="19" t="s">
        <v>36009</v>
      </c>
      <c r="G10611" s="18" t="str">
        <f>"43026"</f>
        <v>43026</v>
      </c>
      <c r="H10611" s="19" t="s">
        <v>5</v>
      </c>
      <c r="I10611" s="20">
        <v>19.062999999999999</v>
      </c>
      <c r="J10611" s="44" t="s">
        <v>8</v>
      </c>
      <c r="K10611" s="23" t="s">
        <v>8</v>
      </c>
      <c r="L10611" s="23" t="s">
        <v>8</v>
      </c>
      <c r="M10611" s="23" t="s">
        <v>8</v>
      </c>
    </row>
    <row r="10612" spans="1:13" s="21" customFormat="1" x14ac:dyDescent="0.25">
      <c r="A10612" s="22" t="s">
        <v>8</v>
      </c>
      <c r="B10612" s="18" t="str">
        <f>"366388"</f>
        <v>366388</v>
      </c>
      <c r="C10612" s="19" t="s">
        <v>10450</v>
      </c>
      <c r="D10612" s="19" t="s">
        <v>26022</v>
      </c>
      <c r="E10612" s="19" t="s">
        <v>32369</v>
      </c>
      <c r="F10612" s="19" t="s">
        <v>36009</v>
      </c>
      <c r="G10612" s="18" t="str">
        <f>"45414"</f>
        <v>45414</v>
      </c>
      <c r="H10612" s="19" t="s">
        <v>30833</v>
      </c>
      <c r="I10612" s="20">
        <v>16.940999999999999</v>
      </c>
      <c r="J10612" s="44" t="s">
        <v>8</v>
      </c>
      <c r="K10612" s="23" t="s">
        <v>8</v>
      </c>
      <c r="L10612" s="23" t="s">
        <v>8</v>
      </c>
      <c r="M10612" s="23" t="s">
        <v>8</v>
      </c>
    </row>
    <row r="10613" spans="1:13" s="21" customFormat="1" x14ac:dyDescent="0.25">
      <c r="A10613" s="22" t="s">
        <v>8</v>
      </c>
      <c r="B10613" s="18" t="str">
        <f>"366389"</f>
        <v>366389</v>
      </c>
      <c r="C10613" s="19" t="s">
        <v>8515</v>
      </c>
      <c r="D10613" s="19" t="s">
        <v>26023</v>
      </c>
      <c r="E10613" s="19" t="s">
        <v>34412</v>
      </c>
      <c r="F10613" s="19" t="s">
        <v>36009</v>
      </c>
      <c r="G10613" s="18" t="str">
        <f>"45244"</f>
        <v>45244</v>
      </c>
      <c r="H10613" s="19" t="s">
        <v>30804</v>
      </c>
      <c r="I10613" s="20">
        <v>17.126000000000001</v>
      </c>
      <c r="J10613" s="44" t="s">
        <v>8</v>
      </c>
      <c r="K10613" s="23" t="s">
        <v>8</v>
      </c>
      <c r="L10613" s="23" t="s">
        <v>8</v>
      </c>
      <c r="M10613" s="23" t="s">
        <v>8</v>
      </c>
    </row>
    <row r="10614" spans="1:13" s="21" customFormat="1" x14ac:dyDescent="0.25">
      <c r="A10614" s="22" t="s">
        <v>8</v>
      </c>
      <c r="B10614" s="18" t="str">
        <f>"366390"</f>
        <v>366390</v>
      </c>
      <c r="C10614" s="19" t="s">
        <v>10451</v>
      </c>
      <c r="D10614" s="19" t="s">
        <v>26024</v>
      </c>
      <c r="E10614" s="19" t="s">
        <v>34529</v>
      </c>
      <c r="F10614" s="19" t="s">
        <v>36009</v>
      </c>
      <c r="G10614" s="18" t="str">
        <f>"44142"</f>
        <v>44142</v>
      </c>
      <c r="H10614" s="19" t="s">
        <v>36671</v>
      </c>
      <c r="I10614" s="20">
        <v>16.416</v>
      </c>
      <c r="J10614" s="44" t="s">
        <v>8</v>
      </c>
      <c r="K10614" s="23" t="s">
        <v>8</v>
      </c>
      <c r="L10614" s="23" t="s">
        <v>8</v>
      </c>
      <c r="M10614" s="23" t="s">
        <v>8</v>
      </c>
    </row>
    <row r="10615" spans="1:13" s="21" customFormat="1" x14ac:dyDescent="0.25">
      <c r="A10615" s="22" t="s">
        <v>8</v>
      </c>
      <c r="B10615" s="18" t="str">
        <f>"366391"</f>
        <v>366391</v>
      </c>
      <c r="C10615" s="19" t="s">
        <v>10452</v>
      </c>
      <c r="D10615" s="19" t="s">
        <v>26025</v>
      </c>
      <c r="E10615" s="19" t="s">
        <v>31791</v>
      </c>
      <c r="F10615" s="19" t="s">
        <v>36009</v>
      </c>
      <c r="G10615" s="18" t="str">
        <f>"44708"</f>
        <v>44708</v>
      </c>
      <c r="H10615" s="19" t="s">
        <v>36240</v>
      </c>
      <c r="I10615" s="20">
        <v>18.989000000000001</v>
      </c>
      <c r="J10615" s="44" t="s">
        <v>8</v>
      </c>
      <c r="K10615" s="23" t="s">
        <v>8</v>
      </c>
      <c r="L10615" s="23" t="s">
        <v>8</v>
      </c>
      <c r="M10615" s="23" t="s">
        <v>8</v>
      </c>
    </row>
    <row r="10616" spans="1:13" s="21" customFormat="1" x14ac:dyDescent="0.25">
      <c r="A10616" s="22" t="s">
        <v>8</v>
      </c>
      <c r="B10616" s="18" t="str">
        <f>"366392"</f>
        <v>366392</v>
      </c>
      <c r="C10616" s="19" t="s">
        <v>10453</v>
      </c>
      <c r="D10616" s="19" t="s">
        <v>26026</v>
      </c>
      <c r="E10616" s="19" t="s">
        <v>31294</v>
      </c>
      <c r="F10616" s="19" t="s">
        <v>36009</v>
      </c>
      <c r="G10616" s="18" t="str">
        <f>"44214"</f>
        <v>44214</v>
      </c>
      <c r="H10616" s="19" t="s">
        <v>33280</v>
      </c>
      <c r="I10616" s="20">
        <v>18.001000000000001</v>
      </c>
      <c r="J10616" s="44" t="s">
        <v>8</v>
      </c>
      <c r="K10616" s="23" t="s">
        <v>8</v>
      </c>
      <c r="L10616" s="23" t="s">
        <v>8</v>
      </c>
      <c r="M10616" s="23" t="s">
        <v>8</v>
      </c>
    </row>
    <row r="10617" spans="1:13" s="21" customFormat="1" x14ac:dyDescent="0.25">
      <c r="A10617" s="22" t="s">
        <v>8</v>
      </c>
      <c r="B10617" s="18" t="str">
        <f>"366393"</f>
        <v>366393</v>
      </c>
      <c r="C10617" s="19" t="s">
        <v>10454</v>
      </c>
      <c r="D10617" s="19" t="s">
        <v>26027</v>
      </c>
      <c r="E10617" s="19" t="s">
        <v>34615</v>
      </c>
      <c r="F10617" s="19" t="s">
        <v>36009</v>
      </c>
      <c r="G10617" s="18" t="str">
        <f>"45039"</f>
        <v>45039</v>
      </c>
      <c r="H10617" s="19" t="s">
        <v>31025</v>
      </c>
      <c r="I10617" s="20">
        <v>16.66</v>
      </c>
      <c r="J10617" s="44" t="s">
        <v>8</v>
      </c>
      <c r="K10617" s="23" t="s">
        <v>8</v>
      </c>
      <c r="L10617" s="23" t="s">
        <v>8</v>
      </c>
      <c r="M10617" s="23" t="s">
        <v>8</v>
      </c>
    </row>
    <row r="10618" spans="1:13" s="21" customFormat="1" x14ac:dyDescent="0.25">
      <c r="A10618" s="22" t="s">
        <v>8</v>
      </c>
      <c r="B10618" s="18" t="str">
        <f>"366394"</f>
        <v>366394</v>
      </c>
      <c r="C10618" s="19" t="s">
        <v>10455</v>
      </c>
      <c r="D10618" s="19" t="s">
        <v>26028</v>
      </c>
      <c r="E10618" s="19" t="s">
        <v>34616</v>
      </c>
      <c r="F10618" s="19" t="s">
        <v>36009</v>
      </c>
      <c r="G10618" s="18" t="str">
        <f>"44128"</f>
        <v>44128</v>
      </c>
      <c r="H10618" s="19" t="s">
        <v>36671</v>
      </c>
      <c r="I10618" s="20">
        <v>18.298999999999999</v>
      </c>
      <c r="J10618" s="44" t="s">
        <v>8</v>
      </c>
      <c r="K10618" s="23" t="s">
        <v>8</v>
      </c>
      <c r="L10618" s="23" t="s">
        <v>8</v>
      </c>
      <c r="M10618" s="23" t="s">
        <v>8</v>
      </c>
    </row>
    <row r="10619" spans="1:13" s="21" customFormat="1" x14ac:dyDescent="0.25">
      <c r="A10619" s="22" t="s">
        <v>8</v>
      </c>
      <c r="B10619" s="18" t="str">
        <f>"366395"</f>
        <v>366395</v>
      </c>
      <c r="C10619" s="19" t="s">
        <v>10456</v>
      </c>
      <c r="D10619" s="19" t="s">
        <v>26029</v>
      </c>
      <c r="E10619" s="19" t="s">
        <v>34617</v>
      </c>
      <c r="F10619" s="19" t="s">
        <v>36009</v>
      </c>
      <c r="G10619" s="18" t="str">
        <f>"44141"</f>
        <v>44141</v>
      </c>
      <c r="H10619" s="19" t="s">
        <v>36671</v>
      </c>
      <c r="I10619" s="20">
        <v>14.419</v>
      </c>
      <c r="J10619" s="44" t="s">
        <v>8</v>
      </c>
      <c r="K10619" s="23" t="s">
        <v>8</v>
      </c>
      <c r="L10619" s="23" t="s">
        <v>8</v>
      </c>
      <c r="M10619" s="23" t="s">
        <v>8</v>
      </c>
    </row>
    <row r="10620" spans="1:13" s="21" customFormat="1" x14ac:dyDescent="0.25">
      <c r="A10620" s="22" t="s">
        <v>8</v>
      </c>
      <c r="B10620" s="18" t="str">
        <f>"366396"</f>
        <v>366396</v>
      </c>
      <c r="C10620" s="19" t="s">
        <v>10457</v>
      </c>
      <c r="D10620" s="19" t="s">
        <v>26030</v>
      </c>
      <c r="E10620" s="19" t="s">
        <v>30824</v>
      </c>
      <c r="F10620" s="19" t="s">
        <v>36009</v>
      </c>
      <c r="G10620" s="18" t="str">
        <f>"45701"</f>
        <v>45701</v>
      </c>
      <c r="H10620" s="19" t="s">
        <v>30824</v>
      </c>
      <c r="I10620" s="20">
        <v>16.373000000000001</v>
      </c>
      <c r="J10620" s="44" t="s">
        <v>8</v>
      </c>
      <c r="K10620" s="23" t="s">
        <v>8</v>
      </c>
      <c r="L10620" s="23" t="s">
        <v>8</v>
      </c>
      <c r="M10620" s="23" t="s">
        <v>8</v>
      </c>
    </row>
    <row r="10621" spans="1:13" s="21" customFormat="1" x14ac:dyDescent="0.25">
      <c r="A10621" s="22" t="s">
        <v>8</v>
      </c>
      <c r="B10621" s="18" t="str">
        <f>"366397"</f>
        <v>366397</v>
      </c>
      <c r="C10621" s="19" t="s">
        <v>10458</v>
      </c>
      <c r="D10621" s="19" t="s">
        <v>26031</v>
      </c>
      <c r="E10621" s="19" t="s">
        <v>34459</v>
      </c>
      <c r="F10621" s="19" t="s">
        <v>36009</v>
      </c>
      <c r="G10621" s="18" t="str">
        <f>"43701"</f>
        <v>43701</v>
      </c>
      <c r="H10621" s="19" t="s">
        <v>36680</v>
      </c>
      <c r="I10621" s="20">
        <v>18.631</v>
      </c>
      <c r="J10621" s="44" t="s">
        <v>8</v>
      </c>
      <c r="K10621" s="23" t="s">
        <v>8</v>
      </c>
      <c r="L10621" s="23" t="s">
        <v>8</v>
      </c>
      <c r="M10621" s="23" t="s">
        <v>8</v>
      </c>
    </row>
    <row r="10622" spans="1:13" s="21" customFormat="1" x14ac:dyDescent="0.25">
      <c r="A10622" s="22" t="s">
        <v>8</v>
      </c>
      <c r="B10622" s="18" t="str">
        <f>"366399"</f>
        <v>366399</v>
      </c>
      <c r="C10622" s="19" t="s">
        <v>10459</v>
      </c>
      <c r="D10622" s="19" t="s">
        <v>26032</v>
      </c>
      <c r="E10622" s="19" t="s">
        <v>34412</v>
      </c>
      <c r="F10622" s="19" t="s">
        <v>36009</v>
      </c>
      <c r="G10622" s="18" t="str">
        <f>"45211"</f>
        <v>45211</v>
      </c>
      <c r="H10622" s="19" t="s">
        <v>30804</v>
      </c>
      <c r="I10622" s="20">
        <v>18.504000000000001</v>
      </c>
      <c r="J10622" s="44" t="s">
        <v>8</v>
      </c>
      <c r="K10622" s="23" t="s">
        <v>8</v>
      </c>
      <c r="L10622" s="23" t="s">
        <v>8</v>
      </c>
      <c r="M10622" s="23" t="s">
        <v>8</v>
      </c>
    </row>
    <row r="10623" spans="1:13" s="21" customFormat="1" x14ac:dyDescent="0.25">
      <c r="A10623" s="22" t="s">
        <v>8</v>
      </c>
      <c r="B10623" s="18" t="str">
        <f>"366400"</f>
        <v>366400</v>
      </c>
      <c r="C10623" s="19" t="s">
        <v>10460</v>
      </c>
      <c r="D10623" s="19" t="s">
        <v>26033</v>
      </c>
      <c r="E10623" s="19" t="s">
        <v>34618</v>
      </c>
      <c r="F10623" s="19" t="s">
        <v>36009</v>
      </c>
      <c r="G10623" s="18" t="str">
        <f>"45431"</f>
        <v>45431</v>
      </c>
      <c r="H10623" s="19" t="s">
        <v>32455</v>
      </c>
      <c r="I10623" s="20">
        <v>18.169</v>
      </c>
      <c r="J10623" s="44" t="s">
        <v>8</v>
      </c>
      <c r="K10623" s="23" t="s">
        <v>8</v>
      </c>
      <c r="L10623" s="23" t="s">
        <v>8</v>
      </c>
      <c r="M10623" s="23" t="s">
        <v>8</v>
      </c>
    </row>
    <row r="10624" spans="1:13" s="21" customFormat="1" x14ac:dyDescent="0.25">
      <c r="A10624" s="22" t="s">
        <v>8</v>
      </c>
      <c r="B10624" s="18" t="str">
        <f>"366401"</f>
        <v>366401</v>
      </c>
      <c r="C10624" s="19" t="s">
        <v>10461</v>
      </c>
      <c r="D10624" s="19" t="s">
        <v>26034</v>
      </c>
      <c r="E10624" s="19" t="s">
        <v>32684</v>
      </c>
      <c r="F10624" s="19" t="s">
        <v>36009</v>
      </c>
      <c r="G10624" s="18" t="str">
        <f>"43402"</f>
        <v>43402</v>
      </c>
      <c r="H10624" s="19" t="s">
        <v>36673</v>
      </c>
      <c r="I10624" s="20">
        <v>21.268000000000001</v>
      </c>
      <c r="J10624" s="44" t="s">
        <v>8</v>
      </c>
      <c r="K10624" s="23" t="s">
        <v>8</v>
      </c>
      <c r="L10624" s="23" t="s">
        <v>8</v>
      </c>
      <c r="M10624" s="23" t="s">
        <v>8</v>
      </c>
    </row>
    <row r="10625" spans="1:13" s="21" customFormat="1" x14ac:dyDescent="0.25">
      <c r="A10625" s="22" t="s">
        <v>8</v>
      </c>
      <c r="B10625" s="18" t="str">
        <f>"366402"</f>
        <v>366402</v>
      </c>
      <c r="C10625" s="19" t="s">
        <v>10462</v>
      </c>
      <c r="D10625" s="19" t="s">
        <v>26035</v>
      </c>
      <c r="E10625" s="19" t="s">
        <v>32266</v>
      </c>
      <c r="F10625" s="19" t="s">
        <v>36009</v>
      </c>
      <c r="G10625" s="18" t="str">
        <f>"45817"</f>
        <v>45817</v>
      </c>
      <c r="H10625" s="19" t="s">
        <v>34710</v>
      </c>
      <c r="I10625" s="20">
        <v>18.917999999999999</v>
      </c>
      <c r="J10625" s="44" t="s">
        <v>8</v>
      </c>
      <c r="K10625" s="23" t="s">
        <v>8</v>
      </c>
      <c r="L10625" s="23" t="s">
        <v>8</v>
      </c>
      <c r="M10625" s="23" t="s">
        <v>8</v>
      </c>
    </row>
    <row r="10626" spans="1:13" s="21" customFormat="1" x14ac:dyDescent="0.25">
      <c r="A10626" s="22" t="s">
        <v>8</v>
      </c>
      <c r="B10626" s="18" t="str">
        <f>"366403"</f>
        <v>366403</v>
      </c>
      <c r="C10626" s="19" t="s">
        <v>10463</v>
      </c>
      <c r="D10626" s="19" t="s">
        <v>26036</v>
      </c>
      <c r="E10626" s="19" t="s">
        <v>34438</v>
      </c>
      <c r="F10626" s="19" t="s">
        <v>36009</v>
      </c>
      <c r="G10626" s="18" t="str">
        <f>"44223"</f>
        <v>44223</v>
      </c>
      <c r="H10626" s="19" t="s">
        <v>36107</v>
      </c>
      <c r="I10626" s="20">
        <v>18.802</v>
      </c>
      <c r="J10626" s="44" t="s">
        <v>8</v>
      </c>
      <c r="K10626" s="23" t="s">
        <v>8</v>
      </c>
      <c r="L10626" s="23" t="s">
        <v>8</v>
      </c>
      <c r="M10626" s="23" t="s">
        <v>8</v>
      </c>
    </row>
    <row r="10627" spans="1:13" s="21" customFormat="1" x14ac:dyDescent="0.25">
      <c r="A10627" s="22" t="s">
        <v>8</v>
      </c>
      <c r="B10627" s="18" t="str">
        <f>"366404"</f>
        <v>366404</v>
      </c>
      <c r="C10627" s="19" t="s">
        <v>10464</v>
      </c>
      <c r="D10627" s="19" t="s">
        <v>26037</v>
      </c>
      <c r="E10627" s="19" t="s">
        <v>31588</v>
      </c>
      <c r="F10627" s="19" t="s">
        <v>36009</v>
      </c>
      <c r="G10627" s="18" t="str">
        <f>"44236"</f>
        <v>44236</v>
      </c>
      <c r="H10627" s="19" t="s">
        <v>36107</v>
      </c>
      <c r="I10627" s="20">
        <v>20.422000000000001</v>
      </c>
      <c r="J10627" s="44" t="s">
        <v>8</v>
      </c>
      <c r="K10627" s="23" t="s">
        <v>8</v>
      </c>
      <c r="L10627" s="23" t="s">
        <v>8</v>
      </c>
      <c r="M10627" s="23" t="s">
        <v>8</v>
      </c>
    </row>
    <row r="10628" spans="1:13" s="21" customFormat="1" x14ac:dyDescent="0.25">
      <c r="A10628" s="22" t="s">
        <v>8</v>
      </c>
      <c r="B10628" s="18" t="str">
        <f>"366405"</f>
        <v>366405</v>
      </c>
      <c r="C10628" s="19" t="s">
        <v>10465</v>
      </c>
      <c r="D10628" s="19" t="s">
        <v>26038</v>
      </c>
      <c r="E10628" s="19" t="s">
        <v>34444</v>
      </c>
      <c r="F10628" s="19" t="s">
        <v>36009</v>
      </c>
      <c r="G10628" s="18" t="str">
        <f>"44691"</f>
        <v>44691</v>
      </c>
      <c r="H10628" s="19" t="s">
        <v>33280</v>
      </c>
      <c r="I10628" s="20">
        <v>18.981000000000002</v>
      </c>
      <c r="J10628" s="44" t="s">
        <v>8</v>
      </c>
      <c r="K10628" s="23" t="s">
        <v>8</v>
      </c>
      <c r="L10628" s="23" t="s">
        <v>8</v>
      </c>
      <c r="M10628" s="23" t="s">
        <v>8</v>
      </c>
    </row>
    <row r="10629" spans="1:13" s="21" customFormat="1" x14ac:dyDescent="0.25">
      <c r="A10629" s="22" t="s">
        <v>8</v>
      </c>
      <c r="B10629" s="18" t="str">
        <f>"366406"</f>
        <v>366406</v>
      </c>
      <c r="C10629" s="19" t="s">
        <v>10466</v>
      </c>
      <c r="D10629" s="19" t="s">
        <v>26039</v>
      </c>
      <c r="E10629" s="19" t="s">
        <v>34558</v>
      </c>
      <c r="F10629" s="19" t="s">
        <v>36009</v>
      </c>
      <c r="G10629" s="18" t="str">
        <f>"43537"</f>
        <v>43537</v>
      </c>
      <c r="H10629" s="19" t="s">
        <v>36287</v>
      </c>
      <c r="I10629" s="20">
        <v>22.07</v>
      </c>
      <c r="J10629" s="44" t="s">
        <v>8</v>
      </c>
      <c r="K10629" s="23" t="s">
        <v>8</v>
      </c>
      <c r="L10629" s="23" t="s">
        <v>8</v>
      </c>
      <c r="M10629" s="23" t="s">
        <v>8</v>
      </c>
    </row>
    <row r="10630" spans="1:13" s="21" customFormat="1" x14ac:dyDescent="0.25">
      <c r="A10630" s="22" t="s">
        <v>8</v>
      </c>
      <c r="B10630" s="18" t="str">
        <f>"366407"</f>
        <v>366407</v>
      </c>
      <c r="C10630" s="19" t="s">
        <v>10467</v>
      </c>
      <c r="D10630" s="19" t="s">
        <v>26040</v>
      </c>
      <c r="E10630" s="19" t="s">
        <v>34102</v>
      </c>
      <c r="F10630" s="19" t="s">
        <v>36009</v>
      </c>
      <c r="G10630" s="18" t="str">
        <f>"44256"</f>
        <v>44256</v>
      </c>
      <c r="H10630" s="19" t="s">
        <v>34102</v>
      </c>
      <c r="I10630" s="20">
        <v>16.219000000000001</v>
      </c>
      <c r="J10630" s="44" t="s">
        <v>8</v>
      </c>
      <c r="K10630" s="23" t="s">
        <v>8</v>
      </c>
      <c r="L10630" s="23" t="s">
        <v>8</v>
      </c>
      <c r="M10630" s="23" t="s">
        <v>8</v>
      </c>
    </row>
    <row r="10631" spans="1:13" s="21" customFormat="1" x14ac:dyDescent="0.25">
      <c r="A10631" s="22" t="s">
        <v>8</v>
      </c>
      <c r="B10631" s="18" t="str">
        <f>"366408"</f>
        <v>366408</v>
      </c>
      <c r="C10631" s="19" t="s">
        <v>10468</v>
      </c>
      <c r="D10631" s="19" t="s">
        <v>26041</v>
      </c>
      <c r="E10631" s="19" t="s">
        <v>34412</v>
      </c>
      <c r="F10631" s="19" t="s">
        <v>36009</v>
      </c>
      <c r="G10631" s="18" t="str">
        <f>"45245"</f>
        <v>45245</v>
      </c>
      <c r="H10631" s="19" t="s">
        <v>31621</v>
      </c>
      <c r="I10631" s="20">
        <v>21.81</v>
      </c>
      <c r="J10631" s="44" t="s">
        <v>8</v>
      </c>
      <c r="K10631" s="23" t="s">
        <v>8</v>
      </c>
      <c r="L10631" s="23" t="s">
        <v>8</v>
      </c>
      <c r="M10631" s="23" t="s">
        <v>8</v>
      </c>
    </row>
    <row r="10632" spans="1:13" s="21" customFormat="1" x14ac:dyDescent="0.25">
      <c r="A10632" s="22" t="s">
        <v>8</v>
      </c>
      <c r="B10632" s="18" t="str">
        <f>"366409"</f>
        <v>366409</v>
      </c>
      <c r="C10632" s="19" t="s">
        <v>10469</v>
      </c>
      <c r="D10632" s="19" t="s">
        <v>26042</v>
      </c>
      <c r="E10632" s="19" t="s">
        <v>34480</v>
      </c>
      <c r="F10632" s="19" t="s">
        <v>36009</v>
      </c>
      <c r="G10632" s="18" t="str">
        <f>"43551"</f>
        <v>43551</v>
      </c>
      <c r="H10632" s="19" t="s">
        <v>36673</v>
      </c>
      <c r="I10632" s="20">
        <v>15.983000000000001</v>
      </c>
      <c r="J10632" s="44" t="s">
        <v>8</v>
      </c>
      <c r="K10632" s="23" t="s">
        <v>8</v>
      </c>
      <c r="L10632" s="23" t="s">
        <v>8</v>
      </c>
      <c r="M10632" s="23" t="s">
        <v>8</v>
      </c>
    </row>
    <row r="10633" spans="1:13" s="21" customFormat="1" x14ac:dyDescent="0.25">
      <c r="A10633" s="22" t="s">
        <v>8</v>
      </c>
      <c r="B10633" s="18" t="str">
        <f>"366410"</f>
        <v>366410</v>
      </c>
      <c r="C10633" s="19" t="s">
        <v>10470</v>
      </c>
      <c r="D10633" s="19" t="s">
        <v>26043</v>
      </c>
      <c r="E10633" s="19" t="s">
        <v>34480</v>
      </c>
      <c r="F10633" s="19" t="s">
        <v>36009</v>
      </c>
      <c r="G10633" s="18" t="str">
        <f>"43551"</f>
        <v>43551</v>
      </c>
      <c r="H10633" s="19" t="s">
        <v>36673</v>
      </c>
      <c r="I10633" s="20">
        <v>15.356999999999999</v>
      </c>
      <c r="J10633" s="44" t="s">
        <v>8</v>
      </c>
      <c r="K10633" s="23" t="s">
        <v>8</v>
      </c>
      <c r="L10633" s="23" t="s">
        <v>8</v>
      </c>
      <c r="M10633" s="23" t="s">
        <v>8</v>
      </c>
    </row>
    <row r="10634" spans="1:13" s="21" customFormat="1" x14ac:dyDescent="0.25">
      <c r="A10634" s="22" t="s">
        <v>8</v>
      </c>
      <c r="B10634" s="18" t="str">
        <f>"366411"</f>
        <v>366411</v>
      </c>
      <c r="C10634" s="19" t="s">
        <v>10471</v>
      </c>
      <c r="D10634" s="19" t="s">
        <v>26044</v>
      </c>
      <c r="E10634" s="19" t="s">
        <v>34619</v>
      </c>
      <c r="F10634" s="19" t="s">
        <v>36009</v>
      </c>
      <c r="G10634" s="18" t="str">
        <f>"43068"</f>
        <v>43068</v>
      </c>
      <c r="H10634" s="19" t="s">
        <v>5</v>
      </c>
      <c r="I10634" s="20">
        <v>19.701000000000001</v>
      </c>
      <c r="J10634" s="44" t="s">
        <v>8</v>
      </c>
      <c r="K10634" s="23" t="s">
        <v>8</v>
      </c>
      <c r="L10634" s="23" t="s">
        <v>8</v>
      </c>
      <c r="M10634" s="23" t="s">
        <v>8</v>
      </c>
    </row>
    <row r="10635" spans="1:13" s="21" customFormat="1" x14ac:dyDescent="0.25">
      <c r="A10635" s="22" t="s">
        <v>8</v>
      </c>
      <c r="B10635" s="18" t="str">
        <f>"366412"</f>
        <v>366412</v>
      </c>
      <c r="C10635" s="19" t="s">
        <v>10472</v>
      </c>
      <c r="D10635" s="19" t="s">
        <v>26045</v>
      </c>
      <c r="E10635" s="19" t="s">
        <v>32023</v>
      </c>
      <c r="F10635" s="19" t="s">
        <v>36009</v>
      </c>
      <c r="G10635" s="18" t="str">
        <f>"43050"</f>
        <v>43050</v>
      </c>
      <c r="H10635" s="19" t="s">
        <v>32252</v>
      </c>
      <c r="I10635" s="20">
        <v>19.405999999999999</v>
      </c>
      <c r="J10635" s="44" t="s">
        <v>8</v>
      </c>
      <c r="K10635" s="23" t="s">
        <v>8</v>
      </c>
      <c r="L10635" s="23" t="s">
        <v>8</v>
      </c>
      <c r="M10635" s="23" t="s">
        <v>8</v>
      </c>
    </row>
    <row r="10636" spans="1:13" s="21" customFormat="1" x14ac:dyDescent="0.25">
      <c r="A10636" s="22" t="s">
        <v>8</v>
      </c>
      <c r="B10636" s="18" t="str">
        <f>"366413"</f>
        <v>366413</v>
      </c>
      <c r="C10636" s="19" t="s">
        <v>10473</v>
      </c>
      <c r="D10636" s="19" t="s">
        <v>26046</v>
      </c>
      <c r="E10636" s="19" t="s">
        <v>34459</v>
      </c>
      <c r="F10636" s="19" t="s">
        <v>36009</v>
      </c>
      <c r="G10636" s="18" t="str">
        <f>"43701"</f>
        <v>43701</v>
      </c>
      <c r="H10636" s="19" t="s">
        <v>36680</v>
      </c>
      <c r="I10636" s="20">
        <v>20.741</v>
      </c>
      <c r="J10636" s="44" t="s">
        <v>8</v>
      </c>
      <c r="K10636" s="23" t="s">
        <v>8</v>
      </c>
      <c r="L10636" s="23" t="s">
        <v>8</v>
      </c>
      <c r="M10636" s="23" t="s">
        <v>8</v>
      </c>
    </row>
    <row r="10637" spans="1:13" s="21" customFormat="1" x14ac:dyDescent="0.25">
      <c r="A10637" s="22" t="s">
        <v>8</v>
      </c>
      <c r="B10637" s="18" t="str">
        <f>"366414"</f>
        <v>366414</v>
      </c>
      <c r="C10637" s="19" t="s">
        <v>10474</v>
      </c>
      <c r="D10637" s="19" t="s">
        <v>26047</v>
      </c>
      <c r="E10637" s="19" t="s">
        <v>32369</v>
      </c>
      <c r="F10637" s="19" t="s">
        <v>36009</v>
      </c>
      <c r="G10637" s="18" t="str">
        <f>"45415"</f>
        <v>45415</v>
      </c>
      <c r="H10637" s="19" t="s">
        <v>30833</v>
      </c>
      <c r="I10637" s="20">
        <v>18.428999999999998</v>
      </c>
      <c r="J10637" s="44" t="s">
        <v>8</v>
      </c>
      <c r="K10637" s="23" t="s">
        <v>8</v>
      </c>
      <c r="L10637" s="23" t="s">
        <v>8</v>
      </c>
      <c r="M10637" s="23" t="s">
        <v>8</v>
      </c>
    </row>
    <row r="10638" spans="1:13" s="21" customFormat="1" x14ac:dyDescent="0.25">
      <c r="A10638" s="22" t="s">
        <v>8</v>
      </c>
      <c r="B10638" s="18" t="str">
        <f>"366415"</f>
        <v>366415</v>
      </c>
      <c r="C10638" s="19" t="s">
        <v>10475</v>
      </c>
      <c r="D10638" s="19" t="s">
        <v>26048</v>
      </c>
      <c r="E10638" s="19" t="s">
        <v>31489</v>
      </c>
      <c r="F10638" s="19" t="s">
        <v>36009</v>
      </c>
      <c r="G10638" s="18" t="str">
        <f>"45177"</f>
        <v>45177</v>
      </c>
      <c r="H10638" s="19" t="s">
        <v>31081</v>
      </c>
      <c r="I10638" s="20">
        <v>19.911999999999999</v>
      </c>
      <c r="J10638" s="44" t="s">
        <v>8</v>
      </c>
      <c r="K10638" s="23" t="s">
        <v>8</v>
      </c>
      <c r="L10638" s="23" t="s">
        <v>8</v>
      </c>
      <c r="M10638" s="23" t="s">
        <v>8</v>
      </c>
    </row>
    <row r="10639" spans="1:13" s="21" customFormat="1" x14ac:dyDescent="0.25">
      <c r="A10639" s="22" t="s">
        <v>8</v>
      </c>
      <c r="B10639" s="18" t="str">
        <f>"366416"</f>
        <v>366416</v>
      </c>
      <c r="C10639" s="19" t="s">
        <v>10476</v>
      </c>
      <c r="D10639" s="19" t="s">
        <v>26049</v>
      </c>
      <c r="E10639" s="19" t="s">
        <v>34436</v>
      </c>
      <c r="F10639" s="19" t="s">
        <v>36009</v>
      </c>
      <c r="G10639" s="18" t="str">
        <f>"43953"</f>
        <v>43953</v>
      </c>
      <c r="H10639" s="19" t="s">
        <v>32391</v>
      </c>
      <c r="I10639" s="20">
        <v>19.873999999999999</v>
      </c>
      <c r="J10639" s="44" t="s">
        <v>8</v>
      </c>
      <c r="K10639" s="23" t="s">
        <v>8</v>
      </c>
      <c r="L10639" s="23" t="s">
        <v>8</v>
      </c>
      <c r="M10639" s="23" t="s">
        <v>8</v>
      </c>
    </row>
    <row r="10640" spans="1:13" s="21" customFormat="1" x14ac:dyDescent="0.25">
      <c r="A10640" s="22" t="s">
        <v>8</v>
      </c>
      <c r="B10640" s="18" t="str">
        <f>"366417"</f>
        <v>366417</v>
      </c>
      <c r="C10640" s="19" t="s">
        <v>10477</v>
      </c>
      <c r="D10640" s="19" t="s">
        <v>26050</v>
      </c>
      <c r="E10640" s="19" t="s">
        <v>34620</v>
      </c>
      <c r="F10640" s="19" t="s">
        <v>36009</v>
      </c>
      <c r="G10640" s="18" t="str">
        <f>"43160"</f>
        <v>43160</v>
      </c>
      <c r="H10640" s="19" t="s">
        <v>30805</v>
      </c>
      <c r="I10640" s="20">
        <v>18.475999999999999</v>
      </c>
      <c r="J10640" s="44" t="s">
        <v>8</v>
      </c>
      <c r="K10640" s="23" t="s">
        <v>8</v>
      </c>
      <c r="L10640" s="23" t="s">
        <v>8</v>
      </c>
      <c r="M10640" s="23" t="s">
        <v>8</v>
      </c>
    </row>
    <row r="10641" spans="1:13" s="21" customFormat="1" x14ac:dyDescent="0.25">
      <c r="A10641" s="22" t="s">
        <v>8</v>
      </c>
      <c r="B10641" s="18" t="str">
        <f>"366418"</f>
        <v>366418</v>
      </c>
      <c r="C10641" s="19" t="s">
        <v>10478</v>
      </c>
      <c r="D10641" s="19" t="s">
        <v>26051</v>
      </c>
      <c r="E10641" s="19" t="s">
        <v>31747</v>
      </c>
      <c r="F10641" s="19" t="s">
        <v>36009</v>
      </c>
      <c r="G10641" s="18" t="str">
        <f>"43017"</f>
        <v>43017</v>
      </c>
      <c r="H10641" s="19" t="s">
        <v>5</v>
      </c>
      <c r="I10641" s="20">
        <v>22.286999999999999</v>
      </c>
      <c r="J10641" s="44" t="s">
        <v>8</v>
      </c>
      <c r="K10641" s="23" t="s">
        <v>8</v>
      </c>
      <c r="L10641" s="23" t="s">
        <v>8</v>
      </c>
      <c r="M10641" s="23" t="s">
        <v>8</v>
      </c>
    </row>
    <row r="10642" spans="1:13" s="21" customFormat="1" x14ac:dyDescent="0.25">
      <c r="A10642" s="22" t="s">
        <v>8</v>
      </c>
      <c r="B10642" s="18" t="str">
        <f>"366419"</f>
        <v>366419</v>
      </c>
      <c r="C10642" s="19" t="s">
        <v>10479</v>
      </c>
      <c r="D10642" s="19" t="s">
        <v>26052</v>
      </c>
      <c r="E10642" s="19" t="s">
        <v>34610</v>
      </c>
      <c r="F10642" s="19" t="s">
        <v>36009</v>
      </c>
      <c r="G10642" s="18" t="str">
        <f>"44087"</f>
        <v>44087</v>
      </c>
      <c r="H10642" s="19" t="s">
        <v>36107</v>
      </c>
      <c r="I10642" s="20">
        <v>20.747</v>
      </c>
      <c r="J10642" s="44" t="s">
        <v>8</v>
      </c>
      <c r="K10642" s="23" t="s">
        <v>8</v>
      </c>
      <c r="L10642" s="23" t="s">
        <v>8</v>
      </c>
      <c r="M10642" s="23" t="s">
        <v>8</v>
      </c>
    </row>
    <row r="10643" spans="1:13" s="21" customFormat="1" x14ac:dyDescent="0.25">
      <c r="A10643" s="22" t="s">
        <v>8</v>
      </c>
      <c r="B10643" s="18" t="str">
        <f>"366420"</f>
        <v>366420</v>
      </c>
      <c r="C10643" s="19" t="s">
        <v>10480</v>
      </c>
      <c r="D10643" s="19" t="s">
        <v>26053</v>
      </c>
      <c r="E10643" s="19" t="s">
        <v>34414</v>
      </c>
      <c r="F10643" s="19" t="s">
        <v>36009</v>
      </c>
      <c r="G10643" s="18" t="str">
        <f>"45385"</f>
        <v>45385</v>
      </c>
      <c r="H10643" s="19" t="s">
        <v>32455</v>
      </c>
      <c r="I10643" s="20">
        <v>19.632999999999999</v>
      </c>
      <c r="J10643" s="44" t="s">
        <v>8</v>
      </c>
      <c r="K10643" s="23" t="s">
        <v>8</v>
      </c>
      <c r="L10643" s="23" t="s">
        <v>8</v>
      </c>
      <c r="M10643" s="23" t="s">
        <v>8</v>
      </c>
    </row>
    <row r="10644" spans="1:13" s="21" customFormat="1" x14ac:dyDescent="0.25">
      <c r="A10644" s="22" t="s">
        <v>8</v>
      </c>
      <c r="B10644" s="18" t="str">
        <f>"366421"</f>
        <v>366421</v>
      </c>
      <c r="C10644" s="19" t="s">
        <v>10481</v>
      </c>
      <c r="D10644" s="19" t="s">
        <v>26054</v>
      </c>
      <c r="E10644" s="19" t="s">
        <v>31344</v>
      </c>
      <c r="F10644" s="19" t="s">
        <v>36009</v>
      </c>
      <c r="G10644" s="18" t="str">
        <f>"45140"</f>
        <v>45140</v>
      </c>
      <c r="H10644" s="19" t="s">
        <v>31621</v>
      </c>
      <c r="I10644" s="20">
        <v>17.46</v>
      </c>
      <c r="J10644" s="44" t="s">
        <v>8</v>
      </c>
      <c r="K10644" s="23" t="s">
        <v>8</v>
      </c>
      <c r="L10644" s="23" t="s">
        <v>8</v>
      </c>
      <c r="M10644" s="23" t="s">
        <v>8</v>
      </c>
    </row>
    <row r="10645" spans="1:13" s="21" customFormat="1" x14ac:dyDescent="0.25">
      <c r="A10645" s="22" t="s">
        <v>8</v>
      </c>
      <c r="B10645" s="18" t="str">
        <f>"366422"</f>
        <v>366422</v>
      </c>
      <c r="C10645" s="19" t="s">
        <v>10482</v>
      </c>
      <c r="D10645" s="19" t="s">
        <v>26055</v>
      </c>
      <c r="E10645" s="19" t="s">
        <v>31175</v>
      </c>
      <c r="F10645" s="19" t="s">
        <v>36009</v>
      </c>
      <c r="G10645" s="18" t="str">
        <f>"43420"</f>
        <v>43420</v>
      </c>
      <c r="H10645" s="19" t="s">
        <v>33186</v>
      </c>
      <c r="I10645" s="20">
        <v>17.196999999999999</v>
      </c>
      <c r="J10645" s="44" t="s">
        <v>8</v>
      </c>
      <c r="K10645" s="23" t="s">
        <v>8</v>
      </c>
      <c r="L10645" s="23" t="s">
        <v>8</v>
      </c>
      <c r="M10645" s="23" t="s">
        <v>8</v>
      </c>
    </row>
    <row r="10646" spans="1:13" s="21" customFormat="1" x14ac:dyDescent="0.25">
      <c r="A10646" s="22" t="s">
        <v>8</v>
      </c>
      <c r="B10646" s="18" t="str">
        <f>"366423"</f>
        <v>366423</v>
      </c>
      <c r="C10646" s="19" t="s">
        <v>10483</v>
      </c>
      <c r="D10646" s="19" t="s">
        <v>26056</v>
      </c>
      <c r="E10646" s="19" t="s">
        <v>31994</v>
      </c>
      <c r="F10646" s="19" t="s">
        <v>36009</v>
      </c>
      <c r="G10646" s="18" t="str">
        <f>"45875"</f>
        <v>45875</v>
      </c>
      <c r="H10646" s="19" t="s">
        <v>31482</v>
      </c>
      <c r="I10646" s="20">
        <v>16.309999999999999</v>
      </c>
      <c r="J10646" s="44" t="s">
        <v>8</v>
      </c>
      <c r="K10646" s="23" t="s">
        <v>8</v>
      </c>
      <c r="L10646" s="23" t="s">
        <v>8</v>
      </c>
      <c r="M10646" s="23" t="s">
        <v>8</v>
      </c>
    </row>
    <row r="10647" spans="1:13" s="21" customFormat="1" x14ac:dyDescent="0.25">
      <c r="A10647" s="22" t="s">
        <v>8</v>
      </c>
      <c r="B10647" s="18" t="str">
        <f>"366424"</f>
        <v>366424</v>
      </c>
      <c r="C10647" s="19" t="s">
        <v>10484</v>
      </c>
      <c r="D10647" s="19" t="s">
        <v>26057</v>
      </c>
      <c r="E10647" s="19" t="s">
        <v>32211</v>
      </c>
      <c r="F10647" s="19" t="s">
        <v>36009</v>
      </c>
      <c r="G10647" s="18" t="str">
        <f>"43054"</f>
        <v>43054</v>
      </c>
      <c r="H10647" s="19" t="s">
        <v>5</v>
      </c>
      <c r="I10647" s="20">
        <v>18.919</v>
      </c>
      <c r="J10647" s="44" t="s">
        <v>8</v>
      </c>
      <c r="K10647" s="23" t="s">
        <v>8</v>
      </c>
      <c r="L10647" s="23" t="s">
        <v>8</v>
      </c>
      <c r="M10647" s="23" t="s">
        <v>8</v>
      </c>
    </row>
    <row r="10648" spans="1:13" s="21" customFormat="1" x14ac:dyDescent="0.25">
      <c r="A10648" s="22" t="s">
        <v>8</v>
      </c>
      <c r="B10648" s="18" t="str">
        <f>"366425"</f>
        <v>366425</v>
      </c>
      <c r="C10648" s="19" t="s">
        <v>10485</v>
      </c>
      <c r="D10648" s="19" t="s">
        <v>26058</v>
      </c>
      <c r="E10648" s="19" t="s">
        <v>31375</v>
      </c>
      <c r="F10648" s="19" t="s">
        <v>36009</v>
      </c>
      <c r="G10648" s="18" t="str">
        <f>"44319"</f>
        <v>44319</v>
      </c>
      <c r="H10648" s="19" t="s">
        <v>36107</v>
      </c>
      <c r="I10648" s="20">
        <v>20.972999999999999</v>
      </c>
      <c r="J10648" s="44" t="s">
        <v>8</v>
      </c>
      <c r="K10648" s="23" t="s">
        <v>8</v>
      </c>
      <c r="L10648" s="23" t="s">
        <v>8</v>
      </c>
      <c r="M10648" s="23" t="s">
        <v>8</v>
      </c>
    </row>
    <row r="10649" spans="1:13" s="21" customFormat="1" x14ac:dyDescent="0.25">
      <c r="A10649" s="22" t="s">
        <v>8</v>
      </c>
      <c r="B10649" s="18" t="str">
        <f>"366426"</f>
        <v>366426</v>
      </c>
      <c r="C10649" s="19" t="s">
        <v>10486</v>
      </c>
      <c r="D10649" s="19" t="s">
        <v>26059</v>
      </c>
      <c r="E10649" s="19" t="s">
        <v>31444</v>
      </c>
      <c r="F10649" s="19" t="s">
        <v>36009</v>
      </c>
      <c r="G10649" s="18" t="str">
        <f>"44011"</f>
        <v>44011</v>
      </c>
      <c r="H10649" s="19" t="s">
        <v>34482</v>
      </c>
      <c r="I10649" s="20">
        <v>17.324000000000002</v>
      </c>
      <c r="J10649" s="44" t="s">
        <v>8</v>
      </c>
      <c r="K10649" s="23" t="s">
        <v>8</v>
      </c>
      <c r="L10649" s="23" t="s">
        <v>8</v>
      </c>
      <c r="M10649" s="23" t="s">
        <v>8</v>
      </c>
    </row>
    <row r="10650" spans="1:13" s="21" customFormat="1" x14ac:dyDescent="0.25">
      <c r="A10650" s="22" t="s">
        <v>8</v>
      </c>
      <c r="B10650" s="18" t="str">
        <f>"366427"</f>
        <v>366427</v>
      </c>
      <c r="C10650" s="19" t="s">
        <v>10487</v>
      </c>
      <c r="D10650" s="19" t="s">
        <v>26060</v>
      </c>
      <c r="E10650" s="19" t="s">
        <v>34412</v>
      </c>
      <c r="F10650" s="19" t="s">
        <v>36009</v>
      </c>
      <c r="G10650" s="18" t="str">
        <f>"45247"</f>
        <v>45247</v>
      </c>
      <c r="H10650" s="19" t="s">
        <v>30804</v>
      </c>
      <c r="I10650" s="20">
        <v>18.45</v>
      </c>
      <c r="J10650" s="44" t="s">
        <v>8</v>
      </c>
      <c r="K10650" s="23" t="s">
        <v>8</v>
      </c>
      <c r="L10650" s="23" t="s">
        <v>8</v>
      </c>
      <c r="M10650" s="23" t="s">
        <v>8</v>
      </c>
    </row>
    <row r="10651" spans="1:13" s="21" customFormat="1" x14ac:dyDescent="0.25">
      <c r="A10651" s="22" t="s">
        <v>8</v>
      </c>
      <c r="B10651" s="18" t="str">
        <f>"366428"</f>
        <v>366428</v>
      </c>
      <c r="C10651" s="19" t="s">
        <v>10488</v>
      </c>
      <c r="D10651" s="19" t="s">
        <v>26061</v>
      </c>
      <c r="E10651" s="19" t="s">
        <v>34621</v>
      </c>
      <c r="F10651" s="19" t="s">
        <v>36009</v>
      </c>
      <c r="G10651" s="18" t="str">
        <f>"44126"</f>
        <v>44126</v>
      </c>
      <c r="H10651" s="19" t="s">
        <v>36671</v>
      </c>
      <c r="I10651" s="20">
        <v>18.670000000000002</v>
      </c>
      <c r="J10651" s="44" t="s">
        <v>8</v>
      </c>
      <c r="K10651" s="23" t="s">
        <v>8</v>
      </c>
      <c r="L10651" s="23" t="s">
        <v>8</v>
      </c>
      <c r="M10651" s="23" t="s">
        <v>8</v>
      </c>
    </row>
    <row r="10652" spans="1:13" s="21" customFormat="1" x14ac:dyDescent="0.25">
      <c r="A10652" s="22" t="s">
        <v>8</v>
      </c>
      <c r="B10652" s="18" t="str">
        <f>"366430"</f>
        <v>366430</v>
      </c>
      <c r="C10652" s="19" t="s">
        <v>10489</v>
      </c>
      <c r="D10652" s="19" t="s">
        <v>26062</v>
      </c>
      <c r="E10652" s="19" t="s">
        <v>34579</v>
      </c>
      <c r="F10652" s="19" t="s">
        <v>36009</v>
      </c>
      <c r="G10652" s="18" t="str">
        <f>"43230"</f>
        <v>43230</v>
      </c>
      <c r="H10652" s="19" t="s">
        <v>5</v>
      </c>
      <c r="I10652" s="20">
        <v>17.667000000000002</v>
      </c>
      <c r="J10652" s="44" t="s">
        <v>8</v>
      </c>
      <c r="K10652" s="23" t="s">
        <v>8</v>
      </c>
      <c r="L10652" s="23" t="s">
        <v>8</v>
      </c>
      <c r="M10652" s="23" t="s">
        <v>8</v>
      </c>
    </row>
    <row r="10653" spans="1:13" s="21" customFormat="1" x14ac:dyDescent="0.25">
      <c r="A10653" s="22" t="s">
        <v>8</v>
      </c>
      <c r="B10653" s="18" t="str">
        <f>"366431"</f>
        <v>366431</v>
      </c>
      <c r="C10653" s="19" t="s">
        <v>10490</v>
      </c>
      <c r="D10653" s="19" t="s">
        <v>26063</v>
      </c>
      <c r="E10653" s="19" t="s">
        <v>31333</v>
      </c>
      <c r="F10653" s="19" t="s">
        <v>36009</v>
      </c>
      <c r="G10653" s="18" t="str">
        <f>"44202"</f>
        <v>44202</v>
      </c>
      <c r="H10653" s="19" t="s">
        <v>32230</v>
      </c>
      <c r="I10653" s="20">
        <v>18.535</v>
      </c>
      <c r="J10653" s="44" t="s">
        <v>8</v>
      </c>
      <c r="K10653" s="23" t="s">
        <v>8</v>
      </c>
      <c r="L10653" s="23" t="s">
        <v>8</v>
      </c>
      <c r="M10653" s="23" t="s">
        <v>8</v>
      </c>
    </row>
    <row r="10654" spans="1:13" s="21" customFormat="1" x14ac:dyDescent="0.25">
      <c r="A10654" s="22" t="s">
        <v>8</v>
      </c>
      <c r="B10654" s="18" t="str">
        <f>"366432"</f>
        <v>366432</v>
      </c>
      <c r="C10654" s="19" t="s">
        <v>10491</v>
      </c>
      <c r="D10654" s="19" t="s">
        <v>26064</v>
      </c>
      <c r="E10654" s="19" t="s">
        <v>34412</v>
      </c>
      <c r="F10654" s="19" t="s">
        <v>36009</v>
      </c>
      <c r="G10654" s="18" t="str">
        <f>"45231"</f>
        <v>45231</v>
      </c>
      <c r="H10654" s="19" t="s">
        <v>30804</v>
      </c>
      <c r="I10654" s="20">
        <v>21.93</v>
      </c>
      <c r="J10654" s="44" t="s">
        <v>8</v>
      </c>
      <c r="K10654" s="23" t="s">
        <v>8</v>
      </c>
      <c r="L10654" s="23" t="s">
        <v>8</v>
      </c>
      <c r="M10654" s="23" t="s">
        <v>8</v>
      </c>
    </row>
    <row r="10655" spans="1:13" s="21" customFormat="1" x14ac:dyDescent="0.25">
      <c r="A10655" s="22" t="s">
        <v>8</v>
      </c>
      <c r="B10655" s="18" t="str">
        <f>"366433"</f>
        <v>366433</v>
      </c>
      <c r="C10655" s="19" t="s">
        <v>10492</v>
      </c>
      <c r="D10655" s="19" t="s">
        <v>26065</v>
      </c>
      <c r="E10655" s="19" t="s">
        <v>34525</v>
      </c>
      <c r="F10655" s="19" t="s">
        <v>36009</v>
      </c>
      <c r="G10655" s="18" t="str">
        <f>"44024"</f>
        <v>44024</v>
      </c>
      <c r="H10655" s="19" t="s">
        <v>36686</v>
      </c>
      <c r="I10655" s="20">
        <v>22.044</v>
      </c>
      <c r="J10655" s="44" t="s">
        <v>8</v>
      </c>
      <c r="K10655" s="23" t="s">
        <v>8</v>
      </c>
      <c r="L10655" s="23" t="s">
        <v>8</v>
      </c>
      <c r="M10655" s="23" t="s">
        <v>8</v>
      </c>
    </row>
    <row r="10656" spans="1:13" s="21" customFormat="1" x14ac:dyDescent="0.25">
      <c r="A10656" s="22" t="s">
        <v>8</v>
      </c>
      <c r="B10656" s="18" t="str">
        <f>"366434"</f>
        <v>366434</v>
      </c>
      <c r="C10656" s="19" t="s">
        <v>10493</v>
      </c>
      <c r="D10656" s="19" t="s">
        <v>26066</v>
      </c>
      <c r="E10656" s="19" t="s">
        <v>34527</v>
      </c>
      <c r="F10656" s="19" t="s">
        <v>36009</v>
      </c>
      <c r="G10656" s="18" t="str">
        <f>"44224"</f>
        <v>44224</v>
      </c>
      <c r="H10656" s="19" t="s">
        <v>36107</v>
      </c>
      <c r="I10656" s="20">
        <v>18.59</v>
      </c>
      <c r="J10656" s="44" t="s">
        <v>8</v>
      </c>
      <c r="K10656" s="23" t="s">
        <v>8</v>
      </c>
      <c r="L10656" s="23" t="s">
        <v>8</v>
      </c>
      <c r="M10656" s="23" t="s">
        <v>8</v>
      </c>
    </row>
    <row r="10657" spans="1:13" s="21" customFormat="1" x14ac:dyDescent="0.25">
      <c r="A10657" s="22" t="s">
        <v>8</v>
      </c>
      <c r="B10657" s="18" t="str">
        <f>"366435"</f>
        <v>366435</v>
      </c>
      <c r="C10657" s="19" t="s">
        <v>10494</v>
      </c>
      <c r="D10657" s="19" t="s">
        <v>26067</v>
      </c>
      <c r="E10657" s="19" t="s">
        <v>31747</v>
      </c>
      <c r="F10657" s="19" t="s">
        <v>36009</v>
      </c>
      <c r="G10657" s="18" t="str">
        <f>"43017"</f>
        <v>43017</v>
      </c>
      <c r="H10657" s="19" t="s">
        <v>5</v>
      </c>
      <c r="I10657" s="20">
        <v>18.981999999999999</v>
      </c>
      <c r="J10657" s="44" t="s">
        <v>8</v>
      </c>
      <c r="K10657" s="23" t="s">
        <v>8</v>
      </c>
      <c r="L10657" s="23" t="s">
        <v>8</v>
      </c>
      <c r="M10657" s="23" t="s">
        <v>8</v>
      </c>
    </row>
    <row r="10658" spans="1:13" s="21" customFormat="1" x14ac:dyDescent="0.25">
      <c r="A10658" s="22" t="s">
        <v>8</v>
      </c>
      <c r="B10658" s="18" t="s">
        <v>15311</v>
      </c>
      <c r="C10658" s="19" t="s">
        <v>10495</v>
      </c>
      <c r="D10658" s="19" t="s">
        <v>26068</v>
      </c>
      <c r="E10658" s="19" t="s">
        <v>34622</v>
      </c>
      <c r="F10658" s="19" t="s">
        <v>36010</v>
      </c>
      <c r="G10658" s="18" t="str">
        <f>"73801"</f>
        <v>73801</v>
      </c>
      <c r="H10658" s="19" t="s">
        <v>34622</v>
      </c>
      <c r="I10658" s="20">
        <v>19.195</v>
      </c>
      <c r="J10658" s="44" t="s">
        <v>8</v>
      </c>
      <c r="K10658" s="23" t="s">
        <v>8</v>
      </c>
      <c r="L10658" s="23" t="s">
        <v>8</v>
      </c>
      <c r="M10658" s="23" t="s">
        <v>8</v>
      </c>
    </row>
    <row r="10659" spans="1:13" s="21" customFormat="1" x14ac:dyDescent="0.25">
      <c r="A10659" s="22" t="s">
        <v>8</v>
      </c>
      <c r="B10659" s="18" t="s">
        <v>15312</v>
      </c>
      <c r="C10659" s="19" t="s">
        <v>10496</v>
      </c>
      <c r="D10659" s="19" t="s">
        <v>26069</v>
      </c>
      <c r="E10659" s="19" t="s">
        <v>34623</v>
      </c>
      <c r="F10659" s="19" t="s">
        <v>36010</v>
      </c>
      <c r="G10659" s="18" t="str">
        <f>"74601"</f>
        <v>74601</v>
      </c>
      <c r="H10659" s="19" t="s">
        <v>36688</v>
      </c>
      <c r="I10659" s="20">
        <v>18.59</v>
      </c>
      <c r="J10659" s="44" t="s">
        <v>8</v>
      </c>
      <c r="K10659" s="23" t="s">
        <v>8</v>
      </c>
      <c r="L10659" s="23" t="s">
        <v>8</v>
      </c>
      <c r="M10659" s="23" t="s">
        <v>8</v>
      </c>
    </row>
    <row r="10660" spans="1:13" s="21" customFormat="1" x14ac:dyDescent="0.25">
      <c r="A10660" s="22" t="s">
        <v>8</v>
      </c>
      <c r="B10660" s="18" t="s">
        <v>15313</v>
      </c>
      <c r="C10660" s="19" t="s">
        <v>10497</v>
      </c>
      <c r="D10660" s="19" t="s">
        <v>26070</v>
      </c>
      <c r="E10660" s="19" t="s">
        <v>34624</v>
      </c>
      <c r="F10660" s="19" t="s">
        <v>36010</v>
      </c>
      <c r="G10660" s="18" t="str">
        <f>"73858"</f>
        <v>73858</v>
      </c>
      <c r="H10660" s="19" t="s">
        <v>32612</v>
      </c>
      <c r="I10660" s="20">
        <v>20.22</v>
      </c>
      <c r="J10660" s="44" t="s">
        <v>8</v>
      </c>
      <c r="K10660" s="23" t="s">
        <v>8</v>
      </c>
      <c r="L10660" s="23" t="s">
        <v>8</v>
      </c>
      <c r="M10660" s="23" t="s">
        <v>8</v>
      </c>
    </row>
    <row r="10661" spans="1:13" s="21" customFormat="1" x14ac:dyDescent="0.25">
      <c r="A10661" s="22" t="s">
        <v>8</v>
      </c>
      <c r="B10661" s="18" t="s">
        <v>15314</v>
      </c>
      <c r="C10661" s="19" t="s">
        <v>10498</v>
      </c>
      <c r="D10661" s="19" t="s">
        <v>26071</v>
      </c>
      <c r="E10661" s="19" t="s">
        <v>33466</v>
      </c>
      <c r="F10661" s="19" t="s">
        <v>36010</v>
      </c>
      <c r="G10661" s="18" t="str">
        <f>"74820"</f>
        <v>74820</v>
      </c>
      <c r="H10661" s="19" t="s">
        <v>33556</v>
      </c>
      <c r="I10661" s="20">
        <v>21.736999999999998</v>
      </c>
      <c r="J10661" s="44" t="s">
        <v>8</v>
      </c>
      <c r="K10661" s="23" t="s">
        <v>8</v>
      </c>
      <c r="L10661" s="23" t="s">
        <v>8</v>
      </c>
      <c r="M10661" s="23" t="s">
        <v>8</v>
      </c>
    </row>
    <row r="10662" spans="1:13" s="21" customFormat="1" x14ac:dyDescent="0.25">
      <c r="A10662" s="22" t="s">
        <v>8</v>
      </c>
      <c r="B10662" s="18" t="s">
        <v>15315</v>
      </c>
      <c r="C10662" s="19" t="s">
        <v>10499</v>
      </c>
      <c r="D10662" s="19" t="s">
        <v>26072</v>
      </c>
      <c r="E10662" s="19" t="s">
        <v>34625</v>
      </c>
      <c r="F10662" s="19" t="s">
        <v>36010</v>
      </c>
      <c r="G10662" s="18" t="str">
        <f>"73523"</f>
        <v>73523</v>
      </c>
      <c r="H10662" s="19" t="s">
        <v>30816</v>
      </c>
      <c r="I10662" s="20">
        <v>20.376000000000001</v>
      </c>
      <c r="J10662" s="44" t="s">
        <v>8</v>
      </c>
      <c r="K10662" s="23" t="s">
        <v>8</v>
      </c>
      <c r="L10662" s="23" t="s">
        <v>8</v>
      </c>
      <c r="M10662" s="23" t="s">
        <v>8</v>
      </c>
    </row>
    <row r="10663" spans="1:13" s="21" customFormat="1" x14ac:dyDescent="0.25">
      <c r="A10663" s="22" t="s">
        <v>8</v>
      </c>
      <c r="B10663" s="18" t="s">
        <v>15316</v>
      </c>
      <c r="C10663" s="19" t="s">
        <v>10500</v>
      </c>
      <c r="D10663" s="19" t="s">
        <v>26073</v>
      </c>
      <c r="E10663" s="19" t="s">
        <v>31081</v>
      </c>
      <c r="F10663" s="19" t="s">
        <v>36010</v>
      </c>
      <c r="G10663" s="18" t="str">
        <f>"73601"</f>
        <v>73601</v>
      </c>
      <c r="H10663" s="19" t="s">
        <v>35098</v>
      </c>
      <c r="I10663" s="20">
        <v>18.731999999999999</v>
      </c>
      <c r="J10663" s="44" t="s">
        <v>8</v>
      </c>
      <c r="K10663" s="23" t="s">
        <v>8</v>
      </c>
      <c r="L10663" s="23" t="s">
        <v>8</v>
      </c>
      <c r="M10663" s="23" t="s">
        <v>8</v>
      </c>
    </row>
    <row r="10664" spans="1:13" s="21" customFormat="1" x14ac:dyDescent="0.25">
      <c r="A10664" s="22" t="s">
        <v>8</v>
      </c>
      <c r="B10664" s="18" t="s">
        <v>15317</v>
      </c>
      <c r="C10664" s="19" t="s">
        <v>10501</v>
      </c>
      <c r="D10664" s="19" t="s">
        <v>26074</v>
      </c>
      <c r="E10664" s="19" t="s">
        <v>34108</v>
      </c>
      <c r="F10664" s="19" t="s">
        <v>36010</v>
      </c>
      <c r="G10664" s="18" t="str">
        <f>"73550"</f>
        <v>73550</v>
      </c>
      <c r="H10664" s="19" t="s">
        <v>36689</v>
      </c>
      <c r="I10664" s="20">
        <v>18.609000000000002</v>
      </c>
      <c r="J10664" s="44" t="s">
        <v>8</v>
      </c>
      <c r="K10664" s="23" t="s">
        <v>8</v>
      </c>
      <c r="L10664" s="23" t="s">
        <v>8</v>
      </c>
      <c r="M10664" s="23" t="s">
        <v>8</v>
      </c>
    </row>
    <row r="10665" spans="1:13" s="21" customFormat="1" x14ac:dyDescent="0.25">
      <c r="A10665" s="22" t="s">
        <v>8</v>
      </c>
      <c r="B10665" s="18" t="s">
        <v>15318</v>
      </c>
      <c r="C10665" s="19" t="s">
        <v>10502</v>
      </c>
      <c r="D10665" s="19" t="s">
        <v>26075</v>
      </c>
      <c r="E10665" s="19" t="s">
        <v>34626</v>
      </c>
      <c r="F10665" s="19" t="s">
        <v>36010</v>
      </c>
      <c r="G10665" s="18" t="str">
        <f>"74017"</f>
        <v>74017</v>
      </c>
      <c r="H10665" s="19" t="s">
        <v>30989</v>
      </c>
      <c r="I10665" s="20">
        <v>18.638999999999999</v>
      </c>
      <c r="J10665" s="44" t="s">
        <v>8</v>
      </c>
      <c r="K10665" s="23" t="s">
        <v>8</v>
      </c>
      <c r="L10665" s="23" t="s">
        <v>8</v>
      </c>
      <c r="M10665" s="23" t="s">
        <v>8</v>
      </c>
    </row>
    <row r="10666" spans="1:13" s="21" customFormat="1" x14ac:dyDescent="0.25">
      <c r="A10666" s="22" t="s">
        <v>8</v>
      </c>
      <c r="B10666" s="18" t="s">
        <v>15319</v>
      </c>
      <c r="C10666" s="19" t="s">
        <v>10503</v>
      </c>
      <c r="D10666" s="19" t="s">
        <v>26076</v>
      </c>
      <c r="E10666" s="19" t="s">
        <v>34627</v>
      </c>
      <c r="F10666" s="19" t="s">
        <v>36010</v>
      </c>
      <c r="G10666" s="18" t="str">
        <f>"74953"</f>
        <v>74953</v>
      </c>
      <c r="H10666" s="19" t="s">
        <v>36690</v>
      </c>
      <c r="I10666" s="20">
        <v>19.292999999999999</v>
      </c>
      <c r="J10666" s="44" t="s">
        <v>8</v>
      </c>
      <c r="K10666" s="23" t="s">
        <v>8</v>
      </c>
      <c r="L10666" s="23" t="s">
        <v>8</v>
      </c>
      <c r="M10666" s="23" t="s">
        <v>8</v>
      </c>
    </row>
    <row r="10667" spans="1:13" s="21" customFormat="1" x14ac:dyDescent="0.25">
      <c r="A10667" s="22" t="s">
        <v>8</v>
      </c>
      <c r="B10667" s="18" t="s">
        <v>15320</v>
      </c>
      <c r="C10667" s="19" t="s">
        <v>10504</v>
      </c>
      <c r="D10667" s="19" t="s">
        <v>26077</v>
      </c>
      <c r="E10667" s="19" t="s">
        <v>34628</v>
      </c>
      <c r="F10667" s="19" t="s">
        <v>36010</v>
      </c>
      <c r="G10667" s="18" t="str">
        <f>"74010"</f>
        <v>74010</v>
      </c>
      <c r="H10667" s="19" t="s">
        <v>36691</v>
      </c>
      <c r="I10667" s="20">
        <v>19.183</v>
      </c>
      <c r="J10667" s="44" t="s">
        <v>8</v>
      </c>
      <c r="K10667" s="23" t="s">
        <v>8</v>
      </c>
      <c r="L10667" s="23" t="s">
        <v>8</v>
      </c>
      <c r="M10667" s="23" t="s">
        <v>8</v>
      </c>
    </row>
    <row r="10668" spans="1:13" s="21" customFormat="1" x14ac:dyDescent="0.25">
      <c r="A10668" s="22" t="s">
        <v>8</v>
      </c>
      <c r="B10668" s="18" t="s">
        <v>15321</v>
      </c>
      <c r="C10668" s="19" t="s">
        <v>10505</v>
      </c>
      <c r="D10668" s="19" t="s">
        <v>26078</v>
      </c>
      <c r="E10668" s="19" t="s">
        <v>32927</v>
      </c>
      <c r="F10668" s="19" t="s">
        <v>36010</v>
      </c>
      <c r="G10668" s="18" t="str">
        <f>"73542"</f>
        <v>73542</v>
      </c>
      <c r="H10668" s="19" t="s">
        <v>36692</v>
      </c>
      <c r="I10668" s="20">
        <v>18.905000000000001</v>
      </c>
      <c r="J10668" s="44" t="s">
        <v>8</v>
      </c>
      <c r="K10668" s="23" t="s">
        <v>8</v>
      </c>
      <c r="L10668" s="23" t="s">
        <v>8</v>
      </c>
      <c r="M10668" s="23" t="s">
        <v>8</v>
      </c>
    </row>
    <row r="10669" spans="1:13" s="21" customFormat="1" x14ac:dyDescent="0.25">
      <c r="A10669" s="22" t="s">
        <v>8</v>
      </c>
      <c r="B10669" s="18" t="s">
        <v>15322</v>
      </c>
      <c r="C10669" s="19" t="s">
        <v>10506</v>
      </c>
      <c r="D10669" s="19" t="s">
        <v>26079</v>
      </c>
      <c r="E10669" s="19" t="s">
        <v>34629</v>
      </c>
      <c r="F10669" s="19" t="s">
        <v>36010</v>
      </c>
      <c r="G10669" s="18" t="str">
        <f>"73018"</f>
        <v>73018</v>
      </c>
      <c r="H10669" s="19" t="s">
        <v>36153</v>
      </c>
      <c r="I10669" s="20">
        <v>18.899999999999999</v>
      </c>
      <c r="J10669" s="44" t="s">
        <v>8</v>
      </c>
      <c r="K10669" s="23" t="s">
        <v>8</v>
      </c>
      <c r="L10669" s="23" t="s">
        <v>8</v>
      </c>
      <c r="M10669" s="23" t="s">
        <v>8</v>
      </c>
    </row>
    <row r="10670" spans="1:13" s="21" customFormat="1" x14ac:dyDescent="0.25">
      <c r="A10670" s="22" t="s">
        <v>8</v>
      </c>
      <c r="B10670" s="18" t="s">
        <v>15323</v>
      </c>
      <c r="C10670" s="19" t="s">
        <v>10507</v>
      </c>
      <c r="D10670" s="19" t="s">
        <v>26080</v>
      </c>
      <c r="E10670" s="19" t="s">
        <v>34630</v>
      </c>
      <c r="F10670" s="19" t="s">
        <v>36010</v>
      </c>
      <c r="G10670" s="18" t="str">
        <f>"74447"</f>
        <v>74447</v>
      </c>
      <c r="H10670" s="19" t="s">
        <v>34630</v>
      </c>
      <c r="I10670" s="20">
        <v>19.727</v>
      </c>
      <c r="J10670" s="44" t="s">
        <v>8</v>
      </c>
      <c r="K10670" s="23" t="s">
        <v>8</v>
      </c>
      <c r="L10670" s="23" t="s">
        <v>8</v>
      </c>
      <c r="M10670" s="23" t="s">
        <v>8</v>
      </c>
    </row>
    <row r="10671" spans="1:13" s="21" customFormat="1" x14ac:dyDescent="0.25">
      <c r="A10671" s="22" t="s">
        <v>8</v>
      </c>
      <c r="B10671" s="18" t="s">
        <v>15324</v>
      </c>
      <c r="C10671" s="19" t="s">
        <v>10508</v>
      </c>
      <c r="D10671" s="19" t="s">
        <v>26081</v>
      </c>
      <c r="E10671" s="19" t="s">
        <v>34631</v>
      </c>
      <c r="F10671" s="19" t="s">
        <v>36010</v>
      </c>
      <c r="G10671" s="18" t="str">
        <f>"74301"</f>
        <v>74301</v>
      </c>
      <c r="H10671" s="19" t="s">
        <v>31388</v>
      </c>
      <c r="I10671" s="20">
        <v>18.780999999999999</v>
      </c>
      <c r="J10671" s="44" t="s">
        <v>8</v>
      </c>
      <c r="K10671" s="23" t="s">
        <v>8</v>
      </c>
      <c r="L10671" s="23" t="s">
        <v>8</v>
      </c>
      <c r="M10671" s="23" t="s">
        <v>8</v>
      </c>
    </row>
    <row r="10672" spans="1:13" s="21" customFormat="1" x14ac:dyDescent="0.25">
      <c r="A10672" s="22" t="s">
        <v>8</v>
      </c>
      <c r="B10672" s="18" t="s">
        <v>15325</v>
      </c>
      <c r="C10672" s="19" t="s">
        <v>10509</v>
      </c>
      <c r="D10672" s="19" t="s">
        <v>26082</v>
      </c>
      <c r="E10672" s="19" t="s">
        <v>34632</v>
      </c>
      <c r="F10672" s="19" t="s">
        <v>36010</v>
      </c>
      <c r="G10672" s="18" t="str">
        <f>"73717"</f>
        <v>73717</v>
      </c>
      <c r="H10672" s="19" t="s">
        <v>36693</v>
      </c>
      <c r="I10672" s="20">
        <v>16.760000000000002</v>
      </c>
      <c r="J10672" s="44" t="s">
        <v>8</v>
      </c>
      <c r="K10672" s="23" t="s">
        <v>8</v>
      </c>
      <c r="L10672" s="23" t="s">
        <v>8</v>
      </c>
      <c r="M10672" s="23" t="s">
        <v>8</v>
      </c>
    </row>
    <row r="10673" spans="1:13" s="21" customFormat="1" x14ac:dyDescent="0.25">
      <c r="A10673" s="22" t="s">
        <v>8</v>
      </c>
      <c r="B10673" s="18" t="s">
        <v>15326</v>
      </c>
      <c r="C10673" s="19" t="s">
        <v>10510</v>
      </c>
      <c r="D10673" s="19" t="s">
        <v>26083</v>
      </c>
      <c r="E10673" s="19" t="s">
        <v>34633</v>
      </c>
      <c r="F10673" s="19" t="s">
        <v>36010</v>
      </c>
      <c r="G10673" s="18" t="str">
        <f>"74523"</f>
        <v>74523</v>
      </c>
      <c r="H10673" s="19" t="s">
        <v>36694</v>
      </c>
      <c r="I10673" s="20">
        <v>19.565999999999999</v>
      </c>
      <c r="J10673" s="44" t="s">
        <v>8</v>
      </c>
      <c r="K10673" s="23" t="s">
        <v>8</v>
      </c>
      <c r="L10673" s="23" t="s">
        <v>8</v>
      </c>
      <c r="M10673" s="23" t="s">
        <v>8</v>
      </c>
    </row>
    <row r="10674" spans="1:13" s="21" customFormat="1" x14ac:dyDescent="0.25">
      <c r="A10674" s="22" t="s">
        <v>8</v>
      </c>
      <c r="B10674" s="18" t="s">
        <v>15327</v>
      </c>
      <c r="C10674" s="19" t="s">
        <v>10511</v>
      </c>
      <c r="D10674" s="19" t="s">
        <v>26084</v>
      </c>
      <c r="E10674" s="19" t="s">
        <v>34634</v>
      </c>
      <c r="F10674" s="19" t="s">
        <v>36010</v>
      </c>
      <c r="G10674" s="18" t="str">
        <f>"73505"</f>
        <v>73505</v>
      </c>
      <c r="H10674" s="19" t="s">
        <v>34715</v>
      </c>
      <c r="I10674" s="20">
        <v>22.074000000000002</v>
      </c>
      <c r="J10674" s="44" t="s">
        <v>8</v>
      </c>
      <c r="K10674" s="23" t="s">
        <v>8</v>
      </c>
      <c r="L10674" s="23" t="s">
        <v>8</v>
      </c>
      <c r="M10674" s="23" t="s">
        <v>8</v>
      </c>
    </row>
    <row r="10675" spans="1:13" s="21" customFormat="1" x14ac:dyDescent="0.25">
      <c r="A10675" s="22" t="s">
        <v>8</v>
      </c>
      <c r="B10675" s="18" t="s">
        <v>15328</v>
      </c>
      <c r="C10675" s="19" t="s">
        <v>10512</v>
      </c>
      <c r="D10675" s="19" t="s">
        <v>26085</v>
      </c>
      <c r="E10675" s="19" t="s">
        <v>34635</v>
      </c>
      <c r="F10675" s="19" t="s">
        <v>36010</v>
      </c>
      <c r="G10675" s="18" t="str">
        <f>"73662"</f>
        <v>73662</v>
      </c>
      <c r="H10675" s="19" t="s">
        <v>36695</v>
      </c>
      <c r="I10675" s="20">
        <v>17.097999999999999</v>
      </c>
      <c r="J10675" s="44" t="s">
        <v>8</v>
      </c>
      <c r="K10675" s="23" t="s">
        <v>8</v>
      </c>
      <c r="L10675" s="23" t="s">
        <v>8</v>
      </c>
      <c r="M10675" s="23" t="s">
        <v>8</v>
      </c>
    </row>
    <row r="10676" spans="1:13" s="21" customFormat="1" x14ac:dyDescent="0.25">
      <c r="A10676" s="22" t="s">
        <v>8</v>
      </c>
      <c r="B10676" s="18" t="s">
        <v>15329</v>
      </c>
      <c r="C10676" s="19" t="s">
        <v>10513</v>
      </c>
      <c r="D10676" s="19" t="s">
        <v>26086</v>
      </c>
      <c r="E10676" s="19" t="s">
        <v>34636</v>
      </c>
      <c r="F10676" s="19" t="s">
        <v>36010</v>
      </c>
      <c r="G10676" s="18" t="str">
        <f>"74955"</f>
        <v>74955</v>
      </c>
      <c r="H10676" s="19" t="s">
        <v>36696</v>
      </c>
      <c r="I10676" s="20">
        <v>17.030999999999999</v>
      </c>
      <c r="J10676" s="44" t="s">
        <v>8</v>
      </c>
      <c r="K10676" s="23" t="s">
        <v>8</v>
      </c>
      <c r="L10676" s="23" t="s">
        <v>8</v>
      </c>
      <c r="M10676" s="23" t="s">
        <v>8</v>
      </c>
    </row>
    <row r="10677" spans="1:13" s="21" customFormat="1" x14ac:dyDescent="0.25">
      <c r="A10677" s="22" t="s">
        <v>8</v>
      </c>
      <c r="B10677" s="18" t="s">
        <v>15330</v>
      </c>
      <c r="C10677" s="19" t="s">
        <v>10514</v>
      </c>
      <c r="D10677" s="19" t="s">
        <v>26087</v>
      </c>
      <c r="E10677" s="19" t="s">
        <v>31503</v>
      </c>
      <c r="F10677" s="19" t="s">
        <v>36010</v>
      </c>
      <c r="G10677" s="18" t="str">
        <f>"73077"</f>
        <v>73077</v>
      </c>
      <c r="H10677" s="19" t="s">
        <v>34672</v>
      </c>
      <c r="I10677" s="20">
        <v>24.885999999999999</v>
      </c>
      <c r="J10677" s="44" t="s">
        <v>8</v>
      </c>
      <c r="K10677" s="23" t="s">
        <v>8</v>
      </c>
      <c r="L10677" s="23" t="s">
        <v>8</v>
      </c>
      <c r="M10677" s="23" t="s">
        <v>8</v>
      </c>
    </row>
    <row r="10678" spans="1:13" s="21" customFormat="1" x14ac:dyDescent="0.25">
      <c r="A10678" s="22" t="s">
        <v>8</v>
      </c>
      <c r="B10678" s="18" t="s">
        <v>15331</v>
      </c>
      <c r="C10678" s="19" t="s">
        <v>10515</v>
      </c>
      <c r="D10678" s="19" t="s">
        <v>26088</v>
      </c>
      <c r="E10678" s="19" t="s">
        <v>32244</v>
      </c>
      <c r="F10678" s="19" t="s">
        <v>36010</v>
      </c>
      <c r="G10678" s="18" t="str">
        <f>"73651"</f>
        <v>73651</v>
      </c>
      <c r="H10678" s="19" t="s">
        <v>36697</v>
      </c>
      <c r="I10678" s="20">
        <v>28.134</v>
      </c>
      <c r="J10678" s="44" t="s">
        <v>8</v>
      </c>
      <c r="K10678" s="23" t="s">
        <v>8</v>
      </c>
      <c r="L10678" s="23" t="s">
        <v>8</v>
      </c>
      <c r="M10678" s="23" t="s">
        <v>8</v>
      </c>
    </row>
    <row r="10679" spans="1:13" s="21" customFormat="1" x14ac:dyDescent="0.25">
      <c r="A10679" s="22" t="s">
        <v>8</v>
      </c>
      <c r="B10679" s="18" t="s">
        <v>15332</v>
      </c>
      <c r="C10679" s="19" t="s">
        <v>10516</v>
      </c>
      <c r="D10679" s="19" t="s">
        <v>26089</v>
      </c>
      <c r="E10679" s="19" t="s">
        <v>34637</v>
      </c>
      <c r="F10679" s="19" t="s">
        <v>36010</v>
      </c>
      <c r="G10679" s="18" t="str">
        <f>"73075"</f>
        <v>73075</v>
      </c>
      <c r="H10679" s="19" t="s">
        <v>36698</v>
      </c>
      <c r="I10679" s="20">
        <v>19.134</v>
      </c>
      <c r="J10679" s="44" t="s">
        <v>8</v>
      </c>
      <c r="K10679" s="23" t="s">
        <v>8</v>
      </c>
      <c r="L10679" s="23" t="s">
        <v>8</v>
      </c>
      <c r="M10679" s="23" t="s">
        <v>8</v>
      </c>
    </row>
    <row r="10680" spans="1:13" s="21" customFormat="1" x14ac:dyDescent="0.25">
      <c r="A10680" s="22" t="s">
        <v>8</v>
      </c>
      <c r="B10680" s="18" t="s">
        <v>15333</v>
      </c>
      <c r="C10680" s="19" t="s">
        <v>10517</v>
      </c>
      <c r="D10680" s="19" t="s">
        <v>26090</v>
      </c>
      <c r="E10680" s="19" t="s">
        <v>34638</v>
      </c>
      <c r="F10680" s="19" t="s">
        <v>36010</v>
      </c>
      <c r="G10680" s="18" t="str">
        <f>"73080"</f>
        <v>73080</v>
      </c>
      <c r="H10680" s="19" t="s">
        <v>36699</v>
      </c>
      <c r="I10680" s="20">
        <v>19.300999999999998</v>
      </c>
      <c r="J10680" s="44" t="s">
        <v>8</v>
      </c>
      <c r="K10680" s="23" t="s">
        <v>8</v>
      </c>
      <c r="L10680" s="23" t="s">
        <v>8</v>
      </c>
      <c r="M10680" s="23" t="s">
        <v>8</v>
      </c>
    </row>
    <row r="10681" spans="1:13" s="21" customFormat="1" x14ac:dyDescent="0.25">
      <c r="A10681" s="22" t="s">
        <v>8</v>
      </c>
      <c r="B10681" s="18" t="s">
        <v>15334</v>
      </c>
      <c r="C10681" s="19" t="s">
        <v>10518</v>
      </c>
      <c r="D10681" s="19" t="s">
        <v>26091</v>
      </c>
      <c r="E10681" s="19" t="s">
        <v>34639</v>
      </c>
      <c r="F10681" s="19" t="s">
        <v>36010</v>
      </c>
      <c r="G10681" s="18" t="str">
        <f>"74960"</f>
        <v>74960</v>
      </c>
      <c r="H10681" s="19" t="s">
        <v>36280</v>
      </c>
      <c r="I10681" s="20">
        <v>18.315000000000001</v>
      </c>
      <c r="J10681" s="44" t="s">
        <v>8</v>
      </c>
      <c r="K10681" s="23" t="s">
        <v>8</v>
      </c>
      <c r="L10681" s="23" t="s">
        <v>8</v>
      </c>
      <c r="M10681" s="23" t="s">
        <v>8</v>
      </c>
    </row>
    <row r="10682" spans="1:13" s="21" customFormat="1" x14ac:dyDescent="0.25">
      <c r="A10682" s="22" t="s">
        <v>8</v>
      </c>
      <c r="B10682" s="18" t="s">
        <v>15335</v>
      </c>
      <c r="C10682" s="19" t="s">
        <v>10519</v>
      </c>
      <c r="D10682" s="19" t="s">
        <v>26092</v>
      </c>
      <c r="E10682" s="19" t="s">
        <v>34640</v>
      </c>
      <c r="F10682" s="19" t="s">
        <v>36010</v>
      </c>
      <c r="G10682" s="18" t="str">
        <f>"74437"</f>
        <v>74437</v>
      </c>
      <c r="H10682" s="19" t="s">
        <v>34630</v>
      </c>
      <c r="I10682" s="20">
        <v>19.465</v>
      </c>
      <c r="J10682" s="44" t="s">
        <v>8</v>
      </c>
      <c r="K10682" s="23" t="s">
        <v>8</v>
      </c>
      <c r="L10682" s="23" t="s">
        <v>8</v>
      </c>
      <c r="M10682" s="23" t="s">
        <v>8</v>
      </c>
    </row>
    <row r="10683" spans="1:13" s="21" customFormat="1" x14ac:dyDescent="0.25">
      <c r="A10683" s="22" t="s">
        <v>8</v>
      </c>
      <c r="B10683" s="18" t="s">
        <v>15336</v>
      </c>
      <c r="C10683" s="19" t="s">
        <v>10520</v>
      </c>
      <c r="D10683" s="19" t="s">
        <v>26093</v>
      </c>
      <c r="E10683" s="19" t="s">
        <v>31595</v>
      </c>
      <c r="F10683" s="19" t="s">
        <v>36010</v>
      </c>
      <c r="G10683" s="18" t="str">
        <f>"74868"</f>
        <v>74868</v>
      </c>
      <c r="H10683" s="19" t="s">
        <v>31595</v>
      </c>
      <c r="I10683" s="20">
        <v>18.713999999999999</v>
      </c>
      <c r="J10683" s="44" t="s">
        <v>8</v>
      </c>
      <c r="K10683" s="23" t="s">
        <v>8</v>
      </c>
      <c r="L10683" s="23" t="s">
        <v>8</v>
      </c>
      <c r="M10683" s="23" t="s">
        <v>8</v>
      </c>
    </row>
    <row r="10684" spans="1:13" s="21" customFormat="1" x14ac:dyDescent="0.25">
      <c r="A10684" s="22" t="s">
        <v>8</v>
      </c>
      <c r="B10684" s="18" t="str">
        <f>"375034"</f>
        <v>375034</v>
      </c>
      <c r="C10684" s="19" t="s">
        <v>6672</v>
      </c>
      <c r="D10684" s="19" t="s">
        <v>26094</v>
      </c>
      <c r="E10684" s="19" t="s">
        <v>34641</v>
      </c>
      <c r="F10684" s="19" t="s">
        <v>36010</v>
      </c>
      <c r="G10684" s="18" t="str">
        <f>"74136"</f>
        <v>74136</v>
      </c>
      <c r="H10684" s="19" t="s">
        <v>34641</v>
      </c>
      <c r="I10684" s="20">
        <v>19.513000000000002</v>
      </c>
      <c r="J10684" s="44" t="s">
        <v>8</v>
      </c>
      <c r="K10684" s="23" t="s">
        <v>8</v>
      </c>
      <c r="L10684" s="23" t="s">
        <v>8</v>
      </c>
      <c r="M10684" s="23" t="s">
        <v>8</v>
      </c>
    </row>
    <row r="10685" spans="1:13" s="21" customFormat="1" x14ac:dyDescent="0.25">
      <c r="A10685" s="22" t="s">
        <v>8</v>
      </c>
      <c r="B10685" s="18" t="str">
        <f>"375073"</f>
        <v>375073</v>
      </c>
      <c r="C10685" s="19" t="s">
        <v>10521</v>
      </c>
      <c r="D10685" s="19" t="s">
        <v>26095</v>
      </c>
      <c r="E10685" s="19" t="s">
        <v>34642</v>
      </c>
      <c r="F10685" s="19" t="s">
        <v>36010</v>
      </c>
      <c r="G10685" s="18" t="str">
        <f>"74501"</f>
        <v>74501</v>
      </c>
      <c r="H10685" s="19" t="s">
        <v>31245</v>
      </c>
      <c r="I10685" s="20">
        <v>19.332999999999998</v>
      </c>
      <c r="J10685" s="44" t="s">
        <v>8</v>
      </c>
      <c r="K10685" s="23" t="s">
        <v>8</v>
      </c>
      <c r="L10685" s="23" t="s">
        <v>8</v>
      </c>
      <c r="M10685" s="23" t="s">
        <v>8</v>
      </c>
    </row>
    <row r="10686" spans="1:13" s="21" customFormat="1" x14ac:dyDescent="0.25">
      <c r="A10686" s="22" t="s">
        <v>8</v>
      </c>
      <c r="B10686" s="18" t="str">
        <f>"375079"</f>
        <v>375079</v>
      </c>
      <c r="C10686" s="19" t="s">
        <v>10522</v>
      </c>
      <c r="D10686" s="19" t="s">
        <v>26096</v>
      </c>
      <c r="E10686" s="19" t="s">
        <v>34643</v>
      </c>
      <c r="F10686" s="19" t="s">
        <v>36010</v>
      </c>
      <c r="G10686" s="18" t="str">
        <f>"73701"</f>
        <v>73701</v>
      </c>
      <c r="H10686" s="19" t="s">
        <v>36111</v>
      </c>
      <c r="I10686" s="20">
        <v>17.34</v>
      </c>
      <c r="J10686" s="44" t="s">
        <v>8</v>
      </c>
      <c r="K10686" s="23" t="s">
        <v>8</v>
      </c>
      <c r="L10686" s="23" t="s">
        <v>8</v>
      </c>
      <c r="M10686" s="23" t="s">
        <v>8</v>
      </c>
    </row>
    <row r="10687" spans="1:13" s="21" customFormat="1" x14ac:dyDescent="0.25">
      <c r="A10687" s="22" t="s">
        <v>8</v>
      </c>
      <c r="B10687" s="18" t="str">
        <f>"375083"</f>
        <v>375083</v>
      </c>
      <c r="C10687" s="19" t="s">
        <v>10523</v>
      </c>
      <c r="D10687" s="19" t="s">
        <v>26097</v>
      </c>
      <c r="E10687" s="19" t="s">
        <v>34644</v>
      </c>
      <c r="F10687" s="19" t="s">
        <v>36010</v>
      </c>
      <c r="G10687" s="18" t="str">
        <f>"73533"</f>
        <v>73533</v>
      </c>
      <c r="H10687" s="19" t="s">
        <v>36167</v>
      </c>
      <c r="I10687" s="20">
        <v>20.957999999999998</v>
      </c>
      <c r="J10687" s="44" t="s">
        <v>8</v>
      </c>
      <c r="K10687" s="23" t="s">
        <v>8</v>
      </c>
      <c r="L10687" s="23" t="s">
        <v>8</v>
      </c>
      <c r="M10687" s="23" t="s">
        <v>8</v>
      </c>
    </row>
    <row r="10688" spans="1:13" s="21" customFormat="1" x14ac:dyDescent="0.25">
      <c r="A10688" s="22" t="s">
        <v>8</v>
      </c>
      <c r="B10688" s="18" t="str">
        <f>"375094"</f>
        <v>375094</v>
      </c>
      <c r="C10688" s="19" t="s">
        <v>10524</v>
      </c>
      <c r="D10688" s="19" t="s">
        <v>26098</v>
      </c>
      <c r="E10688" s="19" t="s">
        <v>34641</v>
      </c>
      <c r="F10688" s="19" t="s">
        <v>36010</v>
      </c>
      <c r="G10688" s="18" t="str">
        <f>"74129"</f>
        <v>74129</v>
      </c>
      <c r="H10688" s="19" t="s">
        <v>34641</v>
      </c>
      <c r="I10688" s="20">
        <v>20.202999999999999</v>
      </c>
      <c r="J10688" s="44" t="s">
        <v>8</v>
      </c>
      <c r="K10688" s="23" t="s">
        <v>8</v>
      </c>
      <c r="L10688" s="23" t="s">
        <v>8</v>
      </c>
      <c r="M10688" s="23" t="s">
        <v>8</v>
      </c>
    </row>
    <row r="10689" spans="1:13" s="21" customFormat="1" x14ac:dyDescent="0.25">
      <c r="A10689" s="22" t="s">
        <v>8</v>
      </c>
      <c r="B10689" s="18" t="str">
        <f>"375098"</f>
        <v>375098</v>
      </c>
      <c r="C10689" s="19" t="s">
        <v>10525</v>
      </c>
      <c r="D10689" s="19" t="s">
        <v>26099</v>
      </c>
      <c r="E10689" s="19" t="s">
        <v>34645</v>
      </c>
      <c r="F10689" s="19" t="s">
        <v>36010</v>
      </c>
      <c r="G10689" s="18" t="str">
        <f>"73110"</f>
        <v>73110</v>
      </c>
      <c r="H10689" s="19" t="s">
        <v>36700</v>
      </c>
      <c r="I10689" s="20">
        <v>22.744</v>
      </c>
      <c r="J10689" s="44" t="s">
        <v>8</v>
      </c>
      <c r="K10689" s="23" t="s">
        <v>8</v>
      </c>
      <c r="L10689" s="23" t="s">
        <v>8</v>
      </c>
      <c r="M10689" s="23" t="s">
        <v>8</v>
      </c>
    </row>
    <row r="10690" spans="1:13" s="21" customFormat="1" x14ac:dyDescent="0.25">
      <c r="A10690" s="22" t="s">
        <v>8</v>
      </c>
      <c r="B10690" s="18" t="str">
        <f>"375102"</f>
        <v>375102</v>
      </c>
      <c r="C10690" s="19" t="s">
        <v>10526</v>
      </c>
      <c r="D10690" s="19" t="s">
        <v>26100</v>
      </c>
      <c r="E10690" s="19" t="s">
        <v>34646</v>
      </c>
      <c r="F10690" s="19" t="s">
        <v>36010</v>
      </c>
      <c r="G10690" s="18" t="str">
        <f>"73750"</f>
        <v>73750</v>
      </c>
      <c r="H10690" s="19" t="s">
        <v>34646</v>
      </c>
      <c r="I10690" s="20">
        <v>19.788</v>
      </c>
      <c r="J10690" s="44" t="s">
        <v>8</v>
      </c>
      <c r="K10690" s="23" t="s">
        <v>8</v>
      </c>
      <c r="L10690" s="23" t="s">
        <v>8</v>
      </c>
      <c r="M10690" s="23" t="s">
        <v>8</v>
      </c>
    </row>
    <row r="10691" spans="1:13" s="21" customFormat="1" x14ac:dyDescent="0.25">
      <c r="A10691" s="22" t="s">
        <v>8</v>
      </c>
      <c r="B10691" s="18" t="str">
        <f>"375106"</f>
        <v>375106</v>
      </c>
      <c r="C10691" s="19" t="s">
        <v>10527</v>
      </c>
      <c r="D10691" s="19" t="s">
        <v>26101</v>
      </c>
      <c r="E10691" s="19" t="s">
        <v>34647</v>
      </c>
      <c r="F10691" s="19" t="s">
        <v>36010</v>
      </c>
      <c r="G10691" s="18" t="str">
        <f>"73139"</f>
        <v>73139</v>
      </c>
      <c r="H10691" s="19" t="s">
        <v>36700</v>
      </c>
      <c r="I10691" s="20">
        <v>21.978999999999999</v>
      </c>
      <c r="J10691" s="44" t="s">
        <v>8</v>
      </c>
      <c r="K10691" s="23" t="s">
        <v>8</v>
      </c>
      <c r="L10691" s="23" t="s">
        <v>8</v>
      </c>
      <c r="M10691" s="23" t="s">
        <v>8</v>
      </c>
    </row>
    <row r="10692" spans="1:13" s="21" customFormat="1" x14ac:dyDescent="0.25">
      <c r="A10692" s="22" t="s">
        <v>8</v>
      </c>
      <c r="B10692" s="18" t="str">
        <f>"375107"</f>
        <v>375107</v>
      </c>
      <c r="C10692" s="19" t="s">
        <v>10528</v>
      </c>
      <c r="D10692" s="19" t="s">
        <v>26102</v>
      </c>
      <c r="E10692" s="19" t="s">
        <v>33651</v>
      </c>
      <c r="F10692" s="19" t="s">
        <v>36010</v>
      </c>
      <c r="G10692" s="18" t="str">
        <f>"73008"</f>
        <v>73008</v>
      </c>
      <c r="H10692" s="19" t="s">
        <v>36700</v>
      </c>
      <c r="I10692" s="20">
        <v>20.553000000000001</v>
      </c>
      <c r="J10692" s="44" t="s">
        <v>8</v>
      </c>
      <c r="K10692" s="23" t="s">
        <v>8</v>
      </c>
      <c r="L10692" s="23" t="s">
        <v>8</v>
      </c>
      <c r="M10692" s="23" t="s">
        <v>8</v>
      </c>
    </row>
    <row r="10693" spans="1:13" s="21" customFormat="1" x14ac:dyDescent="0.25">
      <c r="A10693" s="22" t="s">
        <v>8</v>
      </c>
      <c r="B10693" s="18" t="str">
        <f>"375109"</f>
        <v>375109</v>
      </c>
      <c r="C10693" s="19" t="s">
        <v>10529</v>
      </c>
      <c r="D10693" s="19" t="s">
        <v>26103</v>
      </c>
      <c r="E10693" s="19" t="s">
        <v>34648</v>
      </c>
      <c r="F10693" s="19" t="s">
        <v>36010</v>
      </c>
      <c r="G10693" s="18" t="str">
        <f>"74006"</f>
        <v>74006</v>
      </c>
      <c r="H10693" s="19" t="s">
        <v>31500</v>
      </c>
      <c r="I10693" s="20">
        <v>18.888000000000002</v>
      </c>
      <c r="J10693" s="44" t="s">
        <v>8</v>
      </c>
      <c r="K10693" s="23" t="s">
        <v>8</v>
      </c>
      <c r="L10693" s="23" t="s">
        <v>8</v>
      </c>
      <c r="M10693" s="23" t="s">
        <v>8</v>
      </c>
    </row>
    <row r="10694" spans="1:13" s="21" customFormat="1" x14ac:dyDescent="0.25">
      <c r="A10694" s="22" t="s">
        <v>8</v>
      </c>
      <c r="B10694" s="18" t="str">
        <f>"375110"</f>
        <v>375110</v>
      </c>
      <c r="C10694" s="19" t="s">
        <v>10530</v>
      </c>
      <c r="D10694" s="19" t="s">
        <v>26104</v>
      </c>
      <c r="E10694" s="19" t="s">
        <v>34648</v>
      </c>
      <c r="F10694" s="19" t="s">
        <v>36010</v>
      </c>
      <c r="G10694" s="18" t="str">
        <f>"74006"</f>
        <v>74006</v>
      </c>
      <c r="H10694" s="19" t="s">
        <v>31500</v>
      </c>
      <c r="I10694" s="20">
        <v>21.048999999999999</v>
      </c>
      <c r="J10694" s="44" t="s">
        <v>8</v>
      </c>
      <c r="K10694" s="23" t="s">
        <v>8</v>
      </c>
      <c r="L10694" s="23" t="s">
        <v>8</v>
      </c>
      <c r="M10694" s="23" t="s">
        <v>8</v>
      </c>
    </row>
    <row r="10695" spans="1:13" s="21" customFormat="1" x14ac:dyDescent="0.25">
      <c r="A10695" s="22" t="s">
        <v>8</v>
      </c>
      <c r="B10695" s="18" t="str">
        <f>"375113"</f>
        <v>375113</v>
      </c>
      <c r="C10695" s="19" t="s">
        <v>10531</v>
      </c>
      <c r="D10695" s="19" t="s">
        <v>26105</v>
      </c>
      <c r="E10695" s="19" t="s">
        <v>34649</v>
      </c>
      <c r="F10695" s="19" t="s">
        <v>36010</v>
      </c>
      <c r="G10695" s="18" t="str">
        <f>"73036"</f>
        <v>73036</v>
      </c>
      <c r="H10695" s="19" t="s">
        <v>35233</v>
      </c>
      <c r="I10695" s="20">
        <v>18.588000000000001</v>
      </c>
      <c r="J10695" s="44" t="s">
        <v>8</v>
      </c>
      <c r="K10695" s="23" t="s">
        <v>8</v>
      </c>
      <c r="L10695" s="23" t="s">
        <v>8</v>
      </c>
      <c r="M10695" s="23" t="s">
        <v>8</v>
      </c>
    </row>
    <row r="10696" spans="1:13" s="21" customFormat="1" x14ac:dyDescent="0.25">
      <c r="A10696" s="22" t="s">
        <v>8</v>
      </c>
      <c r="B10696" s="18" t="str">
        <f>"375116"</f>
        <v>375116</v>
      </c>
      <c r="C10696" s="19" t="s">
        <v>10532</v>
      </c>
      <c r="D10696" s="19" t="s">
        <v>26106</v>
      </c>
      <c r="E10696" s="19" t="s">
        <v>34650</v>
      </c>
      <c r="F10696" s="19" t="s">
        <v>36010</v>
      </c>
      <c r="G10696" s="18" t="str">
        <f>"74345"</f>
        <v>74345</v>
      </c>
      <c r="H10696" s="19" t="s">
        <v>34462</v>
      </c>
      <c r="I10696" s="20">
        <v>18.509</v>
      </c>
      <c r="J10696" s="44" t="s">
        <v>8</v>
      </c>
      <c r="K10696" s="23" t="s">
        <v>8</v>
      </c>
      <c r="L10696" s="23" t="s">
        <v>8</v>
      </c>
      <c r="M10696" s="23" t="s">
        <v>8</v>
      </c>
    </row>
    <row r="10697" spans="1:13" s="21" customFormat="1" x14ac:dyDescent="0.25">
      <c r="A10697" s="22" t="s">
        <v>8</v>
      </c>
      <c r="B10697" s="18" t="str">
        <f>"375117"</f>
        <v>375117</v>
      </c>
      <c r="C10697" s="19" t="s">
        <v>10533</v>
      </c>
      <c r="D10697" s="19" t="s">
        <v>26107</v>
      </c>
      <c r="E10697" s="19" t="s">
        <v>34651</v>
      </c>
      <c r="F10697" s="19" t="s">
        <v>36010</v>
      </c>
      <c r="G10697" s="18" t="str">
        <f>"73049"</f>
        <v>73049</v>
      </c>
      <c r="H10697" s="19" t="s">
        <v>36700</v>
      </c>
      <c r="I10697" s="20">
        <v>18.305</v>
      </c>
      <c r="J10697" s="44" t="s">
        <v>8</v>
      </c>
      <c r="K10697" s="23" t="s">
        <v>8</v>
      </c>
      <c r="L10697" s="23" t="s">
        <v>8</v>
      </c>
      <c r="M10697" s="23" t="s">
        <v>8</v>
      </c>
    </row>
    <row r="10698" spans="1:13" s="21" customFormat="1" x14ac:dyDescent="0.25">
      <c r="A10698" s="22" t="s">
        <v>8</v>
      </c>
      <c r="B10698" s="18" t="str">
        <f>"375119"</f>
        <v>375119</v>
      </c>
      <c r="C10698" s="19" t="s">
        <v>10534</v>
      </c>
      <c r="D10698" s="19" t="s">
        <v>26108</v>
      </c>
      <c r="E10698" s="19" t="s">
        <v>34647</v>
      </c>
      <c r="F10698" s="19" t="s">
        <v>36010</v>
      </c>
      <c r="G10698" s="18" t="str">
        <f>"73142"</f>
        <v>73142</v>
      </c>
      <c r="H10698" s="19" t="s">
        <v>36700</v>
      </c>
      <c r="I10698" s="20">
        <v>18.187000000000001</v>
      </c>
      <c r="J10698" s="44" t="s">
        <v>8</v>
      </c>
      <c r="K10698" s="23" t="s">
        <v>8</v>
      </c>
      <c r="L10698" s="23" t="s">
        <v>8</v>
      </c>
      <c r="M10698" s="23" t="s">
        <v>8</v>
      </c>
    </row>
    <row r="10699" spans="1:13" s="21" customFormat="1" x14ac:dyDescent="0.25">
      <c r="A10699" s="22" t="s">
        <v>8</v>
      </c>
      <c r="B10699" s="18" t="str">
        <f>"375122"</f>
        <v>375122</v>
      </c>
      <c r="C10699" s="19" t="s">
        <v>10535</v>
      </c>
      <c r="D10699" s="19" t="s">
        <v>26109</v>
      </c>
      <c r="E10699" s="19" t="s">
        <v>34652</v>
      </c>
      <c r="F10699" s="19" t="s">
        <v>36010</v>
      </c>
      <c r="G10699" s="18" t="str">
        <f>"73072"</f>
        <v>73072</v>
      </c>
      <c r="H10699" s="19" t="s">
        <v>31810</v>
      </c>
      <c r="I10699" s="20">
        <v>22.315999999999999</v>
      </c>
      <c r="J10699" s="44" t="s">
        <v>8</v>
      </c>
      <c r="K10699" s="23" t="s">
        <v>8</v>
      </c>
      <c r="L10699" s="23" t="s">
        <v>8</v>
      </c>
      <c r="M10699" s="23" t="s">
        <v>8</v>
      </c>
    </row>
    <row r="10700" spans="1:13" s="21" customFormat="1" x14ac:dyDescent="0.25">
      <c r="A10700" s="22" t="s">
        <v>8</v>
      </c>
      <c r="B10700" s="18" t="str">
        <f>"375123"</f>
        <v>375123</v>
      </c>
      <c r="C10700" s="19" t="s">
        <v>10536</v>
      </c>
      <c r="D10700" s="19" t="s">
        <v>26110</v>
      </c>
      <c r="E10700" s="19" t="s">
        <v>34653</v>
      </c>
      <c r="F10700" s="19" t="s">
        <v>36010</v>
      </c>
      <c r="G10700" s="18" t="str">
        <f>"74745"</f>
        <v>74745</v>
      </c>
      <c r="H10700" s="19" t="s">
        <v>36701</v>
      </c>
      <c r="I10700" s="20">
        <v>21.376000000000001</v>
      </c>
      <c r="J10700" s="44" t="s">
        <v>8</v>
      </c>
      <c r="K10700" s="23" t="s">
        <v>8</v>
      </c>
      <c r="L10700" s="23" t="s">
        <v>8</v>
      </c>
      <c r="M10700" s="23" t="s">
        <v>8</v>
      </c>
    </row>
    <row r="10701" spans="1:13" s="21" customFormat="1" x14ac:dyDescent="0.25">
      <c r="A10701" s="22" t="s">
        <v>8</v>
      </c>
      <c r="B10701" s="18" t="str">
        <f>"375124"</f>
        <v>375124</v>
      </c>
      <c r="C10701" s="19" t="s">
        <v>10537</v>
      </c>
      <c r="D10701" s="19" t="s">
        <v>26111</v>
      </c>
      <c r="E10701" s="19" t="s">
        <v>34654</v>
      </c>
      <c r="F10701" s="19" t="s">
        <v>36010</v>
      </c>
      <c r="G10701" s="18" t="str">
        <f>"74465"</f>
        <v>74465</v>
      </c>
      <c r="H10701" s="19" t="s">
        <v>32436</v>
      </c>
      <c r="I10701" s="20">
        <v>17.568999999999999</v>
      </c>
      <c r="J10701" s="44" t="s">
        <v>8</v>
      </c>
      <c r="K10701" s="23" t="s">
        <v>8</v>
      </c>
      <c r="L10701" s="23" t="s">
        <v>8</v>
      </c>
      <c r="M10701" s="23" t="s">
        <v>8</v>
      </c>
    </row>
    <row r="10702" spans="1:13" s="21" customFormat="1" x14ac:dyDescent="0.25">
      <c r="A10702" s="22" t="s">
        <v>8</v>
      </c>
      <c r="B10702" s="18" t="str">
        <f>"375127"</f>
        <v>375127</v>
      </c>
      <c r="C10702" s="19" t="s">
        <v>10538</v>
      </c>
      <c r="D10702" s="19" t="s">
        <v>26112</v>
      </c>
      <c r="E10702" s="19" t="s">
        <v>34634</v>
      </c>
      <c r="F10702" s="19" t="s">
        <v>36010</v>
      </c>
      <c r="G10702" s="18" t="str">
        <f>"73505"</f>
        <v>73505</v>
      </c>
      <c r="H10702" s="19" t="s">
        <v>34715</v>
      </c>
      <c r="I10702" s="20">
        <v>17.678000000000001</v>
      </c>
      <c r="J10702" s="44" t="s">
        <v>8</v>
      </c>
      <c r="K10702" s="23" t="s">
        <v>8</v>
      </c>
      <c r="L10702" s="23" t="s">
        <v>8</v>
      </c>
      <c r="M10702" s="23" t="s">
        <v>8</v>
      </c>
    </row>
    <row r="10703" spans="1:13" s="21" customFormat="1" x14ac:dyDescent="0.25">
      <c r="A10703" s="22" t="s">
        <v>8</v>
      </c>
      <c r="B10703" s="18" t="str">
        <f>"375132"</f>
        <v>375132</v>
      </c>
      <c r="C10703" s="19" t="s">
        <v>10539</v>
      </c>
      <c r="D10703" s="19" t="s">
        <v>26113</v>
      </c>
      <c r="E10703" s="19" t="s">
        <v>34655</v>
      </c>
      <c r="F10703" s="19" t="s">
        <v>36010</v>
      </c>
      <c r="G10703" s="18" t="str">
        <f>"74403"</f>
        <v>74403</v>
      </c>
      <c r="H10703" s="19" t="s">
        <v>34655</v>
      </c>
      <c r="I10703" s="20">
        <v>18.559000000000001</v>
      </c>
      <c r="J10703" s="44" t="s">
        <v>8</v>
      </c>
      <c r="K10703" s="23" t="s">
        <v>8</v>
      </c>
      <c r="L10703" s="23" t="s">
        <v>8</v>
      </c>
      <c r="M10703" s="23" t="s">
        <v>8</v>
      </c>
    </row>
    <row r="10704" spans="1:13" s="21" customFormat="1" x14ac:dyDescent="0.25">
      <c r="A10704" s="22" t="s">
        <v>8</v>
      </c>
      <c r="B10704" s="18" t="str">
        <f>"375133"</f>
        <v>375133</v>
      </c>
      <c r="C10704" s="19" t="s">
        <v>10540</v>
      </c>
      <c r="D10704" s="19" t="s">
        <v>26114</v>
      </c>
      <c r="E10704" s="19" t="s">
        <v>33787</v>
      </c>
      <c r="F10704" s="19" t="s">
        <v>36010</v>
      </c>
      <c r="G10704" s="18" t="str">
        <f>"74728"</f>
        <v>74728</v>
      </c>
      <c r="H10704" s="19" t="s">
        <v>36701</v>
      </c>
      <c r="I10704" s="20">
        <v>18.193000000000001</v>
      </c>
      <c r="J10704" s="44" t="s">
        <v>8</v>
      </c>
      <c r="K10704" s="23" t="s">
        <v>8</v>
      </c>
      <c r="L10704" s="23" t="s">
        <v>8</v>
      </c>
      <c r="M10704" s="23" t="s">
        <v>8</v>
      </c>
    </row>
    <row r="10705" spans="1:13" s="21" customFormat="1" x14ac:dyDescent="0.25">
      <c r="A10705" s="22" t="s">
        <v>8</v>
      </c>
      <c r="B10705" s="18" t="str">
        <f>"375135"</f>
        <v>375135</v>
      </c>
      <c r="C10705" s="19" t="s">
        <v>10541</v>
      </c>
      <c r="D10705" s="19" t="s">
        <v>26115</v>
      </c>
      <c r="E10705" s="19" t="s">
        <v>34647</v>
      </c>
      <c r="F10705" s="19" t="s">
        <v>36010</v>
      </c>
      <c r="G10705" s="18" t="str">
        <f>"73109"</f>
        <v>73109</v>
      </c>
      <c r="H10705" s="19" t="s">
        <v>36700</v>
      </c>
      <c r="I10705" s="20">
        <v>22.382000000000001</v>
      </c>
      <c r="J10705" s="44" t="s">
        <v>8</v>
      </c>
      <c r="K10705" s="23" t="s">
        <v>8</v>
      </c>
      <c r="L10705" s="23" t="s">
        <v>8</v>
      </c>
      <c r="M10705" s="23" t="s">
        <v>8</v>
      </c>
    </row>
    <row r="10706" spans="1:13" s="21" customFormat="1" x14ac:dyDescent="0.25">
      <c r="A10706" s="22" t="s">
        <v>8</v>
      </c>
      <c r="B10706" s="18" t="str">
        <f>"375140"</f>
        <v>375140</v>
      </c>
      <c r="C10706" s="19" t="s">
        <v>10542</v>
      </c>
      <c r="D10706" s="19" t="s">
        <v>26116</v>
      </c>
      <c r="E10706" s="19" t="s">
        <v>34656</v>
      </c>
      <c r="F10706" s="19" t="s">
        <v>36010</v>
      </c>
      <c r="G10706" s="18" t="str">
        <f>"74426"</f>
        <v>74426</v>
      </c>
      <c r="H10706" s="19" t="s">
        <v>33400</v>
      </c>
      <c r="I10706" s="20">
        <v>18.815000000000001</v>
      </c>
      <c r="J10706" s="44" t="s">
        <v>8</v>
      </c>
      <c r="K10706" s="23" t="s">
        <v>8</v>
      </c>
      <c r="L10706" s="23" t="s">
        <v>8</v>
      </c>
      <c r="M10706" s="23" t="s">
        <v>8</v>
      </c>
    </row>
    <row r="10707" spans="1:13" s="21" customFormat="1" x14ac:dyDescent="0.25">
      <c r="A10707" s="22" t="s">
        <v>8</v>
      </c>
      <c r="B10707" s="18" t="str">
        <f>"375141"</f>
        <v>375141</v>
      </c>
      <c r="C10707" s="19" t="s">
        <v>10543</v>
      </c>
      <c r="D10707" s="19" t="s">
        <v>26117</v>
      </c>
      <c r="E10707" s="19" t="s">
        <v>31081</v>
      </c>
      <c r="F10707" s="19" t="s">
        <v>36010</v>
      </c>
      <c r="G10707" s="18" t="str">
        <f>"73601"</f>
        <v>73601</v>
      </c>
      <c r="H10707" s="19" t="s">
        <v>35098</v>
      </c>
      <c r="I10707" s="20">
        <v>20.192</v>
      </c>
      <c r="J10707" s="44" t="s">
        <v>8</v>
      </c>
      <c r="K10707" s="23" t="s">
        <v>8</v>
      </c>
      <c r="L10707" s="23" t="s">
        <v>8</v>
      </c>
      <c r="M10707" s="23" t="s">
        <v>8</v>
      </c>
    </row>
    <row r="10708" spans="1:13" s="21" customFormat="1" x14ac:dyDescent="0.25">
      <c r="A10708" s="22" t="s">
        <v>8</v>
      </c>
      <c r="B10708" s="18" t="str">
        <f>"375144"</f>
        <v>375144</v>
      </c>
      <c r="C10708" s="19" t="s">
        <v>10544</v>
      </c>
      <c r="D10708" s="19" t="s">
        <v>26118</v>
      </c>
      <c r="E10708" s="19" t="s">
        <v>34629</v>
      </c>
      <c r="F10708" s="19" t="s">
        <v>36010</v>
      </c>
      <c r="G10708" s="18" t="str">
        <f>"73023"</f>
        <v>73023</v>
      </c>
      <c r="H10708" s="19" t="s">
        <v>36153</v>
      </c>
      <c r="I10708" s="20">
        <v>17.061</v>
      </c>
      <c r="J10708" s="44" t="s">
        <v>8</v>
      </c>
      <c r="K10708" s="23" t="s">
        <v>8</v>
      </c>
      <c r="L10708" s="23" t="s">
        <v>8</v>
      </c>
      <c r="M10708" s="23" t="s">
        <v>8</v>
      </c>
    </row>
    <row r="10709" spans="1:13" s="21" customFormat="1" x14ac:dyDescent="0.25">
      <c r="A10709" s="22" t="s">
        <v>8</v>
      </c>
      <c r="B10709" s="18" t="str">
        <f>"375146"</f>
        <v>375146</v>
      </c>
      <c r="C10709" s="19" t="s">
        <v>10545</v>
      </c>
      <c r="D10709" s="19" t="s">
        <v>26119</v>
      </c>
      <c r="E10709" s="19" t="s">
        <v>34655</v>
      </c>
      <c r="F10709" s="19" t="s">
        <v>36010</v>
      </c>
      <c r="G10709" s="18" t="str">
        <f>"74403"</f>
        <v>74403</v>
      </c>
      <c r="H10709" s="19" t="s">
        <v>34655</v>
      </c>
      <c r="I10709" s="20">
        <v>20.166</v>
      </c>
      <c r="J10709" s="44" t="s">
        <v>8</v>
      </c>
      <c r="K10709" s="23" t="s">
        <v>8</v>
      </c>
      <c r="L10709" s="23" t="s">
        <v>8</v>
      </c>
      <c r="M10709" s="23" t="s">
        <v>8</v>
      </c>
    </row>
    <row r="10710" spans="1:13" s="21" customFormat="1" x14ac:dyDescent="0.25">
      <c r="A10710" s="22" t="s">
        <v>8</v>
      </c>
      <c r="B10710" s="18" t="str">
        <f>"375148"</f>
        <v>375148</v>
      </c>
      <c r="C10710" s="19" t="s">
        <v>10546</v>
      </c>
      <c r="D10710" s="19" t="s">
        <v>26120</v>
      </c>
      <c r="E10710" s="19" t="s">
        <v>34657</v>
      </c>
      <c r="F10710" s="19" t="s">
        <v>36010</v>
      </c>
      <c r="G10710" s="18" t="str">
        <f>"74033"</f>
        <v>74033</v>
      </c>
      <c r="H10710" s="19" t="s">
        <v>34641</v>
      </c>
      <c r="I10710" s="20">
        <v>20.806999999999999</v>
      </c>
      <c r="J10710" s="44" t="s">
        <v>8</v>
      </c>
      <c r="K10710" s="23" t="s">
        <v>8</v>
      </c>
      <c r="L10710" s="23" t="s">
        <v>8</v>
      </c>
      <c r="M10710" s="23" t="s">
        <v>8</v>
      </c>
    </row>
    <row r="10711" spans="1:13" s="21" customFormat="1" x14ac:dyDescent="0.25">
      <c r="A10711" s="22" t="s">
        <v>8</v>
      </c>
      <c r="B10711" s="18" t="str">
        <f>"375150"</f>
        <v>375150</v>
      </c>
      <c r="C10711" s="19" t="s">
        <v>10547</v>
      </c>
      <c r="D10711" s="19" t="s">
        <v>26121</v>
      </c>
      <c r="E10711" s="19" t="s">
        <v>34658</v>
      </c>
      <c r="F10711" s="19" t="s">
        <v>36010</v>
      </c>
      <c r="G10711" s="18" t="str">
        <f>"74029"</f>
        <v>74029</v>
      </c>
      <c r="H10711" s="19" t="s">
        <v>31500</v>
      </c>
      <c r="I10711" s="20">
        <v>16.137</v>
      </c>
      <c r="J10711" s="44" t="s">
        <v>8</v>
      </c>
      <c r="K10711" s="23" t="s">
        <v>8</v>
      </c>
      <c r="L10711" s="23" t="s">
        <v>8</v>
      </c>
      <c r="M10711" s="23" t="s">
        <v>8</v>
      </c>
    </row>
    <row r="10712" spans="1:13" s="21" customFormat="1" x14ac:dyDescent="0.25">
      <c r="A10712" s="22" t="s">
        <v>8</v>
      </c>
      <c r="B10712" s="18" t="str">
        <f>"375151"</f>
        <v>375151</v>
      </c>
      <c r="C10712" s="19" t="s">
        <v>10548</v>
      </c>
      <c r="D10712" s="19" t="s">
        <v>26122</v>
      </c>
      <c r="E10712" s="19" t="s">
        <v>34647</v>
      </c>
      <c r="F10712" s="19" t="s">
        <v>36010</v>
      </c>
      <c r="G10712" s="18" t="str">
        <f>"73119"</f>
        <v>73119</v>
      </c>
      <c r="H10712" s="19" t="s">
        <v>36700</v>
      </c>
      <c r="I10712" s="20">
        <v>19.349</v>
      </c>
      <c r="J10712" s="44" t="s">
        <v>8</v>
      </c>
      <c r="K10712" s="23" t="s">
        <v>8</v>
      </c>
      <c r="L10712" s="23" t="s">
        <v>8</v>
      </c>
      <c r="M10712" s="23" t="s">
        <v>8</v>
      </c>
    </row>
    <row r="10713" spans="1:13" s="21" customFormat="1" x14ac:dyDescent="0.25">
      <c r="A10713" s="22" t="s">
        <v>8</v>
      </c>
      <c r="B10713" s="18" t="str">
        <f>"375155"</f>
        <v>375155</v>
      </c>
      <c r="C10713" s="19" t="s">
        <v>10549</v>
      </c>
      <c r="D10713" s="19" t="s">
        <v>26123</v>
      </c>
      <c r="E10713" s="19" t="s">
        <v>34647</v>
      </c>
      <c r="F10713" s="19" t="s">
        <v>36010</v>
      </c>
      <c r="G10713" s="18" t="str">
        <f>"73111"</f>
        <v>73111</v>
      </c>
      <c r="H10713" s="19" t="s">
        <v>36700</v>
      </c>
      <c r="I10713" s="20">
        <v>18.338999999999999</v>
      </c>
      <c r="J10713" s="44" t="s">
        <v>8</v>
      </c>
      <c r="K10713" s="23" t="s">
        <v>8</v>
      </c>
      <c r="L10713" s="23" t="s">
        <v>8</v>
      </c>
      <c r="M10713" s="23" t="s">
        <v>8</v>
      </c>
    </row>
    <row r="10714" spans="1:13" s="21" customFormat="1" x14ac:dyDescent="0.25">
      <c r="A10714" s="22" t="s">
        <v>8</v>
      </c>
      <c r="B10714" s="18" t="str">
        <f>"375158"</f>
        <v>375158</v>
      </c>
      <c r="C10714" s="19" t="s">
        <v>10550</v>
      </c>
      <c r="D10714" s="19" t="s">
        <v>26124</v>
      </c>
      <c r="E10714" s="19" t="s">
        <v>34659</v>
      </c>
      <c r="F10714" s="19" t="s">
        <v>36010</v>
      </c>
      <c r="G10714" s="18" t="str">
        <f>"73013"</f>
        <v>73013</v>
      </c>
      <c r="H10714" s="19" t="s">
        <v>36700</v>
      </c>
      <c r="I10714" s="20">
        <v>21.045000000000002</v>
      </c>
      <c r="J10714" s="44" t="s">
        <v>8</v>
      </c>
      <c r="K10714" s="23" t="s">
        <v>8</v>
      </c>
      <c r="L10714" s="23" t="s">
        <v>8</v>
      </c>
      <c r="M10714" s="23" t="s">
        <v>8</v>
      </c>
    </row>
    <row r="10715" spans="1:13" s="21" customFormat="1" x14ac:dyDescent="0.25">
      <c r="A10715" s="22" t="s">
        <v>8</v>
      </c>
      <c r="B10715" s="18" t="str">
        <f>"375159"</f>
        <v>375159</v>
      </c>
      <c r="C10715" s="19" t="s">
        <v>10551</v>
      </c>
      <c r="D10715" s="19" t="s">
        <v>26125</v>
      </c>
      <c r="E10715" s="19" t="s">
        <v>34655</v>
      </c>
      <c r="F10715" s="19" t="s">
        <v>36010</v>
      </c>
      <c r="G10715" s="18" t="str">
        <f>"74401"</f>
        <v>74401</v>
      </c>
      <c r="H10715" s="19" t="s">
        <v>34655</v>
      </c>
      <c r="I10715" s="20">
        <v>19.337</v>
      </c>
      <c r="J10715" s="44" t="s">
        <v>8</v>
      </c>
      <c r="K10715" s="23" t="s">
        <v>8</v>
      </c>
      <c r="L10715" s="23" t="s">
        <v>8</v>
      </c>
      <c r="M10715" s="23" t="s">
        <v>8</v>
      </c>
    </row>
    <row r="10716" spans="1:13" s="21" customFormat="1" x14ac:dyDescent="0.25">
      <c r="A10716" s="22" t="s">
        <v>8</v>
      </c>
      <c r="B10716" s="18" t="str">
        <f>"375160"</f>
        <v>375160</v>
      </c>
      <c r="C10716" s="19" t="s">
        <v>10552</v>
      </c>
      <c r="D10716" s="19" t="s">
        <v>26126</v>
      </c>
      <c r="E10716" s="19" t="s">
        <v>34660</v>
      </c>
      <c r="F10716" s="19" t="s">
        <v>36010</v>
      </c>
      <c r="G10716" s="18" t="str">
        <f>"73401"</f>
        <v>73401</v>
      </c>
      <c r="H10716" s="19" t="s">
        <v>36338</v>
      </c>
      <c r="I10716" s="20">
        <v>24.794</v>
      </c>
      <c r="J10716" s="44" t="s">
        <v>8</v>
      </c>
      <c r="K10716" s="23" t="s">
        <v>8</v>
      </c>
      <c r="L10716" s="23" t="s">
        <v>8</v>
      </c>
      <c r="M10716" s="23" t="s">
        <v>8</v>
      </c>
    </row>
    <row r="10717" spans="1:13" s="21" customFormat="1" x14ac:dyDescent="0.25">
      <c r="A10717" s="22" t="s">
        <v>8</v>
      </c>
      <c r="B10717" s="18" t="str">
        <f>"375165"</f>
        <v>375165</v>
      </c>
      <c r="C10717" s="19" t="s">
        <v>10553</v>
      </c>
      <c r="D10717" s="19" t="s">
        <v>26127</v>
      </c>
      <c r="E10717" s="19" t="s">
        <v>33787</v>
      </c>
      <c r="F10717" s="19" t="s">
        <v>36010</v>
      </c>
      <c r="G10717" s="18" t="str">
        <f>"74728"</f>
        <v>74728</v>
      </c>
      <c r="H10717" s="19" t="s">
        <v>36701</v>
      </c>
      <c r="I10717" s="20">
        <v>18.323</v>
      </c>
      <c r="J10717" s="44" t="s">
        <v>8</v>
      </c>
      <c r="K10717" s="23" t="s">
        <v>8</v>
      </c>
      <c r="L10717" s="23" t="s">
        <v>8</v>
      </c>
      <c r="M10717" s="23" t="s">
        <v>8</v>
      </c>
    </row>
    <row r="10718" spans="1:13" s="21" customFormat="1" x14ac:dyDescent="0.25">
      <c r="A10718" s="22" t="s">
        <v>8</v>
      </c>
      <c r="B10718" s="18" t="str">
        <f>"375166"</f>
        <v>375166</v>
      </c>
      <c r="C10718" s="19" t="s">
        <v>10554</v>
      </c>
      <c r="D10718" s="19" t="s">
        <v>26128</v>
      </c>
      <c r="E10718" s="19" t="s">
        <v>34627</v>
      </c>
      <c r="F10718" s="19" t="s">
        <v>36010</v>
      </c>
      <c r="G10718" s="18" t="str">
        <f>"74953"</f>
        <v>74953</v>
      </c>
      <c r="H10718" s="19" t="s">
        <v>36690</v>
      </c>
      <c r="I10718" s="20">
        <v>19.670000000000002</v>
      </c>
      <c r="J10718" s="44" t="s">
        <v>8</v>
      </c>
      <c r="K10718" s="23" t="s">
        <v>8</v>
      </c>
      <c r="L10718" s="23" t="s">
        <v>8</v>
      </c>
      <c r="M10718" s="23" t="s">
        <v>8</v>
      </c>
    </row>
    <row r="10719" spans="1:13" s="21" customFormat="1" x14ac:dyDescent="0.25">
      <c r="A10719" s="22" t="s">
        <v>8</v>
      </c>
      <c r="B10719" s="18" t="str">
        <f>"375168"</f>
        <v>375168</v>
      </c>
      <c r="C10719" s="19" t="s">
        <v>10555</v>
      </c>
      <c r="D10719" s="19" t="s">
        <v>26129</v>
      </c>
      <c r="E10719" s="19" t="s">
        <v>34641</v>
      </c>
      <c r="F10719" s="19" t="s">
        <v>36010</v>
      </c>
      <c r="G10719" s="18" t="str">
        <f>"74136"</f>
        <v>74136</v>
      </c>
      <c r="H10719" s="19" t="s">
        <v>34641</v>
      </c>
      <c r="I10719" s="20">
        <v>18.995000000000001</v>
      </c>
      <c r="J10719" s="44" t="s">
        <v>8</v>
      </c>
      <c r="K10719" s="23" t="s">
        <v>8</v>
      </c>
      <c r="L10719" s="23" t="s">
        <v>8</v>
      </c>
      <c r="M10719" s="23" t="s">
        <v>8</v>
      </c>
    </row>
    <row r="10720" spans="1:13" s="21" customFormat="1" x14ac:dyDescent="0.25">
      <c r="A10720" s="22" t="s">
        <v>8</v>
      </c>
      <c r="B10720" s="18" t="str">
        <f>"375171"</f>
        <v>375171</v>
      </c>
      <c r="C10720" s="19" t="s">
        <v>7652</v>
      </c>
      <c r="D10720" s="19" t="s">
        <v>26130</v>
      </c>
      <c r="E10720" s="19" t="s">
        <v>34661</v>
      </c>
      <c r="F10720" s="19" t="s">
        <v>36010</v>
      </c>
      <c r="G10720" s="18" t="str">
        <f>"74012"</f>
        <v>74012</v>
      </c>
      <c r="H10720" s="19" t="s">
        <v>34641</v>
      </c>
      <c r="I10720" s="20">
        <v>20.378</v>
      </c>
      <c r="J10720" s="44" t="s">
        <v>8</v>
      </c>
      <c r="K10720" s="23" t="s">
        <v>8</v>
      </c>
      <c r="L10720" s="23" t="s">
        <v>8</v>
      </c>
      <c r="M10720" s="23" t="s">
        <v>8</v>
      </c>
    </row>
    <row r="10721" spans="1:13" s="21" customFormat="1" x14ac:dyDescent="0.25">
      <c r="A10721" s="22" t="s">
        <v>8</v>
      </c>
      <c r="B10721" s="18" t="str">
        <f>"375172"</f>
        <v>375172</v>
      </c>
      <c r="C10721" s="19" t="s">
        <v>10556</v>
      </c>
      <c r="D10721" s="19" t="s">
        <v>26131</v>
      </c>
      <c r="E10721" s="19" t="s">
        <v>34641</v>
      </c>
      <c r="F10721" s="19" t="s">
        <v>36010</v>
      </c>
      <c r="G10721" s="18" t="str">
        <f>"74135"</f>
        <v>74135</v>
      </c>
      <c r="H10721" s="19" t="s">
        <v>34641</v>
      </c>
      <c r="I10721" s="20">
        <v>18.795999999999999</v>
      </c>
      <c r="J10721" s="44" t="s">
        <v>8</v>
      </c>
      <c r="K10721" s="23" t="s">
        <v>8</v>
      </c>
      <c r="L10721" s="23" t="s">
        <v>8</v>
      </c>
      <c r="M10721" s="23" t="s">
        <v>8</v>
      </c>
    </row>
    <row r="10722" spans="1:13" s="21" customFormat="1" x14ac:dyDescent="0.25">
      <c r="A10722" s="22" t="s">
        <v>8</v>
      </c>
      <c r="B10722" s="18" t="str">
        <f>"375173"</f>
        <v>375173</v>
      </c>
      <c r="C10722" s="19" t="s">
        <v>10557</v>
      </c>
      <c r="D10722" s="19" t="s">
        <v>26132</v>
      </c>
      <c r="E10722" s="19" t="s">
        <v>34636</v>
      </c>
      <c r="F10722" s="19" t="s">
        <v>36010</v>
      </c>
      <c r="G10722" s="18" t="str">
        <f>"74955"</f>
        <v>74955</v>
      </c>
      <c r="H10722" s="19" t="s">
        <v>36696</v>
      </c>
      <c r="I10722" s="20">
        <v>18.552</v>
      </c>
      <c r="J10722" s="44" t="s">
        <v>8</v>
      </c>
      <c r="K10722" s="23" t="s">
        <v>8</v>
      </c>
      <c r="L10722" s="23" t="s">
        <v>8</v>
      </c>
      <c r="M10722" s="23" t="s">
        <v>8</v>
      </c>
    </row>
    <row r="10723" spans="1:13" s="21" customFormat="1" x14ac:dyDescent="0.25">
      <c r="A10723" s="22" t="s">
        <v>8</v>
      </c>
      <c r="B10723" s="18" t="str">
        <f>"375174"</f>
        <v>375174</v>
      </c>
      <c r="C10723" s="19" t="s">
        <v>10558</v>
      </c>
      <c r="D10723" s="19" t="s">
        <v>26133</v>
      </c>
      <c r="E10723" s="19" t="s">
        <v>34655</v>
      </c>
      <c r="F10723" s="19" t="s">
        <v>36010</v>
      </c>
      <c r="G10723" s="18" t="str">
        <f>"74401"</f>
        <v>74401</v>
      </c>
      <c r="H10723" s="19" t="s">
        <v>34655</v>
      </c>
      <c r="I10723" s="20">
        <v>18.471</v>
      </c>
      <c r="J10723" s="44" t="s">
        <v>8</v>
      </c>
      <c r="K10723" s="23" t="s">
        <v>8</v>
      </c>
      <c r="L10723" s="23" t="s">
        <v>8</v>
      </c>
      <c r="M10723" s="23" t="s">
        <v>8</v>
      </c>
    </row>
    <row r="10724" spans="1:13" s="21" customFormat="1" x14ac:dyDescent="0.25">
      <c r="A10724" s="22" t="s">
        <v>8</v>
      </c>
      <c r="B10724" s="18" t="str">
        <f>"375176"</f>
        <v>375176</v>
      </c>
      <c r="C10724" s="19" t="s">
        <v>10559</v>
      </c>
      <c r="D10724" s="19" t="s">
        <v>26134</v>
      </c>
      <c r="E10724" s="19" t="s">
        <v>34662</v>
      </c>
      <c r="F10724" s="19" t="s">
        <v>36010</v>
      </c>
      <c r="G10724" s="18" t="str">
        <f>"73098"</f>
        <v>73098</v>
      </c>
      <c r="H10724" s="19" t="s">
        <v>36698</v>
      </c>
      <c r="I10724" s="20">
        <v>18.004000000000001</v>
      </c>
      <c r="J10724" s="44" t="s">
        <v>8</v>
      </c>
      <c r="K10724" s="23" t="s">
        <v>8</v>
      </c>
      <c r="L10724" s="23" t="s">
        <v>8</v>
      </c>
      <c r="M10724" s="23" t="s">
        <v>8</v>
      </c>
    </row>
    <row r="10725" spans="1:13" s="21" customFormat="1" x14ac:dyDescent="0.25">
      <c r="A10725" s="22" t="s">
        <v>8</v>
      </c>
      <c r="B10725" s="18" t="str">
        <f>"375178"</f>
        <v>375178</v>
      </c>
      <c r="C10725" s="19" t="s">
        <v>10560</v>
      </c>
      <c r="D10725" s="19" t="s">
        <v>26135</v>
      </c>
      <c r="E10725" s="19" t="s">
        <v>33337</v>
      </c>
      <c r="F10725" s="19" t="s">
        <v>36010</v>
      </c>
      <c r="G10725" s="18" t="str">
        <f>"74074"</f>
        <v>74074</v>
      </c>
      <c r="H10725" s="19" t="s">
        <v>36702</v>
      </c>
      <c r="I10725" s="20">
        <v>20.084</v>
      </c>
      <c r="J10725" s="44" t="s">
        <v>8</v>
      </c>
      <c r="K10725" s="23" t="s">
        <v>8</v>
      </c>
      <c r="L10725" s="23" t="s">
        <v>8</v>
      </c>
      <c r="M10725" s="23" t="s">
        <v>8</v>
      </c>
    </row>
    <row r="10726" spans="1:13" s="21" customFormat="1" x14ac:dyDescent="0.25">
      <c r="A10726" s="22" t="s">
        <v>8</v>
      </c>
      <c r="B10726" s="18" t="str">
        <f>"375182"</f>
        <v>375182</v>
      </c>
      <c r="C10726" s="19" t="s">
        <v>10561</v>
      </c>
      <c r="D10726" s="19" t="s">
        <v>26136</v>
      </c>
      <c r="E10726" s="19" t="s">
        <v>34643</v>
      </c>
      <c r="F10726" s="19" t="s">
        <v>36010</v>
      </c>
      <c r="G10726" s="18" t="str">
        <f>"73701"</f>
        <v>73701</v>
      </c>
      <c r="H10726" s="19" t="s">
        <v>36111</v>
      </c>
      <c r="I10726" s="20">
        <v>17.632000000000001</v>
      </c>
      <c r="J10726" s="44" t="s">
        <v>8</v>
      </c>
      <c r="K10726" s="23" t="s">
        <v>8</v>
      </c>
      <c r="L10726" s="23" t="s">
        <v>8</v>
      </c>
      <c r="M10726" s="23" t="s">
        <v>8</v>
      </c>
    </row>
    <row r="10727" spans="1:13" s="21" customFormat="1" x14ac:dyDescent="0.25">
      <c r="A10727" s="22" t="s">
        <v>8</v>
      </c>
      <c r="B10727" s="18" t="str">
        <f>"375183"</f>
        <v>375183</v>
      </c>
      <c r="C10727" s="19" t="s">
        <v>10562</v>
      </c>
      <c r="D10727" s="19" t="s">
        <v>26137</v>
      </c>
      <c r="E10727" s="19" t="s">
        <v>34647</v>
      </c>
      <c r="F10727" s="19" t="s">
        <v>36010</v>
      </c>
      <c r="G10727" s="18" t="str">
        <f>"73114"</f>
        <v>73114</v>
      </c>
      <c r="H10727" s="19" t="s">
        <v>36700</v>
      </c>
      <c r="I10727" s="20">
        <v>20.375</v>
      </c>
      <c r="J10727" s="44" t="s">
        <v>8</v>
      </c>
      <c r="K10727" s="23" t="s">
        <v>8</v>
      </c>
      <c r="L10727" s="23" t="s">
        <v>8</v>
      </c>
      <c r="M10727" s="23" t="s">
        <v>8</v>
      </c>
    </row>
    <row r="10728" spans="1:13" s="21" customFormat="1" x14ac:dyDescent="0.25">
      <c r="A10728" s="22" t="s">
        <v>8</v>
      </c>
      <c r="B10728" s="18" t="str">
        <f>"375185"</f>
        <v>375185</v>
      </c>
      <c r="C10728" s="19" t="s">
        <v>10563</v>
      </c>
      <c r="D10728" s="19" t="s">
        <v>26138</v>
      </c>
      <c r="E10728" s="19" t="s">
        <v>34654</v>
      </c>
      <c r="F10728" s="19" t="s">
        <v>36010</v>
      </c>
      <c r="G10728" s="18" t="str">
        <f>"74464"</f>
        <v>74464</v>
      </c>
      <c r="H10728" s="19" t="s">
        <v>32436</v>
      </c>
      <c r="I10728" s="20">
        <v>17.768000000000001</v>
      </c>
      <c r="J10728" s="44" t="s">
        <v>8</v>
      </c>
      <c r="K10728" s="23" t="s">
        <v>8</v>
      </c>
      <c r="L10728" s="23" t="s">
        <v>8</v>
      </c>
      <c r="M10728" s="23" t="s">
        <v>8</v>
      </c>
    </row>
    <row r="10729" spans="1:13" s="21" customFormat="1" x14ac:dyDescent="0.25">
      <c r="A10729" s="22" t="s">
        <v>8</v>
      </c>
      <c r="B10729" s="18" t="str">
        <f>"375186"</f>
        <v>375186</v>
      </c>
      <c r="C10729" s="19" t="s">
        <v>10564</v>
      </c>
      <c r="D10729" s="19" t="s">
        <v>26139</v>
      </c>
      <c r="E10729" s="19" t="s">
        <v>34663</v>
      </c>
      <c r="F10729" s="19" t="s">
        <v>36010</v>
      </c>
      <c r="G10729" s="18" t="str">
        <f>"73115"</f>
        <v>73115</v>
      </c>
      <c r="H10729" s="19" t="s">
        <v>36700</v>
      </c>
      <c r="I10729" s="20">
        <v>21.963000000000001</v>
      </c>
      <c r="J10729" s="44" t="s">
        <v>8</v>
      </c>
      <c r="K10729" s="23" t="s">
        <v>8</v>
      </c>
      <c r="L10729" s="23" t="s">
        <v>8</v>
      </c>
      <c r="M10729" s="23" t="s">
        <v>8</v>
      </c>
    </row>
    <row r="10730" spans="1:13" s="21" customFormat="1" x14ac:dyDescent="0.25">
      <c r="A10730" s="22" t="s">
        <v>8</v>
      </c>
      <c r="B10730" s="18" t="str">
        <f>"375188"</f>
        <v>375188</v>
      </c>
      <c r="C10730" s="19" t="s">
        <v>10565</v>
      </c>
      <c r="D10730" s="19" t="s">
        <v>26140</v>
      </c>
      <c r="E10730" s="19" t="s">
        <v>34664</v>
      </c>
      <c r="F10730" s="19" t="s">
        <v>36010</v>
      </c>
      <c r="G10730" s="18" t="str">
        <f>"74902"</f>
        <v>74902</v>
      </c>
      <c r="H10730" s="19" t="s">
        <v>36690</v>
      </c>
      <c r="I10730" s="20">
        <v>20.460999999999999</v>
      </c>
      <c r="J10730" s="44" t="s">
        <v>8</v>
      </c>
      <c r="K10730" s="23" t="s">
        <v>8</v>
      </c>
      <c r="L10730" s="23" t="s">
        <v>8</v>
      </c>
      <c r="M10730" s="23" t="s">
        <v>8</v>
      </c>
    </row>
    <row r="10731" spans="1:13" s="21" customFormat="1" x14ac:dyDescent="0.25">
      <c r="A10731" s="22" t="s">
        <v>8</v>
      </c>
      <c r="B10731" s="18" t="str">
        <f>"375189"</f>
        <v>375189</v>
      </c>
      <c r="C10731" s="19" t="s">
        <v>10566</v>
      </c>
      <c r="D10731" s="19" t="s">
        <v>26141</v>
      </c>
      <c r="E10731" s="19" t="s">
        <v>34647</v>
      </c>
      <c r="F10731" s="19" t="s">
        <v>36010</v>
      </c>
      <c r="G10731" s="18" t="str">
        <f>"73105"</f>
        <v>73105</v>
      </c>
      <c r="H10731" s="19" t="s">
        <v>36700</v>
      </c>
      <c r="I10731" s="20">
        <v>19.748999999999999</v>
      </c>
      <c r="J10731" s="44" t="s">
        <v>8</v>
      </c>
      <c r="K10731" s="23" t="s">
        <v>8</v>
      </c>
      <c r="L10731" s="23" t="s">
        <v>8</v>
      </c>
      <c r="M10731" s="23" t="s">
        <v>8</v>
      </c>
    </row>
    <row r="10732" spans="1:13" s="21" customFormat="1" x14ac:dyDescent="0.25">
      <c r="A10732" s="22" t="s">
        <v>8</v>
      </c>
      <c r="B10732" s="18" t="str">
        <f>"375190"</f>
        <v>375190</v>
      </c>
      <c r="C10732" s="19" t="s">
        <v>10567</v>
      </c>
      <c r="D10732" s="19" t="s">
        <v>26142</v>
      </c>
      <c r="E10732" s="19" t="s">
        <v>34655</v>
      </c>
      <c r="F10732" s="19" t="s">
        <v>36010</v>
      </c>
      <c r="G10732" s="18" t="str">
        <f>"74403"</f>
        <v>74403</v>
      </c>
      <c r="H10732" s="19" t="s">
        <v>34655</v>
      </c>
      <c r="I10732" s="20">
        <v>20.885999999999999</v>
      </c>
      <c r="J10732" s="44" t="s">
        <v>8</v>
      </c>
      <c r="K10732" s="23" t="s">
        <v>8</v>
      </c>
      <c r="L10732" s="23" t="s">
        <v>8</v>
      </c>
      <c r="M10732" s="23" t="s">
        <v>8</v>
      </c>
    </row>
    <row r="10733" spans="1:13" s="21" customFormat="1" x14ac:dyDescent="0.25">
      <c r="A10733" s="22" t="s">
        <v>8</v>
      </c>
      <c r="B10733" s="18" t="str">
        <f>"375193"</f>
        <v>375193</v>
      </c>
      <c r="C10733" s="19" t="s">
        <v>10568</v>
      </c>
      <c r="D10733" s="19" t="s">
        <v>26143</v>
      </c>
      <c r="E10733" s="19" t="s">
        <v>34665</v>
      </c>
      <c r="F10733" s="19" t="s">
        <v>36010</v>
      </c>
      <c r="G10733" s="18" t="str">
        <f>"73573"</f>
        <v>73573</v>
      </c>
      <c r="H10733" s="19" t="s">
        <v>32391</v>
      </c>
      <c r="I10733" s="20">
        <v>18.693999999999999</v>
      </c>
      <c r="J10733" s="44" t="s">
        <v>8</v>
      </c>
      <c r="K10733" s="23" t="s">
        <v>8</v>
      </c>
      <c r="L10733" s="23" t="s">
        <v>8</v>
      </c>
      <c r="M10733" s="23" t="s">
        <v>8</v>
      </c>
    </row>
    <row r="10734" spans="1:13" s="21" customFormat="1" x14ac:dyDescent="0.25">
      <c r="A10734" s="22" t="s">
        <v>8</v>
      </c>
      <c r="B10734" s="18" t="str">
        <f>"375194"</f>
        <v>375194</v>
      </c>
      <c r="C10734" s="19" t="s">
        <v>10569</v>
      </c>
      <c r="D10734" s="19" t="s">
        <v>26144</v>
      </c>
      <c r="E10734" s="19" t="s">
        <v>34623</v>
      </c>
      <c r="F10734" s="19" t="s">
        <v>36010</v>
      </c>
      <c r="G10734" s="18" t="str">
        <f>"74604"</f>
        <v>74604</v>
      </c>
      <c r="H10734" s="19" t="s">
        <v>36688</v>
      </c>
      <c r="I10734" s="20">
        <v>19.376999999999999</v>
      </c>
      <c r="J10734" s="44" t="s">
        <v>8</v>
      </c>
      <c r="K10734" s="23" t="s">
        <v>8</v>
      </c>
      <c r="L10734" s="23" t="s">
        <v>8</v>
      </c>
      <c r="M10734" s="23" t="s">
        <v>8</v>
      </c>
    </row>
    <row r="10735" spans="1:13" s="21" customFormat="1" x14ac:dyDescent="0.25">
      <c r="A10735" s="22" t="s">
        <v>8</v>
      </c>
      <c r="B10735" s="18" t="str">
        <f>"375195"</f>
        <v>375195</v>
      </c>
      <c r="C10735" s="19" t="s">
        <v>10570</v>
      </c>
      <c r="D10735" s="19" t="s">
        <v>26145</v>
      </c>
      <c r="E10735" s="19" t="s">
        <v>34622</v>
      </c>
      <c r="F10735" s="19" t="s">
        <v>36010</v>
      </c>
      <c r="G10735" s="18" t="str">
        <f>"73801"</f>
        <v>73801</v>
      </c>
      <c r="H10735" s="19" t="s">
        <v>34622</v>
      </c>
      <c r="I10735" s="20">
        <v>19.800999999999998</v>
      </c>
      <c r="J10735" s="44" t="s">
        <v>8</v>
      </c>
      <c r="K10735" s="23" t="s">
        <v>8</v>
      </c>
      <c r="L10735" s="23" t="s">
        <v>8</v>
      </c>
      <c r="M10735" s="23" t="s">
        <v>8</v>
      </c>
    </row>
    <row r="10736" spans="1:13" s="21" customFormat="1" x14ac:dyDescent="0.25">
      <c r="A10736" s="22" t="s">
        <v>8</v>
      </c>
      <c r="B10736" s="18" t="str">
        <f>"375199"</f>
        <v>375199</v>
      </c>
      <c r="C10736" s="19" t="s">
        <v>10571</v>
      </c>
      <c r="D10736" s="19" t="s">
        <v>26146</v>
      </c>
      <c r="E10736" s="19" t="s">
        <v>34666</v>
      </c>
      <c r="F10736" s="19" t="s">
        <v>36010</v>
      </c>
      <c r="G10736" s="18" t="str">
        <f>"74848"</f>
        <v>74848</v>
      </c>
      <c r="H10736" s="19" t="s">
        <v>36703</v>
      </c>
      <c r="I10736" s="20">
        <v>20.114999999999998</v>
      </c>
      <c r="J10736" s="44" t="s">
        <v>8</v>
      </c>
      <c r="K10736" s="23" t="s">
        <v>8</v>
      </c>
      <c r="L10736" s="23" t="s">
        <v>8</v>
      </c>
      <c r="M10736" s="23" t="s">
        <v>8</v>
      </c>
    </row>
    <row r="10737" spans="1:13" s="21" customFormat="1" x14ac:dyDescent="0.25">
      <c r="A10737" s="22" t="s">
        <v>8</v>
      </c>
      <c r="B10737" s="18" t="str">
        <f>"375206"</f>
        <v>375206</v>
      </c>
      <c r="C10737" s="19" t="s">
        <v>10572</v>
      </c>
      <c r="D10737" s="19" t="s">
        <v>26147</v>
      </c>
      <c r="E10737" s="19" t="s">
        <v>34667</v>
      </c>
      <c r="F10737" s="19" t="s">
        <v>36010</v>
      </c>
      <c r="G10737" s="18" t="str">
        <f>"73052"</f>
        <v>73052</v>
      </c>
      <c r="H10737" s="19" t="s">
        <v>36698</v>
      </c>
      <c r="I10737" s="20">
        <v>19.3</v>
      </c>
      <c r="J10737" s="44" t="s">
        <v>8</v>
      </c>
      <c r="K10737" s="23" t="s">
        <v>8</v>
      </c>
      <c r="L10737" s="23" t="s">
        <v>8</v>
      </c>
      <c r="M10737" s="23" t="s">
        <v>8</v>
      </c>
    </row>
    <row r="10738" spans="1:13" s="21" customFormat="1" x14ac:dyDescent="0.25">
      <c r="A10738" s="22" t="s">
        <v>8</v>
      </c>
      <c r="B10738" s="18" t="str">
        <f>"375207"</f>
        <v>375207</v>
      </c>
      <c r="C10738" s="19" t="s">
        <v>10573</v>
      </c>
      <c r="D10738" s="19" t="s">
        <v>26148</v>
      </c>
      <c r="E10738" s="19" t="s">
        <v>34668</v>
      </c>
      <c r="F10738" s="19" t="s">
        <v>36010</v>
      </c>
      <c r="G10738" s="18" t="str">
        <f>"73554"</f>
        <v>73554</v>
      </c>
      <c r="H10738" s="19" t="s">
        <v>35049</v>
      </c>
      <c r="I10738" s="20">
        <v>21.672000000000001</v>
      </c>
      <c r="J10738" s="44" t="s">
        <v>8</v>
      </c>
      <c r="K10738" s="23" t="s">
        <v>8</v>
      </c>
      <c r="L10738" s="23" t="s">
        <v>8</v>
      </c>
      <c r="M10738" s="23" t="s">
        <v>8</v>
      </c>
    </row>
    <row r="10739" spans="1:13" s="21" customFormat="1" x14ac:dyDescent="0.25">
      <c r="A10739" s="22" t="s">
        <v>8</v>
      </c>
      <c r="B10739" s="18" t="str">
        <f>"375209"</f>
        <v>375209</v>
      </c>
      <c r="C10739" s="19" t="s">
        <v>10574</v>
      </c>
      <c r="D10739" s="19" t="s">
        <v>26149</v>
      </c>
      <c r="E10739" s="19" t="s">
        <v>34647</v>
      </c>
      <c r="F10739" s="19" t="s">
        <v>36010</v>
      </c>
      <c r="G10739" s="18" t="str">
        <f>"73107"</f>
        <v>73107</v>
      </c>
      <c r="H10739" s="19" t="s">
        <v>36700</v>
      </c>
      <c r="I10739" s="20">
        <v>20.535</v>
      </c>
      <c r="J10739" s="44" t="s">
        <v>8</v>
      </c>
      <c r="K10739" s="23" t="s">
        <v>8</v>
      </c>
      <c r="L10739" s="23" t="s">
        <v>8</v>
      </c>
      <c r="M10739" s="23" t="s">
        <v>8</v>
      </c>
    </row>
    <row r="10740" spans="1:13" s="21" customFormat="1" x14ac:dyDescent="0.25">
      <c r="A10740" s="22" t="s">
        <v>8</v>
      </c>
      <c r="B10740" s="18" t="str">
        <f>"375222"</f>
        <v>375222</v>
      </c>
      <c r="C10740" s="19" t="s">
        <v>10575</v>
      </c>
      <c r="D10740" s="19" t="s">
        <v>26150</v>
      </c>
      <c r="E10740" s="19" t="s">
        <v>34652</v>
      </c>
      <c r="F10740" s="19" t="s">
        <v>36010</v>
      </c>
      <c r="G10740" s="18" t="str">
        <f>"73069"</f>
        <v>73069</v>
      </c>
      <c r="H10740" s="19" t="s">
        <v>31810</v>
      </c>
      <c r="I10740" s="20">
        <v>18.792999999999999</v>
      </c>
      <c r="J10740" s="44" t="s">
        <v>8</v>
      </c>
      <c r="K10740" s="23" t="s">
        <v>8</v>
      </c>
      <c r="L10740" s="23" t="s">
        <v>8</v>
      </c>
      <c r="M10740" s="23" t="s">
        <v>8</v>
      </c>
    </row>
    <row r="10741" spans="1:13" s="21" customFormat="1" x14ac:dyDescent="0.25">
      <c r="A10741" s="22" t="s">
        <v>8</v>
      </c>
      <c r="B10741" s="18" t="str">
        <f>"375229"</f>
        <v>375229</v>
      </c>
      <c r="C10741" s="19" t="s">
        <v>10576</v>
      </c>
      <c r="D10741" s="19" t="s">
        <v>26151</v>
      </c>
      <c r="E10741" s="19" t="s">
        <v>34669</v>
      </c>
      <c r="F10741" s="19" t="s">
        <v>36010</v>
      </c>
      <c r="G10741" s="18" t="str">
        <f>"73099"</f>
        <v>73099</v>
      </c>
      <c r="H10741" s="19" t="s">
        <v>35233</v>
      </c>
      <c r="I10741" s="20">
        <v>23.327999999999999</v>
      </c>
      <c r="J10741" s="44" t="s">
        <v>8</v>
      </c>
      <c r="K10741" s="23" t="s">
        <v>8</v>
      </c>
      <c r="L10741" s="23" t="s">
        <v>8</v>
      </c>
      <c r="M10741" s="23" t="s">
        <v>8</v>
      </c>
    </row>
    <row r="10742" spans="1:13" s="21" customFormat="1" x14ac:dyDescent="0.25">
      <c r="A10742" s="22" t="s">
        <v>8</v>
      </c>
      <c r="B10742" s="18" t="str">
        <f>"375230"</f>
        <v>375230</v>
      </c>
      <c r="C10742" s="19" t="s">
        <v>10577</v>
      </c>
      <c r="D10742" s="19" t="s">
        <v>26152</v>
      </c>
      <c r="E10742" s="19" t="s">
        <v>34641</v>
      </c>
      <c r="F10742" s="19" t="s">
        <v>36010</v>
      </c>
      <c r="G10742" s="18" t="str">
        <f>"74129"</f>
        <v>74129</v>
      </c>
      <c r="H10742" s="19" t="s">
        <v>34641</v>
      </c>
      <c r="I10742" s="20">
        <v>19.178999999999998</v>
      </c>
      <c r="J10742" s="44" t="s">
        <v>8</v>
      </c>
      <c r="K10742" s="23" t="s">
        <v>8</v>
      </c>
      <c r="L10742" s="23" t="s">
        <v>8</v>
      </c>
      <c r="M10742" s="23" t="s">
        <v>8</v>
      </c>
    </row>
    <row r="10743" spans="1:13" s="21" customFormat="1" x14ac:dyDescent="0.25">
      <c r="A10743" s="22" t="s">
        <v>8</v>
      </c>
      <c r="B10743" s="18" t="str">
        <f>"375233"</f>
        <v>375233</v>
      </c>
      <c r="C10743" s="19" t="s">
        <v>10578</v>
      </c>
      <c r="D10743" s="19" t="s">
        <v>26153</v>
      </c>
      <c r="E10743" s="19" t="s">
        <v>34661</v>
      </c>
      <c r="F10743" s="19" t="s">
        <v>36010</v>
      </c>
      <c r="G10743" s="18" t="str">
        <f>"74012"</f>
        <v>74012</v>
      </c>
      <c r="H10743" s="19" t="s">
        <v>34641</v>
      </c>
      <c r="I10743" s="20">
        <v>19.829999999999998</v>
      </c>
      <c r="J10743" s="44" t="s">
        <v>8</v>
      </c>
      <c r="K10743" s="23" t="s">
        <v>8</v>
      </c>
      <c r="L10743" s="23" t="s">
        <v>8</v>
      </c>
      <c r="M10743" s="23" t="s">
        <v>8</v>
      </c>
    </row>
    <row r="10744" spans="1:13" s="21" customFormat="1" x14ac:dyDescent="0.25">
      <c r="A10744" s="22" t="s">
        <v>8</v>
      </c>
      <c r="B10744" s="18" t="str">
        <f>"375234"</f>
        <v>375234</v>
      </c>
      <c r="C10744" s="19" t="s">
        <v>10579</v>
      </c>
      <c r="D10744" s="19" t="s">
        <v>26154</v>
      </c>
      <c r="E10744" s="19" t="s">
        <v>34653</v>
      </c>
      <c r="F10744" s="19" t="s">
        <v>36010</v>
      </c>
      <c r="G10744" s="18" t="str">
        <f>"74745"</f>
        <v>74745</v>
      </c>
      <c r="H10744" s="19" t="s">
        <v>36701</v>
      </c>
      <c r="I10744" s="20">
        <v>18.722000000000001</v>
      </c>
      <c r="J10744" s="44" t="s">
        <v>8</v>
      </c>
      <c r="K10744" s="23" t="s">
        <v>8</v>
      </c>
      <c r="L10744" s="23" t="s">
        <v>8</v>
      </c>
      <c r="M10744" s="23" t="s">
        <v>8</v>
      </c>
    </row>
    <row r="10745" spans="1:13" s="21" customFormat="1" x14ac:dyDescent="0.25">
      <c r="A10745" s="22" t="s">
        <v>8</v>
      </c>
      <c r="B10745" s="18" t="str">
        <f>"375235"</f>
        <v>375235</v>
      </c>
      <c r="C10745" s="19" t="s">
        <v>10580</v>
      </c>
      <c r="D10745" s="19" t="s">
        <v>26155</v>
      </c>
      <c r="E10745" s="19" t="s">
        <v>34670</v>
      </c>
      <c r="F10745" s="19" t="s">
        <v>36010</v>
      </c>
      <c r="G10745" s="18" t="str">
        <f>"73446"</f>
        <v>73446</v>
      </c>
      <c r="H10745" s="19" t="s">
        <v>31063</v>
      </c>
      <c r="I10745" s="20">
        <v>17.791</v>
      </c>
      <c r="J10745" s="44" t="s">
        <v>8</v>
      </c>
      <c r="K10745" s="23" t="s">
        <v>8</v>
      </c>
      <c r="L10745" s="23" t="s">
        <v>8</v>
      </c>
      <c r="M10745" s="23" t="s">
        <v>8</v>
      </c>
    </row>
    <row r="10746" spans="1:13" s="21" customFormat="1" x14ac:dyDescent="0.25">
      <c r="A10746" s="22" t="s">
        <v>8</v>
      </c>
      <c r="B10746" s="18" t="str">
        <f>"375238"</f>
        <v>375238</v>
      </c>
      <c r="C10746" s="19" t="s">
        <v>10581</v>
      </c>
      <c r="D10746" s="19" t="s">
        <v>26156</v>
      </c>
      <c r="E10746" s="19" t="s">
        <v>33572</v>
      </c>
      <c r="F10746" s="19" t="s">
        <v>36010</v>
      </c>
      <c r="G10746" s="18" t="str">
        <f>"74701"</f>
        <v>74701</v>
      </c>
      <c r="H10746" s="19" t="s">
        <v>34543</v>
      </c>
      <c r="I10746" s="20">
        <v>21.687000000000001</v>
      </c>
      <c r="J10746" s="44" t="s">
        <v>8</v>
      </c>
      <c r="K10746" s="23" t="s">
        <v>8</v>
      </c>
      <c r="L10746" s="23" t="s">
        <v>8</v>
      </c>
      <c r="M10746" s="23" t="s">
        <v>8</v>
      </c>
    </row>
    <row r="10747" spans="1:13" s="21" customFormat="1" x14ac:dyDescent="0.25">
      <c r="A10747" s="22" t="s">
        <v>8</v>
      </c>
      <c r="B10747" s="18" t="str">
        <f>"375241"</f>
        <v>375241</v>
      </c>
      <c r="C10747" s="19" t="s">
        <v>8203</v>
      </c>
      <c r="D10747" s="19" t="s">
        <v>26157</v>
      </c>
      <c r="E10747" s="19" t="s">
        <v>34671</v>
      </c>
      <c r="F10747" s="19" t="s">
        <v>36010</v>
      </c>
      <c r="G10747" s="18" t="str">
        <f>"74015"</f>
        <v>74015</v>
      </c>
      <c r="H10747" s="19" t="s">
        <v>30989</v>
      </c>
      <c r="I10747" s="20">
        <v>17.239000000000001</v>
      </c>
      <c r="J10747" s="44" t="s">
        <v>8</v>
      </c>
      <c r="K10747" s="23" t="s">
        <v>8</v>
      </c>
      <c r="L10747" s="23" t="s">
        <v>8</v>
      </c>
      <c r="M10747" s="23" t="s">
        <v>8</v>
      </c>
    </row>
    <row r="10748" spans="1:13" s="21" customFormat="1" x14ac:dyDescent="0.25">
      <c r="A10748" s="22" t="s">
        <v>8</v>
      </c>
      <c r="B10748" s="18" t="str">
        <f>"375243"</f>
        <v>375243</v>
      </c>
      <c r="C10748" s="19" t="s">
        <v>10582</v>
      </c>
      <c r="D10748" s="19" t="s">
        <v>26158</v>
      </c>
      <c r="E10748" s="19" t="s">
        <v>33466</v>
      </c>
      <c r="F10748" s="19" t="s">
        <v>36010</v>
      </c>
      <c r="G10748" s="18" t="str">
        <f>"74820"</f>
        <v>74820</v>
      </c>
      <c r="H10748" s="19" t="s">
        <v>33556</v>
      </c>
      <c r="I10748" s="20">
        <v>16.562999999999999</v>
      </c>
      <c r="J10748" s="44" t="s">
        <v>8</v>
      </c>
      <c r="K10748" s="23" t="s">
        <v>8</v>
      </c>
      <c r="L10748" s="23" t="s">
        <v>8</v>
      </c>
      <c r="M10748" s="23" t="s">
        <v>8</v>
      </c>
    </row>
    <row r="10749" spans="1:13" s="21" customFormat="1" x14ac:dyDescent="0.25">
      <c r="A10749" s="22" t="s">
        <v>8</v>
      </c>
      <c r="B10749" s="18" t="str">
        <f>"375245"</f>
        <v>375245</v>
      </c>
      <c r="C10749" s="19" t="s">
        <v>10583</v>
      </c>
      <c r="D10749" s="19" t="s">
        <v>26159</v>
      </c>
      <c r="E10749" s="19" t="s">
        <v>34672</v>
      </c>
      <c r="F10749" s="19" t="s">
        <v>36010</v>
      </c>
      <c r="G10749" s="18" t="str">
        <f>"73068"</f>
        <v>73068</v>
      </c>
      <c r="H10749" s="19" t="s">
        <v>31810</v>
      </c>
      <c r="I10749" s="20">
        <v>22.63</v>
      </c>
      <c r="J10749" s="44" t="s">
        <v>8</v>
      </c>
      <c r="K10749" s="23" t="s">
        <v>8</v>
      </c>
      <c r="L10749" s="23" t="s">
        <v>8</v>
      </c>
      <c r="M10749" s="23" t="s">
        <v>8</v>
      </c>
    </row>
    <row r="10750" spans="1:13" s="21" customFormat="1" x14ac:dyDescent="0.25">
      <c r="A10750" s="22" t="s">
        <v>8</v>
      </c>
      <c r="B10750" s="18" t="str">
        <f>"375246"</f>
        <v>375246</v>
      </c>
      <c r="C10750" s="19" t="s">
        <v>10584</v>
      </c>
      <c r="D10750" s="19" t="s">
        <v>26160</v>
      </c>
      <c r="E10750" s="19" t="s">
        <v>32597</v>
      </c>
      <c r="F10750" s="19" t="s">
        <v>36010</v>
      </c>
      <c r="G10750" s="18" t="str">
        <f>"74804"</f>
        <v>74804</v>
      </c>
      <c r="H10750" s="19" t="s">
        <v>36300</v>
      </c>
      <c r="I10750" s="20">
        <v>17.402000000000001</v>
      </c>
      <c r="J10750" s="44" t="s">
        <v>8</v>
      </c>
      <c r="K10750" s="23" t="s">
        <v>8</v>
      </c>
      <c r="L10750" s="23" t="s">
        <v>8</v>
      </c>
      <c r="M10750" s="23" t="s">
        <v>8</v>
      </c>
    </row>
    <row r="10751" spans="1:13" s="21" customFormat="1" x14ac:dyDescent="0.25">
      <c r="A10751" s="22" t="s">
        <v>8</v>
      </c>
      <c r="B10751" s="18" t="str">
        <f>"375252"</f>
        <v>375252</v>
      </c>
      <c r="C10751" s="19" t="s">
        <v>10585</v>
      </c>
      <c r="D10751" s="19" t="s">
        <v>26161</v>
      </c>
      <c r="E10751" s="19" t="s">
        <v>34645</v>
      </c>
      <c r="F10751" s="19" t="s">
        <v>36010</v>
      </c>
      <c r="G10751" s="18" t="str">
        <f>"73110"</f>
        <v>73110</v>
      </c>
      <c r="H10751" s="19" t="s">
        <v>36700</v>
      </c>
      <c r="I10751" s="20">
        <v>18.395</v>
      </c>
      <c r="J10751" s="44" t="s">
        <v>8</v>
      </c>
      <c r="K10751" s="23" t="s">
        <v>8</v>
      </c>
      <c r="L10751" s="23" t="s">
        <v>8</v>
      </c>
      <c r="M10751" s="23" t="s">
        <v>8</v>
      </c>
    </row>
    <row r="10752" spans="1:13" s="21" customFormat="1" x14ac:dyDescent="0.25">
      <c r="A10752" s="22" t="s">
        <v>8</v>
      </c>
      <c r="B10752" s="18" t="str">
        <f>"375253"</f>
        <v>375253</v>
      </c>
      <c r="C10752" s="19" t="s">
        <v>10586</v>
      </c>
      <c r="D10752" s="19" t="s">
        <v>26162</v>
      </c>
      <c r="E10752" s="19" t="s">
        <v>31081</v>
      </c>
      <c r="F10752" s="19" t="s">
        <v>36010</v>
      </c>
      <c r="G10752" s="18" t="str">
        <f>"73601"</f>
        <v>73601</v>
      </c>
      <c r="H10752" s="19" t="s">
        <v>35098</v>
      </c>
      <c r="I10752" s="20">
        <v>16.866</v>
      </c>
      <c r="J10752" s="44" t="s">
        <v>8</v>
      </c>
      <c r="K10752" s="23" t="s">
        <v>8</v>
      </c>
      <c r="L10752" s="23" t="s">
        <v>8</v>
      </c>
      <c r="M10752" s="23" t="s">
        <v>8</v>
      </c>
    </row>
    <row r="10753" spans="1:13" s="21" customFormat="1" x14ac:dyDescent="0.25">
      <c r="A10753" s="22" t="s">
        <v>8</v>
      </c>
      <c r="B10753" s="18" t="str">
        <f>"375255"</f>
        <v>375255</v>
      </c>
      <c r="C10753" s="19" t="s">
        <v>10587</v>
      </c>
      <c r="D10753" s="19" t="s">
        <v>26163</v>
      </c>
      <c r="E10753" s="19" t="s">
        <v>34660</v>
      </c>
      <c r="F10753" s="19" t="s">
        <v>36010</v>
      </c>
      <c r="G10753" s="18" t="str">
        <f>"73401"</f>
        <v>73401</v>
      </c>
      <c r="H10753" s="19" t="s">
        <v>36338</v>
      </c>
      <c r="I10753" s="20">
        <v>20.297000000000001</v>
      </c>
      <c r="J10753" s="44" t="s">
        <v>8</v>
      </c>
      <c r="K10753" s="23" t="s">
        <v>8</v>
      </c>
      <c r="L10753" s="23" t="s">
        <v>8</v>
      </c>
      <c r="M10753" s="23" t="s">
        <v>8</v>
      </c>
    </row>
    <row r="10754" spans="1:13" s="21" customFormat="1" x14ac:dyDescent="0.25">
      <c r="A10754" s="22" t="s">
        <v>8</v>
      </c>
      <c r="B10754" s="18" t="str">
        <f>"375256"</f>
        <v>375256</v>
      </c>
      <c r="C10754" s="19" t="s">
        <v>10588</v>
      </c>
      <c r="D10754" s="19" t="s">
        <v>26164</v>
      </c>
      <c r="E10754" s="19" t="s">
        <v>34647</v>
      </c>
      <c r="F10754" s="19" t="s">
        <v>36010</v>
      </c>
      <c r="G10754" s="18" t="str">
        <f>"73139"</f>
        <v>73139</v>
      </c>
      <c r="H10754" s="19" t="s">
        <v>36700</v>
      </c>
      <c r="I10754" s="20">
        <v>19.428000000000001</v>
      </c>
      <c r="J10754" s="44" t="s">
        <v>8</v>
      </c>
      <c r="K10754" s="23" t="s">
        <v>8</v>
      </c>
      <c r="L10754" s="23" t="s">
        <v>8</v>
      </c>
      <c r="M10754" s="23" t="s">
        <v>8</v>
      </c>
    </row>
    <row r="10755" spans="1:13" s="21" customFormat="1" x14ac:dyDescent="0.25">
      <c r="A10755" s="22" t="s">
        <v>8</v>
      </c>
      <c r="B10755" s="18" t="str">
        <f>"375258"</f>
        <v>375258</v>
      </c>
      <c r="C10755" s="19" t="s">
        <v>10589</v>
      </c>
      <c r="D10755" s="19" t="s">
        <v>26165</v>
      </c>
      <c r="E10755" s="19" t="s">
        <v>34673</v>
      </c>
      <c r="F10755" s="19" t="s">
        <v>36010</v>
      </c>
      <c r="G10755" s="18" t="str">
        <f>"74959"</f>
        <v>74959</v>
      </c>
      <c r="H10755" s="19" t="s">
        <v>36690</v>
      </c>
      <c r="I10755" s="20">
        <v>19.018999999999998</v>
      </c>
      <c r="J10755" s="44" t="s">
        <v>8</v>
      </c>
      <c r="K10755" s="23" t="s">
        <v>8</v>
      </c>
      <c r="L10755" s="23" t="s">
        <v>8</v>
      </c>
      <c r="M10755" s="23" t="s">
        <v>8</v>
      </c>
    </row>
    <row r="10756" spans="1:13" s="21" customFormat="1" x14ac:dyDescent="0.25">
      <c r="A10756" s="22" t="s">
        <v>8</v>
      </c>
      <c r="B10756" s="18" t="str">
        <f>"375259"</f>
        <v>375259</v>
      </c>
      <c r="C10756" s="19" t="s">
        <v>10590</v>
      </c>
      <c r="D10756" s="19" t="s">
        <v>26166</v>
      </c>
      <c r="E10756" s="19" t="s">
        <v>33453</v>
      </c>
      <c r="F10756" s="19" t="s">
        <v>36010</v>
      </c>
      <c r="G10756" s="18" t="str">
        <f>"73834"</f>
        <v>73834</v>
      </c>
      <c r="H10756" s="19" t="s">
        <v>36704</v>
      </c>
      <c r="I10756" s="20">
        <v>18.074000000000002</v>
      </c>
      <c r="J10756" s="44" t="s">
        <v>8</v>
      </c>
      <c r="K10756" s="23" t="s">
        <v>8</v>
      </c>
      <c r="L10756" s="23" t="s">
        <v>8</v>
      </c>
      <c r="M10756" s="23" t="s">
        <v>8</v>
      </c>
    </row>
    <row r="10757" spans="1:13" s="21" customFormat="1" x14ac:dyDescent="0.25">
      <c r="A10757" s="22" t="s">
        <v>8</v>
      </c>
      <c r="B10757" s="18" t="str">
        <f>"375263"</f>
        <v>375263</v>
      </c>
      <c r="C10757" s="19" t="s">
        <v>10591</v>
      </c>
      <c r="D10757" s="19" t="s">
        <v>26167</v>
      </c>
      <c r="E10757" s="19" t="s">
        <v>33466</v>
      </c>
      <c r="F10757" s="19" t="s">
        <v>36010</v>
      </c>
      <c r="G10757" s="18" t="str">
        <f>"74820"</f>
        <v>74820</v>
      </c>
      <c r="H10757" s="19" t="s">
        <v>33556</v>
      </c>
      <c r="I10757" s="20">
        <v>21.327000000000002</v>
      </c>
      <c r="J10757" s="44" t="s">
        <v>8</v>
      </c>
      <c r="K10757" s="23" t="s">
        <v>8</v>
      </c>
      <c r="L10757" s="23" t="s">
        <v>8</v>
      </c>
      <c r="M10757" s="23" t="s">
        <v>8</v>
      </c>
    </row>
    <row r="10758" spans="1:13" s="21" customFormat="1" x14ac:dyDescent="0.25">
      <c r="A10758" s="22" t="s">
        <v>8</v>
      </c>
      <c r="B10758" s="18" t="str">
        <f>"375275"</f>
        <v>375275</v>
      </c>
      <c r="C10758" s="19" t="s">
        <v>10592</v>
      </c>
      <c r="D10758" s="19" t="s">
        <v>26168</v>
      </c>
      <c r="E10758" s="19" t="s">
        <v>34647</v>
      </c>
      <c r="F10758" s="19" t="s">
        <v>36010</v>
      </c>
      <c r="G10758" s="18" t="str">
        <f>"73132"</f>
        <v>73132</v>
      </c>
      <c r="H10758" s="19" t="s">
        <v>36700</v>
      </c>
      <c r="I10758" s="20">
        <v>19.347999999999999</v>
      </c>
      <c r="J10758" s="44" t="s">
        <v>8</v>
      </c>
      <c r="K10758" s="23" t="s">
        <v>8</v>
      </c>
      <c r="L10758" s="23" t="s">
        <v>8</v>
      </c>
      <c r="M10758" s="23" t="s">
        <v>8</v>
      </c>
    </row>
    <row r="10759" spans="1:13" s="21" customFormat="1" x14ac:dyDescent="0.25">
      <c r="A10759" s="22" t="s">
        <v>8</v>
      </c>
      <c r="B10759" s="18" t="str">
        <f>"375276"</f>
        <v>375276</v>
      </c>
      <c r="C10759" s="19" t="s">
        <v>10593</v>
      </c>
      <c r="D10759" s="19" t="s">
        <v>26169</v>
      </c>
      <c r="E10759" s="19" t="s">
        <v>34674</v>
      </c>
      <c r="F10759" s="19" t="s">
        <v>36010</v>
      </c>
      <c r="G10759" s="18" t="str">
        <f>"74337"</f>
        <v>74337</v>
      </c>
      <c r="H10759" s="19" t="s">
        <v>36705</v>
      </c>
      <c r="I10759" s="20">
        <v>19.521000000000001</v>
      </c>
      <c r="J10759" s="44" t="s">
        <v>8</v>
      </c>
      <c r="K10759" s="23" t="s">
        <v>8</v>
      </c>
      <c r="L10759" s="23" t="s">
        <v>8</v>
      </c>
      <c r="M10759" s="23" t="s">
        <v>8</v>
      </c>
    </row>
    <row r="10760" spans="1:13" s="21" customFormat="1" x14ac:dyDescent="0.25">
      <c r="A10760" s="22" t="s">
        <v>8</v>
      </c>
      <c r="B10760" s="18" t="str">
        <f>"375279"</f>
        <v>375279</v>
      </c>
      <c r="C10760" s="19" t="s">
        <v>10594</v>
      </c>
      <c r="D10760" s="19" t="s">
        <v>26170</v>
      </c>
      <c r="E10760" s="19" t="s">
        <v>32244</v>
      </c>
      <c r="F10760" s="19" t="s">
        <v>36010</v>
      </c>
      <c r="G10760" s="18" t="str">
        <f>"73651"</f>
        <v>73651</v>
      </c>
      <c r="H10760" s="19" t="s">
        <v>36697</v>
      </c>
      <c r="I10760" s="20">
        <v>18.734999999999999</v>
      </c>
      <c r="J10760" s="44" t="s">
        <v>8</v>
      </c>
      <c r="K10760" s="23" t="s">
        <v>8</v>
      </c>
      <c r="L10760" s="23" t="s">
        <v>8</v>
      </c>
      <c r="M10760" s="23" t="s">
        <v>8</v>
      </c>
    </row>
    <row r="10761" spans="1:13" s="21" customFormat="1" x14ac:dyDescent="0.25">
      <c r="A10761" s="22" t="s">
        <v>8</v>
      </c>
      <c r="B10761" s="18" t="str">
        <f>"375284"</f>
        <v>375284</v>
      </c>
      <c r="C10761" s="19" t="s">
        <v>10595</v>
      </c>
      <c r="D10761" s="19" t="s">
        <v>26171</v>
      </c>
      <c r="E10761" s="19" t="s">
        <v>34675</v>
      </c>
      <c r="F10761" s="19" t="s">
        <v>36010</v>
      </c>
      <c r="G10761" s="18" t="str">
        <f>"74066"</f>
        <v>74066</v>
      </c>
      <c r="H10761" s="19" t="s">
        <v>36691</v>
      </c>
      <c r="I10761" s="20">
        <v>20.068999999999999</v>
      </c>
      <c r="J10761" s="44" t="s">
        <v>8</v>
      </c>
      <c r="K10761" s="23" t="s">
        <v>8</v>
      </c>
      <c r="L10761" s="23" t="s">
        <v>8</v>
      </c>
      <c r="M10761" s="23" t="s">
        <v>8</v>
      </c>
    </row>
    <row r="10762" spans="1:13" s="21" customFormat="1" x14ac:dyDescent="0.25">
      <c r="A10762" s="22" t="s">
        <v>8</v>
      </c>
      <c r="B10762" s="18" t="str">
        <f>"375285"</f>
        <v>375285</v>
      </c>
      <c r="C10762" s="19" t="s">
        <v>10596</v>
      </c>
      <c r="D10762" s="19" t="s">
        <v>26172</v>
      </c>
      <c r="E10762" s="19" t="s">
        <v>34676</v>
      </c>
      <c r="F10762" s="19" t="s">
        <v>36010</v>
      </c>
      <c r="G10762" s="18" t="str">
        <f>"74063"</f>
        <v>74063</v>
      </c>
      <c r="H10762" s="19" t="s">
        <v>34641</v>
      </c>
      <c r="I10762" s="20">
        <v>18.95</v>
      </c>
      <c r="J10762" s="44" t="s">
        <v>8</v>
      </c>
      <c r="K10762" s="23" t="s">
        <v>8</v>
      </c>
      <c r="L10762" s="23" t="s">
        <v>8</v>
      </c>
      <c r="M10762" s="23" t="s">
        <v>8</v>
      </c>
    </row>
    <row r="10763" spans="1:13" s="21" customFormat="1" x14ac:dyDescent="0.25">
      <c r="A10763" s="22" t="s">
        <v>8</v>
      </c>
      <c r="B10763" s="18" t="str">
        <f>"375286"</f>
        <v>375286</v>
      </c>
      <c r="C10763" s="19" t="s">
        <v>10597</v>
      </c>
      <c r="D10763" s="19" t="s">
        <v>26173</v>
      </c>
      <c r="E10763" s="19" t="s">
        <v>34638</v>
      </c>
      <c r="F10763" s="19" t="s">
        <v>36010</v>
      </c>
      <c r="G10763" s="18" t="str">
        <f>"73080"</f>
        <v>73080</v>
      </c>
      <c r="H10763" s="19" t="s">
        <v>36699</v>
      </c>
      <c r="I10763" s="20">
        <v>18.596</v>
      </c>
      <c r="J10763" s="44" t="s">
        <v>8</v>
      </c>
      <c r="K10763" s="23" t="s">
        <v>8</v>
      </c>
      <c r="L10763" s="23" t="s">
        <v>8</v>
      </c>
      <c r="M10763" s="23" t="s">
        <v>8</v>
      </c>
    </row>
    <row r="10764" spans="1:13" s="21" customFormat="1" x14ac:dyDescent="0.25">
      <c r="A10764" s="22" t="s">
        <v>8</v>
      </c>
      <c r="B10764" s="18" t="str">
        <f>"375289"</f>
        <v>375289</v>
      </c>
      <c r="C10764" s="19" t="s">
        <v>10598</v>
      </c>
      <c r="D10764" s="19" t="s">
        <v>26174</v>
      </c>
      <c r="E10764" s="19" t="s">
        <v>32834</v>
      </c>
      <c r="F10764" s="19" t="s">
        <v>36010</v>
      </c>
      <c r="G10764" s="18" t="str">
        <f>"73086"</f>
        <v>73086</v>
      </c>
      <c r="H10764" s="19" t="s">
        <v>32687</v>
      </c>
      <c r="I10764" s="20">
        <v>19.495999999999999</v>
      </c>
      <c r="J10764" s="44" t="s">
        <v>8</v>
      </c>
      <c r="K10764" s="23" t="s">
        <v>8</v>
      </c>
      <c r="L10764" s="23" t="s">
        <v>8</v>
      </c>
      <c r="M10764" s="23" t="s">
        <v>8</v>
      </c>
    </row>
    <row r="10765" spans="1:13" s="21" customFormat="1" x14ac:dyDescent="0.25">
      <c r="A10765" s="22" t="s">
        <v>8</v>
      </c>
      <c r="B10765" s="18" t="str">
        <f>"375290"</f>
        <v>375290</v>
      </c>
      <c r="C10765" s="19" t="s">
        <v>10599</v>
      </c>
      <c r="D10765" s="19" t="s">
        <v>26175</v>
      </c>
      <c r="E10765" s="19" t="s">
        <v>34677</v>
      </c>
      <c r="F10765" s="19" t="s">
        <v>36010</v>
      </c>
      <c r="G10765" s="18" t="str">
        <f>"73771"</f>
        <v>73771</v>
      </c>
      <c r="H10765" s="19" t="s">
        <v>36078</v>
      </c>
      <c r="I10765" s="20">
        <v>18.422999999999998</v>
      </c>
      <c r="J10765" s="44" t="s">
        <v>8</v>
      </c>
      <c r="K10765" s="23" t="s">
        <v>8</v>
      </c>
      <c r="L10765" s="23" t="s">
        <v>8</v>
      </c>
      <c r="M10765" s="23" t="s">
        <v>8</v>
      </c>
    </row>
    <row r="10766" spans="1:13" s="21" customFormat="1" x14ac:dyDescent="0.25">
      <c r="A10766" s="22" t="s">
        <v>8</v>
      </c>
      <c r="B10766" s="18" t="str">
        <f>"375293"</f>
        <v>375293</v>
      </c>
      <c r="C10766" s="19" t="s">
        <v>10600</v>
      </c>
      <c r="D10766" s="19" t="s">
        <v>26176</v>
      </c>
      <c r="E10766" s="19" t="s">
        <v>34678</v>
      </c>
      <c r="F10766" s="19" t="s">
        <v>36010</v>
      </c>
      <c r="G10766" s="18" t="str">
        <f>"74070"</f>
        <v>74070</v>
      </c>
      <c r="H10766" s="19" t="s">
        <v>34641</v>
      </c>
      <c r="I10766" s="20">
        <v>21.92</v>
      </c>
      <c r="J10766" s="44" t="s">
        <v>8</v>
      </c>
      <c r="K10766" s="23" t="s">
        <v>8</v>
      </c>
      <c r="L10766" s="23" t="s">
        <v>8</v>
      </c>
      <c r="M10766" s="23" t="s">
        <v>8</v>
      </c>
    </row>
    <row r="10767" spans="1:13" s="21" customFormat="1" x14ac:dyDescent="0.25">
      <c r="A10767" s="22" t="s">
        <v>8</v>
      </c>
      <c r="B10767" s="18" t="str">
        <f>"375295"</f>
        <v>375295</v>
      </c>
      <c r="C10767" s="19" t="s">
        <v>10601</v>
      </c>
      <c r="D10767" s="19" t="s">
        <v>26177</v>
      </c>
      <c r="E10767" s="19" t="s">
        <v>34679</v>
      </c>
      <c r="F10767" s="19" t="s">
        <v>36010</v>
      </c>
      <c r="G10767" s="18" t="str">
        <f>"74435"</f>
        <v>74435</v>
      </c>
      <c r="H10767" s="19" t="s">
        <v>36696</v>
      </c>
      <c r="I10767" s="20">
        <v>20.86</v>
      </c>
      <c r="J10767" s="44" t="s">
        <v>8</v>
      </c>
      <c r="K10767" s="23" t="s">
        <v>8</v>
      </c>
      <c r="L10767" s="23" t="s">
        <v>8</v>
      </c>
      <c r="M10767" s="23" t="s">
        <v>8</v>
      </c>
    </row>
    <row r="10768" spans="1:13" s="21" customFormat="1" x14ac:dyDescent="0.25">
      <c r="A10768" s="22" t="s">
        <v>8</v>
      </c>
      <c r="B10768" s="18" t="str">
        <f>"375299"</f>
        <v>375299</v>
      </c>
      <c r="C10768" s="19" t="s">
        <v>10602</v>
      </c>
      <c r="D10768" s="19" t="s">
        <v>26178</v>
      </c>
      <c r="E10768" s="19" t="s">
        <v>34680</v>
      </c>
      <c r="F10768" s="19" t="s">
        <v>36010</v>
      </c>
      <c r="G10768" s="18" t="str">
        <f>"74362"</f>
        <v>74362</v>
      </c>
      <c r="H10768" s="19" t="s">
        <v>36705</v>
      </c>
      <c r="I10768" s="20">
        <v>20.199000000000002</v>
      </c>
      <c r="J10768" s="44" t="s">
        <v>8</v>
      </c>
      <c r="K10768" s="23" t="s">
        <v>8</v>
      </c>
      <c r="L10768" s="23" t="s">
        <v>8</v>
      </c>
      <c r="M10768" s="23" t="s">
        <v>8</v>
      </c>
    </row>
    <row r="10769" spans="1:13" s="21" customFormat="1" x14ac:dyDescent="0.25">
      <c r="A10769" s="22" t="s">
        <v>8</v>
      </c>
      <c r="B10769" s="18" t="str">
        <f>"375303"</f>
        <v>375303</v>
      </c>
      <c r="C10769" s="19" t="s">
        <v>10603</v>
      </c>
      <c r="D10769" s="19" t="s">
        <v>26179</v>
      </c>
      <c r="E10769" s="19" t="s">
        <v>34681</v>
      </c>
      <c r="F10769" s="19" t="s">
        <v>36010</v>
      </c>
      <c r="G10769" s="18" t="str">
        <f>"74884"</f>
        <v>74884</v>
      </c>
      <c r="H10769" s="19" t="s">
        <v>31595</v>
      </c>
      <c r="I10769" s="20">
        <v>18.242000000000001</v>
      </c>
      <c r="J10769" s="44" t="s">
        <v>8</v>
      </c>
      <c r="K10769" s="23" t="s">
        <v>8</v>
      </c>
      <c r="L10769" s="23" t="s">
        <v>8</v>
      </c>
      <c r="M10769" s="23" t="s">
        <v>8</v>
      </c>
    </row>
    <row r="10770" spans="1:13" s="21" customFormat="1" x14ac:dyDescent="0.25">
      <c r="A10770" s="22" t="s">
        <v>8</v>
      </c>
      <c r="B10770" s="18" t="str">
        <f>"375304"</f>
        <v>375304</v>
      </c>
      <c r="C10770" s="19" t="s">
        <v>10604</v>
      </c>
      <c r="D10770" s="19" t="s">
        <v>26180</v>
      </c>
      <c r="E10770" s="19" t="s">
        <v>34682</v>
      </c>
      <c r="F10770" s="19" t="s">
        <v>36010</v>
      </c>
      <c r="G10770" s="18" t="str">
        <f>"74429"</f>
        <v>74429</v>
      </c>
      <c r="H10770" s="19" t="s">
        <v>34698</v>
      </c>
      <c r="I10770" s="20">
        <v>18.619</v>
      </c>
      <c r="J10770" s="44" t="s">
        <v>8</v>
      </c>
      <c r="K10770" s="23" t="s">
        <v>8</v>
      </c>
      <c r="L10770" s="23" t="s">
        <v>8</v>
      </c>
      <c r="M10770" s="23" t="s">
        <v>8</v>
      </c>
    </row>
    <row r="10771" spans="1:13" s="21" customFormat="1" x14ac:dyDescent="0.25">
      <c r="A10771" s="22" t="s">
        <v>8</v>
      </c>
      <c r="B10771" s="18" t="str">
        <f>"375306"</f>
        <v>375306</v>
      </c>
      <c r="C10771" s="19" t="s">
        <v>10605</v>
      </c>
      <c r="D10771" s="19" t="s">
        <v>26181</v>
      </c>
      <c r="E10771" s="19" t="s">
        <v>34683</v>
      </c>
      <c r="F10771" s="19" t="s">
        <v>36010</v>
      </c>
      <c r="G10771" s="18" t="str">
        <f>"73632"</f>
        <v>73632</v>
      </c>
      <c r="H10771" s="19" t="s">
        <v>36706</v>
      </c>
      <c r="I10771" s="20">
        <v>18.937999999999999</v>
      </c>
      <c r="J10771" s="44" t="s">
        <v>8</v>
      </c>
      <c r="K10771" s="23" t="s">
        <v>8</v>
      </c>
      <c r="L10771" s="23" t="s">
        <v>8</v>
      </c>
      <c r="M10771" s="23" t="s">
        <v>8</v>
      </c>
    </row>
    <row r="10772" spans="1:13" s="21" customFormat="1" x14ac:dyDescent="0.25">
      <c r="A10772" s="22" t="s">
        <v>8</v>
      </c>
      <c r="B10772" s="18" t="str">
        <f>"375310"</f>
        <v>375310</v>
      </c>
      <c r="C10772" s="19" t="s">
        <v>10606</v>
      </c>
      <c r="D10772" s="19" t="s">
        <v>26182</v>
      </c>
      <c r="E10772" s="19" t="s">
        <v>31718</v>
      </c>
      <c r="F10772" s="19" t="s">
        <v>36010</v>
      </c>
      <c r="G10772" s="18" t="str">
        <f>"73448"</f>
        <v>73448</v>
      </c>
      <c r="H10772" s="19" t="s">
        <v>36707</v>
      </c>
      <c r="I10772" s="20">
        <v>18.844999999999999</v>
      </c>
      <c r="J10772" s="44" t="s">
        <v>8</v>
      </c>
      <c r="K10772" s="23" t="s">
        <v>8</v>
      </c>
      <c r="L10772" s="23" t="s">
        <v>8</v>
      </c>
      <c r="M10772" s="23" t="s">
        <v>8</v>
      </c>
    </row>
    <row r="10773" spans="1:13" s="21" customFormat="1" x14ac:dyDescent="0.25">
      <c r="A10773" s="22" t="s">
        <v>8</v>
      </c>
      <c r="B10773" s="18" t="str">
        <f>"375312"</f>
        <v>375312</v>
      </c>
      <c r="C10773" s="19" t="s">
        <v>10607</v>
      </c>
      <c r="D10773" s="19" t="s">
        <v>26183</v>
      </c>
      <c r="E10773" s="19" t="s">
        <v>34684</v>
      </c>
      <c r="F10773" s="19" t="s">
        <v>36010</v>
      </c>
      <c r="G10773" s="18" t="str">
        <f>"74538"</f>
        <v>74538</v>
      </c>
      <c r="H10773" s="19" t="s">
        <v>36708</v>
      </c>
      <c r="I10773" s="20">
        <v>17.687999999999999</v>
      </c>
      <c r="J10773" s="44" t="s">
        <v>8</v>
      </c>
      <c r="K10773" s="23" t="s">
        <v>8</v>
      </c>
      <c r="L10773" s="23" t="s">
        <v>8</v>
      </c>
      <c r="M10773" s="23" t="s">
        <v>8</v>
      </c>
    </row>
    <row r="10774" spans="1:13" s="21" customFormat="1" x14ac:dyDescent="0.25">
      <c r="A10774" s="22" t="s">
        <v>8</v>
      </c>
      <c r="B10774" s="18" t="str">
        <f>"375313"</f>
        <v>375313</v>
      </c>
      <c r="C10774" s="19" t="s">
        <v>10608</v>
      </c>
      <c r="D10774" s="19" t="s">
        <v>26184</v>
      </c>
      <c r="E10774" s="19" t="s">
        <v>34633</v>
      </c>
      <c r="F10774" s="19" t="s">
        <v>36010</v>
      </c>
      <c r="G10774" s="18" t="str">
        <f>"74523"</f>
        <v>74523</v>
      </c>
      <c r="H10774" s="19" t="s">
        <v>36694</v>
      </c>
      <c r="I10774" s="20">
        <v>17.93</v>
      </c>
      <c r="J10774" s="44" t="s">
        <v>8</v>
      </c>
      <c r="K10774" s="23" t="s">
        <v>8</v>
      </c>
      <c r="L10774" s="23" t="s">
        <v>8</v>
      </c>
      <c r="M10774" s="23" t="s">
        <v>8</v>
      </c>
    </row>
    <row r="10775" spans="1:13" s="21" customFormat="1" x14ac:dyDescent="0.25">
      <c r="A10775" s="22" t="s">
        <v>8</v>
      </c>
      <c r="B10775" s="18" t="str">
        <f>"375314"</f>
        <v>375314</v>
      </c>
      <c r="C10775" s="19" t="s">
        <v>10609</v>
      </c>
      <c r="D10775" s="19" t="s">
        <v>26185</v>
      </c>
      <c r="E10775" s="19" t="s">
        <v>34630</v>
      </c>
      <c r="F10775" s="19" t="s">
        <v>36010</v>
      </c>
      <c r="G10775" s="18" t="str">
        <f>"74447"</f>
        <v>74447</v>
      </c>
      <c r="H10775" s="19" t="s">
        <v>34630</v>
      </c>
      <c r="I10775" s="20">
        <v>21.303999999999998</v>
      </c>
      <c r="J10775" s="44" t="s">
        <v>8</v>
      </c>
      <c r="K10775" s="23" t="s">
        <v>8</v>
      </c>
      <c r="L10775" s="23" t="s">
        <v>8</v>
      </c>
      <c r="M10775" s="23" t="s">
        <v>8</v>
      </c>
    </row>
    <row r="10776" spans="1:13" s="21" customFormat="1" x14ac:dyDescent="0.25">
      <c r="A10776" s="22" t="s">
        <v>8</v>
      </c>
      <c r="B10776" s="18" t="str">
        <f>"375316"</f>
        <v>375316</v>
      </c>
      <c r="C10776" s="19" t="s">
        <v>10610</v>
      </c>
      <c r="D10776" s="19" t="s">
        <v>26186</v>
      </c>
      <c r="E10776" s="19" t="s">
        <v>30808</v>
      </c>
      <c r="F10776" s="19" t="s">
        <v>36010</v>
      </c>
      <c r="G10776" s="18" t="str">
        <f>"74432"</f>
        <v>74432</v>
      </c>
      <c r="H10776" s="19" t="s">
        <v>33400</v>
      </c>
      <c r="I10776" s="20">
        <v>18.489000000000001</v>
      </c>
      <c r="J10776" s="44" t="s">
        <v>8</v>
      </c>
      <c r="K10776" s="23" t="s">
        <v>8</v>
      </c>
      <c r="L10776" s="23" t="s">
        <v>8</v>
      </c>
      <c r="M10776" s="23" t="s">
        <v>8</v>
      </c>
    </row>
    <row r="10777" spans="1:13" s="21" customFormat="1" x14ac:dyDescent="0.25">
      <c r="A10777" s="22" t="s">
        <v>8</v>
      </c>
      <c r="B10777" s="18" t="str">
        <f>"375317"</f>
        <v>375317</v>
      </c>
      <c r="C10777" s="19" t="s">
        <v>10611</v>
      </c>
      <c r="D10777" s="19" t="s">
        <v>26187</v>
      </c>
      <c r="E10777" s="19" t="s">
        <v>34642</v>
      </c>
      <c r="F10777" s="19" t="s">
        <v>36010</v>
      </c>
      <c r="G10777" s="18" t="str">
        <f>"74502"</f>
        <v>74502</v>
      </c>
      <c r="H10777" s="19" t="s">
        <v>31245</v>
      </c>
      <c r="I10777" s="20">
        <v>21.765999999999998</v>
      </c>
      <c r="J10777" s="44" t="s">
        <v>8</v>
      </c>
      <c r="K10777" s="23" t="s">
        <v>8</v>
      </c>
      <c r="L10777" s="23" t="s">
        <v>8</v>
      </c>
      <c r="M10777" s="23" t="s">
        <v>8</v>
      </c>
    </row>
    <row r="10778" spans="1:13" s="21" customFormat="1" x14ac:dyDescent="0.25">
      <c r="A10778" s="22" t="s">
        <v>8</v>
      </c>
      <c r="B10778" s="18" t="str">
        <f>"375320"</f>
        <v>375320</v>
      </c>
      <c r="C10778" s="19" t="s">
        <v>10612</v>
      </c>
      <c r="D10778" s="19" t="s">
        <v>18502</v>
      </c>
      <c r="E10778" s="19" t="s">
        <v>34628</v>
      </c>
      <c r="F10778" s="19" t="s">
        <v>36010</v>
      </c>
      <c r="G10778" s="18" t="str">
        <f>"74010"</f>
        <v>74010</v>
      </c>
      <c r="H10778" s="19" t="s">
        <v>36691</v>
      </c>
      <c r="I10778" s="20">
        <v>21.033999999999999</v>
      </c>
      <c r="J10778" s="44" t="s">
        <v>8</v>
      </c>
      <c r="K10778" s="23" t="s">
        <v>8</v>
      </c>
      <c r="L10778" s="23" t="s">
        <v>8</v>
      </c>
      <c r="M10778" s="23" t="s">
        <v>8</v>
      </c>
    </row>
    <row r="10779" spans="1:13" s="21" customFormat="1" x14ac:dyDescent="0.25">
      <c r="A10779" s="22" t="s">
        <v>8</v>
      </c>
      <c r="B10779" s="18" t="str">
        <f>"375322"</f>
        <v>375322</v>
      </c>
      <c r="C10779" s="19" t="s">
        <v>10613</v>
      </c>
      <c r="D10779" s="19" t="s">
        <v>26188</v>
      </c>
      <c r="E10779" s="19" t="s">
        <v>32562</v>
      </c>
      <c r="F10779" s="19" t="s">
        <v>36010</v>
      </c>
      <c r="G10779" s="18" t="str">
        <f>"74365"</f>
        <v>74365</v>
      </c>
      <c r="H10779" s="19" t="s">
        <v>36705</v>
      </c>
      <c r="I10779" s="20">
        <v>19.393000000000001</v>
      </c>
      <c r="J10779" s="44" t="s">
        <v>8</v>
      </c>
      <c r="K10779" s="23" t="s">
        <v>8</v>
      </c>
      <c r="L10779" s="23" t="s">
        <v>8</v>
      </c>
      <c r="M10779" s="23" t="s">
        <v>8</v>
      </c>
    </row>
    <row r="10780" spans="1:13" s="21" customFormat="1" x14ac:dyDescent="0.25">
      <c r="A10780" s="22" t="s">
        <v>8</v>
      </c>
      <c r="B10780" s="18" t="str">
        <f>"375324"</f>
        <v>375324</v>
      </c>
      <c r="C10780" s="19" t="s">
        <v>10614</v>
      </c>
      <c r="D10780" s="19" t="s">
        <v>26189</v>
      </c>
      <c r="E10780" s="19" t="s">
        <v>34654</v>
      </c>
      <c r="F10780" s="19" t="s">
        <v>36010</v>
      </c>
      <c r="G10780" s="18" t="str">
        <f>"74464"</f>
        <v>74464</v>
      </c>
      <c r="H10780" s="19" t="s">
        <v>32436</v>
      </c>
      <c r="I10780" s="20">
        <v>18.501000000000001</v>
      </c>
      <c r="J10780" s="44" t="s">
        <v>8</v>
      </c>
      <c r="K10780" s="23" t="s">
        <v>8</v>
      </c>
      <c r="L10780" s="23" t="s">
        <v>8</v>
      </c>
      <c r="M10780" s="23" t="s">
        <v>8</v>
      </c>
    </row>
    <row r="10781" spans="1:13" s="21" customFormat="1" x14ac:dyDescent="0.25">
      <c r="A10781" s="22" t="s">
        <v>8</v>
      </c>
      <c r="B10781" s="18" t="str">
        <f>"375325"</f>
        <v>375325</v>
      </c>
      <c r="C10781" s="19" t="s">
        <v>10615</v>
      </c>
      <c r="D10781" s="19" t="s">
        <v>26190</v>
      </c>
      <c r="E10781" s="19" t="s">
        <v>31269</v>
      </c>
      <c r="F10781" s="19" t="s">
        <v>36010</v>
      </c>
      <c r="G10781" s="18" t="str">
        <f>"73030"</f>
        <v>73030</v>
      </c>
      <c r="H10781" s="19" t="s">
        <v>32687</v>
      </c>
      <c r="I10781" s="20">
        <v>19.145</v>
      </c>
      <c r="J10781" s="44" t="s">
        <v>8</v>
      </c>
      <c r="K10781" s="23" t="s">
        <v>8</v>
      </c>
      <c r="L10781" s="23" t="s">
        <v>8</v>
      </c>
      <c r="M10781" s="23" t="s">
        <v>8</v>
      </c>
    </row>
    <row r="10782" spans="1:13" s="21" customFormat="1" x14ac:dyDescent="0.25">
      <c r="A10782" s="22" t="s">
        <v>8</v>
      </c>
      <c r="B10782" s="18" t="str">
        <f>"375326"</f>
        <v>375326</v>
      </c>
      <c r="C10782" s="19" t="s">
        <v>10616</v>
      </c>
      <c r="D10782" s="19" t="s">
        <v>26191</v>
      </c>
      <c r="E10782" s="19" t="s">
        <v>34685</v>
      </c>
      <c r="F10782" s="19" t="s">
        <v>36010</v>
      </c>
      <c r="G10782" s="18" t="str">
        <f>"74855"</f>
        <v>74855</v>
      </c>
      <c r="H10782" s="19" t="s">
        <v>31995</v>
      </c>
      <c r="I10782" s="20">
        <v>19.058</v>
      </c>
      <c r="J10782" s="44" t="s">
        <v>8</v>
      </c>
      <c r="K10782" s="23" t="s">
        <v>8</v>
      </c>
      <c r="L10782" s="23" t="s">
        <v>8</v>
      </c>
      <c r="M10782" s="23" t="s">
        <v>8</v>
      </c>
    </row>
    <row r="10783" spans="1:13" s="21" customFormat="1" x14ac:dyDescent="0.25">
      <c r="A10783" s="22" t="s">
        <v>8</v>
      </c>
      <c r="B10783" s="18" t="str">
        <f>"375327"</f>
        <v>375327</v>
      </c>
      <c r="C10783" s="19" t="s">
        <v>10617</v>
      </c>
      <c r="D10783" s="19" t="s">
        <v>26192</v>
      </c>
      <c r="E10783" s="19" t="s">
        <v>34686</v>
      </c>
      <c r="F10783" s="19" t="s">
        <v>36010</v>
      </c>
      <c r="G10783" s="18" t="str">
        <f>"74859"</f>
        <v>74859</v>
      </c>
      <c r="H10783" s="19" t="s">
        <v>36709</v>
      </c>
      <c r="I10783" s="20">
        <v>17.641999999999999</v>
      </c>
      <c r="J10783" s="44" t="s">
        <v>8</v>
      </c>
      <c r="K10783" s="23" t="s">
        <v>8</v>
      </c>
      <c r="L10783" s="23" t="s">
        <v>8</v>
      </c>
      <c r="M10783" s="23" t="s">
        <v>8</v>
      </c>
    </row>
    <row r="10784" spans="1:13" s="21" customFormat="1" x14ac:dyDescent="0.25">
      <c r="A10784" s="22" t="s">
        <v>8</v>
      </c>
      <c r="B10784" s="18" t="str">
        <f>"375328"</f>
        <v>375328</v>
      </c>
      <c r="C10784" s="19" t="s">
        <v>10618</v>
      </c>
      <c r="D10784" s="19" t="s">
        <v>26193</v>
      </c>
      <c r="E10784" s="19" t="s">
        <v>34687</v>
      </c>
      <c r="F10784" s="19" t="s">
        <v>36010</v>
      </c>
      <c r="G10784" s="18" t="str">
        <f>"74571"</f>
        <v>74571</v>
      </c>
      <c r="H10784" s="19" t="s">
        <v>36710</v>
      </c>
      <c r="I10784" s="20">
        <v>19.335000000000001</v>
      </c>
      <c r="J10784" s="44" t="s">
        <v>8</v>
      </c>
      <c r="K10784" s="23" t="s">
        <v>8</v>
      </c>
      <c r="L10784" s="23" t="s">
        <v>8</v>
      </c>
      <c r="M10784" s="23" t="s">
        <v>8</v>
      </c>
    </row>
    <row r="10785" spans="1:13" s="21" customFormat="1" x14ac:dyDescent="0.25">
      <c r="A10785" s="22" t="s">
        <v>8</v>
      </c>
      <c r="B10785" s="18" t="str">
        <f>"375330"</f>
        <v>375330</v>
      </c>
      <c r="C10785" s="19" t="s">
        <v>10619</v>
      </c>
      <c r="D10785" s="19" t="s">
        <v>26194</v>
      </c>
      <c r="E10785" s="19" t="s">
        <v>34688</v>
      </c>
      <c r="F10785" s="19" t="s">
        <v>36010</v>
      </c>
      <c r="G10785" s="18" t="str">
        <f>"74434"</f>
        <v>74434</v>
      </c>
      <c r="H10785" s="19" t="s">
        <v>34655</v>
      </c>
      <c r="I10785" s="20">
        <v>18.234000000000002</v>
      </c>
      <c r="J10785" s="44" t="s">
        <v>8</v>
      </c>
      <c r="K10785" s="23" t="s">
        <v>8</v>
      </c>
      <c r="L10785" s="23" t="s">
        <v>8</v>
      </c>
      <c r="M10785" s="23" t="s">
        <v>8</v>
      </c>
    </row>
    <row r="10786" spans="1:13" s="21" customFormat="1" x14ac:dyDescent="0.25">
      <c r="A10786" s="22" t="s">
        <v>8</v>
      </c>
      <c r="B10786" s="18" t="str">
        <f>"375331"</f>
        <v>375331</v>
      </c>
      <c r="C10786" s="19" t="s">
        <v>10620</v>
      </c>
      <c r="D10786" s="19" t="s">
        <v>26195</v>
      </c>
      <c r="E10786" s="19" t="s">
        <v>34689</v>
      </c>
      <c r="F10786" s="19" t="s">
        <v>36010</v>
      </c>
      <c r="G10786" s="18" t="str">
        <f>"73160"</f>
        <v>73160</v>
      </c>
      <c r="H10786" s="19" t="s">
        <v>31810</v>
      </c>
      <c r="I10786" s="20">
        <v>19.923999999999999</v>
      </c>
      <c r="J10786" s="44" t="s">
        <v>8</v>
      </c>
      <c r="K10786" s="23" t="s">
        <v>8</v>
      </c>
      <c r="L10786" s="23" t="s">
        <v>8</v>
      </c>
      <c r="M10786" s="23" t="s">
        <v>8</v>
      </c>
    </row>
    <row r="10787" spans="1:13" s="21" customFormat="1" x14ac:dyDescent="0.25">
      <c r="A10787" s="22" t="s">
        <v>8</v>
      </c>
      <c r="B10787" s="18" t="str">
        <f>"375332"</f>
        <v>375332</v>
      </c>
      <c r="C10787" s="19" t="s">
        <v>10621</v>
      </c>
      <c r="D10787" s="19" t="s">
        <v>26196</v>
      </c>
      <c r="E10787" s="19" t="s">
        <v>34690</v>
      </c>
      <c r="F10787" s="19" t="s">
        <v>36010</v>
      </c>
      <c r="G10787" s="18" t="str">
        <f>"73096"</f>
        <v>73096</v>
      </c>
      <c r="H10787" s="19" t="s">
        <v>35098</v>
      </c>
      <c r="I10787" s="20">
        <v>17.132999999999999</v>
      </c>
      <c r="J10787" s="44" t="s">
        <v>8</v>
      </c>
      <c r="K10787" s="23" t="s">
        <v>8</v>
      </c>
      <c r="L10787" s="23" t="s">
        <v>8</v>
      </c>
      <c r="M10787" s="23" t="s">
        <v>8</v>
      </c>
    </row>
    <row r="10788" spans="1:13" s="21" customFormat="1" x14ac:dyDescent="0.25">
      <c r="A10788" s="22" t="s">
        <v>8</v>
      </c>
      <c r="B10788" s="18" t="str">
        <f>"375333"</f>
        <v>375333</v>
      </c>
      <c r="C10788" s="19" t="s">
        <v>10622</v>
      </c>
      <c r="D10788" s="19" t="s">
        <v>26197</v>
      </c>
      <c r="E10788" s="19" t="s">
        <v>34639</v>
      </c>
      <c r="F10788" s="19" t="s">
        <v>36010</v>
      </c>
      <c r="G10788" s="18" t="str">
        <f>"74960"</f>
        <v>74960</v>
      </c>
      <c r="H10788" s="19" t="s">
        <v>36280</v>
      </c>
      <c r="I10788" s="20">
        <v>21.271000000000001</v>
      </c>
      <c r="J10788" s="44" t="s">
        <v>8</v>
      </c>
      <c r="K10788" s="23" t="s">
        <v>8</v>
      </c>
      <c r="L10788" s="23" t="s">
        <v>8</v>
      </c>
      <c r="M10788" s="23" t="s">
        <v>8</v>
      </c>
    </row>
    <row r="10789" spans="1:13" s="21" customFormat="1" x14ac:dyDescent="0.25">
      <c r="A10789" s="22" t="s">
        <v>8</v>
      </c>
      <c r="B10789" s="18" t="str">
        <f>"375334"</f>
        <v>375334</v>
      </c>
      <c r="C10789" s="19" t="s">
        <v>4504</v>
      </c>
      <c r="D10789" s="19" t="s">
        <v>26198</v>
      </c>
      <c r="E10789" s="19" t="s">
        <v>34680</v>
      </c>
      <c r="F10789" s="19" t="s">
        <v>36010</v>
      </c>
      <c r="G10789" s="18" t="str">
        <f>"74361"</f>
        <v>74361</v>
      </c>
      <c r="H10789" s="19" t="s">
        <v>36705</v>
      </c>
      <c r="I10789" s="20">
        <v>19.93</v>
      </c>
      <c r="J10789" s="44" t="s">
        <v>8</v>
      </c>
      <c r="K10789" s="23" t="s">
        <v>8</v>
      </c>
      <c r="L10789" s="23" t="s">
        <v>8</v>
      </c>
      <c r="M10789" s="23" t="s">
        <v>8</v>
      </c>
    </row>
    <row r="10790" spans="1:13" s="21" customFormat="1" x14ac:dyDescent="0.25">
      <c r="A10790" s="22" t="s">
        <v>8</v>
      </c>
      <c r="B10790" s="18" t="str">
        <f>"375335"</f>
        <v>375335</v>
      </c>
      <c r="C10790" s="19" t="s">
        <v>10623</v>
      </c>
      <c r="D10790" s="19" t="s">
        <v>26199</v>
      </c>
      <c r="E10790" s="19" t="s">
        <v>31507</v>
      </c>
      <c r="F10790" s="19" t="s">
        <v>36010</v>
      </c>
      <c r="G10790" s="18" t="str">
        <f>"74354"</f>
        <v>74354</v>
      </c>
      <c r="H10790" s="19" t="s">
        <v>31994</v>
      </c>
      <c r="I10790" s="20">
        <v>17.43</v>
      </c>
      <c r="J10790" s="44" t="s">
        <v>8</v>
      </c>
      <c r="K10790" s="23" t="s">
        <v>8</v>
      </c>
      <c r="L10790" s="23" t="s">
        <v>8</v>
      </c>
      <c r="M10790" s="23" t="s">
        <v>8</v>
      </c>
    </row>
    <row r="10791" spans="1:13" s="21" customFormat="1" x14ac:dyDescent="0.25">
      <c r="A10791" s="22" t="s">
        <v>8</v>
      </c>
      <c r="B10791" s="18" t="str">
        <f>"375339"</f>
        <v>375339</v>
      </c>
      <c r="C10791" s="19" t="s">
        <v>10624</v>
      </c>
      <c r="D10791" s="19" t="s">
        <v>26200</v>
      </c>
      <c r="E10791" s="19" t="s">
        <v>34647</v>
      </c>
      <c r="F10791" s="19" t="s">
        <v>36010</v>
      </c>
      <c r="G10791" s="18" t="str">
        <f>"73117"</f>
        <v>73117</v>
      </c>
      <c r="H10791" s="19" t="s">
        <v>36700</v>
      </c>
      <c r="I10791" s="20">
        <v>21.323</v>
      </c>
      <c r="J10791" s="44" t="s">
        <v>8</v>
      </c>
      <c r="K10791" s="23" t="s">
        <v>8</v>
      </c>
      <c r="L10791" s="23" t="s">
        <v>8</v>
      </c>
      <c r="M10791" s="23" t="s">
        <v>8</v>
      </c>
    </row>
    <row r="10792" spans="1:13" s="21" customFormat="1" x14ac:dyDescent="0.25">
      <c r="A10792" s="22" t="s">
        <v>8</v>
      </c>
      <c r="B10792" s="18" t="str">
        <f>"375340"</f>
        <v>375340</v>
      </c>
      <c r="C10792" s="19" t="s">
        <v>10625</v>
      </c>
      <c r="D10792" s="19" t="s">
        <v>26201</v>
      </c>
      <c r="E10792" s="19" t="s">
        <v>34642</v>
      </c>
      <c r="F10792" s="19" t="s">
        <v>36010</v>
      </c>
      <c r="G10792" s="18" t="str">
        <f>"74502"</f>
        <v>74502</v>
      </c>
      <c r="H10792" s="19" t="s">
        <v>31245</v>
      </c>
      <c r="I10792" s="20">
        <v>18.745999999999999</v>
      </c>
      <c r="J10792" s="44" t="s">
        <v>8</v>
      </c>
      <c r="K10792" s="23" t="s">
        <v>8</v>
      </c>
      <c r="L10792" s="23" t="s">
        <v>8</v>
      </c>
      <c r="M10792" s="23" t="s">
        <v>8</v>
      </c>
    </row>
    <row r="10793" spans="1:13" s="21" customFormat="1" x14ac:dyDescent="0.25">
      <c r="A10793" s="22" t="s">
        <v>8</v>
      </c>
      <c r="B10793" s="18" t="str">
        <f>"375341"</f>
        <v>375341</v>
      </c>
      <c r="C10793" s="19" t="s">
        <v>10626</v>
      </c>
      <c r="D10793" s="19" t="s">
        <v>26202</v>
      </c>
      <c r="E10793" s="19" t="s">
        <v>34691</v>
      </c>
      <c r="F10793" s="19" t="s">
        <v>36010</v>
      </c>
      <c r="G10793" s="18" t="str">
        <f>"74469"</f>
        <v>74469</v>
      </c>
      <c r="H10793" s="19" t="s">
        <v>34655</v>
      </c>
      <c r="I10793" s="20">
        <v>19.562000000000001</v>
      </c>
      <c r="J10793" s="44" t="s">
        <v>8</v>
      </c>
      <c r="K10793" s="23" t="s">
        <v>8</v>
      </c>
      <c r="L10793" s="23" t="s">
        <v>8</v>
      </c>
      <c r="M10793" s="23" t="s">
        <v>8</v>
      </c>
    </row>
    <row r="10794" spans="1:13" s="21" customFormat="1" x14ac:dyDescent="0.25">
      <c r="A10794" s="22" t="s">
        <v>8</v>
      </c>
      <c r="B10794" s="18" t="str">
        <f>"375342"</f>
        <v>375342</v>
      </c>
      <c r="C10794" s="19" t="s">
        <v>10627</v>
      </c>
      <c r="D10794" s="19" t="s">
        <v>26203</v>
      </c>
      <c r="E10794" s="19" t="s">
        <v>34637</v>
      </c>
      <c r="F10794" s="19" t="s">
        <v>36010</v>
      </c>
      <c r="G10794" s="18" t="str">
        <f>"73075"</f>
        <v>73075</v>
      </c>
      <c r="H10794" s="19" t="s">
        <v>36698</v>
      </c>
      <c r="I10794" s="20">
        <v>21.094999999999999</v>
      </c>
      <c r="J10794" s="44" t="s">
        <v>8</v>
      </c>
      <c r="K10794" s="23" t="s">
        <v>8</v>
      </c>
      <c r="L10794" s="23" t="s">
        <v>8</v>
      </c>
      <c r="M10794" s="23" t="s">
        <v>8</v>
      </c>
    </row>
    <row r="10795" spans="1:13" s="21" customFormat="1" x14ac:dyDescent="0.25">
      <c r="A10795" s="22" t="s">
        <v>8</v>
      </c>
      <c r="B10795" s="18" t="str">
        <f>"375344"</f>
        <v>375344</v>
      </c>
      <c r="C10795" s="19" t="s">
        <v>10628</v>
      </c>
      <c r="D10795" s="19" t="s">
        <v>26204</v>
      </c>
      <c r="E10795" s="19" t="s">
        <v>34692</v>
      </c>
      <c r="F10795" s="19" t="s">
        <v>36010</v>
      </c>
      <c r="G10795" s="18" t="str">
        <f>"74055"</f>
        <v>74055</v>
      </c>
      <c r="H10795" s="19" t="s">
        <v>34641</v>
      </c>
      <c r="I10795" s="20">
        <v>20.510999999999999</v>
      </c>
      <c r="J10795" s="44" t="s">
        <v>8</v>
      </c>
      <c r="K10795" s="23" t="s">
        <v>8</v>
      </c>
      <c r="L10795" s="23" t="s">
        <v>8</v>
      </c>
      <c r="M10795" s="23" t="s">
        <v>8</v>
      </c>
    </row>
    <row r="10796" spans="1:13" s="21" customFormat="1" x14ac:dyDescent="0.25">
      <c r="A10796" s="22" t="s">
        <v>8</v>
      </c>
      <c r="B10796" s="18" t="str">
        <f>"375346"</f>
        <v>375346</v>
      </c>
      <c r="C10796" s="19" t="s">
        <v>10629</v>
      </c>
      <c r="D10796" s="19" t="s">
        <v>26205</v>
      </c>
      <c r="E10796" s="19" t="s">
        <v>34693</v>
      </c>
      <c r="F10796" s="19" t="s">
        <v>36010</v>
      </c>
      <c r="G10796" s="18" t="str">
        <f>"74044"</f>
        <v>74044</v>
      </c>
      <c r="H10796" s="19" t="s">
        <v>36691</v>
      </c>
      <c r="I10796" s="20">
        <v>20.620999999999999</v>
      </c>
      <c r="J10796" s="44" t="s">
        <v>8</v>
      </c>
      <c r="K10796" s="23" t="s">
        <v>8</v>
      </c>
      <c r="L10796" s="23" t="s">
        <v>8</v>
      </c>
      <c r="M10796" s="23" t="s">
        <v>8</v>
      </c>
    </row>
    <row r="10797" spans="1:13" s="21" customFormat="1" x14ac:dyDescent="0.25">
      <c r="A10797" s="22" t="s">
        <v>8</v>
      </c>
      <c r="B10797" s="18" t="str">
        <f>"375347"</f>
        <v>375347</v>
      </c>
      <c r="C10797" s="19" t="s">
        <v>10630</v>
      </c>
      <c r="D10797" s="19" t="s">
        <v>26206</v>
      </c>
      <c r="E10797" s="19" t="s">
        <v>34694</v>
      </c>
      <c r="F10797" s="19" t="s">
        <v>36010</v>
      </c>
      <c r="G10797" s="18" t="str">
        <f>"74851"</f>
        <v>74851</v>
      </c>
      <c r="H10797" s="19" t="s">
        <v>36300</v>
      </c>
      <c r="I10797" s="20">
        <v>19.78</v>
      </c>
      <c r="J10797" s="44" t="s">
        <v>8</v>
      </c>
      <c r="K10797" s="23" t="s">
        <v>8</v>
      </c>
      <c r="L10797" s="23" t="s">
        <v>8</v>
      </c>
      <c r="M10797" s="23" t="s">
        <v>8</v>
      </c>
    </row>
    <row r="10798" spans="1:13" s="21" customFormat="1" x14ac:dyDescent="0.25">
      <c r="A10798" s="22" t="s">
        <v>8</v>
      </c>
      <c r="B10798" s="18" t="str">
        <f>"375349"</f>
        <v>375349</v>
      </c>
      <c r="C10798" s="19" t="s">
        <v>10631</v>
      </c>
      <c r="D10798" s="19" t="s">
        <v>26207</v>
      </c>
      <c r="E10798" s="19" t="s">
        <v>34647</v>
      </c>
      <c r="F10798" s="19" t="s">
        <v>36010</v>
      </c>
      <c r="G10798" s="18" t="str">
        <f>"73116"</f>
        <v>73116</v>
      </c>
      <c r="H10798" s="19" t="s">
        <v>36700</v>
      </c>
      <c r="I10798" s="20">
        <v>22.094999999999999</v>
      </c>
      <c r="J10798" s="44" t="s">
        <v>8</v>
      </c>
      <c r="K10798" s="23" t="s">
        <v>8</v>
      </c>
      <c r="L10798" s="23" t="s">
        <v>8</v>
      </c>
      <c r="M10798" s="23" t="s">
        <v>8</v>
      </c>
    </row>
    <row r="10799" spans="1:13" s="21" customFormat="1" x14ac:dyDescent="0.25">
      <c r="A10799" s="22" t="s">
        <v>8</v>
      </c>
      <c r="B10799" s="18" t="str">
        <f>"375350"</f>
        <v>375350</v>
      </c>
      <c r="C10799" s="19" t="s">
        <v>10632</v>
      </c>
      <c r="D10799" s="19" t="s">
        <v>26208</v>
      </c>
      <c r="E10799" s="19" t="s">
        <v>31595</v>
      </c>
      <c r="F10799" s="19" t="s">
        <v>36010</v>
      </c>
      <c r="G10799" s="18" t="str">
        <f>"74868"</f>
        <v>74868</v>
      </c>
      <c r="H10799" s="19" t="s">
        <v>31595</v>
      </c>
      <c r="I10799" s="20">
        <v>18.055</v>
      </c>
      <c r="J10799" s="44" t="s">
        <v>8</v>
      </c>
      <c r="K10799" s="23" t="s">
        <v>8</v>
      </c>
      <c r="L10799" s="23" t="s">
        <v>8</v>
      </c>
      <c r="M10799" s="23" t="s">
        <v>8</v>
      </c>
    </row>
    <row r="10800" spans="1:13" s="21" customFormat="1" x14ac:dyDescent="0.25">
      <c r="A10800" s="22" t="s">
        <v>8</v>
      </c>
      <c r="B10800" s="18" t="str">
        <f>"375351"</f>
        <v>375351</v>
      </c>
      <c r="C10800" s="19" t="s">
        <v>10633</v>
      </c>
      <c r="D10800" s="19" t="s">
        <v>26209</v>
      </c>
      <c r="E10800" s="19" t="s">
        <v>34641</v>
      </c>
      <c r="F10800" s="19" t="s">
        <v>36010</v>
      </c>
      <c r="G10800" s="18" t="str">
        <f>"74135"</f>
        <v>74135</v>
      </c>
      <c r="H10800" s="19" t="s">
        <v>34641</v>
      </c>
      <c r="I10800" s="20">
        <v>23.745000000000001</v>
      </c>
      <c r="J10800" s="44" t="s">
        <v>8</v>
      </c>
      <c r="K10800" s="23" t="s">
        <v>8</v>
      </c>
      <c r="L10800" s="23" t="s">
        <v>8</v>
      </c>
      <c r="M10800" s="23" t="s">
        <v>8</v>
      </c>
    </row>
    <row r="10801" spans="1:13" s="21" customFormat="1" x14ac:dyDescent="0.25">
      <c r="A10801" s="22" t="s">
        <v>8</v>
      </c>
      <c r="B10801" s="18" t="str">
        <f>"375353"</f>
        <v>375353</v>
      </c>
      <c r="C10801" s="19" t="s">
        <v>10634</v>
      </c>
      <c r="D10801" s="19" t="s">
        <v>26210</v>
      </c>
      <c r="E10801" s="19" t="s">
        <v>34643</v>
      </c>
      <c r="F10801" s="19" t="s">
        <v>36010</v>
      </c>
      <c r="G10801" s="18" t="str">
        <f>"73701"</f>
        <v>73701</v>
      </c>
      <c r="H10801" s="19" t="s">
        <v>36111</v>
      </c>
      <c r="I10801" s="20">
        <v>16.774999999999999</v>
      </c>
      <c r="J10801" s="44" t="s">
        <v>8</v>
      </c>
      <c r="K10801" s="23" t="s">
        <v>8</v>
      </c>
      <c r="L10801" s="23" t="s">
        <v>8</v>
      </c>
      <c r="M10801" s="23" t="s">
        <v>8</v>
      </c>
    </row>
    <row r="10802" spans="1:13" s="21" customFormat="1" x14ac:dyDescent="0.25">
      <c r="A10802" s="22" t="s">
        <v>8</v>
      </c>
      <c r="B10802" s="18" t="str">
        <f>"375354"</f>
        <v>375354</v>
      </c>
      <c r="C10802" s="19" t="s">
        <v>10635</v>
      </c>
      <c r="D10802" s="19" t="s">
        <v>26211</v>
      </c>
      <c r="E10802" s="19" t="s">
        <v>34695</v>
      </c>
      <c r="F10802" s="19" t="s">
        <v>36010</v>
      </c>
      <c r="G10802" s="18" t="str">
        <f>"74048"</f>
        <v>74048</v>
      </c>
      <c r="H10802" s="19" t="s">
        <v>34695</v>
      </c>
      <c r="I10802" s="20">
        <v>19.637</v>
      </c>
      <c r="J10802" s="44" t="s">
        <v>8</v>
      </c>
      <c r="K10802" s="23" t="s">
        <v>8</v>
      </c>
      <c r="L10802" s="23" t="s">
        <v>8</v>
      </c>
      <c r="M10802" s="23" t="s">
        <v>8</v>
      </c>
    </row>
    <row r="10803" spans="1:13" s="21" customFormat="1" x14ac:dyDescent="0.25">
      <c r="A10803" s="22" t="s">
        <v>8</v>
      </c>
      <c r="B10803" s="18" t="str">
        <f>"375358"</f>
        <v>375358</v>
      </c>
      <c r="C10803" s="19" t="s">
        <v>10636</v>
      </c>
      <c r="D10803" s="19" t="s">
        <v>26212</v>
      </c>
      <c r="E10803" s="19" t="s">
        <v>34696</v>
      </c>
      <c r="F10803" s="19" t="s">
        <v>36010</v>
      </c>
      <c r="G10803" s="18" t="str">
        <f>"74037"</f>
        <v>74037</v>
      </c>
      <c r="H10803" s="19" t="s">
        <v>34641</v>
      </c>
      <c r="I10803" s="20">
        <v>20.367999999999999</v>
      </c>
      <c r="J10803" s="44" t="s">
        <v>8</v>
      </c>
      <c r="K10803" s="23" t="s">
        <v>8</v>
      </c>
      <c r="L10803" s="23" t="s">
        <v>8</v>
      </c>
      <c r="M10803" s="23" t="s">
        <v>8</v>
      </c>
    </row>
    <row r="10804" spans="1:13" s="21" customFormat="1" x14ac:dyDescent="0.25">
      <c r="A10804" s="22" t="s">
        <v>8</v>
      </c>
      <c r="B10804" s="18" t="str">
        <f>"375359"</f>
        <v>375359</v>
      </c>
      <c r="C10804" s="19" t="s">
        <v>10637</v>
      </c>
      <c r="D10804" s="19" t="s">
        <v>26213</v>
      </c>
      <c r="E10804" s="19" t="s">
        <v>34629</v>
      </c>
      <c r="F10804" s="19" t="s">
        <v>36010</v>
      </c>
      <c r="G10804" s="18" t="str">
        <f>"73023"</f>
        <v>73023</v>
      </c>
      <c r="H10804" s="19" t="s">
        <v>36153</v>
      </c>
      <c r="I10804" s="20">
        <v>16.917999999999999</v>
      </c>
      <c r="J10804" s="44" t="s">
        <v>8</v>
      </c>
      <c r="K10804" s="23" t="s">
        <v>8</v>
      </c>
      <c r="L10804" s="23" t="s">
        <v>8</v>
      </c>
      <c r="M10804" s="23" t="s">
        <v>8</v>
      </c>
    </row>
    <row r="10805" spans="1:13" s="21" customFormat="1" x14ac:dyDescent="0.25">
      <c r="A10805" s="22" t="s">
        <v>8</v>
      </c>
      <c r="B10805" s="18" t="str">
        <f>"375360"</f>
        <v>375360</v>
      </c>
      <c r="C10805" s="19" t="s">
        <v>10638</v>
      </c>
      <c r="D10805" s="19" t="s">
        <v>26214</v>
      </c>
      <c r="E10805" s="19" t="s">
        <v>33572</v>
      </c>
      <c r="F10805" s="19" t="s">
        <v>36010</v>
      </c>
      <c r="G10805" s="18" t="str">
        <f>"74701"</f>
        <v>74701</v>
      </c>
      <c r="H10805" s="19" t="s">
        <v>34543</v>
      </c>
      <c r="I10805" s="20">
        <v>23.690999999999999</v>
      </c>
      <c r="J10805" s="44" t="s">
        <v>8</v>
      </c>
      <c r="K10805" s="23" t="s">
        <v>8</v>
      </c>
      <c r="L10805" s="23" t="s">
        <v>8</v>
      </c>
      <c r="M10805" s="23" t="s">
        <v>8</v>
      </c>
    </row>
    <row r="10806" spans="1:13" s="21" customFormat="1" x14ac:dyDescent="0.25">
      <c r="A10806" s="22" t="s">
        <v>8</v>
      </c>
      <c r="B10806" s="18" t="str">
        <f>"375362"</f>
        <v>375362</v>
      </c>
      <c r="C10806" s="19" t="s">
        <v>10639</v>
      </c>
      <c r="D10806" s="19" t="s">
        <v>26215</v>
      </c>
      <c r="E10806" s="19" t="s">
        <v>34629</v>
      </c>
      <c r="F10806" s="19" t="s">
        <v>36010</v>
      </c>
      <c r="G10806" s="18" t="str">
        <f>"73018"</f>
        <v>73018</v>
      </c>
      <c r="H10806" s="19" t="s">
        <v>36153</v>
      </c>
      <c r="I10806" s="20">
        <v>18.420999999999999</v>
      </c>
      <c r="J10806" s="44" t="s">
        <v>8</v>
      </c>
      <c r="K10806" s="23" t="s">
        <v>8</v>
      </c>
      <c r="L10806" s="23" t="s">
        <v>8</v>
      </c>
      <c r="M10806" s="23" t="s">
        <v>8</v>
      </c>
    </row>
    <row r="10807" spans="1:13" s="21" customFormat="1" x14ac:dyDescent="0.25">
      <c r="A10807" s="22" t="s">
        <v>8</v>
      </c>
      <c r="B10807" s="18" t="str">
        <f>"375365"</f>
        <v>375365</v>
      </c>
      <c r="C10807" s="19" t="s">
        <v>10640</v>
      </c>
      <c r="D10807" s="19" t="s">
        <v>26216</v>
      </c>
      <c r="E10807" s="19" t="s">
        <v>34647</v>
      </c>
      <c r="F10807" s="19" t="s">
        <v>36010</v>
      </c>
      <c r="G10807" s="18" t="str">
        <f>"73119"</f>
        <v>73119</v>
      </c>
      <c r="H10807" s="19" t="s">
        <v>36700</v>
      </c>
      <c r="I10807" s="20">
        <v>20.905999999999999</v>
      </c>
      <c r="J10807" s="44" t="s">
        <v>8</v>
      </c>
      <c r="K10807" s="23" t="s">
        <v>8</v>
      </c>
      <c r="L10807" s="23" t="s">
        <v>8</v>
      </c>
      <c r="M10807" s="23" t="s">
        <v>8</v>
      </c>
    </row>
    <row r="10808" spans="1:13" s="21" customFormat="1" x14ac:dyDescent="0.25">
      <c r="A10808" s="22" t="s">
        <v>8</v>
      </c>
      <c r="B10808" s="18" t="str">
        <f>"375366"</f>
        <v>375366</v>
      </c>
      <c r="C10808" s="19" t="s">
        <v>10641</v>
      </c>
      <c r="D10808" s="19" t="s">
        <v>26217</v>
      </c>
      <c r="E10808" s="19" t="s">
        <v>34650</v>
      </c>
      <c r="F10808" s="19" t="s">
        <v>36010</v>
      </c>
      <c r="G10808" s="18" t="str">
        <f>"74344"</f>
        <v>74344</v>
      </c>
      <c r="H10808" s="19" t="s">
        <v>34462</v>
      </c>
      <c r="I10808" s="20">
        <v>17.774999999999999</v>
      </c>
      <c r="J10808" s="44" t="s">
        <v>8</v>
      </c>
      <c r="K10808" s="23" t="s">
        <v>8</v>
      </c>
      <c r="L10808" s="23" t="s">
        <v>8</v>
      </c>
      <c r="M10808" s="23" t="s">
        <v>8</v>
      </c>
    </row>
    <row r="10809" spans="1:13" s="21" customFormat="1" x14ac:dyDescent="0.25">
      <c r="A10809" s="22" t="s">
        <v>8</v>
      </c>
      <c r="B10809" s="18" t="str">
        <f>"375367"</f>
        <v>375367</v>
      </c>
      <c r="C10809" s="19" t="s">
        <v>10642</v>
      </c>
      <c r="D10809" s="19" t="s">
        <v>26218</v>
      </c>
      <c r="E10809" s="19" t="s">
        <v>34697</v>
      </c>
      <c r="F10809" s="19" t="s">
        <v>36010</v>
      </c>
      <c r="G10809" s="18" t="str">
        <f>"74079"</f>
        <v>74079</v>
      </c>
      <c r="H10809" s="19" t="s">
        <v>31995</v>
      </c>
      <c r="I10809" s="20">
        <v>18.148</v>
      </c>
      <c r="J10809" s="44" t="s">
        <v>8</v>
      </c>
      <c r="K10809" s="23" t="s">
        <v>8</v>
      </c>
      <c r="L10809" s="23" t="s">
        <v>8</v>
      </c>
      <c r="M10809" s="23" t="s">
        <v>8</v>
      </c>
    </row>
    <row r="10810" spans="1:13" s="21" customFormat="1" x14ac:dyDescent="0.25">
      <c r="A10810" s="22" t="s">
        <v>8</v>
      </c>
      <c r="B10810" s="18" t="str">
        <f>"375369"</f>
        <v>375369</v>
      </c>
      <c r="C10810" s="19" t="s">
        <v>10643</v>
      </c>
      <c r="D10810" s="19" t="s">
        <v>26219</v>
      </c>
      <c r="E10810" s="19" t="s">
        <v>34698</v>
      </c>
      <c r="F10810" s="19" t="s">
        <v>36010</v>
      </c>
      <c r="G10810" s="18" t="str">
        <f>"74467"</f>
        <v>74467</v>
      </c>
      <c r="H10810" s="19" t="s">
        <v>34698</v>
      </c>
      <c r="I10810" s="20">
        <v>20.536999999999999</v>
      </c>
      <c r="J10810" s="44" t="s">
        <v>8</v>
      </c>
      <c r="K10810" s="23" t="s">
        <v>8</v>
      </c>
      <c r="L10810" s="23" t="s">
        <v>8</v>
      </c>
      <c r="M10810" s="23" t="s">
        <v>8</v>
      </c>
    </row>
    <row r="10811" spans="1:13" s="21" customFormat="1" x14ac:dyDescent="0.25">
      <c r="A10811" s="22" t="s">
        <v>8</v>
      </c>
      <c r="B10811" s="18" t="str">
        <f>"375371"</f>
        <v>375371</v>
      </c>
      <c r="C10811" s="19" t="s">
        <v>10644</v>
      </c>
      <c r="D10811" s="19" t="s">
        <v>26220</v>
      </c>
      <c r="E10811" s="19" t="s">
        <v>34699</v>
      </c>
      <c r="F10811" s="19" t="s">
        <v>36010</v>
      </c>
      <c r="G10811" s="18" t="str">
        <f>"74901"</f>
        <v>74901</v>
      </c>
      <c r="H10811" s="19" t="s">
        <v>36690</v>
      </c>
      <c r="I10811" s="20">
        <v>19.792000000000002</v>
      </c>
      <c r="J10811" s="44" t="s">
        <v>8</v>
      </c>
      <c r="K10811" s="23" t="s">
        <v>8</v>
      </c>
      <c r="L10811" s="23" t="s">
        <v>8</v>
      </c>
      <c r="M10811" s="23" t="s">
        <v>8</v>
      </c>
    </row>
    <row r="10812" spans="1:13" s="21" customFormat="1" x14ac:dyDescent="0.25">
      <c r="A10812" s="22" t="s">
        <v>8</v>
      </c>
      <c r="B10812" s="18" t="str">
        <f>"375372"</f>
        <v>375372</v>
      </c>
      <c r="C10812" s="19" t="s">
        <v>10645</v>
      </c>
      <c r="D10812" s="19" t="s">
        <v>26221</v>
      </c>
      <c r="E10812" s="19" t="s">
        <v>34633</v>
      </c>
      <c r="F10812" s="19" t="s">
        <v>36010</v>
      </c>
      <c r="G10812" s="18" t="str">
        <f>"74523"</f>
        <v>74523</v>
      </c>
      <c r="H10812" s="19" t="s">
        <v>36694</v>
      </c>
      <c r="I10812" s="20">
        <v>20.93</v>
      </c>
      <c r="J10812" s="44" t="s">
        <v>8</v>
      </c>
      <c r="K10812" s="23" t="s">
        <v>8</v>
      </c>
      <c r="L10812" s="23" t="s">
        <v>8</v>
      </c>
      <c r="M10812" s="23" t="s">
        <v>8</v>
      </c>
    </row>
    <row r="10813" spans="1:13" s="21" customFormat="1" x14ac:dyDescent="0.25">
      <c r="A10813" s="22" t="s">
        <v>8</v>
      </c>
      <c r="B10813" s="18" t="str">
        <f>"375373"</f>
        <v>375373</v>
      </c>
      <c r="C10813" s="19" t="s">
        <v>10646</v>
      </c>
      <c r="D10813" s="19" t="s">
        <v>26222</v>
      </c>
      <c r="E10813" s="19" t="s">
        <v>31503</v>
      </c>
      <c r="F10813" s="19" t="s">
        <v>36010</v>
      </c>
      <c r="G10813" s="18" t="str">
        <f>"73077"</f>
        <v>73077</v>
      </c>
      <c r="H10813" s="19" t="s">
        <v>34672</v>
      </c>
      <c r="I10813" s="20">
        <v>19.274999999999999</v>
      </c>
      <c r="J10813" s="44" t="s">
        <v>8</v>
      </c>
      <c r="K10813" s="23" t="s">
        <v>8</v>
      </c>
      <c r="L10813" s="23" t="s">
        <v>8</v>
      </c>
      <c r="M10813" s="23" t="s">
        <v>8</v>
      </c>
    </row>
    <row r="10814" spans="1:13" s="21" customFormat="1" x14ac:dyDescent="0.25">
      <c r="A10814" s="22" t="s">
        <v>8</v>
      </c>
      <c r="B10814" s="18" t="str">
        <f>"375374"</f>
        <v>375374</v>
      </c>
      <c r="C10814" s="19" t="s">
        <v>10647</v>
      </c>
      <c r="D10814" s="19" t="s">
        <v>26223</v>
      </c>
      <c r="E10814" s="19" t="s">
        <v>34700</v>
      </c>
      <c r="F10814" s="19" t="s">
        <v>36010</v>
      </c>
      <c r="G10814" s="18" t="str">
        <f>"73044"</f>
        <v>73044</v>
      </c>
      <c r="H10814" s="19" t="s">
        <v>32373</v>
      </c>
      <c r="I10814" s="20">
        <v>20.472000000000001</v>
      </c>
      <c r="J10814" s="44" t="s">
        <v>8</v>
      </c>
      <c r="K10814" s="23" t="s">
        <v>8</v>
      </c>
      <c r="L10814" s="23" t="s">
        <v>8</v>
      </c>
      <c r="M10814" s="23" t="s">
        <v>8</v>
      </c>
    </row>
    <row r="10815" spans="1:13" s="21" customFormat="1" x14ac:dyDescent="0.25">
      <c r="A10815" s="22" t="s">
        <v>8</v>
      </c>
      <c r="B10815" s="18" t="str">
        <f>"375375"</f>
        <v>375375</v>
      </c>
      <c r="C10815" s="19" t="s">
        <v>10648</v>
      </c>
      <c r="D10815" s="19" t="s">
        <v>26224</v>
      </c>
      <c r="E10815" s="19" t="s">
        <v>34626</v>
      </c>
      <c r="F10815" s="19" t="s">
        <v>36010</v>
      </c>
      <c r="G10815" s="18" t="str">
        <f>"74017"</f>
        <v>74017</v>
      </c>
      <c r="H10815" s="19" t="s">
        <v>30989</v>
      </c>
      <c r="I10815" s="20">
        <v>24.434999999999999</v>
      </c>
      <c r="J10815" s="44" t="s">
        <v>8</v>
      </c>
      <c r="K10815" s="23" t="s">
        <v>8</v>
      </c>
      <c r="L10815" s="23" t="s">
        <v>8</v>
      </c>
      <c r="M10815" s="23" t="s">
        <v>8</v>
      </c>
    </row>
    <row r="10816" spans="1:13" s="21" customFormat="1" x14ac:dyDescent="0.25">
      <c r="A10816" s="22" t="s">
        <v>8</v>
      </c>
      <c r="B10816" s="18" t="str">
        <f>"375376"</f>
        <v>375376</v>
      </c>
      <c r="C10816" s="19" t="s">
        <v>10649</v>
      </c>
      <c r="D10816" s="19" t="s">
        <v>26225</v>
      </c>
      <c r="E10816" s="19" t="s">
        <v>34655</v>
      </c>
      <c r="F10816" s="19" t="s">
        <v>36010</v>
      </c>
      <c r="G10816" s="18" t="str">
        <f>"74403"</f>
        <v>74403</v>
      </c>
      <c r="H10816" s="19" t="s">
        <v>34655</v>
      </c>
      <c r="I10816" s="20">
        <v>19.734999999999999</v>
      </c>
      <c r="J10816" s="44" t="s">
        <v>8</v>
      </c>
      <c r="K10816" s="23" t="s">
        <v>8</v>
      </c>
      <c r="L10816" s="23" t="s">
        <v>8</v>
      </c>
      <c r="M10816" s="23" t="s">
        <v>8</v>
      </c>
    </row>
    <row r="10817" spans="1:13" s="21" customFormat="1" x14ac:dyDescent="0.25">
      <c r="A10817" s="22" t="s">
        <v>8</v>
      </c>
      <c r="B10817" s="18" t="str">
        <f>"375378"</f>
        <v>375378</v>
      </c>
      <c r="C10817" s="19" t="s">
        <v>2385</v>
      </c>
      <c r="D10817" s="19" t="s">
        <v>26226</v>
      </c>
      <c r="E10817" s="19" t="s">
        <v>34701</v>
      </c>
      <c r="F10817" s="19" t="s">
        <v>36010</v>
      </c>
      <c r="G10817" s="18" t="str">
        <f>"74058"</f>
        <v>74058</v>
      </c>
      <c r="H10817" s="19" t="s">
        <v>34701</v>
      </c>
      <c r="I10817" s="20">
        <v>20.443999999999999</v>
      </c>
      <c r="J10817" s="44" t="s">
        <v>8</v>
      </c>
      <c r="K10817" s="23" t="s">
        <v>8</v>
      </c>
      <c r="L10817" s="23" t="s">
        <v>8</v>
      </c>
      <c r="M10817" s="23" t="s">
        <v>8</v>
      </c>
    </row>
    <row r="10818" spans="1:13" s="21" customFormat="1" x14ac:dyDescent="0.25">
      <c r="A10818" s="22" t="s">
        <v>8</v>
      </c>
      <c r="B10818" s="18" t="str">
        <f>"375379"</f>
        <v>375379</v>
      </c>
      <c r="C10818" s="19" t="s">
        <v>10650</v>
      </c>
      <c r="D10818" s="19" t="s">
        <v>26227</v>
      </c>
      <c r="E10818" s="19" t="s">
        <v>34660</v>
      </c>
      <c r="F10818" s="19" t="s">
        <v>36010</v>
      </c>
      <c r="G10818" s="18" t="str">
        <f>"73401"</f>
        <v>73401</v>
      </c>
      <c r="H10818" s="19" t="s">
        <v>36338</v>
      </c>
      <c r="I10818" s="20">
        <v>19.132999999999999</v>
      </c>
      <c r="J10818" s="44" t="s">
        <v>8</v>
      </c>
      <c r="K10818" s="23" t="s">
        <v>8</v>
      </c>
      <c r="L10818" s="23" t="s">
        <v>8</v>
      </c>
      <c r="M10818" s="23" t="s">
        <v>8</v>
      </c>
    </row>
    <row r="10819" spans="1:13" s="21" customFormat="1" x14ac:dyDescent="0.25">
      <c r="A10819" s="22" t="s">
        <v>8</v>
      </c>
      <c r="B10819" s="18" t="str">
        <f>"375381"</f>
        <v>375381</v>
      </c>
      <c r="C10819" s="19" t="s">
        <v>10651</v>
      </c>
      <c r="D10819" s="19" t="s">
        <v>26228</v>
      </c>
      <c r="E10819" s="19" t="s">
        <v>34647</v>
      </c>
      <c r="F10819" s="19" t="s">
        <v>36010</v>
      </c>
      <c r="G10819" s="18" t="str">
        <f>"73162"</f>
        <v>73162</v>
      </c>
      <c r="H10819" s="19" t="s">
        <v>36700</v>
      </c>
      <c r="I10819" s="20">
        <v>16.693999999999999</v>
      </c>
      <c r="J10819" s="44" t="s">
        <v>8</v>
      </c>
      <c r="K10819" s="23" t="s">
        <v>8</v>
      </c>
      <c r="L10819" s="23" t="s">
        <v>8</v>
      </c>
      <c r="M10819" s="23" t="s">
        <v>8</v>
      </c>
    </row>
    <row r="10820" spans="1:13" s="21" customFormat="1" x14ac:dyDescent="0.25">
      <c r="A10820" s="22" t="s">
        <v>8</v>
      </c>
      <c r="B10820" s="18" t="str">
        <f>"375382"</f>
        <v>375382</v>
      </c>
      <c r="C10820" s="19" t="s">
        <v>10652</v>
      </c>
      <c r="D10820" s="19" t="s">
        <v>26229</v>
      </c>
      <c r="E10820" s="19" t="s">
        <v>34692</v>
      </c>
      <c r="F10820" s="19" t="s">
        <v>36010</v>
      </c>
      <c r="G10820" s="18" t="str">
        <f>"74055"</f>
        <v>74055</v>
      </c>
      <c r="H10820" s="19" t="s">
        <v>34641</v>
      </c>
      <c r="I10820" s="20">
        <v>18.416</v>
      </c>
      <c r="J10820" s="44" t="s">
        <v>8</v>
      </c>
      <c r="K10820" s="23" t="s">
        <v>8</v>
      </c>
      <c r="L10820" s="23" t="s">
        <v>8</v>
      </c>
      <c r="M10820" s="23" t="s">
        <v>8</v>
      </c>
    </row>
    <row r="10821" spans="1:13" s="21" customFormat="1" x14ac:dyDescent="0.25">
      <c r="A10821" s="22" t="s">
        <v>8</v>
      </c>
      <c r="B10821" s="18" t="str">
        <f>"375383"</f>
        <v>375383</v>
      </c>
      <c r="C10821" s="19" t="s">
        <v>10653</v>
      </c>
      <c r="D10821" s="19" t="s">
        <v>26230</v>
      </c>
      <c r="E10821" s="19" t="s">
        <v>34647</v>
      </c>
      <c r="F10821" s="19" t="s">
        <v>36010</v>
      </c>
      <c r="G10821" s="18" t="str">
        <f>"73111"</f>
        <v>73111</v>
      </c>
      <c r="H10821" s="19" t="s">
        <v>36700</v>
      </c>
      <c r="I10821" s="20">
        <v>18.655000000000001</v>
      </c>
      <c r="J10821" s="44" t="s">
        <v>8</v>
      </c>
      <c r="K10821" s="23" t="s">
        <v>8</v>
      </c>
      <c r="L10821" s="23" t="s">
        <v>8</v>
      </c>
      <c r="M10821" s="23" t="s">
        <v>8</v>
      </c>
    </row>
    <row r="10822" spans="1:13" s="21" customFormat="1" x14ac:dyDescent="0.25">
      <c r="A10822" s="22" t="s">
        <v>8</v>
      </c>
      <c r="B10822" s="18" t="str">
        <f>"375384"</f>
        <v>375384</v>
      </c>
      <c r="C10822" s="19" t="s">
        <v>10654</v>
      </c>
      <c r="D10822" s="19" t="s">
        <v>26231</v>
      </c>
      <c r="E10822" s="19" t="s">
        <v>34642</v>
      </c>
      <c r="F10822" s="19" t="s">
        <v>36010</v>
      </c>
      <c r="G10822" s="18" t="str">
        <f>"74501"</f>
        <v>74501</v>
      </c>
      <c r="H10822" s="19" t="s">
        <v>31245</v>
      </c>
      <c r="I10822" s="20">
        <v>19.731000000000002</v>
      </c>
      <c r="J10822" s="44" t="s">
        <v>8</v>
      </c>
      <c r="K10822" s="23" t="s">
        <v>8</v>
      </c>
      <c r="L10822" s="23" t="s">
        <v>8</v>
      </c>
      <c r="M10822" s="23" t="s">
        <v>8</v>
      </c>
    </row>
    <row r="10823" spans="1:13" s="21" customFormat="1" x14ac:dyDescent="0.25">
      <c r="A10823" s="22" t="s">
        <v>8</v>
      </c>
      <c r="B10823" s="18" t="str">
        <f>"375385"</f>
        <v>375385</v>
      </c>
      <c r="C10823" s="19" t="s">
        <v>10655</v>
      </c>
      <c r="D10823" s="19" t="s">
        <v>26232</v>
      </c>
      <c r="E10823" s="19" t="s">
        <v>34702</v>
      </c>
      <c r="F10823" s="19" t="s">
        <v>36010</v>
      </c>
      <c r="G10823" s="18" t="str">
        <f>"74864"</f>
        <v>74864</v>
      </c>
      <c r="H10823" s="19" t="s">
        <v>31995</v>
      </c>
      <c r="I10823" s="20">
        <v>17.948</v>
      </c>
      <c r="J10823" s="44" t="s">
        <v>8</v>
      </c>
      <c r="K10823" s="23" t="s">
        <v>8</v>
      </c>
      <c r="L10823" s="23" t="s">
        <v>8</v>
      </c>
      <c r="M10823" s="23" t="s">
        <v>8</v>
      </c>
    </row>
    <row r="10824" spans="1:13" s="21" customFormat="1" x14ac:dyDescent="0.25">
      <c r="A10824" s="22" t="s">
        <v>8</v>
      </c>
      <c r="B10824" s="18" t="str">
        <f>"375386"</f>
        <v>375386</v>
      </c>
      <c r="C10824" s="19" t="s">
        <v>10656</v>
      </c>
      <c r="D10824" s="19" t="s">
        <v>26233</v>
      </c>
      <c r="E10824" s="19" t="s">
        <v>34703</v>
      </c>
      <c r="F10824" s="19" t="s">
        <v>36010</v>
      </c>
      <c r="G10824" s="18" t="str">
        <f>"74338"</f>
        <v>74338</v>
      </c>
      <c r="H10824" s="19" t="s">
        <v>34462</v>
      </c>
      <c r="I10824" s="20">
        <v>18.917000000000002</v>
      </c>
      <c r="J10824" s="44" t="s">
        <v>8</v>
      </c>
      <c r="K10824" s="23" t="s">
        <v>8</v>
      </c>
      <c r="L10824" s="23" t="s">
        <v>8</v>
      </c>
      <c r="M10824" s="23" t="s">
        <v>8</v>
      </c>
    </row>
    <row r="10825" spans="1:13" s="21" customFormat="1" x14ac:dyDescent="0.25">
      <c r="A10825" s="22" t="s">
        <v>8</v>
      </c>
      <c r="B10825" s="18" t="str">
        <f>"375387"</f>
        <v>375387</v>
      </c>
      <c r="C10825" s="19" t="s">
        <v>10657</v>
      </c>
      <c r="D10825" s="19" t="s">
        <v>26234</v>
      </c>
      <c r="E10825" s="19" t="s">
        <v>34704</v>
      </c>
      <c r="F10825" s="19" t="s">
        <v>36010</v>
      </c>
      <c r="G10825" s="18" t="str">
        <f>"74547"</f>
        <v>74547</v>
      </c>
      <c r="H10825" s="19" t="s">
        <v>31245</v>
      </c>
      <c r="I10825" s="20">
        <v>18.527000000000001</v>
      </c>
      <c r="J10825" s="44" t="s">
        <v>8</v>
      </c>
      <c r="K10825" s="23" t="s">
        <v>8</v>
      </c>
      <c r="L10825" s="23" t="s">
        <v>8</v>
      </c>
      <c r="M10825" s="23" t="s">
        <v>8</v>
      </c>
    </row>
    <row r="10826" spans="1:13" s="21" customFormat="1" x14ac:dyDescent="0.25">
      <c r="A10826" s="22" t="s">
        <v>8</v>
      </c>
      <c r="B10826" s="18" t="str">
        <f>"375388"</f>
        <v>375388</v>
      </c>
      <c r="C10826" s="19" t="s">
        <v>10658</v>
      </c>
      <c r="D10826" s="19" t="s">
        <v>26235</v>
      </c>
      <c r="E10826" s="19" t="s">
        <v>31507</v>
      </c>
      <c r="F10826" s="19" t="s">
        <v>36010</v>
      </c>
      <c r="G10826" s="18" t="str">
        <f>"74354"</f>
        <v>74354</v>
      </c>
      <c r="H10826" s="19" t="s">
        <v>31994</v>
      </c>
      <c r="I10826" s="20">
        <v>23.347000000000001</v>
      </c>
      <c r="J10826" s="44" t="s">
        <v>8</v>
      </c>
      <c r="K10826" s="23" t="s">
        <v>8</v>
      </c>
      <c r="L10826" s="23" t="s">
        <v>8</v>
      </c>
      <c r="M10826" s="23" t="s">
        <v>8</v>
      </c>
    </row>
    <row r="10827" spans="1:13" s="21" customFormat="1" x14ac:dyDescent="0.25">
      <c r="A10827" s="22" t="s">
        <v>8</v>
      </c>
      <c r="B10827" s="18" t="str">
        <f>"375389"</f>
        <v>375389</v>
      </c>
      <c r="C10827" s="19" t="s">
        <v>10659</v>
      </c>
      <c r="D10827" s="19" t="s">
        <v>26236</v>
      </c>
      <c r="E10827" s="19" t="s">
        <v>34641</v>
      </c>
      <c r="F10827" s="19" t="s">
        <v>36010</v>
      </c>
      <c r="G10827" s="18" t="str">
        <f>"74128"</f>
        <v>74128</v>
      </c>
      <c r="H10827" s="19" t="s">
        <v>34641</v>
      </c>
      <c r="I10827" s="20">
        <v>20.869</v>
      </c>
      <c r="J10827" s="44" t="s">
        <v>8</v>
      </c>
      <c r="K10827" s="23" t="s">
        <v>8</v>
      </c>
      <c r="L10827" s="23" t="s">
        <v>8</v>
      </c>
      <c r="M10827" s="23" t="s">
        <v>8</v>
      </c>
    </row>
    <row r="10828" spans="1:13" s="21" customFormat="1" x14ac:dyDescent="0.25">
      <c r="A10828" s="22" t="s">
        <v>8</v>
      </c>
      <c r="B10828" s="18" t="str">
        <f>"375390"</f>
        <v>375390</v>
      </c>
      <c r="C10828" s="19" t="s">
        <v>10660</v>
      </c>
      <c r="D10828" s="19" t="s">
        <v>26237</v>
      </c>
      <c r="E10828" s="19" t="s">
        <v>34705</v>
      </c>
      <c r="F10828" s="19" t="s">
        <v>36010</v>
      </c>
      <c r="G10828" s="18" t="str">
        <f>"74743"</f>
        <v>74743</v>
      </c>
      <c r="H10828" s="19" t="s">
        <v>36042</v>
      </c>
      <c r="I10828" s="20">
        <v>22.402000000000001</v>
      </c>
      <c r="J10828" s="44" t="s">
        <v>8</v>
      </c>
      <c r="K10828" s="23" t="s">
        <v>8</v>
      </c>
      <c r="L10828" s="23" t="s">
        <v>8</v>
      </c>
      <c r="M10828" s="23" t="s">
        <v>8</v>
      </c>
    </row>
    <row r="10829" spans="1:13" s="21" customFormat="1" x14ac:dyDescent="0.25">
      <c r="A10829" s="22" t="s">
        <v>8</v>
      </c>
      <c r="B10829" s="18" t="str">
        <f>"375392"</f>
        <v>375392</v>
      </c>
      <c r="C10829" s="19" t="s">
        <v>10661</v>
      </c>
      <c r="D10829" s="19" t="s">
        <v>26238</v>
      </c>
      <c r="E10829" s="19" t="s">
        <v>34661</v>
      </c>
      <c r="F10829" s="19" t="s">
        <v>36010</v>
      </c>
      <c r="G10829" s="18" t="str">
        <f>"74012"</f>
        <v>74012</v>
      </c>
      <c r="H10829" s="19" t="s">
        <v>34641</v>
      </c>
      <c r="I10829" s="20">
        <v>18.021000000000001</v>
      </c>
      <c r="J10829" s="44" t="s">
        <v>8</v>
      </c>
      <c r="K10829" s="23" t="s">
        <v>8</v>
      </c>
      <c r="L10829" s="23" t="s">
        <v>8</v>
      </c>
      <c r="M10829" s="23" t="s">
        <v>8</v>
      </c>
    </row>
    <row r="10830" spans="1:13" s="21" customFormat="1" x14ac:dyDescent="0.25">
      <c r="A10830" s="22" t="s">
        <v>8</v>
      </c>
      <c r="B10830" s="18" t="str">
        <f>"375393"</f>
        <v>375393</v>
      </c>
      <c r="C10830" s="19" t="s">
        <v>10662</v>
      </c>
      <c r="D10830" s="19" t="s">
        <v>26239</v>
      </c>
      <c r="E10830" s="19" t="s">
        <v>34660</v>
      </c>
      <c r="F10830" s="19" t="s">
        <v>36010</v>
      </c>
      <c r="G10830" s="18" t="str">
        <f>"73401"</f>
        <v>73401</v>
      </c>
      <c r="H10830" s="19" t="s">
        <v>36338</v>
      </c>
      <c r="I10830" s="20">
        <v>19.462</v>
      </c>
      <c r="J10830" s="44" t="s">
        <v>8</v>
      </c>
      <c r="K10830" s="23" t="s">
        <v>8</v>
      </c>
      <c r="L10830" s="23" t="s">
        <v>8</v>
      </c>
      <c r="M10830" s="23" t="s">
        <v>8</v>
      </c>
    </row>
    <row r="10831" spans="1:13" s="21" customFormat="1" x14ac:dyDescent="0.25">
      <c r="A10831" s="22" t="s">
        <v>8</v>
      </c>
      <c r="B10831" s="18" t="str">
        <f>"375394"</f>
        <v>375394</v>
      </c>
      <c r="C10831" s="19" t="s">
        <v>10663</v>
      </c>
      <c r="D10831" s="19" t="s">
        <v>26240</v>
      </c>
      <c r="E10831" s="19" t="s">
        <v>34706</v>
      </c>
      <c r="F10831" s="19" t="s">
        <v>36010</v>
      </c>
      <c r="G10831" s="18" t="str">
        <f>"74954"</f>
        <v>74954</v>
      </c>
      <c r="H10831" s="19" t="s">
        <v>36696</v>
      </c>
      <c r="I10831" s="20">
        <v>20.456</v>
      </c>
      <c r="J10831" s="44" t="s">
        <v>8</v>
      </c>
      <c r="K10831" s="23" t="s">
        <v>8</v>
      </c>
      <c r="L10831" s="23" t="s">
        <v>8</v>
      </c>
      <c r="M10831" s="23" t="s">
        <v>8</v>
      </c>
    </row>
    <row r="10832" spans="1:13" s="21" customFormat="1" x14ac:dyDescent="0.25">
      <c r="A10832" s="22" t="s">
        <v>8</v>
      </c>
      <c r="B10832" s="18" t="str">
        <f>"375395"</f>
        <v>375395</v>
      </c>
      <c r="C10832" s="19" t="s">
        <v>10664</v>
      </c>
      <c r="D10832" s="19" t="s">
        <v>26241</v>
      </c>
      <c r="E10832" s="19" t="s">
        <v>30808</v>
      </c>
      <c r="F10832" s="19" t="s">
        <v>36010</v>
      </c>
      <c r="G10832" s="18" t="str">
        <f>"74432"</f>
        <v>74432</v>
      </c>
      <c r="H10832" s="19" t="s">
        <v>33400</v>
      </c>
      <c r="I10832" s="20">
        <v>18.896999999999998</v>
      </c>
      <c r="J10832" s="44" t="s">
        <v>8</v>
      </c>
      <c r="K10832" s="23" t="s">
        <v>8</v>
      </c>
      <c r="L10832" s="23" t="s">
        <v>8</v>
      </c>
      <c r="M10832" s="23" t="s">
        <v>8</v>
      </c>
    </row>
    <row r="10833" spans="1:13" s="21" customFormat="1" x14ac:dyDescent="0.25">
      <c r="A10833" s="22" t="s">
        <v>8</v>
      </c>
      <c r="B10833" s="18" t="str">
        <f>"375396"</f>
        <v>375396</v>
      </c>
      <c r="C10833" s="19" t="s">
        <v>10665</v>
      </c>
      <c r="D10833" s="19" t="s">
        <v>26242</v>
      </c>
      <c r="E10833" s="19" t="s">
        <v>34647</v>
      </c>
      <c r="F10833" s="19" t="s">
        <v>36010</v>
      </c>
      <c r="G10833" s="18" t="str">
        <f>"73132"</f>
        <v>73132</v>
      </c>
      <c r="H10833" s="19" t="s">
        <v>36700</v>
      </c>
      <c r="I10833" s="20">
        <v>20.449000000000002</v>
      </c>
      <c r="J10833" s="44" t="s">
        <v>8</v>
      </c>
      <c r="K10833" s="23" t="s">
        <v>8</v>
      </c>
      <c r="L10833" s="23" t="s">
        <v>8</v>
      </c>
      <c r="M10833" s="23" t="s">
        <v>8</v>
      </c>
    </row>
    <row r="10834" spans="1:13" s="21" customFormat="1" x14ac:dyDescent="0.25">
      <c r="A10834" s="22" t="s">
        <v>8</v>
      </c>
      <c r="B10834" s="18" t="str">
        <f>"375397"</f>
        <v>375397</v>
      </c>
      <c r="C10834" s="19" t="s">
        <v>10666</v>
      </c>
      <c r="D10834" s="19" t="s">
        <v>26243</v>
      </c>
      <c r="E10834" s="19" t="s">
        <v>33572</v>
      </c>
      <c r="F10834" s="19" t="s">
        <v>36010</v>
      </c>
      <c r="G10834" s="18" t="str">
        <f>"74701"</f>
        <v>74701</v>
      </c>
      <c r="H10834" s="19" t="s">
        <v>34543</v>
      </c>
      <c r="I10834" s="20">
        <v>19.686</v>
      </c>
      <c r="J10834" s="44" t="s">
        <v>8</v>
      </c>
      <c r="K10834" s="23" t="s">
        <v>8</v>
      </c>
      <c r="L10834" s="23" t="s">
        <v>8</v>
      </c>
      <c r="M10834" s="23" t="s">
        <v>8</v>
      </c>
    </row>
    <row r="10835" spans="1:13" s="21" customFormat="1" x14ac:dyDescent="0.25">
      <c r="A10835" s="22" t="s">
        <v>8</v>
      </c>
      <c r="B10835" s="18" t="str">
        <f>"375398"</f>
        <v>375398</v>
      </c>
      <c r="C10835" s="19" t="s">
        <v>10667</v>
      </c>
      <c r="D10835" s="19" t="s">
        <v>26244</v>
      </c>
      <c r="E10835" s="19" t="s">
        <v>34707</v>
      </c>
      <c r="F10835" s="19" t="s">
        <v>36010</v>
      </c>
      <c r="G10835" s="18" t="str">
        <f>"73009"</f>
        <v>73009</v>
      </c>
      <c r="H10835" s="19" t="s">
        <v>36363</v>
      </c>
      <c r="I10835" s="20">
        <v>20.346</v>
      </c>
      <c r="J10835" s="44" t="s">
        <v>8</v>
      </c>
      <c r="K10835" s="23" t="s">
        <v>8</v>
      </c>
      <c r="L10835" s="23" t="s">
        <v>8</v>
      </c>
      <c r="M10835" s="23" t="s">
        <v>8</v>
      </c>
    </row>
    <row r="10836" spans="1:13" s="21" customFormat="1" x14ac:dyDescent="0.25">
      <c r="A10836" s="22" t="s">
        <v>8</v>
      </c>
      <c r="B10836" s="18" t="str">
        <f>"375399"</f>
        <v>375399</v>
      </c>
      <c r="C10836" s="19" t="s">
        <v>10668</v>
      </c>
      <c r="D10836" s="19" t="s">
        <v>26245</v>
      </c>
      <c r="E10836" s="19" t="s">
        <v>34708</v>
      </c>
      <c r="F10836" s="19" t="s">
        <v>36010</v>
      </c>
      <c r="G10836" s="18" t="str">
        <f>"73644"</f>
        <v>73644</v>
      </c>
      <c r="H10836" s="19" t="s">
        <v>36695</v>
      </c>
      <c r="I10836" s="20">
        <v>22.901</v>
      </c>
      <c r="J10836" s="44" t="s">
        <v>8</v>
      </c>
      <c r="K10836" s="23" t="s">
        <v>8</v>
      </c>
      <c r="L10836" s="23" t="s">
        <v>8</v>
      </c>
      <c r="M10836" s="23" t="s">
        <v>8</v>
      </c>
    </row>
    <row r="10837" spans="1:13" s="21" customFormat="1" x14ac:dyDescent="0.25">
      <c r="A10837" s="22" t="s">
        <v>8</v>
      </c>
      <c r="B10837" s="18" t="str">
        <f>"375400"</f>
        <v>375400</v>
      </c>
      <c r="C10837" s="19" t="s">
        <v>10669</v>
      </c>
      <c r="D10837" s="19" t="s">
        <v>26246</v>
      </c>
      <c r="E10837" s="19" t="s">
        <v>34647</v>
      </c>
      <c r="F10837" s="19" t="s">
        <v>36010</v>
      </c>
      <c r="G10837" s="18" t="str">
        <f>"73127"</f>
        <v>73127</v>
      </c>
      <c r="H10837" s="19" t="s">
        <v>36700</v>
      </c>
      <c r="I10837" s="20">
        <v>18.631</v>
      </c>
      <c r="J10837" s="44" t="s">
        <v>8</v>
      </c>
      <c r="K10837" s="23" t="s">
        <v>8</v>
      </c>
      <c r="L10837" s="23" t="s">
        <v>8</v>
      </c>
      <c r="M10837" s="23" t="s">
        <v>8</v>
      </c>
    </row>
    <row r="10838" spans="1:13" s="21" customFormat="1" x14ac:dyDescent="0.25">
      <c r="A10838" s="22" t="s">
        <v>8</v>
      </c>
      <c r="B10838" s="18" t="str">
        <f>"375401"</f>
        <v>375401</v>
      </c>
      <c r="C10838" s="19" t="s">
        <v>10670</v>
      </c>
      <c r="D10838" s="19" t="s">
        <v>26247</v>
      </c>
      <c r="E10838" s="19" t="s">
        <v>32834</v>
      </c>
      <c r="F10838" s="19" t="s">
        <v>36010</v>
      </c>
      <c r="G10838" s="18" t="str">
        <f>"73086"</f>
        <v>73086</v>
      </c>
      <c r="H10838" s="19" t="s">
        <v>32687</v>
      </c>
      <c r="I10838" s="20">
        <v>21.283000000000001</v>
      </c>
      <c r="J10838" s="44" t="s">
        <v>8</v>
      </c>
      <c r="K10838" s="23" t="s">
        <v>8</v>
      </c>
      <c r="L10838" s="23" t="s">
        <v>8</v>
      </c>
      <c r="M10838" s="23" t="s">
        <v>8</v>
      </c>
    </row>
    <row r="10839" spans="1:13" s="21" customFormat="1" x14ac:dyDescent="0.25">
      <c r="A10839" s="22" t="s">
        <v>8</v>
      </c>
      <c r="B10839" s="18" t="str">
        <f>"375402"</f>
        <v>375402</v>
      </c>
      <c r="C10839" s="19" t="s">
        <v>10671</v>
      </c>
      <c r="D10839" s="19" t="s">
        <v>26248</v>
      </c>
      <c r="E10839" s="19" t="s">
        <v>34709</v>
      </c>
      <c r="F10839" s="19" t="s">
        <v>36010</v>
      </c>
      <c r="G10839" s="18" t="str">
        <f>"74631"</f>
        <v>74631</v>
      </c>
      <c r="H10839" s="19" t="s">
        <v>36688</v>
      </c>
      <c r="I10839" s="20">
        <v>19.550999999999998</v>
      </c>
      <c r="J10839" s="44" t="s">
        <v>8</v>
      </c>
      <c r="K10839" s="23" t="s">
        <v>8</v>
      </c>
      <c r="L10839" s="23" t="s">
        <v>8</v>
      </c>
      <c r="M10839" s="23" t="s">
        <v>8</v>
      </c>
    </row>
    <row r="10840" spans="1:13" s="21" customFormat="1" x14ac:dyDescent="0.25">
      <c r="A10840" s="22" t="s">
        <v>8</v>
      </c>
      <c r="B10840" s="18" t="str">
        <f>"375403"</f>
        <v>375403</v>
      </c>
      <c r="C10840" s="19" t="s">
        <v>10672</v>
      </c>
      <c r="D10840" s="19" t="s">
        <v>26249</v>
      </c>
      <c r="E10840" s="19" t="s">
        <v>34710</v>
      </c>
      <c r="F10840" s="19" t="s">
        <v>36010</v>
      </c>
      <c r="G10840" s="18" t="str">
        <f>"74825"</f>
        <v>74825</v>
      </c>
      <c r="H10840" s="19" t="s">
        <v>33556</v>
      </c>
      <c r="I10840" s="20">
        <v>18.119</v>
      </c>
      <c r="J10840" s="44" t="s">
        <v>8</v>
      </c>
      <c r="K10840" s="23" t="s">
        <v>8</v>
      </c>
      <c r="L10840" s="23" t="s">
        <v>8</v>
      </c>
      <c r="M10840" s="23" t="s">
        <v>8</v>
      </c>
    </row>
    <row r="10841" spans="1:13" s="21" customFormat="1" x14ac:dyDescent="0.25">
      <c r="A10841" s="22" t="s">
        <v>8</v>
      </c>
      <c r="B10841" s="18" t="str">
        <f>"375404"</f>
        <v>375404</v>
      </c>
      <c r="C10841" s="19" t="s">
        <v>10673</v>
      </c>
      <c r="D10841" s="19" t="s">
        <v>26250</v>
      </c>
      <c r="E10841" s="19" t="s">
        <v>34625</v>
      </c>
      <c r="F10841" s="19" t="s">
        <v>36010</v>
      </c>
      <c r="G10841" s="18" t="str">
        <f>"73521"</f>
        <v>73521</v>
      </c>
      <c r="H10841" s="19" t="s">
        <v>30816</v>
      </c>
      <c r="I10841" s="20">
        <v>20.802</v>
      </c>
      <c r="J10841" s="44" t="s">
        <v>8</v>
      </c>
      <c r="K10841" s="23" t="s">
        <v>8</v>
      </c>
      <c r="L10841" s="23" t="s">
        <v>8</v>
      </c>
      <c r="M10841" s="23" t="s">
        <v>8</v>
      </c>
    </row>
    <row r="10842" spans="1:13" s="21" customFormat="1" x14ac:dyDescent="0.25">
      <c r="A10842" s="22" t="s">
        <v>8</v>
      </c>
      <c r="B10842" s="18" t="str">
        <f>"375405"</f>
        <v>375405</v>
      </c>
      <c r="C10842" s="19" t="s">
        <v>10674</v>
      </c>
      <c r="D10842" s="19" t="s">
        <v>26251</v>
      </c>
      <c r="E10842" s="19" t="s">
        <v>34711</v>
      </c>
      <c r="F10842" s="19" t="s">
        <v>36010</v>
      </c>
      <c r="G10842" s="18" t="str">
        <f>"73045"</f>
        <v>73045</v>
      </c>
      <c r="H10842" s="19" t="s">
        <v>36700</v>
      </c>
      <c r="I10842" s="20">
        <v>19.396999999999998</v>
      </c>
      <c r="J10842" s="44" t="s">
        <v>8</v>
      </c>
      <c r="K10842" s="23" t="s">
        <v>8</v>
      </c>
      <c r="L10842" s="23" t="s">
        <v>8</v>
      </c>
      <c r="M10842" s="23" t="s">
        <v>8</v>
      </c>
    </row>
    <row r="10843" spans="1:13" s="21" customFormat="1" x14ac:dyDescent="0.25">
      <c r="A10843" s="22" t="s">
        <v>8</v>
      </c>
      <c r="B10843" s="18" t="str">
        <f>"375406"</f>
        <v>375406</v>
      </c>
      <c r="C10843" s="19" t="s">
        <v>10675</v>
      </c>
      <c r="D10843" s="19" t="s">
        <v>26252</v>
      </c>
      <c r="E10843" s="19" t="s">
        <v>34643</v>
      </c>
      <c r="F10843" s="19" t="s">
        <v>36010</v>
      </c>
      <c r="G10843" s="18" t="str">
        <f>"73703"</f>
        <v>73703</v>
      </c>
      <c r="H10843" s="19" t="s">
        <v>36111</v>
      </c>
      <c r="I10843" s="20">
        <v>19.149000000000001</v>
      </c>
      <c r="J10843" s="44" t="s">
        <v>8</v>
      </c>
      <c r="K10843" s="23" t="s">
        <v>8</v>
      </c>
      <c r="L10843" s="23" t="s">
        <v>8</v>
      </c>
      <c r="M10843" s="23" t="s">
        <v>8</v>
      </c>
    </row>
    <row r="10844" spans="1:13" s="21" customFormat="1" x14ac:dyDescent="0.25">
      <c r="A10844" s="22" t="s">
        <v>8</v>
      </c>
      <c r="B10844" s="18" t="str">
        <f>"375408"</f>
        <v>375408</v>
      </c>
      <c r="C10844" s="19" t="s">
        <v>5443</v>
      </c>
      <c r="D10844" s="19" t="s">
        <v>26253</v>
      </c>
      <c r="E10844" s="19" t="s">
        <v>34675</v>
      </c>
      <c r="F10844" s="19" t="s">
        <v>36010</v>
      </c>
      <c r="G10844" s="18" t="str">
        <f>"74066"</f>
        <v>74066</v>
      </c>
      <c r="H10844" s="19" t="s">
        <v>36691</v>
      </c>
      <c r="I10844" s="20">
        <v>22.521000000000001</v>
      </c>
      <c r="J10844" s="44" t="s">
        <v>8</v>
      </c>
      <c r="K10844" s="23" t="s">
        <v>8</v>
      </c>
      <c r="L10844" s="23" t="s">
        <v>8</v>
      </c>
      <c r="M10844" s="23" t="s">
        <v>8</v>
      </c>
    </row>
    <row r="10845" spans="1:13" s="21" customFormat="1" x14ac:dyDescent="0.25">
      <c r="A10845" s="22" t="s">
        <v>8</v>
      </c>
      <c r="B10845" s="18" t="str">
        <f>"375409"</f>
        <v>375409</v>
      </c>
      <c r="C10845" s="19" t="s">
        <v>10676</v>
      </c>
      <c r="D10845" s="19" t="s">
        <v>26254</v>
      </c>
      <c r="E10845" s="19" t="s">
        <v>34712</v>
      </c>
      <c r="F10845" s="19" t="s">
        <v>36010</v>
      </c>
      <c r="G10845" s="18" t="str">
        <f>"73024"</f>
        <v>73024</v>
      </c>
      <c r="H10845" s="19" t="s">
        <v>36706</v>
      </c>
      <c r="I10845" s="20">
        <v>16.963999999999999</v>
      </c>
      <c r="J10845" s="44" t="s">
        <v>8</v>
      </c>
      <c r="K10845" s="23" t="s">
        <v>8</v>
      </c>
      <c r="L10845" s="23" t="s">
        <v>8</v>
      </c>
      <c r="M10845" s="23" t="s">
        <v>8</v>
      </c>
    </row>
    <row r="10846" spans="1:13" s="21" customFormat="1" x14ac:dyDescent="0.25">
      <c r="A10846" s="22" t="s">
        <v>8</v>
      </c>
      <c r="B10846" s="18" t="str">
        <f>"375410"</f>
        <v>375410</v>
      </c>
      <c r="C10846" s="19" t="s">
        <v>10677</v>
      </c>
      <c r="D10846" s="19" t="s">
        <v>26255</v>
      </c>
      <c r="E10846" s="19" t="s">
        <v>34669</v>
      </c>
      <c r="F10846" s="19" t="s">
        <v>36010</v>
      </c>
      <c r="G10846" s="18" t="str">
        <f>"73099"</f>
        <v>73099</v>
      </c>
      <c r="H10846" s="19" t="s">
        <v>35233</v>
      </c>
      <c r="I10846" s="20">
        <v>20.817</v>
      </c>
      <c r="J10846" s="44" t="s">
        <v>8</v>
      </c>
      <c r="K10846" s="23" t="s">
        <v>8</v>
      </c>
      <c r="L10846" s="23" t="s">
        <v>8</v>
      </c>
      <c r="M10846" s="23" t="s">
        <v>8</v>
      </c>
    </row>
    <row r="10847" spans="1:13" s="21" customFormat="1" x14ac:dyDescent="0.25">
      <c r="A10847" s="22" t="s">
        <v>8</v>
      </c>
      <c r="B10847" s="18" t="str">
        <f>"375412"</f>
        <v>375412</v>
      </c>
      <c r="C10847" s="19" t="s">
        <v>10678</v>
      </c>
      <c r="D10847" s="19" t="s">
        <v>26256</v>
      </c>
      <c r="E10847" s="19" t="s">
        <v>34647</v>
      </c>
      <c r="F10847" s="19" t="s">
        <v>36010</v>
      </c>
      <c r="G10847" s="18" t="str">
        <f>"73112"</f>
        <v>73112</v>
      </c>
      <c r="H10847" s="19" t="s">
        <v>36700</v>
      </c>
      <c r="I10847" s="20">
        <v>21.818999999999999</v>
      </c>
      <c r="J10847" s="44" t="s">
        <v>8</v>
      </c>
      <c r="K10847" s="23" t="s">
        <v>8</v>
      </c>
      <c r="L10847" s="23" t="s">
        <v>8</v>
      </c>
      <c r="M10847" s="23" t="s">
        <v>8</v>
      </c>
    </row>
    <row r="10848" spans="1:13" s="21" customFormat="1" x14ac:dyDescent="0.25">
      <c r="A10848" s="22" t="s">
        <v>8</v>
      </c>
      <c r="B10848" s="18" t="str">
        <f>"375414"</f>
        <v>375414</v>
      </c>
      <c r="C10848" s="19" t="s">
        <v>10679</v>
      </c>
      <c r="D10848" s="19" t="s">
        <v>26257</v>
      </c>
      <c r="E10848" s="19" t="s">
        <v>33941</v>
      </c>
      <c r="F10848" s="19" t="s">
        <v>36010</v>
      </c>
      <c r="G10848" s="18" t="str">
        <f>"74436"</f>
        <v>74436</v>
      </c>
      <c r="H10848" s="19" t="s">
        <v>34655</v>
      </c>
      <c r="I10848" s="20">
        <v>19.045000000000002</v>
      </c>
      <c r="J10848" s="44" t="s">
        <v>8</v>
      </c>
      <c r="K10848" s="23" t="s">
        <v>8</v>
      </c>
      <c r="L10848" s="23" t="s">
        <v>8</v>
      </c>
      <c r="M10848" s="23" t="s">
        <v>8</v>
      </c>
    </row>
    <row r="10849" spans="1:13" s="21" customFormat="1" x14ac:dyDescent="0.25">
      <c r="A10849" s="22" t="s">
        <v>8</v>
      </c>
      <c r="B10849" s="18" t="str">
        <f>"375415"</f>
        <v>375415</v>
      </c>
      <c r="C10849" s="19" t="s">
        <v>7431</v>
      </c>
      <c r="D10849" s="19" t="s">
        <v>26258</v>
      </c>
      <c r="E10849" s="19" t="s">
        <v>31501</v>
      </c>
      <c r="F10849" s="19" t="s">
        <v>36010</v>
      </c>
      <c r="G10849" s="18" t="str">
        <f>"74346"</f>
        <v>74346</v>
      </c>
      <c r="H10849" s="19" t="s">
        <v>34462</v>
      </c>
      <c r="I10849" s="20">
        <v>22.042999999999999</v>
      </c>
      <c r="J10849" s="44" t="s">
        <v>8</v>
      </c>
      <c r="K10849" s="23" t="s">
        <v>8</v>
      </c>
      <c r="L10849" s="23" t="s">
        <v>8</v>
      </c>
      <c r="M10849" s="23" t="s">
        <v>8</v>
      </c>
    </row>
    <row r="10850" spans="1:13" s="21" customFormat="1" x14ac:dyDescent="0.25">
      <c r="A10850" s="22" t="s">
        <v>8</v>
      </c>
      <c r="B10850" s="18" t="str">
        <f>"375416"</f>
        <v>375416</v>
      </c>
      <c r="C10850" s="19" t="s">
        <v>10680</v>
      </c>
      <c r="D10850" s="19" t="s">
        <v>26259</v>
      </c>
      <c r="E10850" s="19" t="s">
        <v>34646</v>
      </c>
      <c r="F10850" s="19" t="s">
        <v>36010</v>
      </c>
      <c r="G10850" s="18" t="str">
        <f>"73750"</f>
        <v>73750</v>
      </c>
      <c r="H10850" s="19" t="s">
        <v>34646</v>
      </c>
      <c r="I10850" s="20">
        <v>20.536000000000001</v>
      </c>
      <c r="J10850" s="44" t="s">
        <v>8</v>
      </c>
      <c r="K10850" s="23" t="s">
        <v>8</v>
      </c>
      <c r="L10850" s="23" t="s">
        <v>8</v>
      </c>
      <c r="M10850" s="23" t="s">
        <v>8</v>
      </c>
    </row>
    <row r="10851" spans="1:13" s="21" customFormat="1" x14ac:dyDescent="0.25">
      <c r="A10851" s="22" t="s">
        <v>8</v>
      </c>
      <c r="B10851" s="18" t="str">
        <f>"375417"</f>
        <v>375417</v>
      </c>
      <c r="C10851" s="19" t="s">
        <v>10681</v>
      </c>
      <c r="D10851" s="19" t="s">
        <v>26260</v>
      </c>
      <c r="E10851" s="19" t="s">
        <v>33337</v>
      </c>
      <c r="F10851" s="19" t="s">
        <v>36010</v>
      </c>
      <c r="G10851" s="18" t="str">
        <f>"74074"</f>
        <v>74074</v>
      </c>
      <c r="H10851" s="19" t="s">
        <v>36702</v>
      </c>
      <c r="I10851" s="20">
        <v>20.954000000000001</v>
      </c>
      <c r="J10851" s="44" t="s">
        <v>8</v>
      </c>
      <c r="K10851" s="23" t="s">
        <v>8</v>
      </c>
      <c r="L10851" s="23" t="s">
        <v>8</v>
      </c>
      <c r="M10851" s="23" t="s">
        <v>8</v>
      </c>
    </row>
    <row r="10852" spans="1:13" s="21" customFormat="1" x14ac:dyDescent="0.25">
      <c r="A10852" s="22" t="s">
        <v>8</v>
      </c>
      <c r="B10852" s="18" t="str">
        <f>"375418"</f>
        <v>375418</v>
      </c>
      <c r="C10852" s="19" t="s">
        <v>10682</v>
      </c>
      <c r="D10852" s="19" t="s">
        <v>26261</v>
      </c>
      <c r="E10852" s="19" t="s">
        <v>31595</v>
      </c>
      <c r="F10852" s="19" t="s">
        <v>36010</v>
      </c>
      <c r="G10852" s="18" t="str">
        <f>"74868"</f>
        <v>74868</v>
      </c>
      <c r="H10852" s="19" t="s">
        <v>31595</v>
      </c>
      <c r="I10852" s="20">
        <v>20.768000000000001</v>
      </c>
      <c r="J10852" s="44" t="s">
        <v>8</v>
      </c>
      <c r="K10852" s="23" t="s">
        <v>8</v>
      </c>
      <c r="L10852" s="23" t="s">
        <v>8</v>
      </c>
      <c r="M10852" s="23" t="s">
        <v>8</v>
      </c>
    </row>
    <row r="10853" spans="1:13" s="21" customFormat="1" x14ac:dyDescent="0.25">
      <c r="A10853" s="22" t="s">
        <v>8</v>
      </c>
      <c r="B10853" s="18" t="str">
        <f>"375419"</f>
        <v>375419</v>
      </c>
      <c r="C10853" s="19" t="s">
        <v>10683</v>
      </c>
      <c r="D10853" s="19" t="s">
        <v>26262</v>
      </c>
      <c r="E10853" s="19" t="s">
        <v>34713</v>
      </c>
      <c r="F10853" s="19" t="s">
        <v>36010</v>
      </c>
      <c r="G10853" s="18" t="str">
        <f>"74008"</f>
        <v>74008</v>
      </c>
      <c r="H10853" s="19" t="s">
        <v>34641</v>
      </c>
      <c r="I10853" s="20">
        <v>18.510000000000002</v>
      </c>
      <c r="J10853" s="44" t="s">
        <v>8</v>
      </c>
      <c r="K10853" s="23" t="s">
        <v>8</v>
      </c>
      <c r="L10853" s="23" t="s">
        <v>8</v>
      </c>
      <c r="M10853" s="23" t="s">
        <v>8</v>
      </c>
    </row>
    <row r="10854" spans="1:13" s="21" customFormat="1" x14ac:dyDescent="0.25">
      <c r="A10854" s="22" t="s">
        <v>8</v>
      </c>
      <c r="B10854" s="18" t="str">
        <f>"375420"</f>
        <v>375420</v>
      </c>
      <c r="C10854" s="19" t="s">
        <v>10684</v>
      </c>
      <c r="D10854" s="19" t="s">
        <v>26263</v>
      </c>
      <c r="E10854" s="19" t="s">
        <v>34686</v>
      </c>
      <c r="F10854" s="19" t="s">
        <v>36010</v>
      </c>
      <c r="G10854" s="18" t="str">
        <f>"74859"</f>
        <v>74859</v>
      </c>
      <c r="H10854" s="19" t="s">
        <v>36709</v>
      </c>
      <c r="I10854" s="20">
        <v>18.632999999999999</v>
      </c>
      <c r="J10854" s="44" t="s">
        <v>8</v>
      </c>
      <c r="K10854" s="23" t="s">
        <v>8</v>
      </c>
      <c r="L10854" s="23" t="s">
        <v>8</v>
      </c>
      <c r="M10854" s="23" t="s">
        <v>8</v>
      </c>
    </row>
    <row r="10855" spans="1:13" s="21" customFormat="1" x14ac:dyDescent="0.25">
      <c r="A10855" s="22" t="s">
        <v>8</v>
      </c>
      <c r="B10855" s="18" t="str">
        <f>"375421"</f>
        <v>375421</v>
      </c>
      <c r="C10855" s="19" t="s">
        <v>10685</v>
      </c>
      <c r="D10855" s="19" t="s">
        <v>26264</v>
      </c>
      <c r="E10855" s="19" t="s">
        <v>34641</v>
      </c>
      <c r="F10855" s="19" t="s">
        <v>36010</v>
      </c>
      <c r="G10855" s="18" t="str">
        <f>"74110"</f>
        <v>74110</v>
      </c>
      <c r="H10855" s="19" t="s">
        <v>34641</v>
      </c>
      <c r="I10855" s="20">
        <v>17.218</v>
      </c>
      <c r="J10855" s="44" t="s">
        <v>8</v>
      </c>
      <c r="K10855" s="23" t="s">
        <v>8</v>
      </c>
      <c r="L10855" s="23" t="s">
        <v>8</v>
      </c>
      <c r="M10855" s="23" t="s">
        <v>8</v>
      </c>
    </row>
    <row r="10856" spans="1:13" s="21" customFormat="1" x14ac:dyDescent="0.25">
      <c r="A10856" s="22" t="s">
        <v>8</v>
      </c>
      <c r="B10856" s="18" t="str">
        <f>"375422"</f>
        <v>375422</v>
      </c>
      <c r="C10856" s="19" t="s">
        <v>10686</v>
      </c>
      <c r="D10856" s="19" t="s">
        <v>26265</v>
      </c>
      <c r="E10856" s="19" t="s">
        <v>34647</v>
      </c>
      <c r="F10856" s="19" t="s">
        <v>36010</v>
      </c>
      <c r="G10856" s="18" t="str">
        <f>"73121"</f>
        <v>73121</v>
      </c>
      <c r="H10856" s="19" t="s">
        <v>36700</v>
      </c>
      <c r="I10856" s="20">
        <v>18.478999999999999</v>
      </c>
      <c r="J10856" s="44" t="s">
        <v>8</v>
      </c>
      <c r="K10856" s="23" t="s">
        <v>8</v>
      </c>
      <c r="L10856" s="23" t="s">
        <v>8</v>
      </c>
      <c r="M10856" s="23" t="s">
        <v>8</v>
      </c>
    </row>
    <row r="10857" spans="1:13" s="21" customFormat="1" x14ac:dyDescent="0.25">
      <c r="A10857" s="22" t="s">
        <v>8</v>
      </c>
      <c r="B10857" s="18" t="str">
        <f>"375423"</f>
        <v>375423</v>
      </c>
      <c r="C10857" s="19" t="s">
        <v>10687</v>
      </c>
      <c r="D10857" s="19" t="s">
        <v>26266</v>
      </c>
      <c r="E10857" s="19" t="s">
        <v>34681</v>
      </c>
      <c r="F10857" s="19" t="s">
        <v>36010</v>
      </c>
      <c r="G10857" s="18" t="str">
        <f>"74884"</f>
        <v>74884</v>
      </c>
      <c r="H10857" s="19" t="s">
        <v>31595</v>
      </c>
      <c r="I10857" s="20">
        <v>19.745999999999999</v>
      </c>
      <c r="J10857" s="44" t="s">
        <v>8</v>
      </c>
      <c r="K10857" s="23" t="s">
        <v>8</v>
      </c>
      <c r="L10857" s="23" t="s">
        <v>8</v>
      </c>
      <c r="M10857" s="23" t="s">
        <v>8</v>
      </c>
    </row>
    <row r="10858" spans="1:13" s="21" customFormat="1" x14ac:dyDescent="0.25">
      <c r="A10858" s="22" t="s">
        <v>8</v>
      </c>
      <c r="B10858" s="18" t="str">
        <f>"375424"</f>
        <v>375424</v>
      </c>
      <c r="C10858" s="19" t="s">
        <v>10688</v>
      </c>
      <c r="D10858" s="19" t="s">
        <v>26267</v>
      </c>
      <c r="E10858" s="19" t="s">
        <v>34644</v>
      </c>
      <c r="F10858" s="19" t="s">
        <v>36010</v>
      </c>
      <c r="G10858" s="18" t="str">
        <f>"73533"</f>
        <v>73533</v>
      </c>
      <c r="H10858" s="19" t="s">
        <v>36167</v>
      </c>
      <c r="I10858" s="20">
        <v>20.12</v>
      </c>
      <c r="J10858" s="44" t="s">
        <v>8</v>
      </c>
      <c r="K10858" s="23" t="s">
        <v>8</v>
      </c>
      <c r="L10858" s="23" t="s">
        <v>8</v>
      </c>
      <c r="M10858" s="23" t="s">
        <v>8</v>
      </c>
    </row>
    <row r="10859" spans="1:13" s="21" customFormat="1" x14ac:dyDescent="0.25">
      <c r="A10859" s="22" t="s">
        <v>8</v>
      </c>
      <c r="B10859" s="18" t="str">
        <f>"375425"</f>
        <v>375425</v>
      </c>
      <c r="C10859" s="19" t="s">
        <v>10689</v>
      </c>
      <c r="D10859" s="19" t="s">
        <v>26268</v>
      </c>
      <c r="E10859" s="19" t="s">
        <v>34714</v>
      </c>
      <c r="F10859" s="19" t="s">
        <v>36010</v>
      </c>
      <c r="G10859" s="18" t="str">
        <f>"73055"</f>
        <v>73055</v>
      </c>
      <c r="H10859" s="19" t="s">
        <v>36167</v>
      </c>
      <c r="I10859" s="20">
        <v>18.463999999999999</v>
      </c>
      <c r="J10859" s="44" t="s">
        <v>8</v>
      </c>
      <c r="K10859" s="23" t="s">
        <v>8</v>
      </c>
      <c r="L10859" s="23" t="s">
        <v>8</v>
      </c>
      <c r="M10859" s="23" t="s">
        <v>8</v>
      </c>
    </row>
    <row r="10860" spans="1:13" s="21" customFormat="1" x14ac:dyDescent="0.25">
      <c r="A10860" s="22" t="s">
        <v>8</v>
      </c>
      <c r="B10860" s="18" t="str">
        <f>"375426"</f>
        <v>375426</v>
      </c>
      <c r="C10860" s="19" t="s">
        <v>10690</v>
      </c>
      <c r="D10860" s="19" t="s">
        <v>26269</v>
      </c>
      <c r="E10860" s="19" t="s">
        <v>34715</v>
      </c>
      <c r="F10860" s="19" t="s">
        <v>36010</v>
      </c>
      <c r="G10860" s="18" t="str">
        <f>"73529"</f>
        <v>73529</v>
      </c>
      <c r="H10860" s="19" t="s">
        <v>36167</v>
      </c>
      <c r="I10860" s="20">
        <v>19.856999999999999</v>
      </c>
      <c r="J10860" s="44" t="s">
        <v>8</v>
      </c>
      <c r="K10860" s="23" t="s">
        <v>8</v>
      </c>
      <c r="L10860" s="23" t="s">
        <v>8</v>
      </c>
      <c r="M10860" s="23" t="s">
        <v>8</v>
      </c>
    </row>
    <row r="10861" spans="1:13" s="21" customFormat="1" x14ac:dyDescent="0.25">
      <c r="A10861" s="22" t="s">
        <v>8</v>
      </c>
      <c r="B10861" s="18" t="str">
        <f>"375427"</f>
        <v>375427</v>
      </c>
      <c r="C10861" s="19" t="s">
        <v>10691</v>
      </c>
      <c r="D10861" s="19" t="s">
        <v>26270</v>
      </c>
      <c r="E10861" s="19" t="s">
        <v>1570</v>
      </c>
      <c r="F10861" s="19" t="s">
        <v>36010</v>
      </c>
      <c r="G10861" s="18" t="str">
        <f>"73737"</f>
        <v>73737</v>
      </c>
      <c r="H10861" s="19" t="s">
        <v>36711</v>
      </c>
      <c r="I10861" s="20">
        <v>17.927</v>
      </c>
      <c r="J10861" s="44" t="s">
        <v>8</v>
      </c>
      <c r="K10861" s="23" t="s">
        <v>8</v>
      </c>
      <c r="L10861" s="23" t="s">
        <v>8</v>
      </c>
      <c r="M10861" s="23" t="s">
        <v>8</v>
      </c>
    </row>
    <row r="10862" spans="1:13" s="21" customFormat="1" x14ac:dyDescent="0.25">
      <c r="A10862" s="22" t="s">
        <v>8</v>
      </c>
      <c r="B10862" s="18" t="str">
        <f>"375428"</f>
        <v>375428</v>
      </c>
      <c r="C10862" s="19" t="s">
        <v>10692</v>
      </c>
      <c r="D10862" s="19" t="s">
        <v>26271</v>
      </c>
      <c r="E10862" s="19" t="s">
        <v>34716</v>
      </c>
      <c r="F10862" s="19" t="s">
        <v>36010</v>
      </c>
      <c r="G10862" s="18" t="str">
        <f>"73089"</f>
        <v>73089</v>
      </c>
      <c r="H10862" s="19" t="s">
        <v>36153</v>
      </c>
      <c r="I10862" s="20">
        <v>19.541</v>
      </c>
      <c r="J10862" s="44" t="s">
        <v>8</v>
      </c>
      <c r="K10862" s="23" t="s">
        <v>8</v>
      </c>
      <c r="L10862" s="23" t="s">
        <v>8</v>
      </c>
      <c r="M10862" s="23" t="s">
        <v>8</v>
      </c>
    </row>
    <row r="10863" spans="1:13" s="21" customFormat="1" x14ac:dyDescent="0.25">
      <c r="A10863" s="22" t="s">
        <v>8</v>
      </c>
      <c r="B10863" s="18" t="str">
        <f>"375429"</f>
        <v>375429</v>
      </c>
      <c r="C10863" s="19" t="s">
        <v>10693</v>
      </c>
      <c r="D10863" s="19" t="s">
        <v>26272</v>
      </c>
      <c r="E10863" s="19" t="s">
        <v>34717</v>
      </c>
      <c r="F10863" s="19" t="s">
        <v>36010</v>
      </c>
      <c r="G10863" s="18" t="str">
        <f>"73568"</f>
        <v>73568</v>
      </c>
      <c r="H10863" s="19" t="s">
        <v>36712</v>
      </c>
      <c r="I10863" s="20">
        <v>18.922999999999998</v>
      </c>
      <c r="J10863" s="44" t="s">
        <v>8</v>
      </c>
      <c r="K10863" s="23" t="s">
        <v>8</v>
      </c>
      <c r="L10863" s="23" t="s">
        <v>8</v>
      </c>
      <c r="M10863" s="23" t="s">
        <v>8</v>
      </c>
    </row>
    <row r="10864" spans="1:13" s="21" customFormat="1" x14ac:dyDescent="0.25">
      <c r="A10864" s="22" t="s">
        <v>8</v>
      </c>
      <c r="B10864" s="18" t="str">
        <f>"375431"</f>
        <v>375431</v>
      </c>
      <c r="C10864" s="19" t="s">
        <v>10694</v>
      </c>
      <c r="D10864" s="19" t="s">
        <v>26273</v>
      </c>
      <c r="E10864" s="19" t="s">
        <v>34634</v>
      </c>
      <c r="F10864" s="19" t="s">
        <v>36010</v>
      </c>
      <c r="G10864" s="18" t="str">
        <f>"73505"</f>
        <v>73505</v>
      </c>
      <c r="H10864" s="19" t="s">
        <v>34715</v>
      </c>
      <c r="I10864" s="20">
        <v>18.228000000000002</v>
      </c>
      <c r="J10864" s="44" t="s">
        <v>8</v>
      </c>
      <c r="K10864" s="23" t="s">
        <v>8</v>
      </c>
      <c r="L10864" s="23" t="s">
        <v>8</v>
      </c>
      <c r="M10864" s="23" t="s">
        <v>8</v>
      </c>
    </row>
    <row r="10865" spans="1:13" s="21" customFormat="1" x14ac:dyDescent="0.25">
      <c r="A10865" s="22" t="s">
        <v>8</v>
      </c>
      <c r="B10865" s="18" t="str">
        <f>"375432"</f>
        <v>375432</v>
      </c>
      <c r="C10865" s="19" t="s">
        <v>10695</v>
      </c>
      <c r="D10865" s="19" t="s">
        <v>26274</v>
      </c>
      <c r="E10865" s="19" t="s">
        <v>32597</v>
      </c>
      <c r="F10865" s="19" t="s">
        <v>36010</v>
      </c>
      <c r="G10865" s="18" t="str">
        <f>"74801"</f>
        <v>74801</v>
      </c>
      <c r="H10865" s="19" t="s">
        <v>36300</v>
      </c>
      <c r="I10865" s="20">
        <v>20.809000000000001</v>
      </c>
      <c r="J10865" s="44" t="s">
        <v>8</v>
      </c>
      <c r="K10865" s="23" t="s">
        <v>8</v>
      </c>
      <c r="L10865" s="23" t="s">
        <v>8</v>
      </c>
      <c r="M10865" s="23" t="s">
        <v>8</v>
      </c>
    </row>
    <row r="10866" spans="1:13" s="21" customFormat="1" x14ac:dyDescent="0.25">
      <c r="A10866" s="22" t="s">
        <v>8</v>
      </c>
      <c r="B10866" s="18" t="str">
        <f>"375433"</f>
        <v>375433</v>
      </c>
      <c r="C10866" s="19" t="s">
        <v>10696</v>
      </c>
      <c r="D10866" s="19" t="s">
        <v>26275</v>
      </c>
      <c r="E10866" s="19" t="s">
        <v>34718</v>
      </c>
      <c r="F10866" s="19" t="s">
        <v>36010</v>
      </c>
      <c r="G10866" s="18" t="str">
        <f>"74962"</f>
        <v>74962</v>
      </c>
      <c r="H10866" s="19" t="s">
        <v>36696</v>
      </c>
      <c r="I10866" s="20">
        <v>21.027999999999999</v>
      </c>
      <c r="J10866" s="44" t="s">
        <v>8</v>
      </c>
      <c r="K10866" s="23" t="s">
        <v>8</v>
      </c>
      <c r="L10866" s="23" t="s">
        <v>8</v>
      </c>
      <c r="M10866" s="23" t="s">
        <v>8</v>
      </c>
    </row>
    <row r="10867" spans="1:13" s="21" customFormat="1" x14ac:dyDescent="0.25">
      <c r="A10867" s="22" t="s">
        <v>8</v>
      </c>
      <c r="B10867" s="18" t="str">
        <f>"375434"</f>
        <v>375434</v>
      </c>
      <c r="C10867" s="19" t="s">
        <v>10697</v>
      </c>
      <c r="D10867" s="19" t="s">
        <v>26276</v>
      </c>
      <c r="E10867" s="19" t="s">
        <v>34719</v>
      </c>
      <c r="F10867" s="19" t="s">
        <v>36010</v>
      </c>
      <c r="G10867" s="18" t="str">
        <f>"74937"</f>
        <v>74937</v>
      </c>
      <c r="H10867" s="19" t="s">
        <v>36690</v>
      </c>
      <c r="I10867" s="20">
        <v>20.178999999999998</v>
      </c>
      <c r="J10867" s="44" t="s">
        <v>8</v>
      </c>
      <c r="K10867" s="23" t="s">
        <v>8</v>
      </c>
      <c r="L10867" s="23" t="s">
        <v>8</v>
      </c>
      <c r="M10867" s="23" t="s">
        <v>8</v>
      </c>
    </row>
    <row r="10868" spans="1:13" s="21" customFormat="1" x14ac:dyDescent="0.25">
      <c r="A10868" s="22" t="s">
        <v>8</v>
      </c>
      <c r="B10868" s="18" t="str">
        <f>"375436"</f>
        <v>375436</v>
      </c>
      <c r="C10868" s="19" t="s">
        <v>10698</v>
      </c>
      <c r="D10868" s="19" t="s">
        <v>26277</v>
      </c>
      <c r="E10868" s="19" t="s">
        <v>34700</v>
      </c>
      <c r="F10868" s="19" t="s">
        <v>36010</v>
      </c>
      <c r="G10868" s="18" t="str">
        <f>"73044"</f>
        <v>73044</v>
      </c>
      <c r="H10868" s="19" t="s">
        <v>32373</v>
      </c>
      <c r="I10868" s="20">
        <v>17.417000000000002</v>
      </c>
      <c r="J10868" s="44" t="s">
        <v>8</v>
      </c>
      <c r="K10868" s="23" t="s">
        <v>8</v>
      </c>
      <c r="L10868" s="23" t="s">
        <v>8</v>
      </c>
      <c r="M10868" s="23" t="s">
        <v>8</v>
      </c>
    </row>
    <row r="10869" spans="1:13" s="21" customFormat="1" x14ac:dyDescent="0.25">
      <c r="A10869" s="22" t="s">
        <v>8</v>
      </c>
      <c r="B10869" s="18" t="str">
        <f>"375437"</f>
        <v>375437</v>
      </c>
      <c r="C10869" s="19" t="s">
        <v>10699</v>
      </c>
      <c r="D10869" s="19" t="s">
        <v>26278</v>
      </c>
      <c r="E10869" s="19" t="s">
        <v>33111</v>
      </c>
      <c r="F10869" s="19" t="s">
        <v>36010</v>
      </c>
      <c r="G10869" s="18" t="str">
        <f>"73439"</f>
        <v>73439</v>
      </c>
      <c r="H10869" s="19" t="s">
        <v>31063</v>
      </c>
      <c r="I10869" s="20">
        <v>19.902000000000001</v>
      </c>
      <c r="J10869" s="44" t="s">
        <v>8</v>
      </c>
      <c r="K10869" s="23" t="s">
        <v>8</v>
      </c>
      <c r="L10869" s="23" t="s">
        <v>8</v>
      </c>
      <c r="M10869" s="23" t="s">
        <v>8</v>
      </c>
    </row>
    <row r="10870" spans="1:13" s="21" customFormat="1" x14ac:dyDescent="0.25">
      <c r="A10870" s="22" t="s">
        <v>8</v>
      </c>
      <c r="B10870" s="18" t="str">
        <f>"375438"</f>
        <v>375438</v>
      </c>
      <c r="C10870" s="19" t="s">
        <v>10700</v>
      </c>
      <c r="D10870" s="19" t="s">
        <v>26279</v>
      </c>
      <c r="E10870" s="19" t="s">
        <v>34641</v>
      </c>
      <c r="F10870" s="19" t="s">
        <v>36010</v>
      </c>
      <c r="G10870" s="18" t="str">
        <f>"74135"</f>
        <v>74135</v>
      </c>
      <c r="H10870" s="19" t="s">
        <v>34641</v>
      </c>
      <c r="I10870" s="20">
        <v>19.184999999999999</v>
      </c>
      <c r="J10870" s="44" t="s">
        <v>8</v>
      </c>
      <c r="K10870" s="23" t="s">
        <v>8</v>
      </c>
      <c r="L10870" s="23" t="s">
        <v>8</v>
      </c>
      <c r="M10870" s="23" t="s">
        <v>8</v>
      </c>
    </row>
    <row r="10871" spans="1:13" s="21" customFormat="1" x14ac:dyDescent="0.25">
      <c r="A10871" s="22" t="s">
        <v>8</v>
      </c>
      <c r="B10871" s="18" t="str">
        <f>"375439"</f>
        <v>375439</v>
      </c>
      <c r="C10871" s="19" t="s">
        <v>10701</v>
      </c>
      <c r="D10871" s="19" t="s">
        <v>26280</v>
      </c>
      <c r="E10871" s="19" t="s">
        <v>34623</v>
      </c>
      <c r="F10871" s="19" t="s">
        <v>36010</v>
      </c>
      <c r="G10871" s="18" t="str">
        <f>"74601"</f>
        <v>74601</v>
      </c>
      <c r="H10871" s="19" t="s">
        <v>36688</v>
      </c>
      <c r="I10871" s="20">
        <v>20.292999999999999</v>
      </c>
      <c r="J10871" s="44" t="s">
        <v>8</v>
      </c>
      <c r="K10871" s="23" t="s">
        <v>8</v>
      </c>
      <c r="L10871" s="23" t="s">
        <v>8</v>
      </c>
      <c r="M10871" s="23" t="s">
        <v>8</v>
      </c>
    </row>
    <row r="10872" spans="1:13" s="21" customFormat="1" x14ac:dyDescent="0.25">
      <c r="A10872" s="22" t="s">
        <v>8</v>
      </c>
      <c r="B10872" s="18" t="str">
        <f>"375440"</f>
        <v>375440</v>
      </c>
      <c r="C10872" s="19" t="s">
        <v>10702</v>
      </c>
      <c r="D10872" s="19" t="s">
        <v>26281</v>
      </c>
      <c r="E10872" s="19" t="s">
        <v>34638</v>
      </c>
      <c r="F10872" s="19" t="s">
        <v>36010</v>
      </c>
      <c r="G10872" s="18" t="str">
        <f>"73080"</f>
        <v>73080</v>
      </c>
      <c r="H10872" s="19" t="s">
        <v>36699</v>
      </c>
      <c r="I10872" s="20">
        <v>20.248000000000001</v>
      </c>
      <c r="J10872" s="44" t="s">
        <v>8</v>
      </c>
      <c r="K10872" s="23" t="s">
        <v>8</v>
      </c>
      <c r="L10872" s="23" t="s">
        <v>8</v>
      </c>
      <c r="M10872" s="23" t="s">
        <v>8</v>
      </c>
    </row>
    <row r="10873" spans="1:13" s="21" customFormat="1" x14ac:dyDescent="0.25">
      <c r="A10873" s="22" t="s">
        <v>8</v>
      </c>
      <c r="B10873" s="18" t="str">
        <f>"375443"</f>
        <v>375443</v>
      </c>
      <c r="C10873" s="19" t="s">
        <v>10703</v>
      </c>
      <c r="D10873" s="19" t="s">
        <v>26282</v>
      </c>
      <c r="E10873" s="19" t="s">
        <v>31810</v>
      </c>
      <c r="F10873" s="19" t="s">
        <v>36010</v>
      </c>
      <c r="G10873" s="18" t="str">
        <f>"74020"</f>
        <v>74020</v>
      </c>
      <c r="H10873" s="19" t="s">
        <v>34701</v>
      </c>
      <c r="I10873" s="20">
        <v>18.663</v>
      </c>
      <c r="J10873" s="44" t="s">
        <v>8</v>
      </c>
      <c r="K10873" s="23" t="s">
        <v>8</v>
      </c>
      <c r="L10873" s="23" t="s">
        <v>8</v>
      </c>
      <c r="M10873" s="23" t="s">
        <v>8</v>
      </c>
    </row>
    <row r="10874" spans="1:13" s="21" customFormat="1" x14ac:dyDescent="0.25">
      <c r="A10874" s="22" t="s">
        <v>8</v>
      </c>
      <c r="B10874" s="18" t="str">
        <f>"375446"</f>
        <v>375446</v>
      </c>
      <c r="C10874" s="19" t="s">
        <v>10704</v>
      </c>
      <c r="D10874" s="19" t="s">
        <v>26283</v>
      </c>
      <c r="E10874" s="19" t="s">
        <v>33292</v>
      </c>
      <c r="F10874" s="19" t="s">
        <v>36010</v>
      </c>
      <c r="G10874" s="18" t="str">
        <f>"74873"</f>
        <v>74873</v>
      </c>
      <c r="H10874" s="19" t="s">
        <v>36300</v>
      </c>
      <c r="I10874" s="20">
        <v>19.725000000000001</v>
      </c>
      <c r="J10874" s="44" t="s">
        <v>8</v>
      </c>
      <c r="K10874" s="23" t="s">
        <v>8</v>
      </c>
      <c r="L10874" s="23" t="s">
        <v>8</v>
      </c>
      <c r="M10874" s="23" t="s">
        <v>8</v>
      </c>
    </row>
    <row r="10875" spans="1:13" s="21" customFormat="1" x14ac:dyDescent="0.25">
      <c r="A10875" s="22" t="s">
        <v>8</v>
      </c>
      <c r="B10875" s="18" t="str">
        <f>"375448"</f>
        <v>375448</v>
      </c>
      <c r="C10875" s="19" t="s">
        <v>10705</v>
      </c>
      <c r="D10875" s="19" t="s">
        <v>26284</v>
      </c>
      <c r="E10875" s="19" t="s">
        <v>34649</v>
      </c>
      <c r="F10875" s="19" t="s">
        <v>36010</v>
      </c>
      <c r="G10875" s="18" t="str">
        <f>"73036"</f>
        <v>73036</v>
      </c>
      <c r="H10875" s="19" t="s">
        <v>35233</v>
      </c>
      <c r="I10875" s="20">
        <v>17.574000000000002</v>
      </c>
      <c r="J10875" s="44" t="s">
        <v>8</v>
      </c>
      <c r="K10875" s="23" t="s">
        <v>8</v>
      </c>
      <c r="L10875" s="23" t="s">
        <v>8</v>
      </c>
      <c r="M10875" s="23" t="s">
        <v>8</v>
      </c>
    </row>
    <row r="10876" spans="1:13" s="21" customFormat="1" x14ac:dyDescent="0.25">
      <c r="A10876" s="22" t="s">
        <v>8</v>
      </c>
      <c r="B10876" s="18" t="str">
        <f>"375449"</f>
        <v>375449</v>
      </c>
      <c r="C10876" s="19" t="s">
        <v>10706</v>
      </c>
      <c r="D10876" s="19" t="s">
        <v>26285</v>
      </c>
      <c r="E10876" s="19" t="s">
        <v>34720</v>
      </c>
      <c r="F10876" s="19" t="s">
        <v>36010</v>
      </c>
      <c r="G10876" s="18" t="str">
        <f>"74036"</f>
        <v>74036</v>
      </c>
      <c r="H10876" s="19" t="s">
        <v>30989</v>
      </c>
      <c r="I10876" s="20">
        <v>18.652000000000001</v>
      </c>
      <c r="J10876" s="44" t="s">
        <v>8</v>
      </c>
      <c r="K10876" s="23" t="s">
        <v>8</v>
      </c>
      <c r="L10876" s="23" t="s">
        <v>8</v>
      </c>
      <c r="M10876" s="23" t="s">
        <v>8</v>
      </c>
    </row>
    <row r="10877" spans="1:13" s="21" customFormat="1" x14ac:dyDescent="0.25">
      <c r="A10877" s="22" t="s">
        <v>8</v>
      </c>
      <c r="B10877" s="18" t="str">
        <f>"375451"</f>
        <v>375451</v>
      </c>
      <c r="C10877" s="19" t="s">
        <v>10707</v>
      </c>
      <c r="D10877" s="19" t="s">
        <v>26286</v>
      </c>
      <c r="E10877" s="19" t="s">
        <v>34655</v>
      </c>
      <c r="F10877" s="19" t="s">
        <v>36010</v>
      </c>
      <c r="G10877" s="18" t="str">
        <f>"74403"</f>
        <v>74403</v>
      </c>
      <c r="H10877" s="19" t="s">
        <v>34655</v>
      </c>
      <c r="I10877" s="20">
        <v>20.329999999999998</v>
      </c>
      <c r="J10877" s="44" t="s">
        <v>8</v>
      </c>
      <c r="K10877" s="23" t="s">
        <v>8</v>
      </c>
      <c r="L10877" s="23" t="s">
        <v>8</v>
      </c>
      <c r="M10877" s="23" t="s">
        <v>8</v>
      </c>
    </row>
    <row r="10878" spans="1:13" s="21" customFormat="1" x14ac:dyDescent="0.25">
      <c r="A10878" s="22" t="s">
        <v>8</v>
      </c>
      <c r="B10878" s="18" t="str">
        <f>"375452"</f>
        <v>375452</v>
      </c>
      <c r="C10878" s="19" t="s">
        <v>10708</v>
      </c>
      <c r="D10878" s="19" t="s">
        <v>26287</v>
      </c>
      <c r="E10878" s="19" t="s">
        <v>34647</v>
      </c>
      <c r="F10878" s="19" t="s">
        <v>36010</v>
      </c>
      <c r="G10878" s="18" t="str">
        <f>"73109"</f>
        <v>73109</v>
      </c>
      <c r="H10878" s="19" t="s">
        <v>36700</v>
      </c>
      <c r="I10878" s="20">
        <v>21.835000000000001</v>
      </c>
      <c r="J10878" s="44" t="s">
        <v>8</v>
      </c>
      <c r="K10878" s="23" t="s">
        <v>8</v>
      </c>
      <c r="L10878" s="23" t="s">
        <v>8</v>
      </c>
      <c r="M10878" s="23" t="s">
        <v>8</v>
      </c>
    </row>
    <row r="10879" spans="1:13" s="21" customFormat="1" x14ac:dyDescent="0.25">
      <c r="A10879" s="22" t="s">
        <v>8</v>
      </c>
      <c r="B10879" s="18" t="str">
        <f>"375454"</f>
        <v>375454</v>
      </c>
      <c r="C10879" s="19" t="s">
        <v>10709</v>
      </c>
      <c r="D10879" s="19" t="s">
        <v>26288</v>
      </c>
      <c r="E10879" s="19" t="s">
        <v>34641</v>
      </c>
      <c r="F10879" s="19" t="s">
        <v>36010</v>
      </c>
      <c r="G10879" s="18" t="str">
        <f>"74135"</f>
        <v>74135</v>
      </c>
      <c r="H10879" s="19" t="s">
        <v>34641</v>
      </c>
      <c r="I10879" s="20">
        <v>23.681000000000001</v>
      </c>
      <c r="J10879" s="44" t="s">
        <v>8</v>
      </c>
      <c r="K10879" s="23" t="s">
        <v>8</v>
      </c>
      <c r="L10879" s="23" t="s">
        <v>8</v>
      </c>
      <c r="M10879" s="23" t="s">
        <v>8</v>
      </c>
    </row>
    <row r="10880" spans="1:13" s="21" customFormat="1" x14ac:dyDescent="0.25">
      <c r="A10880" s="22" t="s">
        <v>8</v>
      </c>
      <c r="B10880" s="18" t="str">
        <f>"375457"</f>
        <v>375457</v>
      </c>
      <c r="C10880" s="19" t="s">
        <v>10710</v>
      </c>
      <c r="D10880" s="19" t="s">
        <v>26289</v>
      </c>
      <c r="E10880" s="19" t="s">
        <v>34650</v>
      </c>
      <c r="F10880" s="19" t="s">
        <v>36010</v>
      </c>
      <c r="G10880" s="18" t="str">
        <f>"74344"</f>
        <v>74344</v>
      </c>
      <c r="H10880" s="19" t="s">
        <v>34462</v>
      </c>
      <c r="I10880" s="20">
        <v>18.86</v>
      </c>
      <c r="J10880" s="44" t="s">
        <v>8</v>
      </c>
      <c r="K10880" s="23" t="s">
        <v>8</v>
      </c>
      <c r="L10880" s="23" t="s">
        <v>8</v>
      </c>
      <c r="M10880" s="23" t="s">
        <v>8</v>
      </c>
    </row>
    <row r="10881" spans="1:13" s="21" customFormat="1" x14ac:dyDescent="0.25">
      <c r="A10881" s="22" t="s">
        <v>8</v>
      </c>
      <c r="B10881" s="18" t="str">
        <f>"375458"</f>
        <v>375458</v>
      </c>
      <c r="C10881" s="19" t="s">
        <v>10711</v>
      </c>
      <c r="D10881" s="19" t="s">
        <v>26290</v>
      </c>
      <c r="E10881" s="19" t="s">
        <v>34643</v>
      </c>
      <c r="F10881" s="19" t="s">
        <v>36010</v>
      </c>
      <c r="G10881" s="18" t="str">
        <f>"73701"</f>
        <v>73701</v>
      </c>
      <c r="H10881" s="19" t="s">
        <v>36111</v>
      </c>
      <c r="I10881" s="20">
        <v>18.253</v>
      </c>
      <c r="J10881" s="44" t="s">
        <v>8</v>
      </c>
      <c r="K10881" s="23" t="s">
        <v>8</v>
      </c>
      <c r="L10881" s="23" t="s">
        <v>8</v>
      </c>
      <c r="M10881" s="23" t="s">
        <v>8</v>
      </c>
    </row>
    <row r="10882" spans="1:13" s="21" customFormat="1" x14ac:dyDescent="0.25">
      <c r="A10882" s="22" t="s">
        <v>8</v>
      </c>
      <c r="B10882" s="18" t="str">
        <f>"375459"</f>
        <v>375459</v>
      </c>
      <c r="C10882" s="19" t="s">
        <v>10712</v>
      </c>
      <c r="D10882" s="19" t="s">
        <v>26291</v>
      </c>
      <c r="E10882" s="19" t="s">
        <v>34643</v>
      </c>
      <c r="F10882" s="19" t="s">
        <v>36010</v>
      </c>
      <c r="G10882" s="18" t="str">
        <f>"73701"</f>
        <v>73701</v>
      </c>
      <c r="H10882" s="19" t="s">
        <v>36111</v>
      </c>
      <c r="I10882" s="20">
        <v>18.192</v>
      </c>
      <c r="J10882" s="44" t="s">
        <v>8</v>
      </c>
      <c r="K10882" s="23" t="s">
        <v>8</v>
      </c>
      <c r="L10882" s="23" t="s">
        <v>8</v>
      </c>
      <c r="M10882" s="23" t="s">
        <v>8</v>
      </c>
    </row>
    <row r="10883" spans="1:13" s="21" customFormat="1" x14ac:dyDescent="0.25">
      <c r="A10883" s="22" t="s">
        <v>8</v>
      </c>
      <c r="B10883" s="18" t="str">
        <f>"375460"</f>
        <v>375460</v>
      </c>
      <c r="C10883" s="19" t="s">
        <v>10713</v>
      </c>
      <c r="D10883" s="19" t="s">
        <v>26292</v>
      </c>
      <c r="E10883" s="19" t="s">
        <v>34641</v>
      </c>
      <c r="F10883" s="19" t="s">
        <v>36010</v>
      </c>
      <c r="G10883" s="18" t="str">
        <f>"74136"</f>
        <v>74136</v>
      </c>
      <c r="H10883" s="19" t="s">
        <v>34641</v>
      </c>
      <c r="I10883" s="20">
        <v>20.367000000000001</v>
      </c>
      <c r="J10883" s="44" t="s">
        <v>8</v>
      </c>
      <c r="K10883" s="23" t="s">
        <v>8</v>
      </c>
      <c r="L10883" s="23" t="s">
        <v>8</v>
      </c>
      <c r="M10883" s="23" t="s">
        <v>8</v>
      </c>
    </row>
    <row r="10884" spans="1:13" s="21" customFormat="1" x14ac:dyDescent="0.25">
      <c r="A10884" s="22" t="s">
        <v>8</v>
      </c>
      <c r="B10884" s="18" t="str">
        <f>"375461"</f>
        <v>375461</v>
      </c>
      <c r="C10884" s="19" t="s">
        <v>10714</v>
      </c>
      <c r="D10884" s="19" t="s">
        <v>26293</v>
      </c>
      <c r="E10884" s="19" t="s">
        <v>34652</v>
      </c>
      <c r="F10884" s="19" t="s">
        <v>36010</v>
      </c>
      <c r="G10884" s="18" t="str">
        <f>"73072"</f>
        <v>73072</v>
      </c>
      <c r="H10884" s="19" t="s">
        <v>31810</v>
      </c>
      <c r="I10884" s="20">
        <v>19.021000000000001</v>
      </c>
      <c r="J10884" s="44" t="s">
        <v>8</v>
      </c>
      <c r="K10884" s="23" t="s">
        <v>8</v>
      </c>
      <c r="L10884" s="23" t="s">
        <v>8</v>
      </c>
      <c r="M10884" s="23" t="s">
        <v>8</v>
      </c>
    </row>
    <row r="10885" spans="1:13" s="21" customFormat="1" x14ac:dyDescent="0.25">
      <c r="A10885" s="22" t="s">
        <v>8</v>
      </c>
      <c r="B10885" s="18" t="str">
        <f>"375462"</f>
        <v>375462</v>
      </c>
      <c r="C10885" s="19" t="s">
        <v>10715</v>
      </c>
      <c r="D10885" s="19" t="s">
        <v>26294</v>
      </c>
      <c r="E10885" s="19" t="s">
        <v>34640</v>
      </c>
      <c r="F10885" s="19" t="s">
        <v>36010</v>
      </c>
      <c r="G10885" s="18" t="str">
        <f>"74437"</f>
        <v>74437</v>
      </c>
      <c r="H10885" s="19" t="s">
        <v>34630</v>
      </c>
      <c r="I10885" s="20">
        <v>19.876999999999999</v>
      </c>
      <c r="J10885" s="44" t="s">
        <v>8</v>
      </c>
      <c r="K10885" s="23" t="s">
        <v>8</v>
      </c>
      <c r="L10885" s="23" t="s">
        <v>8</v>
      </c>
      <c r="M10885" s="23" t="s">
        <v>8</v>
      </c>
    </row>
    <row r="10886" spans="1:13" s="21" customFormat="1" x14ac:dyDescent="0.25">
      <c r="A10886" s="22" t="s">
        <v>8</v>
      </c>
      <c r="B10886" s="18" t="str">
        <f>"375463"</f>
        <v>375463</v>
      </c>
      <c r="C10886" s="19" t="s">
        <v>10716</v>
      </c>
      <c r="D10886" s="19" t="s">
        <v>26295</v>
      </c>
      <c r="E10886" s="19" t="s">
        <v>34637</v>
      </c>
      <c r="F10886" s="19" t="s">
        <v>36010</v>
      </c>
      <c r="G10886" s="18" t="str">
        <f>"73075"</f>
        <v>73075</v>
      </c>
      <c r="H10886" s="19" t="s">
        <v>36698</v>
      </c>
      <c r="I10886" s="20">
        <v>18.376000000000001</v>
      </c>
      <c r="J10886" s="44" t="s">
        <v>8</v>
      </c>
      <c r="K10886" s="23" t="s">
        <v>8</v>
      </c>
      <c r="L10886" s="23" t="s">
        <v>8</v>
      </c>
      <c r="M10886" s="23" t="s">
        <v>8</v>
      </c>
    </row>
    <row r="10887" spans="1:13" s="21" customFormat="1" x14ac:dyDescent="0.25">
      <c r="A10887" s="22" t="s">
        <v>8</v>
      </c>
      <c r="B10887" s="18" t="str">
        <f>"375464"</f>
        <v>375464</v>
      </c>
      <c r="C10887" s="19" t="s">
        <v>10717</v>
      </c>
      <c r="D10887" s="19" t="s">
        <v>26296</v>
      </c>
      <c r="E10887" s="19" t="s">
        <v>33466</v>
      </c>
      <c r="F10887" s="19" t="s">
        <v>36010</v>
      </c>
      <c r="G10887" s="18" t="str">
        <f>"74820"</f>
        <v>74820</v>
      </c>
      <c r="H10887" s="19" t="s">
        <v>33556</v>
      </c>
      <c r="I10887" s="20">
        <v>20.152999999999999</v>
      </c>
      <c r="J10887" s="44" t="s">
        <v>8</v>
      </c>
      <c r="K10887" s="23" t="s">
        <v>8</v>
      </c>
      <c r="L10887" s="23" t="s">
        <v>8</v>
      </c>
      <c r="M10887" s="23" t="s">
        <v>8</v>
      </c>
    </row>
    <row r="10888" spans="1:13" s="21" customFormat="1" x14ac:dyDescent="0.25">
      <c r="A10888" s="22" t="s">
        <v>8</v>
      </c>
      <c r="B10888" s="18" t="str">
        <f>"375465"</f>
        <v>375465</v>
      </c>
      <c r="C10888" s="19" t="s">
        <v>10718</v>
      </c>
      <c r="D10888" s="19" t="s">
        <v>26297</v>
      </c>
      <c r="E10888" s="19" t="s">
        <v>34641</v>
      </c>
      <c r="F10888" s="19" t="s">
        <v>36010</v>
      </c>
      <c r="G10888" s="18" t="str">
        <f>"74105"</f>
        <v>74105</v>
      </c>
      <c r="H10888" s="19" t="s">
        <v>34641</v>
      </c>
      <c r="I10888" s="20">
        <v>20.335000000000001</v>
      </c>
      <c r="J10888" s="44" t="s">
        <v>8</v>
      </c>
      <c r="K10888" s="23" t="s">
        <v>8</v>
      </c>
      <c r="L10888" s="23" t="s">
        <v>8</v>
      </c>
      <c r="M10888" s="23" t="s">
        <v>8</v>
      </c>
    </row>
    <row r="10889" spans="1:13" s="21" customFormat="1" x14ac:dyDescent="0.25">
      <c r="A10889" s="22" t="s">
        <v>8</v>
      </c>
      <c r="B10889" s="18" t="str">
        <f>"375466"</f>
        <v>375466</v>
      </c>
      <c r="C10889" s="19" t="s">
        <v>10719</v>
      </c>
      <c r="D10889" s="19" t="s">
        <v>26298</v>
      </c>
      <c r="E10889" s="19" t="s">
        <v>34721</v>
      </c>
      <c r="F10889" s="19" t="s">
        <v>36010</v>
      </c>
      <c r="G10889" s="18" t="str">
        <f>"74030"</f>
        <v>74030</v>
      </c>
      <c r="H10889" s="19" t="s">
        <v>36691</v>
      </c>
      <c r="I10889" s="20">
        <v>21.981000000000002</v>
      </c>
      <c r="J10889" s="44" t="s">
        <v>8</v>
      </c>
      <c r="K10889" s="23" t="s">
        <v>8</v>
      </c>
      <c r="L10889" s="23" t="s">
        <v>8</v>
      </c>
      <c r="M10889" s="23" t="s">
        <v>8</v>
      </c>
    </row>
    <row r="10890" spans="1:13" s="21" customFormat="1" x14ac:dyDescent="0.25">
      <c r="A10890" s="22" t="s">
        <v>8</v>
      </c>
      <c r="B10890" s="18" t="str">
        <f>"375467"</f>
        <v>375467</v>
      </c>
      <c r="C10890" s="19" t="s">
        <v>10720</v>
      </c>
      <c r="D10890" s="19" t="s">
        <v>26299</v>
      </c>
      <c r="E10890" s="19" t="s">
        <v>33392</v>
      </c>
      <c r="F10890" s="19" t="s">
        <v>36010</v>
      </c>
      <c r="G10890" s="18" t="str">
        <f>"74637"</f>
        <v>74637</v>
      </c>
      <c r="H10890" s="19" t="s">
        <v>32356</v>
      </c>
      <c r="I10890" s="20">
        <v>18.164999999999999</v>
      </c>
      <c r="J10890" s="44" t="s">
        <v>8</v>
      </c>
      <c r="K10890" s="23" t="s">
        <v>8</v>
      </c>
      <c r="L10890" s="23" t="s">
        <v>8</v>
      </c>
      <c r="M10890" s="23" t="s">
        <v>8</v>
      </c>
    </row>
    <row r="10891" spans="1:13" s="21" customFormat="1" x14ac:dyDescent="0.25">
      <c r="A10891" s="22" t="s">
        <v>8</v>
      </c>
      <c r="B10891" s="18" t="str">
        <f>"375468"</f>
        <v>375468</v>
      </c>
      <c r="C10891" s="19" t="s">
        <v>10721</v>
      </c>
      <c r="D10891" s="19" t="s">
        <v>26300</v>
      </c>
      <c r="E10891" s="19" t="s">
        <v>34641</v>
      </c>
      <c r="F10891" s="19" t="s">
        <v>36010</v>
      </c>
      <c r="G10891" s="18" t="str">
        <f>"74114"</f>
        <v>74114</v>
      </c>
      <c r="H10891" s="19" t="s">
        <v>34641</v>
      </c>
      <c r="I10891" s="20">
        <v>21.384</v>
      </c>
      <c r="J10891" s="44" t="s">
        <v>8</v>
      </c>
      <c r="K10891" s="23" t="s">
        <v>8</v>
      </c>
      <c r="L10891" s="23" t="s">
        <v>8</v>
      </c>
      <c r="M10891" s="23" t="s">
        <v>8</v>
      </c>
    </row>
    <row r="10892" spans="1:13" s="21" customFormat="1" x14ac:dyDescent="0.25">
      <c r="A10892" s="22" t="s">
        <v>8</v>
      </c>
      <c r="B10892" s="18" t="str">
        <f>"375469"</f>
        <v>375469</v>
      </c>
      <c r="C10892" s="19" t="s">
        <v>10722</v>
      </c>
      <c r="D10892" s="19" t="s">
        <v>26301</v>
      </c>
      <c r="E10892" s="19" t="s">
        <v>34722</v>
      </c>
      <c r="F10892" s="19" t="s">
        <v>36010</v>
      </c>
      <c r="G10892" s="18" t="str">
        <f>"74733"</f>
        <v>74733</v>
      </c>
      <c r="H10892" s="19" t="s">
        <v>34543</v>
      </c>
      <c r="I10892" s="20">
        <v>18.210999999999999</v>
      </c>
      <c r="J10892" s="44" t="s">
        <v>8</v>
      </c>
      <c r="K10892" s="23" t="s">
        <v>8</v>
      </c>
      <c r="L10892" s="23" t="s">
        <v>8</v>
      </c>
      <c r="M10892" s="23" t="s">
        <v>8</v>
      </c>
    </row>
    <row r="10893" spans="1:13" s="21" customFormat="1" x14ac:dyDescent="0.25">
      <c r="A10893" s="22" t="s">
        <v>8</v>
      </c>
      <c r="B10893" s="18" t="str">
        <f>"375470"</f>
        <v>375470</v>
      </c>
      <c r="C10893" s="19" t="s">
        <v>10723</v>
      </c>
      <c r="D10893" s="19" t="s">
        <v>26302</v>
      </c>
      <c r="E10893" s="19" t="s">
        <v>30949</v>
      </c>
      <c r="F10893" s="19" t="s">
        <v>36010</v>
      </c>
      <c r="G10893" s="18" t="str">
        <f>"74834"</f>
        <v>74834</v>
      </c>
      <c r="H10893" s="19" t="s">
        <v>31995</v>
      </c>
      <c r="I10893" s="20">
        <v>19.39</v>
      </c>
      <c r="J10893" s="44" t="s">
        <v>8</v>
      </c>
      <c r="K10893" s="23" t="s">
        <v>8</v>
      </c>
      <c r="L10893" s="23" t="s">
        <v>8</v>
      </c>
      <c r="M10893" s="23" t="s">
        <v>8</v>
      </c>
    </row>
    <row r="10894" spans="1:13" s="21" customFormat="1" x14ac:dyDescent="0.25">
      <c r="A10894" s="22" t="s">
        <v>8</v>
      </c>
      <c r="B10894" s="18" t="str">
        <f>"375471"</f>
        <v>375471</v>
      </c>
      <c r="C10894" s="19" t="s">
        <v>10724</v>
      </c>
      <c r="D10894" s="19" t="s">
        <v>26303</v>
      </c>
      <c r="E10894" s="19" t="s">
        <v>34723</v>
      </c>
      <c r="F10894" s="19" t="s">
        <v>36010</v>
      </c>
      <c r="G10894" s="18" t="str">
        <f>"74023"</f>
        <v>74023</v>
      </c>
      <c r="H10894" s="19" t="s">
        <v>36702</v>
      </c>
      <c r="I10894" s="20">
        <v>18.87</v>
      </c>
      <c r="J10894" s="44" t="s">
        <v>8</v>
      </c>
      <c r="K10894" s="23" t="s">
        <v>8</v>
      </c>
      <c r="L10894" s="23" t="s">
        <v>8</v>
      </c>
      <c r="M10894" s="23" t="s">
        <v>8</v>
      </c>
    </row>
    <row r="10895" spans="1:13" s="21" customFormat="1" x14ac:dyDescent="0.25">
      <c r="A10895" s="22" t="s">
        <v>8</v>
      </c>
      <c r="B10895" s="18" t="str">
        <f>"375472"</f>
        <v>375472</v>
      </c>
      <c r="C10895" s="19" t="s">
        <v>10725</v>
      </c>
      <c r="D10895" s="19" t="s">
        <v>26304</v>
      </c>
      <c r="E10895" s="19" t="s">
        <v>34711</v>
      </c>
      <c r="F10895" s="19" t="s">
        <v>36010</v>
      </c>
      <c r="G10895" s="18" t="str">
        <f>"73045"</f>
        <v>73045</v>
      </c>
      <c r="H10895" s="19" t="s">
        <v>36700</v>
      </c>
      <c r="I10895" s="20">
        <v>19.623000000000001</v>
      </c>
      <c r="J10895" s="44" t="s">
        <v>8</v>
      </c>
      <c r="K10895" s="23" t="s">
        <v>8</v>
      </c>
      <c r="L10895" s="23" t="s">
        <v>8</v>
      </c>
      <c r="M10895" s="23" t="s">
        <v>8</v>
      </c>
    </row>
    <row r="10896" spans="1:13" s="21" customFormat="1" x14ac:dyDescent="0.25">
      <c r="A10896" s="22" t="s">
        <v>8</v>
      </c>
      <c r="B10896" s="18" t="str">
        <f>"375473"</f>
        <v>375473</v>
      </c>
      <c r="C10896" s="19" t="s">
        <v>10726</v>
      </c>
      <c r="D10896" s="19" t="s">
        <v>26305</v>
      </c>
      <c r="E10896" s="19" t="s">
        <v>34647</v>
      </c>
      <c r="F10896" s="19" t="s">
        <v>36010</v>
      </c>
      <c r="G10896" s="18" t="str">
        <f>"73134"</f>
        <v>73134</v>
      </c>
      <c r="H10896" s="19" t="s">
        <v>36700</v>
      </c>
      <c r="I10896" s="20">
        <v>20.029</v>
      </c>
      <c r="J10896" s="44" t="s">
        <v>8</v>
      </c>
      <c r="K10896" s="23" t="s">
        <v>8</v>
      </c>
      <c r="L10896" s="23" t="s">
        <v>8</v>
      </c>
      <c r="M10896" s="23" t="s">
        <v>8</v>
      </c>
    </row>
    <row r="10897" spans="1:13" s="21" customFormat="1" x14ac:dyDescent="0.25">
      <c r="A10897" s="22" t="s">
        <v>8</v>
      </c>
      <c r="B10897" s="18" t="str">
        <f>"375474"</f>
        <v>375474</v>
      </c>
      <c r="C10897" s="19" t="s">
        <v>10727</v>
      </c>
      <c r="D10897" s="19" t="s">
        <v>26306</v>
      </c>
      <c r="E10897" s="19" t="s">
        <v>34695</v>
      </c>
      <c r="F10897" s="19" t="s">
        <v>36010</v>
      </c>
      <c r="G10897" s="18" t="str">
        <f>"74048"</f>
        <v>74048</v>
      </c>
      <c r="H10897" s="19" t="s">
        <v>34695</v>
      </c>
      <c r="I10897" s="20">
        <v>18.602</v>
      </c>
      <c r="J10897" s="44" t="s">
        <v>8</v>
      </c>
      <c r="K10897" s="23" t="s">
        <v>8</v>
      </c>
      <c r="L10897" s="23" t="s">
        <v>8</v>
      </c>
      <c r="M10897" s="23" t="s">
        <v>8</v>
      </c>
    </row>
    <row r="10898" spans="1:13" s="21" customFormat="1" x14ac:dyDescent="0.25">
      <c r="A10898" s="22" t="s">
        <v>8</v>
      </c>
      <c r="B10898" s="18" t="str">
        <f>"375475"</f>
        <v>375475</v>
      </c>
      <c r="C10898" s="19" t="s">
        <v>10728</v>
      </c>
      <c r="D10898" s="19" t="s">
        <v>26307</v>
      </c>
      <c r="E10898" s="19" t="s">
        <v>32436</v>
      </c>
      <c r="F10898" s="19" t="s">
        <v>36010</v>
      </c>
      <c r="G10898" s="18" t="str">
        <f>"73728"</f>
        <v>73728</v>
      </c>
      <c r="H10898" s="19" t="s">
        <v>36713</v>
      </c>
      <c r="I10898" s="20">
        <v>18.491</v>
      </c>
      <c r="J10898" s="44" t="s">
        <v>8</v>
      </c>
      <c r="K10898" s="23" t="s">
        <v>8</v>
      </c>
      <c r="L10898" s="23" t="s">
        <v>8</v>
      </c>
      <c r="M10898" s="23" t="s">
        <v>8</v>
      </c>
    </row>
    <row r="10899" spans="1:13" s="21" customFormat="1" x14ac:dyDescent="0.25">
      <c r="A10899" s="22" t="s">
        <v>8</v>
      </c>
      <c r="B10899" s="18" t="str">
        <f>"375476"</f>
        <v>375476</v>
      </c>
      <c r="C10899" s="19" t="s">
        <v>10729</v>
      </c>
      <c r="D10899" s="19" t="s">
        <v>26308</v>
      </c>
      <c r="E10899" s="19" t="s">
        <v>34641</v>
      </c>
      <c r="F10899" s="19" t="s">
        <v>36010</v>
      </c>
      <c r="G10899" s="18" t="str">
        <f>"74132"</f>
        <v>74132</v>
      </c>
      <c r="H10899" s="19" t="s">
        <v>34641</v>
      </c>
      <c r="I10899" s="20">
        <v>17.457999999999998</v>
      </c>
      <c r="J10899" s="44" t="s">
        <v>8</v>
      </c>
      <c r="K10899" s="23" t="s">
        <v>8</v>
      </c>
      <c r="L10899" s="23" t="s">
        <v>8</v>
      </c>
      <c r="M10899" s="23" t="s">
        <v>8</v>
      </c>
    </row>
    <row r="10900" spans="1:13" s="21" customFormat="1" x14ac:dyDescent="0.25">
      <c r="A10900" s="22" t="s">
        <v>8</v>
      </c>
      <c r="B10900" s="18" t="str">
        <f>"375477"</f>
        <v>375477</v>
      </c>
      <c r="C10900" s="19" t="s">
        <v>10730</v>
      </c>
      <c r="D10900" s="19" t="s">
        <v>26309</v>
      </c>
      <c r="E10900" s="19" t="s">
        <v>34724</v>
      </c>
      <c r="F10900" s="19" t="s">
        <v>36010</v>
      </c>
      <c r="G10900" s="18" t="str">
        <f>"73005"</f>
        <v>73005</v>
      </c>
      <c r="H10900" s="19" t="s">
        <v>36363</v>
      </c>
      <c r="I10900" s="20">
        <v>18.47</v>
      </c>
      <c r="J10900" s="44" t="s">
        <v>8</v>
      </c>
      <c r="K10900" s="23" t="s">
        <v>8</v>
      </c>
      <c r="L10900" s="23" t="s">
        <v>8</v>
      </c>
      <c r="M10900" s="23" t="s">
        <v>8</v>
      </c>
    </row>
    <row r="10901" spans="1:13" s="21" customFormat="1" x14ac:dyDescent="0.25">
      <c r="A10901" s="22" t="s">
        <v>8</v>
      </c>
      <c r="B10901" s="18" t="str">
        <f>"375479"</f>
        <v>375479</v>
      </c>
      <c r="C10901" s="19" t="s">
        <v>10731</v>
      </c>
      <c r="D10901" s="19" t="s">
        <v>26310</v>
      </c>
      <c r="E10901" s="19" t="s">
        <v>34708</v>
      </c>
      <c r="F10901" s="19" t="s">
        <v>36010</v>
      </c>
      <c r="G10901" s="18" t="str">
        <f>"73644"</f>
        <v>73644</v>
      </c>
      <c r="H10901" s="19" t="s">
        <v>36695</v>
      </c>
      <c r="I10901" s="20">
        <v>19.963999999999999</v>
      </c>
      <c r="J10901" s="44" t="s">
        <v>8</v>
      </c>
      <c r="K10901" s="23" t="s">
        <v>8</v>
      </c>
      <c r="L10901" s="23" t="s">
        <v>8</v>
      </c>
      <c r="M10901" s="23" t="s">
        <v>8</v>
      </c>
    </row>
    <row r="10902" spans="1:13" s="21" customFormat="1" x14ac:dyDescent="0.25">
      <c r="A10902" s="22" t="s">
        <v>8</v>
      </c>
      <c r="B10902" s="18" t="str">
        <f>"375480"</f>
        <v>375480</v>
      </c>
      <c r="C10902" s="19" t="s">
        <v>10732</v>
      </c>
      <c r="D10902" s="19" t="s">
        <v>26311</v>
      </c>
      <c r="E10902" s="19" t="s">
        <v>34725</v>
      </c>
      <c r="F10902" s="19" t="s">
        <v>36010</v>
      </c>
      <c r="G10902" s="18" t="str">
        <f>"73028"</f>
        <v>73028</v>
      </c>
      <c r="H10902" s="19" t="s">
        <v>32373</v>
      </c>
      <c r="I10902" s="20">
        <v>20.504000000000001</v>
      </c>
      <c r="J10902" s="44" t="s">
        <v>8</v>
      </c>
      <c r="K10902" s="23" t="s">
        <v>8</v>
      </c>
      <c r="L10902" s="23" t="s">
        <v>8</v>
      </c>
      <c r="M10902" s="23" t="s">
        <v>8</v>
      </c>
    </row>
    <row r="10903" spans="1:13" s="21" customFormat="1" x14ac:dyDescent="0.25">
      <c r="A10903" s="22" t="s">
        <v>8</v>
      </c>
      <c r="B10903" s="18" t="str">
        <f>"375481"</f>
        <v>375481</v>
      </c>
      <c r="C10903" s="19" t="s">
        <v>10733</v>
      </c>
      <c r="D10903" s="19" t="s">
        <v>26312</v>
      </c>
      <c r="E10903" s="19" t="s">
        <v>34726</v>
      </c>
      <c r="F10903" s="19" t="s">
        <v>36010</v>
      </c>
      <c r="G10903" s="18" t="str">
        <f>"74056"</f>
        <v>74056</v>
      </c>
      <c r="H10903" s="19" t="s">
        <v>32356</v>
      </c>
      <c r="I10903" s="20">
        <v>18.344000000000001</v>
      </c>
      <c r="J10903" s="44" t="s">
        <v>8</v>
      </c>
      <c r="K10903" s="23" t="s">
        <v>8</v>
      </c>
      <c r="L10903" s="23" t="s">
        <v>8</v>
      </c>
      <c r="M10903" s="23" t="s">
        <v>8</v>
      </c>
    </row>
    <row r="10904" spans="1:13" s="21" customFormat="1" x14ac:dyDescent="0.25">
      <c r="A10904" s="22" t="s">
        <v>8</v>
      </c>
      <c r="B10904" s="18" t="str">
        <f>"375482"</f>
        <v>375482</v>
      </c>
      <c r="C10904" s="19" t="s">
        <v>10734</v>
      </c>
      <c r="D10904" s="19" t="s">
        <v>26313</v>
      </c>
      <c r="E10904" s="19" t="s">
        <v>34727</v>
      </c>
      <c r="F10904" s="19" t="s">
        <v>36010</v>
      </c>
      <c r="G10904" s="18" t="str">
        <f>"74002"</f>
        <v>74002</v>
      </c>
      <c r="H10904" s="19" t="s">
        <v>32356</v>
      </c>
      <c r="I10904" s="20">
        <v>19.13</v>
      </c>
      <c r="J10904" s="44" t="s">
        <v>8</v>
      </c>
      <c r="K10904" s="23" t="s">
        <v>8</v>
      </c>
      <c r="L10904" s="23" t="s">
        <v>8</v>
      </c>
      <c r="M10904" s="23" t="s">
        <v>8</v>
      </c>
    </row>
    <row r="10905" spans="1:13" s="21" customFormat="1" x14ac:dyDescent="0.25">
      <c r="A10905" s="22" t="s">
        <v>8</v>
      </c>
      <c r="B10905" s="18" t="str">
        <f>"375483"</f>
        <v>375483</v>
      </c>
      <c r="C10905" s="19" t="s">
        <v>10735</v>
      </c>
      <c r="D10905" s="19" t="s">
        <v>26314</v>
      </c>
      <c r="E10905" s="19" t="s">
        <v>34659</v>
      </c>
      <c r="F10905" s="19" t="s">
        <v>36010</v>
      </c>
      <c r="G10905" s="18" t="str">
        <f>"73013"</f>
        <v>73013</v>
      </c>
      <c r="H10905" s="19" t="s">
        <v>36700</v>
      </c>
      <c r="I10905" s="20">
        <v>18.495000000000001</v>
      </c>
      <c r="J10905" s="44" t="s">
        <v>8</v>
      </c>
      <c r="K10905" s="23" t="s">
        <v>8</v>
      </c>
      <c r="L10905" s="23" t="s">
        <v>8</v>
      </c>
      <c r="M10905" s="23" t="s">
        <v>8</v>
      </c>
    </row>
    <row r="10906" spans="1:13" s="21" customFormat="1" x14ac:dyDescent="0.25">
      <c r="A10906" s="22" t="s">
        <v>8</v>
      </c>
      <c r="B10906" s="18" t="str">
        <f>"375485"</f>
        <v>375485</v>
      </c>
      <c r="C10906" s="19" t="s">
        <v>10736</v>
      </c>
      <c r="D10906" s="19" t="s">
        <v>26315</v>
      </c>
      <c r="E10906" s="19" t="s">
        <v>34728</v>
      </c>
      <c r="F10906" s="19" t="s">
        <v>36010</v>
      </c>
      <c r="G10906" s="18" t="str">
        <f>"73742"</f>
        <v>73742</v>
      </c>
      <c r="H10906" s="19" t="s">
        <v>34646</v>
      </c>
      <c r="I10906" s="20">
        <v>17.89</v>
      </c>
      <c r="J10906" s="44" t="s">
        <v>8</v>
      </c>
      <c r="K10906" s="23" t="s">
        <v>8</v>
      </c>
      <c r="L10906" s="23" t="s">
        <v>8</v>
      </c>
      <c r="M10906" s="23" t="s">
        <v>8</v>
      </c>
    </row>
    <row r="10907" spans="1:13" s="21" customFormat="1" x14ac:dyDescent="0.25">
      <c r="A10907" s="22" t="s">
        <v>8</v>
      </c>
      <c r="B10907" s="18" t="str">
        <f>"375486"</f>
        <v>375486</v>
      </c>
      <c r="C10907" s="19" t="s">
        <v>10737</v>
      </c>
      <c r="D10907" s="19" t="s">
        <v>26316</v>
      </c>
      <c r="E10907" s="19" t="s">
        <v>34630</v>
      </c>
      <c r="F10907" s="19" t="s">
        <v>36010</v>
      </c>
      <c r="G10907" s="18" t="str">
        <f>"74447"</f>
        <v>74447</v>
      </c>
      <c r="H10907" s="19" t="s">
        <v>34630</v>
      </c>
      <c r="I10907" s="20">
        <v>19.588000000000001</v>
      </c>
      <c r="J10907" s="44" t="s">
        <v>8</v>
      </c>
      <c r="K10907" s="23" t="s">
        <v>8</v>
      </c>
      <c r="L10907" s="23" t="s">
        <v>8</v>
      </c>
      <c r="M10907" s="23" t="s">
        <v>8</v>
      </c>
    </row>
    <row r="10908" spans="1:13" s="21" customFormat="1" x14ac:dyDescent="0.25">
      <c r="A10908" s="22" t="s">
        <v>8</v>
      </c>
      <c r="B10908" s="18" t="str">
        <f>"375487"</f>
        <v>375487</v>
      </c>
      <c r="C10908" s="19" t="s">
        <v>10738</v>
      </c>
      <c r="D10908" s="19" t="s">
        <v>26317</v>
      </c>
      <c r="E10908" s="19" t="s">
        <v>34642</v>
      </c>
      <c r="F10908" s="19" t="s">
        <v>36010</v>
      </c>
      <c r="G10908" s="18" t="str">
        <f>"74501"</f>
        <v>74501</v>
      </c>
      <c r="H10908" s="19" t="s">
        <v>31245</v>
      </c>
      <c r="I10908" s="20">
        <v>20.704999999999998</v>
      </c>
      <c r="J10908" s="44" t="s">
        <v>8</v>
      </c>
      <c r="K10908" s="23" t="s">
        <v>8</v>
      </c>
      <c r="L10908" s="23" t="s">
        <v>8</v>
      </c>
      <c r="M10908" s="23" t="s">
        <v>8</v>
      </c>
    </row>
    <row r="10909" spans="1:13" s="21" customFormat="1" x14ac:dyDescent="0.25">
      <c r="A10909" s="22" t="s">
        <v>8</v>
      </c>
      <c r="B10909" s="18" t="str">
        <f>"375488"</f>
        <v>375488</v>
      </c>
      <c r="C10909" s="19" t="s">
        <v>10739</v>
      </c>
      <c r="D10909" s="19" t="s">
        <v>26318</v>
      </c>
      <c r="E10909" s="19" t="s">
        <v>34643</v>
      </c>
      <c r="F10909" s="19" t="s">
        <v>36010</v>
      </c>
      <c r="G10909" s="18" t="str">
        <f>"73706"</f>
        <v>73706</v>
      </c>
      <c r="H10909" s="19" t="s">
        <v>36111</v>
      </c>
      <c r="I10909" s="20">
        <v>18.062999999999999</v>
      </c>
      <c r="J10909" s="44" t="s">
        <v>8</v>
      </c>
      <c r="K10909" s="23" t="s">
        <v>8</v>
      </c>
      <c r="L10909" s="23" t="s">
        <v>8</v>
      </c>
      <c r="M10909" s="23" t="s">
        <v>8</v>
      </c>
    </row>
    <row r="10910" spans="1:13" s="21" customFormat="1" x14ac:dyDescent="0.25">
      <c r="A10910" s="22" t="s">
        <v>8</v>
      </c>
      <c r="B10910" s="18" t="str">
        <f>"375489"</f>
        <v>375489</v>
      </c>
      <c r="C10910" s="19" t="s">
        <v>10740</v>
      </c>
      <c r="D10910" s="19" t="s">
        <v>26319</v>
      </c>
      <c r="E10910" s="19" t="s">
        <v>34641</v>
      </c>
      <c r="F10910" s="19" t="s">
        <v>36010</v>
      </c>
      <c r="G10910" s="18" t="str">
        <f>"74114"</f>
        <v>74114</v>
      </c>
      <c r="H10910" s="19" t="s">
        <v>34641</v>
      </c>
      <c r="I10910" s="20">
        <v>22.163</v>
      </c>
      <c r="J10910" s="44" t="s">
        <v>8</v>
      </c>
      <c r="K10910" s="23" t="s">
        <v>8</v>
      </c>
      <c r="L10910" s="23" t="s">
        <v>8</v>
      </c>
      <c r="M10910" s="23" t="s">
        <v>8</v>
      </c>
    </row>
    <row r="10911" spans="1:13" s="21" customFormat="1" x14ac:dyDescent="0.25">
      <c r="A10911" s="22" t="s">
        <v>8</v>
      </c>
      <c r="B10911" s="18" t="str">
        <f>"375490"</f>
        <v>375490</v>
      </c>
      <c r="C10911" s="19" t="s">
        <v>10741</v>
      </c>
      <c r="D10911" s="19" t="s">
        <v>26320</v>
      </c>
      <c r="E10911" s="19" t="s">
        <v>34714</v>
      </c>
      <c r="F10911" s="19" t="s">
        <v>36010</v>
      </c>
      <c r="G10911" s="18" t="str">
        <f>"73055"</f>
        <v>73055</v>
      </c>
      <c r="H10911" s="19" t="s">
        <v>36167</v>
      </c>
      <c r="I10911" s="20">
        <v>19.018999999999998</v>
      </c>
      <c r="J10911" s="44" t="s">
        <v>8</v>
      </c>
      <c r="K10911" s="23" t="s">
        <v>8</v>
      </c>
      <c r="L10911" s="23" t="s">
        <v>8</v>
      </c>
      <c r="M10911" s="23" t="s">
        <v>8</v>
      </c>
    </row>
    <row r="10912" spans="1:13" s="21" customFormat="1" x14ac:dyDescent="0.25">
      <c r="A10912" s="22" t="s">
        <v>8</v>
      </c>
      <c r="B10912" s="18" t="str">
        <f>"375491"</f>
        <v>375491</v>
      </c>
      <c r="C10912" s="19" t="s">
        <v>10742</v>
      </c>
      <c r="D10912" s="19" t="s">
        <v>26321</v>
      </c>
      <c r="E10912" s="19" t="s">
        <v>32692</v>
      </c>
      <c r="F10912" s="19" t="s">
        <v>36010</v>
      </c>
      <c r="G10912" s="18" t="str">
        <f>"73051"</f>
        <v>73051</v>
      </c>
      <c r="H10912" s="19" t="s">
        <v>31810</v>
      </c>
      <c r="I10912" s="20">
        <v>18.306999999999999</v>
      </c>
      <c r="J10912" s="44" t="s">
        <v>8</v>
      </c>
      <c r="K10912" s="23" t="s">
        <v>8</v>
      </c>
      <c r="L10912" s="23" t="s">
        <v>8</v>
      </c>
      <c r="M10912" s="23" t="s">
        <v>8</v>
      </c>
    </row>
    <row r="10913" spans="1:13" s="21" customFormat="1" x14ac:dyDescent="0.25">
      <c r="A10913" s="22" t="s">
        <v>8</v>
      </c>
      <c r="B10913" s="18" t="str">
        <f>"375492"</f>
        <v>375492</v>
      </c>
      <c r="C10913" s="19" t="s">
        <v>10743</v>
      </c>
      <c r="D10913" s="19" t="s">
        <v>26322</v>
      </c>
      <c r="E10913" s="19" t="s">
        <v>34705</v>
      </c>
      <c r="F10913" s="19" t="s">
        <v>36010</v>
      </c>
      <c r="G10913" s="18" t="str">
        <f>"74743"</f>
        <v>74743</v>
      </c>
      <c r="H10913" s="19" t="s">
        <v>36042</v>
      </c>
      <c r="I10913" s="20">
        <v>19.815000000000001</v>
      </c>
      <c r="J10913" s="44" t="s">
        <v>8</v>
      </c>
      <c r="K10913" s="23" t="s">
        <v>8</v>
      </c>
      <c r="L10913" s="23" t="s">
        <v>8</v>
      </c>
      <c r="M10913" s="23" t="s">
        <v>8</v>
      </c>
    </row>
    <row r="10914" spans="1:13" s="21" customFormat="1" x14ac:dyDescent="0.25">
      <c r="A10914" s="22" t="s">
        <v>8</v>
      </c>
      <c r="B10914" s="18" t="str">
        <f>"375493"</f>
        <v>375493</v>
      </c>
      <c r="C10914" s="19" t="s">
        <v>10744</v>
      </c>
      <c r="D10914" s="19" t="s">
        <v>26323</v>
      </c>
      <c r="E10914" s="19" t="s">
        <v>34631</v>
      </c>
      <c r="F10914" s="19" t="s">
        <v>36010</v>
      </c>
      <c r="G10914" s="18" t="str">
        <f>"74301"</f>
        <v>74301</v>
      </c>
      <c r="H10914" s="19" t="s">
        <v>31388</v>
      </c>
      <c r="I10914" s="20">
        <v>20.286000000000001</v>
      </c>
      <c r="J10914" s="44" t="s">
        <v>8</v>
      </c>
      <c r="K10914" s="23" t="s">
        <v>8</v>
      </c>
      <c r="L10914" s="23" t="s">
        <v>8</v>
      </c>
      <c r="M10914" s="23" t="s">
        <v>8</v>
      </c>
    </row>
    <row r="10915" spans="1:13" s="21" customFormat="1" x14ac:dyDescent="0.25">
      <c r="A10915" s="22" t="s">
        <v>8</v>
      </c>
      <c r="B10915" s="18" t="str">
        <f>"375494"</f>
        <v>375494</v>
      </c>
      <c r="C10915" s="19" t="s">
        <v>10745</v>
      </c>
      <c r="D10915" s="19" t="s">
        <v>26324</v>
      </c>
      <c r="E10915" s="19" t="s">
        <v>34630</v>
      </c>
      <c r="F10915" s="19" t="s">
        <v>36010</v>
      </c>
      <c r="G10915" s="18" t="str">
        <f>"74447"</f>
        <v>74447</v>
      </c>
      <c r="H10915" s="19" t="s">
        <v>34630</v>
      </c>
      <c r="I10915" s="20">
        <v>20.923999999999999</v>
      </c>
      <c r="J10915" s="44" t="s">
        <v>8</v>
      </c>
      <c r="K10915" s="23" t="s">
        <v>8</v>
      </c>
      <c r="L10915" s="23" t="s">
        <v>8</v>
      </c>
      <c r="M10915" s="23" t="s">
        <v>8</v>
      </c>
    </row>
    <row r="10916" spans="1:13" s="21" customFormat="1" x14ac:dyDescent="0.25">
      <c r="A10916" s="22" t="s">
        <v>8</v>
      </c>
      <c r="B10916" s="18" t="str">
        <f>"375495"</f>
        <v>375495</v>
      </c>
      <c r="C10916" s="19" t="s">
        <v>10746</v>
      </c>
      <c r="D10916" s="19" t="s">
        <v>26325</v>
      </c>
      <c r="E10916" s="19" t="s">
        <v>34644</v>
      </c>
      <c r="F10916" s="19" t="s">
        <v>36010</v>
      </c>
      <c r="G10916" s="18" t="str">
        <f>"73533"</f>
        <v>73533</v>
      </c>
      <c r="H10916" s="19" t="s">
        <v>36167</v>
      </c>
      <c r="I10916" s="20">
        <v>18.751999999999999</v>
      </c>
      <c r="J10916" s="44" t="s">
        <v>8</v>
      </c>
      <c r="K10916" s="23" t="s">
        <v>8</v>
      </c>
      <c r="L10916" s="23" t="s">
        <v>8</v>
      </c>
      <c r="M10916" s="23" t="s">
        <v>8</v>
      </c>
    </row>
    <row r="10917" spans="1:13" s="21" customFormat="1" x14ac:dyDescent="0.25">
      <c r="A10917" s="22" t="s">
        <v>8</v>
      </c>
      <c r="B10917" s="18" t="str">
        <f>"375496"</f>
        <v>375496</v>
      </c>
      <c r="C10917" s="19" t="s">
        <v>10747</v>
      </c>
      <c r="D10917" s="19" t="s">
        <v>26326</v>
      </c>
      <c r="E10917" s="19" t="s">
        <v>34729</v>
      </c>
      <c r="F10917" s="19" t="s">
        <v>36010</v>
      </c>
      <c r="G10917" s="18" t="str">
        <f>"73048"</f>
        <v>73048</v>
      </c>
      <c r="H10917" s="19" t="s">
        <v>36363</v>
      </c>
      <c r="I10917" s="20">
        <v>18.015000000000001</v>
      </c>
      <c r="J10917" s="44" t="s">
        <v>8</v>
      </c>
      <c r="K10917" s="23" t="s">
        <v>8</v>
      </c>
      <c r="L10917" s="23" t="s">
        <v>8</v>
      </c>
      <c r="M10917" s="23" t="s">
        <v>8</v>
      </c>
    </row>
    <row r="10918" spans="1:13" s="21" customFormat="1" x14ac:dyDescent="0.25">
      <c r="A10918" s="22" t="s">
        <v>8</v>
      </c>
      <c r="B10918" s="18" t="str">
        <f>"375497"</f>
        <v>375497</v>
      </c>
      <c r="C10918" s="19" t="s">
        <v>10748</v>
      </c>
      <c r="D10918" s="19" t="s">
        <v>26327</v>
      </c>
      <c r="E10918" s="19" t="s">
        <v>34730</v>
      </c>
      <c r="F10918" s="19" t="s">
        <v>36010</v>
      </c>
      <c r="G10918" s="18" t="str">
        <f>"74462"</f>
        <v>74462</v>
      </c>
      <c r="H10918" s="19" t="s">
        <v>33941</v>
      </c>
      <c r="I10918" s="20">
        <v>19.177</v>
      </c>
      <c r="J10918" s="44" t="s">
        <v>8</v>
      </c>
      <c r="K10918" s="23" t="s">
        <v>8</v>
      </c>
      <c r="L10918" s="23" t="s">
        <v>8</v>
      </c>
      <c r="M10918" s="23" t="s">
        <v>8</v>
      </c>
    </row>
    <row r="10919" spans="1:13" s="21" customFormat="1" x14ac:dyDescent="0.25">
      <c r="A10919" s="22" t="s">
        <v>8</v>
      </c>
      <c r="B10919" s="18" t="str">
        <f>"375498"</f>
        <v>375498</v>
      </c>
      <c r="C10919" s="19" t="s">
        <v>10749</v>
      </c>
      <c r="D10919" s="19" t="s">
        <v>26328</v>
      </c>
      <c r="E10919" s="19" t="s">
        <v>34659</v>
      </c>
      <c r="F10919" s="19" t="s">
        <v>36010</v>
      </c>
      <c r="G10919" s="18" t="str">
        <f>"73034"</f>
        <v>73034</v>
      </c>
      <c r="H10919" s="19" t="s">
        <v>36700</v>
      </c>
      <c r="I10919" s="20">
        <v>18.731999999999999</v>
      </c>
      <c r="J10919" s="44" t="s">
        <v>8</v>
      </c>
      <c r="K10919" s="23" t="s">
        <v>8</v>
      </c>
      <c r="L10919" s="23" t="s">
        <v>8</v>
      </c>
      <c r="M10919" s="23" t="s">
        <v>8</v>
      </c>
    </row>
    <row r="10920" spans="1:13" s="21" customFormat="1" x14ac:dyDescent="0.25">
      <c r="A10920" s="22" t="s">
        <v>8</v>
      </c>
      <c r="B10920" s="18" t="str">
        <f>"375499"</f>
        <v>375499</v>
      </c>
      <c r="C10920" s="19" t="s">
        <v>10750</v>
      </c>
      <c r="D10920" s="19" t="s">
        <v>26329</v>
      </c>
      <c r="E10920" s="19" t="s">
        <v>34626</v>
      </c>
      <c r="F10920" s="19" t="s">
        <v>36010</v>
      </c>
      <c r="G10920" s="18" t="str">
        <f>"74017"</f>
        <v>74017</v>
      </c>
      <c r="H10920" s="19" t="s">
        <v>30989</v>
      </c>
      <c r="I10920" s="20">
        <v>18.079999999999998</v>
      </c>
      <c r="J10920" s="44" t="s">
        <v>8</v>
      </c>
      <c r="K10920" s="23" t="s">
        <v>8</v>
      </c>
      <c r="L10920" s="23" t="s">
        <v>8</v>
      </c>
      <c r="M10920" s="23" t="s">
        <v>8</v>
      </c>
    </row>
    <row r="10921" spans="1:13" s="21" customFormat="1" x14ac:dyDescent="0.25">
      <c r="A10921" s="22" t="s">
        <v>8</v>
      </c>
      <c r="B10921" s="18" t="str">
        <f>"375501"</f>
        <v>375501</v>
      </c>
      <c r="C10921" s="19" t="s">
        <v>10751</v>
      </c>
      <c r="D10921" s="19" t="s">
        <v>26330</v>
      </c>
      <c r="E10921" s="19" t="s">
        <v>34658</v>
      </c>
      <c r="F10921" s="19" t="s">
        <v>36010</v>
      </c>
      <c r="G10921" s="18" t="str">
        <f>"74029"</f>
        <v>74029</v>
      </c>
      <c r="H10921" s="19" t="s">
        <v>31500</v>
      </c>
      <c r="I10921" s="20">
        <v>20.614999999999998</v>
      </c>
      <c r="J10921" s="44" t="s">
        <v>8</v>
      </c>
      <c r="K10921" s="23" t="s">
        <v>8</v>
      </c>
      <c r="L10921" s="23" t="s">
        <v>8</v>
      </c>
      <c r="M10921" s="23" t="s">
        <v>8</v>
      </c>
    </row>
    <row r="10922" spans="1:13" s="21" customFormat="1" x14ac:dyDescent="0.25">
      <c r="A10922" s="22" t="s">
        <v>8</v>
      </c>
      <c r="B10922" s="18" t="str">
        <f>"375502"</f>
        <v>375502</v>
      </c>
      <c r="C10922" s="19" t="s">
        <v>1006</v>
      </c>
      <c r="D10922" s="19" t="s">
        <v>26331</v>
      </c>
      <c r="E10922" s="19" t="s">
        <v>34647</v>
      </c>
      <c r="F10922" s="19" t="s">
        <v>36010</v>
      </c>
      <c r="G10922" s="18" t="str">
        <f>"73122"</f>
        <v>73122</v>
      </c>
      <c r="H10922" s="19" t="s">
        <v>36700</v>
      </c>
      <c r="I10922" s="20">
        <v>18.094999999999999</v>
      </c>
      <c r="J10922" s="44" t="s">
        <v>8</v>
      </c>
      <c r="K10922" s="23" t="s">
        <v>8</v>
      </c>
      <c r="L10922" s="23" t="s">
        <v>8</v>
      </c>
      <c r="M10922" s="23" t="s">
        <v>8</v>
      </c>
    </row>
    <row r="10923" spans="1:13" s="21" customFormat="1" x14ac:dyDescent="0.25">
      <c r="A10923" s="22" t="s">
        <v>8</v>
      </c>
      <c r="B10923" s="18" t="str">
        <f>"375504"</f>
        <v>375504</v>
      </c>
      <c r="C10923" s="19" t="s">
        <v>10752</v>
      </c>
      <c r="D10923" s="19" t="s">
        <v>26332</v>
      </c>
      <c r="E10923" s="19" t="s">
        <v>30896</v>
      </c>
      <c r="F10923" s="19" t="s">
        <v>36010</v>
      </c>
      <c r="G10923" s="18" t="str">
        <f>"74021"</f>
        <v>74021</v>
      </c>
      <c r="H10923" s="19" t="s">
        <v>34641</v>
      </c>
      <c r="I10923" s="20">
        <v>21.956</v>
      </c>
      <c r="J10923" s="44" t="s">
        <v>8</v>
      </c>
      <c r="K10923" s="23" t="s">
        <v>8</v>
      </c>
      <c r="L10923" s="23" t="s">
        <v>8</v>
      </c>
      <c r="M10923" s="23" t="s">
        <v>8</v>
      </c>
    </row>
    <row r="10924" spans="1:13" s="21" customFormat="1" x14ac:dyDescent="0.25">
      <c r="A10924" s="22" t="s">
        <v>8</v>
      </c>
      <c r="B10924" s="18" t="str">
        <f>"375505"</f>
        <v>375505</v>
      </c>
      <c r="C10924" s="19" t="s">
        <v>10753</v>
      </c>
      <c r="D10924" s="19" t="s">
        <v>26333</v>
      </c>
      <c r="E10924" s="19" t="s">
        <v>34625</v>
      </c>
      <c r="F10924" s="19" t="s">
        <v>36010</v>
      </c>
      <c r="G10924" s="18" t="str">
        <f>"73521"</f>
        <v>73521</v>
      </c>
      <c r="H10924" s="19" t="s">
        <v>30816</v>
      </c>
      <c r="I10924" s="20">
        <v>24.024000000000001</v>
      </c>
      <c r="J10924" s="44" t="s">
        <v>8</v>
      </c>
      <c r="K10924" s="23" t="s">
        <v>8</v>
      </c>
      <c r="L10924" s="23" t="s">
        <v>8</v>
      </c>
      <c r="M10924" s="23" t="s">
        <v>8</v>
      </c>
    </row>
    <row r="10925" spans="1:13" s="21" customFormat="1" x14ac:dyDescent="0.25">
      <c r="A10925" s="22" t="s">
        <v>8</v>
      </c>
      <c r="B10925" s="18" t="str">
        <f>"375506"</f>
        <v>375506</v>
      </c>
      <c r="C10925" s="19" t="s">
        <v>10754</v>
      </c>
      <c r="D10925" s="19" t="s">
        <v>26334</v>
      </c>
      <c r="E10925" s="19" t="s">
        <v>34731</v>
      </c>
      <c r="F10925" s="19" t="s">
        <v>36010</v>
      </c>
      <c r="G10925" s="18" t="str">
        <f>"74561"</f>
        <v>74561</v>
      </c>
      <c r="H10925" s="19" t="s">
        <v>31245</v>
      </c>
      <c r="I10925" s="20">
        <v>18.974</v>
      </c>
      <c r="J10925" s="44" t="s">
        <v>8</v>
      </c>
      <c r="K10925" s="23" t="s">
        <v>8</v>
      </c>
      <c r="L10925" s="23" t="s">
        <v>8</v>
      </c>
      <c r="M10925" s="23" t="s">
        <v>8</v>
      </c>
    </row>
    <row r="10926" spans="1:13" s="21" customFormat="1" x14ac:dyDescent="0.25">
      <c r="A10926" s="22" t="s">
        <v>8</v>
      </c>
      <c r="B10926" s="18" t="str">
        <f>"375508"</f>
        <v>375508</v>
      </c>
      <c r="C10926" s="19" t="s">
        <v>10755</v>
      </c>
      <c r="D10926" s="19" t="s">
        <v>26335</v>
      </c>
      <c r="E10926" s="19" t="s">
        <v>32597</v>
      </c>
      <c r="F10926" s="19" t="s">
        <v>36010</v>
      </c>
      <c r="G10926" s="18" t="str">
        <f>"74804"</f>
        <v>74804</v>
      </c>
      <c r="H10926" s="19" t="s">
        <v>36300</v>
      </c>
      <c r="I10926" s="20">
        <v>22.594000000000001</v>
      </c>
      <c r="J10926" s="44" t="s">
        <v>8</v>
      </c>
      <c r="K10926" s="23" t="s">
        <v>8</v>
      </c>
      <c r="L10926" s="23" t="s">
        <v>8</v>
      </c>
      <c r="M10926" s="23" t="s">
        <v>8</v>
      </c>
    </row>
    <row r="10927" spans="1:13" s="21" customFormat="1" x14ac:dyDescent="0.25">
      <c r="A10927" s="22" t="s">
        <v>8</v>
      </c>
      <c r="B10927" s="18" t="str">
        <f>"375510"</f>
        <v>375510</v>
      </c>
      <c r="C10927" s="19" t="s">
        <v>10756</v>
      </c>
      <c r="D10927" s="19" t="s">
        <v>26336</v>
      </c>
      <c r="E10927" s="19" t="s">
        <v>34634</v>
      </c>
      <c r="F10927" s="19" t="s">
        <v>36010</v>
      </c>
      <c r="G10927" s="18" t="str">
        <f>"73507"</f>
        <v>73507</v>
      </c>
      <c r="H10927" s="19" t="s">
        <v>34715</v>
      </c>
      <c r="I10927" s="20">
        <v>19.234999999999999</v>
      </c>
      <c r="J10927" s="44" t="s">
        <v>8</v>
      </c>
      <c r="K10927" s="23" t="s">
        <v>8</v>
      </c>
      <c r="L10927" s="23" t="s">
        <v>8</v>
      </c>
      <c r="M10927" s="23" t="s">
        <v>8</v>
      </c>
    </row>
    <row r="10928" spans="1:13" s="21" customFormat="1" x14ac:dyDescent="0.25">
      <c r="A10928" s="22" t="s">
        <v>8</v>
      </c>
      <c r="B10928" s="18" t="str">
        <f>"375511"</f>
        <v>375511</v>
      </c>
      <c r="C10928" s="19" t="s">
        <v>3664</v>
      </c>
      <c r="D10928" s="19" t="s">
        <v>26337</v>
      </c>
      <c r="E10928" s="19" t="s">
        <v>33651</v>
      </c>
      <c r="F10928" s="19" t="s">
        <v>36010</v>
      </c>
      <c r="G10928" s="18" t="str">
        <f>"73008"</f>
        <v>73008</v>
      </c>
      <c r="H10928" s="19" t="s">
        <v>36700</v>
      </c>
      <c r="I10928" s="20">
        <v>18.283999999999999</v>
      </c>
      <c r="J10928" s="44" t="s">
        <v>8</v>
      </c>
      <c r="K10928" s="23" t="s">
        <v>8</v>
      </c>
      <c r="L10928" s="23" t="s">
        <v>8</v>
      </c>
      <c r="M10928" s="23" t="s">
        <v>8</v>
      </c>
    </row>
    <row r="10929" spans="1:13" s="21" customFormat="1" x14ac:dyDescent="0.25">
      <c r="A10929" s="22" t="s">
        <v>8</v>
      </c>
      <c r="B10929" s="18" t="str">
        <f>"375512"</f>
        <v>375512</v>
      </c>
      <c r="C10929" s="19" t="s">
        <v>10757</v>
      </c>
      <c r="D10929" s="19" t="s">
        <v>26338</v>
      </c>
      <c r="E10929" s="19" t="s">
        <v>34642</v>
      </c>
      <c r="F10929" s="19" t="s">
        <v>36010</v>
      </c>
      <c r="G10929" s="18" t="str">
        <f>"74501"</f>
        <v>74501</v>
      </c>
      <c r="H10929" s="19" t="s">
        <v>31245</v>
      </c>
      <c r="I10929" s="20">
        <v>18.067</v>
      </c>
      <c r="J10929" s="44" t="s">
        <v>8</v>
      </c>
      <c r="K10929" s="23" t="s">
        <v>8</v>
      </c>
      <c r="L10929" s="23" t="s">
        <v>8</v>
      </c>
      <c r="M10929" s="23" t="s">
        <v>8</v>
      </c>
    </row>
    <row r="10930" spans="1:13" s="21" customFormat="1" x14ac:dyDescent="0.25">
      <c r="A10930" s="22" t="s">
        <v>8</v>
      </c>
      <c r="B10930" s="18" t="str">
        <f>"375513"</f>
        <v>375513</v>
      </c>
      <c r="C10930" s="19" t="s">
        <v>10758</v>
      </c>
      <c r="D10930" s="19" t="s">
        <v>26339</v>
      </c>
      <c r="E10930" s="19" t="s">
        <v>32597</v>
      </c>
      <c r="F10930" s="19" t="s">
        <v>36010</v>
      </c>
      <c r="G10930" s="18" t="str">
        <f>"74801"</f>
        <v>74801</v>
      </c>
      <c r="H10930" s="19" t="s">
        <v>36300</v>
      </c>
      <c r="I10930" s="20">
        <v>21.495000000000001</v>
      </c>
      <c r="J10930" s="44" t="s">
        <v>8</v>
      </c>
      <c r="K10930" s="23" t="s">
        <v>8</v>
      </c>
      <c r="L10930" s="23" t="s">
        <v>8</v>
      </c>
      <c r="M10930" s="23" t="s">
        <v>8</v>
      </c>
    </row>
    <row r="10931" spans="1:13" s="21" customFormat="1" x14ac:dyDescent="0.25">
      <c r="A10931" s="22" t="s">
        <v>8</v>
      </c>
      <c r="B10931" s="18" t="str">
        <f>"375514"</f>
        <v>375514</v>
      </c>
      <c r="C10931" s="19" t="s">
        <v>10759</v>
      </c>
      <c r="D10931" s="19" t="s">
        <v>26340</v>
      </c>
      <c r="E10931" s="19" t="s">
        <v>32692</v>
      </c>
      <c r="F10931" s="19" t="s">
        <v>36010</v>
      </c>
      <c r="G10931" s="18" t="str">
        <f>"73051"</f>
        <v>73051</v>
      </c>
      <c r="H10931" s="19" t="s">
        <v>31810</v>
      </c>
      <c r="I10931" s="20">
        <v>17.532</v>
      </c>
      <c r="J10931" s="44" t="s">
        <v>8</v>
      </c>
      <c r="K10931" s="23" t="s">
        <v>8</v>
      </c>
      <c r="L10931" s="23" t="s">
        <v>8</v>
      </c>
      <c r="M10931" s="23" t="s">
        <v>8</v>
      </c>
    </row>
    <row r="10932" spans="1:13" s="21" customFormat="1" x14ac:dyDescent="0.25">
      <c r="A10932" s="22" t="s">
        <v>8</v>
      </c>
      <c r="B10932" s="18" t="str">
        <f>"375515"</f>
        <v>375515</v>
      </c>
      <c r="C10932" s="19" t="s">
        <v>10760</v>
      </c>
      <c r="D10932" s="19" t="s">
        <v>26341</v>
      </c>
      <c r="E10932" s="19" t="s">
        <v>34732</v>
      </c>
      <c r="F10932" s="19" t="s">
        <v>36010</v>
      </c>
      <c r="G10932" s="18" t="str">
        <f>"74343"</f>
        <v>74343</v>
      </c>
      <c r="H10932" s="19" t="s">
        <v>31994</v>
      </c>
      <c r="I10932" s="20">
        <v>21.603000000000002</v>
      </c>
      <c r="J10932" s="44" t="s">
        <v>8</v>
      </c>
      <c r="K10932" s="23" t="s">
        <v>8</v>
      </c>
      <c r="L10932" s="23" t="s">
        <v>8</v>
      </c>
      <c r="M10932" s="23" t="s">
        <v>8</v>
      </c>
    </row>
    <row r="10933" spans="1:13" s="21" customFormat="1" x14ac:dyDescent="0.25">
      <c r="A10933" s="22" t="s">
        <v>8</v>
      </c>
      <c r="B10933" s="18" t="str">
        <f>"375518"</f>
        <v>375518</v>
      </c>
      <c r="C10933" s="19" t="s">
        <v>10761</v>
      </c>
      <c r="D10933" s="19" t="s">
        <v>26342</v>
      </c>
      <c r="E10933" s="19" t="s">
        <v>34647</v>
      </c>
      <c r="F10933" s="19" t="s">
        <v>36010</v>
      </c>
      <c r="G10933" s="18" t="str">
        <f>"73132"</f>
        <v>73132</v>
      </c>
      <c r="H10933" s="19" t="s">
        <v>36700</v>
      </c>
      <c r="I10933" s="20">
        <v>18.175999999999998</v>
      </c>
      <c r="J10933" s="44" t="s">
        <v>8</v>
      </c>
      <c r="K10933" s="23" t="s">
        <v>8</v>
      </c>
      <c r="L10933" s="23" t="s">
        <v>8</v>
      </c>
      <c r="M10933" s="23" t="s">
        <v>8</v>
      </c>
    </row>
    <row r="10934" spans="1:13" s="21" customFormat="1" x14ac:dyDescent="0.25">
      <c r="A10934" s="22" t="s">
        <v>8</v>
      </c>
      <c r="B10934" s="18" t="str">
        <f>"375519"</f>
        <v>375519</v>
      </c>
      <c r="C10934" s="19" t="s">
        <v>10762</v>
      </c>
      <c r="D10934" s="19" t="s">
        <v>26343</v>
      </c>
      <c r="E10934" s="19" t="s">
        <v>34733</v>
      </c>
      <c r="F10934" s="19" t="s">
        <v>36010</v>
      </c>
      <c r="G10934" s="18" t="str">
        <f>"74730"</f>
        <v>74730</v>
      </c>
      <c r="H10934" s="19" t="s">
        <v>34543</v>
      </c>
      <c r="I10934" s="20">
        <v>22.484000000000002</v>
      </c>
      <c r="J10934" s="44" t="s">
        <v>8</v>
      </c>
      <c r="K10934" s="23" t="s">
        <v>8</v>
      </c>
      <c r="L10934" s="23" t="s">
        <v>8</v>
      </c>
      <c r="M10934" s="23" t="s">
        <v>8</v>
      </c>
    </row>
    <row r="10935" spans="1:13" s="21" customFormat="1" x14ac:dyDescent="0.25">
      <c r="A10935" s="22" t="s">
        <v>8</v>
      </c>
      <c r="B10935" s="18" t="str">
        <f>"375520"</f>
        <v>375520</v>
      </c>
      <c r="C10935" s="19" t="s">
        <v>10763</v>
      </c>
      <c r="D10935" s="19" t="s">
        <v>26344</v>
      </c>
      <c r="E10935" s="19" t="s">
        <v>34647</v>
      </c>
      <c r="F10935" s="19" t="s">
        <v>36010</v>
      </c>
      <c r="G10935" s="18" t="str">
        <f>"73112"</f>
        <v>73112</v>
      </c>
      <c r="H10935" s="19" t="s">
        <v>36700</v>
      </c>
      <c r="I10935" s="20">
        <v>20.431000000000001</v>
      </c>
      <c r="J10935" s="44" t="s">
        <v>8</v>
      </c>
      <c r="K10935" s="23" t="s">
        <v>8</v>
      </c>
      <c r="L10935" s="23" t="s">
        <v>8</v>
      </c>
      <c r="M10935" s="23" t="s">
        <v>8</v>
      </c>
    </row>
    <row r="10936" spans="1:13" s="21" customFormat="1" x14ac:dyDescent="0.25">
      <c r="A10936" s="22" t="s">
        <v>8</v>
      </c>
      <c r="B10936" s="18" t="str">
        <f>"375521"</f>
        <v>375521</v>
      </c>
      <c r="C10936" s="19" t="s">
        <v>10764</v>
      </c>
      <c r="D10936" s="19" t="s">
        <v>26345</v>
      </c>
      <c r="E10936" s="19" t="s">
        <v>34623</v>
      </c>
      <c r="F10936" s="19" t="s">
        <v>36010</v>
      </c>
      <c r="G10936" s="18" t="str">
        <f>"74604"</f>
        <v>74604</v>
      </c>
      <c r="H10936" s="19" t="s">
        <v>36688</v>
      </c>
      <c r="I10936" s="20">
        <v>18.574000000000002</v>
      </c>
      <c r="J10936" s="44" t="s">
        <v>8</v>
      </c>
      <c r="K10936" s="23" t="s">
        <v>8</v>
      </c>
      <c r="L10936" s="23" t="s">
        <v>8</v>
      </c>
      <c r="M10936" s="23" t="s">
        <v>8</v>
      </c>
    </row>
    <row r="10937" spans="1:13" s="21" customFormat="1" x14ac:dyDescent="0.25">
      <c r="A10937" s="22" t="s">
        <v>8</v>
      </c>
      <c r="B10937" s="18" t="str">
        <f>"375523"</f>
        <v>375523</v>
      </c>
      <c r="C10937" s="19" t="s">
        <v>10765</v>
      </c>
      <c r="D10937" s="19" t="s">
        <v>26346</v>
      </c>
      <c r="E10937" s="19" t="s">
        <v>34675</v>
      </c>
      <c r="F10937" s="19" t="s">
        <v>36010</v>
      </c>
      <c r="G10937" s="18" t="str">
        <f>"74067"</f>
        <v>74067</v>
      </c>
      <c r="H10937" s="19" t="s">
        <v>36691</v>
      </c>
      <c r="I10937" s="20">
        <v>17.673999999999999</v>
      </c>
      <c r="J10937" s="44" t="s">
        <v>8</v>
      </c>
      <c r="K10937" s="23" t="s">
        <v>8</v>
      </c>
      <c r="L10937" s="23" t="s">
        <v>8</v>
      </c>
      <c r="M10937" s="23" t="s">
        <v>8</v>
      </c>
    </row>
    <row r="10938" spans="1:13" s="21" customFormat="1" x14ac:dyDescent="0.25">
      <c r="A10938" s="22" t="s">
        <v>8</v>
      </c>
      <c r="B10938" s="18" t="str">
        <f>"375524"</f>
        <v>375524</v>
      </c>
      <c r="C10938" s="19" t="s">
        <v>10766</v>
      </c>
      <c r="D10938" s="19" t="s">
        <v>26347</v>
      </c>
      <c r="E10938" s="19" t="s">
        <v>34632</v>
      </c>
      <c r="F10938" s="19" t="s">
        <v>36010</v>
      </c>
      <c r="G10938" s="18" t="str">
        <f>"73717"</f>
        <v>73717</v>
      </c>
      <c r="H10938" s="19" t="s">
        <v>36693</v>
      </c>
      <c r="I10938" s="20">
        <v>17.62</v>
      </c>
      <c r="J10938" s="44" t="s">
        <v>8</v>
      </c>
      <c r="K10938" s="23" t="s">
        <v>8</v>
      </c>
      <c r="L10938" s="23" t="s">
        <v>8</v>
      </c>
      <c r="M10938" s="23" t="s">
        <v>8</v>
      </c>
    </row>
    <row r="10939" spans="1:13" s="21" customFormat="1" x14ac:dyDescent="0.25">
      <c r="A10939" s="22" t="s">
        <v>8</v>
      </c>
      <c r="B10939" s="18" t="str">
        <f>"375525"</f>
        <v>375525</v>
      </c>
      <c r="C10939" s="19" t="s">
        <v>10767</v>
      </c>
      <c r="D10939" s="19" t="s">
        <v>26348</v>
      </c>
      <c r="E10939" s="19" t="s">
        <v>34661</v>
      </c>
      <c r="F10939" s="19" t="s">
        <v>36010</v>
      </c>
      <c r="G10939" s="18" t="str">
        <f>"74012"</f>
        <v>74012</v>
      </c>
      <c r="H10939" s="19" t="s">
        <v>34641</v>
      </c>
      <c r="I10939" s="20">
        <v>17.852</v>
      </c>
      <c r="J10939" s="44" t="s">
        <v>8</v>
      </c>
      <c r="K10939" s="23" t="s">
        <v>8</v>
      </c>
      <c r="L10939" s="23" t="s">
        <v>8</v>
      </c>
      <c r="M10939" s="23" t="s">
        <v>8</v>
      </c>
    </row>
    <row r="10940" spans="1:13" s="21" customFormat="1" x14ac:dyDescent="0.25">
      <c r="A10940" s="22" t="s">
        <v>8</v>
      </c>
      <c r="B10940" s="18" t="str">
        <f>"375526"</f>
        <v>375526</v>
      </c>
      <c r="C10940" s="19" t="s">
        <v>10768</v>
      </c>
      <c r="D10940" s="19" t="s">
        <v>26349</v>
      </c>
      <c r="E10940" s="19" t="s">
        <v>34734</v>
      </c>
      <c r="F10940" s="19" t="s">
        <v>36010</v>
      </c>
      <c r="G10940" s="18" t="str">
        <f>"73942"</f>
        <v>73942</v>
      </c>
      <c r="H10940" s="19" t="s">
        <v>36507</v>
      </c>
      <c r="I10940" s="20">
        <v>18.369</v>
      </c>
      <c r="J10940" s="44" t="s">
        <v>8</v>
      </c>
      <c r="K10940" s="23" t="s">
        <v>8</v>
      </c>
      <c r="L10940" s="23" t="s">
        <v>8</v>
      </c>
      <c r="M10940" s="23" t="s">
        <v>8</v>
      </c>
    </row>
    <row r="10941" spans="1:13" s="21" customFormat="1" x14ac:dyDescent="0.25">
      <c r="A10941" s="22" t="s">
        <v>8</v>
      </c>
      <c r="B10941" s="18" t="str">
        <f>"375527"</f>
        <v>375527</v>
      </c>
      <c r="C10941" s="19" t="s">
        <v>10769</v>
      </c>
      <c r="D10941" s="19" t="s">
        <v>26350</v>
      </c>
      <c r="E10941" s="19" t="s">
        <v>34643</v>
      </c>
      <c r="F10941" s="19" t="s">
        <v>36010</v>
      </c>
      <c r="G10941" s="18" t="str">
        <f>"73702"</f>
        <v>73702</v>
      </c>
      <c r="H10941" s="19" t="s">
        <v>36111</v>
      </c>
      <c r="I10941" s="20">
        <v>16.305</v>
      </c>
      <c r="J10941" s="44" t="s">
        <v>8</v>
      </c>
      <c r="K10941" s="23" t="s">
        <v>8</v>
      </c>
      <c r="L10941" s="23" t="s">
        <v>8</v>
      </c>
      <c r="M10941" s="23" t="s">
        <v>8</v>
      </c>
    </row>
    <row r="10942" spans="1:13" s="21" customFormat="1" x14ac:dyDescent="0.25">
      <c r="A10942" s="22" t="s">
        <v>8</v>
      </c>
      <c r="B10942" s="18" t="str">
        <f>"375528"</f>
        <v>375528</v>
      </c>
      <c r="C10942" s="19" t="s">
        <v>10770</v>
      </c>
      <c r="D10942" s="19" t="s">
        <v>26351</v>
      </c>
      <c r="E10942" s="19" t="s">
        <v>34661</v>
      </c>
      <c r="F10942" s="19" t="s">
        <v>36010</v>
      </c>
      <c r="G10942" s="18" t="str">
        <f>"74012"</f>
        <v>74012</v>
      </c>
      <c r="H10942" s="19" t="s">
        <v>34641</v>
      </c>
      <c r="I10942" s="20">
        <v>21.344999999999999</v>
      </c>
      <c r="J10942" s="44" t="s">
        <v>8</v>
      </c>
      <c r="K10942" s="23" t="s">
        <v>8</v>
      </c>
      <c r="L10942" s="23" t="s">
        <v>8</v>
      </c>
      <c r="M10942" s="23" t="s">
        <v>8</v>
      </c>
    </row>
    <row r="10943" spans="1:13" s="21" customFormat="1" x14ac:dyDescent="0.25">
      <c r="A10943" s="22" t="s">
        <v>8</v>
      </c>
      <c r="B10943" s="18" t="str">
        <f>"375529"</f>
        <v>375529</v>
      </c>
      <c r="C10943" s="19" t="s">
        <v>10771</v>
      </c>
      <c r="D10943" s="19" t="s">
        <v>26352</v>
      </c>
      <c r="E10943" s="19" t="s">
        <v>31691</v>
      </c>
      <c r="F10943" s="19" t="s">
        <v>36010</v>
      </c>
      <c r="G10943" s="18" t="str">
        <f>"74339"</f>
        <v>74339</v>
      </c>
      <c r="H10943" s="19" t="s">
        <v>31994</v>
      </c>
      <c r="I10943" s="20">
        <v>20.274999999999999</v>
      </c>
      <c r="J10943" s="44" t="s">
        <v>8</v>
      </c>
      <c r="K10943" s="23" t="s">
        <v>8</v>
      </c>
      <c r="L10943" s="23" t="s">
        <v>8</v>
      </c>
      <c r="M10943" s="23" t="s">
        <v>8</v>
      </c>
    </row>
    <row r="10944" spans="1:13" s="21" customFormat="1" x14ac:dyDescent="0.25">
      <c r="A10944" s="22" t="s">
        <v>8</v>
      </c>
      <c r="B10944" s="18" t="str">
        <f>"375530"</f>
        <v>375530</v>
      </c>
      <c r="C10944" s="19" t="s">
        <v>10772</v>
      </c>
      <c r="D10944" s="19" t="s">
        <v>26353</v>
      </c>
      <c r="E10944" s="19" t="s">
        <v>34690</v>
      </c>
      <c r="F10944" s="19" t="s">
        <v>36010</v>
      </c>
      <c r="G10944" s="18" t="str">
        <f>"73096"</f>
        <v>73096</v>
      </c>
      <c r="H10944" s="19" t="s">
        <v>35098</v>
      </c>
      <c r="I10944" s="20">
        <v>20.558</v>
      </c>
      <c r="J10944" s="44" t="s">
        <v>8</v>
      </c>
      <c r="K10944" s="23" t="s">
        <v>8</v>
      </c>
      <c r="L10944" s="23" t="s">
        <v>8</v>
      </c>
      <c r="M10944" s="23" t="s">
        <v>8</v>
      </c>
    </row>
    <row r="10945" spans="1:13" s="21" customFormat="1" x14ac:dyDescent="0.25">
      <c r="A10945" s="22" t="s">
        <v>8</v>
      </c>
      <c r="B10945" s="18" t="str">
        <f>"375531"</f>
        <v>375531</v>
      </c>
      <c r="C10945" s="19" t="s">
        <v>10773</v>
      </c>
      <c r="D10945" s="19" t="s">
        <v>26354</v>
      </c>
      <c r="E10945" s="19" t="s">
        <v>34641</v>
      </c>
      <c r="F10945" s="19" t="s">
        <v>36010</v>
      </c>
      <c r="G10945" s="18" t="str">
        <f>"74137"</f>
        <v>74137</v>
      </c>
      <c r="H10945" s="19" t="s">
        <v>34641</v>
      </c>
      <c r="I10945" s="20">
        <v>19.036999999999999</v>
      </c>
      <c r="J10945" s="44" t="s">
        <v>8</v>
      </c>
      <c r="K10945" s="23" t="s">
        <v>8</v>
      </c>
      <c r="L10945" s="23" t="s">
        <v>8</v>
      </c>
      <c r="M10945" s="23" t="s">
        <v>8</v>
      </c>
    </row>
    <row r="10946" spans="1:13" s="21" customFormat="1" x14ac:dyDescent="0.25">
      <c r="A10946" s="22" t="s">
        <v>8</v>
      </c>
      <c r="B10946" s="18" t="str">
        <f>"375532"</f>
        <v>375532</v>
      </c>
      <c r="C10946" s="19" t="s">
        <v>10774</v>
      </c>
      <c r="D10946" s="19" t="s">
        <v>26355</v>
      </c>
      <c r="E10946" s="19" t="s">
        <v>34635</v>
      </c>
      <c r="F10946" s="19" t="s">
        <v>36010</v>
      </c>
      <c r="G10946" s="18" t="str">
        <f>"73662"</f>
        <v>73662</v>
      </c>
      <c r="H10946" s="19" t="s">
        <v>36695</v>
      </c>
      <c r="I10946" s="20">
        <v>19.696000000000002</v>
      </c>
      <c r="J10946" s="44" t="s">
        <v>8</v>
      </c>
      <c r="K10946" s="23" t="s">
        <v>8</v>
      </c>
      <c r="L10946" s="23" t="s">
        <v>8</v>
      </c>
      <c r="M10946" s="23" t="s">
        <v>8</v>
      </c>
    </row>
    <row r="10947" spans="1:13" s="21" customFormat="1" x14ac:dyDescent="0.25">
      <c r="A10947" s="22" t="s">
        <v>8</v>
      </c>
      <c r="B10947" s="18" t="str">
        <f>"375533"</f>
        <v>375533</v>
      </c>
      <c r="C10947" s="19" t="s">
        <v>10775</v>
      </c>
      <c r="D10947" s="19" t="s">
        <v>26356</v>
      </c>
      <c r="E10947" s="19" t="s">
        <v>34735</v>
      </c>
      <c r="F10947" s="19" t="s">
        <v>36010</v>
      </c>
      <c r="G10947" s="18" t="str">
        <f>"73040"</f>
        <v>73040</v>
      </c>
      <c r="H10947" s="19" t="s">
        <v>35482</v>
      </c>
      <c r="I10947" s="20">
        <v>20.640999999999998</v>
      </c>
      <c r="J10947" s="44" t="s">
        <v>8</v>
      </c>
      <c r="K10947" s="23" t="s">
        <v>8</v>
      </c>
      <c r="L10947" s="23" t="s">
        <v>8</v>
      </c>
      <c r="M10947" s="23" t="s">
        <v>8</v>
      </c>
    </row>
    <row r="10948" spans="1:13" s="21" customFormat="1" x14ac:dyDescent="0.25">
      <c r="A10948" s="22" t="s">
        <v>8</v>
      </c>
      <c r="B10948" s="18" t="str">
        <f>"375534"</f>
        <v>375534</v>
      </c>
      <c r="C10948" s="19" t="s">
        <v>10776</v>
      </c>
      <c r="D10948" s="19" t="s">
        <v>26357</v>
      </c>
      <c r="E10948" s="19" t="s">
        <v>34645</v>
      </c>
      <c r="F10948" s="19" t="s">
        <v>36010</v>
      </c>
      <c r="G10948" s="18" t="str">
        <f>"73130"</f>
        <v>73130</v>
      </c>
      <c r="H10948" s="19" t="s">
        <v>36700</v>
      </c>
      <c r="I10948" s="20">
        <v>22.687000000000001</v>
      </c>
      <c r="J10948" s="44" t="s">
        <v>8</v>
      </c>
      <c r="K10948" s="23" t="s">
        <v>8</v>
      </c>
      <c r="L10948" s="23" t="s">
        <v>8</v>
      </c>
      <c r="M10948" s="23" t="s">
        <v>8</v>
      </c>
    </row>
    <row r="10949" spans="1:13" s="21" customFormat="1" x14ac:dyDescent="0.25">
      <c r="A10949" s="22" t="s">
        <v>8</v>
      </c>
      <c r="B10949" s="18" t="str">
        <f>"375535"</f>
        <v>375535</v>
      </c>
      <c r="C10949" s="19" t="s">
        <v>10777</v>
      </c>
      <c r="D10949" s="19" t="s">
        <v>26358</v>
      </c>
      <c r="E10949" s="19" t="s">
        <v>34736</v>
      </c>
      <c r="F10949" s="19" t="s">
        <v>36010</v>
      </c>
      <c r="G10949" s="18" t="str">
        <f>"74578"</f>
        <v>74578</v>
      </c>
      <c r="H10949" s="19" t="s">
        <v>36710</v>
      </c>
      <c r="I10949" s="20">
        <v>20.120999999999999</v>
      </c>
      <c r="J10949" s="44" t="s">
        <v>8</v>
      </c>
      <c r="K10949" s="23" t="s">
        <v>8</v>
      </c>
      <c r="L10949" s="23" t="s">
        <v>8</v>
      </c>
      <c r="M10949" s="23" t="s">
        <v>8</v>
      </c>
    </row>
    <row r="10950" spans="1:13" s="21" customFormat="1" x14ac:dyDescent="0.25">
      <c r="A10950" s="22" t="s">
        <v>8</v>
      </c>
      <c r="B10950" s="18" t="str">
        <f>"375536"</f>
        <v>375536</v>
      </c>
      <c r="C10950" s="19" t="s">
        <v>10778</v>
      </c>
      <c r="D10950" s="19" t="s">
        <v>26359</v>
      </c>
      <c r="E10950" s="19" t="s">
        <v>34647</v>
      </c>
      <c r="F10950" s="19" t="s">
        <v>36010</v>
      </c>
      <c r="G10950" s="18" t="str">
        <f>"73120"</f>
        <v>73120</v>
      </c>
      <c r="H10950" s="19" t="s">
        <v>36700</v>
      </c>
      <c r="I10950" s="20">
        <v>18.731000000000002</v>
      </c>
      <c r="J10950" s="44" t="s">
        <v>8</v>
      </c>
      <c r="K10950" s="23" t="s">
        <v>8</v>
      </c>
      <c r="L10950" s="23" t="s">
        <v>8</v>
      </c>
      <c r="M10950" s="23" t="s">
        <v>8</v>
      </c>
    </row>
    <row r="10951" spans="1:13" s="21" customFormat="1" x14ac:dyDescent="0.25">
      <c r="A10951" s="22" t="s">
        <v>8</v>
      </c>
      <c r="B10951" s="18" t="str">
        <f>"375539"</f>
        <v>375539</v>
      </c>
      <c r="C10951" s="19" t="s">
        <v>10779</v>
      </c>
      <c r="D10951" s="19" t="s">
        <v>26360</v>
      </c>
      <c r="E10951" s="19" t="s">
        <v>34675</v>
      </c>
      <c r="F10951" s="19" t="s">
        <v>36010</v>
      </c>
      <c r="G10951" s="18" t="str">
        <f>"74066"</f>
        <v>74066</v>
      </c>
      <c r="H10951" s="19" t="s">
        <v>36691</v>
      </c>
      <c r="I10951" s="20">
        <v>18.588999999999999</v>
      </c>
      <c r="J10951" s="44" t="s">
        <v>8</v>
      </c>
      <c r="K10951" s="23" t="s">
        <v>8</v>
      </c>
      <c r="L10951" s="23" t="s">
        <v>8</v>
      </c>
      <c r="M10951" s="23" t="s">
        <v>8</v>
      </c>
    </row>
    <row r="10952" spans="1:13" s="21" customFormat="1" x14ac:dyDescent="0.25">
      <c r="A10952" s="22" t="s">
        <v>8</v>
      </c>
      <c r="B10952" s="18" t="str">
        <f>"375540"</f>
        <v>375540</v>
      </c>
      <c r="C10952" s="19" t="s">
        <v>10780</v>
      </c>
      <c r="D10952" s="19" t="s">
        <v>26361</v>
      </c>
      <c r="E10952" s="19" t="s">
        <v>34634</v>
      </c>
      <c r="F10952" s="19" t="s">
        <v>36010</v>
      </c>
      <c r="G10952" s="18" t="str">
        <f>"73505"</f>
        <v>73505</v>
      </c>
      <c r="H10952" s="19" t="s">
        <v>34715</v>
      </c>
      <c r="I10952" s="20">
        <v>19.719000000000001</v>
      </c>
      <c r="J10952" s="44" t="s">
        <v>8</v>
      </c>
      <c r="K10952" s="23" t="s">
        <v>8</v>
      </c>
      <c r="L10952" s="23" t="s">
        <v>8</v>
      </c>
      <c r="M10952" s="23" t="s">
        <v>8</v>
      </c>
    </row>
    <row r="10953" spans="1:13" s="21" customFormat="1" x14ac:dyDescent="0.25">
      <c r="A10953" s="22" t="s">
        <v>8</v>
      </c>
      <c r="B10953" s="18" t="str">
        <f>"375541"</f>
        <v>375541</v>
      </c>
      <c r="C10953" s="19" t="s">
        <v>10781</v>
      </c>
      <c r="D10953" s="19" t="s">
        <v>26362</v>
      </c>
      <c r="E10953" s="19" t="s">
        <v>34629</v>
      </c>
      <c r="F10953" s="19" t="s">
        <v>36010</v>
      </c>
      <c r="G10953" s="18" t="str">
        <f>"73018"</f>
        <v>73018</v>
      </c>
      <c r="H10953" s="19" t="s">
        <v>36153</v>
      </c>
      <c r="I10953" s="20">
        <v>18.753</v>
      </c>
      <c r="J10953" s="44" t="s">
        <v>8</v>
      </c>
      <c r="K10953" s="23" t="s">
        <v>8</v>
      </c>
      <c r="L10953" s="23" t="s">
        <v>8</v>
      </c>
      <c r="M10953" s="23" t="s">
        <v>8</v>
      </c>
    </row>
    <row r="10954" spans="1:13" s="21" customFormat="1" x14ac:dyDescent="0.25">
      <c r="A10954" s="22" t="s">
        <v>8</v>
      </c>
      <c r="B10954" s="18" t="str">
        <f>"375542"</f>
        <v>375542</v>
      </c>
      <c r="C10954" s="19" t="s">
        <v>10782</v>
      </c>
      <c r="D10954" s="19" t="s">
        <v>26363</v>
      </c>
      <c r="E10954" s="19" t="s">
        <v>34737</v>
      </c>
      <c r="F10954" s="19" t="s">
        <v>36010</v>
      </c>
      <c r="G10954" s="18" t="str">
        <f>"74525"</f>
        <v>74525</v>
      </c>
      <c r="H10954" s="19" t="s">
        <v>34737</v>
      </c>
      <c r="I10954" s="20">
        <v>27.029</v>
      </c>
      <c r="J10954" s="44" t="s">
        <v>8</v>
      </c>
      <c r="K10954" s="23" t="s">
        <v>8</v>
      </c>
      <c r="L10954" s="23" t="s">
        <v>8</v>
      </c>
      <c r="M10954" s="23" t="s">
        <v>8</v>
      </c>
    </row>
    <row r="10955" spans="1:13" s="21" customFormat="1" x14ac:dyDescent="0.25">
      <c r="A10955" s="22" t="s">
        <v>8</v>
      </c>
      <c r="B10955" s="18" t="str">
        <f>"375543"</f>
        <v>375543</v>
      </c>
      <c r="C10955" s="19" t="s">
        <v>10783</v>
      </c>
      <c r="D10955" s="19" t="s">
        <v>26364</v>
      </c>
      <c r="E10955" s="19" t="s">
        <v>34738</v>
      </c>
      <c r="F10955" s="19" t="s">
        <v>36010</v>
      </c>
      <c r="G10955" s="18" t="str">
        <f>"73852"</f>
        <v>73852</v>
      </c>
      <c r="H10955" s="19" t="s">
        <v>34622</v>
      </c>
      <c r="I10955" s="20">
        <v>20.552</v>
      </c>
      <c r="J10955" s="44" t="s">
        <v>8</v>
      </c>
      <c r="K10955" s="23" t="s">
        <v>8</v>
      </c>
      <c r="L10955" s="23" t="s">
        <v>8</v>
      </c>
      <c r="M10955" s="23" t="s">
        <v>8</v>
      </c>
    </row>
    <row r="10956" spans="1:13" s="21" customFormat="1" x14ac:dyDescent="0.25">
      <c r="A10956" s="22" t="s">
        <v>8</v>
      </c>
      <c r="B10956" s="18" t="str">
        <f>"375544"</f>
        <v>375544</v>
      </c>
      <c r="C10956" s="19" t="s">
        <v>1854</v>
      </c>
      <c r="D10956" s="19" t="s">
        <v>26365</v>
      </c>
      <c r="E10956" s="19" t="s">
        <v>34660</v>
      </c>
      <c r="F10956" s="19" t="s">
        <v>36010</v>
      </c>
      <c r="G10956" s="18" t="str">
        <f>"73401"</f>
        <v>73401</v>
      </c>
      <c r="H10956" s="19" t="s">
        <v>36338</v>
      </c>
      <c r="I10956" s="20">
        <v>19.297000000000001</v>
      </c>
      <c r="J10956" s="44" t="s">
        <v>8</v>
      </c>
      <c r="K10956" s="23" t="s">
        <v>8</v>
      </c>
      <c r="L10956" s="23" t="s">
        <v>8</v>
      </c>
      <c r="M10956" s="23" t="s">
        <v>8</v>
      </c>
    </row>
    <row r="10957" spans="1:13" s="21" customFormat="1" x14ac:dyDescent="0.25">
      <c r="A10957" s="22" t="s">
        <v>8</v>
      </c>
      <c r="B10957" s="18" t="str">
        <f>"375545"</f>
        <v>375545</v>
      </c>
      <c r="C10957" s="19" t="s">
        <v>10784</v>
      </c>
      <c r="D10957" s="19" t="s">
        <v>26366</v>
      </c>
      <c r="E10957" s="19" t="s">
        <v>34739</v>
      </c>
      <c r="F10957" s="19" t="s">
        <v>36010</v>
      </c>
      <c r="G10957" s="18" t="str">
        <f>"73859"</f>
        <v>73859</v>
      </c>
      <c r="H10957" s="19" t="s">
        <v>34658</v>
      </c>
      <c r="I10957" s="20">
        <v>19.602</v>
      </c>
      <c r="J10957" s="44" t="s">
        <v>8</v>
      </c>
      <c r="K10957" s="23" t="s">
        <v>8</v>
      </c>
      <c r="L10957" s="23" t="s">
        <v>8</v>
      </c>
      <c r="M10957" s="23" t="s">
        <v>8</v>
      </c>
    </row>
    <row r="10958" spans="1:13" s="21" customFormat="1" x14ac:dyDescent="0.25">
      <c r="A10958" s="22" t="s">
        <v>8</v>
      </c>
      <c r="B10958" s="18" t="str">
        <f>"375546"</f>
        <v>375546</v>
      </c>
      <c r="C10958" s="19" t="s">
        <v>10785</v>
      </c>
      <c r="D10958" s="19" t="s">
        <v>26367</v>
      </c>
      <c r="E10958" s="19" t="s">
        <v>34641</v>
      </c>
      <c r="F10958" s="19" t="s">
        <v>36010</v>
      </c>
      <c r="G10958" s="18" t="str">
        <f>"74105"</f>
        <v>74105</v>
      </c>
      <c r="H10958" s="19" t="s">
        <v>34641</v>
      </c>
      <c r="I10958" s="20">
        <v>16.538</v>
      </c>
      <c r="J10958" s="44" t="s">
        <v>8</v>
      </c>
      <c r="K10958" s="23" t="s">
        <v>8</v>
      </c>
      <c r="L10958" s="23" t="s">
        <v>8</v>
      </c>
      <c r="M10958" s="23" t="s">
        <v>8</v>
      </c>
    </row>
    <row r="10959" spans="1:13" s="21" customFormat="1" x14ac:dyDescent="0.25">
      <c r="A10959" s="22" t="s">
        <v>8</v>
      </c>
      <c r="B10959" s="18" t="str">
        <f>"375547"</f>
        <v>375547</v>
      </c>
      <c r="C10959" s="19" t="s">
        <v>10786</v>
      </c>
      <c r="D10959" s="19" t="s">
        <v>26368</v>
      </c>
      <c r="E10959" s="19" t="s">
        <v>34641</v>
      </c>
      <c r="F10959" s="19" t="s">
        <v>36010</v>
      </c>
      <c r="G10959" s="18" t="str">
        <f>"74136"</f>
        <v>74136</v>
      </c>
      <c r="H10959" s="19" t="s">
        <v>34641</v>
      </c>
      <c r="I10959" s="20">
        <v>19.346</v>
      </c>
      <c r="J10959" s="44" t="s">
        <v>8</v>
      </c>
      <c r="K10959" s="23" t="s">
        <v>8</v>
      </c>
      <c r="L10959" s="23" t="s">
        <v>8</v>
      </c>
      <c r="M10959" s="23" t="s">
        <v>8</v>
      </c>
    </row>
    <row r="10960" spans="1:13" s="21" customFormat="1" x14ac:dyDescent="0.25">
      <c r="A10960" s="22" t="s">
        <v>8</v>
      </c>
      <c r="B10960" s="18" t="str">
        <f>"375548"</f>
        <v>375548</v>
      </c>
      <c r="C10960" s="19" t="s">
        <v>10787</v>
      </c>
      <c r="D10960" s="19" t="s">
        <v>26369</v>
      </c>
      <c r="E10960" s="19" t="s">
        <v>34740</v>
      </c>
      <c r="F10960" s="19" t="s">
        <v>36010</v>
      </c>
      <c r="G10960" s="18" t="str">
        <f>"73566"</f>
        <v>73566</v>
      </c>
      <c r="H10960" s="19" t="s">
        <v>36697</v>
      </c>
      <c r="I10960" s="20">
        <v>19.189</v>
      </c>
      <c r="J10960" s="44" t="s">
        <v>8</v>
      </c>
      <c r="K10960" s="23" t="s">
        <v>8</v>
      </c>
      <c r="L10960" s="23" t="s">
        <v>8</v>
      </c>
      <c r="M10960" s="23" t="s">
        <v>8</v>
      </c>
    </row>
    <row r="10961" spans="1:13" s="21" customFormat="1" x14ac:dyDescent="0.25">
      <c r="A10961" s="22" t="s">
        <v>8</v>
      </c>
      <c r="B10961" s="18" t="str">
        <f>"375549"</f>
        <v>375549</v>
      </c>
      <c r="C10961" s="19" t="s">
        <v>10788</v>
      </c>
      <c r="D10961" s="19" t="s">
        <v>26370</v>
      </c>
      <c r="E10961" s="19" t="s">
        <v>34648</v>
      </c>
      <c r="F10961" s="19" t="s">
        <v>36010</v>
      </c>
      <c r="G10961" s="18" t="str">
        <f>"74006"</f>
        <v>74006</v>
      </c>
      <c r="H10961" s="19" t="s">
        <v>31500</v>
      </c>
      <c r="I10961" s="20">
        <v>17.463999999999999</v>
      </c>
      <c r="J10961" s="44" t="s">
        <v>8</v>
      </c>
      <c r="K10961" s="23" t="s">
        <v>8</v>
      </c>
      <c r="L10961" s="23" t="s">
        <v>8</v>
      </c>
      <c r="M10961" s="23" t="s">
        <v>8</v>
      </c>
    </row>
    <row r="10962" spans="1:13" s="21" customFormat="1" x14ac:dyDescent="0.25">
      <c r="A10962" s="22" t="s">
        <v>8</v>
      </c>
      <c r="B10962" s="18" t="str">
        <f>"375550"</f>
        <v>375550</v>
      </c>
      <c r="C10962" s="19" t="s">
        <v>10509</v>
      </c>
      <c r="D10962" s="19" t="s">
        <v>26371</v>
      </c>
      <c r="E10962" s="19" t="s">
        <v>34632</v>
      </c>
      <c r="F10962" s="19" t="s">
        <v>36010</v>
      </c>
      <c r="G10962" s="18" t="str">
        <f>"73717"</f>
        <v>73717</v>
      </c>
      <c r="H10962" s="19" t="s">
        <v>36693</v>
      </c>
      <c r="I10962" s="20">
        <v>19.356999999999999</v>
      </c>
      <c r="J10962" s="44" t="s">
        <v>8</v>
      </c>
      <c r="K10962" s="23" t="s">
        <v>8</v>
      </c>
      <c r="L10962" s="23" t="s">
        <v>8</v>
      </c>
      <c r="M10962" s="23" t="s">
        <v>8</v>
      </c>
    </row>
    <row r="10963" spans="1:13" s="21" customFormat="1" x14ac:dyDescent="0.25">
      <c r="A10963" s="22" t="s">
        <v>8</v>
      </c>
      <c r="B10963" s="18" t="str">
        <f>"375551"</f>
        <v>375551</v>
      </c>
      <c r="C10963" s="19" t="s">
        <v>10789</v>
      </c>
      <c r="D10963" s="19" t="s">
        <v>26372</v>
      </c>
      <c r="E10963" s="19" t="s">
        <v>34652</v>
      </c>
      <c r="F10963" s="19" t="s">
        <v>36010</v>
      </c>
      <c r="G10963" s="18" t="str">
        <f>"73072"</f>
        <v>73072</v>
      </c>
      <c r="H10963" s="19" t="s">
        <v>31810</v>
      </c>
      <c r="I10963" s="20">
        <v>19.658000000000001</v>
      </c>
      <c r="J10963" s="44" t="s">
        <v>8</v>
      </c>
      <c r="K10963" s="23" t="s">
        <v>8</v>
      </c>
      <c r="L10963" s="23" t="s">
        <v>8</v>
      </c>
      <c r="M10963" s="23" t="s">
        <v>8</v>
      </c>
    </row>
    <row r="10964" spans="1:13" s="21" customFormat="1" x14ac:dyDescent="0.25">
      <c r="A10964" s="22" t="s">
        <v>8</v>
      </c>
      <c r="B10964" s="18" t="str">
        <f>"375552"</f>
        <v>375552</v>
      </c>
      <c r="C10964" s="19" t="s">
        <v>10790</v>
      </c>
      <c r="D10964" s="19" t="s">
        <v>26373</v>
      </c>
      <c r="E10964" s="19" t="s">
        <v>34659</v>
      </c>
      <c r="F10964" s="19" t="s">
        <v>36010</v>
      </c>
      <c r="G10964" s="18" t="str">
        <f>"73034"</f>
        <v>73034</v>
      </c>
      <c r="H10964" s="19" t="s">
        <v>36700</v>
      </c>
      <c r="I10964" s="20">
        <v>21.126000000000001</v>
      </c>
      <c r="J10964" s="44" t="s">
        <v>8</v>
      </c>
      <c r="K10964" s="23" t="s">
        <v>8</v>
      </c>
      <c r="L10964" s="23" t="s">
        <v>8</v>
      </c>
      <c r="M10964" s="23" t="s">
        <v>8</v>
      </c>
    </row>
    <row r="10965" spans="1:13" s="21" customFormat="1" x14ac:dyDescent="0.25">
      <c r="A10965" s="22" t="s">
        <v>8</v>
      </c>
      <c r="B10965" s="18" t="str">
        <f>"375553"</f>
        <v>375553</v>
      </c>
      <c r="C10965" s="19" t="s">
        <v>10791</v>
      </c>
      <c r="D10965" s="19" t="s">
        <v>26374</v>
      </c>
      <c r="E10965" s="19" t="s">
        <v>34626</v>
      </c>
      <c r="F10965" s="19" t="s">
        <v>36010</v>
      </c>
      <c r="G10965" s="18" t="str">
        <f>"74017"</f>
        <v>74017</v>
      </c>
      <c r="H10965" s="19" t="s">
        <v>30989</v>
      </c>
      <c r="I10965" s="20">
        <v>17.977</v>
      </c>
      <c r="J10965" s="44" t="s">
        <v>8</v>
      </c>
      <c r="K10965" s="23" t="s">
        <v>8</v>
      </c>
      <c r="L10965" s="23" t="s">
        <v>8</v>
      </c>
      <c r="M10965" s="23" t="s">
        <v>8</v>
      </c>
    </row>
    <row r="10966" spans="1:13" s="21" customFormat="1" x14ac:dyDescent="0.25">
      <c r="A10966" s="22" t="s">
        <v>8</v>
      </c>
      <c r="B10966" s="18" t="str">
        <f>"375554"</f>
        <v>375554</v>
      </c>
      <c r="C10966" s="19" t="s">
        <v>10792</v>
      </c>
      <c r="D10966" s="19" t="s">
        <v>26375</v>
      </c>
      <c r="E10966" s="19" t="s">
        <v>34641</v>
      </c>
      <c r="F10966" s="19" t="s">
        <v>36010</v>
      </c>
      <c r="G10966" s="18" t="str">
        <f>"74106"</f>
        <v>74106</v>
      </c>
      <c r="H10966" s="19" t="s">
        <v>34641</v>
      </c>
      <c r="I10966" s="20">
        <v>19.195</v>
      </c>
      <c r="J10966" s="44" t="s">
        <v>8</v>
      </c>
      <c r="K10966" s="23" t="s">
        <v>8</v>
      </c>
      <c r="L10966" s="23" t="s">
        <v>8</v>
      </c>
      <c r="M10966" s="23" t="s">
        <v>8</v>
      </c>
    </row>
    <row r="10967" spans="1:13" s="21" customFormat="1" x14ac:dyDescent="0.25">
      <c r="A10967" s="22" t="s">
        <v>8</v>
      </c>
      <c r="B10967" s="18" t="str">
        <f>"375555"</f>
        <v>375555</v>
      </c>
      <c r="C10967" s="19" t="s">
        <v>10793</v>
      </c>
      <c r="D10967" s="19" t="s">
        <v>26376</v>
      </c>
      <c r="E10967" s="19" t="s">
        <v>34741</v>
      </c>
      <c r="F10967" s="19" t="s">
        <v>36010</v>
      </c>
      <c r="G10967" s="18" t="str">
        <f>"74653"</f>
        <v>74653</v>
      </c>
      <c r="H10967" s="19" t="s">
        <v>36688</v>
      </c>
      <c r="I10967" s="20">
        <v>17.794</v>
      </c>
      <c r="J10967" s="44" t="s">
        <v>8</v>
      </c>
      <c r="K10967" s="23" t="s">
        <v>8</v>
      </c>
      <c r="L10967" s="23" t="s">
        <v>8</v>
      </c>
      <c r="M10967" s="23" t="s">
        <v>8</v>
      </c>
    </row>
    <row r="10968" spans="1:13" s="21" customFormat="1" x14ac:dyDescent="0.25">
      <c r="A10968" s="22" t="s">
        <v>8</v>
      </c>
      <c r="B10968" s="18" t="str">
        <f>"375556"</f>
        <v>375556</v>
      </c>
      <c r="C10968" s="19" t="s">
        <v>10794</v>
      </c>
      <c r="D10968" s="19" t="s">
        <v>26377</v>
      </c>
      <c r="E10968" s="19" t="s">
        <v>34641</v>
      </c>
      <c r="F10968" s="19" t="s">
        <v>36010</v>
      </c>
      <c r="G10968" s="18" t="str">
        <f>"74107"</f>
        <v>74107</v>
      </c>
      <c r="H10968" s="19" t="s">
        <v>34641</v>
      </c>
      <c r="I10968" s="20">
        <v>22.1</v>
      </c>
      <c r="J10968" s="44" t="s">
        <v>8</v>
      </c>
      <c r="K10968" s="23" t="s">
        <v>8</v>
      </c>
      <c r="L10968" s="23" t="s">
        <v>8</v>
      </c>
      <c r="M10968" s="23" t="s">
        <v>8</v>
      </c>
    </row>
    <row r="10969" spans="1:13" s="21" customFormat="1" x14ac:dyDescent="0.25">
      <c r="A10969" s="22" t="s">
        <v>8</v>
      </c>
      <c r="B10969" s="18" t="str">
        <f>"375557"</f>
        <v>375557</v>
      </c>
      <c r="C10969" s="19" t="s">
        <v>10795</v>
      </c>
      <c r="D10969" s="19" t="s">
        <v>26378</v>
      </c>
      <c r="E10969" s="19" t="s">
        <v>34666</v>
      </c>
      <c r="F10969" s="19" t="s">
        <v>36010</v>
      </c>
      <c r="G10969" s="18" t="str">
        <f>"74848"</f>
        <v>74848</v>
      </c>
      <c r="H10969" s="19" t="s">
        <v>36703</v>
      </c>
      <c r="I10969" s="20">
        <v>20.175999999999998</v>
      </c>
      <c r="J10969" s="44" t="s">
        <v>8</v>
      </c>
      <c r="K10969" s="23" t="s">
        <v>8</v>
      </c>
      <c r="L10969" s="23" t="s">
        <v>8</v>
      </c>
      <c r="M10969" s="23" t="s">
        <v>8</v>
      </c>
    </row>
    <row r="10970" spans="1:13" s="21" customFormat="1" x14ac:dyDescent="0.25">
      <c r="A10970" s="22" t="s">
        <v>8</v>
      </c>
      <c r="B10970" s="18" t="str">
        <f>"375558"</f>
        <v>375558</v>
      </c>
      <c r="C10970" s="19" t="s">
        <v>10796</v>
      </c>
      <c r="D10970" s="19" t="s">
        <v>26379</v>
      </c>
      <c r="E10970" s="19" t="s">
        <v>34692</v>
      </c>
      <c r="F10970" s="19" t="s">
        <v>36010</v>
      </c>
      <c r="G10970" s="18" t="str">
        <f>"74055"</f>
        <v>74055</v>
      </c>
      <c r="H10970" s="19" t="s">
        <v>34641</v>
      </c>
      <c r="I10970" s="20">
        <v>20.548999999999999</v>
      </c>
      <c r="J10970" s="44" t="s">
        <v>8</v>
      </c>
      <c r="K10970" s="23" t="s">
        <v>8</v>
      </c>
      <c r="L10970" s="23" t="s">
        <v>8</v>
      </c>
      <c r="M10970" s="23" t="s">
        <v>8</v>
      </c>
    </row>
    <row r="10971" spans="1:13" s="21" customFormat="1" x14ac:dyDescent="0.25">
      <c r="A10971" s="22" t="s">
        <v>8</v>
      </c>
      <c r="B10971" s="18" t="str">
        <f>"375559"</f>
        <v>375559</v>
      </c>
      <c r="C10971" s="19" t="s">
        <v>10797</v>
      </c>
      <c r="D10971" s="19" t="s">
        <v>26380</v>
      </c>
      <c r="E10971" s="19" t="s">
        <v>34742</v>
      </c>
      <c r="F10971" s="19" t="s">
        <v>36010</v>
      </c>
      <c r="G10971" s="18" t="str">
        <f>"73932"</f>
        <v>73932</v>
      </c>
      <c r="H10971" s="19" t="s">
        <v>34742</v>
      </c>
      <c r="I10971" s="20">
        <v>18.911999999999999</v>
      </c>
      <c r="J10971" s="44" t="s">
        <v>8</v>
      </c>
      <c r="K10971" s="23" t="s">
        <v>8</v>
      </c>
      <c r="L10971" s="23" t="s">
        <v>8</v>
      </c>
      <c r="M10971" s="23" t="s">
        <v>8</v>
      </c>
    </row>
    <row r="10972" spans="1:13" s="21" customFormat="1" x14ac:dyDescent="0.25">
      <c r="A10972" s="22" t="s">
        <v>8</v>
      </c>
      <c r="B10972" s="18" t="str">
        <f>"375560"</f>
        <v>375560</v>
      </c>
      <c r="C10972" s="19" t="s">
        <v>10798</v>
      </c>
      <c r="D10972" s="19" t="s">
        <v>26381</v>
      </c>
      <c r="E10972" s="19" t="s">
        <v>34669</v>
      </c>
      <c r="F10972" s="19" t="s">
        <v>36010</v>
      </c>
      <c r="G10972" s="18" t="str">
        <f>"73099"</f>
        <v>73099</v>
      </c>
      <c r="H10972" s="19" t="s">
        <v>35233</v>
      </c>
      <c r="I10972" s="20">
        <v>17.795000000000002</v>
      </c>
      <c r="J10972" s="44" t="s">
        <v>8</v>
      </c>
      <c r="K10972" s="23" t="s">
        <v>8</v>
      </c>
      <c r="L10972" s="23" t="s">
        <v>8</v>
      </c>
      <c r="M10972" s="23" t="s">
        <v>8</v>
      </c>
    </row>
    <row r="10973" spans="1:13" s="21" customFormat="1" x14ac:dyDescent="0.25">
      <c r="A10973" s="22" t="s">
        <v>8</v>
      </c>
      <c r="B10973" s="18" t="str">
        <f>"375561"</f>
        <v>375561</v>
      </c>
      <c r="C10973" s="19" t="s">
        <v>10799</v>
      </c>
      <c r="D10973" s="19" t="s">
        <v>26382</v>
      </c>
      <c r="E10973" s="19" t="s">
        <v>34647</v>
      </c>
      <c r="F10973" s="19" t="s">
        <v>36010</v>
      </c>
      <c r="G10973" s="18" t="str">
        <f>"73162"</f>
        <v>73162</v>
      </c>
      <c r="H10973" s="19" t="s">
        <v>36700</v>
      </c>
      <c r="I10973" s="20">
        <v>19.321000000000002</v>
      </c>
      <c r="J10973" s="44" t="s">
        <v>8</v>
      </c>
      <c r="K10973" s="23" t="s">
        <v>8</v>
      </c>
      <c r="L10973" s="23" t="s">
        <v>8</v>
      </c>
      <c r="M10973" s="23" t="s">
        <v>8</v>
      </c>
    </row>
    <row r="10974" spans="1:13" s="21" customFormat="1" x14ac:dyDescent="0.25">
      <c r="A10974" s="22" t="s">
        <v>8</v>
      </c>
      <c r="B10974" s="18" t="str">
        <f>"375562"</f>
        <v>375562</v>
      </c>
      <c r="C10974" s="19" t="s">
        <v>10800</v>
      </c>
      <c r="D10974" s="19" t="s">
        <v>26383</v>
      </c>
      <c r="E10974" s="19" t="s">
        <v>34634</v>
      </c>
      <c r="F10974" s="19" t="s">
        <v>36010</v>
      </c>
      <c r="G10974" s="18" t="str">
        <f>"73505"</f>
        <v>73505</v>
      </c>
      <c r="H10974" s="19" t="s">
        <v>34715</v>
      </c>
      <c r="I10974" s="20">
        <v>18.914000000000001</v>
      </c>
      <c r="J10974" s="44" t="s">
        <v>8</v>
      </c>
      <c r="K10974" s="23" t="s">
        <v>8</v>
      </c>
      <c r="L10974" s="23" t="s">
        <v>8</v>
      </c>
      <c r="M10974" s="23" t="s">
        <v>8</v>
      </c>
    </row>
    <row r="10975" spans="1:13" s="21" customFormat="1" x14ac:dyDescent="0.25">
      <c r="A10975" s="22" t="s">
        <v>8</v>
      </c>
      <c r="B10975" s="18" t="str">
        <f>"385008"</f>
        <v>385008</v>
      </c>
      <c r="C10975" s="19" t="s">
        <v>10801</v>
      </c>
      <c r="D10975" s="19" t="s">
        <v>26384</v>
      </c>
      <c r="E10975" s="19" t="s">
        <v>31239</v>
      </c>
      <c r="F10975" s="19" t="s">
        <v>36011</v>
      </c>
      <c r="G10975" s="18" t="str">
        <f>"97914"</f>
        <v>97914</v>
      </c>
      <c r="H10975" s="19" t="s">
        <v>36714</v>
      </c>
      <c r="I10975" s="20">
        <v>17.16</v>
      </c>
      <c r="J10975" s="44" t="s">
        <v>8</v>
      </c>
      <c r="K10975" s="23" t="s">
        <v>8</v>
      </c>
      <c r="L10975" s="23" t="s">
        <v>8</v>
      </c>
      <c r="M10975" s="23" t="s">
        <v>8</v>
      </c>
    </row>
    <row r="10976" spans="1:13" s="21" customFormat="1" x14ac:dyDescent="0.25">
      <c r="A10976" s="22" t="s">
        <v>8</v>
      </c>
      <c r="B10976" s="18" t="str">
        <f>"385010"</f>
        <v>385010</v>
      </c>
      <c r="C10976" s="19" t="s">
        <v>10802</v>
      </c>
      <c r="D10976" s="19" t="s">
        <v>26385</v>
      </c>
      <c r="E10976" s="19" t="s">
        <v>31432</v>
      </c>
      <c r="F10976" s="19" t="s">
        <v>36011</v>
      </c>
      <c r="G10976" s="18" t="str">
        <f>"97214"</f>
        <v>97214</v>
      </c>
      <c r="H10976" s="19" t="s">
        <v>36715</v>
      </c>
      <c r="I10976" s="20">
        <v>18.907</v>
      </c>
      <c r="J10976" s="44" t="s">
        <v>8</v>
      </c>
      <c r="K10976" s="23" t="s">
        <v>8</v>
      </c>
      <c r="L10976" s="23" t="s">
        <v>8</v>
      </c>
      <c r="M10976" s="23" t="s">
        <v>8</v>
      </c>
    </row>
    <row r="10977" spans="1:13" s="21" customFormat="1" x14ac:dyDescent="0.25">
      <c r="A10977" s="22" t="s">
        <v>8</v>
      </c>
      <c r="B10977" s="18" t="str">
        <f>"385015"</f>
        <v>385015</v>
      </c>
      <c r="C10977" s="19" t="s">
        <v>10803</v>
      </c>
      <c r="D10977" s="19" t="s">
        <v>26386</v>
      </c>
      <c r="E10977" s="19" t="s">
        <v>34743</v>
      </c>
      <c r="F10977" s="19" t="s">
        <v>36011</v>
      </c>
      <c r="G10977" s="18" t="str">
        <f>"97080"</f>
        <v>97080</v>
      </c>
      <c r="H10977" s="19" t="s">
        <v>36715</v>
      </c>
      <c r="I10977" s="20">
        <v>18.123999999999999</v>
      </c>
      <c r="J10977" s="44" t="s">
        <v>8</v>
      </c>
      <c r="K10977" s="23" t="s">
        <v>8</v>
      </c>
      <c r="L10977" s="23" t="s">
        <v>8</v>
      </c>
      <c r="M10977" s="23" t="s">
        <v>8</v>
      </c>
    </row>
    <row r="10978" spans="1:13" s="21" customFormat="1" x14ac:dyDescent="0.25">
      <c r="A10978" s="22" t="s">
        <v>8</v>
      </c>
      <c r="B10978" s="18" t="str">
        <f>"385018"</f>
        <v>385018</v>
      </c>
      <c r="C10978" s="19" t="s">
        <v>10804</v>
      </c>
      <c r="D10978" s="19" t="s">
        <v>26387</v>
      </c>
      <c r="E10978" s="19" t="s">
        <v>34744</v>
      </c>
      <c r="F10978" s="19" t="s">
        <v>36011</v>
      </c>
      <c r="G10978" s="18" t="str">
        <f>"97362"</f>
        <v>97362</v>
      </c>
      <c r="H10978" s="19" t="s">
        <v>30850</v>
      </c>
      <c r="I10978" s="20">
        <v>17.562000000000001</v>
      </c>
      <c r="J10978" s="44" t="s">
        <v>8</v>
      </c>
      <c r="K10978" s="23" t="s">
        <v>8</v>
      </c>
      <c r="L10978" s="23" t="s">
        <v>8</v>
      </c>
      <c r="M10978" s="23" t="s">
        <v>8</v>
      </c>
    </row>
    <row r="10979" spans="1:13" s="21" customFormat="1" x14ac:dyDescent="0.25">
      <c r="A10979" s="22" t="s">
        <v>8</v>
      </c>
      <c r="B10979" s="18" t="str">
        <f>"385024"</f>
        <v>385024</v>
      </c>
      <c r="C10979" s="19" t="s">
        <v>10805</v>
      </c>
      <c r="D10979" s="19" t="s">
        <v>26388</v>
      </c>
      <c r="E10979" s="19" t="s">
        <v>33063</v>
      </c>
      <c r="F10979" s="19" t="s">
        <v>36011</v>
      </c>
      <c r="G10979" s="18" t="str">
        <f>"97504"</f>
        <v>97504</v>
      </c>
      <c r="H10979" s="19" t="s">
        <v>30816</v>
      </c>
      <c r="I10979" s="20">
        <v>15.823</v>
      </c>
      <c r="J10979" s="44" t="s">
        <v>8</v>
      </c>
      <c r="K10979" s="23" t="s">
        <v>8</v>
      </c>
      <c r="L10979" s="23" t="s">
        <v>8</v>
      </c>
      <c r="M10979" s="23" t="s">
        <v>8</v>
      </c>
    </row>
    <row r="10980" spans="1:13" s="21" customFormat="1" x14ac:dyDescent="0.25">
      <c r="A10980" s="22" t="s">
        <v>8</v>
      </c>
      <c r="B10980" s="18" t="str">
        <f>"385031"</f>
        <v>385031</v>
      </c>
      <c r="C10980" s="19" t="s">
        <v>10806</v>
      </c>
      <c r="D10980" s="19" t="s">
        <v>26389</v>
      </c>
      <c r="E10980" s="19" t="s">
        <v>31432</v>
      </c>
      <c r="F10980" s="19" t="s">
        <v>36011</v>
      </c>
      <c r="G10980" s="18" t="str">
        <f>"97239"</f>
        <v>97239</v>
      </c>
      <c r="H10980" s="19" t="s">
        <v>36715</v>
      </c>
      <c r="I10980" s="20">
        <v>18.771999999999998</v>
      </c>
      <c r="J10980" s="44" t="s">
        <v>8</v>
      </c>
      <c r="K10980" s="23" t="s">
        <v>8</v>
      </c>
      <c r="L10980" s="23" t="s">
        <v>8</v>
      </c>
      <c r="M10980" s="23" t="s">
        <v>8</v>
      </c>
    </row>
    <row r="10981" spans="1:13" s="21" customFormat="1" x14ac:dyDescent="0.25">
      <c r="A10981" s="22" t="s">
        <v>8</v>
      </c>
      <c r="B10981" s="18" t="str">
        <f>"385039"</f>
        <v>385039</v>
      </c>
      <c r="C10981" s="19" t="s">
        <v>10807</v>
      </c>
      <c r="D10981" s="19" t="s">
        <v>26390</v>
      </c>
      <c r="E10981" s="19" t="s">
        <v>33825</v>
      </c>
      <c r="F10981" s="19" t="s">
        <v>36011</v>
      </c>
      <c r="G10981" s="18" t="str">
        <f>"97459"</f>
        <v>97459</v>
      </c>
      <c r="H10981" s="19" t="s">
        <v>36575</v>
      </c>
      <c r="I10981" s="20">
        <v>18.552</v>
      </c>
      <c r="J10981" s="44" t="s">
        <v>8</v>
      </c>
      <c r="K10981" s="23" t="s">
        <v>8</v>
      </c>
      <c r="L10981" s="23" t="s">
        <v>8</v>
      </c>
      <c r="M10981" s="23" t="s">
        <v>8</v>
      </c>
    </row>
    <row r="10982" spans="1:13" s="21" customFormat="1" x14ac:dyDescent="0.25">
      <c r="A10982" s="22" t="s">
        <v>8</v>
      </c>
      <c r="B10982" s="18" t="str">
        <f>"385044"</f>
        <v>385044</v>
      </c>
      <c r="C10982" s="19" t="s">
        <v>10808</v>
      </c>
      <c r="D10982" s="19" t="s">
        <v>26391</v>
      </c>
      <c r="E10982" s="19" t="s">
        <v>31432</v>
      </c>
      <c r="F10982" s="19" t="s">
        <v>36011</v>
      </c>
      <c r="G10982" s="18" t="str">
        <f>"97230"</f>
        <v>97230</v>
      </c>
      <c r="H10982" s="19" t="s">
        <v>36715</v>
      </c>
      <c r="I10982" s="20">
        <v>20.035</v>
      </c>
      <c r="J10982" s="44" t="s">
        <v>8</v>
      </c>
      <c r="K10982" s="23" t="s">
        <v>8</v>
      </c>
      <c r="L10982" s="23" t="s">
        <v>8</v>
      </c>
      <c r="M10982" s="23" t="s">
        <v>8</v>
      </c>
    </row>
    <row r="10983" spans="1:13" s="21" customFormat="1" x14ac:dyDescent="0.25">
      <c r="A10983" s="22" t="s">
        <v>8</v>
      </c>
      <c r="B10983" s="18" t="str">
        <f>"385045"</f>
        <v>385045</v>
      </c>
      <c r="C10983" s="19" t="s">
        <v>10809</v>
      </c>
      <c r="D10983" s="19" t="s">
        <v>26392</v>
      </c>
      <c r="E10983" s="19" t="s">
        <v>31432</v>
      </c>
      <c r="F10983" s="19" t="s">
        <v>36011</v>
      </c>
      <c r="G10983" s="18" t="str">
        <f>"97218"</f>
        <v>97218</v>
      </c>
      <c r="H10983" s="19" t="s">
        <v>36715</v>
      </c>
      <c r="I10983" s="20">
        <v>16.631</v>
      </c>
      <c r="J10983" s="44" t="s">
        <v>8</v>
      </c>
      <c r="K10983" s="23" t="s">
        <v>8</v>
      </c>
      <c r="L10983" s="23" t="s">
        <v>8</v>
      </c>
      <c r="M10983" s="23" t="s">
        <v>8</v>
      </c>
    </row>
    <row r="10984" spans="1:13" s="21" customFormat="1" x14ac:dyDescent="0.25">
      <c r="A10984" s="22" t="s">
        <v>8</v>
      </c>
      <c r="B10984" s="18" t="str">
        <f>"385046"</f>
        <v>385046</v>
      </c>
      <c r="C10984" s="19" t="s">
        <v>10810</v>
      </c>
      <c r="D10984" s="19" t="s">
        <v>26393</v>
      </c>
      <c r="E10984" s="19" t="s">
        <v>34745</v>
      </c>
      <c r="F10984" s="19" t="s">
        <v>36011</v>
      </c>
      <c r="G10984" s="18" t="str">
        <f>"97405"</f>
        <v>97405</v>
      </c>
      <c r="H10984" s="19" t="s">
        <v>36716</v>
      </c>
      <c r="I10984" s="20">
        <v>17.902999999999999</v>
      </c>
      <c r="J10984" s="44" t="s">
        <v>8</v>
      </c>
      <c r="K10984" s="23" t="s">
        <v>8</v>
      </c>
      <c r="L10984" s="23" t="s">
        <v>8</v>
      </c>
      <c r="M10984" s="23" t="s">
        <v>8</v>
      </c>
    </row>
    <row r="10985" spans="1:13" s="21" customFormat="1" x14ac:dyDescent="0.25">
      <c r="A10985" s="22" t="s">
        <v>8</v>
      </c>
      <c r="B10985" s="18" t="str">
        <f>"385049"</f>
        <v>385049</v>
      </c>
      <c r="C10985" s="19" t="s">
        <v>10811</v>
      </c>
      <c r="D10985" s="19" t="s">
        <v>26394</v>
      </c>
      <c r="E10985" s="19" t="s">
        <v>34746</v>
      </c>
      <c r="F10985" s="19" t="s">
        <v>36011</v>
      </c>
      <c r="G10985" s="18" t="str">
        <f>"97058"</f>
        <v>97058</v>
      </c>
      <c r="H10985" s="19" t="s">
        <v>36717</v>
      </c>
      <c r="I10985" s="20">
        <v>20.225000000000001</v>
      </c>
      <c r="J10985" s="44" t="s">
        <v>8</v>
      </c>
      <c r="K10985" s="23" t="s">
        <v>8</v>
      </c>
      <c r="L10985" s="23" t="s">
        <v>8</v>
      </c>
      <c r="M10985" s="23" t="s">
        <v>8</v>
      </c>
    </row>
    <row r="10986" spans="1:13" s="21" customFormat="1" x14ac:dyDescent="0.25">
      <c r="A10986" s="22" t="s">
        <v>8</v>
      </c>
      <c r="B10986" s="18" t="str">
        <f>"385053"</f>
        <v>385053</v>
      </c>
      <c r="C10986" s="19" t="s">
        <v>10812</v>
      </c>
      <c r="D10986" s="19" t="s">
        <v>26395</v>
      </c>
      <c r="E10986" s="19" t="s">
        <v>34745</v>
      </c>
      <c r="F10986" s="19" t="s">
        <v>36011</v>
      </c>
      <c r="G10986" s="18" t="str">
        <f>"97405"</f>
        <v>97405</v>
      </c>
      <c r="H10986" s="19" t="s">
        <v>36716</v>
      </c>
      <c r="I10986" s="20">
        <v>21.295999999999999</v>
      </c>
      <c r="J10986" s="44" t="s">
        <v>8</v>
      </c>
      <c r="K10986" s="23" t="s">
        <v>8</v>
      </c>
      <c r="L10986" s="23" t="s">
        <v>8</v>
      </c>
      <c r="M10986" s="23" t="s">
        <v>8</v>
      </c>
    </row>
    <row r="10987" spans="1:13" s="21" customFormat="1" x14ac:dyDescent="0.25">
      <c r="A10987" s="22" t="s">
        <v>8</v>
      </c>
      <c r="B10987" s="18" t="str">
        <f>"385055"</f>
        <v>385055</v>
      </c>
      <c r="C10987" s="19" t="s">
        <v>10813</v>
      </c>
      <c r="D10987" s="19" t="s">
        <v>26396</v>
      </c>
      <c r="E10987" s="19" t="s">
        <v>31432</v>
      </c>
      <c r="F10987" s="19" t="s">
        <v>36011</v>
      </c>
      <c r="G10987" s="18" t="str">
        <f>"97202"</f>
        <v>97202</v>
      </c>
      <c r="H10987" s="19" t="s">
        <v>36715</v>
      </c>
      <c r="I10987" s="20">
        <v>18.541</v>
      </c>
      <c r="J10987" s="44" t="s">
        <v>8</v>
      </c>
      <c r="K10987" s="23" t="s">
        <v>8</v>
      </c>
      <c r="L10987" s="23" t="s">
        <v>8</v>
      </c>
      <c r="M10987" s="23" t="s">
        <v>8</v>
      </c>
    </row>
    <row r="10988" spans="1:13" s="21" customFormat="1" x14ac:dyDescent="0.25">
      <c r="A10988" s="22" t="s">
        <v>8</v>
      </c>
      <c r="B10988" s="18" t="str">
        <f>"385064"</f>
        <v>385064</v>
      </c>
      <c r="C10988" s="19" t="s">
        <v>10814</v>
      </c>
      <c r="D10988" s="19" t="s">
        <v>26397</v>
      </c>
      <c r="E10988" s="19" t="s">
        <v>34747</v>
      </c>
      <c r="F10988" s="19" t="s">
        <v>36011</v>
      </c>
      <c r="G10988" s="18" t="str">
        <f>"97526"</f>
        <v>97526</v>
      </c>
      <c r="H10988" s="19" t="s">
        <v>36718</v>
      </c>
      <c r="I10988" s="20">
        <v>18.481000000000002</v>
      </c>
      <c r="J10988" s="44" t="s">
        <v>8</v>
      </c>
      <c r="K10988" s="23" t="s">
        <v>8</v>
      </c>
      <c r="L10988" s="23" t="s">
        <v>8</v>
      </c>
      <c r="M10988" s="23" t="s">
        <v>8</v>
      </c>
    </row>
    <row r="10989" spans="1:13" s="21" customFormat="1" x14ac:dyDescent="0.25">
      <c r="A10989" s="22" t="s">
        <v>8</v>
      </c>
      <c r="B10989" s="18" t="str">
        <f>"385068"</f>
        <v>385068</v>
      </c>
      <c r="C10989" s="19" t="s">
        <v>10815</v>
      </c>
      <c r="D10989" s="19" t="s">
        <v>26398</v>
      </c>
      <c r="E10989" s="19" t="s">
        <v>34743</v>
      </c>
      <c r="F10989" s="19" t="s">
        <v>36011</v>
      </c>
      <c r="G10989" s="18" t="str">
        <f>"97030"</f>
        <v>97030</v>
      </c>
      <c r="H10989" s="19" t="s">
        <v>36715</v>
      </c>
      <c r="I10989" s="20">
        <v>19.821000000000002</v>
      </c>
      <c r="J10989" s="44" t="s">
        <v>8</v>
      </c>
      <c r="K10989" s="23" t="s">
        <v>8</v>
      </c>
      <c r="L10989" s="23" t="s">
        <v>8</v>
      </c>
      <c r="M10989" s="23" t="s">
        <v>8</v>
      </c>
    </row>
    <row r="10990" spans="1:13" s="21" customFormat="1" x14ac:dyDescent="0.25">
      <c r="A10990" s="22" t="s">
        <v>8</v>
      </c>
      <c r="B10990" s="18" t="str">
        <f>"385072"</f>
        <v>385072</v>
      </c>
      <c r="C10990" s="19" t="s">
        <v>10816</v>
      </c>
      <c r="D10990" s="19" t="s">
        <v>26399</v>
      </c>
      <c r="E10990" s="19" t="s">
        <v>34748</v>
      </c>
      <c r="F10990" s="19" t="s">
        <v>36011</v>
      </c>
      <c r="G10990" s="18" t="str">
        <f>"97330"</f>
        <v>97330</v>
      </c>
      <c r="H10990" s="19" t="s">
        <v>31024</v>
      </c>
      <c r="I10990" s="20">
        <v>17.832000000000001</v>
      </c>
      <c r="J10990" s="44" t="s">
        <v>8</v>
      </c>
      <c r="K10990" s="23" t="s">
        <v>8</v>
      </c>
      <c r="L10990" s="23" t="s">
        <v>8</v>
      </c>
      <c r="M10990" s="23" t="s">
        <v>8</v>
      </c>
    </row>
    <row r="10991" spans="1:13" s="21" customFormat="1" x14ac:dyDescent="0.25">
      <c r="A10991" s="22" t="s">
        <v>8</v>
      </c>
      <c r="B10991" s="18" t="str">
        <f>"385077"</f>
        <v>385077</v>
      </c>
      <c r="C10991" s="19" t="s">
        <v>10817</v>
      </c>
      <c r="D10991" s="19" t="s">
        <v>26400</v>
      </c>
      <c r="E10991" s="19" t="s">
        <v>31717</v>
      </c>
      <c r="F10991" s="19" t="s">
        <v>36011</v>
      </c>
      <c r="G10991" s="18" t="str">
        <f>"97477"</f>
        <v>97477</v>
      </c>
      <c r="H10991" s="19" t="s">
        <v>36716</v>
      </c>
      <c r="I10991" s="20">
        <v>21.152999999999999</v>
      </c>
      <c r="J10991" s="44" t="s">
        <v>8</v>
      </c>
      <c r="K10991" s="23" t="s">
        <v>8</v>
      </c>
      <c r="L10991" s="23" t="s">
        <v>8</v>
      </c>
      <c r="M10991" s="23" t="s">
        <v>8</v>
      </c>
    </row>
    <row r="10992" spans="1:13" s="21" customFormat="1" x14ac:dyDescent="0.25">
      <c r="A10992" s="22" t="s">
        <v>8</v>
      </c>
      <c r="B10992" s="18" t="str">
        <f>"385091"</f>
        <v>385091</v>
      </c>
      <c r="C10992" s="19" t="s">
        <v>10818</v>
      </c>
      <c r="D10992" s="19" t="s">
        <v>26401</v>
      </c>
      <c r="E10992" s="19" t="s">
        <v>33063</v>
      </c>
      <c r="F10992" s="19" t="s">
        <v>36011</v>
      </c>
      <c r="G10992" s="18" t="str">
        <f>"97504"</f>
        <v>97504</v>
      </c>
      <c r="H10992" s="19" t="s">
        <v>30816</v>
      </c>
      <c r="I10992" s="20">
        <v>21.196000000000002</v>
      </c>
      <c r="J10992" s="44" t="s">
        <v>8</v>
      </c>
      <c r="K10992" s="23" t="s">
        <v>8</v>
      </c>
      <c r="L10992" s="23" t="s">
        <v>8</v>
      </c>
      <c r="M10992" s="23" t="s">
        <v>8</v>
      </c>
    </row>
    <row r="10993" spans="1:13" s="21" customFormat="1" x14ac:dyDescent="0.25">
      <c r="A10993" s="22" t="s">
        <v>8</v>
      </c>
      <c r="B10993" s="18" t="str">
        <f>"385104"</f>
        <v>385104</v>
      </c>
      <c r="C10993" s="19" t="s">
        <v>10819</v>
      </c>
      <c r="D10993" s="19" t="s">
        <v>26402</v>
      </c>
      <c r="E10993" s="19" t="s">
        <v>34749</v>
      </c>
      <c r="F10993" s="19" t="s">
        <v>36011</v>
      </c>
      <c r="G10993" s="18" t="str">
        <f>"97031"</f>
        <v>97031</v>
      </c>
      <c r="H10993" s="19" t="s">
        <v>34749</v>
      </c>
      <c r="I10993" s="20">
        <v>19.2</v>
      </c>
      <c r="J10993" s="44" t="s">
        <v>8</v>
      </c>
      <c r="K10993" s="23" t="s">
        <v>8</v>
      </c>
      <c r="L10993" s="23" t="s">
        <v>8</v>
      </c>
      <c r="M10993" s="23" t="s">
        <v>8</v>
      </c>
    </row>
    <row r="10994" spans="1:13" s="21" customFormat="1" x14ac:dyDescent="0.25">
      <c r="A10994" s="22" t="s">
        <v>8</v>
      </c>
      <c r="B10994" s="18" t="str">
        <f>"385107"</f>
        <v>385107</v>
      </c>
      <c r="C10994" s="19" t="s">
        <v>10820</v>
      </c>
      <c r="D10994" s="19" t="s">
        <v>26403</v>
      </c>
      <c r="E10994" s="19" t="s">
        <v>31834</v>
      </c>
      <c r="F10994" s="19" t="s">
        <v>36011</v>
      </c>
      <c r="G10994" s="18" t="str">
        <f>"97321"</f>
        <v>97321</v>
      </c>
      <c r="H10994" s="19" t="s">
        <v>32661</v>
      </c>
      <c r="I10994" s="20">
        <v>19.542999999999999</v>
      </c>
      <c r="J10994" s="44" t="s">
        <v>8</v>
      </c>
      <c r="K10994" s="23" t="s">
        <v>8</v>
      </c>
      <c r="L10994" s="23" t="s">
        <v>8</v>
      </c>
      <c r="M10994" s="23" t="s">
        <v>8</v>
      </c>
    </row>
    <row r="10995" spans="1:13" s="21" customFormat="1" x14ac:dyDescent="0.25">
      <c r="A10995" s="22" t="s">
        <v>8</v>
      </c>
      <c r="B10995" s="18" t="str">
        <f>"385112"</f>
        <v>385112</v>
      </c>
      <c r="C10995" s="19" t="s">
        <v>10821</v>
      </c>
      <c r="D10995" s="19" t="s">
        <v>26404</v>
      </c>
      <c r="E10995" s="19" t="s">
        <v>31432</v>
      </c>
      <c r="F10995" s="19" t="s">
        <v>36011</v>
      </c>
      <c r="G10995" s="18" t="str">
        <f>"97219"</f>
        <v>97219</v>
      </c>
      <c r="H10995" s="19" t="s">
        <v>36715</v>
      </c>
      <c r="I10995" s="20">
        <v>16.504000000000001</v>
      </c>
      <c r="J10995" s="44" t="s">
        <v>8</v>
      </c>
      <c r="K10995" s="23" t="s">
        <v>8</v>
      </c>
      <c r="L10995" s="23" t="s">
        <v>8</v>
      </c>
      <c r="M10995" s="23" t="s">
        <v>8</v>
      </c>
    </row>
    <row r="10996" spans="1:13" s="21" customFormat="1" x14ac:dyDescent="0.25">
      <c r="A10996" s="22" t="s">
        <v>8</v>
      </c>
      <c r="B10996" s="18" t="str">
        <f>"385115"</f>
        <v>385115</v>
      </c>
      <c r="C10996" s="19" t="s">
        <v>10822</v>
      </c>
      <c r="D10996" s="19" t="s">
        <v>26405</v>
      </c>
      <c r="E10996" s="19" t="s">
        <v>33166</v>
      </c>
      <c r="F10996" s="19" t="s">
        <v>36011</v>
      </c>
      <c r="G10996" s="18" t="str">
        <f>"97630"</f>
        <v>97630</v>
      </c>
      <c r="H10996" s="19" t="s">
        <v>36096</v>
      </c>
      <c r="I10996" s="20">
        <v>18.478999999999999</v>
      </c>
      <c r="J10996" s="44" t="s">
        <v>8</v>
      </c>
      <c r="K10996" s="23" t="s">
        <v>8</v>
      </c>
      <c r="L10996" s="23" t="s">
        <v>8</v>
      </c>
      <c r="M10996" s="23" t="s">
        <v>8</v>
      </c>
    </row>
    <row r="10997" spans="1:13" s="21" customFormat="1" x14ac:dyDescent="0.25">
      <c r="A10997" s="22" t="s">
        <v>8</v>
      </c>
      <c r="B10997" s="18" t="str">
        <f>"385117"</f>
        <v>385117</v>
      </c>
      <c r="C10997" s="19" t="s">
        <v>10823</v>
      </c>
      <c r="D10997" s="19" t="s">
        <v>26406</v>
      </c>
      <c r="E10997" s="19" t="s">
        <v>32708</v>
      </c>
      <c r="F10997" s="19" t="s">
        <v>36011</v>
      </c>
      <c r="G10997" s="18" t="str">
        <f>"97071"</f>
        <v>97071</v>
      </c>
      <c r="H10997" s="19" t="s">
        <v>30850</v>
      </c>
      <c r="I10997" s="20">
        <v>18.21</v>
      </c>
      <c r="J10997" s="44" t="s">
        <v>8</v>
      </c>
      <c r="K10997" s="23" t="s">
        <v>8</v>
      </c>
      <c r="L10997" s="23" t="s">
        <v>8</v>
      </c>
      <c r="M10997" s="23" t="s">
        <v>8</v>
      </c>
    </row>
    <row r="10998" spans="1:13" s="21" customFormat="1" x14ac:dyDescent="0.25">
      <c r="A10998" s="22" t="s">
        <v>8</v>
      </c>
      <c r="B10998" s="18" t="str">
        <f>"385120"</f>
        <v>385120</v>
      </c>
      <c r="C10998" s="19" t="s">
        <v>10824</v>
      </c>
      <c r="D10998" s="19" t="s">
        <v>26407</v>
      </c>
      <c r="E10998" s="19" t="s">
        <v>34745</v>
      </c>
      <c r="F10998" s="19" t="s">
        <v>36011</v>
      </c>
      <c r="G10998" s="18" t="str">
        <f>"97405"</f>
        <v>97405</v>
      </c>
      <c r="H10998" s="19" t="s">
        <v>36716</v>
      </c>
      <c r="I10998" s="20">
        <v>22.103999999999999</v>
      </c>
      <c r="J10998" s="44" t="s">
        <v>8</v>
      </c>
      <c r="K10998" s="23" t="s">
        <v>8</v>
      </c>
      <c r="L10998" s="23" t="s">
        <v>8</v>
      </c>
      <c r="M10998" s="23" t="s">
        <v>8</v>
      </c>
    </row>
    <row r="10999" spans="1:13" s="21" customFormat="1" x14ac:dyDescent="0.25">
      <c r="A10999" s="22" t="s">
        <v>8</v>
      </c>
      <c r="B10999" s="18" t="str">
        <f>"385121"</f>
        <v>385121</v>
      </c>
      <c r="C10999" s="19" t="s">
        <v>10825</v>
      </c>
      <c r="D10999" s="19" t="s">
        <v>26408</v>
      </c>
      <c r="E10999" s="19" t="s">
        <v>31432</v>
      </c>
      <c r="F10999" s="19" t="s">
        <v>36011</v>
      </c>
      <c r="G10999" s="18" t="str">
        <f>"97202"</f>
        <v>97202</v>
      </c>
      <c r="H10999" s="19" t="s">
        <v>36715</v>
      </c>
      <c r="I10999" s="20">
        <v>17.591000000000001</v>
      </c>
      <c r="J10999" s="44" t="s">
        <v>8</v>
      </c>
      <c r="K10999" s="23" t="s">
        <v>8</v>
      </c>
      <c r="L10999" s="23" t="s">
        <v>8</v>
      </c>
      <c r="M10999" s="23" t="s">
        <v>8</v>
      </c>
    </row>
    <row r="11000" spans="1:13" s="21" customFormat="1" x14ac:dyDescent="0.25">
      <c r="A11000" s="22" t="s">
        <v>8</v>
      </c>
      <c r="B11000" s="18" t="str">
        <f>"385125"</f>
        <v>385125</v>
      </c>
      <c r="C11000" s="19" t="s">
        <v>10826</v>
      </c>
      <c r="D11000" s="19" t="s">
        <v>26409</v>
      </c>
      <c r="E11000" s="19" t="s">
        <v>34750</v>
      </c>
      <c r="F11000" s="19" t="s">
        <v>36011</v>
      </c>
      <c r="G11000" s="18" t="str">
        <f>"97045"</f>
        <v>97045</v>
      </c>
      <c r="H11000" s="19" t="s">
        <v>36719</v>
      </c>
      <c r="I11000" s="20">
        <v>20.488</v>
      </c>
      <c r="J11000" s="44" t="s">
        <v>8</v>
      </c>
      <c r="K11000" s="23" t="s">
        <v>8</v>
      </c>
      <c r="L11000" s="23" t="s">
        <v>8</v>
      </c>
      <c r="M11000" s="23" t="s">
        <v>8</v>
      </c>
    </row>
    <row r="11001" spans="1:13" s="21" customFormat="1" x14ac:dyDescent="0.25">
      <c r="A11001" s="22" t="s">
        <v>8</v>
      </c>
      <c r="B11001" s="18" t="str">
        <f>"385126"</f>
        <v>385126</v>
      </c>
      <c r="C11001" s="19" t="s">
        <v>10827</v>
      </c>
      <c r="D11001" s="19" t="s">
        <v>26410</v>
      </c>
      <c r="E11001" s="19" t="s">
        <v>33063</v>
      </c>
      <c r="F11001" s="19" t="s">
        <v>36011</v>
      </c>
      <c r="G11001" s="18" t="str">
        <f>"97504"</f>
        <v>97504</v>
      </c>
      <c r="H11001" s="19" t="s">
        <v>30816</v>
      </c>
      <c r="I11001" s="20">
        <v>19.831</v>
      </c>
      <c r="J11001" s="44" t="s">
        <v>8</v>
      </c>
      <c r="K11001" s="23" t="s">
        <v>8</v>
      </c>
      <c r="L11001" s="23" t="s">
        <v>8</v>
      </c>
      <c r="M11001" s="23" t="s">
        <v>8</v>
      </c>
    </row>
    <row r="11002" spans="1:13" s="21" customFormat="1" x14ac:dyDescent="0.25">
      <c r="A11002" s="22" t="s">
        <v>8</v>
      </c>
      <c r="B11002" s="18" t="str">
        <f>"385132"</f>
        <v>385132</v>
      </c>
      <c r="C11002" s="19" t="s">
        <v>10828</v>
      </c>
      <c r="D11002" s="19" t="s">
        <v>26411</v>
      </c>
      <c r="E11002" s="19" t="s">
        <v>34751</v>
      </c>
      <c r="F11002" s="19" t="s">
        <v>36011</v>
      </c>
      <c r="G11002" s="18" t="str">
        <f>"97224"</f>
        <v>97224</v>
      </c>
      <c r="H11002" s="19" t="s">
        <v>31500</v>
      </c>
      <c r="I11002" s="20">
        <v>17.812000000000001</v>
      </c>
      <c r="J11002" s="44" t="s">
        <v>8</v>
      </c>
      <c r="K11002" s="23" t="s">
        <v>8</v>
      </c>
      <c r="L11002" s="23" t="s">
        <v>8</v>
      </c>
      <c r="M11002" s="23" t="s">
        <v>8</v>
      </c>
    </row>
    <row r="11003" spans="1:13" s="21" customFormat="1" x14ac:dyDescent="0.25">
      <c r="A11003" s="22" t="s">
        <v>8</v>
      </c>
      <c r="B11003" s="18" t="str">
        <f>"385133"</f>
        <v>385133</v>
      </c>
      <c r="C11003" s="19" t="s">
        <v>10829</v>
      </c>
      <c r="D11003" s="19" t="s">
        <v>26412</v>
      </c>
      <c r="E11003" s="19" t="s">
        <v>34743</v>
      </c>
      <c r="F11003" s="19" t="s">
        <v>36011</v>
      </c>
      <c r="G11003" s="18" t="str">
        <f>"97030"</f>
        <v>97030</v>
      </c>
      <c r="H11003" s="19" t="s">
        <v>36715</v>
      </c>
      <c r="I11003" s="20">
        <v>19.178000000000001</v>
      </c>
      <c r="J11003" s="44" t="s">
        <v>8</v>
      </c>
      <c r="K11003" s="23" t="s">
        <v>8</v>
      </c>
      <c r="L11003" s="23" t="s">
        <v>8</v>
      </c>
      <c r="M11003" s="23" t="s">
        <v>8</v>
      </c>
    </row>
    <row r="11004" spans="1:13" s="21" customFormat="1" x14ac:dyDescent="0.25">
      <c r="A11004" s="22" t="s">
        <v>8</v>
      </c>
      <c r="B11004" s="18" t="str">
        <f>"385136"</f>
        <v>385136</v>
      </c>
      <c r="C11004" s="19" t="s">
        <v>10830</v>
      </c>
      <c r="D11004" s="19" t="s">
        <v>26413</v>
      </c>
      <c r="E11004" s="19" t="s">
        <v>31432</v>
      </c>
      <c r="F11004" s="19" t="s">
        <v>36011</v>
      </c>
      <c r="G11004" s="18" t="str">
        <f>"97220"</f>
        <v>97220</v>
      </c>
      <c r="H11004" s="19" t="s">
        <v>36715</v>
      </c>
      <c r="I11004" s="20">
        <v>16.399999999999999</v>
      </c>
      <c r="J11004" s="44" t="s">
        <v>8</v>
      </c>
      <c r="K11004" s="23" t="s">
        <v>8</v>
      </c>
      <c r="L11004" s="23" t="s">
        <v>8</v>
      </c>
      <c r="M11004" s="23" t="s">
        <v>8</v>
      </c>
    </row>
    <row r="11005" spans="1:13" s="21" customFormat="1" x14ac:dyDescent="0.25">
      <c r="A11005" s="22" t="s">
        <v>8</v>
      </c>
      <c r="B11005" s="18" t="str">
        <f>"385137"</f>
        <v>385137</v>
      </c>
      <c r="C11005" s="19" t="s">
        <v>10831</v>
      </c>
      <c r="D11005" s="19" t="s">
        <v>26414</v>
      </c>
      <c r="E11005" s="19" t="s">
        <v>34752</v>
      </c>
      <c r="F11005" s="19" t="s">
        <v>36011</v>
      </c>
      <c r="G11005" s="18" t="str">
        <f>"97601"</f>
        <v>97601</v>
      </c>
      <c r="H11005" s="19" t="s">
        <v>36720</v>
      </c>
      <c r="I11005" s="20">
        <v>15.356</v>
      </c>
      <c r="J11005" s="44" t="s">
        <v>8</v>
      </c>
      <c r="K11005" s="23" t="s">
        <v>8</v>
      </c>
      <c r="L11005" s="23" t="s">
        <v>8</v>
      </c>
      <c r="M11005" s="23" t="s">
        <v>8</v>
      </c>
    </row>
    <row r="11006" spans="1:13" s="21" customFormat="1" x14ac:dyDescent="0.25">
      <c r="A11006" s="22" t="s">
        <v>8</v>
      </c>
      <c r="B11006" s="18" t="str">
        <f>"385138"</f>
        <v>385138</v>
      </c>
      <c r="C11006" s="19" t="s">
        <v>10832</v>
      </c>
      <c r="D11006" s="19" t="s">
        <v>26415</v>
      </c>
      <c r="E11006" s="19" t="s">
        <v>34753</v>
      </c>
      <c r="F11006" s="19" t="s">
        <v>36011</v>
      </c>
      <c r="G11006" s="18" t="str">
        <f>"97701"</f>
        <v>97701</v>
      </c>
      <c r="H11006" s="19" t="s">
        <v>36721</v>
      </c>
      <c r="I11006" s="20">
        <v>17.100000000000001</v>
      </c>
      <c r="J11006" s="44" t="s">
        <v>8</v>
      </c>
      <c r="K11006" s="23" t="s">
        <v>8</v>
      </c>
      <c r="L11006" s="23" t="s">
        <v>8</v>
      </c>
      <c r="M11006" s="23" t="s">
        <v>8</v>
      </c>
    </row>
    <row r="11007" spans="1:13" s="21" customFormat="1" x14ac:dyDescent="0.25">
      <c r="A11007" s="22" t="s">
        <v>8</v>
      </c>
      <c r="B11007" s="18" t="str">
        <f>"385141"</f>
        <v>385141</v>
      </c>
      <c r="C11007" s="19" t="s">
        <v>10833</v>
      </c>
      <c r="D11007" s="19" t="s">
        <v>26416</v>
      </c>
      <c r="E11007" s="19" t="s">
        <v>31432</v>
      </c>
      <c r="F11007" s="19" t="s">
        <v>36011</v>
      </c>
      <c r="G11007" s="18" t="str">
        <f>"97215"</f>
        <v>97215</v>
      </c>
      <c r="H11007" s="19" t="s">
        <v>36715</v>
      </c>
      <c r="I11007" s="20">
        <v>19.411000000000001</v>
      </c>
      <c r="J11007" s="44" t="s">
        <v>8</v>
      </c>
      <c r="K11007" s="23" t="s">
        <v>8</v>
      </c>
      <c r="L11007" s="23" t="s">
        <v>8</v>
      </c>
      <c r="M11007" s="23" t="s">
        <v>8</v>
      </c>
    </row>
    <row r="11008" spans="1:13" s="21" customFormat="1" x14ac:dyDescent="0.25">
      <c r="A11008" s="22" t="s">
        <v>8</v>
      </c>
      <c r="B11008" s="18" t="str">
        <f>"385142"</f>
        <v>385142</v>
      </c>
      <c r="C11008" s="19" t="s">
        <v>10834</v>
      </c>
      <c r="D11008" s="19" t="s">
        <v>26417</v>
      </c>
      <c r="E11008" s="19" t="s">
        <v>30829</v>
      </c>
      <c r="F11008" s="19" t="s">
        <v>36011</v>
      </c>
      <c r="G11008" s="18" t="str">
        <f>"97439"</f>
        <v>97439</v>
      </c>
      <c r="H11008" s="19" t="s">
        <v>36716</v>
      </c>
      <c r="I11008" s="20">
        <v>16.372</v>
      </c>
      <c r="J11008" s="44" t="s">
        <v>8</v>
      </c>
      <c r="K11008" s="23" t="s">
        <v>8</v>
      </c>
      <c r="L11008" s="23" t="s">
        <v>8</v>
      </c>
      <c r="M11008" s="23" t="s">
        <v>8</v>
      </c>
    </row>
    <row r="11009" spans="1:13" s="21" customFormat="1" x14ac:dyDescent="0.25">
      <c r="A11009" s="22" t="s">
        <v>8</v>
      </c>
      <c r="B11009" s="18" t="str">
        <f>"385143"</f>
        <v>385143</v>
      </c>
      <c r="C11009" s="19" t="s">
        <v>10835</v>
      </c>
      <c r="D11009" s="19" t="s">
        <v>26418</v>
      </c>
      <c r="E11009" s="19" t="s">
        <v>34754</v>
      </c>
      <c r="F11009" s="19" t="s">
        <v>36011</v>
      </c>
      <c r="G11009" s="18" t="str">
        <f>"97470"</f>
        <v>97470</v>
      </c>
      <c r="H11009" s="19" t="s">
        <v>30966</v>
      </c>
      <c r="I11009" s="20">
        <v>18.446999999999999</v>
      </c>
      <c r="J11009" s="44" t="s">
        <v>8</v>
      </c>
      <c r="K11009" s="23" t="s">
        <v>8</v>
      </c>
      <c r="L11009" s="23" t="s">
        <v>8</v>
      </c>
      <c r="M11009" s="23" t="s">
        <v>8</v>
      </c>
    </row>
    <row r="11010" spans="1:13" s="21" customFormat="1" x14ac:dyDescent="0.25">
      <c r="A11010" s="22" t="s">
        <v>8</v>
      </c>
      <c r="B11010" s="18" t="str">
        <f>"385144"</f>
        <v>385144</v>
      </c>
      <c r="C11010" s="19" t="s">
        <v>10836</v>
      </c>
      <c r="D11010" s="19" t="s">
        <v>26419</v>
      </c>
      <c r="E11010" s="19" t="s">
        <v>34229</v>
      </c>
      <c r="F11010" s="19" t="s">
        <v>36011</v>
      </c>
      <c r="G11010" s="18" t="str">
        <f>"97103"</f>
        <v>97103</v>
      </c>
      <c r="H11010" s="19" t="s">
        <v>36722</v>
      </c>
      <c r="I11010" s="20">
        <v>17.326000000000001</v>
      </c>
      <c r="J11010" s="44" t="s">
        <v>8</v>
      </c>
      <c r="K11010" s="23" t="s">
        <v>8</v>
      </c>
      <c r="L11010" s="23" t="s">
        <v>8</v>
      </c>
      <c r="M11010" s="23" t="s">
        <v>8</v>
      </c>
    </row>
    <row r="11011" spans="1:13" s="21" customFormat="1" x14ac:dyDescent="0.25">
      <c r="A11011" s="22" t="s">
        <v>8</v>
      </c>
      <c r="B11011" s="18" t="str">
        <f>"385145"</f>
        <v>385145</v>
      </c>
      <c r="C11011" s="19" t="s">
        <v>10837</v>
      </c>
      <c r="D11011" s="19" t="s">
        <v>26420</v>
      </c>
      <c r="E11011" s="19" t="s">
        <v>31432</v>
      </c>
      <c r="F11011" s="19" t="s">
        <v>36011</v>
      </c>
      <c r="G11011" s="18" t="str">
        <f>"97221"</f>
        <v>97221</v>
      </c>
      <c r="H11011" s="19" t="s">
        <v>36715</v>
      </c>
      <c r="I11011" s="20">
        <v>17.335000000000001</v>
      </c>
      <c r="J11011" s="44" t="s">
        <v>8</v>
      </c>
      <c r="K11011" s="23" t="s">
        <v>8</v>
      </c>
      <c r="L11011" s="23" t="s">
        <v>8</v>
      </c>
      <c r="M11011" s="23" t="s">
        <v>8</v>
      </c>
    </row>
    <row r="11012" spans="1:13" s="21" customFormat="1" x14ac:dyDescent="0.25">
      <c r="A11012" s="22" t="s">
        <v>8</v>
      </c>
      <c r="B11012" s="18" t="str">
        <f>"385147"</f>
        <v>385147</v>
      </c>
      <c r="C11012" s="19" t="s">
        <v>10838</v>
      </c>
      <c r="D11012" s="19" t="s">
        <v>26421</v>
      </c>
      <c r="E11012" s="19" t="s">
        <v>34745</v>
      </c>
      <c r="F11012" s="19" t="s">
        <v>36011</v>
      </c>
      <c r="G11012" s="18" t="str">
        <f>"97405"</f>
        <v>97405</v>
      </c>
      <c r="H11012" s="19" t="s">
        <v>36716</v>
      </c>
      <c r="I11012" s="20">
        <v>16.521000000000001</v>
      </c>
      <c r="J11012" s="44" t="s">
        <v>8</v>
      </c>
      <c r="K11012" s="23" t="s">
        <v>8</v>
      </c>
      <c r="L11012" s="23" t="s">
        <v>8</v>
      </c>
      <c r="M11012" s="23" t="s">
        <v>8</v>
      </c>
    </row>
    <row r="11013" spans="1:13" s="21" customFormat="1" x14ac:dyDescent="0.25">
      <c r="A11013" s="22" t="s">
        <v>8</v>
      </c>
      <c r="B11013" s="18" t="str">
        <f>"385148"</f>
        <v>385148</v>
      </c>
      <c r="C11013" s="19" t="s">
        <v>10839</v>
      </c>
      <c r="D11013" s="19" t="s">
        <v>26422</v>
      </c>
      <c r="E11013" s="19" t="s">
        <v>34747</v>
      </c>
      <c r="F11013" s="19" t="s">
        <v>36011</v>
      </c>
      <c r="G11013" s="18" t="str">
        <f>"97526"</f>
        <v>97526</v>
      </c>
      <c r="H11013" s="19" t="s">
        <v>36718</v>
      </c>
      <c r="I11013" s="20">
        <v>15.571</v>
      </c>
      <c r="J11013" s="44" t="s">
        <v>8</v>
      </c>
      <c r="K11013" s="23" t="s">
        <v>8</v>
      </c>
      <c r="L11013" s="23" t="s">
        <v>8</v>
      </c>
      <c r="M11013" s="23" t="s">
        <v>8</v>
      </c>
    </row>
    <row r="11014" spans="1:13" s="21" customFormat="1" x14ac:dyDescent="0.25">
      <c r="A11014" s="22" t="s">
        <v>8</v>
      </c>
      <c r="B11014" s="18" t="str">
        <f>"385149"</f>
        <v>385149</v>
      </c>
      <c r="C11014" s="19" t="s">
        <v>10840</v>
      </c>
      <c r="D11014" s="19" t="s">
        <v>26423</v>
      </c>
      <c r="E11014" s="19" t="s">
        <v>34747</v>
      </c>
      <c r="F11014" s="19" t="s">
        <v>36011</v>
      </c>
      <c r="G11014" s="18" t="str">
        <f>"97526"</f>
        <v>97526</v>
      </c>
      <c r="H11014" s="19" t="s">
        <v>36718</v>
      </c>
      <c r="I11014" s="20">
        <v>19.067</v>
      </c>
      <c r="J11014" s="44" t="s">
        <v>8</v>
      </c>
      <c r="K11014" s="23" t="s">
        <v>8</v>
      </c>
      <c r="L11014" s="23" t="s">
        <v>8</v>
      </c>
      <c r="M11014" s="23" t="s">
        <v>8</v>
      </c>
    </row>
    <row r="11015" spans="1:13" s="21" customFormat="1" x14ac:dyDescent="0.25">
      <c r="A11015" s="22" t="s">
        <v>8</v>
      </c>
      <c r="B11015" s="18" t="str">
        <f>"385150"</f>
        <v>385150</v>
      </c>
      <c r="C11015" s="19" t="s">
        <v>10841</v>
      </c>
      <c r="D11015" s="19" t="s">
        <v>26424</v>
      </c>
      <c r="E11015" s="19" t="s">
        <v>34755</v>
      </c>
      <c r="F11015" s="19" t="s">
        <v>36011</v>
      </c>
      <c r="G11015" s="18" t="str">
        <f>"97038"</f>
        <v>97038</v>
      </c>
      <c r="H11015" s="19" t="s">
        <v>36719</v>
      </c>
      <c r="I11015" s="20">
        <v>19.802</v>
      </c>
      <c r="J11015" s="44" t="s">
        <v>8</v>
      </c>
      <c r="K11015" s="23" t="s">
        <v>8</v>
      </c>
      <c r="L11015" s="23" t="s">
        <v>8</v>
      </c>
      <c r="M11015" s="23" t="s">
        <v>8</v>
      </c>
    </row>
    <row r="11016" spans="1:13" s="21" customFormat="1" x14ac:dyDescent="0.25">
      <c r="A11016" s="22" t="s">
        <v>8</v>
      </c>
      <c r="B11016" s="18" t="str">
        <f>"385151"</f>
        <v>385151</v>
      </c>
      <c r="C11016" s="19" t="s">
        <v>10842</v>
      </c>
      <c r="D11016" s="19" t="s">
        <v>26425</v>
      </c>
      <c r="E11016" s="19" t="s">
        <v>34754</v>
      </c>
      <c r="F11016" s="19" t="s">
        <v>36011</v>
      </c>
      <c r="G11016" s="18" t="str">
        <f>"97471"</f>
        <v>97471</v>
      </c>
      <c r="H11016" s="19" t="s">
        <v>30966</v>
      </c>
      <c r="I11016" s="20">
        <v>18.77</v>
      </c>
      <c r="J11016" s="44" t="s">
        <v>8</v>
      </c>
      <c r="K11016" s="23" t="s">
        <v>8</v>
      </c>
      <c r="L11016" s="23" t="s">
        <v>8</v>
      </c>
      <c r="M11016" s="23" t="s">
        <v>8</v>
      </c>
    </row>
    <row r="11017" spans="1:13" s="21" customFormat="1" x14ac:dyDescent="0.25">
      <c r="A11017" s="22" t="s">
        <v>8</v>
      </c>
      <c r="B11017" s="18" t="str">
        <f>"385152"</f>
        <v>385152</v>
      </c>
      <c r="C11017" s="19" t="s">
        <v>10843</v>
      </c>
      <c r="D11017" s="19" t="s">
        <v>26426</v>
      </c>
      <c r="E11017" s="19" t="s">
        <v>34756</v>
      </c>
      <c r="F11017" s="19" t="s">
        <v>36011</v>
      </c>
      <c r="G11017" s="18" t="str">
        <f>"97424"</f>
        <v>97424</v>
      </c>
      <c r="H11017" s="19" t="s">
        <v>36716</v>
      </c>
      <c r="I11017" s="20">
        <v>17.22</v>
      </c>
      <c r="J11017" s="44" t="s">
        <v>8</v>
      </c>
      <c r="K11017" s="23" t="s">
        <v>8</v>
      </c>
      <c r="L11017" s="23" t="s">
        <v>8</v>
      </c>
      <c r="M11017" s="23" t="s">
        <v>8</v>
      </c>
    </row>
    <row r="11018" spans="1:13" s="21" customFormat="1" x14ac:dyDescent="0.25">
      <c r="A11018" s="22" t="s">
        <v>8</v>
      </c>
      <c r="B11018" s="18" t="str">
        <f>"385155"</f>
        <v>385155</v>
      </c>
      <c r="C11018" s="19" t="s">
        <v>10844</v>
      </c>
      <c r="D11018" s="19" t="s">
        <v>26427</v>
      </c>
      <c r="E11018" s="19" t="s">
        <v>34757</v>
      </c>
      <c r="F11018" s="19" t="s">
        <v>36011</v>
      </c>
      <c r="G11018" s="18" t="str">
        <f>"97116"</f>
        <v>97116</v>
      </c>
      <c r="H11018" s="19" t="s">
        <v>31500</v>
      </c>
      <c r="I11018" s="20">
        <v>19.41</v>
      </c>
      <c r="J11018" s="44" t="s">
        <v>8</v>
      </c>
      <c r="K11018" s="23" t="s">
        <v>8</v>
      </c>
      <c r="L11018" s="23" t="s">
        <v>8</v>
      </c>
      <c r="M11018" s="23" t="s">
        <v>8</v>
      </c>
    </row>
    <row r="11019" spans="1:13" s="21" customFormat="1" x14ac:dyDescent="0.25">
      <c r="A11019" s="22" t="s">
        <v>8</v>
      </c>
      <c r="B11019" s="18" t="str">
        <f>"385156"</f>
        <v>385156</v>
      </c>
      <c r="C11019" s="19" t="s">
        <v>10845</v>
      </c>
      <c r="D11019" s="19" t="s">
        <v>26428</v>
      </c>
      <c r="E11019" s="19" t="s">
        <v>34745</v>
      </c>
      <c r="F11019" s="19" t="s">
        <v>36011</v>
      </c>
      <c r="G11019" s="18" t="str">
        <f>"97401"</f>
        <v>97401</v>
      </c>
      <c r="H11019" s="19" t="s">
        <v>36716</v>
      </c>
      <c r="I11019" s="20">
        <v>21.45</v>
      </c>
      <c r="J11019" s="44" t="s">
        <v>8</v>
      </c>
      <c r="K11019" s="23" t="s">
        <v>8</v>
      </c>
      <c r="L11019" s="23" t="s">
        <v>8</v>
      </c>
      <c r="M11019" s="23" t="s">
        <v>8</v>
      </c>
    </row>
    <row r="11020" spans="1:13" s="21" customFormat="1" x14ac:dyDescent="0.25">
      <c r="A11020" s="22" t="s">
        <v>8</v>
      </c>
      <c r="B11020" s="18" t="str">
        <f>"385157"</f>
        <v>385157</v>
      </c>
      <c r="C11020" s="19" t="s">
        <v>10846</v>
      </c>
      <c r="D11020" s="19" t="s">
        <v>26429</v>
      </c>
      <c r="E11020" s="19" t="s">
        <v>34758</v>
      </c>
      <c r="F11020" s="19" t="s">
        <v>36011</v>
      </c>
      <c r="G11020" s="18" t="str">
        <f>"97420"</f>
        <v>97420</v>
      </c>
      <c r="H11020" s="19" t="s">
        <v>36575</v>
      </c>
      <c r="I11020" s="20">
        <v>19.018999999999998</v>
      </c>
      <c r="J11020" s="44" t="s">
        <v>8</v>
      </c>
      <c r="K11020" s="23" t="s">
        <v>8</v>
      </c>
      <c r="L11020" s="23" t="s">
        <v>8</v>
      </c>
      <c r="M11020" s="23" t="s">
        <v>8</v>
      </c>
    </row>
    <row r="11021" spans="1:13" s="21" customFormat="1" x14ac:dyDescent="0.25">
      <c r="A11021" s="22" t="s">
        <v>8</v>
      </c>
      <c r="B11021" s="18" t="str">
        <f>"385161"</f>
        <v>385161</v>
      </c>
      <c r="C11021" s="19" t="s">
        <v>10847</v>
      </c>
      <c r="D11021" s="19" t="s">
        <v>26430</v>
      </c>
      <c r="E11021" s="19" t="s">
        <v>34759</v>
      </c>
      <c r="F11021" s="19" t="s">
        <v>36011</v>
      </c>
      <c r="G11021" s="18" t="str">
        <f>"97862"</f>
        <v>97862</v>
      </c>
      <c r="H11021" s="19" t="s">
        <v>36723</v>
      </c>
      <c r="I11021" s="20">
        <v>18.541</v>
      </c>
      <c r="J11021" s="44" t="s">
        <v>8</v>
      </c>
      <c r="K11021" s="23" t="s">
        <v>8</v>
      </c>
      <c r="L11021" s="23" t="s">
        <v>8</v>
      </c>
      <c r="M11021" s="23" t="s">
        <v>8</v>
      </c>
    </row>
    <row r="11022" spans="1:13" s="21" customFormat="1" x14ac:dyDescent="0.25">
      <c r="A11022" s="22" t="s">
        <v>8</v>
      </c>
      <c r="B11022" s="18" t="str">
        <f>"385162"</f>
        <v>385162</v>
      </c>
      <c r="C11022" s="19" t="s">
        <v>10848</v>
      </c>
      <c r="D11022" s="19" t="s">
        <v>26431</v>
      </c>
      <c r="E11022" s="19" t="s">
        <v>31058</v>
      </c>
      <c r="F11022" s="19" t="s">
        <v>36011</v>
      </c>
      <c r="G11022" s="18" t="str">
        <f>"97365"</f>
        <v>97365</v>
      </c>
      <c r="H11022" s="19" t="s">
        <v>31995</v>
      </c>
      <c r="I11022" s="20">
        <v>14.77</v>
      </c>
      <c r="J11022" s="44" t="s">
        <v>8</v>
      </c>
      <c r="K11022" s="23" t="s">
        <v>8</v>
      </c>
      <c r="L11022" s="23" t="s">
        <v>8</v>
      </c>
      <c r="M11022" s="23" t="s">
        <v>8</v>
      </c>
    </row>
    <row r="11023" spans="1:13" s="21" customFormat="1" x14ac:dyDescent="0.25">
      <c r="A11023" s="22" t="s">
        <v>8</v>
      </c>
      <c r="B11023" s="18" t="str">
        <f>"385164"</f>
        <v>385164</v>
      </c>
      <c r="C11023" s="19" t="s">
        <v>10849</v>
      </c>
      <c r="D11023" s="19" t="s">
        <v>26432</v>
      </c>
      <c r="E11023" s="19" t="s">
        <v>34760</v>
      </c>
      <c r="F11023" s="19" t="s">
        <v>36011</v>
      </c>
      <c r="G11023" s="18" t="str">
        <f>"97467"</f>
        <v>97467</v>
      </c>
      <c r="H11023" s="19" t="s">
        <v>30966</v>
      </c>
      <c r="I11023" s="20">
        <v>20.433</v>
      </c>
      <c r="J11023" s="44" t="s">
        <v>8</v>
      </c>
      <c r="K11023" s="23" t="s">
        <v>8</v>
      </c>
      <c r="L11023" s="23" t="s">
        <v>8</v>
      </c>
      <c r="M11023" s="23" t="s">
        <v>8</v>
      </c>
    </row>
    <row r="11024" spans="1:13" s="21" customFormat="1" x14ac:dyDescent="0.25">
      <c r="A11024" s="22" t="s">
        <v>8</v>
      </c>
      <c r="B11024" s="18" t="str">
        <f>"385165"</f>
        <v>385165</v>
      </c>
      <c r="C11024" s="19" t="s">
        <v>10850</v>
      </c>
      <c r="D11024" s="19" t="s">
        <v>26433</v>
      </c>
      <c r="E11024" s="19" t="s">
        <v>34761</v>
      </c>
      <c r="F11024" s="19" t="s">
        <v>36011</v>
      </c>
      <c r="G11024" s="18" t="str">
        <f>"97415"</f>
        <v>97415</v>
      </c>
      <c r="H11024" s="19" t="s">
        <v>36590</v>
      </c>
      <c r="I11024" s="20">
        <v>17.744</v>
      </c>
      <c r="J11024" s="44" t="s">
        <v>8</v>
      </c>
      <c r="K11024" s="23" t="s">
        <v>8</v>
      </c>
      <c r="L11024" s="23" t="s">
        <v>8</v>
      </c>
      <c r="M11024" s="23" t="s">
        <v>8</v>
      </c>
    </row>
    <row r="11025" spans="1:13" s="21" customFormat="1" x14ac:dyDescent="0.25">
      <c r="A11025" s="22" t="s">
        <v>8</v>
      </c>
      <c r="B11025" s="18" t="str">
        <f>"385166"</f>
        <v>385166</v>
      </c>
      <c r="C11025" s="19" t="s">
        <v>10851</v>
      </c>
      <c r="D11025" s="19" t="s">
        <v>26434</v>
      </c>
      <c r="E11025" s="19" t="s">
        <v>34762</v>
      </c>
      <c r="F11025" s="19" t="s">
        <v>36011</v>
      </c>
      <c r="G11025" s="18" t="str">
        <f>"97007"</f>
        <v>97007</v>
      </c>
      <c r="H11025" s="19" t="s">
        <v>31500</v>
      </c>
      <c r="I11025" s="20">
        <v>16.934000000000001</v>
      </c>
      <c r="J11025" s="44" t="s">
        <v>8</v>
      </c>
      <c r="K11025" s="23" t="s">
        <v>8</v>
      </c>
      <c r="L11025" s="23" t="s">
        <v>8</v>
      </c>
      <c r="M11025" s="23" t="s">
        <v>8</v>
      </c>
    </row>
    <row r="11026" spans="1:13" s="21" customFormat="1" x14ac:dyDescent="0.25">
      <c r="A11026" s="22" t="s">
        <v>8</v>
      </c>
      <c r="B11026" s="18" t="str">
        <f>"385167"</f>
        <v>385167</v>
      </c>
      <c r="C11026" s="19" t="s">
        <v>10852</v>
      </c>
      <c r="D11026" s="19" t="s">
        <v>26435</v>
      </c>
      <c r="E11026" s="19" t="s">
        <v>34745</v>
      </c>
      <c r="F11026" s="19" t="s">
        <v>36011</v>
      </c>
      <c r="G11026" s="18" t="str">
        <f>"97403"</f>
        <v>97403</v>
      </c>
      <c r="H11026" s="19" t="s">
        <v>36716</v>
      </c>
      <c r="I11026" s="20">
        <v>19.677</v>
      </c>
      <c r="J11026" s="44" t="s">
        <v>8</v>
      </c>
      <c r="K11026" s="23" t="s">
        <v>8</v>
      </c>
      <c r="L11026" s="23" t="s">
        <v>8</v>
      </c>
      <c r="M11026" s="23" t="s">
        <v>8</v>
      </c>
    </row>
    <row r="11027" spans="1:13" s="21" customFormat="1" x14ac:dyDescent="0.25">
      <c r="A11027" s="22" t="s">
        <v>8</v>
      </c>
      <c r="B11027" s="18" t="str">
        <f>"385168"</f>
        <v>385168</v>
      </c>
      <c r="C11027" s="19" t="s">
        <v>10853</v>
      </c>
      <c r="D11027" s="19" t="s">
        <v>26436</v>
      </c>
      <c r="E11027" s="19" t="s">
        <v>32035</v>
      </c>
      <c r="F11027" s="19" t="s">
        <v>36011</v>
      </c>
      <c r="G11027" s="18" t="str">
        <f>"97355"</f>
        <v>97355</v>
      </c>
      <c r="H11027" s="19" t="s">
        <v>32661</v>
      </c>
      <c r="I11027" s="20">
        <v>21.574000000000002</v>
      </c>
      <c r="J11027" s="44" t="s">
        <v>8</v>
      </c>
      <c r="K11027" s="23" t="s">
        <v>8</v>
      </c>
      <c r="L11027" s="23" t="s">
        <v>8</v>
      </c>
      <c r="M11027" s="23" t="s">
        <v>8</v>
      </c>
    </row>
    <row r="11028" spans="1:13" s="21" customFormat="1" x14ac:dyDescent="0.25">
      <c r="A11028" s="22" t="s">
        <v>8</v>
      </c>
      <c r="B11028" s="18" t="str">
        <f>"385171"</f>
        <v>385171</v>
      </c>
      <c r="C11028" s="19" t="s">
        <v>10854</v>
      </c>
      <c r="D11028" s="19" t="s">
        <v>26437</v>
      </c>
      <c r="E11028" s="19" t="s">
        <v>34763</v>
      </c>
      <c r="F11028" s="19" t="s">
        <v>36011</v>
      </c>
      <c r="G11028" s="18" t="str">
        <f>"97128"</f>
        <v>97128</v>
      </c>
      <c r="H11028" s="19" t="s">
        <v>36724</v>
      </c>
      <c r="I11028" s="20">
        <v>19.263000000000002</v>
      </c>
      <c r="J11028" s="44" t="s">
        <v>8</v>
      </c>
      <c r="K11028" s="23" t="s">
        <v>8</v>
      </c>
      <c r="L11028" s="23" t="s">
        <v>8</v>
      </c>
      <c r="M11028" s="23" t="s">
        <v>8</v>
      </c>
    </row>
    <row r="11029" spans="1:13" s="21" customFormat="1" x14ac:dyDescent="0.25">
      <c r="A11029" s="22" t="s">
        <v>8</v>
      </c>
      <c r="B11029" s="18" t="str">
        <f>"385172"</f>
        <v>385172</v>
      </c>
      <c r="C11029" s="19" t="s">
        <v>10855</v>
      </c>
      <c r="D11029" s="19" t="s">
        <v>26438</v>
      </c>
      <c r="E11029" s="19" t="s">
        <v>34746</v>
      </c>
      <c r="F11029" s="19" t="s">
        <v>36011</v>
      </c>
      <c r="G11029" s="18" t="str">
        <f>"97058"</f>
        <v>97058</v>
      </c>
      <c r="H11029" s="19" t="s">
        <v>36717</v>
      </c>
      <c r="I11029" s="20">
        <v>17.654</v>
      </c>
      <c r="J11029" s="44" t="s">
        <v>8</v>
      </c>
      <c r="K11029" s="23" t="s">
        <v>8</v>
      </c>
      <c r="L11029" s="23" t="s">
        <v>8</v>
      </c>
      <c r="M11029" s="23" t="s">
        <v>8</v>
      </c>
    </row>
    <row r="11030" spans="1:13" s="21" customFormat="1" x14ac:dyDescent="0.25">
      <c r="A11030" s="22" t="s">
        <v>8</v>
      </c>
      <c r="B11030" s="18" t="str">
        <f>"385180"</f>
        <v>385180</v>
      </c>
      <c r="C11030" s="19" t="s">
        <v>10856</v>
      </c>
      <c r="D11030" s="19" t="s">
        <v>26439</v>
      </c>
      <c r="E11030" s="19" t="s">
        <v>34764</v>
      </c>
      <c r="F11030" s="19" t="s">
        <v>36011</v>
      </c>
      <c r="G11030" s="18" t="str">
        <f>"97132"</f>
        <v>97132</v>
      </c>
      <c r="H11030" s="19" t="s">
        <v>36724</v>
      </c>
      <c r="I11030" s="20">
        <v>16.702000000000002</v>
      </c>
      <c r="J11030" s="44" t="s">
        <v>8</v>
      </c>
      <c r="K11030" s="23" t="s">
        <v>8</v>
      </c>
      <c r="L11030" s="23" t="s">
        <v>8</v>
      </c>
      <c r="M11030" s="23" t="s">
        <v>8</v>
      </c>
    </row>
    <row r="11031" spans="1:13" s="21" customFormat="1" x14ac:dyDescent="0.25">
      <c r="A11031" s="22" t="s">
        <v>8</v>
      </c>
      <c r="B11031" s="18" t="str">
        <f>"385181"</f>
        <v>385181</v>
      </c>
      <c r="C11031" s="19" t="s">
        <v>10857</v>
      </c>
      <c r="D11031" s="19" t="s">
        <v>26440</v>
      </c>
      <c r="E11031" s="19" t="s">
        <v>34765</v>
      </c>
      <c r="F11031" s="19" t="s">
        <v>36011</v>
      </c>
      <c r="G11031" s="18" t="str">
        <f>"97741"</f>
        <v>97741</v>
      </c>
      <c r="H11031" s="19" t="s">
        <v>32391</v>
      </c>
      <c r="I11031" s="20">
        <v>19.277000000000001</v>
      </c>
      <c r="J11031" s="44" t="s">
        <v>8</v>
      </c>
      <c r="K11031" s="23" t="s">
        <v>8</v>
      </c>
      <c r="L11031" s="23" t="s">
        <v>8</v>
      </c>
      <c r="M11031" s="23" t="s">
        <v>8</v>
      </c>
    </row>
    <row r="11032" spans="1:13" s="21" customFormat="1" x14ac:dyDescent="0.25">
      <c r="A11032" s="22" t="s">
        <v>8</v>
      </c>
      <c r="B11032" s="18" t="str">
        <f>"385182"</f>
        <v>385182</v>
      </c>
      <c r="C11032" s="19" t="s">
        <v>10858</v>
      </c>
      <c r="D11032" s="19" t="s">
        <v>26441</v>
      </c>
      <c r="E11032" s="19" t="s">
        <v>34766</v>
      </c>
      <c r="F11032" s="19" t="s">
        <v>36011</v>
      </c>
      <c r="G11032" s="18" t="str">
        <f>"97426"</f>
        <v>97426</v>
      </c>
      <c r="H11032" s="19" t="s">
        <v>36716</v>
      </c>
      <c r="I11032" s="20">
        <v>18.962</v>
      </c>
      <c r="J11032" s="44" t="s">
        <v>8</v>
      </c>
      <c r="K11032" s="23" t="s">
        <v>8</v>
      </c>
      <c r="L11032" s="23" t="s">
        <v>8</v>
      </c>
      <c r="M11032" s="23" t="s">
        <v>8</v>
      </c>
    </row>
    <row r="11033" spans="1:13" s="21" customFormat="1" x14ac:dyDescent="0.25">
      <c r="A11033" s="22" t="s">
        <v>8</v>
      </c>
      <c r="B11033" s="18" t="str">
        <f>"385183"</f>
        <v>385183</v>
      </c>
      <c r="C11033" s="19" t="s">
        <v>10859</v>
      </c>
      <c r="D11033" s="19" t="s">
        <v>26442</v>
      </c>
      <c r="E11033" s="19" t="s">
        <v>31432</v>
      </c>
      <c r="F11033" s="19" t="s">
        <v>36011</v>
      </c>
      <c r="G11033" s="18" t="str">
        <f>"97233"</f>
        <v>97233</v>
      </c>
      <c r="H11033" s="19" t="s">
        <v>36715</v>
      </c>
      <c r="I11033" s="20">
        <v>17.559000000000001</v>
      </c>
      <c r="J11033" s="44" t="s">
        <v>8</v>
      </c>
      <c r="K11033" s="23" t="s">
        <v>8</v>
      </c>
      <c r="L11033" s="23" t="s">
        <v>8</v>
      </c>
      <c r="M11033" s="23" t="s">
        <v>8</v>
      </c>
    </row>
    <row r="11034" spans="1:13" s="21" customFormat="1" x14ac:dyDescent="0.25">
      <c r="A11034" s="22" t="s">
        <v>8</v>
      </c>
      <c r="B11034" s="18" t="str">
        <f>"385185"</f>
        <v>385185</v>
      </c>
      <c r="C11034" s="19" t="s">
        <v>10860</v>
      </c>
      <c r="D11034" s="19" t="s">
        <v>26443</v>
      </c>
      <c r="E11034" s="19" t="s">
        <v>34745</v>
      </c>
      <c r="F11034" s="19" t="s">
        <v>36011</v>
      </c>
      <c r="G11034" s="18" t="str">
        <f>"97401"</f>
        <v>97401</v>
      </c>
      <c r="H11034" s="19" t="s">
        <v>36716</v>
      </c>
      <c r="I11034" s="20">
        <v>24.114999999999998</v>
      </c>
      <c r="J11034" s="44" t="s">
        <v>8</v>
      </c>
      <c r="K11034" s="23" t="s">
        <v>8</v>
      </c>
      <c r="L11034" s="23" t="s">
        <v>8</v>
      </c>
      <c r="M11034" s="23" t="s">
        <v>8</v>
      </c>
    </row>
    <row r="11035" spans="1:13" s="21" customFormat="1" x14ac:dyDescent="0.25">
      <c r="A11035" s="22" t="s">
        <v>8</v>
      </c>
      <c r="B11035" s="18" t="str">
        <f>"385187"</f>
        <v>385187</v>
      </c>
      <c r="C11035" s="19" t="s">
        <v>10861</v>
      </c>
      <c r="D11035" s="19" t="s">
        <v>26444</v>
      </c>
      <c r="E11035" s="19" t="s">
        <v>31432</v>
      </c>
      <c r="F11035" s="19" t="s">
        <v>36011</v>
      </c>
      <c r="G11035" s="18" t="str">
        <f>"97236"</f>
        <v>97236</v>
      </c>
      <c r="H11035" s="19" t="s">
        <v>36715</v>
      </c>
      <c r="I11035" s="20">
        <v>19.727</v>
      </c>
      <c r="J11035" s="44" t="s">
        <v>8</v>
      </c>
      <c r="K11035" s="23" t="s">
        <v>8</v>
      </c>
      <c r="L11035" s="23" t="s">
        <v>8</v>
      </c>
      <c r="M11035" s="23" t="s">
        <v>8</v>
      </c>
    </row>
    <row r="11036" spans="1:13" s="21" customFormat="1" x14ac:dyDescent="0.25">
      <c r="A11036" s="22" t="s">
        <v>8</v>
      </c>
      <c r="B11036" s="18" t="str">
        <f>"385188"</f>
        <v>385188</v>
      </c>
      <c r="C11036" s="19" t="s">
        <v>10862</v>
      </c>
      <c r="D11036" s="19" t="s">
        <v>26445</v>
      </c>
      <c r="E11036" s="19" t="s">
        <v>32424</v>
      </c>
      <c r="F11036" s="19" t="s">
        <v>36011</v>
      </c>
      <c r="G11036" s="18" t="str">
        <f>"97351"</f>
        <v>97351</v>
      </c>
      <c r="H11036" s="19" t="s">
        <v>36062</v>
      </c>
      <c r="I11036" s="20">
        <v>17.379000000000001</v>
      </c>
      <c r="J11036" s="44" t="s">
        <v>8</v>
      </c>
      <c r="K11036" s="23" t="s">
        <v>8</v>
      </c>
      <c r="L11036" s="23" t="s">
        <v>8</v>
      </c>
      <c r="M11036" s="23" t="s">
        <v>8</v>
      </c>
    </row>
    <row r="11037" spans="1:13" s="21" customFormat="1" x14ac:dyDescent="0.25">
      <c r="A11037" s="22" t="s">
        <v>8</v>
      </c>
      <c r="B11037" s="18" t="str">
        <f>"385189"</f>
        <v>385189</v>
      </c>
      <c r="C11037" s="19" t="s">
        <v>10863</v>
      </c>
      <c r="D11037" s="19" t="s">
        <v>26446</v>
      </c>
      <c r="E11037" s="19" t="s">
        <v>31038</v>
      </c>
      <c r="F11037" s="19" t="s">
        <v>36011</v>
      </c>
      <c r="G11037" s="18" t="str">
        <f>"97302"</f>
        <v>97302</v>
      </c>
      <c r="H11037" s="19" t="s">
        <v>30850</v>
      </c>
      <c r="I11037" s="20">
        <v>19.928000000000001</v>
      </c>
      <c r="J11037" s="44" t="s">
        <v>8</v>
      </c>
      <c r="K11037" s="23" t="s">
        <v>8</v>
      </c>
      <c r="L11037" s="23" t="s">
        <v>8</v>
      </c>
      <c r="M11037" s="23" t="s">
        <v>8</v>
      </c>
    </row>
    <row r="11038" spans="1:13" s="21" customFormat="1" x14ac:dyDescent="0.25">
      <c r="A11038" s="22" t="s">
        <v>8</v>
      </c>
      <c r="B11038" s="18" t="str">
        <f>"385190"</f>
        <v>385190</v>
      </c>
      <c r="C11038" s="19" t="s">
        <v>10864</v>
      </c>
      <c r="D11038" s="19" t="s">
        <v>26447</v>
      </c>
      <c r="E11038" s="19" t="s">
        <v>34743</v>
      </c>
      <c r="F11038" s="19" t="s">
        <v>36011</v>
      </c>
      <c r="G11038" s="18" t="str">
        <f>"97030"</f>
        <v>97030</v>
      </c>
      <c r="H11038" s="19" t="s">
        <v>36715</v>
      </c>
      <c r="I11038" s="20">
        <v>17.533999999999999</v>
      </c>
      <c r="J11038" s="44" t="s">
        <v>8</v>
      </c>
      <c r="K11038" s="23" t="s">
        <v>8</v>
      </c>
      <c r="L11038" s="23" t="s">
        <v>8</v>
      </c>
      <c r="M11038" s="23" t="s">
        <v>8</v>
      </c>
    </row>
    <row r="11039" spans="1:13" s="21" customFormat="1" x14ac:dyDescent="0.25">
      <c r="A11039" s="22" t="s">
        <v>8</v>
      </c>
      <c r="B11039" s="18" t="str">
        <f>"385195"</f>
        <v>385195</v>
      </c>
      <c r="C11039" s="19" t="s">
        <v>10865</v>
      </c>
      <c r="D11039" s="19" t="s">
        <v>26448</v>
      </c>
      <c r="E11039" s="19" t="s">
        <v>34762</v>
      </c>
      <c r="F11039" s="19" t="s">
        <v>36011</v>
      </c>
      <c r="G11039" s="18" t="str">
        <f>"97008"</f>
        <v>97008</v>
      </c>
      <c r="H11039" s="19" t="s">
        <v>31500</v>
      </c>
      <c r="I11039" s="20">
        <v>18.672000000000001</v>
      </c>
      <c r="J11039" s="44" t="s">
        <v>8</v>
      </c>
      <c r="K11039" s="23" t="s">
        <v>8</v>
      </c>
      <c r="L11039" s="23" t="s">
        <v>8</v>
      </c>
      <c r="M11039" s="23" t="s">
        <v>8</v>
      </c>
    </row>
    <row r="11040" spans="1:13" s="21" customFormat="1" x14ac:dyDescent="0.25">
      <c r="A11040" s="22" t="s">
        <v>8</v>
      </c>
      <c r="B11040" s="18" t="str">
        <f>"385197"</f>
        <v>385197</v>
      </c>
      <c r="C11040" s="19" t="s">
        <v>10866</v>
      </c>
      <c r="D11040" s="19" t="s">
        <v>26449</v>
      </c>
      <c r="E11040" s="19" t="s">
        <v>30809</v>
      </c>
      <c r="F11040" s="19" t="s">
        <v>36011</v>
      </c>
      <c r="G11040" s="18" t="str">
        <f>"97520"</f>
        <v>97520</v>
      </c>
      <c r="H11040" s="19" t="s">
        <v>30816</v>
      </c>
      <c r="I11040" s="20">
        <v>17.622</v>
      </c>
      <c r="J11040" s="44" t="s">
        <v>8</v>
      </c>
      <c r="K11040" s="23" t="s">
        <v>8</v>
      </c>
      <c r="L11040" s="23" t="s">
        <v>8</v>
      </c>
      <c r="M11040" s="23" t="s">
        <v>8</v>
      </c>
    </row>
    <row r="11041" spans="1:13" s="21" customFormat="1" x14ac:dyDescent="0.25">
      <c r="A11041" s="22" t="s">
        <v>8</v>
      </c>
      <c r="B11041" s="18" t="str">
        <f>"385199"</f>
        <v>385199</v>
      </c>
      <c r="C11041" s="19" t="s">
        <v>10867</v>
      </c>
      <c r="D11041" s="19" t="s">
        <v>26450</v>
      </c>
      <c r="E11041" s="19" t="s">
        <v>34764</v>
      </c>
      <c r="F11041" s="19" t="s">
        <v>36011</v>
      </c>
      <c r="G11041" s="18" t="str">
        <f>"97132"</f>
        <v>97132</v>
      </c>
      <c r="H11041" s="19" t="s">
        <v>36724</v>
      </c>
      <c r="I11041" s="20">
        <v>17.623999999999999</v>
      </c>
      <c r="J11041" s="44" t="s">
        <v>8</v>
      </c>
      <c r="K11041" s="23" t="s">
        <v>8</v>
      </c>
      <c r="L11041" s="23" t="s">
        <v>8</v>
      </c>
      <c r="M11041" s="23" t="s">
        <v>8</v>
      </c>
    </row>
    <row r="11042" spans="1:13" s="21" customFormat="1" x14ac:dyDescent="0.25">
      <c r="A11042" s="22" t="s">
        <v>8</v>
      </c>
      <c r="B11042" s="18" t="str">
        <f>"385200"</f>
        <v>385200</v>
      </c>
      <c r="C11042" s="19" t="s">
        <v>10868</v>
      </c>
      <c r="D11042" s="19" t="s">
        <v>26451</v>
      </c>
      <c r="E11042" s="19" t="s">
        <v>34767</v>
      </c>
      <c r="F11042" s="19" t="s">
        <v>36011</v>
      </c>
      <c r="G11042" s="18" t="str">
        <f>"97222"</f>
        <v>97222</v>
      </c>
      <c r="H11042" s="19" t="s">
        <v>36719</v>
      </c>
      <c r="I11042" s="20">
        <v>18.189</v>
      </c>
      <c r="J11042" s="44" t="s">
        <v>8</v>
      </c>
      <c r="K11042" s="23" t="s">
        <v>8</v>
      </c>
      <c r="L11042" s="23" t="s">
        <v>8</v>
      </c>
      <c r="M11042" s="23" t="s">
        <v>8</v>
      </c>
    </row>
    <row r="11043" spans="1:13" s="21" customFormat="1" x14ac:dyDescent="0.25">
      <c r="A11043" s="22" t="s">
        <v>8</v>
      </c>
      <c r="B11043" s="18" t="str">
        <f>"385201"</f>
        <v>385201</v>
      </c>
      <c r="C11043" s="19" t="s">
        <v>10869</v>
      </c>
      <c r="D11043" s="19" t="s">
        <v>26452</v>
      </c>
      <c r="E11043" s="19" t="s">
        <v>32262</v>
      </c>
      <c r="F11043" s="19" t="s">
        <v>36011</v>
      </c>
      <c r="G11043" s="18" t="str">
        <f>"97801"</f>
        <v>97801</v>
      </c>
      <c r="H11043" s="19" t="s">
        <v>36723</v>
      </c>
      <c r="I11043" s="20">
        <v>17.481999999999999</v>
      </c>
      <c r="J11043" s="44" t="s">
        <v>8</v>
      </c>
      <c r="K11043" s="23" t="s">
        <v>8</v>
      </c>
      <c r="L11043" s="23" t="s">
        <v>8</v>
      </c>
      <c r="M11043" s="23" t="s">
        <v>8</v>
      </c>
    </row>
    <row r="11044" spans="1:13" s="21" customFormat="1" x14ac:dyDescent="0.25">
      <c r="A11044" s="22" t="s">
        <v>8</v>
      </c>
      <c r="B11044" s="18" t="str">
        <f>"385203"</f>
        <v>385203</v>
      </c>
      <c r="C11044" s="19" t="s">
        <v>10870</v>
      </c>
      <c r="D11044" s="19" t="s">
        <v>26453</v>
      </c>
      <c r="E11044" s="19" t="s">
        <v>34768</v>
      </c>
      <c r="F11044" s="19" t="s">
        <v>36011</v>
      </c>
      <c r="G11044" s="18" t="str">
        <f>"97027"</f>
        <v>97027</v>
      </c>
      <c r="H11044" s="19" t="s">
        <v>36719</v>
      </c>
      <c r="I11044" s="20">
        <v>20.948</v>
      </c>
      <c r="J11044" s="44" t="s">
        <v>8</v>
      </c>
      <c r="K11044" s="23" t="s">
        <v>8</v>
      </c>
      <c r="L11044" s="23" t="s">
        <v>8</v>
      </c>
      <c r="M11044" s="23" t="s">
        <v>8</v>
      </c>
    </row>
    <row r="11045" spans="1:13" s="21" customFormat="1" x14ac:dyDescent="0.25">
      <c r="A11045" s="22" t="s">
        <v>8</v>
      </c>
      <c r="B11045" s="18" t="str">
        <f>"385204"</f>
        <v>385204</v>
      </c>
      <c r="C11045" s="19" t="s">
        <v>10871</v>
      </c>
      <c r="D11045" s="19" t="s">
        <v>26454</v>
      </c>
      <c r="E11045" s="19" t="s">
        <v>34757</v>
      </c>
      <c r="F11045" s="19" t="s">
        <v>36011</v>
      </c>
      <c r="G11045" s="18" t="str">
        <f>"97116"</f>
        <v>97116</v>
      </c>
      <c r="H11045" s="19" t="s">
        <v>31500</v>
      </c>
      <c r="I11045" s="20">
        <v>16.920000000000002</v>
      </c>
      <c r="J11045" s="44" t="s">
        <v>8</v>
      </c>
      <c r="K11045" s="23" t="s">
        <v>8</v>
      </c>
      <c r="L11045" s="23" t="s">
        <v>8</v>
      </c>
      <c r="M11045" s="23" t="s">
        <v>8</v>
      </c>
    </row>
    <row r="11046" spans="1:13" s="21" customFormat="1" x14ac:dyDescent="0.25">
      <c r="A11046" s="22" t="s">
        <v>8</v>
      </c>
      <c r="B11046" s="18" t="str">
        <f>"385206"</f>
        <v>385206</v>
      </c>
      <c r="C11046" s="19" t="s">
        <v>10872</v>
      </c>
      <c r="D11046" s="19" t="s">
        <v>26455</v>
      </c>
      <c r="E11046" s="19" t="s">
        <v>31834</v>
      </c>
      <c r="F11046" s="19" t="s">
        <v>36011</v>
      </c>
      <c r="G11046" s="18" t="str">
        <f>"97321"</f>
        <v>97321</v>
      </c>
      <c r="H11046" s="19" t="s">
        <v>32661</v>
      </c>
      <c r="I11046" s="20">
        <v>18.274000000000001</v>
      </c>
      <c r="J11046" s="44" t="s">
        <v>8</v>
      </c>
      <c r="K11046" s="23" t="s">
        <v>8</v>
      </c>
      <c r="L11046" s="23" t="s">
        <v>8</v>
      </c>
      <c r="M11046" s="23" t="s">
        <v>8</v>
      </c>
    </row>
    <row r="11047" spans="1:13" s="21" customFormat="1" x14ac:dyDescent="0.25">
      <c r="A11047" s="22" t="s">
        <v>8</v>
      </c>
      <c r="B11047" s="18" t="str">
        <f>"385207"</f>
        <v>385207</v>
      </c>
      <c r="C11047" s="19" t="s">
        <v>10873</v>
      </c>
      <c r="D11047" s="19" t="s">
        <v>26456</v>
      </c>
      <c r="E11047" s="19" t="s">
        <v>31723</v>
      </c>
      <c r="F11047" s="19" t="s">
        <v>36011</v>
      </c>
      <c r="G11047" s="18" t="str">
        <f>"97338"</f>
        <v>97338</v>
      </c>
      <c r="H11047" s="19" t="s">
        <v>36062</v>
      </c>
      <c r="I11047" s="20">
        <v>19.940000000000001</v>
      </c>
      <c r="J11047" s="44" t="s">
        <v>8</v>
      </c>
      <c r="K11047" s="23" t="s">
        <v>8</v>
      </c>
      <c r="L11047" s="23" t="s">
        <v>8</v>
      </c>
      <c r="M11047" s="23" t="s">
        <v>8</v>
      </c>
    </row>
    <row r="11048" spans="1:13" s="21" customFormat="1" x14ac:dyDescent="0.25">
      <c r="A11048" s="22" t="s">
        <v>8</v>
      </c>
      <c r="B11048" s="18" t="str">
        <f>"385208"</f>
        <v>385208</v>
      </c>
      <c r="C11048" s="19" t="s">
        <v>10874</v>
      </c>
      <c r="D11048" s="19" t="s">
        <v>26457</v>
      </c>
      <c r="E11048" s="19" t="s">
        <v>31432</v>
      </c>
      <c r="F11048" s="19" t="s">
        <v>36011</v>
      </c>
      <c r="G11048" s="18" t="str">
        <f>"97211"</f>
        <v>97211</v>
      </c>
      <c r="H11048" s="19" t="s">
        <v>36715</v>
      </c>
      <c r="I11048" s="20">
        <v>17.452999999999999</v>
      </c>
      <c r="J11048" s="44" t="s">
        <v>8</v>
      </c>
      <c r="K11048" s="23" t="s">
        <v>8</v>
      </c>
      <c r="L11048" s="23" t="s">
        <v>8</v>
      </c>
      <c r="M11048" s="23" t="s">
        <v>8</v>
      </c>
    </row>
    <row r="11049" spans="1:13" s="21" customFormat="1" x14ac:dyDescent="0.25">
      <c r="A11049" s="22" t="s">
        <v>8</v>
      </c>
      <c r="B11049" s="18" t="str">
        <f>"385211"</f>
        <v>385211</v>
      </c>
      <c r="C11049" s="19" t="s">
        <v>10875</v>
      </c>
      <c r="D11049" s="19" t="s">
        <v>26458</v>
      </c>
      <c r="E11049" s="19" t="s">
        <v>34769</v>
      </c>
      <c r="F11049" s="19" t="s">
        <v>36011</v>
      </c>
      <c r="G11049" s="18" t="str">
        <f>"97850"</f>
        <v>97850</v>
      </c>
      <c r="H11049" s="19" t="s">
        <v>33554</v>
      </c>
      <c r="I11049" s="20">
        <v>18.670999999999999</v>
      </c>
      <c r="J11049" s="44" t="s">
        <v>8</v>
      </c>
      <c r="K11049" s="23" t="s">
        <v>8</v>
      </c>
      <c r="L11049" s="23" t="s">
        <v>8</v>
      </c>
      <c r="M11049" s="23" t="s">
        <v>8</v>
      </c>
    </row>
    <row r="11050" spans="1:13" s="21" customFormat="1" x14ac:dyDescent="0.25">
      <c r="A11050" s="22" t="s">
        <v>8</v>
      </c>
      <c r="B11050" s="18" t="str">
        <f>"385214"</f>
        <v>385214</v>
      </c>
      <c r="C11050" s="19" t="s">
        <v>10876</v>
      </c>
      <c r="D11050" s="19" t="s">
        <v>26459</v>
      </c>
      <c r="E11050" s="19" t="s">
        <v>31432</v>
      </c>
      <c r="F11050" s="19" t="s">
        <v>36011</v>
      </c>
      <c r="G11050" s="18" t="str">
        <f>"97216"</f>
        <v>97216</v>
      </c>
      <c r="H11050" s="19" t="s">
        <v>36715</v>
      </c>
      <c r="I11050" s="20">
        <v>16.36</v>
      </c>
      <c r="J11050" s="44" t="s">
        <v>8</v>
      </c>
      <c r="K11050" s="23" t="s">
        <v>8</v>
      </c>
      <c r="L11050" s="23" t="s">
        <v>8</v>
      </c>
      <c r="M11050" s="23" t="s">
        <v>8</v>
      </c>
    </row>
    <row r="11051" spans="1:13" s="21" customFormat="1" x14ac:dyDescent="0.25">
      <c r="A11051" s="22" t="s">
        <v>8</v>
      </c>
      <c r="B11051" s="18" t="str">
        <f>"385217"</f>
        <v>385217</v>
      </c>
      <c r="C11051" s="19" t="s">
        <v>10877</v>
      </c>
      <c r="D11051" s="19" t="s">
        <v>26460</v>
      </c>
      <c r="E11051" s="19" t="s">
        <v>32016</v>
      </c>
      <c r="F11051" s="19" t="s">
        <v>36011</v>
      </c>
      <c r="G11051" s="18" t="str">
        <f>"97124"</f>
        <v>97124</v>
      </c>
      <c r="H11051" s="19" t="s">
        <v>31500</v>
      </c>
      <c r="I11051" s="20">
        <v>20.669</v>
      </c>
      <c r="J11051" s="44" t="s">
        <v>8</v>
      </c>
      <c r="K11051" s="23" t="s">
        <v>8</v>
      </c>
      <c r="L11051" s="23" t="s">
        <v>8</v>
      </c>
      <c r="M11051" s="23" t="s">
        <v>8</v>
      </c>
    </row>
    <row r="11052" spans="1:13" s="21" customFormat="1" x14ac:dyDescent="0.25">
      <c r="A11052" s="22" t="s">
        <v>8</v>
      </c>
      <c r="B11052" s="18" t="str">
        <f>"385218"</f>
        <v>385218</v>
      </c>
      <c r="C11052" s="19" t="s">
        <v>10878</v>
      </c>
      <c r="D11052" s="19" t="s">
        <v>26461</v>
      </c>
      <c r="E11052" s="19" t="s">
        <v>31432</v>
      </c>
      <c r="F11052" s="19" t="s">
        <v>36011</v>
      </c>
      <c r="G11052" s="18" t="str">
        <f>"97221"</f>
        <v>97221</v>
      </c>
      <c r="H11052" s="19" t="s">
        <v>36715</v>
      </c>
      <c r="I11052" s="20">
        <v>18.498000000000001</v>
      </c>
      <c r="J11052" s="44" t="s">
        <v>8</v>
      </c>
      <c r="K11052" s="23" t="s">
        <v>8</v>
      </c>
      <c r="L11052" s="23" t="s">
        <v>8</v>
      </c>
      <c r="M11052" s="23" t="s">
        <v>8</v>
      </c>
    </row>
    <row r="11053" spans="1:13" s="21" customFormat="1" x14ac:dyDescent="0.25">
      <c r="A11053" s="22" t="s">
        <v>8</v>
      </c>
      <c r="B11053" s="18" t="str">
        <f>"385219"</f>
        <v>385219</v>
      </c>
      <c r="C11053" s="19" t="s">
        <v>10879</v>
      </c>
      <c r="D11053" s="19" t="s">
        <v>26462</v>
      </c>
      <c r="E11053" s="19" t="s">
        <v>31432</v>
      </c>
      <c r="F11053" s="19" t="s">
        <v>36011</v>
      </c>
      <c r="G11053" s="18" t="str">
        <f>"97220"</f>
        <v>97220</v>
      </c>
      <c r="H11053" s="19" t="s">
        <v>36715</v>
      </c>
      <c r="I11053" s="20">
        <v>21.667999999999999</v>
      </c>
      <c r="J11053" s="44" t="s">
        <v>8</v>
      </c>
      <c r="K11053" s="23" t="s">
        <v>8</v>
      </c>
      <c r="L11053" s="23" t="s">
        <v>8</v>
      </c>
      <c r="M11053" s="23" t="s">
        <v>8</v>
      </c>
    </row>
    <row r="11054" spans="1:13" s="21" customFormat="1" x14ac:dyDescent="0.25">
      <c r="A11054" s="22" t="s">
        <v>8</v>
      </c>
      <c r="B11054" s="18" t="str">
        <f>"385220"</f>
        <v>385220</v>
      </c>
      <c r="C11054" s="19" t="s">
        <v>10880</v>
      </c>
      <c r="D11054" s="19" t="s">
        <v>26463</v>
      </c>
      <c r="E11054" s="19" t="s">
        <v>31834</v>
      </c>
      <c r="F11054" s="19" t="s">
        <v>36011</v>
      </c>
      <c r="G11054" s="18" t="str">
        <f>"97321"</f>
        <v>97321</v>
      </c>
      <c r="H11054" s="19" t="s">
        <v>32661</v>
      </c>
      <c r="I11054" s="20">
        <v>19.431999999999999</v>
      </c>
      <c r="J11054" s="44" t="s">
        <v>8</v>
      </c>
      <c r="K11054" s="23" t="s">
        <v>8</v>
      </c>
      <c r="L11054" s="23" t="s">
        <v>8</v>
      </c>
      <c r="M11054" s="23" t="s">
        <v>8</v>
      </c>
    </row>
    <row r="11055" spans="1:13" s="21" customFormat="1" x14ac:dyDescent="0.25">
      <c r="A11055" s="22" t="s">
        <v>8</v>
      </c>
      <c r="B11055" s="18" t="str">
        <f>"385221"</f>
        <v>385221</v>
      </c>
      <c r="C11055" s="19" t="s">
        <v>10881</v>
      </c>
      <c r="D11055" s="19" t="s">
        <v>26464</v>
      </c>
      <c r="E11055" s="19" t="s">
        <v>34750</v>
      </c>
      <c r="F11055" s="19" t="s">
        <v>36011</v>
      </c>
      <c r="G11055" s="18" t="str">
        <f>"97045"</f>
        <v>97045</v>
      </c>
      <c r="H11055" s="19" t="s">
        <v>36719</v>
      </c>
      <c r="I11055" s="20">
        <v>20.25</v>
      </c>
      <c r="J11055" s="44" t="s">
        <v>8</v>
      </c>
      <c r="K11055" s="23" t="s">
        <v>8</v>
      </c>
      <c r="L11055" s="23" t="s">
        <v>8</v>
      </c>
      <c r="M11055" s="23" t="s">
        <v>8</v>
      </c>
    </row>
    <row r="11056" spans="1:13" s="21" customFormat="1" x14ac:dyDescent="0.25">
      <c r="A11056" s="22" t="s">
        <v>8</v>
      </c>
      <c r="B11056" s="18" t="str">
        <f>"385222"</f>
        <v>385222</v>
      </c>
      <c r="C11056" s="19" t="s">
        <v>10882</v>
      </c>
      <c r="D11056" s="19" t="s">
        <v>26465</v>
      </c>
      <c r="E11056" s="19" t="s">
        <v>34770</v>
      </c>
      <c r="F11056" s="19" t="s">
        <v>36011</v>
      </c>
      <c r="G11056" s="18" t="str">
        <f>"97051"</f>
        <v>97051</v>
      </c>
      <c r="H11056" s="19" t="s">
        <v>32076</v>
      </c>
      <c r="I11056" s="20">
        <v>18.806000000000001</v>
      </c>
      <c r="J11056" s="44" t="s">
        <v>8</v>
      </c>
      <c r="K11056" s="23" t="s">
        <v>8</v>
      </c>
      <c r="L11056" s="23" t="s">
        <v>8</v>
      </c>
      <c r="M11056" s="23" t="s">
        <v>8</v>
      </c>
    </row>
    <row r="11057" spans="1:13" s="21" customFormat="1" x14ac:dyDescent="0.25">
      <c r="A11057" s="22" t="s">
        <v>8</v>
      </c>
      <c r="B11057" s="18" t="str">
        <f>"385224"</f>
        <v>385224</v>
      </c>
      <c r="C11057" s="19" t="s">
        <v>10883</v>
      </c>
      <c r="D11057" s="19" t="s">
        <v>26466</v>
      </c>
      <c r="E11057" s="19" t="s">
        <v>31038</v>
      </c>
      <c r="F11057" s="19" t="s">
        <v>36011</v>
      </c>
      <c r="G11057" s="18" t="str">
        <f>"97301"</f>
        <v>97301</v>
      </c>
      <c r="H11057" s="19" t="s">
        <v>30850</v>
      </c>
      <c r="I11057" s="20">
        <v>20.266999999999999</v>
      </c>
      <c r="J11057" s="44" t="s">
        <v>8</v>
      </c>
      <c r="K11057" s="23" t="s">
        <v>8</v>
      </c>
      <c r="L11057" s="23" t="s">
        <v>8</v>
      </c>
      <c r="M11057" s="23" t="s">
        <v>8</v>
      </c>
    </row>
    <row r="11058" spans="1:13" s="21" customFormat="1" x14ac:dyDescent="0.25">
      <c r="A11058" s="22" t="s">
        <v>8</v>
      </c>
      <c r="B11058" s="18" t="str">
        <f>"385225"</f>
        <v>385225</v>
      </c>
      <c r="C11058" s="19" t="s">
        <v>10884</v>
      </c>
      <c r="D11058" s="19" t="s">
        <v>26467</v>
      </c>
      <c r="E11058" s="19" t="s">
        <v>34763</v>
      </c>
      <c r="F11058" s="19" t="s">
        <v>36011</v>
      </c>
      <c r="G11058" s="18" t="str">
        <f>"97128"</f>
        <v>97128</v>
      </c>
      <c r="H11058" s="19" t="s">
        <v>36724</v>
      </c>
      <c r="I11058" s="20">
        <v>19.728000000000002</v>
      </c>
      <c r="J11058" s="44" t="s">
        <v>8</v>
      </c>
      <c r="K11058" s="23" t="s">
        <v>8</v>
      </c>
      <c r="L11058" s="23" t="s">
        <v>8</v>
      </c>
      <c r="M11058" s="23" t="s">
        <v>8</v>
      </c>
    </row>
    <row r="11059" spans="1:13" s="21" customFormat="1" x14ac:dyDescent="0.25">
      <c r="A11059" s="22" t="s">
        <v>8</v>
      </c>
      <c r="B11059" s="18" t="str">
        <f>"385228"</f>
        <v>385228</v>
      </c>
      <c r="C11059" s="19" t="s">
        <v>10885</v>
      </c>
      <c r="D11059" s="19" t="s">
        <v>26468</v>
      </c>
      <c r="E11059" s="19" t="s">
        <v>31432</v>
      </c>
      <c r="F11059" s="19" t="s">
        <v>36011</v>
      </c>
      <c r="G11059" s="18" t="str">
        <f>"97233"</f>
        <v>97233</v>
      </c>
      <c r="H11059" s="19" t="s">
        <v>36715</v>
      </c>
      <c r="I11059" s="20">
        <v>17.693000000000001</v>
      </c>
      <c r="J11059" s="44" t="s">
        <v>8</v>
      </c>
      <c r="K11059" s="23" t="s">
        <v>8</v>
      </c>
      <c r="L11059" s="23" t="s">
        <v>8</v>
      </c>
      <c r="M11059" s="23" t="s">
        <v>8</v>
      </c>
    </row>
    <row r="11060" spans="1:13" s="21" customFormat="1" x14ac:dyDescent="0.25">
      <c r="A11060" s="22" t="s">
        <v>8</v>
      </c>
      <c r="B11060" s="18" t="str">
        <f>"385229"</f>
        <v>385229</v>
      </c>
      <c r="C11060" s="19" t="s">
        <v>10886</v>
      </c>
      <c r="D11060" s="19" t="s">
        <v>26469</v>
      </c>
      <c r="E11060" s="19" t="s">
        <v>32549</v>
      </c>
      <c r="F11060" s="19" t="s">
        <v>36011</v>
      </c>
      <c r="G11060" s="18" t="str">
        <f>"97448"</f>
        <v>97448</v>
      </c>
      <c r="H11060" s="19" t="s">
        <v>36716</v>
      </c>
      <c r="I11060" s="20">
        <v>18.074000000000002</v>
      </c>
      <c r="J11060" s="44" t="s">
        <v>8</v>
      </c>
      <c r="K11060" s="23" t="s">
        <v>8</v>
      </c>
      <c r="L11060" s="23" t="s">
        <v>8</v>
      </c>
      <c r="M11060" s="23" t="s">
        <v>8</v>
      </c>
    </row>
    <row r="11061" spans="1:13" s="21" customFormat="1" x14ac:dyDescent="0.25">
      <c r="A11061" s="22" t="s">
        <v>8</v>
      </c>
      <c r="B11061" s="18" t="str">
        <f>"385230"</f>
        <v>385230</v>
      </c>
      <c r="C11061" s="19" t="s">
        <v>10887</v>
      </c>
      <c r="D11061" s="19" t="s">
        <v>26470</v>
      </c>
      <c r="E11061" s="19" t="s">
        <v>34771</v>
      </c>
      <c r="F11061" s="19" t="s">
        <v>36011</v>
      </c>
      <c r="G11061" s="18" t="str">
        <f>"97756"</f>
        <v>97756</v>
      </c>
      <c r="H11061" s="19" t="s">
        <v>36721</v>
      </c>
      <c r="I11061" s="20">
        <v>22.545999999999999</v>
      </c>
      <c r="J11061" s="44" t="s">
        <v>8</v>
      </c>
      <c r="K11061" s="23" t="s">
        <v>8</v>
      </c>
      <c r="L11061" s="23" t="s">
        <v>8</v>
      </c>
      <c r="M11061" s="23" t="s">
        <v>8</v>
      </c>
    </row>
    <row r="11062" spans="1:13" s="21" customFormat="1" x14ac:dyDescent="0.25">
      <c r="A11062" s="22" t="s">
        <v>8</v>
      </c>
      <c r="B11062" s="18" t="str">
        <f>"385232"</f>
        <v>385232</v>
      </c>
      <c r="C11062" s="19" t="s">
        <v>10888</v>
      </c>
      <c r="D11062" s="19" t="s">
        <v>26471</v>
      </c>
      <c r="E11062" s="19" t="s">
        <v>34747</v>
      </c>
      <c r="F11062" s="19" t="s">
        <v>36011</v>
      </c>
      <c r="G11062" s="18" t="str">
        <f>"97526"</f>
        <v>97526</v>
      </c>
      <c r="H11062" s="19" t="s">
        <v>36718</v>
      </c>
      <c r="I11062" s="20">
        <v>21.273</v>
      </c>
      <c r="J11062" s="44" t="s">
        <v>8</v>
      </c>
      <c r="K11062" s="23" t="s">
        <v>8</v>
      </c>
      <c r="L11062" s="23" t="s">
        <v>8</v>
      </c>
      <c r="M11062" s="23" t="s">
        <v>8</v>
      </c>
    </row>
    <row r="11063" spans="1:13" s="21" customFormat="1" x14ac:dyDescent="0.25">
      <c r="A11063" s="22" t="s">
        <v>8</v>
      </c>
      <c r="B11063" s="18" t="str">
        <f>"385233"</f>
        <v>385233</v>
      </c>
      <c r="C11063" s="19" t="s">
        <v>10889</v>
      </c>
      <c r="D11063" s="19" t="s">
        <v>26472</v>
      </c>
      <c r="E11063" s="19" t="s">
        <v>34772</v>
      </c>
      <c r="F11063" s="19" t="s">
        <v>36011</v>
      </c>
      <c r="G11063" s="18" t="str">
        <f>"97303"</f>
        <v>97303</v>
      </c>
      <c r="H11063" s="19" t="s">
        <v>30850</v>
      </c>
      <c r="I11063" s="20">
        <v>18.41</v>
      </c>
      <c r="J11063" s="44" t="s">
        <v>8</v>
      </c>
      <c r="K11063" s="23" t="s">
        <v>8</v>
      </c>
      <c r="L11063" s="23" t="s">
        <v>8</v>
      </c>
      <c r="M11063" s="23" t="s">
        <v>8</v>
      </c>
    </row>
    <row r="11064" spans="1:13" s="21" customFormat="1" x14ac:dyDescent="0.25">
      <c r="A11064" s="22" t="s">
        <v>8</v>
      </c>
      <c r="B11064" s="18" t="str">
        <f>"385234"</f>
        <v>385234</v>
      </c>
      <c r="C11064" s="19" t="s">
        <v>10890</v>
      </c>
      <c r="D11064" s="19" t="s">
        <v>26473</v>
      </c>
      <c r="E11064" s="19" t="s">
        <v>31038</v>
      </c>
      <c r="F11064" s="19" t="s">
        <v>36011</v>
      </c>
      <c r="G11064" s="18" t="str">
        <f>"97317"</f>
        <v>97317</v>
      </c>
      <c r="H11064" s="19" t="s">
        <v>30850</v>
      </c>
      <c r="I11064" s="20">
        <v>19.053000000000001</v>
      </c>
      <c r="J11064" s="44" t="s">
        <v>8</v>
      </c>
      <c r="K11064" s="23" t="s">
        <v>8</v>
      </c>
      <c r="L11064" s="23" t="s">
        <v>8</v>
      </c>
      <c r="M11064" s="23" t="s">
        <v>8</v>
      </c>
    </row>
    <row r="11065" spans="1:13" s="21" customFormat="1" x14ac:dyDescent="0.25">
      <c r="A11065" s="22" t="s">
        <v>8</v>
      </c>
      <c r="B11065" s="18" t="str">
        <f>"385236"</f>
        <v>385236</v>
      </c>
      <c r="C11065" s="19" t="s">
        <v>10891</v>
      </c>
      <c r="D11065" s="19" t="s">
        <v>26474</v>
      </c>
      <c r="E11065" s="19" t="s">
        <v>34773</v>
      </c>
      <c r="F11065" s="19" t="s">
        <v>36011</v>
      </c>
      <c r="G11065" s="18" t="str">
        <f>"97086"</f>
        <v>97086</v>
      </c>
      <c r="H11065" s="19" t="s">
        <v>36719</v>
      </c>
      <c r="I11065" s="20">
        <v>19.076000000000001</v>
      </c>
      <c r="J11065" s="44" t="s">
        <v>8</v>
      </c>
      <c r="K11065" s="23" t="s">
        <v>8</v>
      </c>
      <c r="L11065" s="23" t="s">
        <v>8</v>
      </c>
      <c r="M11065" s="23" t="s">
        <v>8</v>
      </c>
    </row>
    <row r="11066" spans="1:13" s="21" customFormat="1" x14ac:dyDescent="0.25">
      <c r="A11066" s="22" t="s">
        <v>8</v>
      </c>
      <c r="B11066" s="18" t="str">
        <f>"385237"</f>
        <v>385237</v>
      </c>
      <c r="C11066" s="19" t="s">
        <v>10892</v>
      </c>
      <c r="D11066" s="19" t="s">
        <v>26475</v>
      </c>
      <c r="E11066" s="19" t="s">
        <v>31432</v>
      </c>
      <c r="F11066" s="19" t="s">
        <v>36011</v>
      </c>
      <c r="G11066" s="18" t="str">
        <f>"97211"</f>
        <v>97211</v>
      </c>
      <c r="H11066" s="19" t="s">
        <v>36715</v>
      </c>
      <c r="I11066" s="20">
        <v>19.032</v>
      </c>
      <c r="J11066" s="44" t="s">
        <v>8</v>
      </c>
      <c r="K11066" s="23" t="s">
        <v>8</v>
      </c>
      <c r="L11066" s="23" t="s">
        <v>8</v>
      </c>
      <c r="M11066" s="23" t="s">
        <v>8</v>
      </c>
    </row>
    <row r="11067" spans="1:13" s="21" customFormat="1" x14ac:dyDescent="0.25">
      <c r="A11067" s="22" t="s">
        <v>8</v>
      </c>
      <c r="B11067" s="18" t="str">
        <f>"385239"</f>
        <v>385239</v>
      </c>
      <c r="C11067" s="19" t="s">
        <v>10893</v>
      </c>
      <c r="D11067" s="19" t="s">
        <v>26476</v>
      </c>
      <c r="E11067" s="19" t="s">
        <v>34758</v>
      </c>
      <c r="F11067" s="19" t="s">
        <v>36011</v>
      </c>
      <c r="G11067" s="18" t="str">
        <f>"97420"</f>
        <v>97420</v>
      </c>
      <c r="H11067" s="19" t="s">
        <v>36575</v>
      </c>
      <c r="I11067" s="20">
        <v>19.097000000000001</v>
      </c>
      <c r="J11067" s="44" t="s">
        <v>8</v>
      </c>
      <c r="K11067" s="23" t="s">
        <v>8</v>
      </c>
      <c r="L11067" s="23" t="s">
        <v>8</v>
      </c>
      <c r="M11067" s="23" t="s">
        <v>8</v>
      </c>
    </row>
    <row r="11068" spans="1:13" s="21" customFormat="1" x14ac:dyDescent="0.25">
      <c r="A11068" s="22" t="s">
        <v>8</v>
      </c>
      <c r="B11068" s="18" t="str">
        <f>"385240"</f>
        <v>385240</v>
      </c>
      <c r="C11068" s="19" t="s">
        <v>10894</v>
      </c>
      <c r="D11068" s="19" t="s">
        <v>26477</v>
      </c>
      <c r="E11068" s="19" t="s">
        <v>34774</v>
      </c>
      <c r="F11068" s="19" t="s">
        <v>36011</v>
      </c>
      <c r="G11068" s="18" t="str">
        <f>"97385"</f>
        <v>97385</v>
      </c>
      <c r="H11068" s="19" t="s">
        <v>30850</v>
      </c>
      <c r="I11068" s="20">
        <v>21.99</v>
      </c>
      <c r="J11068" s="44" t="s">
        <v>8</v>
      </c>
      <c r="K11068" s="23" t="s">
        <v>8</v>
      </c>
      <c r="L11068" s="23" t="s">
        <v>8</v>
      </c>
      <c r="M11068" s="23" t="s">
        <v>8</v>
      </c>
    </row>
    <row r="11069" spans="1:13" s="21" customFormat="1" x14ac:dyDescent="0.25">
      <c r="A11069" s="22" t="s">
        <v>8</v>
      </c>
      <c r="B11069" s="18" t="str">
        <f>"385241"</f>
        <v>385241</v>
      </c>
      <c r="C11069" s="19" t="s">
        <v>10895</v>
      </c>
      <c r="D11069" s="19" t="s">
        <v>26478</v>
      </c>
      <c r="E11069" s="19" t="s">
        <v>34772</v>
      </c>
      <c r="F11069" s="19" t="s">
        <v>36011</v>
      </c>
      <c r="G11069" s="18" t="str">
        <f>"97303"</f>
        <v>97303</v>
      </c>
      <c r="H11069" s="19" t="s">
        <v>30850</v>
      </c>
      <c r="I11069" s="20">
        <v>21.163</v>
      </c>
      <c r="J11069" s="44" t="s">
        <v>8</v>
      </c>
      <c r="K11069" s="23" t="s">
        <v>8</v>
      </c>
      <c r="L11069" s="23" t="s">
        <v>8</v>
      </c>
      <c r="M11069" s="23" t="s">
        <v>8</v>
      </c>
    </row>
    <row r="11070" spans="1:13" s="21" customFormat="1" x14ac:dyDescent="0.25">
      <c r="A11070" s="22" t="s">
        <v>8</v>
      </c>
      <c r="B11070" s="18" t="str">
        <f>"385242"</f>
        <v>385242</v>
      </c>
      <c r="C11070" s="19" t="s">
        <v>10896</v>
      </c>
      <c r="D11070" s="19" t="s">
        <v>26479</v>
      </c>
      <c r="E11070" s="19" t="s">
        <v>34775</v>
      </c>
      <c r="F11070" s="19" t="s">
        <v>36011</v>
      </c>
      <c r="G11070" s="18" t="str">
        <f>"97386"</f>
        <v>97386</v>
      </c>
      <c r="H11070" s="19" t="s">
        <v>32661</v>
      </c>
      <c r="I11070" s="20">
        <v>18.792999999999999</v>
      </c>
      <c r="J11070" s="44" t="s">
        <v>8</v>
      </c>
      <c r="K11070" s="23" t="s">
        <v>8</v>
      </c>
      <c r="L11070" s="23" t="s">
        <v>8</v>
      </c>
      <c r="M11070" s="23" t="s">
        <v>8</v>
      </c>
    </row>
    <row r="11071" spans="1:13" s="21" customFormat="1" x14ac:dyDescent="0.25">
      <c r="A11071" s="22" t="s">
        <v>8</v>
      </c>
      <c r="B11071" s="18" t="str">
        <f>"385244"</f>
        <v>385244</v>
      </c>
      <c r="C11071" s="19" t="s">
        <v>10897</v>
      </c>
      <c r="D11071" s="19" t="s">
        <v>26480</v>
      </c>
      <c r="E11071" s="19" t="s">
        <v>34776</v>
      </c>
      <c r="F11071" s="19" t="s">
        <v>36011</v>
      </c>
      <c r="G11071" s="18" t="str">
        <f>"97147"</f>
        <v>97147</v>
      </c>
      <c r="H11071" s="19" t="s">
        <v>36725</v>
      </c>
      <c r="I11071" s="20">
        <v>19.292999999999999</v>
      </c>
      <c r="J11071" s="44" t="s">
        <v>8</v>
      </c>
      <c r="K11071" s="23" t="s">
        <v>8</v>
      </c>
      <c r="L11071" s="23" t="s">
        <v>8</v>
      </c>
      <c r="M11071" s="23" t="s">
        <v>8</v>
      </c>
    </row>
    <row r="11072" spans="1:13" s="21" customFormat="1" x14ac:dyDescent="0.25">
      <c r="A11072" s="22" t="s">
        <v>8</v>
      </c>
      <c r="B11072" s="18" t="str">
        <f>"385245"</f>
        <v>385245</v>
      </c>
      <c r="C11072" s="19" t="s">
        <v>10898</v>
      </c>
      <c r="D11072" s="19" t="s">
        <v>26481</v>
      </c>
      <c r="E11072" s="19" t="s">
        <v>34750</v>
      </c>
      <c r="F11072" s="19" t="s">
        <v>36011</v>
      </c>
      <c r="G11072" s="18" t="str">
        <f>"97045"</f>
        <v>97045</v>
      </c>
      <c r="H11072" s="19" t="s">
        <v>36719</v>
      </c>
      <c r="I11072" s="20">
        <v>20.405000000000001</v>
      </c>
      <c r="J11072" s="44" t="s">
        <v>8</v>
      </c>
      <c r="K11072" s="23" t="s">
        <v>8</v>
      </c>
      <c r="L11072" s="23" t="s">
        <v>8</v>
      </c>
      <c r="M11072" s="23" t="s">
        <v>8</v>
      </c>
    </row>
    <row r="11073" spans="1:13" s="21" customFormat="1" x14ac:dyDescent="0.25">
      <c r="A11073" s="22" t="s">
        <v>8</v>
      </c>
      <c r="B11073" s="18" t="str">
        <f>"385250"</f>
        <v>385250</v>
      </c>
      <c r="C11073" s="19" t="s">
        <v>10899</v>
      </c>
      <c r="D11073" s="19" t="s">
        <v>26482</v>
      </c>
      <c r="E11073" s="19" t="s">
        <v>33063</v>
      </c>
      <c r="F11073" s="19" t="s">
        <v>36011</v>
      </c>
      <c r="G11073" s="18" t="str">
        <f>"97504"</f>
        <v>97504</v>
      </c>
      <c r="H11073" s="19" t="s">
        <v>30816</v>
      </c>
      <c r="I11073" s="20">
        <v>16.488</v>
      </c>
      <c r="J11073" s="44" t="s">
        <v>8</v>
      </c>
      <c r="K11073" s="23" t="s">
        <v>8</v>
      </c>
      <c r="L11073" s="23" t="s">
        <v>8</v>
      </c>
      <c r="M11073" s="23" t="s">
        <v>8</v>
      </c>
    </row>
    <row r="11074" spans="1:13" s="21" customFormat="1" x14ac:dyDescent="0.25">
      <c r="A11074" s="22" t="s">
        <v>8</v>
      </c>
      <c r="B11074" s="18" t="str">
        <f>"385251"</f>
        <v>385251</v>
      </c>
      <c r="C11074" s="19" t="s">
        <v>10900</v>
      </c>
      <c r="D11074" s="19" t="s">
        <v>26483</v>
      </c>
      <c r="E11074" s="19" t="s">
        <v>32016</v>
      </c>
      <c r="F11074" s="19" t="s">
        <v>36011</v>
      </c>
      <c r="G11074" s="18" t="str">
        <f>"97123"</f>
        <v>97123</v>
      </c>
      <c r="H11074" s="19" t="s">
        <v>31500</v>
      </c>
      <c r="I11074" s="20">
        <v>18.696999999999999</v>
      </c>
      <c r="J11074" s="44" t="s">
        <v>8</v>
      </c>
      <c r="K11074" s="23" t="s">
        <v>8</v>
      </c>
      <c r="L11074" s="23" t="s">
        <v>8</v>
      </c>
      <c r="M11074" s="23" t="s">
        <v>8</v>
      </c>
    </row>
    <row r="11075" spans="1:13" s="21" customFormat="1" x14ac:dyDescent="0.25">
      <c r="A11075" s="22" t="s">
        <v>8</v>
      </c>
      <c r="B11075" s="18" t="str">
        <f>"385253"</f>
        <v>385253</v>
      </c>
      <c r="C11075" s="19" t="s">
        <v>10901</v>
      </c>
      <c r="D11075" s="19" t="s">
        <v>26484</v>
      </c>
      <c r="E11075" s="19" t="s">
        <v>34753</v>
      </c>
      <c r="F11075" s="19" t="s">
        <v>36011</v>
      </c>
      <c r="G11075" s="18" t="str">
        <f>"97701"</f>
        <v>97701</v>
      </c>
      <c r="H11075" s="19" t="s">
        <v>36721</v>
      </c>
      <c r="I11075" s="20">
        <v>20.663</v>
      </c>
      <c r="J11075" s="44" t="s">
        <v>8</v>
      </c>
      <c r="K11075" s="23" t="s">
        <v>8</v>
      </c>
      <c r="L11075" s="23" t="s">
        <v>8</v>
      </c>
      <c r="M11075" s="23" t="s">
        <v>8</v>
      </c>
    </row>
    <row r="11076" spans="1:13" s="21" customFormat="1" x14ac:dyDescent="0.25">
      <c r="A11076" s="22" t="s">
        <v>8</v>
      </c>
      <c r="B11076" s="18" t="str">
        <f>"385254"</f>
        <v>385254</v>
      </c>
      <c r="C11076" s="19" t="s">
        <v>10902</v>
      </c>
      <c r="D11076" s="19" t="s">
        <v>26485</v>
      </c>
      <c r="E11076" s="19" t="s">
        <v>34777</v>
      </c>
      <c r="F11076" s="19" t="s">
        <v>36011</v>
      </c>
      <c r="G11076" s="18" t="str">
        <f>"97458"</f>
        <v>97458</v>
      </c>
      <c r="H11076" s="19" t="s">
        <v>36575</v>
      </c>
      <c r="I11076" s="20">
        <v>20.367999999999999</v>
      </c>
      <c r="J11076" s="44" t="s">
        <v>8</v>
      </c>
      <c r="K11076" s="23" t="s">
        <v>8</v>
      </c>
      <c r="L11076" s="23" t="s">
        <v>8</v>
      </c>
      <c r="M11076" s="23" t="s">
        <v>8</v>
      </c>
    </row>
    <row r="11077" spans="1:13" s="21" customFormat="1" x14ac:dyDescent="0.25">
      <c r="A11077" s="22" t="s">
        <v>8</v>
      </c>
      <c r="B11077" s="18" t="str">
        <f>"385257"</f>
        <v>385257</v>
      </c>
      <c r="C11077" s="19" t="s">
        <v>10903</v>
      </c>
      <c r="D11077" s="19" t="s">
        <v>26486</v>
      </c>
      <c r="E11077" s="19" t="s">
        <v>34746</v>
      </c>
      <c r="F11077" s="19" t="s">
        <v>36011</v>
      </c>
      <c r="G11077" s="18" t="str">
        <f>"97058"</f>
        <v>97058</v>
      </c>
      <c r="H11077" s="19" t="s">
        <v>36717</v>
      </c>
      <c r="I11077" s="20">
        <v>15.993</v>
      </c>
      <c r="J11077" s="44" t="s">
        <v>8</v>
      </c>
      <c r="K11077" s="23" t="s">
        <v>8</v>
      </c>
      <c r="L11077" s="23" t="s">
        <v>8</v>
      </c>
      <c r="M11077" s="23" t="s">
        <v>8</v>
      </c>
    </row>
    <row r="11078" spans="1:13" s="21" customFormat="1" x14ac:dyDescent="0.25">
      <c r="A11078" s="22" t="s">
        <v>8</v>
      </c>
      <c r="B11078" s="18" t="str">
        <f>"385258"</f>
        <v>385258</v>
      </c>
      <c r="C11078" s="19" t="s">
        <v>10904</v>
      </c>
      <c r="D11078" s="19" t="s">
        <v>26487</v>
      </c>
      <c r="E11078" s="19" t="s">
        <v>31432</v>
      </c>
      <c r="F11078" s="19" t="s">
        <v>36011</v>
      </c>
      <c r="G11078" s="18" t="str">
        <f>"97220"</f>
        <v>97220</v>
      </c>
      <c r="H11078" s="19" t="s">
        <v>36715</v>
      </c>
      <c r="I11078" s="20">
        <v>18.071999999999999</v>
      </c>
      <c r="J11078" s="44" t="s">
        <v>8</v>
      </c>
      <c r="K11078" s="23" t="s">
        <v>8</v>
      </c>
      <c r="L11078" s="23" t="s">
        <v>8</v>
      </c>
      <c r="M11078" s="23" t="s">
        <v>8</v>
      </c>
    </row>
    <row r="11079" spans="1:13" s="21" customFormat="1" x14ac:dyDescent="0.25">
      <c r="A11079" s="22" t="s">
        <v>8</v>
      </c>
      <c r="B11079" s="18" t="str">
        <f>"385259"</f>
        <v>385259</v>
      </c>
      <c r="C11079" s="19" t="s">
        <v>10905</v>
      </c>
      <c r="D11079" s="19" t="s">
        <v>26488</v>
      </c>
      <c r="E11079" s="19" t="s">
        <v>31432</v>
      </c>
      <c r="F11079" s="19" t="s">
        <v>36011</v>
      </c>
      <c r="G11079" s="18" t="str">
        <f>"97232"</f>
        <v>97232</v>
      </c>
      <c r="H11079" s="19" t="s">
        <v>36715</v>
      </c>
      <c r="I11079" s="20">
        <v>19.061</v>
      </c>
      <c r="J11079" s="44" t="s">
        <v>8</v>
      </c>
      <c r="K11079" s="23" t="s">
        <v>8</v>
      </c>
      <c r="L11079" s="23" t="s">
        <v>8</v>
      </c>
      <c r="M11079" s="23" t="s">
        <v>8</v>
      </c>
    </row>
    <row r="11080" spans="1:13" s="21" customFormat="1" x14ac:dyDescent="0.25">
      <c r="A11080" s="22" t="s">
        <v>8</v>
      </c>
      <c r="B11080" s="18" t="str">
        <f>"385260"</f>
        <v>385260</v>
      </c>
      <c r="C11080" s="19" t="s">
        <v>10906</v>
      </c>
      <c r="D11080" s="19" t="s">
        <v>26489</v>
      </c>
      <c r="E11080" s="19" t="s">
        <v>33438</v>
      </c>
      <c r="F11080" s="19" t="s">
        <v>36011</v>
      </c>
      <c r="G11080" s="18" t="str">
        <f>"97013"</f>
        <v>97013</v>
      </c>
      <c r="H11080" s="19" t="s">
        <v>36719</v>
      </c>
      <c r="I11080" s="20">
        <v>19.286999999999999</v>
      </c>
      <c r="J11080" s="44" t="s">
        <v>8</v>
      </c>
      <c r="K11080" s="23" t="s">
        <v>8</v>
      </c>
      <c r="L11080" s="23" t="s">
        <v>8</v>
      </c>
      <c r="M11080" s="23" t="s">
        <v>8</v>
      </c>
    </row>
    <row r="11081" spans="1:13" s="21" customFormat="1" x14ac:dyDescent="0.25">
      <c r="A11081" s="22" t="s">
        <v>8</v>
      </c>
      <c r="B11081" s="18" t="str">
        <f>"385261"</f>
        <v>385261</v>
      </c>
      <c r="C11081" s="19" t="s">
        <v>10907</v>
      </c>
      <c r="D11081" s="19" t="s">
        <v>26490</v>
      </c>
      <c r="E11081" s="19" t="s">
        <v>34778</v>
      </c>
      <c r="F11081" s="19" t="s">
        <v>36011</v>
      </c>
      <c r="G11081" s="18" t="str">
        <f>"97754"</f>
        <v>97754</v>
      </c>
      <c r="H11081" s="19" t="s">
        <v>36726</v>
      </c>
      <c r="I11081" s="20">
        <v>17.094999999999999</v>
      </c>
      <c r="J11081" s="44" t="s">
        <v>8</v>
      </c>
      <c r="K11081" s="23" t="s">
        <v>8</v>
      </c>
      <c r="L11081" s="23" t="s">
        <v>8</v>
      </c>
      <c r="M11081" s="23" t="s">
        <v>8</v>
      </c>
    </row>
    <row r="11082" spans="1:13" s="21" customFormat="1" x14ac:dyDescent="0.25">
      <c r="A11082" s="22" t="s">
        <v>8</v>
      </c>
      <c r="B11082" s="18" t="str">
        <f>"385262"</f>
        <v>385262</v>
      </c>
      <c r="C11082" s="19" t="s">
        <v>10908</v>
      </c>
      <c r="D11082" s="19" t="s">
        <v>26491</v>
      </c>
      <c r="E11082" s="19" t="s">
        <v>31886</v>
      </c>
      <c r="F11082" s="19" t="s">
        <v>36011</v>
      </c>
      <c r="G11082" s="18" t="str">
        <f>"97381"</f>
        <v>97381</v>
      </c>
      <c r="H11082" s="19" t="s">
        <v>30850</v>
      </c>
      <c r="I11082" s="20">
        <v>17.178999999999998</v>
      </c>
      <c r="J11082" s="44" t="s">
        <v>8</v>
      </c>
      <c r="K11082" s="23" t="s">
        <v>8</v>
      </c>
      <c r="L11082" s="23" t="s">
        <v>8</v>
      </c>
      <c r="M11082" s="23" t="s">
        <v>8</v>
      </c>
    </row>
    <row r="11083" spans="1:13" s="21" customFormat="1" x14ac:dyDescent="0.25">
      <c r="A11083" s="22" t="s">
        <v>8</v>
      </c>
      <c r="B11083" s="18" t="str">
        <f>"385263"</f>
        <v>385263</v>
      </c>
      <c r="C11083" s="19" t="s">
        <v>10909</v>
      </c>
      <c r="D11083" s="19" t="s">
        <v>26492</v>
      </c>
      <c r="E11083" s="19" t="s">
        <v>34779</v>
      </c>
      <c r="F11083" s="19" t="s">
        <v>36011</v>
      </c>
      <c r="G11083" s="18" t="str">
        <f>"97838"</f>
        <v>97838</v>
      </c>
      <c r="H11083" s="19" t="s">
        <v>36723</v>
      </c>
      <c r="I11083" s="20">
        <v>17.334</v>
      </c>
      <c r="J11083" s="44" t="s">
        <v>8</v>
      </c>
      <c r="K11083" s="23" t="s">
        <v>8</v>
      </c>
      <c r="L11083" s="23" t="s">
        <v>8</v>
      </c>
      <c r="M11083" s="23" t="s">
        <v>8</v>
      </c>
    </row>
    <row r="11084" spans="1:13" s="21" customFormat="1" x14ac:dyDescent="0.25">
      <c r="A11084" s="22" t="s">
        <v>8</v>
      </c>
      <c r="B11084" s="18" t="str">
        <f>"385264"</f>
        <v>385264</v>
      </c>
      <c r="C11084" s="19" t="s">
        <v>10910</v>
      </c>
      <c r="D11084" s="19" t="s">
        <v>26493</v>
      </c>
      <c r="E11084" s="19" t="s">
        <v>31432</v>
      </c>
      <c r="F11084" s="19" t="s">
        <v>36011</v>
      </c>
      <c r="G11084" s="18" t="str">
        <f>"97266"</f>
        <v>97266</v>
      </c>
      <c r="H11084" s="19" t="s">
        <v>36715</v>
      </c>
      <c r="I11084" s="20">
        <v>19.815999999999999</v>
      </c>
      <c r="J11084" s="44" t="s">
        <v>8</v>
      </c>
      <c r="K11084" s="23" t="s">
        <v>8</v>
      </c>
      <c r="L11084" s="23" t="s">
        <v>8</v>
      </c>
      <c r="M11084" s="23" t="s">
        <v>8</v>
      </c>
    </row>
    <row r="11085" spans="1:13" s="21" customFormat="1" x14ac:dyDescent="0.25">
      <c r="A11085" s="22" t="s">
        <v>8</v>
      </c>
      <c r="B11085" s="18" t="str">
        <f>"385265"</f>
        <v>385265</v>
      </c>
      <c r="C11085" s="19" t="s">
        <v>10911</v>
      </c>
      <c r="D11085" s="19" t="s">
        <v>26494</v>
      </c>
      <c r="E11085" s="19" t="s">
        <v>34780</v>
      </c>
      <c r="F11085" s="19" t="s">
        <v>36011</v>
      </c>
      <c r="G11085" s="18" t="str">
        <f>"97034"</f>
        <v>97034</v>
      </c>
      <c r="H11085" s="19" t="s">
        <v>36719</v>
      </c>
      <c r="I11085" s="20">
        <v>18.503</v>
      </c>
      <c r="J11085" s="44" t="s">
        <v>8</v>
      </c>
      <c r="K11085" s="23" t="s">
        <v>8</v>
      </c>
      <c r="L11085" s="23" t="s">
        <v>8</v>
      </c>
      <c r="M11085" s="23" t="s">
        <v>8</v>
      </c>
    </row>
    <row r="11086" spans="1:13" s="21" customFormat="1" x14ac:dyDescent="0.25">
      <c r="A11086" s="22" t="s">
        <v>8</v>
      </c>
      <c r="B11086" s="18" t="str">
        <f>"385266"</f>
        <v>385266</v>
      </c>
      <c r="C11086" s="19" t="s">
        <v>10912</v>
      </c>
      <c r="D11086" s="19" t="s">
        <v>26495</v>
      </c>
      <c r="E11086" s="19" t="s">
        <v>34781</v>
      </c>
      <c r="F11086" s="19" t="s">
        <v>36011</v>
      </c>
      <c r="G11086" s="18" t="str">
        <f>"97070"</f>
        <v>97070</v>
      </c>
      <c r="H11086" s="19" t="s">
        <v>36719</v>
      </c>
      <c r="I11086" s="20">
        <v>18.917000000000002</v>
      </c>
      <c r="J11086" s="44" t="s">
        <v>8</v>
      </c>
      <c r="K11086" s="23" t="s">
        <v>8</v>
      </c>
      <c r="L11086" s="23" t="s">
        <v>8</v>
      </c>
      <c r="M11086" s="23" t="s">
        <v>8</v>
      </c>
    </row>
    <row r="11087" spans="1:13" s="21" customFormat="1" x14ac:dyDescent="0.25">
      <c r="A11087" s="22" t="s">
        <v>8</v>
      </c>
      <c r="B11087" s="18" t="str">
        <f>"385268"</f>
        <v>385268</v>
      </c>
      <c r="C11087" s="19" t="s">
        <v>10913</v>
      </c>
      <c r="D11087" s="19" t="s">
        <v>26496</v>
      </c>
      <c r="E11087" s="19" t="s">
        <v>31432</v>
      </c>
      <c r="F11087" s="19" t="s">
        <v>36011</v>
      </c>
      <c r="G11087" s="18" t="str">
        <f>"97220"</f>
        <v>97220</v>
      </c>
      <c r="H11087" s="19" t="s">
        <v>36715</v>
      </c>
      <c r="I11087" s="20">
        <v>17.98</v>
      </c>
      <c r="J11087" s="44" t="s">
        <v>8</v>
      </c>
      <c r="K11087" s="23" t="s">
        <v>8</v>
      </c>
      <c r="L11087" s="23" t="s">
        <v>8</v>
      </c>
      <c r="M11087" s="23" t="s">
        <v>8</v>
      </c>
    </row>
    <row r="11088" spans="1:13" s="21" customFormat="1" x14ac:dyDescent="0.25">
      <c r="A11088" s="22" t="s">
        <v>8</v>
      </c>
      <c r="B11088" s="18" t="str">
        <f>"385269"</f>
        <v>385269</v>
      </c>
      <c r="C11088" s="19" t="s">
        <v>10914</v>
      </c>
      <c r="D11088" s="19" t="s">
        <v>26497</v>
      </c>
      <c r="E11088" s="19" t="s">
        <v>34763</v>
      </c>
      <c r="F11088" s="19" t="s">
        <v>36011</v>
      </c>
      <c r="G11088" s="18" t="str">
        <f>"97128"</f>
        <v>97128</v>
      </c>
      <c r="H11088" s="19" t="s">
        <v>36724</v>
      </c>
      <c r="I11088" s="20">
        <v>17.702999999999999</v>
      </c>
      <c r="J11088" s="44" t="s">
        <v>8</v>
      </c>
      <c r="K11088" s="23" t="s">
        <v>8</v>
      </c>
      <c r="L11088" s="23" t="s">
        <v>8</v>
      </c>
      <c r="M11088" s="23" t="s">
        <v>8</v>
      </c>
    </row>
    <row r="11089" spans="1:13" s="21" customFormat="1" x14ac:dyDescent="0.25">
      <c r="A11089" s="22" t="s">
        <v>8</v>
      </c>
      <c r="B11089" s="18" t="str">
        <f>"385270"</f>
        <v>385270</v>
      </c>
      <c r="C11089" s="19" t="s">
        <v>10915</v>
      </c>
      <c r="D11089" s="19" t="s">
        <v>26498</v>
      </c>
      <c r="E11089" s="19" t="s">
        <v>34767</v>
      </c>
      <c r="F11089" s="19" t="s">
        <v>36011</v>
      </c>
      <c r="G11089" s="18" t="str">
        <f>"97222"</f>
        <v>97222</v>
      </c>
      <c r="H11089" s="19" t="s">
        <v>36719</v>
      </c>
      <c r="I11089" s="20">
        <v>17.007999999999999</v>
      </c>
      <c r="J11089" s="44" t="s">
        <v>8</v>
      </c>
      <c r="K11089" s="23" t="s">
        <v>8</v>
      </c>
      <c r="L11089" s="23" t="s">
        <v>8</v>
      </c>
      <c r="M11089" s="23" t="s">
        <v>8</v>
      </c>
    </row>
    <row r="11090" spans="1:13" s="21" customFormat="1" x14ac:dyDescent="0.25">
      <c r="A11090" s="22" t="s">
        <v>8</v>
      </c>
      <c r="B11090" s="18" t="str">
        <f>"385271"</f>
        <v>385271</v>
      </c>
      <c r="C11090" s="19" t="s">
        <v>10916</v>
      </c>
      <c r="D11090" s="19" t="s">
        <v>26499</v>
      </c>
      <c r="E11090" s="19" t="s">
        <v>34780</v>
      </c>
      <c r="F11090" s="19" t="s">
        <v>36011</v>
      </c>
      <c r="G11090" s="18" t="str">
        <f>"97035"</f>
        <v>97035</v>
      </c>
      <c r="H11090" s="19" t="s">
        <v>36719</v>
      </c>
      <c r="I11090" s="20">
        <v>19.768000000000001</v>
      </c>
      <c r="J11090" s="44" t="s">
        <v>8</v>
      </c>
      <c r="K11090" s="23" t="s">
        <v>8</v>
      </c>
      <c r="L11090" s="23" t="s">
        <v>8</v>
      </c>
      <c r="M11090" s="23" t="s">
        <v>8</v>
      </c>
    </row>
    <row r="11091" spans="1:13" s="21" customFormat="1" x14ac:dyDescent="0.25">
      <c r="A11091" s="22" t="s">
        <v>8</v>
      </c>
      <c r="B11091" s="18" t="str">
        <f>"385272"</f>
        <v>385272</v>
      </c>
      <c r="C11091" s="19" t="s">
        <v>10917</v>
      </c>
      <c r="D11091" s="19" t="s">
        <v>26500</v>
      </c>
      <c r="E11091" s="19" t="s">
        <v>34751</v>
      </c>
      <c r="F11091" s="19" t="s">
        <v>36011</v>
      </c>
      <c r="G11091" s="18" t="str">
        <f>"97224"</f>
        <v>97224</v>
      </c>
      <c r="H11091" s="19" t="s">
        <v>31500</v>
      </c>
      <c r="I11091" s="20">
        <v>18.803999999999998</v>
      </c>
      <c r="J11091" s="44" t="s">
        <v>8</v>
      </c>
      <c r="K11091" s="23" t="s">
        <v>8</v>
      </c>
      <c r="L11091" s="23" t="s">
        <v>8</v>
      </c>
      <c r="M11091" s="23" t="s">
        <v>8</v>
      </c>
    </row>
    <row r="11092" spans="1:13" s="21" customFormat="1" x14ac:dyDescent="0.25">
      <c r="A11092" s="22" t="s">
        <v>8</v>
      </c>
      <c r="B11092" s="18" t="str">
        <f>"385273"</f>
        <v>385273</v>
      </c>
      <c r="C11092" s="19" t="s">
        <v>10918</v>
      </c>
      <c r="D11092" s="19" t="s">
        <v>26501</v>
      </c>
      <c r="E11092" s="19" t="s">
        <v>34782</v>
      </c>
      <c r="F11092" s="19" t="s">
        <v>36011</v>
      </c>
      <c r="G11092" s="18" t="str">
        <f>"97918"</f>
        <v>97918</v>
      </c>
      <c r="H11092" s="19" t="s">
        <v>36714</v>
      </c>
      <c r="I11092" s="20">
        <v>19.568999999999999</v>
      </c>
      <c r="J11092" s="44" t="s">
        <v>8</v>
      </c>
      <c r="K11092" s="23" t="s">
        <v>8</v>
      </c>
      <c r="L11092" s="23" t="s">
        <v>8</v>
      </c>
      <c r="M11092" s="23" t="s">
        <v>8</v>
      </c>
    </row>
    <row r="11093" spans="1:13" s="21" customFormat="1" x14ac:dyDescent="0.25">
      <c r="A11093" s="22" t="s">
        <v>8</v>
      </c>
      <c r="B11093" s="18" t="str">
        <f>"385274"</f>
        <v>385274</v>
      </c>
      <c r="C11093" s="19" t="s">
        <v>10919</v>
      </c>
      <c r="D11093" s="19" t="s">
        <v>26502</v>
      </c>
      <c r="E11093" s="19" t="s">
        <v>31432</v>
      </c>
      <c r="F11093" s="19" t="s">
        <v>36011</v>
      </c>
      <c r="G11093" s="18" t="str">
        <f>"97239"</f>
        <v>97239</v>
      </c>
      <c r="H11093" s="19" t="s">
        <v>36715</v>
      </c>
      <c r="I11093" s="20">
        <v>17.826000000000001</v>
      </c>
      <c r="J11093" s="44" t="s">
        <v>8</v>
      </c>
      <c r="K11093" s="23" t="s">
        <v>8</v>
      </c>
      <c r="L11093" s="23" t="s">
        <v>8</v>
      </c>
      <c r="M11093" s="23" t="s">
        <v>8</v>
      </c>
    </row>
    <row r="11094" spans="1:13" s="21" customFormat="1" x14ac:dyDescent="0.25">
      <c r="A11094" s="22" t="s">
        <v>8</v>
      </c>
      <c r="B11094" s="18" t="str">
        <f>"385275"</f>
        <v>385275</v>
      </c>
      <c r="C11094" s="19" t="s">
        <v>10920</v>
      </c>
      <c r="D11094" s="19" t="s">
        <v>26503</v>
      </c>
      <c r="E11094" s="19" t="s">
        <v>31039</v>
      </c>
      <c r="F11094" s="19" t="s">
        <v>36011</v>
      </c>
      <c r="G11094" s="18" t="str">
        <f>"97378"</f>
        <v>97378</v>
      </c>
      <c r="H11094" s="19" t="s">
        <v>36724</v>
      </c>
      <c r="I11094" s="20">
        <v>19.442</v>
      </c>
      <c r="J11094" s="44" t="s">
        <v>8</v>
      </c>
      <c r="K11094" s="23" t="s">
        <v>8</v>
      </c>
      <c r="L11094" s="23" t="s">
        <v>8</v>
      </c>
      <c r="M11094" s="23" t="s">
        <v>8</v>
      </c>
    </row>
    <row r="11095" spans="1:13" s="21" customFormat="1" x14ac:dyDescent="0.25">
      <c r="A11095" s="22" t="s">
        <v>8</v>
      </c>
      <c r="B11095" s="18" t="str">
        <f>"385276"</f>
        <v>385276</v>
      </c>
      <c r="C11095" s="19" t="s">
        <v>10921</v>
      </c>
      <c r="D11095" s="19" t="s">
        <v>26504</v>
      </c>
      <c r="E11095" s="19" t="s">
        <v>34745</v>
      </c>
      <c r="F11095" s="19" t="s">
        <v>36011</v>
      </c>
      <c r="G11095" s="18" t="str">
        <f>"97405"</f>
        <v>97405</v>
      </c>
      <c r="H11095" s="19" t="s">
        <v>36716</v>
      </c>
      <c r="I11095" s="20">
        <v>17.059000000000001</v>
      </c>
      <c r="J11095" s="44" t="s">
        <v>8</v>
      </c>
      <c r="K11095" s="23" t="s">
        <v>8</v>
      </c>
      <c r="L11095" s="23" t="s">
        <v>8</v>
      </c>
      <c r="M11095" s="23" t="s">
        <v>8</v>
      </c>
    </row>
    <row r="11096" spans="1:13" s="21" customFormat="1" x14ac:dyDescent="0.25">
      <c r="A11096" s="22" t="s">
        <v>8</v>
      </c>
      <c r="B11096" s="18" t="str">
        <f>"385277"</f>
        <v>385277</v>
      </c>
      <c r="C11096" s="19" t="s">
        <v>10922</v>
      </c>
      <c r="D11096" s="19" t="s">
        <v>26505</v>
      </c>
      <c r="E11096" s="19" t="s">
        <v>31432</v>
      </c>
      <c r="F11096" s="19" t="s">
        <v>36011</v>
      </c>
      <c r="G11096" s="18" t="str">
        <f>"97215"</f>
        <v>97215</v>
      </c>
      <c r="H11096" s="19" t="s">
        <v>36715</v>
      </c>
      <c r="I11096" s="20">
        <v>18.634</v>
      </c>
      <c r="J11096" s="44" t="s">
        <v>8</v>
      </c>
      <c r="K11096" s="23" t="s">
        <v>8</v>
      </c>
      <c r="L11096" s="23" t="s">
        <v>8</v>
      </c>
      <c r="M11096" s="23" t="s">
        <v>8</v>
      </c>
    </row>
    <row r="11097" spans="1:13" s="21" customFormat="1" x14ac:dyDescent="0.25">
      <c r="A11097" s="22" t="s">
        <v>8</v>
      </c>
      <c r="B11097" s="18" t="str">
        <f>"385278"</f>
        <v>385278</v>
      </c>
      <c r="C11097" s="19" t="s">
        <v>10923</v>
      </c>
      <c r="D11097" s="19" t="s">
        <v>26506</v>
      </c>
      <c r="E11097" s="19" t="s">
        <v>34783</v>
      </c>
      <c r="F11097" s="19" t="s">
        <v>36011</v>
      </c>
      <c r="G11097" s="18" t="str">
        <f>"97068"</f>
        <v>97068</v>
      </c>
      <c r="H11097" s="19" t="s">
        <v>36719</v>
      </c>
      <c r="I11097" s="20">
        <v>18.309000000000001</v>
      </c>
      <c r="J11097" s="44" t="s">
        <v>8</v>
      </c>
      <c r="K11097" s="23" t="s">
        <v>8</v>
      </c>
      <c r="L11097" s="23" t="s">
        <v>8</v>
      </c>
      <c r="M11097" s="23" t="s">
        <v>8</v>
      </c>
    </row>
    <row r="11098" spans="1:13" s="21" customFormat="1" x14ac:dyDescent="0.25">
      <c r="A11098" s="22" t="s">
        <v>8</v>
      </c>
      <c r="B11098" s="18" t="str">
        <f>"385279"</f>
        <v>385279</v>
      </c>
      <c r="C11098" s="19" t="s">
        <v>10924</v>
      </c>
      <c r="D11098" s="19" t="s">
        <v>26507</v>
      </c>
      <c r="E11098" s="19" t="s">
        <v>34784</v>
      </c>
      <c r="F11098" s="19" t="s">
        <v>36011</v>
      </c>
      <c r="G11098" s="18" t="str">
        <f>"97062"</f>
        <v>97062</v>
      </c>
      <c r="H11098" s="19" t="s">
        <v>31500</v>
      </c>
      <c r="I11098" s="20">
        <v>19.359000000000002</v>
      </c>
      <c r="J11098" s="44" t="s">
        <v>8</v>
      </c>
      <c r="K11098" s="23" t="s">
        <v>8</v>
      </c>
      <c r="L11098" s="23" t="s">
        <v>8</v>
      </c>
      <c r="M11098" s="23" t="s">
        <v>8</v>
      </c>
    </row>
    <row r="11099" spans="1:13" s="21" customFormat="1" x14ac:dyDescent="0.25">
      <c r="A11099" s="22" t="s">
        <v>8</v>
      </c>
      <c r="B11099" s="18" t="str">
        <f>"385280"</f>
        <v>385280</v>
      </c>
      <c r="C11099" s="19" t="s">
        <v>10925</v>
      </c>
      <c r="D11099" s="19" t="s">
        <v>26508</v>
      </c>
      <c r="E11099" s="19" t="s">
        <v>32035</v>
      </c>
      <c r="F11099" s="19" t="s">
        <v>36011</v>
      </c>
      <c r="G11099" s="18" t="str">
        <f>"97355"</f>
        <v>97355</v>
      </c>
      <c r="H11099" s="19" t="s">
        <v>32661</v>
      </c>
      <c r="I11099" s="20">
        <v>18.635999999999999</v>
      </c>
      <c r="J11099" s="44" t="s">
        <v>8</v>
      </c>
      <c r="K11099" s="23" t="s">
        <v>8</v>
      </c>
      <c r="L11099" s="23" t="s">
        <v>8</v>
      </c>
      <c r="M11099" s="23" t="s">
        <v>8</v>
      </c>
    </row>
    <row r="11100" spans="1:13" s="21" customFormat="1" x14ac:dyDescent="0.25">
      <c r="A11100" s="22" t="s">
        <v>8</v>
      </c>
      <c r="B11100" s="18" t="s">
        <v>15337</v>
      </c>
      <c r="C11100" s="19" t="s">
        <v>10926</v>
      </c>
      <c r="D11100" s="19" t="s">
        <v>26509</v>
      </c>
      <c r="E11100" s="19" t="s">
        <v>34785</v>
      </c>
      <c r="F11100" s="19" t="s">
        <v>36012</v>
      </c>
      <c r="G11100" s="18" t="str">
        <f>"16117"</f>
        <v>16117</v>
      </c>
      <c r="H11100" s="19" t="s">
        <v>32568</v>
      </c>
      <c r="I11100" s="20">
        <v>19.696999999999999</v>
      </c>
      <c r="J11100" s="44" t="s">
        <v>8</v>
      </c>
      <c r="K11100" s="23" t="s">
        <v>8</v>
      </c>
      <c r="L11100" s="23" t="s">
        <v>8</v>
      </c>
      <c r="M11100" s="23" t="s">
        <v>8</v>
      </c>
    </row>
    <row r="11101" spans="1:13" s="21" customFormat="1" x14ac:dyDescent="0.25">
      <c r="A11101" s="22" t="s">
        <v>8</v>
      </c>
      <c r="B11101" s="18" t="s">
        <v>15338</v>
      </c>
      <c r="C11101" s="19" t="s">
        <v>10927</v>
      </c>
      <c r="D11101" s="19" t="s">
        <v>26510</v>
      </c>
      <c r="E11101" s="19" t="s">
        <v>32705</v>
      </c>
      <c r="F11101" s="19" t="s">
        <v>36012</v>
      </c>
      <c r="G11101" s="18" t="str">
        <f>"15501"</f>
        <v>15501</v>
      </c>
      <c r="H11101" s="19" t="s">
        <v>32705</v>
      </c>
      <c r="I11101" s="20">
        <v>17.454999999999998</v>
      </c>
      <c r="J11101" s="44" t="s">
        <v>8</v>
      </c>
      <c r="K11101" s="23" t="s">
        <v>8</v>
      </c>
      <c r="L11101" s="23" t="s">
        <v>8</v>
      </c>
      <c r="M11101" s="23" t="s">
        <v>8</v>
      </c>
    </row>
    <row r="11102" spans="1:13" s="21" customFormat="1" x14ac:dyDescent="0.25">
      <c r="A11102" s="22" t="s">
        <v>8</v>
      </c>
      <c r="B11102" s="18" t="s">
        <v>15339</v>
      </c>
      <c r="C11102" s="19" t="s">
        <v>10928</v>
      </c>
      <c r="D11102" s="19" t="s">
        <v>26511</v>
      </c>
      <c r="E11102" s="19" t="s">
        <v>32508</v>
      </c>
      <c r="F11102" s="19" t="s">
        <v>36012</v>
      </c>
      <c r="G11102" s="18" t="str">
        <f>"16830"</f>
        <v>16830</v>
      </c>
      <c r="H11102" s="19" t="s">
        <v>32508</v>
      </c>
      <c r="I11102" s="20">
        <v>18.972000000000001</v>
      </c>
      <c r="J11102" s="44" t="s">
        <v>8</v>
      </c>
      <c r="K11102" s="23" t="s">
        <v>8</v>
      </c>
      <c r="L11102" s="23" t="s">
        <v>8</v>
      </c>
      <c r="M11102" s="23" t="s">
        <v>8</v>
      </c>
    </row>
    <row r="11103" spans="1:13" s="21" customFormat="1" x14ac:dyDescent="0.25">
      <c r="A11103" s="22" t="s">
        <v>8</v>
      </c>
      <c r="B11103" s="18" t="s">
        <v>15340</v>
      </c>
      <c r="C11103" s="19" t="s">
        <v>10929</v>
      </c>
      <c r="D11103" s="19" t="s">
        <v>26512</v>
      </c>
      <c r="E11103" s="19" t="s">
        <v>34786</v>
      </c>
      <c r="F11103" s="19" t="s">
        <v>36012</v>
      </c>
      <c r="G11103" s="18" t="str">
        <f>"16652"</f>
        <v>16652</v>
      </c>
      <c r="H11103" s="19" t="s">
        <v>34786</v>
      </c>
      <c r="I11103" s="20">
        <v>18.946999999999999</v>
      </c>
      <c r="J11103" s="44" t="s">
        <v>8</v>
      </c>
      <c r="K11103" s="23" t="s">
        <v>8</v>
      </c>
      <c r="L11103" s="23" t="s">
        <v>8</v>
      </c>
      <c r="M11103" s="23" t="s">
        <v>8</v>
      </c>
    </row>
    <row r="11104" spans="1:13" s="21" customFormat="1" x14ac:dyDescent="0.25">
      <c r="A11104" s="22" t="s">
        <v>8</v>
      </c>
      <c r="B11104" s="18" t="s">
        <v>15341</v>
      </c>
      <c r="C11104" s="19" t="s">
        <v>10930</v>
      </c>
      <c r="D11104" s="19" t="s">
        <v>26513</v>
      </c>
      <c r="E11104" s="19" t="s">
        <v>34787</v>
      </c>
      <c r="F11104" s="19" t="s">
        <v>36012</v>
      </c>
      <c r="G11104" s="18" t="str">
        <f>"15801"</f>
        <v>15801</v>
      </c>
      <c r="H11104" s="19" t="s">
        <v>32508</v>
      </c>
      <c r="I11104" s="20">
        <v>17.343</v>
      </c>
      <c r="J11104" s="44" t="s">
        <v>8</v>
      </c>
      <c r="K11104" s="23" t="s">
        <v>8</v>
      </c>
      <c r="L11104" s="23" t="s">
        <v>8</v>
      </c>
      <c r="M11104" s="23" t="s">
        <v>8</v>
      </c>
    </row>
    <row r="11105" spans="1:13" s="21" customFormat="1" x14ac:dyDescent="0.25">
      <c r="A11105" s="22" t="s">
        <v>8</v>
      </c>
      <c r="B11105" s="18" t="s">
        <v>15342</v>
      </c>
      <c r="C11105" s="19" t="s">
        <v>10931</v>
      </c>
      <c r="D11105" s="19" t="s">
        <v>26514</v>
      </c>
      <c r="E11105" s="19" t="s">
        <v>32460</v>
      </c>
      <c r="F11105" s="19" t="s">
        <v>36012</v>
      </c>
      <c r="G11105" s="18" t="str">
        <f>"16214"</f>
        <v>16214</v>
      </c>
      <c r="H11105" s="19" t="s">
        <v>32460</v>
      </c>
      <c r="I11105" s="20">
        <v>18.789000000000001</v>
      </c>
      <c r="J11105" s="44" t="s">
        <v>8</v>
      </c>
      <c r="K11105" s="23" t="s">
        <v>8</v>
      </c>
      <c r="L11105" s="23" t="s">
        <v>8</v>
      </c>
      <c r="M11105" s="23" t="s">
        <v>8</v>
      </c>
    </row>
    <row r="11106" spans="1:13" s="21" customFormat="1" x14ac:dyDescent="0.25">
      <c r="A11106" s="22" t="s">
        <v>8</v>
      </c>
      <c r="B11106" s="18" t="s">
        <v>15343</v>
      </c>
      <c r="C11106" s="19" t="s">
        <v>10932</v>
      </c>
      <c r="D11106" s="19" t="s">
        <v>26515</v>
      </c>
      <c r="E11106" s="19" t="s">
        <v>34788</v>
      </c>
      <c r="F11106" s="19" t="s">
        <v>36012</v>
      </c>
      <c r="G11106" s="18" t="str">
        <f>"16735"</f>
        <v>16735</v>
      </c>
      <c r="H11106" s="19" t="s">
        <v>36727</v>
      </c>
      <c r="I11106" s="20">
        <v>19.332000000000001</v>
      </c>
      <c r="J11106" s="44" t="s">
        <v>8</v>
      </c>
      <c r="K11106" s="23" t="s">
        <v>8</v>
      </c>
      <c r="L11106" s="23" t="s">
        <v>8</v>
      </c>
      <c r="M11106" s="23" t="s">
        <v>8</v>
      </c>
    </row>
    <row r="11107" spans="1:13" s="21" customFormat="1" x14ac:dyDescent="0.25">
      <c r="A11107" s="22" t="s">
        <v>8</v>
      </c>
      <c r="B11107" s="18" t="s">
        <v>15344</v>
      </c>
      <c r="C11107" s="19" t="s">
        <v>2450</v>
      </c>
      <c r="D11107" s="19" t="s">
        <v>26516</v>
      </c>
      <c r="E11107" s="19" t="s">
        <v>34789</v>
      </c>
      <c r="F11107" s="19" t="s">
        <v>36012</v>
      </c>
      <c r="G11107" s="18" t="str">
        <f>"18431"</f>
        <v>18431</v>
      </c>
      <c r="H11107" s="19" t="s">
        <v>33280</v>
      </c>
      <c r="I11107" s="20">
        <v>20.335000000000001</v>
      </c>
      <c r="J11107" s="44" t="s">
        <v>8</v>
      </c>
      <c r="K11107" s="23" t="s">
        <v>8</v>
      </c>
      <c r="L11107" s="23" t="s">
        <v>8</v>
      </c>
      <c r="M11107" s="23" t="s">
        <v>8</v>
      </c>
    </row>
    <row r="11108" spans="1:13" s="21" customFormat="1" x14ac:dyDescent="0.25">
      <c r="A11108" s="22" t="s">
        <v>8</v>
      </c>
      <c r="B11108" s="18" t="s">
        <v>15345</v>
      </c>
      <c r="C11108" s="19" t="s">
        <v>10933</v>
      </c>
      <c r="D11108" s="19" t="s">
        <v>26517</v>
      </c>
      <c r="E11108" s="19" t="s">
        <v>33150</v>
      </c>
      <c r="F11108" s="19" t="s">
        <v>36012</v>
      </c>
      <c r="G11108" s="18" t="str">
        <f>"16646"</f>
        <v>16646</v>
      </c>
      <c r="H11108" s="19" t="s">
        <v>36728</v>
      </c>
      <c r="I11108" s="20">
        <v>19.135999999999999</v>
      </c>
      <c r="J11108" s="44" t="s">
        <v>8</v>
      </c>
      <c r="K11108" s="23" t="s">
        <v>8</v>
      </c>
      <c r="L11108" s="23" t="s">
        <v>8</v>
      </c>
      <c r="M11108" s="23" t="s">
        <v>8</v>
      </c>
    </row>
    <row r="11109" spans="1:13" s="21" customFormat="1" x14ac:dyDescent="0.25">
      <c r="A11109" s="22" t="s">
        <v>8</v>
      </c>
      <c r="B11109" s="18" t="s">
        <v>15346</v>
      </c>
      <c r="C11109" s="19" t="s">
        <v>10934</v>
      </c>
      <c r="D11109" s="19" t="s">
        <v>26518</v>
      </c>
      <c r="E11109" s="19" t="s">
        <v>31701</v>
      </c>
      <c r="F11109" s="19" t="s">
        <v>36012</v>
      </c>
      <c r="G11109" s="18" t="str">
        <f>"17268"</f>
        <v>17268</v>
      </c>
      <c r="H11109" s="19" t="s">
        <v>5</v>
      </c>
      <c r="I11109" s="20">
        <v>19.867999999999999</v>
      </c>
      <c r="J11109" s="44" t="s">
        <v>8</v>
      </c>
      <c r="K11109" s="23" t="s">
        <v>8</v>
      </c>
      <c r="L11109" s="23" t="s">
        <v>8</v>
      </c>
      <c r="M11109" s="23" t="s">
        <v>8</v>
      </c>
    </row>
    <row r="11110" spans="1:13" s="21" customFormat="1" x14ac:dyDescent="0.25">
      <c r="A11110" s="22" t="s">
        <v>8</v>
      </c>
      <c r="B11110" s="18" t="s">
        <v>15347</v>
      </c>
      <c r="C11110" s="19" t="s">
        <v>10935</v>
      </c>
      <c r="D11110" s="19" t="s">
        <v>26519</v>
      </c>
      <c r="E11110" s="19" t="s">
        <v>31025</v>
      </c>
      <c r="F11110" s="19" t="s">
        <v>36012</v>
      </c>
      <c r="G11110" s="18" t="str">
        <f>"16365"</f>
        <v>16365</v>
      </c>
      <c r="H11110" s="19" t="s">
        <v>31025</v>
      </c>
      <c r="I11110" s="20">
        <v>19.283000000000001</v>
      </c>
      <c r="J11110" s="44" t="s">
        <v>8</v>
      </c>
      <c r="K11110" s="23" t="s">
        <v>8</v>
      </c>
      <c r="L11110" s="23" t="s">
        <v>8</v>
      </c>
      <c r="M11110" s="23" t="s">
        <v>8</v>
      </c>
    </row>
    <row r="11111" spans="1:13" s="21" customFormat="1" x14ac:dyDescent="0.25">
      <c r="A11111" s="22" t="s">
        <v>8</v>
      </c>
      <c r="B11111" s="18" t="s">
        <v>15348</v>
      </c>
      <c r="C11111" s="19" t="s">
        <v>10936</v>
      </c>
      <c r="D11111" s="19" t="s">
        <v>26520</v>
      </c>
      <c r="E11111" s="19" t="s">
        <v>34790</v>
      </c>
      <c r="F11111" s="19" t="s">
        <v>36012</v>
      </c>
      <c r="G11111" s="18" t="str">
        <f>"15370"</f>
        <v>15370</v>
      </c>
      <c r="H11111" s="19" t="s">
        <v>32455</v>
      </c>
      <c r="I11111" s="20">
        <v>19.567</v>
      </c>
      <c r="J11111" s="44" t="s">
        <v>8</v>
      </c>
      <c r="K11111" s="23" t="s">
        <v>8</v>
      </c>
      <c r="L11111" s="23" t="s">
        <v>8</v>
      </c>
      <c r="M11111" s="23" t="s">
        <v>8</v>
      </c>
    </row>
    <row r="11112" spans="1:13" s="21" customFormat="1" x14ac:dyDescent="0.25">
      <c r="A11112" s="22" t="s">
        <v>8</v>
      </c>
      <c r="B11112" s="18" t="s">
        <v>15349</v>
      </c>
      <c r="C11112" s="19" t="s">
        <v>10937</v>
      </c>
      <c r="D11112" s="19" t="s">
        <v>26521</v>
      </c>
      <c r="E11112" s="19" t="s">
        <v>31847</v>
      </c>
      <c r="F11112" s="19" t="s">
        <v>36012</v>
      </c>
      <c r="G11112" s="18" t="str">
        <f>"15857"</f>
        <v>15857</v>
      </c>
      <c r="H11112" s="19" t="s">
        <v>36310</v>
      </c>
      <c r="I11112" s="20">
        <v>21.555</v>
      </c>
      <c r="J11112" s="44" t="s">
        <v>8</v>
      </c>
      <c r="K11112" s="23" t="s">
        <v>8</v>
      </c>
      <c r="L11112" s="23" t="s">
        <v>8</v>
      </c>
      <c r="M11112" s="23" t="s">
        <v>8</v>
      </c>
    </row>
    <row r="11113" spans="1:13" s="21" customFormat="1" x14ac:dyDescent="0.25">
      <c r="A11113" s="22" t="s">
        <v>8</v>
      </c>
      <c r="B11113" s="18" t="s">
        <v>15350</v>
      </c>
      <c r="C11113" s="19" t="s">
        <v>10938</v>
      </c>
      <c r="D11113" s="19" t="s">
        <v>26522</v>
      </c>
      <c r="E11113" s="19" t="s">
        <v>34791</v>
      </c>
      <c r="F11113" s="19" t="s">
        <v>36012</v>
      </c>
      <c r="G11113" s="18" t="str">
        <f>"15767"</f>
        <v>15767</v>
      </c>
      <c r="H11113" s="19" t="s">
        <v>32391</v>
      </c>
      <c r="I11113" s="20">
        <v>16.526</v>
      </c>
      <c r="J11113" s="44" t="s">
        <v>8</v>
      </c>
      <c r="K11113" s="23" t="s">
        <v>8</v>
      </c>
      <c r="L11113" s="23" t="s">
        <v>8</v>
      </c>
      <c r="M11113" s="23" t="s">
        <v>8</v>
      </c>
    </row>
    <row r="11114" spans="1:13" s="21" customFormat="1" x14ac:dyDescent="0.25">
      <c r="A11114" s="22" t="s">
        <v>8</v>
      </c>
      <c r="B11114" s="18" t="s">
        <v>15351</v>
      </c>
      <c r="C11114" s="19" t="s">
        <v>10939</v>
      </c>
      <c r="D11114" s="19" t="s">
        <v>26523</v>
      </c>
      <c r="E11114" s="19" t="s">
        <v>34792</v>
      </c>
      <c r="F11114" s="19" t="s">
        <v>36012</v>
      </c>
      <c r="G11114" s="18" t="str">
        <f>"18848"</f>
        <v>18848</v>
      </c>
      <c r="H11114" s="19" t="s">
        <v>34878</v>
      </c>
      <c r="I11114" s="20">
        <v>23.196999999999999</v>
      </c>
      <c r="J11114" s="44" t="s">
        <v>8</v>
      </c>
      <c r="K11114" s="23" t="s">
        <v>8</v>
      </c>
      <c r="L11114" s="23" t="s">
        <v>8</v>
      </c>
      <c r="M11114" s="23" t="s">
        <v>8</v>
      </c>
    </row>
    <row r="11115" spans="1:13" s="21" customFormat="1" x14ac:dyDescent="0.25">
      <c r="A11115" s="22" t="s">
        <v>8</v>
      </c>
      <c r="B11115" s="18" t="str">
        <f>"395001"</f>
        <v>395001</v>
      </c>
      <c r="C11115" s="19" t="s">
        <v>10940</v>
      </c>
      <c r="D11115" s="19" t="s">
        <v>26524</v>
      </c>
      <c r="E11115" s="19" t="s">
        <v>34793</v>
      </c>
      <c r="F11115" s="19" t="s">
        <v>36012</v>
      </c>
      <c r="G11115" s="18" t="str">
        <f>"16063"</f>
        <v>16063</v>
      </c>
      <c r="H11115" s="19" t="s">
        <v>30876</v>
      </c>
      <c r="I11115" s="20">
        <v>16.771000000000001</v>
      </c>
      <c r="J11115" s="44" t="s">
        <v>8</v>
      </c>
      <c r="K11115" s="23" t="s">
        <v>8</v>
      </c>
      <c r="L11115" s="23" t="s">
        <v>8</v>
      </c>
      <c r="M11115" s="23" t="s">
        <v>8</v>
      </c>
    </row>
    <row r="11116" spans="1:13" s="21" customFormat="1" x14ac:dyDescent="0.25">
      <c r="A11116" s="22" t="s">
        <v>8</v>
      </c>
      <c r="B11116" s="18" t="str">
        <f>"395003"</f>
        <v>395003</v>
      </c>
      <c r="C11116" s="19" t="s">
        <v>10941</v>
      </c>
      <c r="D11116" s="19" t="s">
        <v>26525</v>
      </c>
      <c r="E11116" s="19" t="s">
        <v>31498</v>
      </c>
      <c r="F11116" s="19" t="s">
        <v>36012</v>
      </c>
      <c r="G11116" s="18" t="str">
        <f>"16101"</f>
        <v>16101</v>
      </c>
      <c r="H11116" s="19" t="s">
        <v>32568</v>
      </c>
      <c r="I11116" s="20">
        <v>16.248999999999999</v>
      </c>
      <c r="J11116" s="44" t="s">
        <v>8</v>
      </c>
      <c r="K11116" s="23" t="s">
        <v>8</v>
      </c>
      <c r="L11116" s="23" t="s">
        <v>8</v>
      </c>
      <c r="M11116" s="23" t="s">
        <v>8</v>
      </c>
    </row>
    <row r="11117" spans="1:13" s="21" customFormat="1" x14ac:dyDescent="0.25">
      <c r="A11117" s="22" t="s">
        <v>8</v>
      </c>
      <c r="B11117" s="18" t="str">
        <f>"395006"</f>
        <v>395006</v>
      </c>
      <c r="C11117" s="19" t="s">
        <v>10942</v>
      </c>
      <c r="D11117" s="19" t="s">
        <v>26526</v>
      </c>
      <c r="E11117" s="19" t="s">
        <v>34794</v>
      </c>
      <c r="F11117" s="19" t="s">
        <v>36012</v>
      </c>
      <c r="G11117" s="18" t="str">
        <f>"19046"</f>
        <v>19046</v>
      </c>
      <c r="H11117" s="19" t="s">
        <v>30833</v>
      </c>
      <c r="I11117" s="20">
        <v>17.295000000000002</v>
      </c>
      <c r="J11117" s="44" t="s">
        <v>8</v>
      </c>
      <c r="K11117" s="23" t="s">
        <v>8</v>
      </c>
      <c r="L11117" s="23" t="s">
        <v>8</v>
      </c>
      <c r="M11117" s="23" t="s">
        <v>8</v>
      </c>
    </row>
    <row r="11118" spans="1:13" s="21" customFormat="1" x14ac:dyDescent="0.25">
      <c r="A11118" s="22" t="s">
        <v>8</v>
      </c>
      <c r="B11118" s="18" t="str">
        <f>"395010"</f>
        <v>395010</v>
      </c>
      <c r="C11118" s="19" t="s">
        <v>10943</v>
      </c>
      <c r="D11118" s="19" t="s">
        <v>26527</v>
      </c>
      <c r="E11118" s="19" t="s">
        <v>34795</v>
      </c>
      <c r="F11118" s="19" t="s">
        <v>36012</v>
      </c>
      <c r="G11118" s="18" t="str">
        <f>"18976"</f>
        <v>18976</v>
      </c>
      <c r="H11118" s="19" t="s">
        <v>36729</v>
      </c>
      <c r="I11118" s="20">
        <v>18.350999999999999</v>
      </c>
      <c r="J11118" s="44" t="s">
        <v>8</v>
      </c>
      <c r="K11118" s="23" t="s">
        <v>8</v>
      </c>
      <c r="L11118" s="23" t="s">
        <v>8</v>
      </c>
      <c r="M11118" s="23" t="s">
        <v>8</v>
      </c>
    </row>
    <row r="11119" spans="1:13" s="21" customFormat="1" x14ac:dyDescent="0.25">
      <c r="A11119" s="22" t="s">
        <v>8</v>
      </c>
      <c r="B11119" s="18" t="str">
        <f>"395011"</f>
        <v>395011</v>
      </c>
      <c r="C11119" s="19" t="s">
        <v>10944</v>
      </c>
      <c r="D11119" s="19" t="s">
        <v>26528</v>
      </c>
      <c r="E11119" s="19" t="s">
        <v>34796</v>
      </c>
      <c r="F11119" s="19" t="s">
        <v>36012</v>
      </c>
      <c r="G11119" s="18" t="str">
        <f>"15014"</f>
        <v>15014</v>
      </c>
      <c r="H11119" s="19" t="s">
        <v>36730</v>
      </c>
      <c r="I11119" s="20">
        <v>19.742999999999999</v>
      </c>
      <c r="J11119" s="44" t="s">
        <v>8</v>
      </c>
      <c r="K11119" s="23" t="s">
        <v>8</v>
      </c>
      <c r="L11119" s="23" t="s">
        <v>8</v>
      </c>
      <c r="M11119" s="23" t="s">
        <v>8</v>
      </c>
    </row>
    <row r="11120" spans="1:13" s="21" customFormat="1" x14ac:dyDescent="0.25">
      <c r="A11120" s="22" t="s">
        <v>8</v>
      </c>
      <c r="B11120" s="18" t="str">
        <f>"395012"</f>
        <v>395012</v>
      </c>
      <c r="C11120" s="19" t="s">
        <v>10945</v>
      </c>
      <c r="D11120" s="19" t="s">
        <v>26529</v>
      </c>
      <c r="E11120" s="19" t="s">
        <v>34797</v>
      </c>
      <c r="F11120" s="19" t="s">
        <v>36012</v>
      </c>
      <c r="G11120" s="18" t="str">
        <f>"17201"</f>
        <v>17201</v>
      </c>
      <c r="H11120" s="19" t="s">
        <v>5</v>
      </c>
      <c r="I11120" s="20">
        <v>16.792000000000002</v>
      </c>
      <c r="J11120" s="44" t="s">
        <v>8</v>
      </c>
      <c r="K11120" s="23" t="s">
        <v>8</v>
      </c>
      <c r="L11120" s="23" t="s">
        <v>8</v>
      </c>
      <c r="M11120" s="23" t="s">
        <v>8</v>
      </c>
    </row>
    <row r="11121" spans="1:13" s="21" customFormat="1" x14ac:dyDescent="0.25">
      <c r="A11121" s="22" t="s">
        <v>8</v>
      </c>
      <c r="B11121" s="18" t="str">
        <f>"395013"</f>
        <v>395013</v>
      </c>
      <c r="C11121" s="19" t="s">
        <v>10946</v>
      </c>
      <c r="D11121" s="19" t="s">
        <v>26530</v>
      </c>
      <c r="E11121" s="19" t="s">
        <v>34798</v>
      </c>
      <c r="F11121" s="19" t="s">
        <v>36012</v>
      </c>
      <c r="G11121" s="18" t="str">
        <f>"15120"</f>
        <v>15120</v>
      </c>
      <c r="H11121" s="19" t="s">
        <v>36730</v>
      </c>
      <c r="I11121" s="20">
        <v>20.189</v>
      </c>
      <c r="J11121" s="44" t="s">
        <v>8</v>
      </c>
      <c r="K11121" s="23" t="s">
        <v>8</v>
      </c>
      <c r="L11121" s="23" t="s">
        <v>8</v>
      </c>
      <c r="M11121" s="23" t="s">
        <v>8</v>
      </c>
    </row>
    <row r="11122" spans="1:13" s="21" customFormat="1" x14ac:dyDescent="0.25">
      <c r="A11122" s="22" t="s">
        <v>8</v>
      </c>
      <c r="B11122" s="18" t="str">
        <f>"395015"</f>
        <v>395015</v>
      </c>
      <c r="C11122" s="19" t="s">
        <v>10947</v>
      </c>
      <c r="D11122" s="19" t="s">
        <v>26531</v>
      </c>
      <c r="E11122" s="19" t="s">
        <v>34742</v>
      </c>
      <c r="F11122" s="19" t="s">
        <v>36012</v>
      </c>
      <c r="G11122" s="18" t="str">
        <f>"15009"</f>
        <v>15009</v>
      </c>
      <c r="H11122" s="19" t="s">
        <v>34742</v>
      </c>
      <c r="I11122" s="20">
        <v>19.939</v>
      </c>
      <c r="J11122" s="44" t="s">
        <v>8</v>
      </c>
      <c r="K11122" s="23" t="s">
        <v>8</v>
      </c>
      <c r="L11122" s="23" t="s">
        <v>8</v>
      </c>
      <c r="M11122" s="23" t="s">
        <v>8</v>
      </c>
    </row>
    <row r="11123" spans="1:13" s="21" customFormat="1" x14ac:dyDescent="0.25">
      <c r="A11123" s="22" t="s">
        <v>8</v>
      </c>
      <c r="B11123" s="18" t="str">
        <f>"395016"</f>
        <v>395016</v>
      </c>
      <c r="C11123" s="19" t="s">
        <v>10948</v>
      </c>
      <c r="D11123" s="19" t="s">
        <v>26532</v>
      </c>
      <c r="E11123" s="19" t="s">
        <v>32235</v>
      </c>
      <c r="F11123" s="19" t="s">
        <v>36012</v>
      </c>
      <c r="G11123" s="18" t="str">
        <f>"17331"</f>
        <v>17331</v>
      </c>
      <c r="H11123" s="19" t="s">
        <v>30834</v>
      </c>
      <c r="I11123" s="20">
        <v>17.22</v>
      </c>
      <c r="J11123" s="44" t="s">
        <v>8</v>
      </c>
      <c r="K11123" s="23" t="s">
        <v>8</v>
      </c>
      <c r="L11123" s="23" t="s">
        <v>8</v>
      </c>
      <c r="M11123" s="23" t="s">
        <v>8</v>
      </c>
    </row>
    <row r="11124" spans="1:13" s="21" customFormat="1" x14ac:dyDescent="0.25">
      <c r="A11124" s="22" t="s">
        <v>8</v>
      </c>
      <c r="B11124" s="18" t="str">
        <f>"395018"</f>
        <v>395018</v>
      </c>
      <c r="C11124" s="19" t="s">
        <v>10949</v>
      </c>
      <c r="D11124" s="19" t="s">
        <v>26533</v>
      </c>
      <c r="E11124" s="19" t="s">
        <v>34799</v>
      </c>
      <c r="F11124" s="19" t="s">
        <v>36012</v>
      </c>
      <c r="G11124" s="18" t="str">
        <f>"18103"</f>
        <v>18103</v>
      </c>
      <c r="H11124" s="19" t="s">
        <v>36731</v>
      </c>
      <c r="I11124" s="20">
        <v>19.427</v>
      </c>
      <c r="J11124" s="44" t="s">
        <v>8</v>
      </c>
      <c r="K11124" s="23" t="s">
        <v>8</v>
      </c>
      <c r="L11124" s="23" t="s">
        <v>8</v>
      </c>
      <c r="M11124" s="23" t="s">
        <v>8</v>
      </c>
    </row>
    <row r="11125" spans="1:13" s="21" customFormat="1" x14ac:dyDescent="0.25">
      <c r="A11125" s="22" t="s">
        <v>8</v>
      </c>
      <c r="B11125" s="18" t="str">
        <f>"395019"</f>
        <v>395019</v>
      </c>
      <c r="C11125" s="19" t="s">
        <v>10950</v>
      </c>
      <c r="D11125" s="19" t="s">
        <v>26534</v>
      </c>
      <c r="E11125" s="19" t="s">
        <v>34800</v>
      </c>
      <c r="F11125" s="19" t="s">
        <v>36012</v>
      </c>
      <c r="G11125" s="18" t="str">
        <f>"19462"</f>
        <v>19462</v>
      </c>
      <c r="H11125" s="19" t="s">
        <v>30833</v>
      </c>
      <c r="I11125" s="20">
        <v>23.068000000000001</v>
      </c>
      <c r="J11125" s="44" t="s">
        <v>8</v>
      </c>
      <c r="K11125" s="23" t="s">
        <v>8</v>
      </c>
      <c r="L11125" s="23" t="s">
        <v>8</v>
      </c>
      <c r="M11125" s="23" t="s">
        <v>8</v>
      </c>
    </row>
    <row r="11126" spans="1:13" s="21" customFormat="1" x14ac:dyDescent="0.25">
      <c r="A11126" s="22" t="s">
        <v>8</v>
      </c>
      <c r="B11126" s="18" t="str">
        <f>"395020"</f>
        <v>395020</v>
      </c>
      <c r="C11126" s="19" t="s">
        <v>10951</v>
      </c>
      <c r="D11126" s="19" t="s">
        <v>26535</v>
      </c>
      <c r="E11126" s="19" t="s">
        <v>34801</v>
      </c>
      <c r="F11126" s="19" t="s">
        <v>36012</v>
      </c>
      <c r="G11126" s="18" t="str">
        <f>"15234"</f>
        <v>15234</v>
      </c>
      <c r="H11126" s="19" t="s">
        <v>36730</v>
      </c>
      <c r="I11126" s="20">
        <v>19.324999999999999</v>
      </c>
      <c r="J11126" s="44" t="s">
        <v>8</v>
      </c>
      <c r="K11126" s="23" t="s">
        <v>8</v>
      </c>
      <c r="L11126" s="23" t="s">
        <v>8</v>
      </c>
      <c r="M11126" s="23" t="s">
        <v>8</v>
      </c>
    </row>
    <row r="11127" spans="1:13" s="21" customFormat="1" x14ac:dyDescent="0.25">
      <c r="A11127" s="22" t="s">
        <v>8</v>
      </c>
      <c r="B11127" s="18" t="str">
        <f>"395023"</f>
        <v>395023</v>
      </c>
      <c r="C11127" s="19" t="s">
        <v>10952</v>
      </c>
      <c r="D11127" s="19" t="s">
        <v>26536</v>
      </c>
      <c r="E11127" s="19" t="s">
        <v>34802</v>
      </c>
      <c r="F11127" s="19" t="s">
        <v>36012</v>
      </c>
      <c r="G11127" s="18" t="str">
        <f>"18955"</f>
        <v>18955</v>
      </c>
      <c r="H11127" s="19" t="s">
        <v>36729</v>
      </c>
      <c r="I11127" s="20">
        <v>16.004000000000001</v>
      </c>
      <c r="J11127" s="44" t="s">
        <v>8</v>
      </c>
      <c r="K11127" s="23" t="s">
        <v>8</v>
      </c>
      <c r="L11127" s="23" t="s">
        <v>8</v>
      </c>
      <c r="M11127" s="23" t="s">
        <v>8</v>
      </c>
    </row>
    <row r="11128" spans="1:13" s="21" customFormat="1" x14ac:dyDescent="0.25">
      <c r="A11128" s="22" t="s">
        <v>8</v>
      </c>
      <c r="B11128" s="18" t="str">
        <f>"395028"</f>
        <v>395028</v>
      </c>
      <c r="C11128" s="19" t="s">
        <v>10953</v>
      </c>
      <c r="D11128" s="19" t="s">
        <v>26537</v>
      </c>
      <c r="E11128" s="19" t="s">
        <v>34801</v>
      </c>
      <c r="F11128" s="19" t="s">
        <v>36012</v>
      </c>
      <c r="G11128" s="18" t="str">
        <f>"15217"</f>
        <v>15217</v>
      </c>
      <c r="H11128" s="19" t="s">
        <v>36730</v>
      </c>
      <c r="I11128" s="20">
        <v>19.908000000000001</v>
      </c>
      <c r="J11128" s="44" t="s">
        <v>8</v>
      </c>
      <c r="K11128" s="23" t="s">
        <v>8</v>
      </c>
      <c r="L11128" s="23" t="s">
        <v>8</v>
      </c>
      <c r="M11128" s="23" t="s">
        <v>8</v>
      </c>
    </row>
    <row r="11129" spans="1:13" s="21" customFormat="1" x14ac:dyDescent="0.25">
      <c r="A11129" s="22" t="s">
        <v>8</v>
      </c>
      <c r="B11129" s="18" t="str">
        <f>"395031"</f>
        <v>395031</v>
      </c>
      <c r="C11129" s="19" t="s">
        <v>10954</v>
      </c>
      <c r="D11129" s="19" t="s">
        <v>26538</v>
      </c>
      <c r="E11129" s="19" t="s">
        <v>34803</v>
      </c>
      <c r="F11129" s="19" t="s">
        <v>36012</v>
      </c>
      <c r="G11129" s="18" t="str">
        <f>"17745"</f>
        <v>17745</v>
      </c>
      <c r="H11129" s="19" t="s">
        <v>31081</v>
      </c>
      <c r="I11129" s="20">
        <v>15.943</v>
      </c>
      <c r="J11129" s="44" t="s">
        <v>8</v>
      </c>
      <c r="K11129" s="23" t="s">
        <v>8</v>
      </c>
      <c r="L11129" s="23" t="s">
        <v>8</v>
      </c>
      <c r="M11129" s="23" t="s">
        <v>8</v>
      </c>
    </row>
    <row r="11130" spans="1:13" s="21" customFormat="1" x14ac:dyDescent="0.25">
      <c r="A11130" s="22" t="s">
        <v>8</v>
      </c>
      <c r="B11130" s="18" t="str">
        <f>"395032"</f>
        <v>395032</v>
      </c>
      <c r="C11130" s="19" t="s">
        <v>10955</v>
      </c>
      <c r="D11130" s="19" t="s">
        <v>26539</v>
      </c>
      <c r="E11130" s="19" t="s">
        <v>34804</v>
      </c>
      <c r="F11130" s="19" t="s">
        <v>36012</v>
      </c>
      <c r="G11130" s="18" t="str">
        <f>"15317"</f>
        <v>15317</v>
      </c>
      <c r="H11130" s="19" t="s">
        <v>31500</v>
      </c>
      <c r="I11130" s="20">
        <v>20.78</v>
      </c>
      <c r="J11130" s="44" t="s">
        <v>8</v>
      </c>
      <c r="K11130" s="23" t="s">
        <v>8</v>
      </c>
      <c r="L11130" s="23" t="s">
        <v>8</v>
      </c>
      <c r="M11130" s="23" t="s">
        <v>8</v>
      </c>
    </row>
    <row r="11131" spans="1:13" s="21" customFormat="1" x14ac:dyDescent="0.25">
      <c r="A11131" s="22" t="s">
        <v>8</v>
      </c>
      <c r="B11131" s="18" t="str">
        <f>"395034"</f>
        <v>395034</v>
      </c>
      <c r="C11131" s="19" t="s">
        <v>10956</v>
      </c>
      <c r="D11131" s="19" t="s">
        <v>26540</v>
      </c>
      <c r="E11131" s="19" t="s">
        <v>34801</v>
      </c>
      <c r="F11131" s="19" t="s">
        <v>36012</v>
      </c>
      <c r="G11131" s="18" t="str">
        <f>"15237"</f>
        <v>15237</v>
      </c>
      <c r="H11131" s="19" t="s">
        <v>36730</v>
      </c>
      <c r="I11131" s="20">
        <v>19.206</v>
      </c>
      <c r="J11131" s="44" t="s">
        <v>8</v>
      </c>
      <c r="K11131" s="23" t="s">
        <v>8</v>
      </c>
      <c r="L11131" s="23" t="s">
        <v>8</v>
      </c>
      <c r="M11131" s="23" t="s">
        <v>8</v>
      </c>
    </row>
    <row r="11132" spans="1:13" s="21" customFormat="1" x14ac:dyDescent="0.25">
      <c r="A11132" s="22" t="s">
        <v>8</v>
      </c>
      <c r="B11132" s="18" t="str">
        <f>"395037"</f>
        <v>395037</v>
      </c>
      <c r="C11132" s="19" t="s">
        <v>10957</v>
      </c>
      <c r="D11132" s="19" t="s">
        <v>26541</v>
      </c>
      <c r="E11132" s="19" t="s">
        <v>30834</v>
      </c>
      <c r="F11132" s="19" t="s">
        <v>36012</v>
      </c>
      <c r="G11132" s="18" t="str">
        <f>"17402"</f>
        <v>17402</v>
      </c>
      <c r="H11132" s="19" t="s">
        <v>30834</v>
      </c>
      <c r="I11132" s="20">
        <v>17.488</v>
      </c>
      <c r="J11132" s="44" t="s">
        <v>8</v>
      </c>
      <c r="K11132" s="23" t="s">
        <v>8</v>
      </c>
      <c r="L11132" s="23" t="s">
        <v>8</v>
      </c>
      <c r="M11132" s="23" t="s">
        <v>8</v>
      </c>
    </row>
    <row r="11133" spans="1:13" s="21" customFormat="1" x14ac:dyDescent="0.25">
      <c r="A11133" s="22" t="s">
        <v>8</v>
      </c>
      <c r="B11133" s="18" t="str">
        <f>"395041"</f>
        <v>395041</v>
      </c>
      <c r="C11133" s="19" t="s">
        <v>10958</v>
      </c>
      <c r="D11133" s="19" t="s">
        <v>26542</v>
      </c>
      <c r="E11133" s="19" t="s">
        <v>34805</v>
      </c>
      <c r="F11133" s="19" t="s">
        <v>36012</v>
      </c>
      <c r="G11133" s="18" t="str">
        <f>"16511"</f>
        <v>16511</v>
      </c>
      <c r="H11133" s="19" t="s">
        <v>34805</v>
      </c>
      <c r="I11133" s="20">
        <v>15.795</v>
      </c>
      <c r="J11133" s="44" t="s">
        <v>8</v>
      </c>
      <c r="K11133" s="23" t="s">
        <v>8</v>
      </c>
      <c r="L11133" s="23" t="s">
        <v>8</v>
      </c>
      <c r="M11133" s="23" t="s">
        <v>8</v>
      </c>
    </row>
    <row r="11134" spans="1:13" s="21" customFormat="1" x14ac:dyDescent="0.25">
      <c r="A11134" s="22" t="s">
        <v>8</v>
      </c>
      <c r="B11134" s="18" t="str">
        <f>"395042"</f>
        <v>395042</v>
      </c>
      <c r="C11134" s="19" t="s">
        <v>10959</v>
      </c>
      <c r="D11134" s="19" t="s">
        <v>26543</v>
      </c>
      <c r="E11134" s="19" t="s">
        <v>34805</v>
      </c>
      <c r="F11134" s="19" t="s">
        <v>36012</v>
      </c>
      <c r="G11134" s="18" t="str">
        <f>"16504"</f>
        <v>16504</v>
      </c>
      <c r="H11134" s="19" t="s">
        <v>34805</v>
      </c>
      <c r="I11134" s="20">
        <v>14.787000000000001</v>
      </c>
      <c r="J11134" s="44" t="s">
        <v>8</v>
      </c>
      <c r="K11134" s="23" t="s">
        <v>8</v>
      </c>
      <c r="L11134" s="23" t="s">
        <v>8</v>
      </c>
      <c r="M11134" s="23" t="s">
        <v>8</v>
      </c>
    </row>
    <row r="11135" spans="1:13" s="21" customFormat="1" x14ac:dyDescent="0.25">
      <c r="A11135" s="22" t="s">
        <v>8</v>
      </c>
      <c r="B11135" s="18" t="str">
        <f>"395044"</f>
        <v>395044</v>
      </c>
      <c r="C11135" s="19" t="s">
        <v>10960</v>
      </c>
      <c r="D11135" s="19" t="s">
        <v>26544</v>
      </c>
      <c r="E11135" s="19" t="s">
        <v>34806</v>
      </c>
      <c r="F11135" s="19" t="s">
        <v>36012</v>
      </c>
      <c r="G11135" s="18" t="str">
        <f>"15139"</f>
        <v>15139</v>
      </c>
      <c r="H11135" s="19" t="s">
        <v>36730</v>
      </c>
      <c r="I11135" s="20">
        <v>18.477</v>
      </c>
      <c r="J11135" s="44" t="s">
        <v>8</v>
      </c>
      <c r="K11135" s="23" t="s">
        <v>8</v>
      </c>
      <c r="L11135" s="23" t="s">
        <v>8</v>
      </c>
      <c r="M11135" s="23" t="s">
        <v>8</v>
      </c>
    </row>
    <row r="11136" spans="1:13" s="21" customFormat="1" x14ac:dyDescent="0.25">
      <c r="A11136" s="22" t="s">
        <v>8</v>
      </c>
      <c r="B11136" s="18" t="str">
        <f>"395045"</f>
        <v>395045</v>
      </c>
      <c r="C11136" s="19" t="s">
        <v>10961</v>
      </c>
      <c r="D11136" s="19" t="s">
        <v>26545</v>
      </c>
      <c r="E11136" s="19" t="s">
        <v>34807</v>
      </c>
      <c r="F11136" s="19" t="s">
        <v>36012</v>
      </c>
      <c r="G11136" s="18" t="str">
        <f>"17866"</f>
        <v>17866</v>
      </c>
      <c r="H11136" s="19" t="s">
        <v>34890</v>
      </c>
      <c r="I11136" s="20">
        <v>17.488</v>
      </c>
      <c r="J11136" s="44" t="s">
        <v>8</v>
      </c>
      <c r="K11136" s="23" t="s">
        <v>8</v>
      </c>
      <c r="L11136" s="23" t="s">
        <v>8</v>
      </c>
      <c r="M11136" s="23" t="s">
        <v>8</v>
      </c>
    </row>
    <row r="11137" spans="1:13" s="21" customFormat="1" x14ac:dyDescent="0.25">
      <c r="A11137" s="22" t="s">
        <v>8</v>
      </c>
      <c r="B11137" s="18" t="str">
        <f>"395047"</f>
        <v>395047</v>
      </c>
      <c r="C11137" s="19" t="s">
        <v>10962</v>
      </c>
      <c r="D11137" s="19" t="s">
        <v>26546</v>
      </c>
      <c r="E11137" s="19" t="s">
        <v>34520</v>
      </c>
      <c r="F11137" s="19" t="s">
        <v>36012</v>
      </c>
      <c r="G11137" s="18" t="str">
        <f>"18901"</f>
        <v>18901</v>
      </c>
      <c r="H11137" s="19" t="s">
        <v>36729</v>
      </c>
      <c r="I11137" s="20">
        <v>19.962</v>
      </c>
      <c r="J11137" s="44" t="s">
        <v>8</v>
      </c>
      <c r="K11137" s="23" t="s">
        <v>8</v>
      </c>
      <c r="L11137" s="23" t="s">
        <v>8</v>
      </c>
      <c r="M11137" s="23" t="s">
        <v>8</v>
      </c>
    </row>
    <row r="11138" spans="1:13" s="21" customFormat="1" x14ac:dyDescent="0.25">
      <c r="A11138" s="22" t="s">
        <v>8</v>
      </c>
      <c r="B11138" s="18" t="str">
        <f>"395050"</f>
        <v>395050</v>
      </c>
      <c r="C11138" s="19" t="s">
        <v>10963</v>
      </c>
      <c r="D11138" s="19" t="s">
        <v>26547</v>
      </c>
      <c r="E11138" s="19" t="s">
        <v>34808</v>
      </c>
      <c r="F11138" s="19" t="s">
        <v>36012</v>
      </c>
      <c r="G11138" s="18" t="str">
        <f>"16648"</f>
        <v>16648</v>
      </c>
      <c r="H11138" s="19" t="s">
        <v>33795</v>
      </c>
      <c r="I11138" s="20">
        <v>17.972999999999999</v>
      </c>
      <c r="J11138" s="44" t="s">
        <v>8</v>
      </c>
      <c r="K11138" s="23" t="s">
        <v>8</v>
      </c>
      <c r="L11138" s="23" t="s">
        <v>8</v>
      </c>
      <c r="M11138" s="23" t="s">
        <v>8</v>
      </c>
    </row>
    <row r="11139" spans="1:13" s="21" customFormat="1" x14ac:dyDescent="0.25">
      <c r="A11139" s="22" t="s">
        <v>8</v>
      </c>
      <c r="B11139" s="18" t="str">
        <f>"395052"</f>
        <v>395052</v>
      </c>
      <c r="C11139" s="19" t="s">
        <v>10964</v>
      </c>
      <c r="D11139" s="19" t="s">
        <v>26548</v>
      </c>
      <c r="E11139" s="19" t="s">
        <v>34809</v>
      </c>
      <c r="F11139" s="19" t="s">
        <v>36012</v>
      </c>
      <c r="G11139" s="18" t="str">
        <f>"19008"</f>
        <v>19008</v>
      </c>
      <c r="H11139" s="19" t="s">
        <v>34462</v>
      </c>
      <c r="I11139" s="20">
        <v>15.458</v>
      </c>
      <c r="J11139" s="44" t="s">
        <v>8</v>
      </c>
      <c r="K11139" s="23" t="s">
        <v>8</v>
      </c>
      <c r="L11139" s="23" t="s">
        <v>8</v>
      </c>
      <c r="M11139" s="23" t="s">
        <v>8</v>
      </c>
    </row>
    <row r="11140" spans="1:13" s="21" customFormat="1" x14ac:dyDescent="0.25">
      <c r="A11140" s="22" t="s">
        <v>8</v>
      </c>
      <c r="B11140" s="18" t="str">
        <f>"395058"</f>
        <v>395058</v>
      </c>
      <c r="C11140" s="19" t="s">
        <v>10965</v>
      </c>
      <c r="D11140" s="19" t="s">
        <v>26549</v>
      </c>
      <c r="E11140" s="19" t="s">
        <v>30834</v>
      </c>
      <c r="F11140" s="19" t="s">
        <v>36012</v>
      </c>
      <c r="G11140" s="18" t="str">
        <f>"17403"</f>
        <v>17403</v>
      </c>
      <c r="H11140" s="19" t="s">
        <v>30834</v>
      </c>
      <c r="I11140" s="20">
        <v>13.978999999999999</v>
      </c>
      <c r="J11140" s="44" t="s">
        <v>8</v>
      </c>
      <c r="K11140" s="23" t="s">
        <v>8</v>
      </c>
      <c r="L11140" s="23" t="s">
        <v>8</v>
      </c>
      <c r="M11140" s="23" t="s">
        <v>8</v>
      </c>
    </row>
    <row r="11141" spans="1:13" s="21" customFormat="1" x14ac:dyDescent="0.25">
      <c r="A11141" s="22" t="s">
        <v>8</v>
      </c>
      <c r="B11141" s="18" t="str">
        <f>"395066"</f>
        <v>395066</v>
      </c>
      <c r="C11141" s="19" t="s">
        <v>10966</v>
      </c>
      <c r="D11141" s="19" t="s">
        <v>26550</v>
      </c>
      <c r="E11141" s="19" t="s">
        <v>34810</v>
      </c>
      <c r="F11141" s="19" t="s">
        <v>36012</v>
      </c>
      <c r="G11141" s="18" t="str">
        <f>"15025"</f>
        <v>15025</v>
      </c>
      <c r="H11141" s="19" t="s">
        <v>36730</v>
      </c>
      <c r="I11141" s="20">
        <v>17.129000000000001</v>
      </c>
      <c r="J11141" s="44" t="s">
        <v>8</v>
      </c>
      <c r="K11141" s="23" t="s">
        <v>8</v>
      </c>
      <c r="L11141" s="23" t="s">
        <v>8</v>
      </c>
      <c r="M11141" s="23" t="s">
        <v>8</v>
      </c>
    </row>
    <row r="11142" spans="1:13" s="21" customFormat="1" x14ac:dyDescent="0.25">
      <c r="A11142" s="22" t="s">
        <v>8</v>
      </c>
      <c r="B11142" s="18" t="str">
        <f>"395067"</f>
        <v>395067</v>
      </c>
      <c r="C11142" s="19" t="s">
        <v>10967</v>
      </c>
      <c r="D11142" s="19" t="s">
        <v>26551</v>
      </c>
      <c r="E11142" s="19" t="s">
        <v>34811</v>
      </c>
      <c r="F11142" s="19" t="s">
        <v>36012</v>
      </c>
      <c r="G11142" s="18" t="str">
        <f>"18509"</f>
        <v>18509</v>
      </c>
      <c r="H11142" s="19" t="s">
        <v>36732</v>
      </c>
      <c r="I11142" s="20">
        <v>21.423999999999999</v>
      </c>
      <c r="J11142" s="44" t="s">
        <v>8</v>
      </c>
      <c r="K11142" s="23" t="s">
        <v>8</v>
      </c>
      <c r="L11142" s="23" t="s">
        <v>8</v>
      </c>
      <c r="M11142" s="23" t="s">
        <v>8</v>
      </c>
    </row>
    <row r="11143" spans="1:13" s="21" customFormat="1" x14ac:dyDescent="0.25">
      <c r="A11143" s="22" t="s">
        <v>8</v>
      </c>
      <c r="B11143" s="18" t="str">
        <f>"395068"</f>
        <v>395068</v>
      </c>
      <c r="C11143" s="19" t="s">
        <v>10968</v>
      </c>
      <c r="D11143" s="19" t="s">
        <v>26552</v>
      </c>
      <c r="E11143" s="19" t="s">
        <v>34801</v>
      </c>
      <c r="F11143" s="19" t="s">
        <v>36012</v>
      </c>
      <c r="G11143" s="18" t="str">
        <f>"15232"</f>
        <v>15232</v>
      </c>
      <c r="H11143" s="19" t="s">
        <v>36730</v>
      </c>
      <c r="I11143" s="20">
        <v>19.757000000000001</v>
      </c>
      <c r="J11143" s="44" t="s">
        <v>8</v>
      </c>
      <c r="K11143" s="23" t="s">
        <v>8</v>
      </c>
      <c r="L11143" s="23" t="s">
        <v>8</v>
      </c>
      <c r="M11143" s="23" t="s">
        <v>8</v>
      </c>
    </row>
    <row r="11144" spans="1:13" s="21" customFormat="1" x14ac:dyDescent="0.25">
      <c r="A11144" s="22" t="s">
        <v>8</v>
      </c>
      <c r="B11144" s="18" t="str">
        <f>"395074"</f>
        <v>395074</v>
      </c>
      <c r="C11144" s="19" t="s">
        <v>10969</v>
      </c>
      <c r="D11144" s="19" t="s">
        <v>26553</v>
      </c>
      <c r="E11144" s="19" t="s">
        <v>31073</v>
      </c>
      <c r="F11144" s="19" t="s">
        <v>36012</v>
      </c>
      <c r="G11144" s="18" t="str">
        <f>"17111"</f>
        <v>17111</v>
      </c>
      <c r="H11144" s="19" t="s">
        <v>36733</v>
      </c>
      <c r="I11144" s="20">
        <v>15.343</v>
      </c>
      <c r="J11144" s="44" t="s">
        <v>8</v>
      </c>
      <c r="K11144" s="23" t="s">
        <v>8</v>
      </c>
      <c r="L11144" s="23" t="s">
        <v>8</v>
      </c>
      <c r="M11144" s="23" t="s">
        <v>8</v>
      </c>
    </row>
    <row r="11145" spans="1:13" s="21" customFormat="1" x14ac:dyDescent="0.25">
      <c r="A11145" s="22" t="s">
        <v>8</v>
      </c>
      <c r="B11145" s="18" t="str">
        <f>"395075"</f>
        <v>395075</v>
      </c>
      <c r="C11145" s="19" t="s">
        <v>10970</v>
      </c>
      <c r="D11145" s="19" t="s">
        <v>26554</v>
      </c>
      <c r="E11145" s="19" t="s">
        <v>32639</v>
      </c>
      <c r="F11145" s="19" t="s">
        <v>36012</v>
      </c>
      <c r="G11145" s="18" t="str">
        <f>"18042"</f>
        <v>18042</v>
      </c>
      <c r="H11145" s="19" t="s">
        <v>33038</v>
      </c>
      <c r="I11145" s="20">
        <v>18.100999999999999</v>
      </c>
      <c r="J11145" s="44" t="s">
        <v>8</v>
      </c>
      <c r="K11145" s="23" t="s">
        <v>8</v>
      </c>
      <c r="L11145" s="23" t="s">
        <v>8</v>
      </c>
      <c r="M11145" s="23" t="s">
        <v>8</v>
      </c>
    </row>
    <row r="11146" spans="1:13" s="21" customFormat="1" x14ac:dyDescent="0.25">
      <c r="A11146" s="22" t="s">
        <v>8</v>
      </c>
      <c r="B11146" s="18" t="str">
        <f>"395077"</f>
        <v>395077</v>
      </c>
      <c r="C11146" s="19" t="s">
        <v>10971</v>
      </c>
      <c r="D11146" s="19" t="s">
        <v>26555</v>
      </c>
      <c r="E11146" s="19" t="s">
        <v>34812</v>
      </c>
      <c r="F11146" s="19" t="s">
        <v>36012</v>
      </c>
      <c r="G11146" s="18" t="str">
        <f>"19090"</f>
        <v>19090</v>
      </c>
      <c r="H11146" s="19" t="s">
        <v>30833</v>
      </c>
      <c r="I11146" s="20">
        <v>16.555</v>
      </c>
      <c r="J11146" s="44" t="s">
        <v>8</v>
      </c>
      <c r="K11146" s="23" t="s">
        <v>8</v>
      </c>
      <c r="L11146" s="23" t="s">
        <v>8</v>
      </c>
      <c r="M11146" s="23" t="s">
        <v>8</v>
      </c>
    </row>
    <row r="11147" spans="1:13" s="21" customFormat="1" x14ac:dyDescent="0.25">
      <c r="A11147" s="22" t="s">
        <v>8</v>
      </c>
      <c r="B11147" s="18" t="str">
        <f>"395078"</f>
        <v>395078</v>
      </c>
      <c r="C11147" s="19" t="s">
        <v>10972</v>
      </c>
      <c r="D11147" s="19" t="s">
        <v>26556</v>
      </c>
      <c r="E11147" s="19" t="s">
        <v>34809</v>
      </c>
      <c r="F11147" s="19" t="s">
        <v>36012</v>
      </c>
      <c r="G11147" s="18" t="str">
        <f>"19008"</f>
        <v>19008</v>
      </c>
      <c r="H11147" s="19" t="s">
        <v>34462</v>
      </c>
      <c r="I11147" s="20">
        <v>19.178000000000001</v>
      </c>
      <c r="J11147" s="44" t="s">
        <v>8</v>
      </c>
      <c r="K11147" s="23" t="s">
        <v>8</v>
      </c>
      <c r="L11147" s="23" t="s">
        <v>8</v>
      </c>
      <c r="M11147" s="23" t="s">
        <v>8</v>
      </c>
    </row>
    <row r="11148" spans="1:13" s="21" customFormat="1" x14ac:dyDescent="0.25">
      <c r="A11148" s="22" t="s">
        <v>8</v>
      </c>
      <c r="B11148" s="18" t="str">
        <f>"395080"</f>
        <v>395080</v>
      </c>
      <c r="C11148" s="19" t="s">
        <v>10973</v>
      </c>
      <c r="D11148" s="19" t="s">
        <v>26557</v>
      </c>
      <c r="E11148" s="19" t="s">
        <v>34799</v>
      </c>
      <c r="F11148" s="19" t="s">
        <v>36012</v>
      </c>
      <c r="G11148" s="18" t="str">
        <f>"18104"</f>
        <v>18104</v>
      </c>
      <c r="H11148" s="19" t="s">
        <v>36731</v>
      </c>
      <c r="I11148" s="20">
        <v>18.071999999999999</v>
      </c>
      <c r="J11148" s="44" t="s">
        <v>8</v>
      </c>
      <c r="K11148" s="23" t="s">
        <v>8</v>
      </c>
      <c r="L11148" s="23" t="s">
        <v>8</v>
      </c>
      <c r="M11148" s="23" t="s">
        <v>8</v>
      </c>
    </row>
    <row r="11149" spans="1:13" s="21" customFormat="1" x14ac:dyDescent="0.25">
      <c r="A11149" s="22" t="s">
        <v>8</v>
      </c>
      <c r="B11149" s="18" t="str">
        <f>"395084"</f>
        <v>395084</v>
      </c>
      <c r="C11149" s="19" t="s">
        <v>10974</v>
      </c>
      <c r="D11149" s="19" t="s">
        <v>26558</v>
      </c>
      <c r="E11149" s="19" t="s">
        <v>33514</v>
      </c>
      <c r="F11149" s="19" t="s">
        <v>36012</v>
      </c>
      <c r="G11149" s="18" t="str">
        <f>"19116"</f>
        <v>19116</v>
      </c>
      <c r="H11149" s="19" t="s">
        <v>33514</v>
      </c>
      <c r="I11149" s="20">
        <v>18.611000000000001</v>
      </c>
      <c r="J11149" s="44" t="s">
        <v>8</v>
      </c>
      <c r="K11149" s="23" t="s">
        <v>8</v>
      </c>
      <c r="L11149" s="23" t="s">
        <v>8</v>
      </c>
      <c r="M11149" s="23" t="s">
        <v>8</v>
      </c>
    </row>
    <row r="11150" spans="1:13" s="21" customFormat="1" x14ac:dyDescent="0.25">
      <c r="A11150" s="22" t="s">
        <v>8</v>
      </c>
      <c r="B11150" s="18" t="str">
        <f>"395090"</f>
        <v>395090</v>
      </c>
      <c r="C11150" s="19" t="s">
        <v>10975</v>
      </c>
      <c r="D11150" s="19" t="s">
        <v>26559</v>
      </c>
      <c r="E11150" s="19" t="s">
        <v>34813</v>
      </c>
      <c r="F11150" s="19" t="s">
        <v>36012</v>
      </c>
      <c r="G11150" s="18" t="str">
        <f>"15963"</f>
        <v>15963</v>
      </c>
      <c r="H11150" s="19" t="s">
        <v>32705</v>
      </c>
      <c r="I11150" s="20">
        <v>20.443999999999999</v>
      </c>
      <c r="J11150" s="44" t="s">
        <v>8</v>
      </c>
      <c r="K11150" s="23" t="s">
        <v>8</v>
      </c>
      <c r="L11150" s="23" t="s">
        <v>8</v>
      </c>
      <c r="M11150" s="23" t="s">
        <v>8</v>
      </c>
    </row>
    <row r="11151" spans="1:13" s="21" customFormat="1" x14ac:dyDescent="0.25">
      <c r="A11151" s="22" t="s">
        <v>8</v>
      </c>
      <c r="B11151" s="18" t="str">
        <f>"395092"</f>
        <v>395092</v>
      </c>
      <c r="C11151" s="19" t="s">
        <v>10976</v>
      </c>
      <c r="D11151" s="19" t="s">
        <v>26560</v>
      </c>
      <c r="E11151" s="19" t="s">
        <v>30923</v>
      </c>
      <c r="F11151" s="19" t="s">
        <v>36012</v>
      </c>
      <c r="G11151" s="18" t="str">
        <f>"18801"</f>
        <v>18801</v>
      </c>
      <c r="H11151" s="19" t="s">
        <v>34854</v>
      </c>
      <c r="I11151" s="20">
        <v>18.375</v>
      </c>
      <c r="J11151" s="44" t="s">
        <v>8</v>
      </c>
      <c r="K11151" s="23" t="s">
        <v>8</v>
      </c>
      <c r="L11151" s="23" t="s">
        <v>8</v>
      </c>
      <c r="M11151" s="23" t="s">
        <v>8</v>
      </c>
    </row>
    <row r="11152" spans="1:13" s="21" customFormat="1" x14ac:dyDescent="0.25">
      <c r="A11152" s="22" t="s">
        <v>8</v>
      </c>
      <c r="B11152" s="18" t="str">
        <f>"395094"</f>
        <v>395094</v>
      </c>
      <c r="C11152" s="19" t="s">
        <v>10977</v>
      </c>
      <c r="D11152" s="19" t="s">
        <v>26561</v>
      </c>
      <c r="E11152" s="19" t="s">
        <v>34814</v>
      </c>
      <c r="F11152" s="19" t="s">
        <v>36012</v>
      </c>
      <c r="G11152" s="18" t="str">
        <f>"19533"</f>
        <v>19533</v>
      </c>
      <c r="H11152" s="19" t="s">
        <v>36734</v>
      </c>
      <c r="I11152" s="20">
        <v>13.127000000000001</v>
      </c>
      <c r="J11152" s="44" t="s">
        <v>8</v>
      </c>
      <c r="K11152" s="23" t="s">
        <v>8</v>
      </c>
      <c r="L11152" s="23" t="s">
        <v>8</v>
      </c>
      <c r="M11152" s="23" t="s">
        <v>8</v>
      </c>
    </row>
    <row r="11153" spans="1:13" s="21" customFormat="1" x14ac:dyDescent="0.25">
      <c r="A11153" s="22" t="s">
        <v>8</v>
      </c>
      <c r="B11153" s="18" t="str">
        <f>"395095"</f>
        <v>395095</v>
      </c>
      <c r="C11153" s="19" t="s">
        <v>10978</v>
      </c>
      <c r="D11153" s="19" t="s">
        <v>26562</v>
      </c>
      <c r="E11153" s="19" t="s">
        <v>34815</v>
      </c>
      <c r="F11153" s="19" t="s">
        <v>36012</v>
      </c>
      <c r="G11153" s="18" t="str">
        <f>"19010"</f>
        <v>19010</v>
      </c>
      <c r="H11153" s="19" t="s">
        <v>34462</v>
      </c>
      <c r="I11153" s="20">
        <v>19.835000000000001</v>
      </c>
      <c r="J11153" s="44" t="s">
        <v>8</v>
      </c>
      <c r="K11153" s="23" t="s">
        <v>8</v>
      </c>
      <c r="L11153" s="23" t="s">
        <v>8</v>
      </c>
      <c r="M11153" s="23" t="s">
        <v>8</v>
      </c>
    </row>
    <row r="11154" spans="1:13" s="21" customFormat="1" x14ac:dyDescent="0.25">
      <c r="A11154" s="22" t="s">
        <v>8</v>
      </c>
      <c r="B11154" s="18" t="str">
        <f>"395101"</f>
        <v>395101</v>
      </c>
      <c r="C11154" s="19" t="s">
        <v>10979</v>
      </c>
      <c r="D11154" s="19" t="s">
        <v>26563</v>
      </c>
      <c r="E11154" s="19" t="s">
        <v>34635</v>
      </c>
      <c r="F11154" s="19" t="s">
        <v>36012</v>
      </c>
      <c r="G11154" s="18" t="str">
        <f>"18840"</f>
        <v>18840</v>
      </c>
      <c r="H11154" s="19" t="s">
        <v>34878</v>
      </c>
      <c r="I11154" s="20">
        <v>19.152000000000001</v>
      </c>
      <c r="J11154" s="44" t="s">
        <v>8</v>
      </c>
      <c r="K11154" s="23" t="s">
        <v>8</v>
      </c>
      <c r="L11154" s="23" t="s">
        <v>8</v>
      </c>
      <c r="M11154" s="23" t="s">
        <v>8</v>
      </c>
    </row>
    <row r="11155" spans="1:13" s="21" customFormat="1" x14ac:dyDescent="0.25">
      <c r="A11155" s="22" t="s">
        <v>8</v>
      </c>
      <c r="B11155" s="18" t="str">
        <f>"395102"</f>
        <v>395102</v>
      </c>
      <c r="C11155" s="19" t="s">
        <v>10980</v>
      </c>
      <c r="D11155" s="19" t="s">
        <v>26564</v>
      </c>
      <c r="E11155" s="19" t="s">
        <v>34107</v>
      </c>
      <c r="F11155" s="19" t="s">
        <v>36012</v>
      </c>
      <c r="G11155" s="18" t="str">
        <f>"17029"</f>
        <v>17029</v>
      </c>
      <c r="H11155" s="19" t="s">
        <v>34876</v>
      </c>
      <c r="I11155" s="20">
        <v>18.535</v>
      </c>
      <c r="J11155" s="44" t="s">
        <v>8</v>
      </c>
      <c r="K11155" s="23" t="s">
        <v>8</v>
      </c>
      <c r="L11155" s="23" t="s">
        <v>8</v>
      </c>
      <c r="M11155" s="23" t="s">
        <v>8</v>
      </c>
    </row>
    <row r="11156" spans="1:13" s="21" customFormat="1" x14ac:dyDescent="0.25">
      <c r="A11156" s="22" t="s">
        <v>8</v>
      </c>
      <c r="B11156" s="18" t="str">
        <f>"395103"</f>
        <v>395103</v>
      </c>
      <c r="C11156" s="19" t="s">
        <v>10981</v>
      </c>
      <c r="D11156" s="19" t="s">
        <v>26565</v>
      </c>
      <c r="E11156" s="19" t="s">
        <v>34811</v>
      </c>
      <c r="F11156" s="19" t="s">
        <v>36012</v>
      </c>
      <c r="G11156" s="18" t="str">
        <f>"18510"</f>
        <v>18510</v>
      </c>
      <c r="H11156" s="19" t="s">
        <v>36732</v>
      </c>
      <c r="I11156" s="20">
        <v>18.72</v>
      </c>
      <c r="J11156" s="44" t="s">
        <v>8</v>
      </c>
      <c r="K11156" s="23" t="s">
        <v>8</v>
      </c>
      <c r="L11156" s="23" t="s">
        <v>8</v>
      </c>
      <c r="M11156" s="23" t="s">
        <v>8</v>
      </c>
    </row>
    <row r="11157" spans="1:13" s="21" customFormat="1" x14ac:dyDescent="0.25">
      <c r="A11157" s="22" t="s">
        <v>8</v>
      </c>
      <c r="B11157" s="18" t="str">
        <f>"395104"</f>
        <v>395104</v>
      </c>
      <c r="C11157" s="19" t="s">
        <v>10982</v>
      </c>
      <c r="D11157" s="19" t="s">
        <v>26566</v>
      </c>
      <c r="E11157" s="19" t="s">
        <v>31890</v>
      </c>
      <c r="F11157" s="19" t="s">
        <v>36012</v>
      </c>
      <c r="G11157" s="18" t="str">
        <f>"18444"</f>
        <v>18444</v>
      </c>
      <c r="H11157" s="19" t="s">
        <v>36732</v>
      </c>
      <c r="I11157" s="20">
        <v>18.762</v>
      </c>
      <c r="J11157" s="44" t="s">
        <v>8</v>
      </c>
      <c r="K11157" s="23" t="s">
        <v>8</v>
      </c>
      <c r="L11157" s="23" t="s">
        <v>8</v>
      </c>
      <c r="M11157" s="23" t="s">
        <v>8</v>
      </c>
    </row>
    <row r="11158" spans="1:13" s="21" customFormat="1" x14ac:dyDescent="0.25">
      <c r="A11158" s="22" t="s">
        <v>8</v>
      </c>
      <c r="B11158" s="18" t="str">
        <f>"395105"</f>
        <v>395105</v>
      </c>
      <c r="C11158" s="19" t="s">
        <v>10983</v>
      </c>
      <c r="D11158" s="19" t="s">
        <v>26567</v>
      </c>
      <c r="E11158" s="19" t="s">
        <v>34816</v>
      </c>
      <c r="F11158" s="19" t="s">
        <v>36012</v>
      </c>
      <c r="G11158" s="18" t="str">
        <f>"18087"</f>
        <v>18087</v>
      </c>
      <c r="H11158" s="19" t="s">
        <v>36731</v>
      </c>
      <c r="I11158" s="20">
        <v>17.599</v>
      </c>
      <c r="J11158" s="44" t="s">
        <v>8</v>
      </c>
      <c r="K11158" s="23" t="s">
        <v>8</v>
      </c>
      <c r="L11158" s="23" t="s">
        <v>8</v>
      </c>
      <c r="M11158" s="23" t="s">
        <v>8</v>
      </c>
    </row>
    <row r="11159" spans="1:13" s="21" customFormat="1" x14ac:dyDescent="0.25">
      <c r="A11159" s="22" t="s">
        <v>8</v>
      </c>
      <c r="B11159" s="18" t="str">
        <f>"395108"</f>
        <v>395108</v>
      </c>
      <c r="C11159" s="19" t="s">
        <v>10984</v>
      </c>
      <c r="D11159" s="19" t="s">
        <v>26568</v>
      </c>
      <c r="E11159" s="19" t="s">
        <v>34817</v>
      </c>
      <c r="F11159" s="19" t="s">
        <v>36012</v>
      </c>
      <c r="G11159" s="18" t="str">
        <f>"17350"</f>
        <v>17350</v>
      </c>
      <c r="H11159" s="19" t="s">
        <v>33467</v>
      </c>
      <c r="I11159" s="20">
        <v>16.11</v>
      </c>
      <c r="J11159" s="44" t="s">
        <v>8</v>
      </c>
      <c r="K11159" s="23" t="s">
        <v>8</v>
      </c>
      <c r="L11159" s="23" t="s">
        <v>8</v>
      </c>
      <c r="M11159" s="23" t="s">
        <v>8</v>
      </c>
    </row>
    <row r="11160" spans="1:13" s="21" customFormat="1" x14ac:dyDescent="0.25">
      <c r="A11160" s="22" t="s">
        <v>8</v>
      </c>
      <c r="B11160" s="18" t="str">
        <f>"395109"</f>
        <v>395109</v>
      </c>
      <c r="C11160" s="19" t="s">
        <v>10985</v>
      </c>
      <c r="D11160" s="19" t="s">
        <v>26569</v>
      </c>
      <c r="E11160" s="19" t="s">
        <v>34818</v>
      </c>
      <c r="F11160" s="19" t="s">
        <v>36012</v>
      </c>
      <c r="G11160" s="18" t="str">
        <f>"15001"</f>
        <v>15001</v>
      </c>
      <c r="H11160" s="19" t="s">
        <v>34742</v>
      </c>
      <c r="I11160" s="20">
        <v>20.356999999999999</v>
      </c>
      <c r="J11160" s="44" t="s">
        <v>8</v>
      </c>
      <c r="K11160" s="23" t="s">
        <v>8</v>
      </c>
      <c r="L11160" s="23" t="s">
        <v>8</v>
      </c>
      <c r="M11160" s="23" t="s">
        <v>8</v>
      </c>
    </row>
    <row r="11161" spans="1:13" s="21" customFormat="1" x14ac:dyDescent="0.25">
      <c r="A11161" s="22" t="s">
        <v>8</v>
      </c>
      <c r="B11161" s="18" t="str">
        <f>"395110"</f>
        <v>395110</v>
      </c>
      <c r="C11161" s="19" t="s">
        <v>10986</v>
      </c>
      <c r="D11161" s="19" t="s">
        <v>26570</v>
      </c>
      <c r="E11161" s="19" t="s">
        <v>33514</v>
      </c>
      <c r="F11161" s="19" t="s">
        <v>36012</v>
      </c>
      <c r="G11161" s="18" t="str">
        <f>"19115"</f>
        <v>19115</v>
      </c>
      <c r="H11161" s="19" t="s">
        <v>33514</v>
      </c>
      <c r="I11161" s="20">
        <v>19.132999999999999</v>
      </c>
      <c r="J11161" s="44" t="s">
        <v>8</v>
      </c>
      <c r="K11161" s="23" t="s">
        <v>8</v>
      </c>
      <c r="L11161" s="23" t="s">
        <v>8</v>
      </c>
      <c r="M11161" s="23" t="s">
        <v>8</v>
      </c>
    </row>
    <row r="11162" spans="1:13" s="21" customFormat="1" x14ac:dyDescent="0.25">
      <c r="A11162" s="22" t="s">
        <v>8</v>
      </c>
      <c r="B11162" s="18" t="str">
        <f>"395117"</f>
        <v>395117</v>
      </c>
      <c r="C11162" s="19" t="s">
        <v>10987</v>
      </c>
      <c r="D11162" s="19" t="s">
        <v>26571</v>
      </c>
      <c r="E11162" s="19" t="s">
        <v>34819</v>
      </c>
      <c r="F11162" s="19" t="s">
        <v>36012</v>
      </c>
      <c r="G11162" s="18" t="str">
        <f>"19562"</f>
        <v>19562</v>
      </c>
      <c r="H11162" s="19" t="s">
        <v>36734</v>
      </c>
      <c r="I11162" s="20">
        <v>15.147</v>
      </c>
      <c r="J11162" s="44" t="s">
        <v>8</v>
      </c>
      <c r="K11162" s="23" t="s">
        <v>8</v>
      </c>
      <c r="L11162" s="23" t="s">
        <v>8</v>
      </c>
      <c r="M11162" s="23" t="s">
        <v>8</v>
      </c>
    </row>
    <row r="11163" spans="1:13" s="21" customFormat="1" x14ac:dyDescent="0.25">
      <c r="A11163" s="22" t="s">
        <v>8</v>
      </c>
      <c r="B11163" s="18" t="str">
        <f>"395118"</f>
        <v>395118</v>
      </c>
      <c r="C11163" s="19" t="s">
        <v>10988</v>
      </c>
      <c r="D11163" s="19" t="s">
        <v>26572</v>
      </c>
      <c r="E11163" s="19" t="s">
        <v>34820</v>
      </c>
      <c r="F11163" s="19" t="s">
        <v>36012</v>
      </c>
      <c r="G11163" s="18" t="str">
        <f>"16025"</f>
        <v>16025</v>
      </c>
      <c r="H11163" s="19" t="s">
        <v>30876</v>
      </c>
      <c r="I11163" s="20">
        <v>20.16</v>
      </c>
      <c r="J11163" s="44" t="s">
        <v>8</v>
      </c>
      <c r="K11163" s="23" t="s">
        <v>8</v>
      </c>
      <c r="L11163" s="23" t="s">
        <v>8</v>
      </c>
      <c r="M11163" s="23" t="s">
        <v>8</v>
      </c>
    </row>
    <row r="11164" spans="1:13" s="21" customFormat="1" x14ac:dyDescent="0.25">
      <c r="A11164" s="22" t="s">
        <v>8</v>
      </c>
      <c r="B11164" s="18" t="str">
        <f>"395121"</f>
        <v>395121</v>
      </c>
      <c r="C11164" s="19" t="s">
        <v>10989</v>
      </c>
      <c r="D11164" s="19" t="s">
        <v>26573</v>
      </c>
      <c r="E11164" s="19" t="s">
        <v>33514</v>
      </c>
      <c r="F11164" s="19" t="s">
        <v>36012</v>
      </c>
      <c r="G11164" s="18" t="str">
        <f>"19131"</f>
        <v>19131</v>
      </c>
      <c r="H11164" s="19" t="s">
        <v>33514</v>
      </c>
      <c r="I11164" s="20">
        <v>17.378</v>
      </c>
      <c r="J11164" s="44" t="s">
        <v>8</v>
      </c>
      <c r="K11164" s="23" t="s">
        <v>8</v>
      </c>
      <c r="L11164" s="23" t="s">
        <v>8</v>
      </c>
      <c r="M11164" s="23" t="s">
        <v>8</v>
      </c>
    </row>
    <row r="11165" spans="1:13" s="21" customFormat="1" x14ac:dyDescent="0.25">
      <c r="A11165" s="22" t="s">
        <v>8</v>
      </c>
      <c r="B11165" s="18" t="str">
        <f>"395123"</f>
        <v>395123</v>
      </c>
      <c r="C11165" s="19" t="s">
        <v>10990</v>
      </c>
      <c r="D11165" s="19" t="s">
        <v>26574</v>
      </c>
      <c r="E11165" s="19" t="s">
        <v>34821</v>
      </c>
      <c r="F11165" s="19" t="s">
        <v>36012</v>
      </c>
      <c r="G11165" s="18" t="str">
        <f>"17011"</f>
        <v>17011</v>
      </c>
      <c r="H11165" s="19" t="s">
        <v>32766</v>
      </c>
      <c r="I11165" s="20">
        <v>18.166</v>
      </c>
      <c r="J11165" s="44" t="s">
        <v>8</v>
      </c>
      <c r="K11165" s="23" t="s">
        <v>8</v>
      </c>
      <c r="L11165" s="23" t="s">
        <v>8</v>
      </c>
      <c r="M11165" s="23" t="s">
        <v>8</v>
      </c>
    </row>
    <row r="11166" spans="1:13" s="21" customFormat="1" x14ac:dyDescent="0.25">
      <c r="A11166" s="22" t="s">
        <v>8</v>
      </c>
      <c r="B11166" s="18" t="str">
        <f>"395134"</f>
        <v>395134</v>
      </c>
      <c r="C11166" s="19" t="s">
        <v>10991</v>
      </c>
      <c r="D11166" s="19" t="s">
        <v>26575</v>
      </c>
      <c r="E11166" s="19" t="s">
        <v>33514</v>
      </c>
      <c r="F11166" s="19" t="s">
        <v>36012</v>
      </c>
      <c r="G11166" s="18" t="str">
        <f>"19131"</f>
        <v>19131</v>
      </c>
      <c r="H11166" s="19" t="s">
        <v>33514</v>
      </c>
      <c r="I11166" s="20">
        <v>23.222000000000001</v>
      </c>
      <c r="J11166" s="44" t="s">
        <v>8</v>
      </c>
      <c r="K11166" s="23" t="s">
        <v>8</v>
      </c>
      <c r="L11166" s="23" t="s">
        <v>8</v>
      </c>
      <c r="M11166" s="23" t="s">
        <v>8</v>
      </c>
    </row>
    <row r="11167" spans="1:13" s="21" customFormat="1" x14ac:dyDescent="0.25">
      <c r="A11167" s="22" t="s">
        <v>8</v>
      </c>
      <c r="B11167" s="18" t="str">
        <f>"395135"</f>
        <v>395135</v>
      </c>
      <c r="C11167" s="19" t="s">
        <v>10992</v>
      </c>
      <c r="D11167" s="19" t="s">
        <v>26576</v>
      </c>
      <c r="E11167" s="19" t="s">
        <v>33514</v>
      </c>
      <c r="F11167" s="19" t="s">
        <v>36012</v>
      </c>
      <c r="G11167" s="18" t="str">
        <f>"19111"</f>
        <v>19111</v>
      </c>
      <c r="H11167" s="19" t="s">
        <v>33514</v>
      </c>
      <c r="I11167" s="20">
        <v>19.600999999999999</v>
      </c>
      <c r="J11167" s="44" t="s">
        <v>8</v>
      </c>
      <c r="K11167" s="23" t="s">
        <v>8</v>
      </c>
      <c r="L11167" s="23" t="s">
        <v>8</v>
      </c>
      <c r="M11167" s="23" t="s">
        <v>8</v>
      </c>
    </row>
    <row r="11168" spans="1:13" s="21" customFormat="1" x14ac:dyDescent="0.25">
      <c r="A11168" s="22" t="s">
        <v>8</v>
      </c>
      <c r="B11168" s="18" t="str">
        <f>"395138"</f>
        <v>395138</v>
      </c>
      <c r="C11168" s="19" t="s">
        <v>10993</v>
      </c>
      <c r="D11168" s="19" t="s">
        <v>26577</v>
      </c>
      <c r="E11168" s="19" t="s">
        <v>34822</v>
      </c>
      <c r="F11168" s="19" t="s">
        <v>36012</v>
      </c>
      <c r="G11168" s="18" t="str">
        <f>"19607"</f>
        <v>19607</v>
      </c>
      <c r="H11168" s="19" t="s">
        <v>36734</v>
      </c>
      <c r="I11168" s="20">
        <v>14.327999999999999</v>
      </c>
      <c r="J11168" s="44" t="s">
        <v>8</v>
      </c>
      <c r="K11168" s="23" t="s">
        <v>8</v>
      </c>
      <c r="L11168" s="23" t="s">
        <v>8</v>
      </c>
      <c r="M11168" s="23" t="s">
        <v>8</v>
      </c>
    </row>
    <row r="11169" spans="1:13" s="21" customFormat="1" x14ac:dyDescent="0.25">
      <c r="A11169" s="22" t="s">
        <v>8</v>
      </c>
      <c r="B11169" s="18" t="str">
        <f>"395142"</f>
        <v>395142</v>
      </c>
      <c r="C11169" s="19" t="s">
        <v>10994</v>
      </c>
      <c r="D11169" s="19" t="s">
        <v>26578</v>
      </c>
      <c r="E11169" s="19" t="s">
        <v>31073</v>
      </c>
      <c r="F11169" s="19" t="s">
        <v>36012</v>
      </c>
      <c r="G11169" s="18" t="str">
        <f>"17110"</f>
        <v>17110</v>
      </c>
      <c r="H11169" s="19" t="s">
        <v>36733</v>
      </c>
      <c r="I11169" s="20">
        <v>20.414000000000001</v>
      </c>
      <c r="J11169" s="44" t="s">
        <v>8</v>
      </c>
      <c r="K11169" s="23" t="s">
        <v>8</v>
      </c>
      <c r="L11169" s="23" t="s">
        <v>8</v>
      </c>
      <c r="M11169" s="23" t="s">
        <v>8</v>
      </c>
    </row>
    <row r="11170" spans="1:13" s="21" customFormat="1" x14ac:dyDescent="0.25">
      <c r="A11170" s="22" t="s">
        <v>8</v>
      </c>
      <c r="B11170" s="18" t="str">
        <f>"395146"</f>
        <v>395146</v>
      </c>
      <c r="C11170" s="19" t="s">
        <v>10995</v>
      </c>
      <c r="D11170" s="19" t="s">
        <v>26579</v>
      </c>
      <c r="E11170" s="19" t="s">
        <v>34801</v>
      </c>
      <c r="F11170" s="19" t="s">
        <v>36012</v>
      </c>
      <c r="G11170" s="18" t="str">
        <f>"15201"</f>
        <v>15201</v>
      </c>
      <c r="H11170" s="19" t="s">
        <v>36730</v>
      </c>
      <c r="I11170" s="20">
        <v>18.565999999999999</v>
      </c>
      <c r="J11170" s="44" t="s">
        <v>8</v>
      </c>
      <c r="K11170" s="23" t="s">
        <v>8</v>
      </c>
      <c r="L11170" s="23" t="s">
        <v>8</v>
      </c>
      <c r="M11170" s="23" t="s">
        <v>8</v>
      </c>
    </row>
    <row r="11171" spans="1:13" s="21" customFormat="1" x14ac:dyDescent="0.25">
      <c r="A11171" s="22" t="s">
        <v>8</v>
      </c>
      <c r="B11171" s="18" t="str">
        <f>"395148"</f>
        <v>395148</v>
      </c>
      <c r="C11171" s="19" t="s">
        <v>10996</v>
      </c>
      <c r="D11171" s="19" t="s">
        <v>26580</v>
      </c>
      <c r="E11171" s="19" t="s">
        <v>34823</v>
      </c>
      <c r="F11171" s="19" t="s">
        <v>36012</v>
      </c>
      <c r="G11171" s="18" t="str">
        <f>"18711"</f>
        <v>18711</v>
      </c>
      <c r="H11171" s="19" t="s">
        <v>36735</v>
      </c>
      <c r="I11171" s="20">
        <v>20.420000000000002</v>
      </c>
      <c r="J11171" s="44" t="s">
        <v>8</v>
      </c>
      <c r="K11171" s="23" t="s">
        <v>8</v>
      </c>
      <c r="L11171" s="23" t="s">
        <v>8</v>
      </c>
      <c r="M11171" s="23" t="s">
        <v>8</v>
      </c>
    </row>
    <row r="11172" spans="1:13" s="21" customFormat="1" x14ac:dyDescent="0.25">
      <c r="A11172" s="22" t="s">
        <v>8</v>
      </c>
      <c r="B11172" s="18" t="str">
        <f>"395158"</f>
        <v>395158</v>
      </c>
      <c r="C11172" s="19" t="s">
        <v>10997</v>
      </c>
      <c r="D11172" s="19" t="s">
        <v>26581</v>
      </c>
      <c r="E11172" s="19" t="s">
        <v>30817</v>
      </c>
      <c r="F11172" s="19" t="s">
        <v>36012</v>
      </c>
      <c r="G11172" s="18" t="str">
        <f>"16125"</f>
        <v>16125</v>
      </c>
      <c r="H11172" s="19" t="s">
        <v>34991</v>
      </c>
      <c r="I11172" s="20">
        <v>18.273</v>
      </c>
      <c r="J11172" s="44" t="s">
        <v>8</v>
      </c>
      <c r="K11172" s="23" t="s">
        <v>8</v>
      </c>
      <c r="L11172" s="23" t="s">
        <v>8</v>
      </c>
      <c r="M11172" s="23" t="s">
        <v>8</v>
      </c>
    </row>
    <row r="11173" spans="1:13" s="21" customFormat="1" x14ac:dyDescent="0.25">
      <c r="A11173" s="22" t="s">
        <v>8</v>
      </c>
      <c r="B11173" s="18" t="str">
        <f>"395160"</f>
        <v>395160</v>
      </c>
      <c r="C11173" s="19" t="s">
        <v>10998</v>
      </c>
      <c r="D11173" s="19" t="s">
        <v>26582</v>
      </c>
      <c r="E11173" s="19" t="s">
        <v>34824</v>
      </c>
      <c r="F11173" s="19" t="s">
        <v>36012</v>
      </c>
      <c r="G11173" s="18" t="str">
        <f>"16056"</f>
        <v>16056</v>
      </c>
      <c r="H11173" s="19" t="s">
        <v>30876</v>
      </c>
      <c r="I11173" s="20">
        <v>21.163</v>
      </c>
      <c r="J11173" s="44" t="s">
        <v>8</v>
      </c>
      <c r="K11173" s="23" t="s">
        <v>8</v>
      </c>
      <c r="L11173" s="23" t="s">
        <v>8</v>
      </c>
      <c r="M11173" s="23" t="s">
        <v>8</v>
      </c>
    </row>
    <row r="11174" spans="1:13" s="21" customFormat="1" x14ac:dyDescent="0.25">
      <c r="A11174" s="22" t="s">
        <v>8</v>
      </c>
      <c r="B11174" s="18" t="str">
        <f>"395164"</f>
        <v>395164</v>
      </c>
      <c r="C11174" s="19" t="s">
        <v>10999</v>
      </c>
      <c r="D11174" s="19" t="s">
        <v>26583</v>
      </c>
      <c r="E11174" s="19" t="s">
        <v>34825</v>
      </c>
      <c r="F11174" s="19" t="s">
        <v>36012</v>
      </c>
      <c r="G11174" s="18" t="str">
        <f>"16046"</f>
        <v>16046</v>
      </c>
      <c r="H11174" s="19" t="s">
        <v>30876</v>
      </c>
      <c r="I11174" s="20">
        <v>18.709</v>
      </c>
      <c r="J11174" s="44" t="s">
        <v>8</v>
      </c>
      <c r="K11174" s="23" t="s">
        <v>8</v>
      </c>
      <c r="L11174" s="23" t="s">
        <v>8</v>
      </c>
      <c r="M11174" s="23" t="s">
        <v>8</v>
      </c>
    </row>
    <row r="11175" spans="1:13" s="21" customFormat="1" x14ac:dyDescent="0.25">
      <c r="A11175" s="22" t="s">
        <v>8</v>
      </c>
      <c r="B11175" s="18" t="str">
        <f>"395166"</f>
        <v>395166</v>
      </c>
      <c r="C11175" s="19" t="s">
        <v>11000</v>
      </c>
      <c r="D11175" s="19" t="s">
        <v>26584</v>
      </c>
      <c r="E11175" s="19" t="s">
        <v>34575</v>
      </c>
      <c r="F11175" s="19" t="s">
        <v>36012</v>
      </c>
      <c r="G11175" s="18" t="str">
        <f>"19380"</f>
        <v>19380</v>
      </c>
      <c r="H11175" s="19" t="s">
        <v>31396</v>
      </c>
      <c r="I11175" s="20">
        <v>17.766999999999999</v>
      </c>
      <c r="J11175" s="44" t="s">
        <v>8</v>
      </c>
      <c r="K11175" s="23" t="s">
        <v>8</v>
      </c>
      <c r="L11175" s="23" t="s">
        <v>8</v>
      </c>
      <c r="M11175" s="23" t="s">
        <v>8</v>
      </c>
    </row>
    <row r="11176" spans="1:13" s="21" customFormat="1" x14ac:dyDescent="0.25">
      <c r="A11176" s="22" t="s">
        <v>8</v>
      </c>
      <c r="B11176" s="18" t="str">
        <f>"395167"</f>
        <v>395167</v>
      </c>
      <c r="C11176" s="19" t="s">
        <v>11001</v>
      </c>
      <c r="D11176" s="19" t="s">
        <v>26585</v>
      </c>
      <c r="E11176" s="19" t="s">
        <v>34826</v>
      </c>
      <c r="F11176" s="19" t="s">
        <v>36012</v>
      </c>
      <c r="G11176" s="18" t="str">
        <f>"18036"</f>
        <v>18036</v>
      </c>
      <c r="H11176" s="19" t="s">
        <v>36731</v>
      </c>
      <c r="I11176" s="20">
        <v>17.231000000000002</v>
      </c>
      <c r="J11176" s="44" t="s">
        <v>8</v>
      </c>
      <c r="K11176" s="23" t="s">
        <v>8</v>
      </c>
      <c r="L11176" s="23" t="s">
        <v>8</v>
      </c>
      <c r="M11176" s="23" t="s">
        <v>8</v>
      </c>
    </row>
    <row r="11177" spans="1:13" s="21" customFormat="1" x14ac:dyDescent="0.25">
      <c r="A11177" s="22" t="s">
        <v>8</v>
      </c>
      <c r="B11177" s="18" t="str">
        <f>"395168"</f>
        <v>395168</v>
      </c>
      <c r="C11177" s="19" t="s">
        <v>6902</v>
      </c>
      <c r="D11177" s="19" t="s">
        <v>26586</v>
      </c>
      <c r="E11177" s="19" t="s">
        <v>30834</v>
      </c>
      <c r="F11177" s="19" t="s">
        <v>36012</v>
      </c>
      <c r="G11177" s="18" t="str">
        <f>"17403"</f>
        <v>17403</v>
      </c>
      <c r="H11177" s="19" t="s">
        <v>30834</v>
      </c>
      <c r="I11177" s="20">
        <v>20.638000000000002</v>
      </c>
      <c r="J11177" s="44" t="s">
        <v>8</v>
      </c>
      <c r="K11177" s="23" t="s">
        <v>8</v>
      </c>
      <c r="L11177" s="23" t="s">
        <v>8</v>
      </c>
      <c r="M11177" s="23" t="s">
        <v>8</v>
      </c>
    </row>
    <row r="11178" spans="1:13" s="21" customFormat="1" x14ac:dyDescent="0.25">
      <c r="A11178" s="22" t="s">
        <v>8</v>
      </c>
      <c r="B11178" s="18" t="str">
        <f>"395171"</f>
        <v>395171</v>
      </c>
      <c r="C11178" s="19" t="s">
        <v>194</v>
      </c>
      <c r="D11178" s="19" t="s">
        <v>26587</v>
      </c>
      <c r="E11178" s="19" t="s">
        <v>34799</v>
      </c>
      <c r="F11178" s="19" t="s">
        <v>36012</v>
      </c>
      <c r="G11178" s="18" t="str">
        <f>"18103"</f>
        <v>18103</v>
      </c>
      <c r="H11178" s="19" t="s">
        <v>36731</v>
      </c>
      <c r="I11178" s="20">
        <v>18.257999999999999</v>
      </c>
      <c r="J11178" s="44" t="s">
        <v>8</v>
      </c>
      <c r="K11178" s="23" t="s">
        <v>8</v>
      </c>
      <c r="L11178" s="23" t="s">
        <v>8</v>
      </c>
      <c r="M11178" s="23" t="s">
        <v>8</v>
      </c>
    </row>
    <row r="11179" spans="1:13" s="21" customFormat="1" x14ac:dyDescent="0.25">
      <c r="A11179" s="22" t="s">
        <v>8</v>
      </c>
      <c r="B11179" s="18" t="str">
        <f>"395172"</f>
        <v>395172</v>
      </c>
      <c r="C11179" s="19" t="s">
        <v>11002</v>
      </c>
      <c r="D11179" s="19" t="s">
        <v>26588</v>
      </c>
      <c r="E11179" s="19" t="s">
        <v>34827</v>
      </c>
      <c r="F11179" s="19" t="s">
        <v>36012</v>
      </c>
      <c r="G11179" s="18" t="str">
        <f>"17870"</f>
        <v>17870</v>
      </c>
      <c r="H11179" s="19" t="s">
        <v>34740</v>
      </c>
      <c r="I11179" s="20">
        <v>15.38</v>
      </c>
      <c r="J11179" s="44" t="s">
        <v>8</v>
      </c>
      <c r="K11179" s="23" t="s">
        <v>8</v>
      </c>
      <c r="L11179" s="23" t="s">
        <v>8</v>
      </c>
      <c r="M11179" s="23" t="s">
        <v>8</v>
      </c>
    </row>
    <row r="11180" spans="1:13" s="21" customFormat="1" x14ac:dyDescent="0.25">
      <c r="A11180" s="22" t="s">
        <v>8</v>
      </c>
      <c r="B11180" s="18" t="str">
        <f>"395173"</f>
        <v>395173</v>
      </c>
      <c r="C11180" s="19" t="s">
        <v>11003</v>
      </c>
      <c r="D11180" s="19" t="s">
        <v>26589</v>
      </c>
      <c r="E11180" s="19" t="s">
        <v>34828</v>
      </c>
      <c r="F11180" s="19" t="s">
        <v>36012</v>
      </c>
      <c r="G11180" s="18" t="str">
        <f>"19083"</f>
        <v>19083</v>
      </c>
      <c r="H11180" s="19" t="s">
        <v>34462</v>
      </c>
      <c r="I11180" s="20">
        <v>17.693999999999999</v>
      </c>
      <c r="J11180" s="44" t="s">
        <v>8</v>
      </c>
      <c r="K11180" s="23" t="s">
        <v>8</v>
      </c>
      <c r="L11180" s="23" t="s">
        <v>8</v>
      </c>
      <c r="M11180" s="23" t="s">
        <v>8</v>
      </c>
    </row>
    <row r="11181" spans="1:13" s="21" customFormat="1" x14ac:dyDescent="0.25">
      <c r="A11181" s="22" t="s">
        <v>8</v>
      </c>
      <c r="B11181" s="18" t="str">
        <f>"395174"</f>
        <v>395174</v>
      </c>
      <c r="C11181" s="19" t="s">
        <v>11004</v>
      </c>
      <c r="D11181" s="19" t="s">
        <v>26590</v>
      </c>
      <c r="E11181" s="19" t="s">
        <v>34805</v>
      </c>
      <c r="F11181" s="19" t="s">
        <v>36012</v>
      </c>
      <c r="G11181" s="18" t="str">
        <f>"16509"</f>
        <v>16509</v>
      </c>
      <c r="H11181" s="19" t="s">
        <v>34805</v>
      </c>
      <c r="I11181" s="20">
        <v>18.533999999999999</v>
      </c>
      <c r="J11181" s="44" t="s">
        <v>8</v>
      </c>
      <c r="K11181" s="23" t="s">
        <v>8</v>
      </c>
      <c r="L11181" s="23" t="s">
        <v>8</v>
      </c>
      <c r="M11181" s="23" t="s">
        <v>8</v>
      </c>
    </row>
    <row r="11182" spans="1:13" s="21" customFormat="1" x14ac:dyDescent="0.25">
      <c r="A11182" s="22" t="s">
        <v>8</v>
      </c>
      <c r="B11182" s="18" t="str">
        <f>"395176"</f>
        <v>395176</v>
      </c>
      <c r="C11182" s="19" t="s">
        <v>11005</v>
      </c>
      <c r="D11182" s="19" t="s">
        <v>26591</v>
      </c>
      <c r="E11182" s="19" t="s">
        <v>34829</v>
      </c>
      <c r="F11182" s="19" t="s">
        <v>36012</v>
      </c>
      <c r="G11182" s="18" t="str">
        <f>"19002"</f>
        <v>19002</v>
      </c>
      <c r="H11182" s="19" t="s">
        <v>30833</v>
      </c>
      <c r="I11182" s="20">
        <v>21.356000000000002</v>
      </c>
      <c r="J11182" s="44" t="s">
        <v>8</v>
      </c>
      <c r="K11182" s="23" t="s">
        <v>8</v>
      </c>
      <c r="L11182" s="23" t="s">
        <v>8</v>
      </c>
      <c r="M11182" s="23" t="s">
        <v>8</v>
      </c>
    </row>
    <row r="11183" spans="1:13" s="21" customFormat="1" x14ac:dyDescent="0.25">
      <c r="A11183" s="22" t="s">
        <v>8</v>
      </c>
      <c r="B11183" s="18" t="str">
        <f>"395177"</f>
        <v>395177</v>
      </c>
      <c r="C11183" s="19" t="s">
        <v>11006</v>
      </c>
      <c r="D11183" s="19" t="s">
        <v>26592</v>
      </c>
      <c r="E11183" s="19" t="s">
        <v>31184</v>
      </c>
      <c r="F11183" s="19" t="s">
        <v>36012</v>
      </c>
      <c r="G11183" s="18" t="str">
        <f>"17602"</f>
        <v>17602</v>
      </c>
      <c r="H11183" s="19" t="s">
        <v>31184</v>
      </c>
      <c r="I11183" s="20">
        <v>17.855</v>
      </c>
      <c r="J11183" s="44" t="s">
        <v>8</v>
      </c>
      <c r="K11183" s="23" t="s">
        <v>8</v>
      </c>
      <c r="L11183" s="23" t="s">
        <v>8</v>
      </c>
      <c r="M11183" s="23" t="s">
        <v>8</v>
      </c>
    </row>
    <row r="11184" spans="1:13" s="21" customFormat="1" x14ac:dyDescent="0.25">
      <c r="A11184" s="22" t="s">
        <v>8</v>
      </c>
      <c r="B11184" s="18" t="str">
        <f>"395180"</f>
        <v>395180</v>
      </c>
      <c r="C11184" s="19" t="s">
        <v>11007</v>
      </c>
      <c r="D11184" s="19" t="s">
        <v>26593</v>
      </c>
      <c r="E11184" s="19" t="s">
        <v>34830</v>
      </c>
      <c r="F11184" s="19" t="s">
        <v>36012</v>
      </c>
      <c r="G11184" s="18" t="str">
        <f>"17016"</f>
        <v>17016</v>
      </c>
      <c r="H11184" s="19" t="s">
        <v>32035</v>
      </c>
      <c r="I11184" s="20">
        <v>19.428000000000001</v>
      </c>
      <c r="J11184" s="44" t="s">
        <v>8</v>
      </c>
      <c r="K11184" s="23" t="s">
        <v>8</v>
      </c>
      <c r="L11184" s="23" t="s">
        <v>8</v>
      </c>
      <c r="M11184" s="23" t="s">
        <v>8</v>
      </c>
    </row>
    <row r="11185" spans="1:13" s="21" customFormat="1" x14ac:dyDescent="0.25">
      <c r="A11185" s="22" t="s">
        <v>8</v>
      </c>
      <c r="B11185" s="18" t="str">
        <f>"395182"</f>
        <v>395182</v>
      </c>
      <c r="C11185" s="19" t="s">
        <v>11008</v>
      </c>
      <c r="D11185" s="19" t="s">
        <v>26594</v>
      </c>
      <c r="E11185" s="19" t="s">
        <v>33514</v>
      </c>
      <c r="F11185" s="19" t="s">
        <v>36012</v>
      </c>
      <c r="G11185" s="18" t="str">
        <f>"19116"</f>
        <v>19116</v>
      </c>
      <c r="H11185" s="19" t="s">
        <v>33514</v>
      </c>
      <c r="I11185" s="20">
        <v>18.736999999999998</v>
      </c>
      <c r="J11185" s="44" t="s">
        <v>8</v>
      </c>
      <c r="K11185" s="23" t="s">
        <v>8</v>
      </c>
      <c r="L11185" s="23" t="s">
        <v>8</v>
      </c>
      <c r="M11185" s="23" t="s">
        <v>8</v>
      </c>
    </row>
    <row r="11186" spans="1:13" s="21" customFormat="1" x14ac:dyDescent="0.25">
      <c r="A11186" s="22" t="s">
        <v>8</v>
      </c>
      <c r="B11186" s="18" t="str">
        <f>"395188"</f>
        <v>395188</v>
      </c>
      <c r="C11186" s="19" t="s">
        <v>11009</v>
      </c>
      <c r="D11186" s="19" t="s">
        <v>26595</v>
      </c>
      <c r="E11186" s="19" t="s">
        <v>34831</v>
      </c>
      <c r="F11186" s="19" t="s">
        <v>36012</v>
      </c>
      <c r="G11186" s="18" t="str">
        <f>"18912"</f>
        <v>18912</v>
      </c>
      <c r="H11186" s="19" t="s">
        <v>36729</v>
      </c>
      <c r="I11186" s="20">
        <v>19.510999999999999</v>
      </c>
      <c r="J11186" s="44" t="s">
        <v>8</v>
      </c>
      <c r="K11186" s="23" t="s">
        <v>8</v>
      </c>
      <c r="L11186" s="23" t="s">
        <v>8</v>
      </c>
      <c r="M11186" s="23" t="s">
        <v>8</v>
      </c>
    </row>
    <row r="11187" spans="1:13" s="21" customFormat="1" x14ac:dyDescent="0.25">
      <c r="A11187" s="22" t="s">
        <v>8</v>
      </c>
      <c r="B11187" s="18" t="str">
        <f>"395193"</f>
        <v>395193</v>
      </c>
      <c r="C11187" s="19" t="s">
        <v>11010</v>
      </c>
      <c r="D11187" s="19" t="s">
        <v>26596</v>
      </c>
      <c r="E11187" s="19" t="s">
        <v>34832</v>
      </c>
      <c r="F11187" s="19" t="s">
        <v>36012</v>
      </c>
      <c r="G11187" s="18" t="str">
        <f>"19010"</f>
        <v>19010</v>
      </c>
      <c r="H11187" s="19" t="s">
        <v>34462</v>
      </c>
      <c r="I11187" s="20">
        <v>18.09</v>
      </c>
      <c r="J11187" s="44" t="s">
        <v>8</v>
      </c>
      <c r="K11187" s="23" t="s">
        <v>8</v>
      </c>
      <c r="L11187" s="23" t="s">
        <v>8</v>
      </c>
      <c r="M11187" s="23" t="s">
        <v>8</v>
      </c>
    </row>
    <row r="11188" spans="1:13" s="21" customFormat="1" x14ac:dyDescent="0.25">
      <c r="A11188" s="22" t="s">
        <v>8</v>
      </c>
      <c r="B11188" s="18" t="str">
        <f>"395194"</f>
        <v>395194</v>
      </c>
      <c r="C11188" s="19" t="s">
        <v>11011</v>
      </c>
      <c r="D11188" s="19" t="s">
        <v>26597</v>
      </c>
      <c r="E11188" s="19" t="s">
        <v>34795</v>
      </c>
      <c r="F11188" s="19" t="s">
        <v>36012</v>
      </c>
      <c r="G11188" s="18" t="str">
        <f>"18976"</f>
        <v>18976</v>
      </c>
      <c r="H11188" s="19" t="s">
        <v>36729</v>
      </c>
      <c r="I11188" s="20">
        <v>19.934000000000001</v>
      </c>
      <c r="J11188" s="44" t="s">
        <v>8</v>
      </c>
      <c r="K11188" s="23" t="s">
        <v>8</v>
      </c>
      <c r="L11188" s="23" t="s">
        <v>8</v>
      </c>
      <c r="M11188" s="23" t="s">
        <v>8</v>
      </c>
    </row>
    <row r="11189" spans="1:13" s="21" customFormat="1" x14ac:dyDescent="0.25">
      <c r="A11189" s="22" t="s">
        <v>8</v>
      </c>
      <c r="B11189" s="18" t="str">
        <f>"395197"</f>
        <v>395197</v>
      </c>
      <c r="C11189" s="19" t="s">
        <v>11012</v>
      </c>
      <c r="D11189" s="19" t="s">
        <v>26598</v>
      </c>
      <c r="E11189" s="19" t="s">
        <v>34833</v>
      </c>
      <c r="F11189" s="19" t="s">
        <v>36012</v>
      </c>
      <c r="G11189" s="18" t="str">
        <f>"16142"</f>
        <v>16142</v>
      </c>
      <c r="H11189" s="19" t="s">
        <v>32568</v>
      </c>
      <c r="I11189" s="20">
        <v>17.751000000000001</v>
      </c>
      <c r="J11189" s="44" t="s">
        <v>8</v>
      </c>
      <c r="K11189" s="23" t="s">
        <v>8</v>
      </c>
      <c r="L11189" s="23" t="s">
        <v>8</v>
      </c>
      <c r="M11189" s="23" t="s">
        <v>8</v>
      </c>
    </row>
    <row r="11190" spans="1:13" s="21" customFormat="1" x14ac:dyDescent="0.25">
      <c r="A11190" s="22" t="s">
        <v>8</v>
      </c>
      <c r="B11190" s="18" t="str">
        <f>"395199"</f>
        <v>395199</v>
      </c>
      <c r="C11190" s="19" t="s">
        <v>11013</v>
      </c>
      <c r="D11190" s="19" t="s">
        <v>26599</v>
      </c>
      <c r="E11190" s="19" t="s">
        <v>31184</v>
      </c>
      <c r="F11190" s="19" t="s">
        <v>36012</v>
      </c>
      <c r="G11190" s="18" t="str">
        <f>"17603"</f>
        <v>17603</v>
      </c>
      <c r="H11190" s="19" t="s">
        <v>31184</v>
      </c>
      <c r="I11190" s="20">
        <v>16.018999999999998</v>
      </c>
      <c r="J11190" s="44" t="s">
        <v>8</v>
      </c>
      <c r="K11190" s="23" t="s">
        <v>8</v>
      </c>
      <c r="L11190" s="23" t="s">
        <v>8</v>
      </c>
      <c r="M11190" s="23" t="s">
        <v>8</v>
      </c>
    </row>
    <row r="11191" spans="1:13" s="21" customFormat="1" x14ac:dyDescent="0.25">
      <c r="A11191" s="22" t="s">
        <v>8</v>
      </c>
      <c r="B11191" s="18" t="str">
        <f>"395200"</f>
        <v>395200</v>
      </c>
      <c r="C11191" s="19" t="s">
        <v>11014</v>
      </c>
      <c r="D11191" s="19" t="s">
        <v>26600</v>
      </c>
      <c r="E11191" s="19" t="s">
        <v>34805</v>
      </c>
      <c r="F11191" s="19" t="s">
        <v>36012</v>
      </c>
      <c r="G11191" s="18" t="str">
        <f>"16506"</f>
        <v>16506</v>
      </c>
      <c r="H11191" s="19" t="s">
        <v>34805</v>
      </c>
      <c r="I11191" s="20">
        <v>19.71</v>
      </c>
      <c r="J11191" s="44" t="s">
        <v>8</v>
      </c>
      <c r="K11191" s="23" t="s">
        <v>8</v>
      </c>
      <c r="L11191" s="23" t="s">
        <v>8</v>
      </c>
      <c r="M11191" s="23" t="s">
        <v>8</v>
      </c>
    </row>
    <row r="11192" spans="1:13" s="21" customFormat="1" x14ac:dyDescent="0.25">
      <c r="A11192" s="22" t="s">
        <v>8</v>
      </c>
      <c r="B11192" s="18" t="str">
        <f>"395202"</f>
        <v>395202</v>
      </c>
      <c r="C11192" s="19" t="s">
        <v>11015</v>
      </c>
      <c r="D11192" s="19" t="s">
        <v>26601</v>
      </c>
      <c r="E11192" s="19" t="s">
        <v>34809</v>
      </c>
      <c r="F11192" s="19" t="s">
        <v>36012</v>
      </c>
      <c r="G11192" s="18" t="str">
        <f>"19008"</f>
        <v>19008</v>
      </c>
      <c r="H11192" s="19" t="s">
        <v>34462</v>
      </c>
      <c r="I11192" s="20">
        <v>17.420999999999999</v>
      </c>
      <c r="J11192" s="44" t="s">
        <v>8</v>
      </c>
      <c r="K11192" s="23" t="s">
        <v>8</v>
      </c>
      <c r="L11192" s="23" t="s">
        <v>8</v>
      </c>
      <c r="M11192" s="23" t="s">
        <v>8</v>
      </c>
    </row>
    <row r="11193" spans="1:13" s="21" customFormat="1" x14ac:dyDescent="0.25">
      <c r="A11193" s="22" t="s">
        <v>8</v>
      </c>
      <c r="B11193" s="18" t="str">
        <f>"395203"</f>
        <v>395203</v>
      </c>
      <c r="C11193" s="19" t="s">
        <v>11016</v>
      </c>
      <c r="D11193" s="19" t="s">
        <v>26602</v>
      </c>
      <c r="E11193" s="19" t="s">
        <v>34834</v>
      </c>
      <c r="F11193" s="19" t="s">
        <v>36012</v>
      </c>
      <c r="G11193" s="18" t="str">
        <f>"19076"</f>
        <v>19076</v>
      </c>
      <c r="H11193" s="19" t="s">
        <v>34462</v>
      </c>
      <c r="I11193" s="20">
        <v>18.713999999999999</v>
      </c>
      <c r="J11193" s="44" t="s">
        <v>8</v>
      </c>
      <c r="K11193" s="23" t="s">
        <v>8</v>
      </c>
      <c r="L11193" s="23" t="s">
        <v>8</v>
      </c>
      <c r="M11193" s="23" t="s">
        <v>8</v>
      </c>
    </row>
    <row r="11194" spans="1:13" s="21" customFormat="1" x14ac:dyDescent="0.25">
      <c r="A11194" s="22" t="s">
        <v>8</v>
      </c>
      <c r="B11194" s="18" t="str">
        <f>"395205"</f>
        <v>395205</v>
      </c>
      <c r="C11194" s="19" t="s">
        <v>11017</v>
      </c>
      <c r="D11194" s="19" t="s">
        <v>26603</v>
      </c>
      <c r="E11194" s="19" t="s">
        <v>31184</v>
      </c>
      <c r="F11194" s="19" t="s">
        <v>36012</v>
      </c>
      <c r="G11194" s="18" t="str">
        <f>"17601"</f>
        <v>17601</v>
      </c>
      <c r="H11194" s="19" t="s">
        <v>31184</v>
      </c>
      <c r="I11194" s="20">
        <v>17.803999999999998</v>
      </c>
      <c r="J11194" s="44" t="s">
        <v>8</v>
      </c>
      <c r="K11194" s="23" t="s">
        <v>8</v>
      </c>
      <c r="L11194" s="23" t="s">
        <v>8</v>
      </c>
      <c r="M11194" s="23" t="s">
        <v>8</v>
      </c>
    </row>
    <row r="11195" spans="1:13" s="21" customFormat="1" x14ac:dyDescent="0.25">
      <c r="A11195" s="22" t="s">
        <v>8</v>
      </c>
      <c r="B11195" s="18" t="str">
        <f>"395206"</f>
        <v>395206</v>
      </c>
      <c r="C11195" s="19" t="s">
        <v>11018</v>
      </c>
      <c r="D11195" s="19" t="s">
        <v>26604</v>
      </c>
      <c r="E11195" s="19" t="s">
        <v>34805</v>
      </c>
      <c r="F11195" s="19" t="s">
        <v>36012</v>
      </c>
      <c r="G11195" s="18" t="str">
        <f>"16502"</f>
        <v>16502</v>
      </c>
      <c r="H11195" s="19" t="s">
        <v>34805</v>
      </c>
      <c r="I11195" s="20">
        <v>18.420999999999999</v>
      </c>
      <c r="J11195" s="44" t="s">
        <v>8</v>
      </c>
      <c r="K11195" s="23" t="s">
        <v>8</v>
      </c>
      <c r="L11195" s="23" t="s">
        <v>8</v>
      </c>
      <c r="M11195" s="23" t="s">
        <v>8</v>
      </c>
    </row>
    <row r="11196" spans="1:13" s="21" customFormat="1" x14ac:dyDescent="0.25">
      <c r="A11196" s="22" t="s">
        <v>8</v>
      </c>
      <c r="B11196" s="18" t="str">
        <f>"395208"</f>
        <v>395208</v>
      </c>
      <c r="C11196" s="19" t="s">
        <v>11019</v>
      </c>
      <c r="D11196" s="19" t="s">
        <v>26605</v>
      </c>
      <c r="E11196" s="19" t="s">
        <v>34835</v>
      </c>
      <c r="F11196" s="19" t="s">
        <v>36012</v>
      </c>
      <c r="G11196" s="18" t="str">
        <f>"15068"</f>
        <v>15068</v>
      </c>
      <c r="H11196" s="19" t="s">
        <v>32652</v>
      </c>
      <c r="I11196" s="20">
        <v>19.858000000000001</v>
      </c>
      <c r="J11196" s="44" t="s">
        <v>8</v>
      </c>
      <c r="K11196" s="23" t="s">
        <v>8</v>
      </c>
      <c r="L11196" s="23" t="s">
        <v>8</v>
      </c>
      <c r="M11196" s="23" t="s">
        <v>8</v>
      </c>
    </row>
    <row r="11197" spans="1:13" s="21" customFormat="1" x14ac:dyDescent="0.25">
      <c r="A11197" s="22" t="s">
        <v>8</v>
      </c>
      <c r="B11197" s="18" t="str">
        <f>"395217"</f>
        <v>395217</v>
      </c>
      <c r="C11197" s="19" t="s">
        <v>11020</v>
      </c>
      <c r="D11197" s="19" t="s">
        <v>26606</v>
      </c>
      <c r="E11197" s="19" t="s">
        <v>34836</v>
      </c>
      <c r="F11197" s="19" t="s">
        <v>36012</v>
      </c>
      <c r="G11197" s="18" t="str">
        <f>"18954"</f>
        <v>18954</v>
      </c>
      <c r="H11197" s="19" t="s">
        <v>36729</v>
      </c>
      <c r="I11197" s="20">
        <v>18.27</v>
      </c>
      <c r="J11197" s="44" t="s">
        <v>8</v>
      </c>
      <c r="K11197" s="23" t="s">
        <v>8</v>
      </c>
      <c r="L11197" s="23" t="s">
        <v>8</v>
      </c>
      <c r="M11197" s="23" t="s">
        <v>8</v>
      </c>
    </row>
    <row r="11198" spans="1:13" s="21" customFormat="1" x14ac:dyDescent="0.25">
      <c r="A11198" s="22" t="s">
        <v>8</v>
      </c>
      <c r="B11198" s="18" t="str">
        <f>"395221"</f>
        <v>395221</v>
      </c>
      <c r="C11198" s="19" t="s">
        <v>11021</v>
      </c>
      <c r="D11198" s="19" t="s">
        <v>26607</v>
      </c>
      <c r="E11198" s="19" t="s">
        <v>32215</v>
      </c>
      <c r="F11198" s="19" t="s">
        <v>36012</v>
      </c>
      <c r="G11198" s="18" t="str">
        <f>"15522"</f>
        <v>15522</v>
      </c>
      <c r="H11198" s="19" t="s">
        <v>32215</v>
      </c>
      <c r="I11198" s="20">
        <v>17.097999999999999</v>
      </c>
      <c r="J11198" s="44" t="s">
        <v>8</v>
      </c>
      <c r="K11198" s="23" t="s">
        <v>8</v>
      </c>
      <c r="L11198" s="23" t="s">
        <v>8</v>
      </c>
      <c r="M11198" s="23" t="s">
        <v>8</v>
      </c>
    </row>
    <row r="11199" spans="1:13" s="21" customFormat="1" x14ac:dyDescent="0.25">
      <c r="A11199" s="22" t="s">
        <v>8</v>
      </c>
      <c r="B11199" s="18" t="str">
        <f>"395223"</f>
        <v>395223</v>
      </c>
      <c r="C11199" s="19" t="s">
        <v>11022</v>
      </c>
      <c r="D11199" s="19" t="s">
        <v>26608</v>
      </c>
      <c r="E11199" s="19" t="s">
        <v>34821</v>
      </c>
      <c r="F11199" s="19" t="s">
        <v>36012</v>
      </c>
      <c r="G11199" s="18" t="str">
        <f>"17011"</f>
        <v>17011</v>
      </c>
      <c r="H11199" s="19" t="s">
        <v>32766</v>
      </c>
      <c r="I11199" s="20">
        <v>17.684999999999999</v>
      </c>
      <c r="J11199" s="44" t="s">
        <v>8</v>
      </c>
      <c r="K11199" s="23" t="s">
        <v>8</v>
      </c>
      <c r="L11199" s="23" t="s">
        <v>8</v>
      </c>
      <c r="M11199" s="23" t="s">
        <v>8</v>
      </c>
    </row>
    <row r="11200" spans="1:13" s="21" customFormat="1" x14ac:dyDescent="0.25">
      <c r="A11200" s="22" t="s">
        <v>8</v>
      </c>
      <c r="B11200" s="18" t="str">
        <f>"395224"</f>
        <v>395224</v>
      </c>
      <c r="C11200" s="19" t="s">
        <v>11023</v>
      </c>
      <c r="D11200" s="19" t="s">
        <v>26609</v>
      </c>
      <c r="E11200" s="19" t="s">
        <v>31184</v>
      </c>
      <c r="F11200" s="19" t="s">
        <v>36012</v>
      </c>
      <c r="G11200" s="18" t="str">
        <f>"17603"</f>
        <v>17603</v>
      </c>
      <c r="H11200" s="19" t="s">
        <v>31184</v>
      </c>
      <c r="I11200" s="20">
        <v>17.972999999999999</v>
      </c>
      <c r="J11200" s="44" t="s">
        <v>8</v>
      </c>
      <c r="K11200" s="23" t="s">
        <v>8</v>
      </c>
      <c r="L11200" s="23" t="s">
        <v>8</v>
      </c>
      <c r="M11200" s="23" t="s">
        <v>8</v>
      </c>
    </row>
    <row r="11201" spans="1:13" s="21" customFormat="1" x14ac:dyDescent="0.25">
      <c r="A11201" s="22" t="s">
        <v>8</v>
      </c>
      <c r="B11201" s="18" t="str">
        <f>"395226"</f>
        <v>395226</v>
      </c>
      <c r="C11201" s="19" t="s">
        <v>11024</v>
      </c>
      <c r="D11201" s="19" t="s">
        <v>26610</v>
      </c>
      <c r="E11201" s="19" t="s">
        <v>34837</v>
      </c>
      <c r="F11201" s="19" t="s">
        <v>36012</v>
      </c>
      <c r="G11201" s="18" t="str">
        <f>"19611"</f>
        <v>19611</v>
      </c>
      <c r="H11201" s="19" t="s">
        <v>36734</v>
      </c>
      <c r="I11201" s="20">
        <v>18.640999999999998</v>
      </c>
      <c r="J11201" s="44" t="s">
        <v>8</v>
      </c>
      <c r="K11201" s="23" t="s">
        <v>8</v>
      </c>
      <c r="L11201" s="23" t="s">
        <v>8</v>
      </c>
      <c r="M11201" s="23" t="s">
        <v>8</v>
      </c>
    </row>
    <row r="11202" spans="1:13" s="21" customFormat="1" x14ac:dyDescent="0.25">
      <c r="A11202" s="22" t="s">
        <v>8</v>
      </c>
      <c r="B11202" s="18" t="str">
        <f>"395227"</f>
        <v>395227</v>
      </c>
      <c r="C11202" s="19" t="s">
        <v>11025</v>
      </c>
      <c r="D11202" s="19" t="s">
        <v>26611</v>
      </c>
      <c r="E11202" s="19" t="s">
        <v>34838</v>
      </c>
      <c r="F11202" s="19" t="s">
        <v>36012</v>
      </c>
      <c r="G11202" s="18" t="str">
        <f>"19001"</f>
        <v>19001</v>
      </c>
      <c r="H11202" s="19" t="s">
        <v>30833</v>
      </c>
      <c r="I11202" s="20">
        <v>23.571000000000002</v>
      </c>
      <c r="J11202" s="44" t="s">
        <v>8</v>
      </c>
      <c r="K11202" s="23" t="s">
        <v>8</v>
      </c>
      <c r="L11202" s="23" t="s">
        <v>8</v>
      </c>
      <c r="M11202" s="23" t="s">
        <v>8</v>
      </c>
    </row>
    <row r="11203" spans="1:13" s="21" customFormat="1" x14ac:dyDescent="0.25">
      <c r="A11203" s="22" t="s">
        <v>8</v>
      </c>
      <c r="B11203" s="18" t="str">
        <f>"395228"</f>
        <v>395228</v>
      </c>
      <c r="C11203" s="19" t="s">
        <v>11026</v>
      </c>
      <c r="D11203" s="19" t="s">
        <v>26612</v>
      </c>
      <c r="E11203" s="19" t="s">
        <v>34839</v>
      </c>
      <c r="F11203" s="19" t="s">
        <v>36012</v>
      </c>
      <c r="G11203" s="18" t="str">
        <f>"16915"</f>
        <v>16915</v>
      </c>
      <c r="H11203" s="19" t="s">
        <v>36736</v>
      </c>
      <c r="I11203" s="20">
        <v>17.916</v>
      </c>
      <c r="J11203" s="44" t="s">
        <v>8</v>
      </c>
      <c r="K11203" s="23" t="s">
        <v>8</v>
      </c>
      <c r="L11203" s="23" t="s">
        <v>8</v>
      </c>
      <c r="M11203" s="23" t="s">
        <v>8</v>
      </c>
    </row>
    <row r="11204" spans="1:13" s="21" customFormat="1" x14ac:dyDescent="0.25">
      <c r="A11204" s="22" t="s">
        <v>8</v>
      </c>
      <c r="B11204" s="18" t="str">
        <f>"395231"</f>
        <v>395231</v>
      </c>
      <c r="C11204" s="19" t="s">
        <v>11027</v>
      </c>
      <c r="D11204" s="19" t="s">
        <v>26613</v>
      </c>
      <c r="E11204" s="19" t="s">
        <v>33611</v>
      </c>
      <c r="F11204" s="19" t="s">
        <v>36012</v>
      </c>
      <c r="G11204" s="18" t="str">
        <f>"16148"</f>
        <v>16148</v>
      </c>
      <c r="H11204" s="19" t="s">
        <v>34991</v>
      </c>
      <c r="I11204" s="20">
        <v>19.356999999999999</v>
      </c>
      <c r="J11204" s="44" t="s">
        <v>8</v>
      </c>
      <c r="K11204" s="23" t="s">
        <v>8</v>
      </c>
      <c r="L11204" s="23" t="s">
        <v>8</v>
      </c>
      <c r="M11204" s="23" t="s">
        <v>8</v>
      </c>
    </row>
    <row r="11205" spans="1:13" s="21" customFormat="1" x14ac:dyDescent="0.25">
      <c r="A11205" s="22" t="s">
        <v>8</v>
      </c>
      <c r="B11205" s="18" t="str">
        <f>"395232"</f>
        <v>395232</v>
      </c>
      <c r="C11205" s="19" t="s">
        <v>11028</v>
      </c>
      <c r="D11205" s="19" t="s">
        <v>26614</v>
      </c>
      <c r="E11205" s="19" t="s">
        <v>33611</v>
      </c>
      <c r="F11205" s="19" t="s">
        <v>36012</v>
      </c>
      <c r="G11205" s="18" t="str">
        <f>"16148"</f>
        <v>16148</v>
      </c>
      <c r="H11205" s="19" t="s">
        <v>34991</v>
      </c>
      <c r="I11205" s="20">
        <v>19.837</v>
      </c>
      <c r="J11205" s="44" t="s">
        <v>8</v>
      </c>
      <c r="K11205" s="23" t="s">
        <v>8</v>
      </c>
      <c r="L11205" s="23" t="s">
        <v>8</v>
      </c>
      <c r="M11205" s="23" t="s">
        <v>8</v>
      </c>
    </row>
    <row r="11206" spans="1:13" s="21" customFormat="1" x14ac:dyDescent="0.25">
      <c r="A11206" s="22" t="s">
        <v>8</v>
      </c>
      <c r="B11206" s="18" t="str">
        <f>"395235"</f>
        <v>395235</v>
      </c>
      <c r="C11206" s="19" t="s">
        <v>11029</v>
      </c>
      <c r="D11206" s="19" t="s">
        <v>26615</v>
      </c>
      <c r="E11206" s="19" t="s">
        <v>34840</v>
      </c>
      <c r="F11206" s="19" t="s">
        <v>36012</v>
      </c>
      <c r="G11206" s="18" t="str">
        <f>"19436"</f>
        <v>19436</v>
      </c>
      <c r="H11206" s="19" t="s">
        <v>30833</v>
      </c>
      <c r="I11206" s="20">
        <v>19.641999999999999</v>
      </c>
      <c r="J11206" s="44" t="s">
        <v>8</v>
      </c>
      <c r="K11206" s="23" t="s">
        <v>8</v>
      </c>
      <c r="L11206" s="23" t="s">
        <v>8</v>
      </c>
      <c r="M11206" s="23" t="s">
        <v>8</v>
      </c>
    </row>
    <row r="11207" spans="1:13" s="21" customFormat="1" x14ac:dyDescent="0.25">
      <c r="A11207" s="22" t="s">
        <v>8</v>
      </c>
      <c r="B11207" s="18" t="str">
        <f>"395237"</f>
        <v>395237</v>
      </c>
      <c r="C11207" s="19" t="s">
        <v>11030</v>
      </c>
      <c r="D11207" s="19" t="s">
        <v>26616</v>
      </c>
      <c r="E11207" s="19" t="s">
        <v>33084</v>
      </c>
      <c r="F11207" s="19" t="s">
        <v>36012</v>
      </c>
      <c r="G11207" s="18" t="str">
        <f>"19611"</f>
        <v>19611</v>
      </c>
      <c r="H11207" s="19" t="s">
        <v>36734</v>
      </c>
      <c r="I11207" s="20">
        <v>21.137</v>
      </c>
      <c r="J11207" s="44" t="s">
        <v>8</v>
      </c>
      <c r="K11207" s="23" t="s">
        <v>8</v>
      </c>
      <c r="L11207" s="23" t="s">
        <v>8</v>
      </c>
      <c r="M11207" s="23" t="s">
        <v>8</v>
      </c>
    </row>
    <row r="11208" spans="1:13" s="21" customFormat="1" x14ac:dyDescent="0.25">
      <c r="A11208" s="22" t="s">
        <v>8</v>
      </c>
      <c r="B11208" s="18" t="str">
        <f>"395241"</f>
        <v>395241</v>
      </c>
      <c r="C11208" s="19" t="s">
        <v>11031</v>
      </c>
      <c r="D11208" s="19" t="s">
        <v>26617</v>
      </c>
      <c r="E11208" s="19" t="s">
        <v>30849</v>
      </c>
      <c r="F11208" s="19" t="s">
        <v>36012</v>
      </c>
      <c r="G11208" s="18" t="str">
        <f>"16602"</f>
        <v>16602</v>
      </c>
      <c r="H11208" s="19" t="s">
        <v>33795</v>
      </c>
      <c r="I11208" s="20">
        <v>18.036999999999999</v>
      </c>
      <c r="J11208" s="44" t="s">
        <v>8</v>
      </c>
      <c r="K11208" s="23" t="s">
        <v>8</v>
      </c>
      <c r="L11208" s="23" t="s">
        <v>8</v>
      </c>
      <c r="M11208" s="23" t="s">
        <v>8</v>
      </c>
    </row>
    <row r="11209" spans="1:13" s="21" customFormat="1" x14ac:dyDescent="0.25">
      <c r="A11209" s="22" t="s">
        <v>8</v>
      </c>
      <c r="B11209" s="18" t="str">
        <f>"395243"</f>
        <v>395243</v>
      </c>
      <c r="C11209" s="19" t="s">
        <v>11032</v>
      </c>
      <c r="D11209" s="19" t="s">
        <v>26618</v>
      </c>
      <c r="E11209" s="19" t="s">
        <v>34841</v>
      </c>
      <c r="F11209" s="19" t="s">
        <v>36012</v>
      </c>
      <c r="G11209" s="18" t="str">
        <f>"15401"</f>
        <v>15401</v>
      </c>
      <c r="H11209" s="19" t="s">
        <v>30805</v>
      </c>
      <c r="I11209" s="20">
        <v>16.431000000000001</v>
      </c>
      <c r="J11209" s="44" t="s">
        <v>8</v>
      </c>
      <c r="K11209" s="23" t="s">
        <v>8</v>
      </c>
      <c r="L11209" s="23" t="s">
        <v>8</v>
      </c>
      <c r="M11209" s="23" t="s">
        <v>8</v>
      </c>
    </row>
    <row r="11210" spans="1:13" s="21" customFormat="1" x14ac:dyDescent="0.25">
      <c r="A11210" s="22" t="s">
        <v>8</v>
      </c>
      <c r="B11210" s="18" t="str">
        <f>"395244"</f>
        <v>395244</v>
      </c>
      <c r="C11210" s="19" t="s">
        <v>11033</v>
      </c>
      <c r="D11210" s="19" t="s">
        <v>26619</v>
      </c>
      <c r="E11210" s="19" t="s">
        <v>30817</v>
      </c>
      <c r="F11210" s="19" t="s">
        <v>36012</v>
      </c>
      <c r="G11210" s="18" t="str">
        <f>"16125"</f>
        <v>16125</v>
      </c>
      <c r="H11210" s="19" t="s">
        <v>34991</v>
      </c>
      <c r="I11210" s="20">
        <v>22.954000000000001</v>
      </c>
      <c r="J11210" s="44" t="s">
        <v>8</v>
      </c>
      <c r="K11210" s="23" t="s">
        <v>8</v>
      </c>
      <c r="L11210" s="23" t="s">
        <v>8</v>
      </c>
      <c r="M11210" s="23" t="s">
        <v>8</v>
      </c>
    </row>
    <row r="11211" spans="1:13" s="21" customFormat="1" x14ac:dyDescent="0.25">
      <c r="A11211" s="22" t="s">
        <v>8</v>
      </c>
      <c r="B11211" s="18" t="str">
        <f>"395247"</f>
        <v>395247</v>
      </c>
      <c r="C11211" s="19" t="s">
        <v>11034</v>
      </c>
      <c r="D11211" s="19" t="s">
        <v>26620</v>
      </c>
      <c r="E11211" s="19" t="s">
        <v>34842</v>
      </c>
      <c r="F11211" s="19" t="s">
        <v>36012</v>
      </c>
      <c r="G11211" s="18" t="str">
        <f>"17325"</f>
        <v>17325</v>
      </c>
      <c r="H11211" s="19" t="s">
        <v>33467</v>
      </c>
      <c r="I11211" s="20">
        <v>17.149000000000001</v>
      </c>
      <c r="J11211" s="44" t="s">
        <v>8</v>
      </c>
      <c r="K11211" s="23" t="s">
        <v>8</v>
      </c>
      <c r="L11211" s="23" t="s">
        <v>8</v>
      </c>
      <c r="M11211" s="23" t="s">
        <v>8</v>
      </c>
    </row>
    <row r="11212" spans="1:13" s="21" customFormat="1" x14ac:dyDescent="0.25">
      <c r="A11212" s="22" t="s">
        <v>8</v>
      </c>
      <c r="B11212" s="18" t="str">
        <f>"395248"</f>
        <v>395248</v>
      </c>
      <c r="C11212" s="19" t="s">
        <v>11035</v>
      </c>
      <c r="D11212" s="19" t="s">
        <v>26621</v>
      </c>
      <c r="E11212" s="19" t="s">
        <v>33306</v>
      </c>
      <c r="F11212" s="19" t="s">
        <v>36012</v>
      </c>
      <c r="G11212" s="18" t="str">
        <f>"16038"</f>
        <v>16038</v>
      </c>
      <c r="H11212" s="19" t="s">
        <v>30876</v>
      </c>
      <c r="I11212" s="20">
        <v>15.721</v>
      </c>
      <c r="J11212" s="44" t="s">
        <v>8</v>
      </c>
      <c r="K11212" s="23" t="s">
        <v>8</v>
      </c>
      <c r="L11212" s="23" t="s">
        <v>8</v>
      </c>
      <c r="M11212" s="23" t="s">
        <v>8</v>
      </c>
    </row>
    <row r="11213" spans="1:13" s="21" customFormat="1" x14ac:dyDescent="0.25">
      <c r="A11213" s="22" t="s">
        <v>8</v>
      </c>
      <c r="B11213" s="18" t="str">
        <f>"395249"</f>
        <v>395249</v>
      </c>
      <c r="C11213" s="19" t="s">
        <v>11036</v>
      </c>
      <c r="D11213" s="19" t="s">
        <v>26622</v>
      </c>
      <c r="E11213" s="19" t="s">
        <v>34823</v>
      </c>
      <c r="F11213" s="19" t="s">
        <v>36012</v>
      </c>
      <c r="G11213" s="18" t="str">
        <f>"18702"</f>
        <v>18702</v>
      </c>
      <c r="H11213" s="19" t="s">
        <v>36735</v>
      </c>
      <c r="I11213" s="20">
        <v>18.18</v>
      </c>
      <c r="J11213" s="44" t="s">
        <v>8</v>
      </c>
      <c r="K11213" s="23" t="s">
        <v>8</v>
      </c>
      <c r="L11213" s="23" t="s">
        <v>8</v>
      </c>
      <c r="M11213" s="23" t="s">
        <v>8</v>
      </c>
    </row>
    <row r="11214" spans="1:13" s="21" customFormat="1" x14ac:dyDescent="0.25">
      <c r="A11214" s="22" t="s">
        <v>8</v>
      </c>
      <c r="B11214" s="18" t="str">
        <f>"395250"</f>
        <v>395250</v>
      </c>
      <c r="C11214" s="19" t="s">
        <v>11037</v>
      </c>
      <c r="D11214" s="19" t="s">
        <v>26623</v>
      </c>
      <c r="E11214" s="19" t="s">
        <v>34843</v>
      </c>
      <c r="F11214" s="19" t="s">
        <v>36012</v>
      </c>
      <c r="G11214" s="18" t="str">
        <f>"18018"</f>
        <v>18018</v>
      </c>
      <c r="H11214" s="19" t="s">
        <v>33038</v>
      </c>
      <c r="I11214" s="20">
        <v>18.102</v>
      </c>
      <c r="J11214" s="44" t="s">
        <v>8</v>
      </c>
      <c r="K11214" s="23" t="s">
        <v>8</v>
      </c>
      <c r="L11214" s="23" t="s">
        <v>8</v>
      </c>
      <c r="M11214" s="23" t="s">
        <v>8</v>
      </c>
    </row>
    <row r="11215" spans="1:13" s="21" customFormat="1" x14ac:dyDescent="0.25">
      <c r="A11215" s="22" t="s">
        <v>8</v>
      </c>
      <c r="B11215" s="18" t="str">
        <f>"395251"</f>
        <v>395251</v>
      </c>
      <c r="C11215" s="19" t="s">
        <v>11038</v>
      </c>
      <c r="D11215" s="19" t="s">
        <v>26624</v>
      </c>
      <c r="E11215" s="19" t="s">
        <v>34801</v>
      </c>
      <c r="F11215" s="19" t="s">
        <v>36012</v>
      </c>
      <c r="G11215" s="18" t="str">
        <f>"15232"</f>
        <v>15232</v>
      </c>
      <c r="H11215" s="19" t="s">
        <v>36730</v>
      </c>
      <c r="I11215" s="20">
        <v>20.306000000000001</v>
      </c>
      <c r="J11215" s="44" t="s">
        <v>8</v>
      </c>
      <c r="K11215" s="23" t="s">
        <v>8</v>
      </c>
      <c r="L11215" s="23" t="s">
        <v>8</v>
      </c>
      <c r="M11215" s="23" t="s">
        <v>8</v>
      </c>
    </row>
    <row r="11216" spans="1:13" s="21" customFormat="1" x14ac:dyDescent="0.25">
      <c r="A11216" s="22" t="s">
        <v>8</v>
      </c>
      <c r="B11216" s="18" t="str">
        <f>"395252"</f>
        <v>395252</v>
      </c>
      <c r="C11216" s="19" t="s">
        <v>11039</v>
      </c>
      <c r="D11216" s="19" t="s">
        <v>26625</v>
      </c>
      <c r="E11216" s="19" t="s">
        <v>34844</v>
      </c>
      <c r="F11216" s="19" t="s">
        <v>36012</v>
      </c>
      <c r="G11216" s="18" t="str">
        <f>"17901"</f>
        <v>17901</v>
      </c>
      <c r="H11216" s="19" t="s">
        <v>36737</v>
      </c>
      <c r="I11216" s="20">
        <v>16.388000000000002</v>
      </c>
      <c r="J11216" s="44" t="s">
        <v>8</v>
      </c>
      <c r="K11216" s="23" t="s">
        <v>8</v>
      </c>
      <c r="L11216" s="23" t="s">
        <v>8</v>
      </c>
      <c r="M11216" s="23" t="s">
        <v>8</v>
      </c>
    </row>
    <row r="11217" spans="1:13" s="21" customFormat="1" x14ac:dyDescent="0.25">
      <c r="A11217" s="22" t="s">
        <v>8</v>
      </c>
      <c r="B11217" s="18" t="str">
        <f>"395256"</f>
        <v>395256</v>
      </c>
      <c r="C11217" s="19" t="s">
        <v>11040</v>
      </c>
      <c r="D11217" s="19" t="s">
        <v>26626</v>
      </c>
      <c r="E11217" s="19" t="s">
        <v>34845</v>
      </c>
      <c r="F11217" s="19" t="s">
        <v>36012</v>
      </c>
      <c r="G11217" s="18" t="str">
        <f>"19446"</f>
        <v>19446</v>
      </c>
      <c r="H11217" s="19" t="s">
        <v>30833</v>
      </c>
      <c r="I11217" s="20">
        <v>19.539000000000001</v>
      </c>
      <c r="J11217" s="44" t="s">
        <v>8</v>
      </c>
      <c r="K11217" s="23" t="s">
        <v>8</v>
      </c>
      <c r="L11217" s="23" t="s">
        <v>8</v>
      </c>
      <c r="M11217" s="23" t="s">
        <v>8</v>
      </c>
    </row>
    <row r="11218" spans="1:13" s="21" customFormat="1" x14ac:dyDescent="0.25">
      <c r="A11218" s="22" t="s">
        <v>8</v>
      </c>
      <c r="B11218" s="18" t="str">
        <f>"395258"</f>
        <v>395258</v>
      </c>
      <c r="C11218" s="19" t="s">
        <v>1711</v>
      </c>
      <c r="D11218" s="19" t="s">
        <v>26627</v>
      </c>
      <c r="E11218" s="19" t="s">
        <v>31434</v>
      </c>
      <c r="F11218" s="19" t="s">
        <v>36012</v>
      </c>
      <c r="G11218" s="18" t="str">
        <f>"19007"</f>
        <v>19007</v>
      </c>
      <c r="H11218" s="19" t="s">
        <v>36729</v>
      </c>
      <c r="I11218" s="20">
        <v>20.43</v>
      </c>
      <c r="J11218" s="44" t="s">
        <v>8</v>
      </c>
      <c r="K11218" s="23" t="s">
        <v>8</v>
      </c>
      <c r="L11218" s="23" t="s">
        <v>8</v>
      </c>
      <c r="M11218" s="23" t="s">
        <v>8</v>
      </c>
    </row>
    <row r="11219" spans="1:13" s="21" customFormat="1" x14ac:dyDescent="0.25">
      <c r="A11219" s="22" t="s">
        <v>8</v>
      </c>
      <c r="B11219" s="18" t="str">
        <f>"395259"</f>
        <v>395259</v>
      </c>
      <c r="C11219" s="19" t="s">
        <v>11041</v>
      </c>
      <c r="D11219" s="19" t="s">
        <v>26628</v>
      </c>
      <c r="E11219" s="19" t="s">
        <v>34846</v>
      </c>
      <c r="F11219" s="19" t="s">
        <v>36012</v>
      </c>
      <c r="G11219" s="18" t="str">
        <f>"19056"</f>
        <v>19056</v>
      </c>
      <c r="H11219" s="19" t="s">
        <v>36729</v>
      </c>
      <c r="I11219" s="20">
        <v>19.439</v>
      </c>
      <c r="J11219" s="44" t="s">
        <v>8</v>
      </c>
      <c r="K11219" s="23" t="s">
        <v>8</v>
      </c>
      <c r="L11219" s="23" t="s">
        <v>8</v>
      </c>
      <c r="M11219" s="23" t="s">
        <v>8</v>
      </c>
    </row>
    <row r="11220" spans="1:13" s="21" customFormat="1" x14ac:dyDescent="0.25">
      <c r="A11220" s="22" t="s">
        <v>8</v>
      </c>
      <c r="B11220" s="18" t="str">
        <f>"395260"</f>
        <v>395260</v>
      </c>
      <c r="C11220" s="19" t="s">
        <v>11042</v>
      </c>
      <c r="D11220" s="19" t="s">
        <v>26629</v>
      </c>
      <c r="E11220" s="19" t="s">
        <v>31359</v>
      </c>
      <c r="F11220" s="19" t="s">
        <v>36012</v>
      </c>
      <c r="G11220" s="18" t="str">
        <f>"18407"</f>
        <v>18407</v>
      </c>
      <c r="H11220" s="19" t="s">
        <v>36732</v>
      </c>
      <c r="I11220" s="20">
        <v>19.614999999999998</v>
      </c>
      <c r="J11220" s="44" t="s">
        <v>8</v>
      </c>
      <c r="K11220" s="23" t="s">
        <v>8</v>
      </c>
      <c r="L11220" s="23" t="s">
        <v>8</v>
      </c>
      <c r="M11220" s="23" t="s">
        <v>8</v>
      </c>
    </row>
    <row r="11221" spans="1:13" s="21" customFormat="1" x14ac:dyDescent="0.25">
      <c r="A11221" s="22" t="s">
        <v>8</v>
      </c>
      <c r="B11221" s="18" t="str">
        <f>"395261"</f>
        <v>395261</v>
      </c>
      <c r="C11221" s="19" t="s">
        <v>11043</v>
      </c>
      <c r="D11221" s="19" t="s">
        <v>26630</v>
      </c>
      <c r="E11221" s="19" t="s">
        <v>34847</v>
      </c>
      <c r="F11221" s="19" t="s">
        <v>36012</v>
      </c>
      <c r="G11221" s="18" t="str">
        <f>"17837"</f>
        <v>17837</v>
      </c>
      <c r="H11221" s="19" t="s">
        <v>33554</v>
      </c>
      <c r="I11221" s="20">
        <v>21.658000000000001</v>
      </c>
      <c r="J11221" s="44" t="s">
        <v>8</v>
      </c>
      <c r="K11221" s="23" t="s">
        <v>8</v>
      </c>
      <c r="L11221" s="23" t="s">
        <v>8</v>
      </c>
      <c r="M11221" s="23" t="s">
        <v>8</v>
      </c>
    </row>
    <row r="11222" spans="1:13" s="21" customFormat="1" x14ac:dyDescent="0.25">
      <c r="A11222" s="22" t="s">
        <v>8</v>
      </c>
      <c r="B11222" s="18" t="str">
        <f>"395262"</f>
        <v>395262</v>
      </c>
      <c r="C11222" s="19" t="s">
        <v>11044</v>
      </c>
      <c r="D11222" s="19" t="s">
        <v>26631</v>
      </c>
      <c r="E11222" s="19" t="s">
        <v>34805</v>
      </c>
      <c r="F11222" s="19" t="s">
        <v>36012</v>
      </c>
      <c r="G11222" s="18" t="str">
        <f>"16509"</f>
        <v>16509</v>
      </c>
      <c r="H11222" s="19" t="s">
        <v>34805</v>
      </c>
      <c r="I11222" s="20">
        <v>21.084</v>
      </c>
      <c r="J11222" s="44" t="s">
        <v>8</v>
      </c>
      <c r="K11222" s="23" t="s">
        <v>8</v>
      </c>
      <c r="L11222" s="23" t="s">
        <v>8</v>
      </c>
      <c r="M11222" s="23" t="s">
        <v>8</v>
      </c>
    </row>
    <row r="11223" spans="1:13" s="21" customFormat="1" x14ac:dyDescent="0.25">
      <c r="A11223" s="22" t="s">
        <v>8</v>
      </c>
      <c r="B11223" s="18" t="str">
        <f>"395264"</f>
        <v>395264</v>
      </c>
      <c r="C11223" s="19" t="s">
        <v>11045</v>
      </c>
      <c r="D11223" s="19" t="s">
        <v>26632</v>
      </c>
      <c r="E11223" s="19" t="s">
        <v>34799</v>
      </c>
      <c r="F11223" s="19" t="s">
        <v>36012</v>
      </c>
      <c r="G11223" s="18" t="str">
        <f>"18104"</f>
        <v>18104</v>
      </c>
      <c r="H11223" s="19" t="s">
        <v>36731</v>
      </c>
      <c r="I11223" s="20">
        <v>17.954999999999998</v>
      </c>
      <c r="J11223" s="44" t="s">
        <v>8</v>
      </c>
      <c r="K11223" s="23" t="s">
        <v>8</v>
      </c>
      <c r="L11223" s="23" t="s">
        <v>8</v>
      </c>
      <c r="M11223" s="23" t="s">
        <v>8</v>
      </c>
    </row>
    <row r="11224" spans="1:13" s="21" customFormat="1" x14ac:dyDescent="0.25">
      <c r="A11224" s="22" t="s">
        <v>8</v>
      </c>
      <c r="B11224" s="18" t="str">
        <f>"395265"</f>
        <v>395265</v>
      </c>
      <c r="C11224" s="19" t="s">
        <v>11046</v>
      </c>
      <c r="D11224" s="19" t="s">
        <v>26633</v>
      </c>
      <c r="E11224" s="19" t="s">
        <v>34848</v>
      </c>
      <c r="F11224" s="19" t="s">
        <v>36012</v>
      </c>
      <c r="G11224" s="18" t="str">
        <f>"18201"</f>
        <v>18201</v>
      </c>
      <c r="H11224" s="19" t="s">
        <v>36735</v>
      </c>
      <c r="I11224" s="20">
        <v>17.901</v>
      </c>
      <c r="J11224" s="44" t="s">
        <v>8</v>
      </c>
      <c r="K11224" s="23" t="s">
        <v>8</v>
      </c>
      <c r="L11224" s="23" t="s">
        <v>8</v>
      </c>
      <c r="M11224" s="23" t="s">
        <v>8</v>
      </c>
    </row>
    <row r="11225" spans="1:13" s="21" customFormat="1" x14ac:dyDescent="0.25">
      <c r="A11225" s="22" t="s">
        <v>8</v>
      </c>
      <c r="B11225" s="18" t="str">
        <f>"395266"</f>
        <v>395266</v>
      </c>
      <c r="C11225" s="19" t="s">
        <v>11047</v>
      </c>
      <c r="D11225" s="19" t="s">
        <v>26634</v>
      </c>
      <c r="E11225" s="19" t="s">
        <v>34849</v>
      </c>
      <c r="F11225" s="19" t="s">
        <v>36012</v>
      </c>
      <c r="G11225" s="18" t="str">
        <f>"15010"</f>
        <v>15010</v>
      </c>
      <c r="H11225" s="19" t="s">
        <v>34742</v>
      </c>
      <c r="I11225" s="20">
        <v>23.664999999999999</v>
      </c>
      <c r="J11225" s="44" t="s">
        <v>8</v>
      </c>
      <c r="K11225" s="23" t="s">
        <v>8</v>
      </c>
      <c r="L11225" s="23" t="s">
        <v>8</v>
      </c>
      <c r="M11225" s="23" t="s">
        <v>8</v>
      </c>
    </row>
    <row r="11226" spans="1:13" s="21" customFormat="1" x14ac:dyDescent="0.25">
      <c r="A11226" s="22" t="s">
        <v>8</v>
      </c>
      <c r="B11226" s="18" t="str">
        <f>"395270"</f>
        <v>395270</v>
      </c>
      <c r="C11226" s="19" t="s">
        <v>11048</v>
      </c>
      <c r="D11226" s="19" t="s">
        <v>26635</v>
      </c>
      <c r="E11226" s="19" t="s">
        <v>31056</v>
      </c>
      <c r="F11226" s="19" t="s">
        <v>36012</v>
      </c>
      <c r="G11226" s="18" t="str">
        <f>"17013"</f>
        <v>17013</v>
      </c>
      <c r="H11226" s="19" t="s">
        <v>32766</v>
      </c>
      <c r="I11226" s="20">
        <v>21.995000000000001</v>
      </c>
      <c r="J11226" s="44" t="s">
        <v>8</v>
      </c>
      <c r="K11226" s="23" t="s">
        <v>8</v>
      </c>
      <c r="L11226" s="23" t="s">
        <v>8</v>
      </c>
      <c r="M11226" s="23" t="s">
        <v>8</v>
      </c>
    </row>
    <row r="11227" spans="1:13" s="21" customFormat="1" x14ac:dyDescent="0.25">
      <c r="A11227" s="22" t="s">
        <v>8</v>
      </c>
      <c r="B11227" s="18" t="str">
        <f>"395273"</f>
        <v>395273</v>
      </c>
      <c r="C11227" s="19" t="s">
        <v>11049</v>
      </c>
      <c r="D11227" s="19" t="s">
        <v>26636</v>
      </c>
      <c r="E11227" s="19" t="s">
        <v>34811</v>
      </c>
      <c r="F11227" s="19" t="s">
        <v>36012</v>
      </c>
      <c r="G11227" s="18" t="str">
        <f>"18510"</f>
        <v>18510</v>
      </c>
      <c r="H11227" s="19" t="s">
        <v>36732</v>
      </c>
      <c r="I11227" s="20">
        <v>17.702999999999999</v>
      </c>
      <c r="J11227" s="44" t="s">
        <v>8</v>
      </c>
      <c r="K11227" s="23" t="s">
        <v>8</v>
      </c>
      <c r="L11227" s="23" t="s">
        <v>8</v>
      </c>
      <c r="M11227" s="23" t="s">
        <v>8</v>
      </c>
    </row>
    <row r="11228" spans="1:13" s="21" customFormat="1" x14ac:dyDescent="0.25">
      <c r="A11228" s="22" t="s">
        <v>8</v>
      </c>
      <c r="B11228" s="18" t="str">
        <f>"395276"</f>
        <v>395276</v>
      </c>
      <c r="C11228" s="19" t="s">
        <v>11050</v>
      </c>
      <c r="D11228" s="19" t="s">
        <v>26637</v>
      </c>
      <c r="E11228" s="19" t="s">
        <v>34850</v>
      </c>
      <c r="F11228" s="19" t="s">
        <v>36012</v>
      </c>
      <c r="G11228" s="18" t="str">
        <f>"18235"</f>
        <v>18235</v>
      </c>
      <c r="H11228" s="19" t="s">
        <v>36538</v>
      </c>
      <c r="I11228" s="20">
        <v>20.48</v>
      </c>
      <c r="J11228" s="44" t="s">
        <v>8</v>
      </c>
      <c r="K11228" s="23" t="s">
        <v>8</v>
      </c>
      <c r="L11228" s="23" t="s">
        <v>8</v>
      </c>
      <c r="M11228" s="23" t="s">
        <v>8</v>
      </c>
    </row>
    <row r="11229" spans="1:13" s="21" customFormat="1" x14ac:dyDescent="0.25">
      <c r="A11229" s="22" t="s">
        <v>8</v>
      </c>
      <c r="B11229" s="18" t="str">
        <f>"395277"</f>
        <v>395277</v>
      </c>
      <c r="C11229" s="19" t="s">
        <v>11051</v>
      </c>
      <c r="D11229" s="19" t="s">
        <v>26638</v>
      </c>
      <c r="E11229" s="19" t="s">
        <v>34520</v>
      </c>
      <c r="F11229" s="19" t="s">
        <v>36012</v>
      </c>
      <c r="G11229" s="18" t="str">
        <f>"18901"</f>
        <v>18901</v>
      </c>
      <c r="H11229" s="19" t="s">
        <v>36729</v>
      </c>
      <c r="I11229" s="20">
        <v>22.795000000000002</v>
      </c>
      <c r="J11229" s="44" t="s">
        <v>8</v>
      </c>
      <c r="K11229" s="23" t="s">
        <v>8</v>
      </c>
      <c r="L11229" s="23" t="s">
        <v>8</v>
      </c>
      <c r="M11229" s="23" t="s">
        <v>8</v>
      </c>
    </row>
    <row r="11230" spans="1:13" s="21" customFormat="1" x14ac:dyDescent="0.25">
      <c r="A11230" s="22" t="s">
        <v>8</v>
      </c>
      <c r="B11230" s="18" t="str">
        <f>"395278"</f>
        <v>395278</v>
      </c>
      <c r="C11230" s="19" t="s">
        <v>11052</v>
      </c>
      <c r="D11230" s="19" t="s">
        <v>26639</v>
      </c>
      <c r="E11230" s="19" t="s">
        <v>34851</v>
      </c>
      <c r="F11230" s="19" t="s">
        <v>36012</v>
      </c>
      <c r="G11230" s="18" t="str">
        <f>"19031"</f>
        <v>19031</v>
      </c>
      <c r="H11230" s="19" t="s">
        <v>30833</v>
      </c>
      <c r="I11230" s="20">
        <v>18.172999999999998</v>
      </c>
      <c r="J11230" s="44" t="s">
        <v>8</v>
      </c>
      <c r="K11230" s="23" t="s">
        <v>8</v>
      </c>
      <c r="L11230" s="23" t="s">
        <v>8</v>
      </c>
      <c r="M11230" s="23" t="s">
        <v>8</v>
      </c>
    </row>
    <row r="11231" spans="1:13" s="21" customFormat="1" x14ac:dyDescent="0.25">
      <c r="A11231" s="22" t="s">
        <v>8</v>
      </c>
      <c r="B11231" s="18" t="str">
        <f>"395279"</f>
        <v>395279</v>
      </c>
      <c r="C11231" s="19" t="s">
        <v>2940</v>
      </c>
      <c r="D11231" s="19" t="s">
        <v>26640</v>
      </c>
      <c r="E11231" s="19" t="s">
        <v>34429</v>
      </c>
      <c r="F11231" s="19" t="s">
        <v>36012</v>
      </c>
      <c r="G11231" s="18" t="str">
        <f>"15857"</f>
        <v>15857</v>
      </c>
      <c r="H11231" s="19" t="s">
        <v>36310</v>
      </c>
      <c r="I11231" s="20">
        <v>19.306000000000001</v>
      </c>
      <c r="J11231" s="44" t="s">
        <v>8</v>
      </c>
      <c r="K11231" s="23" t="s">
        <v>8</v>
      </c>
      <c r="L11231" s="23" t="s">
        <v>8</v>
      </c>
      <c r="M11231" s="23" t="s">
        <v>8</v>
      </c>
    </row>
    <row r="11232" spans="1:13" s="21" customFormat="1" x14ac:dyDescent="0.25">
      <c r="A11232" s="22" t="s">
        <v>8</v>
      </c>
      <c r="B11232" s="18" t="str">
        <f>"395282"</f>
        <v>395282</v>
      </c>
      <c r="C11232" s="19" t="s">
        <v>11053</v>
      </c>
      <c r="D11232" s="19" t="s">
        <v>26641</v>
      </c>
      <c r="E11232" s="19" t="s">
        <v>34852</v>
      </c>
      <c r="F11232" s="19" t="s">
        <v>36012</v>
      </c>
      <c r="G11232" s="18" t="str">
        <f>"19023"</f>
        <v>19023</v>
      </c>
      <c r="H11232" s="19" t="s">
        <v>34462</v>
      </c>
      <c r="I11232" s="20">
        <v>24.75</v>
      </c>
      <c r="J11232" s="44" t="s">
        <v>8</v>
      </c>
      <c r="K11232" s="23" t="s">
        <v>8</v>
      </c>
      <c r="L11232" s="23" t="s">
        <v>8</v>
      </c>
      <c r="M11232" s="23" t="s">
        <v>8</v>
      </c>
    </row>
    <row r="11233" spans="1:13" s="21" customFormat="1" x14ac:dyDescent="0.25">
      <c r="A11233" s="22" t="s">
        <v>8</v>
      </c>
      <c r="B11233" s="18" t="str">
        <f>"395283"</f>
        <v>395283</v>
      </c>
      <c r="C11233" s="19" t="s">
        <v>11054</v>
      </c>
      <c r="D11233" s="19" t="s">
        <v>26642</v>
      </c>
      <c r="E11233" s="19" t="s">
        <v>34847</v>
      </c>
      <c r="F11233" s="19" t="s">
        <v>36012</v>
      </c>
      <c r="G11233" s="18" t="str">
        <f>"17837"</f>
        <v>17837</v>
      </c>
      <c r="H11233" s="19" t="s">
        <v>33554</v>
      </c>
      <c r="I11233" s="20">
        <v>17.021999999999998</v>
      </c>
      <c r="J11233" s="44" t="s">
        <v>8</v>
      </c>
      <c r="K11233" s="23" t="s">
        <v>8</v>
      </c>
      <c r="L11233" s="23" t="s">
        <v>8</v>
      </c>
      <c r="M11233" s="23" t="s">
        <v>8</v>
      </c>
    </row>
    <row r="11234" spans="1:13" s="21" customFormat="1" x14ac:dyDescent="0.25">
      <c r="A11234" s="22" t="s">
        <v>8</v>
      </c>
      <c r="B11234" s="18" t="str">
        <f>"395284"</f>
        <v>395284</v>
      </c>
      <c r="C11234" s="19" t="s">
        <v>11055</v>
      </c>
      <c r="D11234" s="19" t="s">
        <v>26643</v>
      </c>
      <c r="E11234" s="19" t="s">
        <v>34853</v>
      </c>
      <c r="F11234" s="19" t="s">
        <v>36012</v>
      </c>
      <c r="G11234" s="18" t="str">
        <f>"19460"</f>
        <v>19460</v>
      </c>
      <c r="H11234" s="19" t="s">
        <v>31396</v>
      </c>
      <c r="I11234" s="20">
        <v>20.297000000000001</v>
      </c>
      <c r="J11234" s="44" t="s">
        <v>8</v>
      </c>
      <c r="K11234" s="23" t="s">
        <v>8</v>
      </c>
      <c r="L11234" s="23" t="s">
        <v>8</v>
      </c>
      <c r="M11234" s="23" t="s">
        <v>8</v>
      </c>
    </row>
    <row r="11235" spans="1:13" s="21" customFormat="1" x14ac:dyDescent="0.25">
      <c r="A11235" s="22" t="s">
        <v>8</v>
      </c>
      <c r="B11235" s="18" t="str">
        <f>"395285"</f>
        <v>395285</v>
      </c>
      <c r="C11235" s="19" t="s">
        <v>11056</v>
      </c>
      <c r="D11235" s="19" t="s">
        <v>26644</v>
      </c>
      <c r="E11235" s="19" t="s">
        <v>34854</v>
      </c>
      <c r="F11235" s="19" t="s">
        <v>36012</v>
      </c>
      <c r="G11235" s="18" t="str">
        <f>"18847"</f>
        <v>18847</v>
      </c>
      <c r="H11235" s="19" t="s">
        <v>34854</v>
      </c>
      <c r="I11235" s="20">
        <v>20.292999999999999</v>
      </c>
      <c r="J11235" s="44" t="s">
        <v>8</v>
      </c>
      <c r="K11235" s="23" t="s">
        <v>8</v>
      </c>
      <c r="L11235" s="23" t="s">
        <v>8</v>
      </c>
      <c r="M11235" s="23" t="s">
        <v>8</v>
      </c>
    </row>
    <row r="11236" spans="1:13" s="21" customFormat="1" x14ac:dyDescent="0.25">
      <c r="A11236" s="22" t="s">
        <v>8</v>
      </c>
      <c r="B11236" s="18" t="str">
        <f>"395286"</f>
        <v>395286</v>
      </c>
      <c r="C11236" s="19" t="s">
        <v>11057</v>
      </c>
      <c r="D11236" s="19" t="s">
        <v>26645</v>
      </c>
      <c r="E11236" s="19" t="s">
        <v>34855</v>
      </c>
      <c r="F11236" s="19" t="s">
        <v>36012</v>
      </c>
      <c r="G11236" s="18" t="str">
        <f>"17931"</f>
        <v>17931</v>
      </c>
      <c r="H11236" s="19" t="s">
        <v>36737</v>
      </c>
      <c r="I11236" s="20">
        <v>17.658000000000001</v>
      </c>
      <c r="J11236" s="44" t="s">
        <v>8</v>
      </c>
      <c r="K11236" s="23" t="s">
        <v>8</v>
      </c>
      <c r="L11236" s="23" t="s">
        <v>8</v>
      </c>
      <c r="M11236" s="23" t="s">
        <v>8</v>
      </c>
    </row>
    <row r="11237" spans="1:13" s="21" customFormat="1" x14ac:dyDescent="0.25">
      <c r="A11237" s="22" t="s">
        <v>8</v>
      </c>
      <c r="B11237" s="18" t="str">
        <f>"395288"</f>
        <v>395288</v>
      </c>
      <c r="C11237" s="19" t="s">
        <v>11058</v>
      </c>
      <c r="D11237" s="19" t="s">
        <v>26646</v>
      </c>
      <c r="E11237" s="19" t="s">
        <v>34856</v>
      </c>
      <c r="F11237" s="19" t="s">
        <v>36012</v>
      </c>
      <c r="G11237" s="18" t="str">
        <f>"18301"</f>
        <v>18301</v>
      </c>
      <c r="H11237" s="19" t="s">
        <v>31711</v>
      </c>
      <c r="I11237" s="20">
        <v>17.521999999999998</v>
      </c>
      <c r="J11237" s="44" t="s">
        <v>8</v>
      </c>
      <c r="K11237" s="23" t="s">
        <v>8</v>
      </c>
      <c r="L11237" s="23" t="s">
        <v>8</v>
      </c>
      <c r="M11237" s="23" t="s">
        <v>8</v>
      </c>
    </row>
    <row r="11238" spans="1:13" s="21" customFormat="1" x14ac:dyDescent="0.25">
      <c r="A11238" s="22" t="s">
        <v>8</v>
      </c>
      <c r="B11238" s="18" t="str">
        <f>"395289"</f>
        <v>395289</v>
      </c>
      <c r="C11238" s="19" t="s">
        <v>11059</v>
      </c>
      <c r="D11238" s="19" t="s">
        <v>26647</v>
      </c>
      <c r="E11238" s="19" t="s">
        <v>34857</v>
      </c>
      <c r="F11238" s="19" t="s">
        <v>36012</v>
      </c>
      <c r="G11238" s="18" t="str">
        <f>"15317"</f>
        <v>15317</v>
      </c>
      <c r="H11238" s="19" t="s">
        <v>31500</v>
      </c>
      <c r="I11238" s="20">
        <v>19.64</v>
      </c>
      <c r="J11238" s="44" t="s">
        <v>8</v>
      </c>
      <c r="K11238" s="23" t="s">
        <v>8</v>
      </c>
      <c r="L11238" s="23" t="s">
        <v>8</v>
      </c>
      <c r="M11238" s="23" t="s">
        <v>8</v>
      </c>
    </row>
    <row r="11239" spans="1:13" s="21" customFormat="1" x14ac:dyDescent="0.25">
      <c r="A11239" s="22" t="s">
        <v>8</v>
      </c>
      <c r="B11239" s="18" t="str">
        <f>"395290"</f>
        <v>395290</v>
      </c>
      <c r="C11239" s="19" t="s">
        <v>11060</v>
      </c>
      <c r="D11239" s="19" t="s">
        <v>26648</v>
      </c>
      <c r="E11239" s="19" t="s">
        <v>30834</v>
      </c>
      <c r="F11239" s="19" t="s">
        <v>36012</v>
      </c>
      <c r="G11239" s="18" t="str">
        <f>"17402"</f>
        <v>17402</v>
      </c>
      <c r="H11239" s="19" t="s">
        <v>30834</v>
      </c>
      <c r="I11239" s="20">
        <v>21.361999999999998</v>
      </c>
      <c r="J11239" s="44" t="s">
        <v>8</v>
      </c>
      <c r="K11239" s="23" t="s">
        <v>8</v>
      </c>
      <c r="L11239" s="23" t="s">
        <v>8</v>
      </c>
      <c r="M11239" s="23" t="s">
        <v>8</v>
      </c>
    </row>
    <row r="11240" spans="1:13" s="21" customFormat="1" x14ac:dyDescent="0.25">
      <c r="A11240" s="22" t="s">
        <v>8</v>
      </c>
      <c r="B11240" s="18" t="str">
        <f>"395292"</f>
        <v>395292</v>
      </c>
      <c r="C11240" s="19" t="s">
        <v>11061</v>
      </c>
      <c r="D11240" s="19" t="s">
        <v>26649</v>
      </c>
      <c r="E11240" s="19" t="s">
        <v>33549</v>
      </c>
      <c r="F11240" s="19" t="s">
        <v>36012</v>
      </c>
      <c r="G11240" s="18" t="str">
        <f>"16335"</f>
        <v>16335</v>
      </c>
      <c r="H11240" s="19" t="s">
        <v>31759</v>
      </c>
      <c r="I11240" s="20">
        <v>20.885000000000002</v>
      </c>
      <c r="J11240" s="44" t="s">
        <v>8</v>
      </c>
      <c r="K11240" s="23" t="s">
        <v>8</v>
      </c>
      <c r="L11240" s="23" t="s">
        <v>8</v>
      </c>
      <c r="M11240" s="23" t="s">
        <v>8</v>
      </c>
    </row>
    <row r="11241" spans="1:13" s="21" customFormat="1" x14ac:dyDescent="0.25">
      <c r="A11241" s="22" t="s">
        <v>8</v>
      </c>
      <c r="B11241" s="18" t="str">
        <f>"395295"</f>
        <v>395295</v>
      </c>
      <c r="C11241" s="19" t="s">
        <v>11062</v>
      </c>
      <c r="D11241" s="19" t="s">
        <v>26650</v>
      </c>
      <c r="E11241" s="19" t="s">
        <v>34858</v>
      </c>
      <c r="F11241" s="19" t="s">
        <v>36012</v>
      </c>
      <c r="G11241" s="18" t="str">
        <f>"15668"</f>
        <v>15668</v>
      </c>
      <c r="H11241" s="19" t="s">
        <v>32652</v>
      </c>
      <c r="I11241" s="20">
        <v>22.504000000000001</v>
      </c>
      <c r="J11241" s="44" t="s">
        <v>8</v>
      </c>
      <c r="K11241" s="23" t="s">
        <v>8</v>
      </c>
      <c r="L11241" s="23" t="s">
        <v>8</v>
      </c>
      <c r="M11241" s="23" t="s">
        <v>8</v>
      </c>
    </row>
    <row r="11242" spans="1:13" s="21" customFormat="1" x14ac:dyDescent="0.25">
      <c r="A11242" s="22" t="s">
        <v>8</v>
      </c>
      <c r="B11242" s="18" t="str">
        <f>"395296"</f>
        <v>395296</v>
      </c>
      <c r="C11242" s="19" t="s">
        <v>11063</v>
      </c>
      <c r="D11242" s="19" t="s">
        <v>26651</v>
      </c>
      <c r="E11242" s="19" t="s">
        <v>34859</v>
      </c>
      <c r="F11242" s="19" t="s">
        <v>36012</v>
      </c>
      <c r="G11242" s="18" t="str">
        <f>"19128"</f>
        <v>19128</v>
      </c>
      <c r="H11242" s="19" t="s">
        <v>33514</v>
      </c>
      <c r="I11242" s="20">
        <v>20.667999999999999</v>
      </c>
      <c r="J11242" s="44" t="s">
        <v>8</v>
      </c>
      <c r="K11242" s="23" t="s">
        <v>8</v>
      </c>
      <c r="L11242" s="23" t="s">
        <v>8</v>
      </c>
      <c r="M11242" s="23" t="s">
        <v>8</v>
      </c>
    </row>
    <row r="11243" spans="1:13" s="21" customFormat="1" x14ac:dyDescent="0.25">
      <c r="A11243" s="22" t="s">
        <v>8</v>
      </c>
      <c r="B11243" s="18" t="str">
        <f>"395297"</f>
        <v>395297</v>
      </c>
      <c r="C11243" s="19" t="s">
        <v>11064</v>
      </c>
      <c r="D11243" s="19" t="s">
        <v>26652</v>
      </c>
      <c r="E11243" s="19" t="s">
        <v>34786</v>
      </c>
      <c r="F11243" s="19" t="s">
        <v>36012</v>
      </c>
      <c r="G11243" s="18" t="str">
        <f>"16652"</f>
        <v>16652</v>
      </c>
      <c r="H11243" s="19" t="s">
        <v>34786</v>
      </c>
      <c r="I11243" s="20">
        <v>16.425999999999998</v>
      </c>
      <c r="J11243" s="44" t="s">
        <v>8</v>
      </c>
      <c r="K11243" s="23" t="s">
        <v>8</v>
      </c>
      <c r="L11243" s="23" t="s">
        <v>8</v>
      </c>
      <c r="M11243" s="23" t="s">
        <v>8</v>
      </c>
    </row>
    <row r="11244" spans="1:13" s="21" customFormat="1" x14ac:dyDescent="0.25">
      <c r="A11244" s="22" t="s">
        <v>8</v>
      </c>
      <c r="B11244" s="18" t="str">
        <f>"395298"</f>
        <v>395298</v>
      </c>
      <c r="C11244" s="19" t="s">
        <v>11065</v>
      </c>
      <c r="D11244" s="19" t="s">
        <v>26653</v>
      </c>
      <c r="E11244" s="19" t="s">
        <v>34860</v>
      </c>
      <c r="F11244" s="19" t="s">
        <v>36012</v>
      </c>
      <c r="G11244" s="18" t="str">
        <f>"18634"</f>
        <v>18634</v>
      </c>
      <c r="H11244" s="19" t="s">
        <v>36735</v>
      </c>
      <c r="I11244" s="20">
        <v>19.632999999999999</v>
      </c>
      <c r="J11244" s="44" t="s">
        <v>8</v>
      </c>
      <c r="K11244" s="23" t="s">
        <v>8</v>
      </c>
      <c r="L11244" s="23" t="s">
        <v>8</v>
      </c>
      <c r="M11244" s="23" t="s">
        <v>8</v>
      </c>
    </row>
    <row r="11245" spans="1:13" s="21" customFormat="1" x14ac:dyDescent="0.25">
      <c r="A11245" s="22" t="s">
        <v>8</v>
      </c>
      <c r="B11245" s="18" t="str">
        <f>"395300"</f>
        <v>395300</v>
      </c>
      <c r="C11245" s="19" t="s">
        <v>11066</v>
      </c>
      <c r="D11245" s="19" t="s">
        <v>26654</v>
      </c>
      <c r="E11245" s="19" t="s">
        <v>34861</v>
      </c>
      <c r="F11245" s="19" t="s">
        <v>36012</v>
      </c>
      <c r="G11245" s="18" t="str">
        <f>"15090"</f>
        <v>15090</v>
      </c>
      <c r="H11245" s="19" t="s">
        <v>36730</v>
      </c>
      <c r="I11245" s="20">
        <v>17.158999999999999</v>
      </c>
      <c r="J11245" s="44" t="s">
        <v>8</v>
      </c>
      <c r="K11245" s="23" t="s">
        <v>8</v>
      </c>
      <c r="L11245" s="23" t="s">
        <v>8</v>
      </c>
      <c r="M11245" s="23" t="s">
        <v>8</v>
      </c>
    </row>
    <row r="11246" spans="1:13" s="21" customFormat="1" x14ac:dyDescent="0.25">
      <c r="A11246" s="22" t="s">
        <v>8</v>
      </c>
      <c r="B11246" s="18" t="str">
        <f>"395305"</f>
        <v>395305</v>
      </c>
      <c r="C11246" s="19" t="s">
        <v>11067</v>
      </c>
      <c r="D11246" s="19" t="s">
        <v>26655</v>
      </c>
      <c r="E11246" s="19" t="s">
        <v>31466</v>
      </c>
      <c r="F11246" s="19" t="s">
        <v>36012</v>
      </c>
      <c r="G11246" s="18" t="str">
        <f>"18940"</f>
        <v>18940</v>
      </c>
      <c r="H11246" s="19" t="s">
        <v>36729</v>
      </c>
      <c r="I11246" s="20">
        <v>18.803999999999998</v>
      </c>
      <c r="J11246" s="44" t="s">
        <v>8</v>
      </c>
      <c r="K11246" s="23" t="s">
        <v>8</v>
      </c>
      <c r="L11246" s="23" t="s">
        <v>8</v>
      </c>
      <c r="M11246" s="23" t="s">
        <v>8</v>
      </c>
    </row>
    <row r="11247" spans="1:13" s="21" customFormat="1" x14ac:dyDescent="0.25">
      <c r="A11247" s="22" t="s">
        <v>8</v>
      </c>
      <c r="B11247" s="18" t="str">
        <f>"395307"</f>
        <v>395307</v>
      </c>
      <c r="C11247" s="19" t="s">
        <v>11068</v>
      </c>
      <c r="D11247" s="19" t="s">
        <v>26656</v>
      </c>
      <c r="E11247" s="19" t="s">
        <v>34862</v>
      </c>
      <c r="F11247" s="19" t="s">
        <v>36012</v>
      </c>
      <c r="G11247" s="18" t="str">
        <f>"19348"</f>
        <v>19348</v>
      </c>
      <c r="H11247" s="19" t="s">
        <v>31396</v>
      </c>
      <c r="I11247" s="20">
        <v>17.670000000000002</v>
      </c>
      <c r="J11247" s="44" t="s">
        <v>8</v>
      </c>
      <c r="K11247" s="23" t="s">
        <v>8</v>
      </c>
      <c r="L11247" s="23" t="s">
        <v>8</v>
      </c>
      <c r="M11247" s="23" t="s">
        <v>8</v>
      </c>
    </row>
    <row r="11248" spans="1:13" s="21" customFormat="1" x14ac:dyDescent="0.25">
      <c r="A11248" s="22" t="s">
        <v>8</v>
      </c>
      <c r="B11248" s="18" t="str">
        <f>"395309"</f>
        <v>395309</v>
      </c>
      <c r="C11248" s="19" t="s">
        <v>11069</v>
      </c>
      <c r="D11248" s="19" t="s">
        <v>26657</v>
      </c>
      <c r="E11248" s="19" t="s">
        <v>30834</v>
      </c>
      <c r="F11248" s="19" t="s">
        <v>36012</v>
      </c>
      <c r="G11248" s="18" t="str">
        <f>"17402"</f>
        <v>17402</v>
      </c>
      <c r="H11248" s="19" t="s">
        <v>30834</v>
      </c>
      <c r="I11248" s="20">
        <v>17.663</v>
      </c>
      <c r="J11248" s="44" t="s">
        <v>8</v>
      </c>
      <c r="K11248" s="23" t="s">
        <v>8</v>
      </c>
      <c r="L11248" s="23" t="s">
        <v>8</v>
      </c>
      <c r="M11248" s="23" t="s">
        <v>8</v>
      </c>
    </row>
    <row r="11249" spans="1:13" s="21" customFormat="1" x14ac:dyDescent="0.25">
      <c r="A11249" s="22" t="s">
        <v>8</v>
      </c>
      <c r="B11249" s="18" t="str">
        <f>"395311"</f>
        <v>395311</v>
      </c>
      <c r="C11249" s="19" t="s">
        <v>11070</v>
      </c>
      <c r="D11249" s="19" t="s">
        <v>26658</v>
      </c>
      <c r="E11249" s="19" t="s">
        <v>34815</v>
      </c>
      <c r="F11249" s="19" t="s">
        <v>36012</v>
      </c>
      <c r="G11249" s="18" t="str">
        <f>"19010"</f>
        <v>19010</v>
      </c>
      <c r="H11249" s="19" t="s">
        <v>34462</v>
      </c>
      <c r="I11249" s="20">
        <v>17.186</v>
      </c>
      <c r="J11249" s="44" t="s">
        <v>8</v>
      </c>
      <c r="K11249" s="23" t="s">
        <v>8</v>
      </c>
      <c r="L11249" s="23" t="s">
        <v>8</v>
      </c>
      <c r="M11249" s="23" t="s">
        <v>8</v>
      </c>
    </row>
    <row r="11250" spans="1:13" s="21" customFormat="1" x14ac:dyDescent="0.25">
      <c r="A11250" s="22" t="s">
        <v>8</v>
      </c>
      <c r="B11250" s="18" t="str">
        <f>"395313"</f>
        <v>395313</v>
      </c>
      <c r="C11250" s="19" t="s">
        <v>11071</v>
      </c>
      <c r="D11250" s="19" t="s">
        <v>26659</v>
      </c>
      <c r="E11250" s="19" t="s">
        <v>34863</v>
      </c>
      <c r="F11250" s="19" t="s">
        <v>36012</v>
      </c>
      <c r="G11250" s="18" t="str">
        <f>"15701"</f>
        <v>15701</v>
      </c>
      <c r="H11250" s="19" t="s">
        <v>34863</v>
      </c>
      <c r="I11250" s="20">
        <v>18.268000000000001</v>
      </c>
      <c r="J11250" s="44" t="s">
        <v>8</v>
      </c>
      <c r="K11250" s="23" t="s">
        <v>8</v>
      </c>
      <c r="L11250" s="23" t="s">
        <v>8</v>
      </c>
      <c r="M11250" s="23" t="s">
        <v>8</v>
      </c>
    </row>
    <row r="11251" spans="1:13" s="21" customFormat="1" x14ac:dyDescent="0.25">
      <c r="A11251" s="22" t="s">
        <v>8</v>
      </c>
      <c r="B11251" s="18" t="str">
        <f>"395316"</f>
        <v>395316</v>
      </c>
      <c r="C11251" s="19" t="s">
        <v>11072</v>
      </c>
      <c r="D11251" s="19" t="s">
        <v>26660</v>
      </c>
      <c r="E11251" s="19" t="s">
        <v>34864</v>
      </c>
      <c r="F11251" s="19" t="s">
        <v>36012</v>
      </c>
      <c r="G11251" s="18" t="str">
        <f>"18218"</f>
        <v>18218</v>
      </c>
      <c r="H11251" s="19" t="s">
        <v>36737</v>
      </c>
      <c r="I11251" s="20">
        <v>16.117999999999999</v>
      </c>
      <c r="J11251" s="44" t="s">
        <v>8</v>
      </c>
      <c r="K11251" s="23" t="s">
        <v>8</v>
      </c>
      <c r="L11251" s="23" t="s">
        <v>8</v>
      </c>
      <c r="M11251" s="23" t="s">
        <v>8</v>
      </c>
    </row>
    <row r="11252" spans="1:13" s="21" customFormat="1" x14ac:dyDescent="0.25">
      <c r="A11252" s="22" t="s">
        <v>8</v>
      </c>
      <c r="B11252" s="18" t="str">
        <f>"395317"</f>
        <v>395317</v>
      </c>
      <c r="C11252" s="19" t="s">
        <v>11073</v>
      </c>
      <c r="D11252" s="19" t="s">
        <v>26661</v>
      </c>
      <c r="E11252" s="19" t="s">
        <v>34540</v>
      </c>
      <c r="F11252" s="19" t="s">
        <v>36012</v>
      </c>
      <c r="G11252" s="18" t="str">
        <f>"17801"</f>
        <v>17801</v>
      </c>
      <c r="H11252" s="19" t="s">
        <v>34890</v>
      </c>
      <c r="I11252" s="20">
        <v>17.96</v>
      </c>
      <c r="J11252" s="44" t="s">
        <v>8</v>
      </c>
      <c r="K11252" s="23" t="s">
        <v>8</v>
      </c>
      <c r="L11252" s="23" t="s">
        <v>8</v>
      </c>
      <c r="M11252" s="23" t="s">
        <v>8</v>
      </c>
    </row>
    <row r="11253" spans="1:13" s="21" customFormat="1" x14ac:dyDescent="0.25">
      <c r="A11253" s="22" t="s">
        <v>8</v>
      </c>
      <c r="B11253" s="18" t="str">
        <f>"395318"</f>
        <v>395318</v>
      </c>
      <c r="C11253" s="19" t="s">
        <v>11074</v>
      </c>
      <c r="D11253" s="19" t="s">
        <v>26662</v>
      </c>
      <c r="E11253" s="19" t="s">
        <v>34865</v>
      </c>
      <c r="F11253" s="19" t="s">
        <v>36012</v>
      </c>
      <c r="G11253" s="18" t="str">
        <f>"16901"</f>
        <v>16901</v>
      </c>
      <c r="H11253" s="19" t="s">
        <v>34367</v>
      </c>
      <c r="I11253" s="20">
        <v>18.213999999999999</v>
      </c>
      <c r="J11253" s="44" t="s">
        <v>8</v>
      </c>
      <c r="K11253" s="23" t="s">
        <v>8</v>
      </c>
      <c r="L11253" s="23" t="s">
        <v>8</v>
      </c>
      <c r="M11253" s="23" t="s">
        <v>8</v>
      </c>
    </row>
    <row r="11254" spans="1:13" s="21" customFormat="1" x14ac:dyDescent="0.25">
      <c r="A11254" s="22" t="s">
        <v>8</v>
      </c>
      <c r="B11254" s="18" t="str">
        <f>"395319"</f>
        <v>395319</v>
      </c>
      <c r="C11254" s="19" t="s">
        <v>11075</v>
      </c>
      <c r="D11254" s="19" t="s">
        <v>26663</v>
      </c>
      <c r="E11254" s="19" t="s">
        <v>34866</v>
      </c>
      <c r="F11254" s="19" t="s">
        <v>36012</v>
      </c>
      <c r="G11254" s="18" t="str">
        <f>"19464"</f>
        <v>19464</v>
      </c>
      <c r="H11254" s="19" t="s">
        <v>30833</v>
      </c>
      <c r="I11254" s="20">
        <v>20.315000000000001</v>
      </c>
      <c r="J11254" s="44" t="s">
        <v>8</v>
      </c>
      <c r="K11254" s="23" t="s">
        <v>8</v>
      </c>
      <c r="L11254" s="23" t="s">
        <v>8</v>
      </c>
      <c r="M11254" s="23" t="s">
        <v>8</v>
      </c>
    </row>
    <row r="11255" spans="1:13" s="21" customFormat="1" x14ac:dyDescent="0.25">
      <c r="A11255" s="22" t="s">
        <v>8</v>
      </c>
      <c r="B11255" s="18" t="str">
        <f>"395321"</f>
        <v>395321</v>
      </c>
      <c r="C11255" s="19" t="s">
        <v>11076</v>
      </c>
      <c r="D11255" s="19" t="s">
        <v>26664</v>
      </c>
      <c r="E11255" s="19" t="s">
        <v>34867</v>
      </c>
      <c r="F11255" s="19" t="s">
        <v>36012</v>
      </c>
      <c r="G11255" s="18" t="str">
        <f>"19046"</f>
        <v>19046</v>
      </c>
      <c r="H11255" s="19" t="s">
        <v>30833</v>
      </c>
      <c r="I11255" s="20">
        <v>17.844999999999999</v>
      </c>
      <c r="J11255" s="44" t="s">
        <v>8</v>
      </c>
      <c r="K11255" s="23" t="s">
        <v>8</v>
      </c>
      <c r="L11255" s="23" t="s">
        <v>8</v>
      </c>
      <c r="M11255" s="23" t="s">
        <v>8</v>
      </c>
    </row>
    <row r="11256" spans="1:13" s="21" customFormat="1" x14ac:dyDescent="0.25">
      <c r="A11256" s="22" t="s">
        <v>8</v>
      </c>
      <c r="B11256" s="18" t="str">
        <f>"395324"</f>
        <v>395324</v>
      </c>
      <c r="C11256" s="19" t="s">
        <v>11077</v>
      </c>
      <c r="D11256" s="19" t="s">
        <v>26665</v>
      </c>
      <c r="E11256" s="19" t="s">
        <v>34823</v>
      </c>
      <c r="F11256" s="19" t="s">
        <v>36012</v>
      </c>
      <c r="G11256" s="18" t="str">
        <f>"18702"</f>
        <v>18702</v>
      </c>
      <c r="H11256" s="19" t="s">
        <v>36735</v>
      </c>
      <c r="I11256" s="20">
        <v>17.978000000000002</v>
      </c>
      <c r="J11256" s="44" t="s">
        <v>8</v>
      </c>
      <c r="K11256" s="23" t="s">
        <v>8</v>
      </c>
      <c r="L11256" s="23" t="s">
        <v>8</v>
      </c>
      <c r="M11256" s="23" t="s">
        <v>8</v>
      </c>
    </row>
    <row r="11257" spans="1:13" s="21" customFormat="1" x14ac:dyDescent="0.25">
      <c r="A11257" s="22" t="s">
        <v>8</v>
      </c>
      <c r="B11257" s="18" t="str">
        <f>"395325"</f>
        <v>395325</v>
      </c>
      <c r="C11257" s="19" t="s">
        <v>11078</v>
      </c>
      <c r="D11257" s="19" t="s">
        <v>26666</v>
      </c>
      <c r="E11257" s="19" t="s">
        <v>34868</v>
      </c>
      <c r="F11257" s="19" t="s">
        <v>36012</v>
      </c>
      <c r="G11257" s="18" t="str">
        <f>"17543"</f>
        <v>17543</v>
      </c>
      <c r="H11257" s="19" t="s">
        <v>31184</v>
      </c>
      <c r="I11257" s="20">
        <v>16.233000000000001</v>
      </c>
      <c r="J11257" s="44" t="s">
        <v>8</v>
      </c>
      <c r="K11257" s="23" t="s">
        <v>8</v>
      </c>
      <c r="L11257" s="23" t="s">
        <v>8</v>
      </c>
      <c r="M11257" s="23" t="s">
        <v>8</v>
      </c>
    </row>
    <row r="11258" spans="1:13" s="21" customFormat="1" x14ac:dyDescent="0.25">
      <c r="A11258" s="22" t="s">
        <v>8</v>
      </c>
      <c r="B11258" s="18" t="str">
        <f>"395326"</f>
        <v>395326</v>
      </c>
      <c r="C11258" s="19" t="s">
        <v>11079</v>
      </c>
      <c r="D11258" s="19" t="s">
        <v>26667</v>
      </c>
      <c r="E11258" s="19" t="s">
        <v>34869</v>
      </c>
      <c r="F11258" s="19" t="s">
        <v>36012</v>
      </c>
      <c r="G11258" s="18" t="str">
        <f>"17555"</f>
        <v>17555</v>
      </c>
      <c r="H11258" s="19" t="s">
        <v>31184</v>
      </c>
      <c r="I11258" s="20">
        <v>16.561</v>
      </c>
      <c r="J11258" s="44" t="s">
        <v>8</v>
      </c>
      <c r="K11258" s="23" t="s">
        <v>8</v>
      </c>
      <c r="L11258" s="23" t="s">
        <v>8</v>
      </c>
      <c r="M11258" s="23" t="s">
        <v>8</v>
      </c>
    </row>
    <row r="11259" spans="1:13" s="21" customFormat="1" x14ac:dyDescent="0.25">
      <c r="A11259" s="22" t="s">
        <v>8</v>
      </c>
      <c r="B11259" s="18" t="str">
        <f>"395328"</f>
        <v>395328</v>
      </c>
      <c r="C11259" s="19" t="s">
        <v>11080</v>
      </c>
      <c r="D11259" s="19" t="s">
        <v>26668</v>
      </c>
      <c r="E11259" s="19" t="s">
        <v>31184</v>
      </c>
      <c r="F11259" s="19" t="s">
        <v>36012</v>
      </c>
      <c r="G11259" s="18" t="str">
        <f>"17606"</f>
        <v>17606</v>
      </c>
      <c r="H11259" s="19" t="s">
        <v>31184</v>
      </c>
      <c r="I11259" s="20">
        <v>17.716000000000001</v>
      </c>
      <c r="J11259" s="44" t="s">
        <v>8</v>
      </c>
      <c r="K11259" s="23" t="s">
        <v>8</v>
      </c>
      <c r="L11259" s="23" t="s">
        <v>8</v>
      </c>
      <c r="M11259" s="23" t="s">
        <v>8</v>
      </c>
    </row>
    <row r="11260" spans="1:13" s="21" customFormat="1" x14ac:dyDescent="0.25">
      <c r="A11260" s="22" t="s">
        <v>8</v>
      </c>
      <c r="B11260" s="18" t="str">
        <f>"395329"</f>
        <v>395329</v>
      </c>
      <c r="C11260" s="19" t="s">
        <v>11081</v>
      </c>
      <c r="D11260" s="19" t="s">
        <v>26669</v>
      </c>
      <c r="E11260" s="19" t="s">
        <v>34870</v>
      </c>
      <c r="F11260" s="19" t="s">
        <v>36012</v>
      </c>
      <c r="G11260" s="18" t="str">
        <f>"19073"</f>
        <v>19073</v>
      </c>
      <c r="H11260" s="19" t="s">
        <v>34462</v>
      </c>
      <c r="I11260" s="20">
        <v>17.187000000000001</v>
      </c>
      <c r="J11260" s="44" t="s">
        <v>8</v>
      </c>
      <c r="K11260" s="23" t="s">
        <v>8</v>
      </c>
      <c r="L11260" s="23" t="s">
        <v>8</v>
      </c>
      <c r="M11260" s="23" t="s">
        <v>8</v>
      </c>
    </row>
    <row r="11261" spans="1:13" s="21" customFormat="1" x14ac:dyDescent="0.25">
      <c r="A11261" s="22" t="s">
        <v>8</v>
      </c>
      <c r="B11261" s="18" t="str">
        <f>"395330"</f>
        <v>395330</v>
      </c>
      <c r="C11261" s="19" t="s">
        <v>11082</v>
      </c>
      <c r="D11261" s="19" t="s">
        <v>26670</v>
      </c>
      <c r="E11261" s="19" t="s">
        <v>33514</v>
      </c>
      <c r="F11261" s="19" t="s">
        <v>36012</v>
      </c>
      <c r="G11261" s="18" t="str">
        <f>"19126"</f>
        <v>19126</v>
      </c>
      <c r="H11261" s="19" t="s">
        <v>33514</v>
      </c>
      <c r="I11261" s="20">
        <v>21.588999999999999</v>
      </c>
      <c r="J11261" s="44" t="s">
        <v>8</v>
      </c>
      <c r="K11261" s="23" t="s">
        <v>8</v>
      </c>
      <c r="L11261" s="23" t="s">
        <v>8</v>
      </c>
      <c r="M11261" s="23" t="s">
        <v>8</v>
      </c>
    </row>
    <row r="11262" spans="1:13" s="21" customFormat="1" x14ac:dyDescent="0.25">
      <c r="A11262" s="22" t="s">
        <v>8</v>
      </c>
      <c r="B11262" s="18" t="str">
        <f>"395331"</f>
        <v>395331</v>
      </c>
      <c r="C11262" s="19" t="s">
        <v>11083</v>
      </c>
      <c r="D11262" s="19" t="s">
        <v>26671</v>
      </c>
      <c r="E11262" s="19" t="s">
        <v>32508</v>
      </c>
      <c r="F11262" s="19" t="s">
        <v>36012</v>
      </c>
      <c r="G11262" s="18" t="str">
        <f>"16830"</f>
        <v>16830</v>
      </c>
      <c r="H11262" s="19" t="s">
        <v>32508</v>
      </c>
      <c r="I11262" s="20">
        <v>17.204999999999998</v>
      </c>
      <c r="J11262" s="44" t="s">
        <v>8</v>
      </c>
      <c r="K11262" s="23" t="s">
        <v>8</v>
      </c>
      <c r="L11262" s="23" t="s">
        <v>8</v>
      </c>
      <c r="M11262" s="23" t="s">
        <v>8</v>
      </c>
    </row>
    <row r="11263" spans="1:13" s="21" customFormat="1" x14ac:dyDescent="0.25">
      <c r="A11263" s="22" t="s">
        <v>8</v>
      </c>
      <c r="B11263" s="18" t="str">
        <f>"395332"</f>
        <v>395332</v>
      </c>
      <c r="C11263" s="19" t="s">
        <v>11084</v>
      </c>
      <c r="D11263" s="19" t="s">
        <v>26672</v>
      </c>
      <c r="E11263" s="19" t="s">
        <v>33280</v>
      </c>
      <c r="F11263" s="19" t="s">
        <v>36012</v>
      </c>
      <c r="G11263" s="18" t="str">
        <f>"19087"</f>
        <v>19087</v>
      </c>
      <c r="H11263" s="19" t="s">
        <v>34462</v>
      </c>
      <c r="I11263" s="20">
        <v>18.654</v>
      </c>
      <c r="J11263" s="44" t="s">
        <v>8</v>
      </c>
      <c r="K11263" s="23" t="s">
        <v>8</v>
      </c>
      <c r="L11263" s="23" t="s">
        <v>8</v>
      </c>
      <c r="M11263" s="23" t="s">
        <v>8</v>
      </c>
    </row>
    <row r="11264" spans="1:13" s="21" customFormat="1" x14ac:dyDescent="0.25">
      <c r="A11264" s="22" t="s">
        <v>8</v>
      </c>
      <c r="B11264" s="18" t="str">
        <f>"395333"</f>
        <v>395333</v>
      </c>
      <c r="C11264" s="19" t="s">
        <v>11085</v>
      </c>
      <c r="D11264" s="19" t="s">
        <v>26523</v>
      </c>
      <c r="E11264" s="19" t="s">
        <v>34792</v>
      </c>
      <c r="F11264" s="19" t="s">
        <v>36012</v>
      </c>
      <c r="G11264" s="18" t="str">
        <f>"18848"</f>
        <v>18848</v>
      </c>
      <c r="H11264" s="19" t="s">
        <v>34878</v>
      </c>
      <c r="I11264" s="20">
        <v>24.568999999999999</v>
      </c>
      <c r="J11264" s="44" t="s">
        <v>8</v>
      </c>
      <c r="K11264" s="23" t="s">
        <v>8</v>
      </c>
      <c r="L11264" s="23" t="s">
        <v>8</v>
      </c>
      <c r="M11264" s="23" t="s">
        <v>8</v>
      </c>
    </row>
    <row r="11265" spans="1:13" s="21" customFormat="1" x14ac:dyDescent="0.25">
      <c r="A11265" s="22" t="s">
        <v>8</v>
      </c>
      <c r="B11265" s="18" t="str">
        <f>"395334"</f>
        <v>395334</v>
      </c>
      <c r="C11265" s="19" t="s">
        <v>11086</v>
      </c>
      <c r="D11265" s="19" t="s">
        <v>26673</v>
      </c>
      <c r="E11265" s="19" t="s">
        <v>34871</v>
      </c>
      <c r="F11265" s="19" t="s">
        <v>36012</v>
      </c>
      <c r="G11265" s="18" t="str">
        <f>"19038"</f>
        <v>19038</v>
      </c>
      <c r="H11265" s="19" t="s">
        <v>30833</v>
      </c>
      <c r="I11265" s="20">
        <v>18.634</v>
      </c>
      <c r="J11265" s="44" t="s">
        <v>8</v>
      </c>
      <c r="K11265" s="23" t="s">
        <v>8</v>
      </c>
      <c r="L11265" s="23" t="s">
        <v>8</v>
      </c>
      <c r="M11265" s="23" t="s">
        <v>8</v>
      </c>
    </row>
    <row r="11266" spans="1:13" s="21" customFormat="1" x14ac:dyDescent="0.25">
      <c r="A11266" s="22" t="s">
        <v>8</v>
      </c>
      <c r="B11266" s="18" t="str">
        <f>"395335"</f>
        <v>395335</v>
      </c>
      <c r="C11266" s="19" t="s">
        <v>11087</v>
      </c>
      <c r="D11266" s="19" t="s">
        <v>26674</v>
      </c>
      <c r="E11266" s="19" t="s">
        <v>32120</v>
      </c>
      <c r="F11266" s="19" t="s">
        <v>36012</v>
      </c>
      <c r="G11266" s="18" t="str">
        <f>"17044"</f>
        <v>17044</v>
      </c>
      <c r="H11266" s="19" t="s">
        <v>34876</v>
      </c>
      <c r="I11266" s="20">
        <v>18.312000000000001</v>
      </c>
      <c r="J11266" s="44" t="s">
        <v>8</v>
      </c>
      <c r="K11266" s="23" t="s">
        <v>8</v>
      </c>
      <c r="L11266" s="23" t="s">
        <v>8</v>
      </c>
      <c r="M11266" s="23" t="s">
        <v>8</v>
      </c>
    </row>
    <row r="11267" spans="1:13" s="21" customFormat="1" x14ac:dyDescent="0.25">
      <c r="A11267" s="22" t="s">
        <v>8</v>
      </c>
      <c r="B11267" s="18" t="str">
        <f>"395336"</f>
        <v>395336</v>
      </c>
      <c r="C11267" s="19" t="s">
        <v>11088</v>
      </c>
      <c r="D11267" s="19" t="s">
        <v>26675</v>
      </c>
      <c r="E11267" s="19" t="s">
        <v>34872</v>
      </c>
      <c r="F11267" s="19" t="s">
        <v>36012</v>
      </c>
      <c r="G11267" s="18" t="str">
        <f>"17566"</f>
        <v>17566</v>
      </c>
      <c r="H11267" s="19" t="s">
        <v>31184</v>
      </c>
      <c r="I11267" s="20">
        <v>16.706</v>
      </c>
      <c r="J11267" s="44" t="s">
        <v>8</v>
      </c>
      <c r="K11267" s="23" t="s">
        <v>8</v>
      </c>
      <c r="L11267" s="23" t="s">
        <v>8</v>
      </c>
      <c r="M11267" s="23" t="s">
        <v>8</v>
      </c>
    </row>
    <row r="11268" spans="1:13" s="21" customFormat="1" x14ac:dyDescent="0.25">
      <c r="A11268" s="22" t="s">
        <v>8</v>
      </c>
      <c r="B11268" s="18" t="str">
        <f>"395338"</f>
        <v>395338</v>
      </c>
      <c r="C11268" s="19" t="s">
        <v>11089</v>
      </c>
      <c r="D11268" s="19" t="s">
        <v>26676</v>
      </c>
      <c r="E11268" s="19" t="s">
        <v>33514</v>
      </c>
      <c r="F11268" s="19" t="s">
        <v>36012</v>
      </c>
      <c r="G11268" s="18" t="str">
        <f>"19136"</f>
        <v>19136</v>
      </c>
      <c r="H11268" s="19" t="s">
        <v>33514</v>
      </c>
      <c r="I11268" s="20">
        <v>15.231</v>
      </c>
      <c r="J11268" s="44" t="s">
        <v>8</v>
      </c>
      <c r="K11268" s="23" t="s">
        <v>8</v>
      </c>
      <c r="L11268" s="23" t="s">
        <v>8</v>
      </c>
      <c r="M11268" s="23" t="s">
        <v>8</v>
      </c>
    </row>
    <row r="11269" spans="1:13" s="21" customFormat="1" x14ac:dyDescent="0.25">
      <c r="A11269" s="22" t="s">
        <v>8</v>
      </c>
      <c r="B11269" s="18" t="str">
        <f>"395341"</f>
        <v>395341</v>
      </c>
      <c r="C11269" s="19" t="s">
        <v>11090</v>
      </c>
      <c r="D11269" s="19" t="s">
        <v>26677</v>
      </c>
      <c r="E11269" s="19" t="s">
        <v>31847</v>
      </c>
      <c r="F11269" s="19" t="s">
        <v>36012</v>
      </c>
      <c r="G11269" s="18" t="str">
        <f>"15857"</f>
        <v>15857</v>
      </c>
      <c r="H11269" s="19" t="s">
        <v>36310</v>
      </c>
      <c r="I11269" s="20">
        <v>18.091999999999999</v>
      </c>
      <c r="J11269" s="44" t="s">
        <v>8</v>
      </c>
      <c r="K11269" s="23" t="s">
        <v>8</v>
      </c>
      <c r="L11269" s="23" t="s">
        <v>8</v>
      </c>
      <c r="M11269" s="23" t="s">
        <v>8</v>
      </c>
    </row>
    <row r="11270" spans="1:13" s="21" customFormat="1" x14ac:dyDescent="0.25">
      <c r="A11270" s="22" t="s">
        <v>8</v>
      </c>
      <c r="B11270" s="18" t="str">
        <f>"395342"</f>
        <v>395342</v>
      </c>
      <c r="C11270" s="19" t="s">
        <v>4926</v>
      </c>
      <c r="D11270" s="19" t="s">
        <v>26678</v>
      </c>
      <c r="E11270" s="19" t="s">
        <v>34873</v>
      </c>
      <c r="F11270" s="19" t="s">
        <v>36012</v>
      </c>
      <c r="G11270" s="18" t="str">
        <f>"19095"</f>
        <v>19095</v>
      </c>
      <c r="H11270" s="19" t="s">
        <v>30833</v>
      </c>
      <c r="I11270" s="20">
        <v>17.838000000000001</v>
      </c>
      <c r="J11270" s="44" t="s">
        <v>8</v>
      </c>
      <c r="K11270" s="23" t="s">
        <v>8</v>
      </c>
      <c r="L11270" s="23" t="s">
        <v>8</v>
      </c>
      <c r="M11270" s="23" t="s">
        <v>8</v>
      </c>
    </row>
    <row r="11271" spans="1:13" s="21" customFormat="1" x14ac:dyDescent="0.25">
      <c r="A11271" s="22" t="s">
        <v>8</v>
      </c>
      <c r="B11271" s="18" t="str">
        <f>"395343"</f>
        <v>395343</v>
      </c>
      <c r="C11271" s="19" t="s">
        <v>11091</v>
      </c>
      <c r="D11271" s="19" t="s">
        <v>26679</v>
      </c>
      <c r="E11271" s="19" t="s">
        <v>34874</v>
      </c>
      <c r="F11271" s="19" t="s">
        <v>36012</v>
      </c>
      <c r="G11271" s="18" t="str">
        <f>"17067"</f>
        <v>17067</v>
      </c>
      <c r="H11271" s="19" t="s">
        <v>32035</v>
      </c>
      <c r="I11271" s="20">
        <v>18.196999999999999</v>
      </c>
      <c r="J11271" s="44" t="s">
        <v>8</v>
      </c>
      <c r="K11271" s="23" t="s">
        <v>8</v>
      </c>
      <c r="L11271" s="23" t="s">
        <v>8</v>
      </c>
      <c r="M11271" s="23" t="s">
        <v>8</v>
      </c>
    </row>
    <row r="11272" spans="1:13" s="21" customFormat="1" x14ac:dyDescent="0.25">
      <c r="A11272" s="22" t="s">
        <v>8</v>
      </c>
      <c r="B11272" s="18" t="str">
        <f>"395344"</f>
        <v>395344</v>
      </c>
      <c r="C11272" s="19" t="s">
        <v>11092</v>
      </c>
      <c r="D11272" s="19" t="s">
        <v>26680</v>
      </c>
      <c r="E11272" s="19" t="s">
        <v>34844</v>
      </c>
      <c r="F11272" s="19" t="s">
        <v>36012</v>
      </c>
      <c r="G11272" s="18" t="str">
        <f>"17901"</f>
        <v>17901</v>
      </c>
      <c r="H11272" s="19" t="s">
        <v>36737</v>
      </c>
      <c r="I11272" s="20">
        <v>20.695</v>
      </c>
      <c r="J11272" s="44" t="s">
        <v>8</v>
      </c>
      <c r="K11272" s="23" t="s">
        <v>8</v>
      </c>
      <c r="L11272" s="23" t="s">
        <v>8</v>
      </c>
      <c r="M11272" s="23" t="s">
        <v>8</v>
      </c>
    </row>
    <row r="11273" spans="1:13" s="21" customFormat="1" x14ac:dyDescent="0.25">
      <c r="A11273" s="22" t="s">
        <v>8</v>
      </c>
      <c r="B11273" s="18" t="str">
        <f>"395345"</f>
        <v>395345</v>
      </c>
      <c r="C11273" s="19" t="s">
        <v>11093</v>
      </c>
      <c r="D11273" s="19" t="s">
        <v>26681</v>
      </c>
      <c r="E11273" s="19" t="s">
        <v>33111</v>
      </c>
      <c r="F11273" s="19" t="s">
        <v>36012</v>
      </c>
      <c r="G11273" s="18" t="str">
        <f>"18704"</f>
        <v>18704</v>
      </c>
      <c r="H11273" s="19" t="s">
        <v>36735</v>
      </c>
      <c r="I11273" s="20">
        <v>17.759</v>
      </c>
      <c r="J11273" s="44" t="s">
        <v>8</v>
      </c>
      <c r="K11273" s="23" t="s">
        <v>8</v>
      </c>
      <c r="L11273" s="23" t="s">
        <v>8</v>
      </c>
      <c r="M11273" s="23" t="s">
        <v>8</v>
      </c>
    </row>
    <row r="11274" spans="1:13" s="21" customFormat="1" x14ac:dyDescent="0.25">
      <c r="A11274" s="22" t="s">
        <v>8</v>
      </c>
      <c r="B11274" s="18" t="str">
        <f>"395346"</f>
        <v>395346</v>
      </c>
      <c r="C11274" s="19" t="s">
        <v>11094</v>
      </c>
      <c r="D11274" s="19" t="s">
        <v>26682</v>
      </c>
      <c r="E11274" s="19" t="s">
        <v>34875</v>
      </c>
      <c r="F11274" s="19" t="s">
        <v>36012</v>
      </c>
      <c r="G11274" s="18" t="str">
        <f>"19401"</f>
        <v>19401</v>
      </c>
      <c r="H11274" s="19" t="s">
        <v>30833</v>
      </c>
      <c r="I11274" s="20">
        <v>19.311</v>
      </c>
      <c r="J11274" s="44" t="s">
        <v>8</v>
      </c>
      <c r="K11274" s="23" t="s">
        <v>8</v>
      </c>
      <c r="L11274" s="23" t="s">
        <v>8</v>
      </c>
      <c r="M11274" s="23" t="s">
        <v>8</v>
      </c>
    </row>
    <row r="11275" spans="1:13" s="21" customFormat="1" x14ac:dyDescent="0.25">
      <c r="A11275" s="22" t="s">
        <v>8</v>
      </c>
      <c r="B11275" s="18" t="str">
        <f>"395347"</f>
        <v>395347</v>
      </c>
      <c r="C11275" s="19" t="s">
        <v>11095</v>
      </c>
      <c r="D11275" s="19" t="s">
        <v>26683</v>
      </c>
      <c r="E11275" s="19" t="s">
        <v>31412</v>
      </c>
      <c r="F11275" s="19" t="s">
        <v>36012</v>
      </c>
      <c r="G11275" s="18" t="str">
        <f>"17057"</f>
        <v>17057</v>
      </c>
      <c r="H11275" s="19" t="s">
        <v>36733</v>
      </c>
      <c r="I11275" s="20">
        <v>18.355</v>
      </c>
      <c r="J11275" s="44" t="s">
        <v>8</v>
      </c>
      <c r="K11275" s="23" t="s">
        <v>8</v>
      </c>
      <c r="L11275" s="23" t="s">
        <v>8</v>
      </c>
      <c r="M11275" s="23" t="s">
        <v>8</v>
      </c>
    </row>
    <row r="11276" spans="1:13" s="21" customFormat="1" x14ac:dyDescent="0.25">
      <c r="A11276" s="22" t="s">
        <v>8</v>
      </c>
      <c r="B11276" s="18" t="str">
        <f>"395348"</f>
        <v>395348</v>
      </c>
      <c r="C11276" s="19" t="s">
        <v>11096</v>
      </c>
      <c r="D11276" s="19" t="s">
        <v>26684</v>
      </c>
      <c r="E11276" s="19" t="s">
        <v>34797</v>
      </c>
      <c r="F11276" s="19" t="s">
        <v>36012</v>
      </c>
      <c r="G11276" s="18" t="str">
        <f>"17201"</f>
        <v>17201</v>
      </c>
      <c r="H11276" s="19" t="s">
        <v>5</v>
      </c>
      <c r="I11276" s="20">
        <v>19.414999999999999</v>
      </c>
      <c r="J11276" s="44" t="s">
        <v>8</v>
      </c>
      <c r="K11276" s="23" t="s">
        <v>8</v>
      </c>
      <c r="L11276" s="23" t="s">
        <v>8</v>
      </c>
      <c r="M11276" s="23" t="s">
        <v>8</v>
      </c>
    </row>
    <row r="11277" spans="1:13" s="21" customFormat="1" x14ac:dyDescent="0.25">
      <c r="A11277" s="22" t="s">
        <v>8</v>
      </c>
      <c r="B11277" s="18" t="str">
        <f>"395349"</f>
        <v>395349</v>
      </c>
      <c r="C11277" s="19" t="s">
        <v>11097</v>
      </c>
      <c r="D11277" s="19" t="s">
        <v>26685</v>
      </c>
      <c r="E11277" s="19" t="s">
        <v>31184</v>
      </c>
      <c r="F11277" s="19" t="s">
        <v>36012</v>
      </c>
      <c r="G11277" s="18" t="str">
        <f>"17601"</f>
        <v>17601</v>
      </c>
      <c r="H11277" s="19" t="s">
        <v>31184</v>
      </c>
      <c r="I11277" s="20">
        <v>18.100999999999999</v>
      </c>
      <c r="J11277" s="44" t="s">
        <v>8</v>
      </c>
      <c r="K11277" s="23" t="s">
        <v>8</v>
      </c>
      <c r="L11277" s="23" t="s">
        <v>8</v>
      </c>
      <c r="M11277" s="23" t="s">
        <v>8</v>
      </c>
    </row>
    <row r="11278" spans="1:13" s="21" customFormat="1" x14ac:dyDescent="0.25">
      <c r="A11278" s="22" t="s">
        <v>8</v>
      </c>
      <c r="B11278" s="18" t="str">
        <f>"395350"</f>
        <v>395350</v>
      </c>
      <c r="C11278" s="19" t="s">
        <v>11098</v>
      </c>
      <c r="D11278" s="19" t="s">
        <v>26686</v>
      </c>
      <c r="E11278" s="19" t="s">
        <v>34876</v>
      </c>
      <c r="F11278" s="19" t="s">
        <v>36012</v>
      </c>
      <c r="G11278" s="18" t="str">
        <f>"17058"</f>
        <v>17058</v>
      </c>
      <c r="H11278" s="19" t="s">
        <v>36738</v>
      </c>
      <c r="I11278" s="20">
        <v>17.765000000000001</v>
      </c>
      <c r="J11278" s="44" t="s">
        <v>8</v>
      </c>
      <c r="K11278" s="23" t="s">
        <v>8</v>
      </c>
      <c r="L11278" s="23" t="s">
        <v>8</v>
      </c>
      <c r="M11278" s="23" t="s">
        <v>8</v>
      </c>
    </row>
    <row r="11279" spans="1:13" s="21" customFormat="1" x14ac:dyDescent="0.25">
      <c r="A11279" s="22" t="s">
        <v>8</v>
      </c>
      <c r="B11279" s="18" t="str">
        <f>"395351"</f>
        <v>395351</v>
      </c>
      <c r="C11279" s="19" t="s">
        <v>11099</v>
      </c>
      <c r="D11279" s="19" t="s">
        <v>26687</v>
      </c>
      <c r="E11279" s="19" t="s">
        <v>34837</v>
      </c>
      <c r="F11279" s="19" t="s">
        <v>36012</v>
      </c>
      <c r="G11279" s="18" t="str">
        <f>"19611"</f>
        <v>19611</v>
      </c>
      <c r="H11279" s="19" t="s">
        <v>36734</v>
      </c>
      <c r="I11279" s="20">
        <v>16.701000000000001</v>
      </c>
      <c r="J11279" s="44" t="s">
        <v>8</v>
      </c>
      <c r="K11279" s="23" t="s">
        <v>8</v>
      </c>
      <c r="L11279" s="23" t="s">
        <v>8</v>
      </c>
      <c r="M11279" s="23" t="s">
        <v>8</v>
      </c>
    </row>
    <row r="11280" spans="1:13" s="21" customFormat="1" x14ac:dyDescent="0.25">
      <c r="A11280" s="22" t="s">
        <v>8</v>
      </c>
      <c r="B11280" s="18" t="str">
        <f>"395352"</f>
        <v>395352</v>
      </c>
      <c r="C11280" s="19" t="s">
        <v>11100</v>
      </c>
      <c r="D11280" s="19" t="s">
        <v>26688</v>
      </c>
      <c r="E11280" s="19" t="s">
        <v>34865</v>
      </c>
      <c r="F11280" s="19" t="s">
        <v>36012</v>
      </c>
      <c r="G11280" s="18" t="str">
        <f>"16901"</f>
        <v>16901</v>
      </c>
      <c r="H11280" s="19" t="s">
        <v>34367</v>
      </c>
      <c r="I11280" s="20">
        <v>17.225000000000001</v>
      </c>
      <c r="J11280" s="44" t="s">
        <v>8</v>
      </c>
      <c r="K11280" s="23" t="s">
        <v>8</v>
      </c>
      <c r="L11280" s="23" t="s">
        <v>8</v>
      </c>
      <c r="M11280" s="23" t="s">
        <v>8</v>
      </c>
    </row>
    <row r="11281" spans="1:13" s="21" customFormat="1" x14ac:dyDescent="0.25">
      <c r="A11281" s="22" t="s">
        <v>8</v>
      </c>
      <c r="B11281" s="18" t="str">
        <f>"395354"</f>
        <v>395354</v>
      </c>
      <c r="C11281" s="19" t="s">
        <v>11101</v>
      </c>
      <c r="D11281" s="19" t="s">
        <v>26689</v>
      </c>
      <c r="E11281" s="19" t="s">
        <v>34877</v>
      </c>
      <c r="F11281" s="19" t="s">
        <v>36012</v>
      </c>
      <c r="G11281" s="18" t="str">
        <f>"19477"</f>
        <v>19477</v>
      </c>
      <c r="H11281" s="19" t="s">
        <v>30833</v>
      </c>
      <c r="I11281" s="20">
        <v>21.835000000000001</v>
      </c>
      <c r="J11281" s="44" t="s">
        <v>8</v>
      </c>
      <c r="K11281" s="23" t="s">
        <v>8</v>
      </c>
      <c r="L11281" s="23" t="s">
        <v>8</v>
      </c>
      <c r="M11281" s="23" t="s">
        <v>8</v>
      </c>
    </row>
    <row r="11282" spans="1:13" s="21" customFormat="1" x14ac:dyDescent="0.25">
      <c r="A11282" s="22" t="s">
        <v>8</v>
      </c>
      <c r="B11282" s="18" t="str">
        <f>"395355"</f>
        <v>395355</v>
      </c>
      <c r="C11282" s="19" t="s">
        <v>11102</v>
      </c>
      <c r="D11282" s="19" t="s">
        <v>23523</v>
      </c>
      <c r="E11282" s="19" t="s">
        <v>34878</v>
      </c>
      <c r="F11282" s="19" t="s">
        <v>36012</v>
      </c>
      <c r="G11282" s="18" t="str">
        <f>"16701"</f>
        <v>16701</v>
      </c>
      <c r="H11282" s="19" t="s">
        <v>36727</v>
      </c>
      <c r="I11282" s="20">
        <v>17.663</v>
      </c>
      <c r="J11282" s="44" t="s">
        <v>8</v>
      </c>
      <c r="K11282" s="23" t="s">
        <v>8</v>
      </c>
      <c r="L11282" s="23" t="s">
        <v>8</v>
      </c>
      <c r="M11282" s="23" t="s">
        <v>8</v>
      </c>
    </row>
    <row r="11283" spans="1:13" s="21" customFormat="1" x14ac:dyDescent="0.25">
      <c r="A11283" s="22" t="s">
        <v>8</v>
      </c>
      <c r="B11283" s="18" t="str">
        <f>"395356"</f>
        <v>395356</v>
      </c>
      <c r="C11283" s="19" t="s">
        <v>11103</v>
      </c>
      <c r="D11283" s="19" t="s">
        <v>26690</v>
      </c>
      <c r="E11283" s="19" t="s">
        <v>34879</v>
      </c>
      <c r="F11283" s="19" t="s">
        <v>36012</v>
      </c>
      <c r="G11283" s="18" t="str">
        <f>"15834"</f>
        <v>15834</v>
      </c>
      <c r="H11283" s="19" t="s">
        <v>33578</v>
      </c>
      <c r="I11283" s="20">
        <v>18.771000000000001</v>
      </c>
      <c r="J11283" s="44" t="s">
        <v>8</v>
      </c>
      <c r="K11283" s="23" t="s">
        <v>8</v>
      </c>
      <c r="L11283" s="23" t="s">
        <v>8</v>
      </c>
      <c r="M11283" s="23" t="s">
        <v>8</v>
      </c>
    </row>
    <row r="11284" spans="1:13" s="21" customFormat="1" x14ac:dyDescent="0.25">
      <c r="A11284" s="22" t="s">
        <v>8</v>
      </c>
      <c r="B11284" s="18" t="str">
        <f>"395357"</f>
        <v>395357</v>
      </c>
      <c r="C11284" s="19" t="s">
        <v>11104</v>
      </c>
      <c r="D11284" s="19" t="s">
        <v>26691</v>
      </c>
      <c r="E11284" s="19" t="s">
        <v>34789</v>
      </c>
      <c r="F11284" s="19" t="s">
        <v>36012</v>
      </c>
      <c r="G11284" s="18" t="str">
        <f>"18431"</f>
        <v>18431</v>
      </c>
      <c r="H11284" s="19" t="s">
        <v>33280</v>
      </c>
      <c r="I11284" s="20">
        <v>19.579999999999998</v>
      </c>
      <c r="J11284" s="44" t="s">
        <v>8</v>
      </c>
      <c r="K11284" s="23" t="s">
        <v>8</v>
      </c>
      <c r="L11284" s="23" t="s">
        <v>8</v>
      </c>
      <c r="M11284" s="23" t="s">
        <v>8</v>
      </c>
    </row>
    <row r="11285" spans="1:13" s="21" customFormat="1" x14ac:dyDescent="0.25">
      <c r="A11285" s="22" t="s">
        <v>8</v>
      </c>
      <c r="B11285" s="18" t="str">
        <f>"395359"</f>
        <v>395359</v>
      </c>
      <c r="C11285" s="19" t="s">
        <v>11105</v>
      </c>
      <c r="D11285" s="19" t="s">
        <v>26692</v>
      </c>
      <c r="E11285" s="19" t="s">
        <v>34880</v>
      </c>
      <c r="F11285" s="19" t="s">
        <v>36012</v>
      </c>
      <c r="G11285" s="18" t="str">
        <f>"17740"</f>
        <v>17740</v>
      </c>
      <c r="H11285" s="19" t="s">
        <v>36739</v>
      </c>
      <c r="I11285" s="20">
        <v>20.398</v>
      </c>
      <c r="J11285" s="44" t="s">
        <v>8</v>
      </c>
      <c r="K11285" s="23" t="s">
        <v>8</v>
      </c>
      <c r="L11285" s="23" t="s">
        <v>8</v>
      </c>
      <c r="M11285" s="23" t="s">
        <v>8</v>
      </c>
    </row>
    <row r="11286" spans="1:13" s="21" customFormat="1" x14ac:dyDescent="0.25">
      <c r="A11286" s="22" t="s">
        <v>8</v>
      </c>
      <c r="B11286" s="18" t="str">
        <f>"395360"</f>
        <v>395360</v>
      </c>
      <c r="C11286" s="19" t="s">
        <v>11106</v>
      </c>
      <c r="D11286" s="19" t="s">
        <v>26693</v>
      </c>
      <c r="E11286" s="19" t="s">
        <v>33514</v>
      </c>
      <c r="F11286" s="19" t="s">
        <v>36012</v>
      </c>
      <c r="G11286" s="18" t="str">
        <f>"19119"</f>
        <v>19119</v>
      </c>
      <c r="H11286" s="19" t="s">
        <v>33514</v>
      </c>
      <c r="I11286" s="20">
        <v>20.617000000000001</v>
      </c>
      <c r="J11286" s="44" t="s">
        <v>8</v>
      </c>
      <c r="K11286" s="23" t="s">
        <v>8</v>
      </c>
      <c r="L11286" s="23" t="s">
        <v>8</v>
      </c>
      <c r="M11286" s="23" t="s">
        <v>8</v>
      </c>
    </row>
    <row r="11287" spans="1:13" s="21" customFormat="1" x14ac:dyDescent="0.25">
      <c r="A11287" s="22" t="s">
        <v>8</v>
      </c>
      <c r="B11287" s="18" t="str">
        <f>"395361"</f>
        <v>395361</v>
      </c>
      <c r="C11287" s="19" t="s">
        <v>11107</v>
      </c>
      <c r="D11287" s="19" t="s">
        <v>26694</v>
      </c>
      <c r="E11287" s="19" t="s">
        <v>32189</v>
      </c>
      <c r="F11287" s="19" t="s">
        <v>36012</v>
      </c>
      <c r="G11287" s="18" t="str">
        <f>"16417"</f>
        <v>16417</v>
      </c>
      <c r="H11287" s="19" t="s">
        <v>34805</v>
      </c>
      <c r="I11287" s="20">
        <v>19.181000000000001</v>
      </c>
      <c r="J11287" s="44" t="s">
        <v>8</v>
      </c>
      <c r="K11287" s="23" t="s">
        <v>8</v>
      </c>
      <c r="L11287" s="23" t="s">
        <v>8</v>
      </c>
      <c r="M11287" s="23" t="s">
        <v>8</v>
      </c>
    </row>
    <row r="11288" spans="1:13" s="21" customFormat="1" x14ac:dyDescent="0.25">
      <c r="A11288" s="22" t="s">
        <v>8</v>
      </c>
      <c r="B11288" s="18" t="str">
        <f>"395363"</f>
        <v>395363</v>
      </c>
      <c r="C11288" s="19" t="s">
        <v>11108</v>
      </c>
      <c r="D11288" s="19" t="s">
        <v>26695</v>
      </c>
      <c r="E11288" s="19" t="s">
        <v>31025</v>
      </c>
      <c r="F11288" s="19" t="s">
        <v>36012</v>
      </c>
      <c r="G11288" s="18" t="str">
        <f>"16365"</f>
        <v>16365</v>
      </c>
      <c r="H11288" s="19" t="s">
        <v>31025</v>
      </c>
      <c r="I11288" s="20">
        <v>19.576000000000001</v>
      </c>
      <c r="J11288" s="44" t="s">
        <v>8</v>
      </c>
      <c r="K11288" s="23" t="s">
        <v>8</v>
      </c>
      <c r="L11288" s="23" t="s">
        <v>8</v>
      </c>
      <c r="M11288" s="23" t="s">
        <v>8</v>
      </c>
    </row>
    <row r="11289" spans="1:13" s="21" customFormat="1" x14ac:dyDescent="0.25">
      <c r="A11289" s="22" t="s">
        <v>8</v>
      </c>
      <c r="B11289" s="18" t="str">
        <f>"395364"</f>
        <v>395364</v>
      </c>
      <c r="C11289" s="19" t="s">
        <v>11109</v>
      </c>
      <c r="D11289" s="19" t="s">
        <v>26696</v>
      </c>
      <c r="E11289" s="19" t="s">
        <v>32298</v>
      </c>
      <c r="F11289" s="19" t="s">
        <v>36012</v>
      </c>
      <c r="G11289" s="18" t="str">
        <f>"17701"</f>
        <v>17701</v>
      </c>
      <c r="H11289" s="19" t="s">
        <v>36739</v>
      </c>
      <c r="I11289" s="20">
        <v>18.568000000000001</v>
      </c>
      <c r="J11289" s="44" t="s">
        <v>8</v>
      </c>
      <c r="K11289" s="23" t="s">
        <v>8</v>
      </c>
      <c r="L11289" s="23" t="s">
        <v>8</v>
      </c>
      <c r="M11289" s="23" t="s">
        <v>8</v>
      </c>
    </row>
    <row r="11290" spans="1:13" s="21" customFormat="1" x14ac:dyDescent="0.25">
      <c r="A11290" s="22" t="s">
        <v>8</v>
      </c>
      <c r="B11290" s="18" t="str">
        <f>"395365"</f>
        <v>395365</v>
      </c>
      <c r="C11290" s="19" t="s">
        <v>11110</v>
      </c>
      <c r="D11290" s="19" t="s">
        <v>26697</v>
      </c>
      <c r="E11290" s="19" t="s">
        <v>32035</v>
      </c>
      <c r="F11290" s="19" t="s">
        <v>36012</v>
      </c>
      <c r="G11290" s="18" t="str">
        <f>"17042"</f>
        <v>17042</v>
      </c>
      <c r="H11290" s="19" t="s">
        <v>32035</v>
      </c>
      <c r="I11290" s="20">
        <v>17.2</v>
      </c>
      <c r="J11290" s="44" t="s">
        <v>8</v>
      </c>
      <c r="K11290" s="23" t="s">
        <v>8</v>
      </c>
      <c r="L11290" s="23" t="s">
        <v>8</v>
      </c>
      <c r="M11290" s="23" t="s">
        <v>8</v>
      </c>
    </row>
    <row r="11291" spans="1:13" s="21" customFormat="1" x14ac:dyDescent="0.25">
      <c r="A11291" s="22" t="s">
        <v>8</v>
      </c>
      <c r="B11291" s="18" t="str">
        <f>"395366"</f>
        <v>395366</v>
      </c>
      <c r="C11291" s="19" t="s">
        <v>11111</v>
      </c>
      <c r="D11291" s="19" t="s">
        <v>26698</v>
      </c>
      <c r="E11291" s="19" t="s">
        <v>34520</v>
      </c>
      <c r="F11291" s="19" t="s">
        <v>36012</v>
      </c>
      <c r="G11291" s="18" t="str">
        <f>"18901"</f>
        <v>18901</v>
      </c>
      <c r="H11291" s="19" t="s">
        <v>36729</v>
      </c>
      <c r="I11291" s="20">
        <v>23.373000000000001</v>
      </c>
      <c r="J11291" s="44" t="s">
        <v>8</v>
      </c>
      <c r="K11291" s="23" t="s">
        <v>8</v>
      </c>
      <c r="L11291" s="23" t="s">
        <v>8</v>
      </c>
      <c r="M11291" s="23" t="s">
        <v>8</v>
      </c>
    </row>
    <row r="11292" spans="1:13" s="21" customFormat="1" x14ac:dyDescent="0.25">
      <c r="A11292" s="22" t="s">
        <v>8</v>
      </c>
      <c r="B11292" s="18" t="str">
        <f>"395367"</f>
        <v>395367</v>
      </c>
      <c r="C11292" s="19" t="s">
        <v>11112</v>
      </c>
      <c r="D11292" s="19" t="s">
        <v>26699</v>
      </c>
      <c r="E11292" s="19" t="s">
        <v>30861</v>
      </c>
      <c r="F11292" s="19" t="s">
        <v>36012</v>
      </c>
      <c r="G11292" s="18" t="str">
        <f>"19363"</f>
        <v>19363</v>
      </c>
      <c r="H11292" s="19" t="s">
        <v>31396</v>
      </c>
      <c r="I11292" s="20">
        <v>22.523</v>
      </c>
      <c r="J11292" s="44" t="s">
        <v>8</v>
      </c>
      <c r="K11292" s="23" t="s">
        <v>8</v>
      </c>
      <c r="L11292" s="23" t="s">
        <v>8</v>
      </c>
      <c r="M11292" s="23" t="s">
        <v>8</v>
      </c>
    </row>
    <row r="11293" spans="1:13" s="21" customFormat="1" x14ac:dyDescent="0.25">
      <c r="A11293" s="22" t="s">
        <v>8</v>
      </c>
      <c r="B11293" s="18" t="str">
        <f>"395370"</f>
        <v>395370</v>
      </c>
      <c r="C11293" s="19" t="s">
        <v>11113</v>
      </c>
      <c r="D11293" s="19" t="s">
        <v>26700</v>
      </c>
      <c r="E11293" s="19" t="s">
        <v>34881</v>
      </c>
      <c r="F11293" s="19" t="s">
        <v>36012</v>
      </c>
      <c r="G11293" s="18" t="str">
        <f>"19040"</f>
        <v>19040</v>
      </c>
      <c r="H11293" s="19" t="s">
        <v>30833</v>
      </c>
      <c r="I11293" s="20">
        <v>20.978000000000002</v>
      </c>
      <c r="J11293" s="44" t="s">
        <v>8</v>
      </c>
      <c r="K11293" s="23" t="s">
        <v>8</v>
      </c>
      <c r="L11293" s="23" t="s">
        <v>8</v>
      </c>
      <c r="M11293" s="23" t="s">
        <v>8</v>
      </c>
    </row>
    <row r="11294" spans="1:13" s="21" customFormat="1" x14ac:dyDescent="0.25">
      <c r="A11294" s="22" t="s">
        <v>8</v>
      </c>
      <c r="B11294" s="18" t="str">
        <f>"395371"</f>
        <v>395371</v>
      </c>
      <c r="C11294" s="19" t="s">
        <v>11114</v>
      </c>
      <c r="D11294" s="19" t="s">
        <v>26701</v>
      </c>
      <c r="E11294" s="19" t="s">
        <v>34882</v>
      </c>
      <c r="F11294" s="19" t="s">
        <v>36012</v>
      </c>
      <c r="G11294" s="18" t="str">
        <f>"15613"</f>
        <v>15613</v>
      </c>
      <c r="H11294" s="19" t="s">
        <v>32652</v>
      </c>
      <c r="I11294" s="20">
        <v>17.821000000000002</v>
      </c>
      <c r="J11294" s="44" t="s">
        <v>8</v>
      </c>
      <c r="K11294" s="23" t="s">
        <v>8</v>
      </c>
      <c r="L11294" s="23" t="s">
        <v>8</v>
      </c>
      <c r="M11294" s="23" t="s">
        <v>8</v>
      </c>
    </row>
    <row r="11295" spans="1:13" s="21" customFormat="1" x14ac:dyDescent="0.25">
      <c r="A11295" s="22" t="s">
        <v>8</v>
      </c>
      <c r="B11295" s="18" t="str">
        <f>"395372"</f>
        <v>395372</v>
      </c>
      <c r="C11295" s="19" t="s">
        <v>11115</v>
      </c>
      <c r="D11295" s="19" t="s">
        <v>26702</v>
      </c>
      <c r="E11295" s="19" t="s">
        <v>31073</v>
      </c>
      <c r="F11295" s="19" t="s">
        <v>36012</v>
      </c>
      <c r="G11295" s="18" t="str">
        <f>"17112"</f>
        <v>17112</v>
      </c>
      <c r="H11295" s="19" t="s">
        <v>36733</v>
      </c>
      <c r="I11295" s="20">
        <v>19.323</v>
      </c>
      <c r="J11295" s="44" t="s">
        <v>8</v>
      </c>
      <c r="K11295" s="23" t="s">
        <v>8</v>
      </c>
      <c r="L11295" s="23" t="s">
        <v>8</v>
      </c>
      <c r="M11295" s="23" t="s">
        <v>8</v>
      </c>
    </row>
    <row r="11296" spans="1:13" s="21" customFormat="1" x14ac:dyDescent="0.25">
      <c r="A11296" s="22" t="s">
        <v>8</v>
      </c>
      <c r="B11296" s="18" t="str">
        <f>"395373"</f>
        <v>395373</v>
      </c>
      <c r="C11296" s="19" t="s">
        <v>11116</v>
      </c>
      <c r="D11296" s="19" t="s">
        <v>26703</v>
      </c>
      <c r="E11296" s="19" t="s">
        <v>32120</v>
      </c>
      <c r="F11296" s="19" t="s">
        <v>36012</v>
      </c>
      <c r="G11296" s="18" t="str">
        <f>"17044"</f>
        <v>17044</v>
      </c>
      <c r="H11296" s="19" t="s">
        <v>34876</v>
      </c>
      <c r="I11296" s="20">
        <v>21.236000000000001</v>
      </c>
      <c r="J11296" s="44" t="s">
        <v>8</v>
      </c>
      <c r="K11296" s="23" t="s">
        <v>8</v>
      </c>
      <c r="L11296" s="23" t="s">
        <v>8</v>
      </c>
      <c r="M11296" s="23" t="s">
        <v>8</v>
      </c>
    </row>
    <row r="11297" spans="1:13" s="21" customFormat="1" x14ac:dyDescent="0.25">
      <c r="A11297" s="22" t="s">
        <v>8</v>
      </c>
      <c r="B11297" s="18" t="str">
        <f>"395374"</f>
        <v>395374</v>
      </c>
      <c r="C11297" s="19" t="s">
        <v>11117</v>
      </c>
      <c r="D11297" s="19" t="s">
        <v>26704</v>
      </c>
      <c r="E11297" s="19" t="s">
        <v>34883</v>
      </c>
      <c r="F11297" s="19" t="s">
        <v>36012</v>
      </c>
      <c r="G11297" s="18" t="str">
        <f>"19050"</f>
        <v>19050</v>
      </c>
      <c r="H11297" s="19" t="s">
        <v>34462</v>
      </c>
      <c r="I11297" s="20">
        <v>18.613</v>
      </c>
      <c r="J11297" s="44" t="s">
        <v>8</v>
      </c>
      <c r="K11297" s="23" t="s">
        <v>8</v>
      </c>
      <c r="L11297" s="23" t="s">
        <v>8</v>
      </c>
      <c r="M11297" s="23" t="s">
        <v>8</v>
      </c>
    </row>
    <row r="11298" spans="1:13" s="21" customFormat="1" x14ac:dyDescent="0.25">
      <c r="A11298" s="22" t="s">
        <v>8</v>
      </c>
      <c r="B11298" s="18" t="str">
        <f>"395375"</f>
        <v>395375</v>
      </c>
      <c r="C11298" s="19" t="s">
        <v>11118</v>
      </c>
      <c r="D11298" s="19" t="s">
        <v>26705</v>
      </c>
      <c r="E11298" s="19" t="s">
        <v>34884</v>
      </c>
      <c r="F11298" s="19" t="s">
        <v>36012</v>
      </c>
      <c r="G11298" s="18" t="str">
        <f>"17241"</f>
        <v>17241</v>
      </c>
      <c r="H11298" s="19" t="s">
        <v>32766</v>
      </c>
      <c r="I11298" s="20">
        <v>18.315999999999999</v>
      </c>
      <c r="J11298" s="44" t="s">
        <v>8</v>
      </c>
      <c r="K11298" s="23" t="s">
        <v>8</v>
      </c>
      <c r="L11298" s="23" t="s">
        <v>8</v>
      </c>
      <c r="M11298" s="23" t="s">
        <v>8</v>
      </c>
    </row>
    <row r="11299" spans="1:13" s="21" customFormat="1" x14ac:dyDescent="0.25">
      <c r="A11299" s="22" t="s">
        <v>8</v>
      </c>
      <c r="B11299" s="18" t="str">
        <f>"395378"</f>
        <v>395378</v>
      </c>
      <c r="C11299" s="19" t="s">
        <v>11119</v>
      </c>
      <c r="D11299" s="19" t="s">
        <v>26706</v>
      </c>
      <c r="E11299" s="19" t="s">
        <v>31701</v>
      </c>
      <c r="F11299" s="19" t="s">
        <v>36012</v>
      </c>
      <c r="G11299" s="18" t="str">
        <f>"17268"</f>
        <v>17268</v>
      </c>
      <c r="H11299" s="19" t="s">
        <v>5</v>
      </c>
      <c r="I11299" s="20">
        <v>17.175999999999998</v>
      </c>
      <c r="J11299" s="44" t="s">
        <v>8</v>
      </c>
      <c r="K11299" s="23" t="s">
        <v>8</v>
      </c>
      <c r="L11299" s="23" t="s">
        <v>8</v>
      </c>
      <c r="M11299" s="23" t="s">
        <v>8</v>
      </c>
    </row>
    <row r="11300" spans="1:13" s="21" customFormat="1" x14ac:dyDescent="0.25">
      <c r="A11300" s="22" t="s">
        <v>8</v>
      </c>
      <c r="B11300" s="18" t="str">
        <f>"395379"</f>
        <v>395379</v>
      </c>
      <c r="C11300" s="19" t="s">
        <v>11120</v>
      </c>
      <c r="D11300" s="19" t="s">
        <v>26707</v>
      </c>
      <c r="E11300" s="19" t="s">
        <v>34885</v>
      </c>
      <c r="F11300" s="19" t="s">
        <v>36012</v>
      </c>
      <c r="G11300" s="18" t="str">
        <f>"17754"</f>
        <v>17754</v>
      </c>
      <c r="H11300" s="19" t="s">
        <v>36739</v>
      </c>
      <c r="I11300" s="20">
        <v>15.7</v>
      </c>
      <c r="J11300" s="44" t="s">
        <v>8</v>
      </c>
      <c r="K11300" s="23" t="s">
        <v>8</v>
      </c>
      <c r="L11300" s="23" t="s">
        <v>8</v>
      </c>
      <c r="M11300" s="23" t="s">
        <v>8</v>
      </c>
    </row>
    <row r="11301" spans="1:13" s="21" customFormat="1" x14ac:dyDescent="0.25">
      <c r="A11301" s="22" t="s">
        <v>8</v>
      </c>
      <c r="B11301" s="18" t="str">
        <f>"395380"</f>
        <v>395380</v>
      </c>
      <c r="C11301" s="19" t="s">
        <v>11121</v>
      </c>
      <c r="D11301" s="19" t="s">
        <v>26708</v>
      </c>
      <c r="E11301" s="19" t="s">
        <v>34662</v>
      </c>
      <c r="F11301" s="19" t="s">
        <v>36012</v>
      </c>
      <c r="G11301" s="18" t="str">
        <f>"19096"</f>
        <v>19096</v>
      </c>
      <c r="H11301" s="19" t="s">
        <v>30833</v>
      </c>
      <c r="I11301" s="20">
        <v>16.765999999999998</v>
      </c>
      <c r="J11301" s="44" t="s">
        <v>8</v>
      </c>
      <c r="K11301" s="23" t="s">
        <v>8</v>
      </c>
      <c r="L11301" s="23" t="s">
        <v>8</v>
      </c>
      <c r="M11301" s="23" t="s">
        <v>8</v>
      </c>
    </row>
    <row r="11302" spans="1:13" s="21" customFormat="1" x14ac:dyDescent="0.25">
      <c r="A11302" s="22" t="s">
        <v>8</v>
      </c>
      <c r="B11302" s="18" t="str">
        <f>"395381"</f>
        <v>395381</v>
      </c>
      <c r="C11302" s="19" t="s">
        <v>11122</v>
      </c>
      <c r="D11302" s="19" t="s">
        <v>26709</v>
      </c>
      <c r="E11302" s="19" t="s">
        <v>34886</v>
      </c>
      <c r="F11302" s="19" t="s">
        <v>36012</v>
      </c>
      <c r="G11302" s="18" t="str">
        <f>"16059"</f>
        <v>16059</v>
      </c>
      <c r="H11302" s="19" t="s">
        <v>30876</v>
      </c>
      <c r="I11302" s="20">
        <v>17.652000000000001</v>
      </c>
      <c r="J11302" s="44" t="s">
        <v>8</v>
      </c>
      <c r="K11302" s="23" t="s">
        <v>8</v>
      </c>
      <c r="L11302" s="23" t="s">
        <v>8</v>
      </c>
      <c r="M11302" s="23" t="s">
        <v>8</v>
      </c>
    </row>
    <row r="11303" spans="1:13" s="21" customFormat="1" x14ac:dyDescent="0.25">
      <c r="A11303" s="22" t="s">
        <v>8</v>
      </c>
      <c r="B11303" s="18" t="str">
        <f>"395382"</f>
        <v>395382</v>
      </c>
      <c r="C11303" s="19" t="s">
        <v>11123</v>
      </c>
      <c r="D11303" s="19" t="s">
        <v>26710</v>
      </c>
      <c r="E11303" s="19" t="s">
        <v>34887</v>
      </c>
      <c r="F11303" s="19" t="s">
        <v>36012</v>
      </c>
      <c r="G11303" s="18" t="str">
        <f>"15642"</f>
        <v>15642</v>
      </c>
      <c r="H11303" s="19" t="s">
        <v>32652</v>
      </c>
      <c r="I11303" s="20">
        <v>16.792999999999999</v>
      </c>
      <c r="J11303" s="44" t="s">
        <v>8</v>
      </c>
      <c r="K11303" s="23" t="s">
        <v>8</v>
      </c>
      <c r="L11303" s="23" t="s">
        <v>8</v>
      </c>
      <c r="M11303" s="23" t="s">
        <v>8</v>
      </c>
    </row>
    <row r="11304" spans="1:13" s="21" customFormat="1" x14ac:dyDescent="0.25">
      <c r="A11304" s="22" t="s">
        <v>8</v>
      </c>
      <c r="B11304" s="18" t="str">
        <f>"395384"</f>
        <v>395384</v>
      </c>
      <c r="C11304" s="19" t="s">
        <v>11124</v>
      </c>
      <c r="D11304" s="19" t="s">
        <v>26711</v>
      </c>
      <c r="E11304" s="19" t="s">
        <v>34575</v>
      </c>
      <c r="F11304" s="19" t="s">
        <v>36012</v>
      </c>
      <c r="G11304" s="18" t="str">
        <f>"19382"</f>
        <v>19382</v>
      </c>
      <c r="H11304" s="19" t="s">
        <v>31396</v>
      </c>
      <c r="I11304" s="20">
        <v>17.846</v>
      </c>
      <c r="J11304" s="44" t="s">
        <v>8</v>
      </c>
      <c r="K11304" s="23" t="s">
        <v>8</v>
      </c>
      <c r="L11304" s="23" t="s">
        <v>8</v>
      </c>
      <c r="M11304" s="23" t="s">
        <v>8</v>
      </c>
    </row>
    <row r="11305" spans="1:13" s="21" customFormat="1" x14ac:dyDescent="0.25">
      <c r="A11305" s="22" t="s">
        <v>8</v>
      </c>
      <c r="B11305" s="18" t="str">
        <f>"395386"</f>
        <v>395386</v>
      </c>
      <c r="C11305" s="19" t="s">
        <v>11125</v>
      </c>
      <c r="D11305" s="19" t="s">
        <v>26712</v>
      </c>
      <c r="E11305" s="19" t="s">
        <v>34888</v>
      </c>
      <c r="F11305" s="19" t="s">
        <v>36012</v>
      </c>
      <c r="G11305" s="18" t="str">
        <f>"17055"</f>
        <v>17055</v>
      </c>
      <c r="H11305" s="19" t="s">
        <v>32766</v>
      </c>
      <c r="I11305" s="20">
        <v>16.655999999999999</v>
      </c>
      <c r="J11305" s="44" t="s">
        <v>8</v>
      </c>
      <c r="K11305" s="23" t="s">
        <v>8</v>
      </c>
      <c r="L11305" s="23" t="s">
        <v>8</v>
      </c>
      <c r="M11305" s="23" t="s">
        <v>8</v>
      </c>
    </row>
    <row r="11306" spans="1:13" s="21" customFormat="1" x14ac:dyDescent="0.25">
      <c r="A11306" s="22" t="s">
        <v>8</v>
      </c>
      <c r="B11306" s="18" t="str">
        <f>"395387"</f>
        <v>395387</v>
      </c>
      <c r="C11306" s="19" t="s">
        <v>11126</v>
      </c>
      <c r="D11306" s="19" t="s">
        <v>26713</v>
      </c>
      <c r="E11306" s="19" t="s">
        <v>34889</v>
      </c>
      <c r="F11306" s="19" t="s">
        <v>36012</v>
      </c>
      <c r="G11306" s="18" t="str">
        <f>"17233"</f>
        <v>17233</v>
      </c>
      <c r="H11306" s="19" t="s">
        <v>32194</v>
      </c>
      <c r="I11306" s="20">
        <v>17.527999999999999</v>
      </c>
      <c r="J11306" s="44" t="s">
        <v>8</v>
      </c>
      <c r="K11306" s="23" t="s">
        <v>8</v>
      </c>
      <c r="L11306" s="23" t="s">
        <v>8</v>
      </c>
      <c r="M11306" s="23" t="s">
        <v>8</v>
      </c>
    </row>
    <row r="11307" spans="1:13" s="21" customFormat="1" x14ac:dyDescent="0.25">
      <c r="A11307" s="22" t="s">
        <v>8</v>
      </c>
      <c r="B11307" s="18" t="str">
        <f>"395388"</f>
        <v>395388</v>
      </c>
      <c r="C11307" s="19" t="s">
        <v>11127</v>
      </c>
      <c r="D11307" s="19" t="s">
        <v>26714</v>
      </c>
      <c r="E11307" s="19" t="s">
        <v>34862</v>
      </c>
      <c r="F11307" s="19" t="s">
        <v>36012</v>
      </c>
      <c r="G11307" s="18" t="str">
        <f>"19348"</f>
        <v>19348</v>
      </c>
      <c r="H11307" s="19" t="s">
        <v>31396</v>
      </c>
      <c r="I11307" s="20">
        <v>18.355</v>
      </c>
      <c r="J11307" s="44" t="s">
        <v>8</v>
      </c>
      <c r="K11307" s="23" t="s">
        <v>8</v>
      </c>
      <c r="L11307" s="23" t="s">
        <v>8</v>
      </c>
      <c r="M11307" s="23" t="s">
        <v>8</v>
      </c>
    </row>
    <row r="11308" spans="1:13" s="21" customFormat="1" x14ac:dyDescent="0.25">
      <c r="A11308" s="22" t="s">
        <v>8</v>
      </c>
      <c r="B11308" s="18" t="str">
        <f>"395390"</f>
        <v>395390</v>
      </c>
      <c r="C11308" s="19" t="s">
        <v>11128</v>
      </c>
      <c r="D11308" s="19" t="s">
        <v>26715</v>
      </c>
      <c r="E11308" s="19" t="s">
        <v>34890</v>
      </c>
      <c r="F11308" s="19" t="s">
        <v>36012</v>
      </c>
      <c r="G11308" s="18" t="str">
        <f>"17857"</f>
        <v>17857</v>
      </c>
      <c r="H11308" s="19" t="s">
        <v>34890</v>
      </c>
      <c r="I11308" s="20">
        <v>16.757999999999999</v>
      </c>
      <c r="J11308" s="44" t="s">
        <v>8</v>
      </c>
      <c r="K11308" s="23" t="s">
        <v>8</v>
      </c>
      <c r="L11308" s="23" t="s">
        <v>8</v>
      </c>
      <c r="M11308" s="23" t="s">
        <v>8</v>
      </c>
    </row>
    <row r="11309" spans="1:13" s="21" customFormat="1" x14ac:dyDescent="0.25">
      <c r="A11309" s="22" t="s">
        <v>8</v>
      </c>
      <c r="B11309" s="18" t="str">
        <f>"395391"</f>
        <v>395391</v>
      </c>
      <c r="C11309" s="19" t="s">
        <v>11129</v>
      </c>
      <c r="D11309" s="19" t="s">
        <v>26716</v>
      </c>
      <c r="E11309" s="19" t="s">
        <v>34801</v>
      </c>
      <c r="F11309" s="19" t="s">
        <v>36012</v>
      </c>
      <c r="G11309" s="18" t="str">
        <f>"15243"</f>
        <v>15243</v>
      </c>
      <c r="H11309" s="19" t="s">
        <v>36730</v>
      </c>
      <c r="I11309" s="20">
        <v>21.143999999999998</v>
      </c>
      <c r="J11309" s="44" t="s">
        <v>8</v>
      </c>
      <c r="K11309" s="23" t="s">
        <v>8</v>
      </c>
      <c r="L11309" s="23" t="s">
        <v>8</v>
      </c>
      <c r="M11309" s="23" t="s">
        <v>8</v>
      </c>
    </row>
    <row r="11310" spans="1:13" s="21" customFormat="1" x14ac:dyDescent="0.25">
      <c r="A11310" s="22" t="s">
        <v>8</v>
      </c>
      <c r="B11310" s="18" t="str">
        <f>"395393"</f>
        <v>395393</v>
      </c>
      <c r="C11310" s="19" t="s">
        <v>11130</v>
      </c>
      <c r="D11310" s="19" t="s">
        <v>26717</v>
      </c>
      <c r="E11310" s="19" t="s">
        <v>34891</v>
      </c>
      <c r="F11310" s="19" t="s">
        <v>36012</v>
      </c>
      <c r="G11310" s="18" t="str">
        <f>"16686"</f>
        <v>16686</v>
      </c>
      <c r="H11310" s="19" t="s">
        <v>33795</v>
      </c>
      <c r="I11310" s="20">
        <v>20.471</v>
      </c>
      <c r="J11310" s="44" t="s">
        <v>8</v>
      </c>
      <c r="K11310" s="23" t="s">
        <v>8</v>
      </c>
      <c r="L11310" s="23" t="s">
        <v>8</v>
      </c>
      <c r="M11310" s="23" t="s">
        <v>8</v>
      </c>
    </row>
    <row r="11311" spans="1:13" s="21" customFormat="1" x14ac:dyDescent="0.25">
      <c r="A11311" s="22" t="s">
        <v>8</v>
      </c>
      <c r="B11311" s="18" t="str">
        <f>"395394"</f>
        <v>395394</v>
      </c>
      <c r="C11311" s="19" t="s">
        <v>11131</v>
      </c>
      <c r="D11311" s="19" t="s">
        <v>26718</v>
      </c>
      <c r="E11311" s="19" t="s">
        <v>34892</v>
      </c>
      <c r="F11311" s="19" t="s">
        <v>36012</v>
      </c>
      <c r="G11311" s="18" t="str">
        <f>"19333"</f>
        <v>19333</v>
      </c>
      <c r="H11311" s="19" t="s">
        <v>31396</v>
      </c>
      <c r="I11311" s="20">
        <v>18.251000000000001</v>
      </c>
      <c r="J11311" s="44" t="s">
        <v>8</v>
      </c>
      <c r="K11311" s="23" t="s">
        <v>8</v>
      </c>
      <c r="L11311" s="23" t="s">
        <v>8</v>
      </c>
      <c r="M11311" s="23" t="s">
        <v>8</v>
      </c>
    </row>
    <row r="11312" spans="1:13" s="21" customFormat="1" x14ac:dyDescent="0.25">
      <c r="A11312" s="22" t="s">
        <v>8</v>
      </c>
      <c r="B11312" s="18" t="str">
        <f>"395395"</f>
        <v>395395</v>
      </c>
      <c r="C11312" s="19" t="s">
        <v>11132</v>
      </c>
      <c r="D11312" s="19" t="s">
        <v>26719</v>
      </c>
      <c r="E11312" s="19" t="s">
        <v>31073</v>
      </c>
      <c r="F11312" s="19" t="s">
        <v>36012</v>
      </c>
      <c r="G11312" s="18" t="str">
        <f>"17109"</f>
        <v>17109</v>
      </c>
      <c r="H11312" s="19" t="s">
        <v>36733</v>
      </c>
      <c r="I11312" s="20">
        <v>16.991</v>
      </c>
      <c r="J11312" s="44" t="s">
        <v>8</v>
      </c>
      <c r="K11312" s="23" t="s">
        <v>8</v>
      </c>
      <c r="L11312" s="23" t="s">
        <v>8</v>
      </c>
      <c r="M11312" s="23" t="s">
        <v>8</v>
      </c>
    </row>
    <row r="11313" spans="1:13" s="21" customFormat="1" x14ac:dyDescent="0.25">
      <c r="A11313" s="22" t="s">
        <v>8</v>
      </c>
      <c r="B11313" s="18" t="str">
        <f>"395396"</f>
        <v>395396</v>
      </c>
      <c r="C11313" s="19" t="s">
        <v>11133</v>
      </c>
      <c r="D11313" s="19" t="s">
        <v>26720</v>
      </c>
      <c r="E11313" s="19" t="s">
        <v>32298</v>
      </c>
      <c r="F11313" s="19" t="s">
        <v>36012</v>
      </c>
      <c r="G11313" s="18" t="str">
        <f>"17701"</f>
        <v>17701</v>
      </c>
      <c r="H11313" s="19" t="s">
        <v>36739</v>
      </c>
      <c r="I11313" s="20">
        <v>18.254999999999999</v>
      </c>
      <c r="J11313" s="44" t="s">
        <v>8</v>
      </c>
      <c r="K11313" s="23" t="s">
        <v>8</v>
      </c>
      <c r="L11313" s="23" t="s">
        <v>8</v>
      </c>
      <c r="M11313" s="23" t="s">
        <v>8</v>
      </c>
    </row>
    <row r="11314" spans="1:13" s="21" customFormat="1" x14ac:dyDescent="0.25">
      <c r="A11314" s="22" t="s">
        <v>8</v>
      </c>
      <c r="B11314" s="18" t="str">
        <f>"395397"</f>
        <v>395397</v>
      </c>
      <c r="C11314" s="19" t="s">
        <v>11134</v>
      </c>
      <c r="D11314" s="19" t="s">
        <v>26721</v>
      </c>
      <c r="E11314" s="19" t="s">
        <v>33111</v>
      </c>
      <c r="F11314" s="19" t="s">
        <v>36012</v>
      </c>
      <c r="G11314" s="18" t="str">
        <f>"18704"</f>
        <v>18704</v>
      </c>
      <c r="H11314" s="19" t="s">
        <v>36735</v>
      </c>
      <c r="I11314" s="20">
        <v>18.741</v>
      </c>
      <c r="J11314" s="44" t="s">
        <v>8</v>
      </c>
      <c r="K11314" s="23" t="s">
        <v>8</v>
      </c>
      <c r="L11314" s="23" t="s">
        <v>8</v>
      </c>
      <c r="M11314" s="23" t="s">
        <v>8</v>
      </c>
    </row>
    <row r="11315" spans="1:13" s="21" customFormat="1" x14ac:dyDescent="0.25">
      <c r="A11315" s="22" t="s">
        <v>8</v>
      </c>
      <c r="B11315" s="18" t="str">
        <f>"395398"</f>
        <v>395398</v>
      </c>
      <c r="C11315" s="19" t="s">
        <v>11135</v>
      </c>
      <c r="D11315" s="19" t="s">
        <v>26722</v>
      </c>
      <c r="E11315" s="19" t="s">
        <v>32705</v>
      </c>
      <c r="F11315" s="19" t="s">
        <v>36012</v>
      </c>
      <c r="G11315" s="18" t="str">
        <f>"15501"</f>
        <v>15501</v>
      </c>
      <c r="H11315" s="19" t="s">
        <v>32705</v>
      </c>
      <c r="I11315" s="20">
        <v>17.948</v>
      </c>
      <c r="J11315" s="44" t="s">
        <v>8</v>
      </c>
      <c r="K11315" s="23" t="s">
        <v>8</v>
      </c>
      <c r="L11315" s="23" t="s">
        <v>8</v>
      </c>
      <c r="M11315" s="23" t="s">
        <v>8</v>
      </c>
    </row>
    <row r="11316" spans="1:13" s="21" customFormat="1" x14ac:dyDescent="0.25">
      <c r="A11316" s="22" t="s">
        <v>8</v>
      </c>
      <c r="B11316" s="18" t="str">
        <f>"395400"</f>
        <v>395400</v>
      </c>
      <c r="C11316" s="19" t="s">
        <v>11136</v>
      </c>
      <c r="D11316" s="19" t="s">
        <v>26723</v>
      </c>
      <c r="E11316" s="19" t="s">
        <v>32076</v>
      </c>
      <c r="F11316" s="19" t="s">
        <v>36012</v>
      </c>
      <c r="G11316" s="18" t="str">
        <f>"17512"</f>
        <v>17512</v>
      </c>
      <c r="H11316" s="19" t="s">
        <v>31184</v>
      </c>
      <c r="I11316" s="20">
        <v>18.417999999999999</v>
      </c>
      <c r="J11316" s="44" t="s">
        <v>8</v>
      </c>
      <c r="K11316" s="23" t="s">
        <v>8</v>
      </c>
      <c r="L11316" s="23" t="s">
        <v>8</v>
      </c>
      <c r="M11316" s="23" t="s">
        <v>8</v>
      </c>
    </row>
    <row r="11317" spans="1:13" s="21" customFormat="1" x14ac:dyDescent="0.25">
      <c r="A11317" s="22" t="s">
        <v>8</v>
      </c>
      <c r="B11317" s="18" t="str">
        <f>"395401"</f>
        <v>395401</v>
      </c>
      <c r="C11317" s="19" t="s">
        <v>11137</v>
      </c>
      <c r="D11317" s="19" t="s">
        <v>26724</v>
      </c>
      <c r="E11317" s="19" t="s">
        <v>34805</v>
      </c>
      <c r="F11317" s="19" t="s">
        <v>36012</v>
      </c>
      <c r="G11317" s="18" t="str">
        <f>"16511"</f>
        <v>16511</v>
      </c>
      <c r="H11317" s="19" t="s">
        <v>34805</v>
      </c>
      <c r="I11317" s="20">
        <v>21.923999999999999</v>
      </c>
      <c r="J11317" s="44" t="s">
        <v>8</v>
      </c>
      <c r="K11317" s="23" t="s">
        <v>8</v>
      </c>
      <c r="L11317" s="23" t="s">
        <v>8</v>
      </c>
      <c r="M11317" s="23" t="s">
        <v>8</v>
      </c>
    </row>
    <row r="11318" spans="1:13" s="21" customFormat="1" x14ac:dyDescent="0.25">
      <c r="A11318" s="22" t="s">
        <v>8</v>
      </c>
      <c r="B11318" s="18" t="str">
        <f>"395402"</f>
        <v>395402</v>
      </c>
      <c r="C11318" s="19" t="s">
        <v>11138</v>
      </c>
      <c r="D11318" s="19" t="s">
        <v>26725</v>
      </c>
      <c r="E11318" s="19" t="s">
        <v>34866</v>
      </c>
      <c r="F11318" s="19" t="s">
        <v>36012</v>
      </c>
      <c r="G11318" s="18" t="str">
        <f>"19464"</f>
        <v>19464</v>
      </c>
      <c r="H11318" s="19" t="s">
        <v>30833</v>
      </c>
      <c r="I11318" s="20">
        <v>17.853000000000002</v>
      </c>
      <c r="J11318" s="44" t="s">
        <v>8</v>
      </c>
      <c r="K11318" s="23" t="s">
        <v>8</v>
      </c>
      <c r="L11318" s="23" t="s">
        <v>8</v>
      </c>
      <c r="M11318" s="23" t="s">
        <v>8</v>
      </c>
    </row>
    <row r="11319" spans="1:13" s="21" customFormat="1" x14ac:dyDescent="0.25">
      <c r="A11319" s="22" t="s">
        <v>8</v>
      </c>
      <c r="B11319" s="18" t="str">
        <f>"395403"</f>
        <v>395403</v>
      </c>
      <c r="C11319" s="19" t="s">
        <v>11139</v>
      </c>
      <c r="D11319" s="19" t="s">
        <v>26726</v>
      </c>
      <c r="E11319" s="19" t="s">
        <v>34893</v>
      </c>
      <c r="F11319" s="19" t="s">
        <v>36012</v>
      </c>
      <c r="G11319" s="18" t="str">
        <f>"17509"</f>
        <v>17509</v>
      </c>
      <c r="H11319" s="19" t="s">
        <v>31184</v>
      </c>
      <c r="I11319" s="20">
        <v>20.385000000000002</v>
      </c>
      <c r="J11319" s="44" t="s">
        <v>8</v>
      </c>
      <c r="K11319" s="23" t="s">
        <v>8</v>
      </c>
      <c r="L11319" s="23" t="s">
        <v>8</v>
      </c>
      <c r="M11319" s="23" t="s">
        <v>8</v>
      </c>
    </row>
    <row r="11320" spans="1:13" s="21" customFormat="1" x14ac:dyDescent="0.25">
      <c r="A11320" s="22" t="s">
        <v>8</v>
      </c>
      <c r="B11320" s="18" t="str">
        <f>"395404"</f>
        <v>395404</v>
      </c>
      <c r="C11320" s="19" t="s">
        <v>11140</v>
      </c>
      <c r="D11320" s="19" t="s">
        <v>26727</v>
      </c>
      <c r="E11320" s="19" t="s">
        <v>34805</v>
      </c>
      <c r="F11320" s="19" t="s">
        <v>36012</v>
      </c>
      <c r="G11320" s="18" t="str">
        <f>"16508"</f>
        <v>16508</v>
      </c>
      <c r="H11320" s="19" t="s">
        <v>34805</v>
      </c>
      <c r="I11320" s="20">
        <v>21.911999999999999</v>
      </c>
      <c r="J11320" s="44" t="s">
        <v>8</v>
      </c>
      <c r="K11320" s="23" t="s">
        <v>8</v>
      </c>
      <c r="L11320" s="23" t="s">
        <v>8</v>
      </c>
      <c r="M11320" s="23" t="s">
        <v>8</v>
      </c>
    </row>
    <row r="11321" spans="1:13" s="21" customFormat="1" x14ac:dyDescent="0.25">
      <c r="A11321" s="22" t="s">
        <v>8</v>
      </c>
      <c r="B11321" s="18" t="str">
        <f>"395405"</f>
        <v>395405</v>
      </c>
      <c r="C11321" s="19" t="s">
        <v>11141</v>
      </c>
      <c r="D11321" s="19" t="s">
        <v>26728</v>
      </c>
      <c r="E11321" s="19" t="s">
        <v>34894</v>
      </c>
      <c r="F11321" s="19" t="s">
        <v>36012</v>
      </c>
      <c r="G11321" s="18" t="str">
        <f>"18951"</f>
        <v>18951</v>
      </c>
      <c r="H11321" s="19" t="s">
        <v>36729</v>
      </c>
      <c r="I11321" s="20">
        <v>17.683</v>
      </c>
      <c r="J11321" s="44" t="s">
        <v>8</v>
      </c>
      <c r="K11321" s="23" t="s">
        <v>8</v>
      </c>
      <c r="L11321" s="23" t="s">
        <v>8</v>
      </c>
      <c r="M11321" s="23" t="s">
        <v>8</v>
      </c>
    </row>
    <row r="11322" spans="1:13" s="21" customFormat="1" x14ac:dyDescent="0.25">
      <c r="A11322" s="22" t="s">
        <v>8</v>
      </c>
      <c r="B11322" s="18" t="str">
        <f>"395406"</f>
        <v>395406</v>
      </c>
      <c r="C11322" s="19" t="s">
        <v>11142</v>
      </c>
      <c r="D11322" s="19" t="s">
        <v>26729</v>
      </c>
      <c r="E11322" s="19" t="s">
        <v>34868</v>
      </c>
      <c r="F11322" s="19" t="s">
        <v>36012</v>
      </c>
      <c r="G11322" s="18" t="str">
        <f>"17543"</f>
        <v>17543</v>
      </c>
      <c r="H11322" s="19" t="s">
        <v>31184</v>
      </c>
      <c r="I11322" s="20">
        <v>15.797000000000001</v>
      </c>
      <c r="J11322" s="44" t="s">
        <v>8</v>
      </c>
      <c r="K11322" s="23" t="s">
        <v>8</v>
      </c>
      <c r="L11322" s="23" t="s">
        <v>8</v>
      </c>
      <c r="M11322" s="23" t="s">
        <v>8</v>
      </c>
    </row>
    <row r="11323" spans="1:13" s="21" customFormat="1" x14ac:dyDescent="0.25">
      <c r="A11323" s="22" t="s">
        <v>8</v>
      </c>
      <c r="B11323" s="18" t="str">
        <f>"395408"</f>
        <v>395408</v>
      </c>
      <c r="C11323" s="19" t="s">
        <v>11143</v>
      </c>
      <c r="D11323" s="19" t="s">
        <v>26730</v>
      </c>
      <c r="E11323" s="19" t="s">
        <v>34189</v>
      </c>
      <c r="F11323" s="19" t="s">
        <v>36012</v>
      </c>
      <c r="G11323" s="18" t="str">
        <f>"19526"</f>
        <v>19526</v>
      </c>
      <c r="H11323" s="19" t="s">
        <v>36734</v>
      </c>
      <c r="I11323" s="20">
        <v>17.843</v>
      </c>
      <c r="J11323" s="44" t="s">
        <v>8</v>
      </c>
      <c r="K11323" s="23" t="s">
        <v>8</v>
      </c>
      <c r="L11323" s="23" t="s">
        <v>8</v>
      </c>
      <c r="M11323" s="23" t="s">
        <v>8</v>
      </c>
    </row>
    <row r="11324" spans="1:13" s="21" customFormat="1" x14ac:dyDescent="0.25">
      <c r="A11324" s="22" t="s">
        <v>8</v>
      </c>
      <c r="B11324" s="18" t="str">
        <f>"395409"</f>
        <v>395409</v>
      </c>
      <c r="C11324" s="19" t="s">
        <v>11144</v>
      </c>
      <c r="D11324" s="19" t="s">
        <v>26731</v>
      </c>
      <c r="E11324" s="19" t="s">
        <v>34520</v>
      </c>
      <c r="F11324" s="19" t="s">
        <v>36012</v>
      </c>
      <c r="G11324" s="18" t="str">
        <f>"18901"</f>
        <v>18901</v>
      </c>
      <c r="H11324" s="19" t="s">
        <v>36729</v>
      </c>
      <c r="I11324" s="20">
        <v>22.337</v>
      </c>
      <c r="J11324" s="44" t="s">
        <v>8</v>
      </c>
      <c r="K11324" s="23" t="s">
        <v>8</v>
      </c>
      <c r="L11324" s="23" t="s">
        <v>8</v>
      </c>
      <c r="M11324" s="23" t="s">
        <v>8</v>
      </c>
    </row>
    <row r="11325" spans="1:13" s="21" customFormat="1" x14ac:dyDescent="0.25">
      <c r="A11325" s="22" t="s">
        <v>8</v>
      </c>
      <c r="B11325" s="18" t="str">
        <f>"395410"</f>
        <v>395410</v>
      </c>
      <c r="C11325" s="19" t="s">
        <v>11145</v>
      </c>
      <c r="D11325" s="19" t="s">
        <v>26732</v>
      </c>
      <c r="E11325" s="19" t="s">
        <v>33314</v>
      </c>
      <c r="F11325" s="19" t="s">
        <v>36012</v>
      </c>
      <c r="G11325" s="18" t="str">
        <f>"16262"</f>
        <v>16262</v>
      </c>
      <c r="H11325" s="19" t="s">
        <v>32452</v>
      </c>
      <c r="I11325" s="20">
        <v>18.106999999999999</v>
      </c>
      <c r="J11325" s="44" t="s">
        <v>8</v>
      </c>
      <c r="K11325" s="23" t="s">
        <v>8</v>
      </c>
      <c r="L11325" s="23" t="s">
        <v>8</v>
      </c>
      <c r="M11325" s="23" t="s">
        <v>8</v>
      </c>
    </row>
    <row r="11326" spans="1:13" s="21" customFormat="1" x14ac:dyDescent="0.25">
      <c r="A11326" s="22" t="s">
        <v>8</v>
      </c>
      <c r="B11326" s="18" t="str">
        <f>"395413"</f>
        <v>395413</v>
      </c>
      <c r="C11326" s="19" t="s">
        <v>11146</v>
      </c>
      <c r="D11326" s="19" t="s">
        <v>26733</v>
      </c>
      <c r="E11326" s="19" t="s">
        <v>33514</v>
      </c>
      <c r="F11326" s="19" t="s">
        <v>36012</v>
      </c>
      <c r="G11326" s="18" t="str">
        <f>"19152"</f>
        <v>19152</v>
      </c>
      <c r="H11326" s="19" t="s">
        <v>33514</v>
      </c>
      <c r="I11326" s="20">
        <v>21.553000000000001</v>
      </c>
      <c r="J11326" s="44" t="s">
        <v>8</v>
      </c>
      <c r="K11326" s="23" t="s">
        <v>8</v>
      </c>
      <c r="L11326" s="23" t="s">
        <v>8</v>
      </c>
      <c r="M11326" s="23" t="s">
        <v>8</v>
      </c>
    </row>
    <row r="11327" spans="1:13" s="21" customFormat="1" x14ac:dyDescent="0.25">
      <c r="A11327" s="22" t="s">
        <v>8</v>
      </c>
      <c r="B11327" s="18" t="str">
        <f>"395414"</f>
        <v>395414</v>
      </c>
      <c r="C11327" s="19" t="s">
        <v>11147</v>
      </c>
      <c r="D11327" s="19" t="s">
        <v>26734</v>
      </c>
      <c r="E11327" s="19" t="s">
        <v>34895</v>
      </c>
      <c r="F11327" s="19" t="s">
        <v>36012</v>
      </c>
      <c r="G11327" s="18" t="str">
        <f>"18447"</f>
        <v>18447</v>
      </c>
      <c r="H11327" s="19" t="s">
        <v>36732</v>
      </c>
      <c r="I11327" s="20">
        <v>22.783999999999999</v>
      </c>
      <c r="J11327" s="44" t="s">
        <v>8</v>
      </c>
      <c r="K11327" s="23" t="s">
        <v>8</v>
      </c>
      <c r="L11327" s="23" t="s">
        <v>8</v>
      </c>
      <c r="M11327" s="23" t="s">
        <v>8</v>
      </c>
    </row>
    <row r="11328" spans="1:13" s="21" customFormat="1" x14ac:dyDescent="0.25">
      <c r="A11328" s="22" t="s">
        <v>8</v>
      </c>
      <c r="B11328" s="18" t="str">
        <f>"395416"</f>
        <v>395416</v>
      </c>
      <c r="C11328" s="19" t="s">
        <v>11148</v>
      </c>
      <c r="D11328" s="19" t="s">
        <v>26735</v>
      </c>
      <c r="E11328" s="19" t="s">
        <v>34896</v>
      </c>
      <c r="F11328" s="19" t="s">
        <v>36012</v>
      </c>
      <c r="G11328" s="18" t="str">
        <f>"17972"</f>
        <v>17972</v>
      </c>
      <c r="H11328" s="19" t="s">
        <v>36737</v>
      </c>
      <c r="I11328" s="20">
        <v>19.29</v>
      </c>
      <c r="J11328" s="44" t="s">
        <v>8</v>
      </c>
      <c r="K11328" s="23" t="s">
        <v>8</v>
      </c>
      <c r="L11328" s="23" t="s">
        <v>8</v>
      </c>
      <c r="M11328" s="23" t="s">
        <v>8</v>
      </c>
    </row>
    <row r="11329" spans="1:13" s="21" customFormat="1" x14ac:dyDescent="0.25">
      <c r="A11329" s="22" t="s">
        <v>8</v>
      </c>
      <c r="B11329" s="18" t="str">
        <f>"395418"</f>
        <v>395418</v>
      </c>
      <c r="C11329" s="19" t="s">
        <v>11149</v>
      </c>
      <c r="D11329" s="19" t="s">
        <v>26736</v>
      </c>
      <c r="E11329" s="19" t="s">
        <v>34897</v>
      </c>
      <c r="F11329" s="19" t="s">
        <v>36012</v>
      </c>
      <c r="G11329" s="18" t="str">
        <f>"17059"</f>
        <v>17059</v>
      </c>
      <c r="H11329" s="19" t="s">
        <v>36738</v>
      </c>
      <c r="I11329" s="20">
        <v>16.536999999999999</v>
      </c>
      <c r="J11329" s="44" t="s">
        <v>8</v>
      </c>
      <c r="K11329" s="23" t="s">
        <v>8</v>
      </c>
      <c r="L11329" s="23" t="s">
        <v>8</v>
      </c>
      <c r="M11329" s="23" t="s">
        <v>8</v>
      </c>
    </row>
    <row r="11330" spans="1:13" s="21" customFormat="1" x14ac:dyDescent="0.25">
      <c r="A11330" s="22" t="s">
        <v>8</v>
      </c>
      <c r="B11330" s="18" t="str">
        <f>"395421"</f>
        <v>395421</v>
      </c>
      <c r="C11330" s="19" t="s">
        <v>11150</v>
      </c>
      <c r="D11330" s="19" t="s">
        <v>26737</v>
      </c>
      <c r="E11330" s="19" t="s">
        <v>34898</v>
      </c>
      <c r="F11330" s="19" t="s">
        <v>36012</v>
      </c>
      <c r="G11330" s="18" t="str">
        <f>"18603"</f>
        <v>18603</v>
      </c>
      <c r="H11330" s="19" t="s">
        <v>32076</v>
      </c>
      <c r="I11330" s="20">
        <v>21.584</v>
      </c>
      <c r="J11330" s="44" t="s">
        <v>8</v>
      </c>
      <c r="K11330" s="23" t="s">
        <v>8</v>
      </c>
      <c r="L11330" s="23" t="s">
        <v>8</v>
      </c>
      <c r="M11330" s="23" t="s">
        <v>8</v>
      </c>
    </row>
    <row r="11331" spans="1:13" s="21" customFormat="1" x14ac:dyDescent="0.25">
      <c r="A11331" s="22" t="s">
        <v>8</v>
      </c>
      <c r="B11331" s="18" t="str">
        <f>"395422"</f>
        <v>395422</v>
      </c>
      <c r="C11331" s="19" t="s">
        <v>11151</v>
      </c>
      <c r="D11331" s="19" t="s">
        <v>26738</v>
      </c>
      <c r="E11331" s="19" t="s">
        <v>33054</v>
      </c>
      <c r="F11331" s="19" t="s">
        <v>36012</v>
      </c>
      <c r="G11331" s="18" t="str">
        <f>"15537"</f>
        <v>15537</v>
      </c>
      <c r="H11331" s="19" t="s">
        <v>32215</v>
      </c>
      <c r="I11331" s="20">
        <v>18.491</v>
      </c>
      <c r="J11331" s="44" t="s">
        <v>8</v>
      </c>
      <c r="K11331" s="23" t="s">
        <v>8</v>
      </c>
      <c r="L11331" s="23" t="s">
        <v>8</v>
      </c>
      <c r="M11331" s="23" t="s">
        <v>8</v>
      </c>
    </row>
    <row r="11332" spans="1:13" s="21" customFormat="1" x14ac:dyDescent="0.25">
      <c r="A11332" s="22" t="s">
        <v>8</v>
      </c>
      <c r="B11332" s="18" t="str">
        <f>"395423"</f>
        <v>395423</v>
      </c>
      <c r="C11332" s="19" t="s">
        <v>11152</v>
      </c>
      <c r="D11332" s="19" t="s">
        <v>26739</v>
      </c>
      <c r="E11332" s="19" t="s">
        <v>34801</v>
      </c>
      <c r="F11332" s="19" t="s">
        <v>36012</v>
      </c>
      <c r="G11332" s="18" t="str">
        <f>"15206"</f>
        <v>15206</v>
      </c>
      <c r="H11332" s="19" t="s">
        <v>36730</v>
      </c>
      <c r="I11332" s="20">
        <v>19.079999999999998</v>
      </c>
      <c r="J11332" s="44" t="s">
        <v>8</v>
      </c>
      <c r="K11332" s="23" t="s">
        <v>8</v>
      </c>
      <c r="L11332" s="23" t="s">
        <v>8</v>
      </c>
      <c r="M11332" s="23" t="s">
        <v>8</v>
      </c>
    </row>
    <row r="11333" spans="1:13" s="21" customFormat="1" x14ac:dyDescent="0.25">
      <c r="A11333" s="22" t="s">
        <v>8</v>
      </c>
      <c r="B11333" s="18" t="str">
        <f>"395425"</f>
        <v>395425</v>
      </c>
      <c r="C11333" s="19" t="s">
        <v>11153</v>
      </c>
      <c r="D11333" s="19" t="s">
        <v>26740</v>
      </c>
      <c r="E11333" s="19" t="s">
        <v>33514</v>
      </c>
      <c r="F11333" s="19" t="s">
        <v>36012</v>
      </c>
      <c r="G11333" s="18" t="str">
        <f>"19152"</f>
        <v>19152</v>
      </c>
      <c r="H11333" s="19" t="s">
        <v>33514</v>
      </c>
      <c r="I11333" s="20">
        <v>20.009</v>
      </c>
      <c r="J11333" s="44" t="s">
        <v>8</v>
      </c>
      <c r="K11333" s="23" t="s">
        <v>8</v>
      </c>
      <c r="L11333" s="23" t="s">
        <v>8</v>
      </c>
      <c r="M11333" s="23" t="s">
        <v>8</v>
      </c>
    </row>
    <row r="11334" spans="1:13" s="21" customFormat="1" x14ac:dyDescent="0.25">
      <c r="A11334" s="22" t="s">
        <v>8</v>
      </c>
      <c r="B11334" s="18" t="str">
        <f>"395426"</f>
        <v>395426</v>
      </c>
      <c r="C11334" s="19" t="s">
        <v>11154</v>
      </c>
      <c r="D11334" s="19" t="s">
        <v>26741</v>
      </c>
      <c r="E11334" s="19" t="s">
        <v>34899</v>
      </c>
      <c r="F11334" s="19" t="s">
        <v>36012</v>
      </c>
      <c r="G11334" s="18" t="str">
        <f>"17068"</f>
        <v>17068</v>
      </c>
      <c r="H11334" s="19" t="s">
        <v>31503</v>
      </c>
      <c r="I11334" s="20">
        <v>18.690999999999999</v>
      </c>
      <c r="J11334" s="44" t="s">
        <v>8</v>
      </c>
      <c r="K11334" s="23" t="s">
        <v>8</v>
      </c>
      <c r="L11334" s="23" t="s">
        <v>8</v>
      </c>
      <c r="M11334" s="23" t="s">
        <v>8</v>
      </c>
    </row>
    <row r="11335" spans="1:13" s="21" customFormat="1" x14ac:dyDescent="0.25">
      <c r="A11335" s="22" t="s">
        <v>8</v>
      </c>
      <c r="B11335" s="18" t="str">
        <f>"395427"</f>
        <v>395427</v>
      </c>
      <c r="C11335" s="19" t="s">
        <v>11155</v>
      </c>
      <c r="D11335" s="19" t="s">
        <v>26742</v>
      </c>
      <c r="E11335" s="19" t="s">
        <v>34808</v>
      </c>
      <c r="F11335" s="19" t="s">
        <v>36012</v>
      </c>
      <c r="G11335" s="18" t="str">
        <f>"16648"</f>
        <v>16648</v>
      </c>
      <c r="H11335" s="19" t="s">
        <v>33795</v>
      </c>
      <c r="I11335" s="20">
        <v>16.707000000000001</v>
      </c>
      <c r="J11335" s="44" t="s">
        <v>8</v>
      </c>
      <c r="K11335" s="23" t="s">
        <v>8</v>
      </c>
      <c r="L11335" s="23" t="s">
        <v>8</v>
      </c>
      <c r="M11335" s="23" t="s">
        <v>8</v>
      </c>
    </row>
    <row r="11336" spans="1:13" s="21" customFormat="1" x14ac:dyDescent="0.25">
      <c r="A11336" s="22" t="s">
        <v>8</v>
      </c>
      <c r="B11336" s="18" t="str">
        <f>"395428"</f>
        <v>395428</v>
      </c>
      <c r="C11336" s="19" t="s">
        <v>11156</v>
      </c>
      <c r="D11336" s="19" t="s">
        <v>26743</v>
      </c>
      <c r="E11336" s="19" t="s">
        <v>34506</v>
      </c>
      <c r="F11336" s="19" t="s">
        <v>36012</v>
      </c>
      <c r="G11336" s="18" t="str">
        <f>"17061"</f>
        <v>17061</v>
      </c>
      <c r="H11336" s="19" t="s">
        <v>36733</v>
      </c>
      <c r="I11336" s="20">
        <v>16.863</v>
      </c>
      <c r="J11336" s="44" t="s">
        <v>8</v>
      </c>
      <c r="K11336" s="23" t="s">
        <v>8</v>
      </c>
      <c r="L11336" s="23" t="s">
        <v>8</v>
      </c>
      <c r="M11336" s="23" t="s">
        <v>8</v>
      </c>
    </row>
    <row r="11337" spans="1:13" s="21" customFormat="1" x14ac:dyDescent="0.25">
      <c r="A11337" s="22" t="s">
        <v>8</v>
      </c>
      <c r="B11337" s="18" t="str">
        <f>"395429"</f>
        <v>395429</v>
      </c>
      <c r="C11337" s="19" t="s">
        <v>11157</v>
      </c>
      <c r="D11337" s="19" t="s">
        <v>26744</v>
      </c>
      <c r="E11337" s="19" t="s">
        <v>34843</v>
      </c>
      <c r="F11337" s="19" t="s">
        <v>36012</v>
      </c>
      <c r="G11337" s="18" t="str">
        <f>"18017"</f>
        <v>18017</v>
      </c>
      <c r="H11337" s="19" t="s">
        <v>33038</v>
      </c>
      <c r="I11337" s="20">
        <v>19.547000000000001</v>
      </c>
      <c r="J11337" s="44" t="s">
        <v>8</v>
      </c>
      <c r="K11337" s="23" t="s">
        <v>8</v>
      </c>
      <c r="L11337" s="23" t="s">
        <v>8</v>
      </c>
      <c r="M11337" s="23" t="s">
        <v>8</v>
      </c>
    </row>
    <row r="11338" spans="1:13" s="21" customFormat="1" x14ac:dyDescent="0.25">
      <c r="A11338" s="22" t="s">
        <v>8</v>
      </c>
      <c r="B11338" s="18" t="str">
        <f>"395430"</f>
        <v>395430</v>
      </c>
      <c r="C11338" s="19" t="s">
        <v>11158</v>
      </c>
      <c r="D11338" s="19" t="s">
        <v>26745</v>
      </c>
      <c r="E11338" s="19" t="s">
        <v>34787</v>
      </c>
      <c r="F11338" s="19" t="s">
        <v>36012</v>
      </c>
      <c r="G11338" s="18" t="str">
        <f>"15801"</f>
        <v>15801</v>
      </c>
      <c r="H11338" s="19" t="s">
        <v>32508</v>
      </c>
      <c r="I11338" s="20">
        <v>20.401</v>
      </c>
      <c r="J11338" s="44" t="s">
        <v>8</v>
      </c>
      <c r="K11338" s="23" t="s">
        <v>8</v>
      </c>
      <c r="L11338" s="23" t="s">
        <v>8</v>
      </c>
      <c r="M11338" s="23" t="s">
        <v>8</v>
      </c>
    </row>
    <row r="11339" spans="1:13" s="21" customFormat="1" x14ac:dyDescent="0.25">
      <c r="A11339" s="22" t="s">
        <v>8</v>
      </c>
      <c r="B11339" s="18" t="str">
        <f>"395431"</f>
        <v>395431</v>
      </c>
      <c r="C11339" s="19" t="s">
        <v>11159</v>
      </c>
      <c r="D11339" s="19" t="s">
        <v>26746</v>
      </c>
      <c r="E11339" s="19" t="s">
        <v>34900</v>
      </c>
      <c r="F11339" s="19" t="s">
        <v>36012</v>
      </c>
      <c r="G11339" s="18" t="str">
        <f>"18974"</f>
        <v>18974</v>
      </c>
      <c r="H11339" s="19" t="s">
        <v>36729</v>
      </c>
      <c r="I11339" s="20">
        <v>17.428000000000001</v>
      </c>
      <c r="J11339" s="44" t="s">
        <v>8</v>
      </c>
      <c r="K11339" s="23" t="s">
        <v>8</v>
      </c>
      <c r="L11339" s="23" t="s">
        <v>8</v>
      </c>
      <c r="M11339" s="23" t="s">
        <v>8</v>
      </c>
    </row>
    <row r="11340" spans="1:13" s="21" customFormat="1" x14ac:dyDescent="0.25">
      <c r="A11340" s="22" t="s">
        <v>8</v>
      </c>
      <c r="B11340" s="18" t="str">
        <f>"395432"</f>
        <v>395432</v>
      </c>
      <c r="C11340" s="19" t="s">
        <v>11160</v>
      </c>
      <c r="D11340" s="19" t="s">
        <v>26747</v>
      </c>
      <c r="E11340" s="19" t="s">
        <v>33176</v>
      </c>
      <c r="F11340" s="19" t="s">
        <v>36012</v>
      </c>
      <c r="G11340" s="18" t="str">
        <f>"18966"</f>
        <v>18966</v>
      </c>
      <c r="H11340" s="19" t="s">
        <v>36729</v>
      </c>
      <c r="I11340" s="20">
        <v>16.800999999999998</v>
      </c>
      <c r="J11340" s="44" t="s">
        <v>8</v>
      </c>
      <c r="K11340" s="23" t="s">
        <v>8</v>
      </c>
      <c r="L11340" s="23" t="s">
        <v>8</v>
      </c>
      <c r="M11340" s="23" t="s">
        <v>8</v>
      </c>
    </row>
    <row r="11341" spans="1:13" s="21" customFormat="1" x14ac:dyDescent="0.25">
      <c r="A11341" s="22" t="s">
        <v>8</v>
      </c>
      <c r="B11341" s="18" t="str">
        <f>"395433"</f>
        <v>395433</v>
      </c>
      <c r="C11341" s="19" t="s">
        <v>11161</v>
      </c>
      <c r="D11341" s="19" t="s">
        <v>26748</v>
      </c>
      <c r="E11341" s="19" t="s">
        <v>34901</v>
      </c>
      <c r="F11341" s="19" t="s">
        <v>36012</v>
      </c>
      <c r="G11341" s="18" t="str">
        <f>"18657"</f>
        <v>18657</v>
      </c>
      <c r="H11341" s="19" t="s">
        <v>33261</v>
      </c>
      <c r="I11341" s="20">
        <v>20.792000000000002</v>
      </c>
      <c r="J11341" s="44" t="s">
        <v>8</v>
      </c>
      <c r="K11341" s="23" t="s">
        <v>8</v>
      </c>
      <c r="L11341" s="23" t="s">
        <v>8</v>
      </c>
      <c r="M11341" s="23" t="s">
        <v>8</v>
      </c>
    </row>
    <row r="11342" spans="1:13" s="21" customFormat="1" x14ac:dyDescent="0.25">
      <c r="A11342" s="22" t="s">
        <v>8</v>
      </c>
      <c r="B11342" s="18" t="str">
        <f>"395434"</f>
        <v>395434</v>
      </c>
      <c r="C11342" s="19" t="s">
        <v>11162</v>
      </c>
      <c r="D11342" s="19" t="s">
        <v>26749</v>
      </c>
      <c r="E11342" s="19" t="s">
        <v>34801</v>
      </c>
      <c r="F11342" s="19" t="s">
        <v>36012</v>
      </c>
      <c r="G11342" s="18" t="str">
        <f>"15228"</f>
        <v>15228</v>
      </c>
      <c r="H11342" s="19" t="s">
        <v>36730</v>
      </c>
      <c r="I11342" s="20">
        <v>20.51</v>
      </c>
      <c r="J11342" s="44" t="s">
        <v>8</v>
      </c>
      <c r="K11342" s="23" t="s">
        <v>8</v>
      </c>
      <c r="L11342" s="23" t="s">
        <v>8</v>
      </c>
      <c r="M11342" s="23" t="s">
        <v>8</v>
      </c>
    </row>
    <row r="11343" spans="1:13" s="21" customFormat="1" x14ac:dyDescent="0.25">
      <c r="A11343" s="22" t="s">
        <v>8</v>
      </c>
      <c r="B11343" s="18" t="str">
        <f>"395435"</f>
        <v>395435</v>
      </c>
      <c r="C11343" s="19" t="s">
        <v>11163</v>
      </c>
      <c r="D11343" s="19" t="s">
        <v>26750</v>
      </c>
      <c r="E11343" s="19" t="s">
        <v>32236</v>
      </c>
      <c r="F11343" s="19" t="s">
        <v>36012</v>
      </c>
      <c r="G11343" s="18" t="str">
        <f>"15601"</f>
        <v>15601</v>
      </c>
      <c r="H11343" s="19" t="s">
        <v>32652</v>
      </c>
      <c r="I11343" s="20">
        <v>18.533999999999999</v>
      </c>
      <c r="J11343" s="44" t="s">
        <v>8</v>
      </c>
      <c r="K11343" s="23" t="s">
        <v>8</v>
      </c>
      <c r="L11343" s="23" t="s">
        <v>8</v>
      </c>
      <c r="M11343" s="23" t="s">
        <v>8</v>
      </c>
    </row>
    <row r="11344" spans="1:13" s="21" customFormat="1" x14ac:dyDescent="0.25">
      <c r="A11344" s="22" t="s">
        <v>8</v>
      </c>
      <c r="B11344" s="18" t="str">
        <f>"395436"</f>
        <v>395436</v>
      </c>
      <c r="C11344" s="19" t="s">
        <v>11164</v>
      </c>
      <c r="D11344" s="19" t="s">
        <v>26751</v>
      </c>
      <c r="E11344" s="19" t="s">
        <v>34902</v>
      </c>
      <c r="F11344" s="19" t="s">
        <v>36012</v>
      </c>
      <c r="G11344" s="18" t="str">
        <f>"19344"</f>
        <v>19344</v>
      </c>
      <c r="H11344" s="19" t="s">
        <v>31396</v>
      </c>
      <c r="I11344" s="20">
        <v>18.28</v>
      </c>
      <c r="J11344" s="44" t="s">
        <v>8</v>
      </c>
      <c r="K11344" s="23" t="s">
        <v>8</v>
      </c>
      <c r="L11344" s="23" t="s">
        <v>8</v>
      </c>
      <c r="M11344" s="23" t="s">
        <v>8</v>
      </c>
    </row>
    <row r="11345" spans="1:13" s="21" customFormat="1" x14ac:dyDescent="0.25">
      <c r="A11345" s="22" t="s">
        <v>8</v>
      </c>
      <c r="B11345" s="18" t="str">
        <f>"395437"</f>
        <v>395437</v>
      </c>
      <c r="C11345" s="19" t="s">
        <v>11165</v>
      </c>
      <c r="D11345" s="19" t="s">
        <v>26752</v>
      </c>
      <c r="E11345" s="19" t="s">
        <v>33610</v>
      </c>
      <c r="F11345" s="19" t="s">
        <v>36012</v>
      </c>
      <c r="G11345" s="18" t="str">
        <f>"17078"</f>
        <v>17078</v>
      </c>
      <c r="H11345" s="19" t="s">
        <v>32035</v>
      </c>
      <c r="I11345" s="20">
        <v>17.654</v>
      </c>
      <c r="J11345" s="44" t="s">
        <v>8</v>
      </c>
      <c r="K11345" s="23" t="s">
        <v>8</v>
      </c>
      <c r="L11345" s="23" t="s">
        <v>8</v>
      </c>
      <c r="M11345" s="23" t="s">
        <v>8</v>
      </c>
    </row>
    <row r="11346" spans="1:13" s="21" customFormat="1" x14ac:dyDescent="0.25">
      <c r="A11346" s="22" t="s">
        <v>8</v>
      </c>
      <c r="B11346" s="18" t="str">
        <f>"395438"</f>
        <v>395438</v>
      </c>
      <c r="C11346" s="19" t="s">
        <v>11166</v>
      </c>
      <c r="D11346" s="19" t="s">
        <v>26753</v>
      </c>
      <c r="E11346" s="19" t="s">
        <v>33097</v>
      </c>
      <c r="F11346" s="19" t="s">
        <v>36012</v>
      </c>
      <c r="G11346" s="18" t="str">
        <f>"17361"</f>
        <v>17361</v>
      </c>
      <c r="H11346" s="19" t="s">
        <v>30834</v>
      </c>
      <c r="I11346" s="20">
        <v>17.087</v>
      </c>
      <c r="J11346" s="44" t="s">
        <v>8</v>
      </c>
      <c r="K11346" s="23" t="s">
        <v>8</v>
      </c>
      <c r="L11346" s="23" t="s">
        <v>8</v>
      </c>
      <c r="M11346" s="23" t="s">
        <v>8</v>
      </c>
    </row>
    <row r="11347" spans="1:13" s="21" customFormat="1" x14ac:dyDescent="0.25">
      <c r="A11347" s="22" t="s">
        <v>8</v>
      </c>
      <c r="B11347" s="18" t="str">
        <f>"395439"</f>
        <v>395439</v>
      </c>
      <c r="C11347" s="19" t="s">
        <v>11167</v>
      </c>
      <c r="D11347" s="19" t="s">
        <v>26754</v>
      </c>
      <c r="E11347" s="19" t="s">
        <v>34103</v>
      </c>
      <c r="F11347" s="19" t="s">
        <v>36012</v>
      </c>
      <c r="G11347" s="18" t="str">
        <f>"15905"</f>
        <v>15905</v>
      </c>
      <c r="H11347" s="19" t="s">
        <v>36728</v>
      </c>
      <c r="I11347" s="20">
        <v>19.748999999999999</v>
      </c>
      <c r="J11347" s="44" t="s">
        <v>8</v>
      </c>
      <c r="K11347" s="23" t="s">
        <v>8</v>
      </c>
      <c r="L11347" s="23" t="s">
        <v>8</v>
      </c>
      <c r="M11347" s="23" t="s">
        <v>8</v>
      </c>
    </row>
    <row r="11348" spans="1:13" s="21" customFormat="1" x14ac:dyDescent="0.25">
      <c r="A11348" s="22" t="s">
        <v>8</v>
      </c>
      <c r="B11348" s="18" t="str">
        <f>"395440"</f>
        <v>395440</v>
      </c>
      <c r="C11348" s="19" t="s">
        <v>11168</v>
      </c>
      <c r="D11348" s="19" t="s">
        <v>26755</v>
      </c>
      <c r="E11348" s="19" t="s">
        <v>34821</v>
      </c>
      <c r="F11348" s="19" t="s">
        <v>36012</v>
      </c>
      <c r="G11348" s="18" t="str">
        <f>"17011"</f>
        <v>17011</v>
      </c>
      <c r="H11348" s="19" t="s">
        <v>32766</v>
      </c>
      <c r="I11348" s="20">
        <v>18.076000000000001</v>
      </c>
      <c r="J11348" s="44" t="s">
        <v>8</v>
      </c>
      <c r="K11348" s="23" t="s">
        <v>8</v>
      </c>
      <c r="L11348" s="23" t="s">
        <v>8</v>
      </c>
      <c r="M11348" s="23" t="s">
        <v>8</v>
      </c>
    </row>
    <row r="11349" spans="1:13" s="21" customFormat="1" x14ac:dyDescent="0.25">
      <c r="A11349" s="22" t="s">
        <v>8</v>
      </c>
      <c r="B11349" s="18" t="str">
        <f>"395442"</f>
        <v>395442</v>
      </c>
      <c r="C11349" s="19" t="s">
        <v>11169</v>
      </c>
      <c r="D11349" s="19" t="s">
        <v>26756</v>
      </c>
      <c r="E11349" s="19" t="s">
        <v>30834</v>
      </c>
      <c r="F11349" s="19" t="s">
        <v>36012</v>
      </c>
      <c r="G11349" s="18" t="str">
        <f>"17404"</f>
        <v>17404</v>
      </c>
      <c r="H11349" s="19" t="s">
        <v>30834</v>
      </c>
      <c r="I11349" s="20">
        <v>15.734</v>
      </c>
      <c r="J11349" s="44" t="s">
        <v>8</v>
      </c>
      <c r="K11349" s="23" t="s">
        <v>8</v>
      </c>
      <c r="L11349" s="23" t="s">
        <v>8</v>
      </c>
      <c r="M11349" s="23" t="s">
        <v>8</v>
      </c>
    </row>
    <row r="11350" spans="1:13" s="21" customFormat="1" x14ac:dyDescent="0.25">
      <c r="A11350" s="22" t="s">
        <v>8</v>
      </c>
      <c r="B11350" s="18" t="str">
        <f>"395445"</f>
        <v>395445</v>
      </c>
      <c r="C11350" s="19" t="s">
        <v>11170</v>
      </c>
      <c r="D11350" s="19" t="s">
        <v>26757</v>
      </c>
      <c r="E11350" s="19" t="s">
        <v>34888</v>
      </c>
      <c r="F11350" s="19" t="s">
        <v>36012</v>
      </c>
      <c r="G11350" s="18" t="str">
        <f>"17055"</f>
        <v>17055</v>
      </c>
      <c r="H11350" s="19" t="s">
        <v>32766</v>
      </c>
      <c r="I11350" s="20">
        <v>18.414000000000001</v>
      </c>
      <c r="J11350" s="44" t="s">
        <v>8</v>
      </c>
      <c r="K11350" s="23" t="s">
        <v>8</v>
      </c>
      <c r="L11350" s="23" t="s">
        <v>8</v>
      </c>
      <c r="M11350" s="23" t="s">
        <v>8</v>
      </c>
    </row>
    <row r="11351" spans="1:13" s="21" customFormat="1" x14ac:dyDescent="0.25">
      <c r="A11351" s="22" t="s">
        <v>8</v>
      </c>
      <c r="B11351" s="18" t="str">
        <f>"395446"</f>
        <v>395446</v>
      </c>
      <c r="C11351" s="19" t="s">
        <v>11171</v>
      </c>
      <c r="D11351" s="19" t="s">
        <v>26758</v>
      </c>
      <c r="E11351" s="19" t="s">
        <v>34875</v>
      </c>
      <c r="F11351" s="19" t="s">
        <v>36012</v>
      </c>
      <c r="G11351" s="18" t="str">
        <f>"19401"</f>
        <v>19401</v>
      </c>
      <c r="H11351" s="19" t="s">
        <v>30833</v>
      </c>
      <c r="I11351" s="20">
        <v>16.940999999999999</v>
      </c>
      <c r="J11351" s="44" t="s">
        <v>8</v>
      </c>
      <c r="K11351" s="23" t="s">
        <v>8</v>
      </c>
      <c r="L11351" s="23" t="s">
        <v>8</v>
      </c>
      <c r="M11351" s="23" t="s">
        <v>8</v>
      </c>
    </row>
    <row r="11352" spans="1:13" s="21" customFormat="1" x14ac:dyDescent="0.25">
      <c r="A11352" s="22" t="s">
        <v>8</v>
      </c>
      <c r="B11352" s="18" t="str">
        <f>"395448"</f>
        <v>395448</v>
      </c>
      <c r="C11352" s="19" t="s">
        <v>11172</v>
      </c>
      <c r="D11352" s="19" t="s">
        <v>26759</v>
      </c>
      <c r="E11352" s="19" t="s">
        <v>34903</v>
      </c>
      <c r="F11352" s="19" t="s">
        <v>36012</v>
      </c>
      <c r="G11352" s="18" t="str">
        <f>"17764"</f>
        <v>17764</v>
      </c>
      <c r="H11352" s="19" t="s">
        <v>31081</v>
      </c>
      <c r="I11352" s="20">
        <v>18.704000000000001</v>
      </c>
      <c r="J11352" s="44" t="s">
        <v>8</v>
      </c>
      <c r="K11352" s="23" t="s">
        <v>8</v>
      </c>
      <c r="L11352" s="23" t="s">
        <v>8</v>
      </c>
      <c r="M11352" s="23" t="s">
        <v>8</v>
      </c>
    </row>
    <row r="11353" spans="1:13" s="21" customFormat="1" x14ac:dyDescent="0.25">
      <c r="A11353" s="22" t="s">
        <v>8</v>
      </c>
      <c r="B11353" s="18" t="str">
        <f>"395449"</f>
        <v>395449</v>
      </c>
      <c r="C11353" s="19" t="s">
        <v>11173</v>
      </c>
      <c r="D11353" s="19" t="s">
        <v>26760</v>
      </c>
      <c r="E11353" s="19" t="s">
        <v>33514</v>
      </c>
      <c r="F11353" s="19" t="s">
        <v>36012</v>
      </c>
      <c r="G11353" s="18" t="str">
        <f>"19115"</f>
        <v>19115</v>
      </c>
      <c r="H11353" s="19" t="s">
        <v>33514</v>
      </c>
      <c r="I11353" s="20">
        <v>21.463999999999999</v>
      </c>
      <c r="J11353" s="44" t="s">
        <v>8</v>
      </c>
      <c r="K11353" s="23" t="s">
        <v>8</v>
      </c>
      <c r="L11353" s="23" t="s">
        <v>8</v>
      </c>
      <c r="M11353" s="23" t="s">
        <v>8</v>
      </c>
    </row>
    <row r="11354" spans="1:13" s="21" customFormat="1" x14ac:dyDescent="0.25">
      <c r="A11354" s="22" t="s">
        <v>8</v>
      </c>
      <c r="B11354" s="18" t="str">
        <f>"395451"</f>
        <v>395451</v>
      </c>
      <c r="C11354" s="19" t="s">
        <v>11174</v>
      </c>
      <c r="D11354" s="19" t="s">
        <v>26761</v>
      </c>
      <c r="E11354" s="19" t="s">
        <v>34904</v>
      </c>
      <c r="F11354" s="19" t="s">
        <v>36012</v>
      </c>
      <c r="G11354" s="18" t="str">
        <f>"17313"</f>
        <v>17313</v>
      </c>
      <c r="H11354" s="19" t="s">
        <v>30834</v>
      </c>
      <c r="I11354" s="20">
        <v>17.062000000000001</v>
      </c>
      <c r="J11354" s="44" t="s">
        <v>8</v>
      </c>
      <c r="K11354" s="23" t="s">
        <v>8</v>
      </c>
      <c r="L11354" s="23" t="s">
        <v>8</v>
      </c>
      <c r="M11354" s="23" t="s">
        <v>8</v>
      </c>
    </row>
    <row r="11355" spans="1:13" s="21" customFormat="1" x14ac:dyDescent="0.25">
      <c r="A11355" s="22" t="s">
        <v>8</v>
      </c>
      <c r="B11355" s="18" t="str">
        <f>"395454"</f>
        <v>395454</v>
      </c>
      <c r="C11355" s="19" t="s">
        <v>11175</v>
      </c>
      <c r="D11355" s="19" t="s">
        <v>26762</v>
      </c>
      <c r="E11355" s="19" t="s">
        <v>34905</v>
      </c>
      <c r="F11355" s="19" t="s">
        <v>36012</v>
      </c>
      <c r="G11355" s="18" t="str">
        <f>"19468"</f>
        <v>19468</v>
      </c>
      <c r="H11355" s="19" t="s">
        <v>30833</v>
      </c>
      <c r="I11355" s="20">
        <v>20.449000000000002</v>
      </c>
      <c r="J11355" s="44" t="s">
        <v>8</v>
      </c>
      <c r="K11355" s="23" t="s">
        <v>8</v>
      </c>
      <c r="L11355" s="23" t="s">
        <v>8</v>
      </c>
      <c r="M11355" s="23" t="s">
        <v>8</v>
      </c>
    </row>
    <row r="11356" spans="1:13" s="21" customFormat="1" x14ac:dyDescent="0.25">
      <c r="A11356" s="22" t="s">
        <v>8</v>
      </c>
      <c r="B11356" s="18" t="str">
        <f>"395456"</f>
        <v>395456</v>
      </c>
      <c r="C11356" s="19" t="s">
        <v>11176</v>
      </c>
      <c r="D11356" s="19" t="s">
        <v>26763</v>
      </c>
      <c r="E11356" s="19" t="s">
        <v>34823</v>
      </c>
      <c r="F11356" s="19" t="s">
        <v>36012</v>
      </c>
      <c r="G11356" s="18" t="str">
        <f>"18701"</f>
        <v>18701</v>
      </c>
      <c r="H11356" s="19" t="s">
        <v>36735</v>
      </c>
      <c r="I11356" s="20">
        <v>18.087</v>
      </c>
      <c r="J11356" s="44" t="s">
        <v>8</v>
      </c>
      <c r="K11356" s="23" t="s">
        <v>8</v>
      </c>
      <c r="L11356" s="23" t="s">
        <v>8</v>
      </c>
      <c r="M11356" s="23" t="s">
        <v>8</v>
      </c>
    </row>
    <row r="11357" spans="1:13" s="21" customFormat="1" x14ac:dyDescent="0.25">
      <c r="A11357" s="22" t="s">
        <v>8</v>
      </c>
      <c r="B11357" s="18" t="str">
        <f>"395458"</f>
        <v>395458</v>
      </c>
      <c r="C11357" s="19" t="s">
        <v>11177</v>
      </c>
      <c r="D11357" s="19" t="s">
        <v>26764</v>
      </c>
      <c r="E11357" s="19" t="s">
        <v>34906</v>
      </c>
      <c r="F11357" s="19" t="s">
        <v>36012</v>
      </c>
      <c r="G11357" s="18" t="str">
        <f>"16255"</f>
        <v>16255</v>
      </c>
      <c r="H11357" s="19" t="s">
        <v>32460</v>
      </c>
      <c r="I11357" s="20">
        <v>16.716000000000001</v>
      </c>
      <c r="J11357" s="44" t="s">
        <v>8</v>
      </c>
      <c r="K11357" s="23" t="s">
        <v>8</v>
      </c>
      <c r="L11357" s="23" t="s">
        <v>8</v>
      </c>
      <c r="M11357" s="23" t="s">
        <v>8</v>
      </c>
    </row>
    <row r="11358" spans="1:13" s="21" customFormat="1" x14ac:dyDescent="0.25">
      <c r="A11358" s="22" t="s">
        <v>8</v>
      </c>
      <c r="B11358" s="18" t="str">
        <f>"395459"</f>
        <v>395459</v>
      </c>
      <c r="C11358" s="19" t="s">
        <v>5097</v>
      </c>
      <c r="D11358" s="19" t="s">
        <v>26765</v>
      </c>
      <c r="E11358" s="19" t="s">
        <v>34907</v>
      </c>
      <c r="F11358" s="19" t="s">
        <v>36012</v>
      </c>
      <c r="G11358" s="18" t="str">
        <f>"19047"</f>
        <v>19047</v>
      </c>
      <c r="H11358" s="19" t="s">
        <v>36729</v>
      </c>
      <c r="I11358" s="20">
        <v>17.033000000000001</v>
      </c>
      <c r="J11358" s="44" t="s">
        <v>8</v>
      </c>
      <c r="K11358" s="23" t="s">
        <v>8</v>
      </c>
      <c r="L11358" s="23" t="s">
        <v>8</v>
      </c>
      <c r="M11358" s="23" t="s">
        <v>8</v>
      </c>
    </row>
    <row r="11359" spans="1:13" s="21" customFormat="1" x14ac:dyDescent="0.25">
      <c r="A11359" s="22" t="s">
        <v>8</v>
      </c>
      <c r="B11359" s="18" t="str">
        <f>"395460"</f>
        <v>395460</v>
      </c>
      <c r="C11359" s="19" t="s">
        <v>11178</v>
      </c>
      <c r="D11359" s="19" t="s">
        <v>26766</v>
      </c>
      <c r="E11359" s="19" t="s">
        <v>34787</v>
      </c>
      <c r="F11359" s="19" t="s">
        <v>36012</v>
      </c>
      <c r="G11359" s="18" t="str">
        <f>"15801"</f>
        <v>15801</v>
      </c>
      <c r="H11359" s="19" t="s">
        <v>32508</v>
      </c>
      <c r="I11359" s="20">
        <v>18.111999999999998</v>
      </c>
      <c r="J11359" s="44" t="s">
        <v>8</v>
      </c>
      <c r="K11359" s="23" t="s">
        <v>8</v>
      </c>
      <c r="L11359" s="23" t="s">
        <v>8</v>
      </c>
      <c r="M11359" s="23" t="s">
        <v>8</v>
      </c>
    </row>
    <row r="11360" spans="1:13" s="21" customFormat="1" x14ac:dyDescent="0.25">
      <c r="A11360" s="22" t="s">
        <v>8</v>
      </c>
      <c r="B11360" s="18" t="str">
        <f>"395461"</f>
        <v>395461</v>
      </c>
      <c r="C11360" s="19" t="s">
        <v>11179</v>
      </c>
      <c r="D11360" s="19" t="s">
        <v>26767</v>
      </c>
      <c r="E11360" s="19" t="s">
        <v>33514</v>
      </c>
      <c r="F11360" s="19" t="s">
        <v>36012</v>
      </c>
      <c r="G11360" s="18" t="str">
        <f>"19123"</f>
        <v>19123</v>
      </c>
      <c r="H11360" s="19" t="s">
        <v>33514</v>
      </c>
      <c r="I11360" s="20">
        <v>21.803999999999998</v>
      </c>
      <c r="J11360" s="44" t="s">
        <v>8</v>
      </c>
      <c r="K11360" s="23" t="s">
        <v>8</v>
      </c>
      <c r="L11360" s="23" t="s">
        <v>8</v>
      </c>
      <c r="M11360" s="23" t="s">
        <v>8</v>
      </c>
    </row>
    <row r="11361" spans="1:13" s="21" customFormat="1" x14ac:dyDescent="0.25">
      <c r="A11361" s="22" t="s">
        <v>8</v>
      </c>
      <c r="B11361" s="18" t="str">
        <f>"395462"</f>
        <v>395462</v>
      </c>
      <c r="C11361" s="19" t="s">
        <v>11180</v>
      </c>
      <c r="D11361" s="19" t="s">
        <v>26768</v>
      </c>
      <c r="E11361" s="19" t="s">
        <v>34908</v>
      </c>
      <c r="F11361" s="19" t="s">
        <v>36012</v>
      </c>
      <c r="G11361" s="18" t="str">
        <f>"18330"</f>
        <v>18330</v>
      </c>
      <c r="H11361" s="19" t="s">
        <v>31711</v>
      </c>
      <c r="I11361" s="20">
        <v>17.619</v>
      </c>
      <c r="J11361" s="44" t="s">
        <v>8</v>
      </c>
      <c r="K11361" s="23" t="s">
        <v>8</v>
      </c>
      <c r="L11361" s="23" t="s">
        <v>8</v>
      </c>
      <c r="M11361" s="23" t="s">
        <v>8</v>
      </c>
    </row>
    <row r="11362" spans="1:13" s="21" customFormat="1" x14ac:dyDescent="0.25">
      <c r="A11362" s="22" t="s">
        <v>8</v>
      </c>
      <c r="B11362" s="18" t="str">
        <f>"395464"</f>
        <v>395464</v>
      </c>
      <c r="C11362" s="19" t="s">
        <v>11181</v>
      </c>
      <c r="D11362" s="19" t="s">
        <v>26769</v>
      </c>
      <c r="E11362" s="19" t="s">
        <v>34909</v>
      </c>
      <c r="F11362" s="19" t="s">
        <v>36012</v>
      </c>
      <c r="G11362" s="18" t="str">
        <f>"18255"</f>
        <v>18255</v>
      </c>
      <c r="H11362" s="19" t="s">
        <v>36538</v>
      </c>
      <c r="I11362" s="20">
        <v>16.55</v>
      </c>
      <c r="J11362" s="44" t="s">
        <v>8</v>
      </c>
      <c r="K11362" s="23" t="s">
        <v>8</v>
      </c>
      <c r="L11362" s="23" t="s">
        <v>8</v>
      </c>
      <c r="M11362" s="23" t="s">
        <v>8</v>
      </c>
    </row>
    <row r="11363" spans="1:13" s="21" customFormat="1" x14ac:dyDescent="0.25">
      <c r="A11363" s="22" t="s">
        <v>8</v>
      </c>
      <c r="B11363" s="18" t="str">
        <f>"395465"</f>
        <v>395465</v>
      </c>
      <c r="C11363" s="19" t="s">
        <v>11182</v>
      </c>
      <c r="D11363" s="19" t="s">
        <v>26770</v>
      </c>
      <c r="E11363" s="19" t="s">
        <v>34799</v>
      </c>
      <c r="F11363" s="19" t="s">
        <v>36012</v>
      </c>
      <c r="G11363" s="18" t="str">
        <f>"18104"</f>
        <v>18104</v>
      </c>
      <c r="H11363" s="19" t="s">
        <v>36731</v>
      </c>
      <c r="I11363" s="20">
        <v>16.120999999999999</v>
      </c>
      <c r="J11363" s="44" t="s">
        <v>8</v>
      </c>
      <c r="K11363" s="23" t="s">
        <v>8</v>
      </c>
      <c r="L11363" s="23" t="s">
        <v>8</v>
      </c>
      <c r="M11363" s="23" t="s">
        <v>8</v>
      </c>
    </row>
    <row r="11364" spans="1:13" s="21" customFormat="1" x14ac:dyDescent="0.25">
      <c r="A11364" s="22" t="s">
        <v>8</v>
      </c>
      <c r="B11364" s="18" t="str">
        <f>"395466"</f>
        <v>395466</v>
      </c>
      <c r="C11364" s="19" t="s">
        <v>11183</v>
      </c>
      <c r="D11364" s="19" t="s">
        <v>26771</v>
      </c>
      <c r="E11364" s="19" t="s">
        <v>31405</v>
      </c>
      <c r="F11364" s="19" t="s">
        <v>36012</v>
      </c>
      <c r="G11364" s="18" t="str">
        <f>"18337"</f>
        <v>18337</v>
      </c>
      <c r="H11364" s="19" t="s">
        <v>36033</v>
      </c>
      <c r="I11364" s="20">
        <v>22.202999999999999</v>
      </c>
      <c r="J11364" s="44" t="s">
        <v>8</v>
      </c>
      <c r="K11364" s="23" t="s">
        <v>8</v>
      </c>
      <c r="L11364" s="23" t="s">
        <v>8</v>
      </c>
      <c r="M11364" s="23" t="s">
        <v>8</v>
      </c>
    </row>
    <row r="11365" spans="1:13" s="21" customFormat="1" x14ac:dyDescent="0.25">
      <c r="A11365" s="22" t="s">
        <v>8</v>
      </c>
      <c r="B11365" s="18" t="str">
        <f>"395467"</f>
        <v>395467</v>
      </c>
      <c r="C11365" s="19" t="s">
        <v>11184</v>
      </c>
      <c r="D11365" s="19" t="s">
        <v>26772</v>
      </c>
      <c r="E11365" s="19" t="s">
        <v>33514</v>
      </c>
      <c r="F11365" s="19" t="s">
        <v>36012</v>
      </c>
      <c r="G11365" s="18" t="str">
        <f>"19128"</f>
        <v>19128</v>
      </c>
      <c r="H11365" s="19" t="s">
        <v>33514</v>
      </c>
      <c r="I11365" s="20">
        <v>16.399999999999999</v>
      </c>
      <c r="J11365" s="44" t="s">
        <v>8</v>
      </c>
      <c r="K11365" s="23" t="s">
        <v>8</v>
      </c>
      <c r="L11365" s="23" t="s">
        <v>8</v>
      </c>
      <c r="M11365" s="23" t="s">
        <v>8</v>
      </c>
    </row>
    <row r="11366" spans="1:13" s="21" customFormat="1" x14ac:dyDescent="0.25">
      <c r="A11366" s="22" t="s">
        <v>8</v>
      </c>
      <c r="B11366" s="18" t="str">
        <f>"395469"</f>
        <v>395469</v>
      </c>
      <c r="C11366" s="19" t="s">
        <v>11185</v>
      </c>
      <c r="D11366" s="19" t="s">
        <v>26773</v>
      </c>
      <c r="E11366" s="19" t="s">
        <v>32698</v>
      </c>
      <c r="F11366" s="19" t="s">
        <v>36012</v>
      </c>
      <c r="G11366" s="18" t="str">
        <f>"17022"</f>
        <v>17022</v>
      </c>
      <c r="H11366" s="19" t="s">
        <v>31184</v>
      </c>
      <c r="I11366" s="20">
        <v>21.640999999999998</v>
      </c>
      <c r="J11366" s="44" t="s">
        <v>8</v>
      </c>
      <c r="K11366" s="23" t="s">
        <v>8</v>
      </c>
      <c r="L11366" s="23" t="s">
        <v>8</v>
      </c>
      <c r="M11366" s="23" t="s">
        <v>8</v>
      </c>
    </row>
    <row r="11367" spans="1:13" s="21" customFormat="1" x14ac:dyDescent="0.25">
      <c r="A11367" s="22" t="s">
        <v>8</v>
      </c>
      <c r="B11367" s="18" t="str">
        <f>"395471"</f>
        <v>395471</v>
      </c>
      <c r="C11367" s="19" t="s">
        <v>11186</v>
      </c>
      <c r="D11367" s="19" t="s">
        <v>26774</v>
      </c>
      <c r="E11367" s="19" t="s">
        <v>34910</v>
      </c>
      <c r="F11367" s="19" t="s">
        <v>36012</v>
      </c>
      <c r="G11367" s="18" t="str">
        <f>"16201"</f>
        <v>16201</v>
      </c>
      <c r="H11367" s="19" t="s">
        <v>32452</v>
      </c>
      <c r="I11367" s="20">
        <v>18.277000000000001</v>
      </c>
      <c r="J11367" s="44" t="s">
        <v>8</v>
      </c>
      <c r="K11367" s="23" t="s">
        <v>8</v>
      </c>
      <c r="L11367" s="23" t="s">
        <v>8</v>
      </c>
      <c r="M11367" s="23" t="s">
        <v>8</v>
      </c>
    </row>
    <row r="11368" spans="1:13" s="21" customFormat="1" x14ac:dyDescent="0.25">
      <c r="A11368" s="22" t="s">
        <v>8</v>
      </c>
      <c r="B11368" s="18" t="str">
        <f>"395472"</f>
        <v>395472</v>
      </c>
      <c r="C11368" s="19" t="s">
        <v>11187</v>
      </c>
      <c r="D11368" s="19" t="s">
        <v>26775</v>
      </c>
      <c r="E11368" s="19" t="s">
        <v>32035</v>
      </c>
      <c r="F11368" s="19" t="s">
        <v>36012</v>
      </c>
      <c r="G11368" s="18" t="str">
        <f>"17042"</f>
        <v>17042</v>
      </c>
      <c r="H11368" s="19" t="s">
        <v>32035</v>
      </c>
      <c r="I11368" s="20">
        <v>20.068000000000001</v>
      </c>
      <c r="J11368" s="44" t="s">
        <v>8</v>
      </c>
      <c r="K11368" s="23" t="s">
        <v>8</v>
      </c>
      <c r="L11368" s="23" t="s">
        <v>8</v>
      </c>
      <c r="M11368" s="23" t="s">
        <v>8</v>
      </c>
    </row>
    <row r="11369" spans="1:13" s="21" customFormat="1" x14ac:dyDescent="0.25">
      <c r="A11369" s="22" t="s">
        <v>8</v>
      </c>
      <c r="B11369" s="18" t="str">
        <f>"395473"</f>
        <v>395473</v>
      </c>
      <c r="C11369" s="19" t="s">
        <v>11188</v>
      </c>
      <c r="D11369" s="19" t="s">
        <v>26776</v>
      </c>
      <c r="E11369" s="19" t="s">
        <v>31466</v>
      </c>
      <c r="F11369" s="19" t="s">
        <v>36012</v>
      </c>
      <c r="G11369" s="18" t="str">
        <f>"18940"</f>
        <v>18940</v>
      </c>
      <c r="H11369" s="19" t="s">
        <v>36729</v>
      </c>
      <c r="I11369" s="20">
        <v>17.553000000000001</v>
      </c>
      <c r="J11369" s="44" t="s">
        <v>8</v>
      </c>
      <c r="K11369" s="23" t="s">
        <v>8</v>
      </c>
      <c r="L11369" s="23" t="s">
        <v>8</v>
      </c>
      <c r="M11369" s="23" t="s">
        <v>8</v>
      </c>
    </row>
    <row r="11370" spans="1:13" s="21" customFormat="1" x14ac:dyDescent="0.25">
      <c r="A11370" s="22" t="s">
        <v>8</v>
      </c>
      <c r="B11370" s="18" t="str">
        <f>"395474"</f>
        <v>395474</v>
      </c>
      <c r="C11370" s="19" t="s">
        <v>11189</v>
      </c>
      <c r="D11370" s="19" t="s">
        <v>26777</v>
      </c>
      <c r="E11370" s="19" t="s">
        <v>34805</v>
      </c>
      <c r="F11370" s="19" t="s">
        <v>36012</v>
      </c>
      <c r="G11370" s="18" t="str">
        <f>"16508"</f>
        <v>16508</v>
      </c>
      <c r="H11370" s="19" t="s">
        <v>34805</v>
      </c>
      <c r="I11370" s="20">
        <v>16.52</v>
      </c>
      <c r="J11370" s="44" t="s">
        <v>8</v>
      </c>
      <c r="K11370" s="23" t="s">
        <v>8</v>
      </c>
      <c r="L11370" s="23" t="s">
        <v>8</v>
      </c>
      <c r="M11370" s="23" t="s">
        <v>8</v>
      </c>
    </row>
    <row r="11371" spans="1:13" s="21" customFormat="1" x14ac:dyDescent="0.25">
      <c r="A11371" s="22" t="s">
        <v>8</v>
      </c>
      <c r="B11371" s="18" t="str">
        <f>"395475"</f>
        <v>395475</v>
      </c>
      <c r="C11371" s="19" t="s">
        <v>11190</v>
      </c>
      <c r="D11371" s="19" t="s">
        <v>26778</v>
      </c>
      <c r="E11371" s="19" t="s">
        <v>31073</v>
      </c>
      <c r="F11371" s="19" t="s">
        <v>36012</v>
      </c>
      <c r="G11371" s="18" t="str">
        <f>"17102"</f>
        <v>17102</v>
      </c>
      <c r="H11371" s="19" t="s">
        <v>36733</v>
      </c>
      <c r="I11371" s="20">
        <v>16.725999999999999</v>
      </c>
      <c r="J11371" s="44" t="s">
        <v>8</v>
      </c>
      <c r="K11371" s="23" t="s">
        <v>8</v>
      </c>
      <c r="L11371" s="23" t="s">
        <v>8</v>
      </c>
      <c r="M11371" s="23" t="s">
        <v>8</v>
      </c>
    </row>
    <row r="11372" spans="1:13" s="21" customFormat="1" x14ac:dyDescent="0.25">
      <c r="A11372" s="22" t="s">
        <v>8</v>
      </c>
      <c r="B11372" s="18" t="str">
        <f>"395476"</f>
        <v>395476</v>
      </c>
      <c r="C11372" s="19" t="s">
        <v>11191</v>
      </c>
      <c r="D11372" s="19" t="s">
        <v>26779</v>
      </c>
      <c r="E11372" s="19" t="s">
        <v>34911</v>
      </c>
      <c r="F11372" s="19" t="s">
        <v>36012</v>
      </c>
      <c r="G11372" s="18" t="str">
        <f>"18064"</f>
        <v>18064</v>
      </c>
      <c r="H11372" s="19" t="s">
        <v>33038</v>
      </c>
      <c r="I11372" s="20">
        <v>18.268000000000001</v>
      </c>
      <c r="J11372" s="44" t="s">
        <v>8</v>
      </c>
      <c r="K11372" s="23" t="s">
        <v>8</v>
      </c>
      <c r="L11372" s="23" t="s">
        <v>8</v>
      </c>
      <c r="M11372" s="23" t="s">
        <v>8</v>
      </c>
    </row>
    <row r="11373" spans="1:13" s="21" customFormat="1" x14ac:dyDescent="0.25">
      <c r="A11373" s="22" t="s">
        <v>8</v>
      </c>
      <c r="B11373" s="18" t="str">
        <f>"395477"</f>
        <v>395477</v>
      </c>
      <c r="C11373" s="19" t="s">
        <v>11192</v>
      </c>
      <c r="D11373" s="19" t="s">
        <v>26780</v>
      </c>
      <c r="E11373" s="19" t="s">
        <v>34912</v>
      </c>
      <c r="F11373" s="19" t="s">
        <v>36012</v>
      </c>
      <c r="G11373" s="18" t="str">
        <f>"19605"</f>
        <v>19605</v>
      </c>
      <c r="H11373" s="19" t="s">
        <v>36734</v>
      </c>
      <c r="I11373" s="20">
        <v>16.189</v>
      </c>
      <c r="J11373" s="44" t="s">
        <v>8</v>
      </c>
      <c r="K11373" s="23" t="s">
        <v>8</v>
      </c>
      <c r="L11373" s="23" t="s">
        <v>8</v>
      </c>
      <c r="M11373" s="23" t="s">
        <v>8</v>
      </c>
    </row>
    <row r="11374" spans="1:13" s="21" customFormat="1" x14ac:dyDescent="0.25">
      <c r="A11374" s="22" t="s">
        <v>8</v>
      </c>
      <c r="B11374" s="18" t="str">
        <f>"395478"</f>
        <v>395478</v>
      </c>
      <c r="C11374" s="19" t="s">
        <v>11193</v>
      </c>
      <c r="D11374" s="19" t="s">
        <v>26781</v>
      </c>
      <c r="E11374" s="19" t="s">
        <v>33514</v>
      </c>
      <c r="F11374" s="19" t="s">
        <v>36012</v>
      </c>
      <c r="G11374" s="18" t="str">
        <f>"19130"</f>
        <v>19130</v>
      </c>
      <c r="H11374" s="19" t="s">
        <v>33514</v>
      </c>
      <c r="I11374" s="20">
        <v>24.312000000000001</v>
      </c>
      <c r="J11374" s="44" t="s">
        <v>8</v>
      </c>
      <c r="K11374" s="23" t="s">
        <v>8</v>
      </c>
      <c r="L11374" s="23" t="s">
        <v>8</v>
      </c>
      <c r="M11374" s="23" t="s">
        <v>8</v>
      </c>
    </row>
    <row r="11375" spans="1:13" s="21" customFormat="1" x14ac:dyDescent="0.25">
      <c r="A11375" s="22" t="s">
        <v>8</v>
      </c>
      <c r="B11375" s="18" t="str">
        <f>"395479"</f>
        <v>395479</v>
      </c>
      <c r="C11375" s="19" t="s">
        <v>11194</v>
      </c>
      <c r="D11375" s="19" t="s">
        <v>26782</v>
      </c>
      <c r="E11375" s="19" t="s">
        <v>34845</v>
      </c>
      <c r="F11375" s="19" t="s">
        <v>36012</v>
      </c>
      <c r="G11375" s="18" t="str">
        <f>"19446"</f>
        <v>19446</v>
      </c>
      <c r="H11375" s="19" t="s">
        <v>30833</v>
      </c>
      <c r="I11375" s="20">
        <v>22.885999999999999</v>
      </c>
      <c r="J11375" s="44" t="s">
        <v>8</v>
      </c>
      <c r="K11375" s="23" t="s">
        <v>8</v>
      </c>
      <c r="L11375" s="23" t="s">
        <v>8</v>
      </c>
      <c r="M11375" s="23" t="s">
        <v>8</v>
      </c>
    </row>
    <row r="11376" spans="1:13" s="21" customFormat="1" x14ac:dyDescent="0.25">
      <c r="A11376" s="22" t="s">
        <v>8</v>
      </c>
      <c r="B11376" s="18" t="str">
        <f>"395480"</f>
        <v>395480</v>
      </c>
      <c r="C11376" s="19" t="s">
        <v>11195</v>
      </c>
      <c r="D11376" s="19" t="s">
        <v>26783</v>
      </c>
      <c r="E11376" s="19" t="s">
        <v>34850</v>
      </c>
      <c r="F11376" s="19" t="s">
        <v>36012</v>
      </c>
      <c r="G11376" s="18" t="str">
        <f>"18235"</f>
        <v>18235</v>
      </c>
      <c r="H11376" s="19" t="s">
        <v>36538</v>
      </c>
      <c r="I11376" s="20">
        <v>17.32</v>
      </c>
      <c r="J11376" s="44" t="s">
        <v>8</v>
      </c>
      <c r="K11376" s="23" t="s">
        <v>8</v>
      </c>
      <c r="L11376" s="23" t="s">
        <v>8</v>
      </c>
      <c r="M11376" s="23" t="s">
        <v>8</v>
      </c>
    </row>
    <row r="11377" spans="1:13" s="21" customFormat="1" x14ac:dyDescent="0.25">
      <c r="A11377" s="22" t="s">
        <v>8</v>
      </c>
      <c r="B11377" s="18" t="str">
        <f>"395481"</f>
        <v>395481</v>
      </c>
      <c r="C11377" s="19" t="s">
        <v>11196</v>
      </c>
      <c r="D11377" s="19" t="s">
        <v>26784</v>
      </c>
      <c r="E11377" s="19" t="s">
        <v>34873</v>
      </c>
      <c r="F11377" s="19" t="s">
        <v>36012</v>
      </c>
      <c r="G11377" s="18" t="str">
        <f>"19095"</f>
        <v>19095</v>
      </c>
      <c r="H11377" s="19" t="s">
        <v>30833</v>
      </c>
      <c r="I11377" s="20">
        <v>19.835999999999999</v>
      </c>
      <c r="J11377" s="44" t="s">
        <v>8</v>
      </c>
      <c r="K11377" s="23" t="s">
        <v>8</v>
      </c>
      <c r="L11377" s="23" t="s">
        <v>8</v>
      </c>
      <c r="M11377" s="23" t="s">
        <v>8</v>
      </c>
    </row>
    <row r="11378" spans="1:13" s="21" customFormat="1" x14ac:dyDescent="0.25">
      <c r="A11378" s="22" t="s">
        <v>8</v>
      </c>
      <c r="B11378" s="18" t="str">
        <f>"395482"</f>
        <v>395482</v>
      </c>
      <c r="C11378" s="19" t="s">
        <v>11197</v>
      </c>
      <c r="D11378" s="19" t="s">
        <v>26785</v>
      </c>
      <c r="E11378" s="19" t="s">
        <v>34540</v>
      </c>
      <c r="F11378" s="19" t="s">
        <v>36012</v>
      </c>
      <c r="G11378" s="18" t="str">
        <f>"17801"</f>
        <v>17801</v>
      </c>
      <c r="H11378" s="19" t="s">
        <v>34890</v>
      </c>
      <c r="I11378" s="20">
        <v>18.059999999999999</v>
      </c>
      <c r="J11378" s="44" t="s">
        <v>8</v>
      </c>
      <c r="K11378" s="23" t="s">
        <v>8</v>
      </c>
      <c r="L11378" s="23" t="s">
        <v>8</v>
      </c>
      <c r="M11378" s="23" t="s">
        <v>8</v>
      </c>
    </row>
    <row r="11379" spans="1:13" s="21" customFormat="1" x14ac:dyDescent="0.25">
      <c r="A11379" s="22" t="s">
        <v>8</v>
      </c>
      <c r="B11379" s="18" t="str">
        <f>"395483"</f>
        <v>395483</v>
      </c>
      <c r="C11379" s="19" t="s">
        <v>11198</v>
      </c>
      <c r="D11379" s="19" t="s">
        <v>26786</v>
      </c>
      <c r="E11379" s="19" t="s">
        <v>34875</v>
      </c>
      <c r="F11379" s="19" t="s">
        <v>36012</v>
      </c>
      <c r="G11379" s="18" t="str">
        <f>"19401"</f>
        <v>19401</v>
      </c>
      <c r="H11379" s="19" t="s">
        <v>30833</v>
      </c>
      <c r="I11379" s="20">
        <v>20.141999999999999</v>
      </c>
      <c r="J11379" s="44" t="s">
        <v>8</v>
      </c>
      <c r="K11379" s="23" t="s">
        <v>8</v>
      </c>
      <c r="L11379" s="23" t="s">
        <v>8</v>
      </c>
      <c r="M11379" s="23" t="s">
        <v>8</v>
      </c>
    </row>
    <row r="11380" spans="1:13" s="21" customFormat="1" x14ac:dyDescent="0.25">
      <c r="A11380" s="22" t="s">
        <v>8</v>
      </c>
      <c r="B11380" s="18" t="str">
        <f>"395484"</f>
        <v>395484</v>
      </c>
      <c r="C11380" s="19" t="s">
        <v>11199</v>
      </c>
      <c r="D11380" s="19" t="s">
        <v>26787</v>
      </c>
      <c r="E11380" s="19" t="s">
        <v>34913</v>
      </c>
      <c r="F11380" s="19" t="s">
        <v>36012</v>
      </c>
      <c r="G11380" s="18" t="str">
        <f>"18222"</f>
        <v>18222</v>
      </c>
      <c r="H11380" s="19" t="s">
        <v>36735</v>
      </c>
      <c r="I11380" s="20">
        <v>15.848000000000001</v>
      </c>
      <c r="J11380" s="44" t="s">
        <v>8</v>
      </c>
      <c r="K11380" s="23" t="s">
        <v>8</v>
      </c>
      <c r="L11380" s="23" t="s">
        <v>8</v>
      </c>
      <c r="M11380" s="23" t="s">
        <v>8</v>
      </c>
    </row>
    <row r="11381" spans="1:13" s="21" customFormat="1" x14ac:dyDescent="0.25">
      <c r="A11381" s="22" t="s">
        <v>8</v>
      </c>
      <c r="B11381" s="18" t="str">
        <f>"395485"</f>
        <v>395485</v>
      </c>
      <c r="C11381" s="19" t="s">
        <v>11200</v>
      </c>
      <c r="D11381" s="19" t="s">
        <v>26788</v>
      </c>
      <c r="E11381" s="19" t="s">
        <v>33514</v>
      </c>
      <c r="F11381" s="19" t="s">
        <v>36012</v>
      </c>
      <c r="G11381" s="18" t="str">
        <f>"19146"</f>
        <v>19146</v>
      </c>
      <c r="H11381" s="19" t="s">
        <v>33514</v>
      </c>
      <c r="I11381" s="20">
        <v>21.048999999999999</v>
      </c>
      <c r="J11381" s="44" t="s">
        <v>8</v>
      </c>
      <c r="K11381" s="23" t="s">
        <v>8</v>
      </c>
      <c r="L11381" s="23" t="s">
        <v>8</v>
      </c>
      <c r="M11381" s="23" t="s">
        <v>8</v>
      </c>
    </row>
    <row r="11382" spans="1:13" s="21" customFormat="1" x14ac:dyDescent="0.25">
      <c r="A11382" s="22" t="s">
        <v>8</v>
      </c>
      <c r="B11382" s="18" t="str">
        <f>"395489"</f>
        <v>395489</v>
      </c>
      <c r="C11382" s="19" t="s">
        <v>11201</v>
      </c>
      <c r="D11382" s="19" t="s">
        <v>26789</v>
      </c>
      <c r="E11382" s="19" t="s">
        <v>34914</v>
      </c>
      <c r="F11382" s="19" t="s">
        <v>36012</v>
      </c>
      <c r="G11382" s="18" t="str">
        <f>"16407"</f>
        <v>16407</v>
      </c>
      <c r="H11382" s="19" t="s">
        <v>34805</v>
      </c>
      <c r="I11382" s="20">
        <v>19.501999999999999</v>
      </c>
      <c r="J11382" s="44" t="s">
        <v>8</v>
      </c>
      <c r="K11382" s="23" t="s">
        <v>8</v>
      </c>
      <c r="L11382" s="23" t="s">
        <v>8</v>
      </c>
      <c r="M11382" s="23" t="s">
        <v>8</v>
      </c>
    </row>
    <row r="11383" spans="1:13" s="21" customFormat="1" x14ac:dyDescent="0.25">
      <c r="A11383" s="22" t="s">
        <v>8</v>
      </c>
      <c r="B11383" s="18" t="str">
        <f>"395490"</f>
        <v>395490</v>
      </c>
      <c r="C11383" s="19" t="s">
        <v>11202</v>
      </c>
      <c r="D11383" s="19" t="s">
        <v>26790</v>
      </c>
      <c r="E11383" s="19" t="s">
        <v>34915</v>
      </c>
      <c r="F11383" s="19" t="s">
        <v>36012</v>
      </c>
      <c r="G11383" s="18" t="str">
        <f>"18966"</f>
        <v>18966</v>
      </c>
      <c r="H11383" s="19" t="s">
        <v>36729</v>
      </c>
      <c r="I11383" s="20">
        <v>16.242999999999999</v>
      </c>
      <c r="J11383" s="44" t="s">
        <v>8</v>
      </c>
      <c r="K11383" s="23" t="s">
        <v>8</v>
      </c>
      <c r="L11383" s="23" t="s">
        <v>8</v>
      </c>
      <c r="M11383" s="23" t="s">
        <v>8</v>
      </c>
    </row>
    <row r="11384" spans="1:13" s="21" customFormat="1" x14ac:dyDescent="0.25">
      <c r="A11384" s="22" t="s">
        <v>8</v>
      </c>
      <c r="B11384" s="18" t="str">
        <f>"395491"</f>
        <v>395491</v>
      </c>
      <c r="C11384" s="19" t="s">
        <v>11203</v>
      </c>
      <c r="D11384" s="19" t="s">
        <v>26791</v>
      </c>
      <c r="E11384" s="19" t="s">
        <v>34916</v>
      </c>
      <c r="F11384" s="19" t="s">
        <v>36012</v>
      </c>
      <c r="G11384" s="18" t="str">
        <f>"18360"</f>
        <v>18360</v>
      </c>
      <c r="H11384" s="19" t="s">
        <v>31711</v>
      </c>
      <c r="I11384" s="20">
        <v>21.824000000000002</v>
      </c>
      <c r="J11384" s="44" t="s">
        <v>8</v>
      </c>
      <c r="K11384" s="23" t="s">
        <v>8</v>
      </c>
      <c r="L11384" s="23" t="s">
        <v>8</v>
      </c>
      <c r="M11384" s="23" t="s">
        <v>8</v>
      </c>
    </row>
    <row r="11385" spans="1:13" s="21" customFormat="1" x14ac:dyDescent="0.25">
      <c r="A11385" s="22" t="s">
        <v>8</v>
      </c>
      <c r="B11385" s="18" t="str">
        <f>"395492"</f>
        <v>395492</v>
      </c>
      <c r="C11385" s="19" t="s">
        <v>11204</v>
      </c>
      <c r="D11385" s="19" t="s">
        <v>26792</v>
      </c>
      <c r="E11385" s="19" t="s">
        <v>34426</v>
      </c>
      <c r="F11385" s="19" t="s">
        <v>36012</v>
      </c>
      <c r="G11385" s="18" t="str">
        <f>"19037"</f>
        <v>19037</v>
      </c>
      <c r="H11385" s="19" t="s">
        <v>34462</v>
      </c>
      <c r="I11385" s="20">
        <v>18.452000000000002</v>
      </c>
      <c r="J11385" s="44" t="s">
        <v>8</v>
      </c>
      <c r="K11385" s="23" t="s">
        <v>8</v>
      </c>
      <c r="L11385" s="23" t="s">
        <v>8</v>
      </c>
      <c r="M11385" s="23" t="s">
        <v>8</v>
      </c>
    </row>
    <row r="11386" spans="1:13" s="21" customFormat="1" x14ac:dyDescent="0.25">
      <c r="A11386" s="22" t="s">
        <v>8</v>
      </c>
      <c r="B11386" s="18" t="str">
        <f>"395493"</f>
        <v>395493</v>
      </c>
      <c r="C11386" s="19" t="s">
        <v>11205</v>
      </c>
      <c r="D11386" s="19" t="s">
        <v>26793</v>
      </c>
      <c r="E11386" s="19" t="s">
        <v>34917</v>
      </c>
      <c r="F11386" s="19" t="s">
        <v>36012</v>
      </c>
      <c r="G11386" s="18" t="str">
        <f>"18436"</f>
        <v>18436</v>
      </c>
      <c r="H11386" s="19" t="s">
        <v>33280</v>
      </c>
      <c r="I11386" s="20">
        <v>21.184999999999999</v>
      </c>
      <c r="J11386" s="44" t="s">
        <v>8</v>
      </c>
      <c r="K11386" s="23" t="s">
        <v>8</v>
      </c>
      <c r="L11386" s="23" t="s">
        <v>8</v>
      </c>
      <c r="M11386" s="23" t="s">
        <v>8</v>
      </c>
    </row>
    <row r="11387" spans="1:13" s="21" customFormat="1" x14ac:dyDescent="0.25">
      <c r="A11387" s="22" t="s">
        <v>8</v>
      </c>
      <c r="B11387" s="18" t="str">
        <f>"395494"</f>
        <v>395494</v>
      </c>
      <c r="C11387" s="19" t="s">
        <v>11206</v>
      </c>
      <c r="D11387" s="19" t="s">
        <v>26794</v>
      </c>
      <c r="E11387" s="19" t="s">
        <v>32881</v>
      </c>
      <c r="F11387" s="19" t="s">
        <v>36012</v>
      </c>
      <c r="G11387" s="18" t="str">
        <f>"18013"</f>
        <v>18013</v>
      </c>
      <c r="H11387" s="19" t="s">
        <v>33038</v>
      </c>
      <c r="I11387" s="20">
        <v>18.361999999999998</v>
      </c>
      <c r="J11387" s="44" t="s">
        <v>8</v>
      </c>
      <c r="K11387" s="23" t="s">
        <v>8</v>
      </c>
      <c r="L11387" s="23" t="s">
        <v>8</v>
      </c>
      <c r="M11387" s="23" t="s">
        <v>8</v>
      </c>
    </row>
    <row r="11388" spans="1:13" s="21" customFormat="1" x14ac:dyDescent="0.25">
      <c r="A11388" s="22" t="s">
        <v>8</v>
      </c>
      <c r="B11388" s="18" t="str">
        <f>"395495"</f>
        <v>395495</v>
      </c>
      <c r="C11388" s="19" t="s">
        <v>11207</v>
      </c>
      <c r="D11388" s="19" t="s">
        <v>26795</v>
      </c>
      <c r="E11388" s="19" t="s">
        <v>34918</v>
      </c>
      <c r="F11388" s="19" t="s">
        <v>36012</v>
      </c>
      <c r="G11388" s="18" t="str">
        <f>"19002"</f>
        <v>19002</v>
      </c>
      <c r="H11388" s="19" t="s">
        <v>30833</v>
      </c>
      <c r="I11388" s="20">
        <v>19.437999999999999</v>
      </c>
      <c r="J11388" s="44" t="s">
        <v>8</v>
      </c>
      <c r="K11388" s="23" t="s">
        <v>8</v>
      </c>
      <c r="L11388" s="23" t="s">
        <v>8</v>
      </c>
      <c r="M11388" s="23" t="s">
        <v>8</v>
      </c>
    </row>
    <row r="11389" spans="1:13" s="21" customFormat="1" x14ac:dyDescent="0.25">
      <c r="A11389" s="22" t="s">
        <v>8</v>
      </c>
      <c r="B11389" s="18" t="str">
        <f>"395496"</f>
        <v>395496</v>
      </c>
      <c r="C11389" s="19" t="s">
        <v>11208</v>
      </c>
      <c r="D11389" s="19" t="s">
        <v>26796</v>
      </c>
      <c r="E11389" s="19" t="s">
        <v>32961</v>
      </c>
      <c r="F11389" s="19" t="s">
        <v>36012</v>
      </c>
      <c r="G11389" s="18" t="str">
        <f>"19034"</f>
        <v>19034</v>
      </c>
      <c r="H11389" s="19" t="s">
        <v>30833</v>
      </c>
      <c r="I11389" s="20">
        <v>19.045999999999999</v>
      </c>
      <c r="J11389" s="44" t="s">
        <v>8</v>
      </c>
      <c r="K11389" s="23" t="s">
        <v>8</v>
      </c>
      <c r="L11389" s="23" t="s">
        <v>8</v>
      </c>
      <c r="M11389" s="23" t="s">
        <v>8</v>
      </c>
    </row>
    <row r="11390" spans="1:13" s="21" customFormat="1" x14ac:dyDescent="0.25">
      <c r="A11390" s="22" t="s">
        <v>8</v>
      </c>
      <c r="B11390" s="18" t="str">
        <f>"395497"</f>
        <v>395497</v>
      </c>
      <c r="C11390" s="19" t="s">
        <v>11209</v>
      </c>
      <c r="D11390" s="19" t="s">
        <v>26797</v>
      </c>
      <c r="E11390" s="19" t="s">
        <v>34919</v>
      </c>
      <c r="F11390" s="19" t="s">
        <v>36012</v>
      </c>
      <c r="G11390" s="18" t="str">
        <f>"18960"</f>
        <v>18960</v>
      </c>
      <c r="H11390" s="19" t="s">
        <v>36729</v>
      </c>
      <c r="I11390" s="20">
        <v>16.108000000000001</v>
      </c>
      <c r="J11390" s="44" t="s">
        <v>8</v>
      </c>
      <c r="K11390" s="23" t="s">
        <v>8</v>
      </c>
      <c r="L11390" s="23" t="s">
        <v>8</v>
      </c>
      <c r="M11390" s="23" t="s">
        <v>8</v>
      </c>
    </row>
    <row r="11391" spans="1:13" s="21" customFormat="1" x14ac:dyDescent="0.25">
      <c r="A11391" s="22" t="s">
        <v>8</v>
      </c>
      <c r="B11391" s="18" t="str">
        <f>"395498"</f>
        <v>395498</v>
      </c>
      <c r="C11391" s="19" t="s">
        <v>11210</v>
      </c>
      <c r="D11391" s="19" t="s">
        <v>26798</v>
      </c>
      <c r="E11391" s="19" t="s">
        <v>34920</v>
      </c>
      <c r="F11391" s="19" t="s">
        <v>36012</v>
      </c>
      <c r="G11391" s="18" t="str">
        <f>"19063"</f>
        <v>19063</v>
      </c>
      <c r="H11391" s="19" t="s">
        <v>34462</v>
      </c>
      <c r="I11391" s="20">
        <v>18.510000000000002</v>
      </c>
      <c r="J11391" s="44" t="s">
        <v>8</v>
      </c>
      <c r="K11391" s="23" t="s">
        <v>8</v>
      </c>
      <c r="L11391" s="23" t="s">
        <v>8</v>
      </c>
      <c r="M11391" s="23" t="s">
        <v>8</v>
      </c>
    </row>
    <row r="11392" spans="1:13" s="21" customFormat="1" x14ac:dyDescent="0.25">
      <c r="A11392" s="22" t="s">
        <v>8</v>
      </c>
      <c r="B11392" s="18" t="str">
        <f>"395499"</f>
        <v>395499</v>
      </c>
      <c r="C11392" s="19" t="s">
        <v>11211</v>
      </c>
      <c r="D11392" s="19" t="s">
        <v>26799</v>
      </c>
      <c r="E11392" s="19" t="s">
        <v>34921</v>
      </c>
      <c r="F11392" s="19" t="s">
        <v>36012</v>
      </c>
      <c r="G11392" s="18" t="str">
        <f>"17981"</f>
        <v>17981</v>
      </c>
      <c r="H11392" s="19" t="s">
        <v>36737</v>
      </c>
      <c r="I11392" s="20">
        <v>18.254000000000001</v>
      </c>
      <c r="J11392" s="44" t="s">
        <v>8</v>
      </c>
      <c r="K11392" s="23" t="s">
        <v>8</v>
      </c>
      <c r="L11392" s="23" t="s">
        <v>8</v>
      </c>
      <c r="M11392" s="23" t="s">
        <v>8</v>
      </c>
    </row>
    <row r="11393" spans="1:13" s="21" customFormat="1" x14ac:dyDescent="0.25">
      <c r="A11393" s="22" t="s">
        <v>8</v>
      </c>
      <c r="B11393" s="18" t="str">
        <f>"395500"</f>
        <v>395500</v>
      </c>
      <c r="C11393" s="19" t="s">
        <v>11212</v>
      </c>
      <c r="D11393" s="19" t="s">
        <v>26800</v>
      </c>
      <c r="E11393" s="19" t="s">
        <v>32236</v>
      </c>
      <c r="F11393" s="19" t="s">
        <v>36012</v>
      </c>
      <c r="G11393" s="18" t="str">
        <f>"15601"</f>
        <v>15601</v>
      </c>
      <c r="H11393" s="19" t="s">
        <v>32652</v>
      </c>
      <c r="I11393" s="20">
        <v>18.684999999999999</v>
      </c>
      <c r="J11393" s="44" t="s">
        <v>8</v>
      </c>
      <c r="K11393" s="23" t="s">
        <v>8</v>
      </c>
      <c r="L11393" s="23" t="s">
        <v>8</v>
      </c>
      <c r="M11393" s="23" t="s">
        <v>8</v>
      </c>
    </row>
    <row r="11394" spans="1:13" s="21" customFormat="1" x14ac:dyDescent="0.25">
      <c r="A11394" s="22" t="s">
        <v>8</v>
      </c>
      <c r="B11394" s="18" t="str">
        <f>"395502"</f>
        <v>395502</v>
      </c>
      <c r="C11394" s="19" t="s">
        <v>11213</v>
      </c>
      <c r="D11394" s="19" t="s">
        <v>26801</v>
      </c>
      <c r="E11394" s="19" t="s">
        <v>34922</v>
      </c>
      <c r="F11394" s="19" t="s">
        <v>36012</v>
      </c>
      <c r="G11394" s="18" t="str">
        <f>"16301"</f>
        <v>16301</v>
      </c>
      <c r="H11394" s="19" t="s">
        <v>36740</v>
      </c>
      <c r="I11394" s="20">
        <v>18.327000000000002</v>
      </c>
      <c r="J11394" s="44" t="s">
        <v>8</v>
      </c>
      <c r="K11394" s="23" t="s">
        <v>8</v>
      </c>
      <c r="L11394" s="23" t="s">
        <v>8</v>
      </c>
      <c r="M11394" s="23" t="s">
        <v>8</v>
      </c>
    </row>
    <row r="11395" spans="1:13" s="21" customFormat="1" x14ac:dyDescent="0.25">
      <c r="A11395" s="22" t="s">
        <v>8</v>
      </c>
      <c r="B11395" s="18" t="str">
        <f>"395506"</f>
        <v>395506</v>
      </c>
      <c r="C11395" s="19" t="s">
        <v>11214</v>
      </c>
      <c r="D11395" s="19" t="s">
        <v>26802</v>
      </c>
      <c r="E11395" s="19" t="s">
        <v>33610</v>
      </c>
      <c r="F11395" s="19" t="s">
        <v>36012</v>
      </c>
      <c r="G11395" s="18" t="str">
        <f>"17078"</f>
        <v>17078</v>
      </c>
      <c r="H11395" s="19" t="s">
        <v>32035</v>
      </c>
      <c r="I11395" s="20">
        <v>19.803000000000001</v>
      </c>
      <c r="J11395" s="44" t="s">
        <v>8</v>
      </c>
      <c r="K11395" s="23" t="s">
        <v>8</v>
      </c>
      <c r="L11395" s="23" t="s">
        <v>8</v>
      </c>
      <c r="M11395" s="23" t="s">
        <v>8</v>
      </c>
    </row>
    <row r="11396" spans="1:13" s="21" customFormat="1" x14ac:dyDescent="0.25">
      <c r="A11396" s="22" t="s">
        <v>8</v>
      </c>
      <c r="B11396" s="18" t="str">
        <f>"395507"</f>
        <v>395507</v>
      </c>
      <c r="C11396" s="19" t="s">
        <v>11215</v>
      </c>
      <c r="D11396" s="19" t="s">
        <v>26803</v>
      </c>
      <c r="E11396" s="19" t="s">
        <v>34845</v>
      </c>
      <c r="F11396" s="19" t="s">
        <v>36012</v>
      </c>
      <c r="G11396" s="18" t="str">
        <f>"19446"</f>
        <v>19446</v>
      </c>
      <c r="H11396" s="19" t="s">
        <v>30833</v>
      </c>
      <c r="I11396" s="20">
        <v>22.797999999999998</v>
      </c>
      <c r="J11396" s="44" t="s">
        <v>8</v>
      </c>
      <c r="K11396" s="23" t="s">
        <v>8</v>
      </c>
      <c r="L11396" s="23" t="s">
        <v>8</v>
      </c>
      <c r="M11396" s="23" t="s">
        <v>8</v>
      </c>
    </row>
    <row r="11397" spans="1:13" s="21" customFormat="1" x14ac:dyDescent="0.25">
      <c r="A11397" s="22" t="s">
        <v>8</v>
      </c>
      <c r="B11397" s="18" t="str">
        <f>"395509"</f>
        <v>395509</v>
      </c>
      <c r="C11397" s="19" t="s">
        <v>11216</v>
      </c>
      <c r="D11397" s="19" t="s">
        <v>26804</v>
      </c>
      <c r="E11397" s="19" t="s">
        <v>32961</v>
      </c>
      <c r="F11397" s="19" t="s">
        <v>36012</v>
      </c>
      <c r="G11397" s="18" t="str">
        <f>"19034"</f>
        <v>19034</v>
      </c>
      <c r="H11397" s="19" t="s">
        <v>30833</v>
      </c>
      <c r="I11397" s="20">
        <v>16.669</v>
      </c>
      <c r="J11397" s="44" t="s">
        <v>8</v>
      </c>
      <c r="K11397" s="23" t="s">
        <v>8</v>
      </c>
      <c r="L11397" s="23" t="s">
        <v>8</v>
      </c>
      <c r="M11397" s="23" t="s">
        <v>8</v>
      </c>
    </row>
    <row r="11398" spans="1:13" s="21" customFormat="1" x14ac:dyDescent="0.25">
      <c r="A11398" s="22" t="s">
        <v>8</v>
      </c>
      <c r="B11398" s="18" t="str">
        <f>"395510"</f>
        <v>395510</v>
      </c>
      <c r="C11398" s="19" t="s">
        <v>11217</v>
      </c>
      <c r="D11398" s="19" t="s">
        <v>26805</v>
      </c>
      <c r="E11398" s="19" t="s">
        <v>34416</v>
      </c>
      <c r="F11398" s="19" t="s">
        <v>36012</v>
      </c>
      <c r="G11398" s="18" t="str">
        <f>"16127"</f>
        <v>16127</v>
      </c>
      <c r="H11398" s="19" t="s">
        <v>34991</v>
      </c>
      <c r="I11398" s="20">
        <v>18.030999999999999</v>
      </c>
      <c r="J11398" s="44" t="s">
        <v>8</v>
      </c>
      <c r="K11398" s="23" t="s">
        <v>8</v>
      </c>
      <c r="L11398" s="23" t="s">
        <v>8</v>
      </c>
      <c r="M11398" s="23" t="s">
        <v>8</v>
      </c>
    </row>
    <row r="11399" spans="1:13" s="21" customFormat="1" x14ac:dyDescent="0.25">
      <c r="A11399" s="22" t="s">
        <v>8</v>
      </c>
      <c r="B11399" s="18" t="str">
        <f>"395512"</f>
        <v>395512</v>
      </c>
      <c r="C11399" s="19" t="s">
        <v>11218</v>
      </c>
      <c r="D11399" s="19" t="s">
        <v>26806</v>
      </c>
      <c r="E11399" s="19" t="s">
        <v>34540</v>
      </c>
      <c r="F11399" s="19" t="s">
        <v>36012</v>
      </c>
      <c r="G11399" s="18" t="str">
        <f>"17801"</f>
        <v>17801</v>
      </c>
      <c r="H11399" s="19" t="s">
        <v>34890</v>
      </c>
      <c r="I11399" s="20">
        <v>15.997999999999999</v>
      </c>
      <c r="J11399" s="44" t="s">
        <v>8</v>
      </c>
      <c r="K11399" s="23" t="s">
        <v>8</v>
      </c>
      <c r="L11399" s="23" t="s">
        <v>8</v>
      </c>
      <c r="M11399" s="23" t="s">
        <v>8</v>
      </c>
    </row>
    <row r="11400" spans="1:13" s="21" customFormat="1" x14ac:dyDescent="0.25">
      <c r="A11400" s="22" t="s">
        <v>8</v>
      </c>
      <c r="B11400" s="18" t="str">
        <f>"395514"</f>
        <v>395514</v>
      </c>
      <c r="C11400" s="19" t="s">
        <v>11219</v>
      </c>
      <c r="D11400" s="19" t="s">
        <v>26807</v>
      </c>
      <c r="E11400" s="19" t="s">
        <v>30849</v>
      </c>
      <c r="F11400" s="19" t="s">
        <v>36012</v>
      </c>
      <c r="G11400" s="18" t="str">
        <f>"16602"</f>
        <v>16602</v>
      </c>
      <c r="H11400" s="19" t="s">
        <v>33795</v>
      </c>
      <c r="I11400" s="20">
        <v>18.759</v>
      </c>
      <c r="J11400" s="44" t="s">
        <v>8</v>
      </c>
      <c r="K11400" s="23" t="s">
        <v>8</v>
      </c>
      <c r="L11400" s="23" t="s">
        <v>8</v>
      </c>
      <c r="M11400" s="23" t="s">
        <v>8</v>
      </c>
    </row>
    <row r="11401" spans="1:13" s="21" customFormat="1" x14ac:dyDescent="0.25">
      <c r="A11401" s="22" t="s">
        <v>8</v>
      </c>
      <c r="B11401" s="18" t="str">
        <f>"395515"</f>
        <v>395515</v>
      </c>
      <c r="C11401" s="19" t="s">
        <v>11220</v>
      </c>
      <c r="D11401" s="19" t="s">
        <v>26808</v>
      </c>
      <c r="E11401" s="19" t="s">
        <v>33514</v>
      </c>
      <c r="F11401" s="19" t="s">
        <v>36012</v>
      </c>
      <c r="G11401" s="18" t="str">
        <f>"19141"</f>
        <v>19141</v>
      </c>
      <c r="H11401" s="19" t="s">
        <v>33514</v>
      </c>
      <c r="I11401" s="20">
        <v>20.692</v>
      </c>
      <c r="J11401" s="44" t="s">
        <v>8</v>
      </c>
      <c r="K11401" s="23" t="s">
        <v>8</v>
      </c>
      <c r="L11401" s="23" t="s">
        <v>8</v>
      </c>
      <c r="M11401" s="23" t="s">
        <v>8</v>
      </c>
    </row>
    <row r="11402" spans="1:13" s="21" customFormat="1" x14ac:dyDescent="0.25">
      <c r="A11402" s="22" t="s">
        <v>8</v>
      </c>
      <c r="B11402" s="18" t="str">
        <f>"395518"</f>
        <v>395518</v>
      </c>
      <c r="C11402" s="19" t="s">
        <v>11221</v>
      </c>
      <c r="D11402" s="19" t="s">
        <v>26809</v>
      </c>
      <c r="E11402" s="19" t="s">
        <v>31412</v>
      </c>
      <c r="F11402" s="19" t="s">
        <v>36012</v>
      </c>
      <c r="G11402" s="18" t="str">
        <f>"17057"</f>
        <v>17057</v>
      </c>
      <c r="H11402" s="19" t="s">
        <v>36733</v>
      </c>
      <c r="I11402" s="20">
        <v>16.919</v>
      </c>
      <c r="J11402" s="44" t="s">
        <v>8</v>
      </c>
      <c r="K11402" s="23" t="s">
        <v>8</v>
      </c>
      <c r="L11402" s="23" t="s">
        <v>8</v>
      </c>
      <c r="M11402" s="23" t="s">
        <v>8</v>
      </c>
    </row>
    <row r="11403" spans="1:13" s="21" customFormat="1" x14ac:dyDescent="0.25">
      <c r="A11403" s="22" t="s">
        <v>8</v>
      </c>
      <c r="B11403" s="18" t="str">
        <f>"395519"</f>
        <v>395519</v>
      </c>
      <c r="C11403" s="19" t="s">
        <v>11222</v>
      </c>
      <c r="D11403" s="19" t="s">
        <v>26810</v>
      </c>
      <c r="E11403" s="19" t="s">
        <v>31042</v>
      </c>
      <c r="F11403" s="19" t="s">
        <v>36012</v>
      </c>
      <c r="G11403" s="18" t="str">
        <f>"19355"</f>
        <v>19355</v>
      </c>
      <c r="H11403" s="19" t="s">
        <v>31396</v>
      </c>
      <c r="I11403" s="20">
        <v>17.265999999999998</v>
      </c>
      <c r="J11403" s="44" t="s">
        <v>8</v>
      </c>
      <c r="K11403" s="23" t="s">
        <v>8</v>
      </c>
      <c r="L11403" s="23" t="s">
        <v>8</v>
      </c>
      <c r="M11403" s="23" t="s">
        <v>8</v>
      </c>
    </row>
    <row r="11404" spans="1:13" s="21" customFormat="1" x14ac:dyDescent="0.25">
      <c r="A11404" s="22" t="s">
        <v>8</v>
      </c>
      <c r="B11404" s="18" t="str">
        <f>"395520"</f>
        <v>395520</v>
      </c>
      <c r="C11404" s="19" t="s">
        <v>11223</v>
      </c>
      <c r="D11404" s="19" t="s">
        <v>26811</v>
      </c>
      <c r="E11404" s="19" t="s">
        <v>34520</v>
      </c>
      <c r="F11404" s="19" t="s">
        <v>36012</v>
      </c>
      <c r="G11404" s="18" t="str">
        <f>"18901"</f>
        <v>18901</v>
      </c>
      <c r="H11404" s="19" t="s">
        <v>36729</v>
      </c>
      <c r="I11404" s="20">
        <v>22.902999999999999</v>
      </c>
      <c r="J11404" s="44" t="s">
        <v>8</v>
      </c>
      <c r="K11404" s="23" t="s">
        <v>8</v>
      </c>
      <c r="L11404" s="23" t="s">
        <v>8</v>
      </c>
      <c r="M11404" s="23" t="s">
        <v>8</v>
      </c>
    </row>
    <row r="11405" spans="1:13" s="21" customFormat="1" x14ac:dyDescent="0.25">
      <c r="A11405" s="22" t="s">
        <v>8</v>
      </c>
      <c r="B11405" s="18" t="str">
        <f>"395521"</f>
        <v>395521</v>
      </c>
      <c r="C11405" s="19" t="s">
        <v>11224</v>
      </c>
      <c r="D11405" s="19" t="s">
        <v>26812</v>
      </c>
      <c r="E11405" s="19" t="s">
        <v>34907</v>
      </c>
      <c r="F11405" s="19" t="s">
        <v>36012</v>
      </c>
      <c r="G11405" s="18" t="str">
        <f>"19047"</f>
        <v>19047</v>
      </c>
      <c r="H11405" s="19" t="s">
        <v>36729</v>
      </c>
      <c r="I11405" s="20">
        <v>18.841000000000001</v>
      </c>
      <c r="J11405" s="44" t="s">
        <v>8</v>
      </c>
      <c r="K11405" s="23" t="s">
        <v>8</v>
      </c>
      <c r="L11405" s="23" t="s">
        <v>8</v>
      </c>
      <c r="M11405" s="23" t="s">
        <v>8</v>
      </c>
    </row>
    <row r="11406" spans="1:13" s="21" customFormat="1" x14ac:dyDescent="0.25">
      <c r="A11406" s="22" t="s">
        <v>8</v>
      </c>
      <c r="B11406" s="18" t="str">
        <f>"395524"</f>
        <v>395524</v>
      </c>
      <c r="C11406" s="19" t="s">
        <v>11225</v>
      </c>
      <c r="D11406" s="19" t="s">
        <v>26813</v>
      </c>
      <c r="E11406" s="19" t="s">
        <v>31498</v>
      </c>
      <c r="F11406" s="19" t="s">
        <v>36012</v>
      </c>
      <c r="G11406" s="18" t="str">
        <f>"16101"</f>
        <v>16101</v>
      </c>
      <c r="H11406" s="19" t="s">
        <v>32568</v>
      </c>
      <c r="I11406" s="20">
        <v>21.75</v>
      </c>
      <c r="J11406" s="44" t="s">
        <v>8</v>
      </c>
      <c r="K11406" s="23" t="s">
        <v>8</v>
      </c>
      <c r="L11406" s="23" t="s">
        <v>8</v>
      </c>
      <c r="M11406" s="23" t="s">
        <v>8</v>
      </c>
    </row>
    <row r="11407" spans="1:13" s="21" customFormat="1" x14ac:dyDescent="0.25">
      <c r="A11407" s="22" t="s">
        <v>8</v>
      </c>
      <c r="B11407" s="18" t="str">
        <f>"395525"</f>
        <v>395525</v>
      </c>
      <c r="C11407" s="19" t="s">
        <v>11226</v>
      </c>
      <c r="D11407" s="19" t="s">
        <v>26814</v>
      </c>
      <c r="E11407" s="19" t="s">
        <v>33514</v>
      </c>
      <c r="F11407" s="19" t="s">
        <v>36012</v>
      </c>
      <c r="G11407" s="18" t="str">
        <f>"19150"</f>
        <v>19150</v>
      </c>
      <c r="H11407" s="19" t="s">
        <v>33514</v>
      </c>
      <c r="I11407" s="20">
        <v>20.398</v>
      </c>
      <c r="J11407" s="44" t="s">
        <v>8</v>
      </c>
      <c r="K11407" s="23" t="s">
        <v>8</v>
      </c>
      <c r="L11407" s="23" t="s">
        <v>8</v>
      </c>
      <c r="M11407" s="23" t="s">
        <v>8</v>
      </c>
    </row>
    <row r="11408" spans="1:13" s="21" customFormat="1" x14ac:dyDescent="0.25">
      <c r="A11408" s="22" t="s">
        <v>8</v>
      </c>
      <c r="B11408" s="18" t="str">
        <f>"395526"</f>
        <v>395526</v>
      </c>
      <c r="C11408" s="19" t="s">
        <v>11227</v>
      </c>
      <c r="D11408" s="19" t="s">
        <v>26815</v>
      </c>
      <c r="E11408" s="19" t="s">
        <v>34801</v>
      </c>
      <c r="F11408" s="19" t="s">
        <v>36012</v>
      </c>
      <c r="G11408" s="18" t="str">
        <f>"15217"</f>
        <v>15217</v>
      </c>
      <c r="H11408" s="19" t="s">
        <v>36730</v>
      </c>
      <c r="I11408" s="20">
        <v>23.488</v>
      </c>
      <c r="J11408" s="44" t="s">
        <v>8</v>
      </c>
      <c r="K11408" s="23" t="s">
        <v>8</v>
      </c>
      <c r="L11408" s="23" t="s">
        <v>8</v>
      </c>
      <c r="M11408" s="23" t="s">
        <v>8</v>
      </c>
    </row>
    <row r="11409" spans="1:13" s="21" customFormat="1" x14ac:dyDescent="0.25">
      <c r="A11409" s="22" t="s">
        <v>8</v>
      </c>
      <c r="B11409" s="18" t="str">
        <f>"395527"</f>
        <v>395527</v>
      </c>
      <c r="C11409" s="19" t="s">
        <v>11228</v>
      </c>
      <c r="D11409" s="19" t="s">
        <v>26816</v>
      </c>
      <c r="E11409" s="19" t="s">
        <v>34843</v>
      </c>
      <c r="F11409" s="19" t="s">
        <v>36012</v>
      </c>
      <c r="G11409" s="18" t="str">
        <f>"18017"</f>
        <v>18017</v>
      </c>
      <c r="H11409" s="19" t="s">
        <v>33038</v>
      </c>
      <c r="I11409" s="20">
        <v>21.177</v>
      </c>
      <c r="J11409" s="44" t="s">
        <v>8</v>
      </c>
      <c r="K11409" s="23" t="s">
        <v>8</v>
      </c>
      <c r="L11409" s="23" t="s">
        <v>8</v>
      </c>
      <c r="M11409" s="23" t="s">
        <v>8</v>
      </c>
    </row>
    <row r="11410" spans="1:13" s="21" customFormat="1" x14ac:dyDescent="0.25">
      <c r="A11410" s="22" t="s">
        <v>8</v>
      </c>
      <c r="B11410" s="18" t="str">
        <f>"395530"</f>
        <v>395530</v>
      </c>
      <c r="C11410" s="19" t="s">
        <v>11229</v>
      </c>
      <c r="D11410" s="19" t="s">
        <v>26817</v>
      </c>
      <c r="E11410" s="19" t="s">
        <v>34808</v>
      </c>
      <c r="F11410" s="19" t="s">
        <v>36012</v>
      </c>
      <c r="G11410" s="18" t="str">
        <f>"16648"</f>
        <v>16648</v>
      </c>
      <c r="H11410" s="19" t="s">
        <v>33795</v>
      </c>
      <c r="I11410" s="20">
        <v>20.254000000000001</v>
      </c>
      <c r="J11410" s="44" t="s">
        <v>8</v>
      </c>
      <c r="K11410" s="23" t="s">
        <v>8</v>
      </c>
      <c r="L11410" s="23" t="s">
        <v>8</v>
      </c>
      <c r="M11410" s="23" t="s">
        <v>8</v>
      </c>
    </row>
    <row r="11411" spans="1:13" s="21" customFormat="1" x14ac:dyDescent="0.25">
      <c r="A11411" s="22" t="s">
        <v>8</v>
      </c>
      <c r="B11411" s="18" t="str">
        <f>"395533"</f>
        <v>395533</v>
      </c>
      <c r="C11411" s="19" t="s">
        <v>11230</v>
      </c>
      <c r="D11411" s="19" t="s">
        <v>26818</v>
      </c>
      <c r="E11411" s="19" t="s">
        <v>34923</v>
      </c>
      <c r="F11411" s="19" t="s">
        <v>36012</v>
      </c>
      <c r="G11411" s="18" t="str">
        <f>"16866"</f>
        <v>16866</v>
      </c>
      <c r="H11411" s="19" t="s">
        <v>30801</v>
      </c>
      <c r="I11411" s="20">
        <v>17.302</v>
      </c>
      <c r="J11411" s="44" t="s">
        <v>8</v>
      </c>
      <c r="K11411" s="23" t="s">
        <v>8</v>
      </c>
      <c r="L11411" s="23" t="s">
        <v>8</v>
      </c>
      <c r="M11411" s="23" t="s">
        <v>8</v>
      </c>
    </row>
    <row r="11412" spans="1:13" s="21" customFormat="1" x14ac:dyDescent="0.25">
      <c r="A11412" s="22" t="s">
        <v>8</v>
      </c>
      <c r="B11412" s="18" t="str">
        <f>"395534"</f>
        <v>395534</v>
      </c>
      <c r="C11412" s="19" t="s">
        <v>11231</v>
      </c>
      <c r="D11412" s="19" t="s">
        <v>26819</v>
      </c>
      <c r="E11412" s="19" t="s">
        <v>34924</v>
      </c>
      <c r="F11412" s="19" t="s">
        <v>36012</v>
      </c>
      <c r="G11412" s="18" t="str">
        <f>"16055"</f>
        <v>16055</v>
      </c>
      <c r="H11412" s="19" t="s">
        <v>30876</v>
      </c>
      <c r="I11412" s="20">
        <v>18.413</v>
      </c>
      <c r="J11412" s="44" t="s">
        <v>8</v>
      </c>
      <c r="K11412" s="23" t="s">
        <v>8</v>
      </c>
      <c r="L11412" s="23" t="s">
        <v>8</v>
      </c>
      <c r="M11412" s="23" t="s">
        <v>8</v>
      </c>
    </row>
    <row r="11413" spans="1:13" s="21" customFormat="1" x14ac:dyDescent="0.25">
      <c r="A11413" s="22" t="s">
        <v>8</v>
      </c>
      <c r="B11413" s="18" t="str">
        <f>"395535"</f>
        <v>395535</v>
      </c>
      <c r="C11413" s="19" t="s">
        <v>11232</v>
      </c>
      <c r="D11413" s="19" t="s">
        <v>26820</v>
      </c>
      <c r="E11413" s="19" t="s">
        <v>33514</v>
      </c>
      <c r="F11413" s="19" t="s">
        <v>36012</v>
      </c>
      <c r="G11413" s="18" t="str">
        <f>"19126"</f>
        <v>19126</v>
      </c>
      <c r="H11413" s="19" t="s">
        <v>33514</v>
      </c>
      <c r="I11413" s="20">
        <v>19.55</v>
      </c>
      <c r="J11413" s="44" t="s">
        <v>8</v>
      </c>
      <c r="K11413" s="23" t="s">
        <v>8</v>
      </c>
      <c r="L11413" s="23" t="s">
        <v>8</v>
      </c>
      <c r="M11413" s="23" t="s">
        <v>8</v>
      </c>
    </row>
    <row r="11414" spans="1:13" s="21" customFormat="1" x14ac:dyDescent="0.25">
      <c r="A11414" s="22" t="s">
        <v>8</v>
      </c>
      <c r="B11414" s="18" t="str">
        <f>"395536"</f>
        <v>395536</v>
      </c>
      <c r="C11414" s="19" t="s">
        <v>11233</v>
      </c>
      <c r="D11414" s="19" t="s">
        <v>26821</v>
      </c>
      <c r="E11414" s="19" t="s">
        <v>31498</v>
      </c>
      <c r="F11414" s="19" t="s">
        <v>36012</v>
      </c>
      <c r="G11414" s="18" t="str">
        <f>"16101"</f>
        <v>16101</v>
      </c>
      <c r="H11414" s="19" t="s">
        <v>32568</v>
      </c>
      <c r="I11414" s="20">
        <v>21.504999999999999</v>
      </c>
      <c r="J11414" s="44" t="s">
        <v>8</v>
      </c>
      <c r="K11414" s="23" t="s">
        <v>8</v>
      </c>
      <c r="L11414" s="23" t="s">
        <v>8</v>
      </c>
      <c r="M11414" s="23" t="s">
        <v>8</v>
      </c>
    </row>
    <row r="11415" spans="1:13" s="21" customFormat="1" x14ac:dyDescent="0.25">
      <c r="A11415" s="22" t="s">
        <v>8</v>
      </c>
      <c r="B11415" s="18" t="str">
        <f>"395537"</f>
        <v>395537</v>
      </c>
      <c r="C11415" s="19" t="s">
        <v>11234</v>
      </c>
      <c r="D11415" s="19" t="s">
        <v>26822</v>
      </c>
      <c r="E11415" s="19" t="s">
        <v>33514</v>
      </c>
      <c r="F11415" s="19" t="s">
        <v>36012</v>
      </c>
      <c r="G11415" s="18" t="str">
        <f>"19152"</f>
        <v>19152</v>
      </c>
      <c r="H11415" s="19" t="s">
        <v>33514</v>
      </c>
      <c r="I11415" s="20">
        <v>24.094999999999999</v>
      </c>
      <c r="J11415" s="44" t="s">
        <v>8</v>
      </c>
      <c r="K11415" s="23" t="s">
        <v>8</v>
      </c>
      <c r="L11415" s="23" t="s">
        <v>8</v>
      </c>
      <c r="M11415" s="23" t="s">
        <v>8</v>
      </c>
    </row>
    <row r="11416" spans="1:13" s="21" customFormat="1" x14ac:dyDescent="0.25">
      <c r="A11416" s="22" t="s">
        <v>8</v>
      </c>
      <c r="B11416" s="18" t="str">
        <f>"395538"</f>
        <v>395538</v>
      </c>
      <c r="C11416" s="19" t="s">
        <v>11235</v>
      </c>
      <c r="D11416" s="19" t="s">
        <v>26823</v>
      </c>
      <c r="E11416" s="19" t="s">
        <v>34925</v>
      </c>
      <c r="F11416" s="19" t="s">
        <v>36012</v>
      </c>
      <c r="G11416" s="18" t="str">
        <f>"15024"</f>
        <v>15024</v>
      </c>
      <c r="H11416" s="19" t="s">
        <v>36730</v>
      </c>
      <c r="I11416" s="20">
        <v>17.989999999999998</v>
      </c>
      <c r="J11416" s="44" t="s">
        <v>8</v>
      </c>
      <c r="K11416" s="23" t="s">
        <v>8</v>
      </c>
      <c r="L11416" s="23" t="s">
        <v>8</v>
      </c>
      <c r="M11416" s="23" t="s">
        <v>8</v>
      </c>
    </row>
    <row r="11417" spans="1:13" s="21" customFormat="1" x14ac:dyDescent="0.25">
      <c r="A11417" s="22" t="s">
        <v>8</v>
      </c>
      <c r="B11417" s="18" t="str">
        <f>"395539"</f>
        <v>395539</v>
      </c>
      <c r="C11417" s="19" t="s">
        <v>3809</v>
      </c>
      <c r="D11417" s="19" t="s">
        <v>26824</v>
      </c>
      <c r="E11417" s="19" t="s">
        <v>32236</v>
      </c>
      <c r="F11417" s="19" t="s">
        <v>36012</v>
      </c>
      <c r="G11417" s="18" t="str">
        <f>"15601"</f>
        <v>15601</v>
      </c>
      <c r="H11417" s="19" t="s">
        <v>32652</v>
      </c>
      <c r="I11417" s="20">
        <v>20.088000000000001</v>
      </c>
      <c r="J11417" s="44" t="s">
        <v>8</v>
      </c>
      <c r="K11417" s="23" t="s">
        <v>8</v>
      </c>
      <c r="L11417" s="23" t="s">
        <v>8</v>
      </c>
      <c r="M11417" s="23" t="s">
        <v>8</v>
      </c>
    </row>
    <row r="11418" spans="1:13" s="21" customFormat="1" x14ac:dyDescent="0.25">
      <c r="A11418" s="22" t="s">
        <v>8</v>
      </c>
      <c r="B11418" s="18" t="str">
        <f>"395540"</f>
        <v>395540</v>
      </c>
      <c r="C11418" s="19" t="s">
        <v>11236</v>
      </c>
      <c r="D11418" s="19" t="s">
        <v>26825</v>
      </c>
      <c r="E11418" s="19" t="s">
        <v>32639</v>
      </c>
      <c r="F11418" s="19" t="s">
        <v>36012</v>
      </c>
      <c r="G11418" s="18" t="str">
        <f>"18045"</f>
        <v>18045</v>
      </c>
      <c r="H11418" s="19" t="s">
        <v>33038</v>
      </c>
      <c r="I11418" s="20">
        <v>16.954000000000001</v>
      </c>
      <c r="J11418" s="44" t="s">
        <v>8</v>
      </c>
      <c r="K11418" s="23" t="s">
        <v>8</v>
      </c>
      <c r="L11418" s="23" t="s">
        <v>8</v>
      </c>
      <c r="M11418" s="23" t="s">
        <v>8</v>
      </c>
    </row>
    <row r="11419" spans="1:13" s="21" customFormat="1" x14ac:dyDescent="0.25">
      <c r="A11419" s="22" t="s">
        <v>8</v>
      </c>
      <c r="B11419" s="18" t="str">
        <f>"395541"</f>
        <v>395541</v>
      </c>
      <c r="C11419" s="19" t="s">
        <v>11237</v>
      </c>
      <c r="D11419" s="19" t="s">
        <v>26826</v>
      </c>
      <c r="E11419" s="19" t="s">
        <v>34926</v>
      </c>
      <c r="F11419" s="19" t="s">
        <v>36012</v>
      </c>
      <c r="G11419" s="18" t="str">
        <f>"19608"</f>
        <v>19608</v>
      </c>
      <c r="H11419" s="19" t="s">
        <v>36734</v>
      </c>
      <c r="I11419" s="20">
        <v>19.594999999999999</v>
      </c>
      <c r="J11419" s="44" t="s">
        <v>8</v>
      </c>
      <c r="K11419" s="23" t="s">
        <v>8</v>
      </c>
      <c r="L11419" s="23" t="s">
        <v>8</v>
      </c>
      <c r="M11419" s="23" t="s">
        <v>8</v>
      </c>
    </row>
    <row r="11420" spans="1:13" s="21" customFormat="1" x14ac:dyDescent="0.25">
      <c r="A11420" s="22" t="s">
        <v>8</v>
      </c>
      <c r="B11420" s="18" t="str">
        <f>"395542"</f>
        <v>395542</v>
      </c>
      <c r="C11420" s="19" t="s">
        <v>11238</v>
      </c>
      <c r="D11420" s="19" t="s">
        <v>26827</v>
      </c>
      <c r="E11420" s="19" t="s">
        <v>34927</v>
      </c>
      <c r="F11420" s="19" t="s">
        <v>36012</v>
      </c>
      <c r="G11420" s="18" t="str">
        <f>"18707"</f>
        <v>18707</v>
      </c>
      <c r="H11420" s="19" t="s">
        <v>36735</v>
      </c>
      <c r="I11420" s="20">
        <v>19.158999999999999</v>
      </c>
      <c r="J11420" s="44" t="s">
        <v>8</v>
      </c>
      <c r="K11420" s="23" t="s">
        <v>8</v>
      </c>
      <c r="L11420" s="23" t="s">
        <v>8</v>
      </c>
      <c r="M11420" s="23" t="s">
        <v>8</v>
      </c>
    </row>
    <row r="11421" spans="1:13" s="21" customFormat="1" x14ac:dyDescent="0.25">
      <c r="A11421" s="22" t="s">
        <v>8</v>
      </c>
      <c r="B11421" s="18" t="str">
        <f>"395545"</f>
        <v>395545</v>
      </c>
      <c r="C11421" s="19" t="s">
        <v>11239</v>
      </c>
      <c r="D11421" s="19" t="s">
        <v>26828</v>
      </c>
      <c r="E11421" s="19" t="s">
        <v>34928</v>
      </c>
      <c r="F11421" s="19" t="s">
        <v>36012</v>
      </c>
      <c r="G11421" s="18" t="str">
        <f>"19038"</f>
        <v>19038</v>
      </c>
      <c r="H11421" s="19" t="s">
        <v>30833</v>
      </c>
      <c r="I11421" s="20">
        <v>20.984999999999999</v>
      </c>
      <c r="J11421" s="44" t="s">
        <v>8</v>
      </c>
      <c r="K11421" s="23" t="s">
        <v>8</v>
      </c>
      <c r="L11421" s="23" t="s">
        <v>8</v>
      </c>
      <c r="M11421" s="23" t="s">
        <v>8</v>
      </c>
    </row>
    <row r="11422" spans="1:13" s="21" customFormat="1" x14ac:dyDescent="0.25">
      <c r="A11422" s="22" t="s">
        <v>8</v>
      </c>
      <c r="B11422" s="18" t="str">
        <f>"395549"</f>
        <v>395549</v>
      </c>
      <c r="C11422" s="19" t="s">
        <v>11240</v>
      </c>
      <c r="D11422" s="19" t="s">
        <v>26829</v>
      </c>
      <c r="E11422" s="19" t="s">
        <v>34929</v>
      </c>
      <c r="F11422" s="19" t="s">
        <v>36012</v>
      </c>
      <c r="G11422" s="18" t="str">
        <f>"16066"</f>
        <v>16066</v>
      </c>
      <c r="H11422" s="19" t="s">
        <v>30876</v>
      </c>
      <c r="I11422" s="20">
        <v>16.925999999999998</v>
      </c>
      <c r="J11422" s="44" t="s">
        <v>8</v>
      </c>
      <c r="K11422" s="23" t="s">
        <v>8</v>
      </c>
      <c r="L11422" s="23" t="s">
        <v>8</v>
      </c>
      <c r="M11422" s="23" t="s">
        <v>8</v>
      </c>
    </row>
    <row r="11423" spans="1:13" s="21" customFormat="1" x14ac:dyDescent="0.25">
      <c r="A11423" s="22" t="s">
        <v>8</v>
      </c>
      <c r="B11423" s="18" t="str">
        <f>"395550"</f>
        <v>395550</v>
      </c>
      <c r="C11423" s="19" t="s">
        <v>11241</v>
      </c>
      <c r="D11423" s="19" t="s">
        <v>26830</v>
      </c>
      <c r="E11423" s="19" t="s">
        <v>32277</v>
      </c>
      <c r="F11423" s="19" t="s">
        <v>36012</v>
      </c>
      <c r="G11423" s="18" t="str">
        <f>"15825"</f>
        <v>15825</v>
      </c>
      <c r="H11423" s="19" t="s">
        <v>32391</v>
      </c>
      <c r="I11423" s="20">
        <v>17.542999999999999</v>
      </c>
      <c r="J11423" s="44" t="s">
        <v>8</v>
      </c>
      <c r="K11423" s="23" t="s">
        <v>8</v>
      </c>
      <c r="L11423" s="23" t="s">
        <v>8</v>
      </c>
      <c r="M11423" s="23" t="s">
        <v>8</v>
      </c>
    </row>
    <row r="11424" spans="1:13" s="21" customFormat="1" x14ac:dyDescent="0.25">
      <c r="A11424" s="22" t="s">
        <v>8</v>
      </c>
      <c r="B11424" s="18" t="str">
        <f>"395552"</f>
        <v>395552</v>
      </c>
      <c r="C11424" s="19" t="s">
        <v>11242</v>
      </c>
      <c r="D11424" s="19" t="s">
        <v>26831</v>
      </c>
      <c r="E11424" s="19" t="s">
        <v>32253</v>
      </c>
      <c r="F11424" s="19" t="s">
        <v>36012</v>
      </c>
      <c r="G11424" s="18" t="str">
        <f>"15658"</f>
        <v>15658</v>
      </c>
      <c r="H11424" s="19" t="s">
        <v>32652</v>
      </c>
      <c r="I11424" s="20">
        <v>21.629000000000001</v>
      </c>
      <c r="J11424" s="44" t="s">
        <v>8</v>
      </c>
      <c r="K11424" s="23" t="s">
        <v>8</v>
      </c>
      <c r="L11424" s="23" t="s">
        <v>8</v>
      </c>
      <c r="M11424" s="23" t="s">
        <v>8</v>
      </c>
    </row>
    <row r="11425" spans="1:13" s="21" customFormat="1" x14ac:dyDescent="0.25">
      <c r="A11425" s="22" t="s">
        <v>8</v>
      </c>
      <c r="B11425" s="18" t="str">
        <f>"395554"</f>
        <v>395554</v>
      </c>
      <c r="C11425" s="19" t="s">
        <v>11243</v>
      </c>
      <c r="D11425" s="19" t="s">
        <v>26832</v>
      </c>
      <c r="E11425" s="19" t="s">
        <v>32382</v>
      </c>
      <c r="F11425" s="19" t="s">
        <v>36012</v>
      </c>
      <c r="G11425" s="18" t="str">
        <f>"18421"</f>
        <v>18421</v>
      </c>
      <c r="H11425" s="19" t="s">
        <v>34854</v>
      </c>
      <c r="I11425" s="20">
        <v>20.05</v>
      </c>
      <c r="J11425" s="44" t="s">
        <v>8</v>
      </c>
      <c r="K11425" s="23" t="s">
        <v>8</v>
      </c>
      <c r="L11425" s="23" t="s">
        <v>8</v>
      </c>
      <c r="M11425" s="23" t="s">
        <v>8</v>
      </c>
    </row>
    <row r="11426" spans="1:13" s="21" customFormat="1" x14ac:dyDescent="0.25">
      <c r="A11426" s="22" t="s">
        <v>8</v>
      </c>
      <c r="B11426" s="18" t="str">
        <f>"395555"</f>
        <v>395555</v>
      </c>
      <c r="C11426" s="19" t="s">
        <v>11244</v>
      </c>
      <c r="D11426" s="19" t="s">
        <v>26833</v>
      </c>
      <c r="E11426" s="19" t="s">
        <v>34930</v>
      </c>
      <c r="F11426" s="19" t="s">
        <v>36012</v>
      </c>
      <c r="G11426" s="18" t="str">
        <f>"18073"</f>
        <v>18073</v>
      </c>
      <c r="H11426" s="19" t="s">
        <v>30833</v>
      </c>
      <c r="I11426" s="20">
        <v>16.34</v>
      </c>
      <c r="J11426" s="44" t="s">
        <v>8</v>
      </c>
      <c r="K11426" s="23" t="s">
        <v>8</v>
      </c>
      <c r="L11426" s="23" t="s">
        <v>8</v>
      </c>
      <c r="M11426" s="23" t="s">
        <v>8</v>
      </c>
    </row>
    <row r="11427" spans="1:13" s="21" customFormat="1" x14ac:dyDescent="0.25">
      <c r="A11427" s="22" t="s">
        <v>8</v>
      </c>
      <c r="B11427" s="18" t="str">
        <f>"395556"</f>
        <v>395556</v>
      </c>
      <c r="C11427" s="19" t="s">
        <v>11245</v>
      </c>
      <c r="D11427" s="19" t="s">
        <v>26834</v>
      </c>
      <c r="E11427" s="19" t="s">
        <v>32529</v>
      </c>
      <c r="F11427" s="19" t="s">
        <v>36012</v>
      </c>
      <c r="G11427" s="18" t="str">
        <f>"17976"</f>
        <v>17976</v>
      </c>
      <c r="H11427" s="19" t="s">
        <v>36737</v>
      </c>
      <c r="I11427" s="20">
        <v>19.876000000000001</v>
      </c>
      <c r="J11427" s="44" t="s">
        <v>8</v>
      </c>
      <c r="K11427" s="23" t="s">
        <v>8</v>
      </c>
      <c r="L11427" s="23" t="s">
        <v>8</v>
      </c>
      <c r="M11427" s="23" t="s">
        <v>8</v>
      </c>
    </row>
    <row r="11428" spans="1:13" s="21" customFormat="1" x14ac:dyDescent="0.25">
      <c r="A11428" s="22" t="s">
        <v>8</v>
      </c>
      <c r="B11428" s="18" t="str">
        <f>"395557"</f>
        <v>395557</v>
      </c>
      <c r="C11428" s="19" t="s">
        <v>11246</v>
      </c>
      <c r="D11428" s="19" t="s">
        <v>26835</v>
      </c>
      <c r="E11428" s="19" t="s">
        <v>34845</v>
      </c>
      <c r="F11428" s="19" t="s">
        <v>36012</v>
      </c>
      <c r="G11428" s="18" t="str">
        <f>"19446"</f>
        <v>19446</v>
      </c>
      <c r="H11428" s="19" t="s">
        <v>30833</v>
      </c>
      <c r="I11428" s="20">
        <v>17.227</v>
      </c>
      <c r="J11428" s="44" t="s">
        <v>8</v>
      </c>
      <c r="K11428" s="23" t="s">
        <v>8</v>
      </c>
      <c r="L11428" s="23" t="s">
        <v>8</v>
      </c>
      <c r="M11428" s="23" t="s">
        <v>8</v>
      </c>
    </row>
    <row r="11429" spans="1:13" s="21" customFormat="1" x14ac:dyDescent="0.25">
      <c r="A11429" s="22" t="s">
        <v>8</v>
      </c>
      <c r="B11429" s="18" t="str">
        <f>"395558"</f>
        <v>395558</v>
      </c>
      <c r="C11429" s="19" t="s">
        <v>11247</v>
      </c>
      <c r="D11429" s="19" t="s">
        <v>26836</v>
      </c>
      <c r="E11429" s="19" t="s">
        <v>33514</v>
      </c>
      <c r="F11429" s="19" t="s">
        <v>36012</v>
      </c>
      <c r="G11429" s="18" t="str">
        <f>"19148"</f>
        <v>19148</v>
      </c>
      <c r="H11429" s="19" t="s">
        <v>33514</v>
      </c>
      <c r="I11429" s="20">
        <v>22.145</v>
      </c>
      <c r="J11429" s="44" t="s">
        <v>8</v>
      </c>
      <c r="K11429" s="23" t="s">
        <v>8</v>
      </c>
      <c r="L11429" s="23" t="s">
        <v>8</v>
      </c>
      <c r="M11429" s="23" t="s">
        <v>8</v>
      </c>
    </row>
    <row r="11430" spans="1:13" s="21" customFormat="1" x14ac:dyDescent="0.25">
      <c r="A11430" s="22" t="s">
        <v>8</v>
      </c>
      <c r="B11430" s="18" t="str">
        <f>"395559"</f>
        <v>395559</v>
      </c>
      <c r="C11430" s="19" t="s">
        <v>11248</v>
      </c>
      <c r="D11430" s="19" t="s">
        <v>26837</v>
      </c>
      <c r="E11430" s="19" t="s">
        <v>31184</v>
      </c>
      <c r="F11430" s="19" t="s">
        <v>36012</v>
      </c>
      <c r="G11430" s="18" t="str">
        <f>"17601"</f>
        <v>17601</v>
      </c>
      <c r="H11430" s="19" t="s">
        <v>31184</v>
      </c>
      <c r="I11430" s="20">
        <v>13.786</v>
      </c>
      <c r="J11430" s="44" t="s">
        <v>8</v>
      </c>
      <c r="K11430" s="23" t="s">
        <v>8</v>
      </c>
      <c r="L11430" s="23" t="s">
        <v>8</v>
      </c>
      <c r="M11430" s="23" t="s">
        <v>8</v>
      </c>
    </row>
    <row r="11431" spans="1:13" s="21" customFormat="1" x14ac:dyDescent="0.25">
      <c r="A11431" s="22" t="s">
        <v>8</v>
      </c>
      <c r="B11431" s="18" t="str">
        <f>"395560"</f>
        <v>395560</v>
      </c>
      <c r="C11431" s="19" t="s">
        <v>11249</v>
      </c>
      <c r="D11431" s="19" t="s">
        <v>26838</v>
      </c>
      <c r="E11431" s="19" t="s">
        <v>32698</v>
      </c>
      <c r="F11431" s="19" t="s">
        <v>36012</v>
      </c>
      <c r="G11431" s="18" t="str">
        <f>"17022"</f>
        <v>17022</v>
      </c>
      <c r="H11431" s="19" t="s">
        <v>31184</v>
      </c>
      <c r="I11431" s="20">
        <v>12.337999999999999</v>
      </c>
      <c r="J11431" s="44" t="s">
        <v>8</v>
      </c>
      <c r="K11431" s="23" t="s">
        <v>8</v>
      </c>
      <c r="L11431" s="23" t="s">
        <v>8</v>
      </c>
      <c r="M11431" s="23" t="s">
        <v>8</v>
      </c>
    </row>
    <row r="11432" spans="1:13" s="21" customFormat="1" x14ac:dyDescent="0.25">
      <c r="A11432" s="22" t="s">
        <v>8</v>
      </c>
      <c r="B11432" s="18" t="str">
        <f>"395561"</f>
        <v>395561</v>
      </c>
      <c r="C11432" s="19" t="s">
        <v>11250</v>
      </c>
      <c r="D11432" s="19" t="s">
        <v>26839</v>
      </c>
      <c r="E11432" s="19" t="s">
        <v>34801</v>
      </c>
      <c r="F11432" s="19" t="s">
        <v>36012</v>
      </c>
      <c r="G11432" s="18" t="str">
        <f>"15214"</f>
        <v>15214</v>
      </c>
      <c r="H11432" s="19" t="s">
        <v>36730</v>
      </c>
      <c r="I11432" s="20">
        <v>19.323</v>
      </c>
      <c r="J11432" s="44" t="s">
        <v>8</v>
      </c>
      <c r="K11432" s="23" t="s">
        <v>8</v>
      </c>
      <c r="L11432" s="23" t="s">
        <v>8</v>
      </c>
      <c r="M11432" s="23" t="s">
        <v>8</v>
      </c>
    </row>
    <row r="11433" spans="1:13" s="21" customFormat="1" x14ac:dyDescent="0.25">
      <c r="A11433" s="22" t="s">
        <v>8</v>
      </c>
      <c r="B11433" s="18" t="str">
        <f>"395562"</f>
        <v>395562</v>
      </c>
      <c r="C11433" s="19" t="s">
        <v>11251</v>
      </c>
      <c r="D11433" s="19" t="s">
        <v>26840</v>
      </c>
      <c r="E11433" s="19" t="s">
        <v>34902</v>
      </c>
      <c r="F11433" s="19" t="s">
        <v>36012</v>
      </c>
      <c r="G11433" s="18" t="str">
        <f>"19344"</f>
        <v>19344</v>
      </c>
      <c r="H11433" s="19" t="s">
        <v>31396</v>
      </c>
      <c r="I11433" s="20">
        <v>16.32</v>
      </c>
      <c r="J11433" s="44" t="s">
        <v>8</v>
      </c>
      <c r="K11433" s="23" t="s">
        <v>8</v>
      </c>
      <c r="L11433" s="23" t="s">
        <v>8</v>
      </c>
      <c r="M11433" s="23" t="s">
        <v>8</v>
      </c>
    </row>
    <row r="11434" spans="1:13" s="21" customFormat="1" x14ac:dyDescent="0.25">
      <c r="A11434" s="22" t="s">
        <v>8</v>
      </c>
      <c r="B11434" s="18" t="str">
        <f>"395563"</f>
        <v>395563</v>
      </c>
      <c r="C11434" s="19" t="s">
        <v>11252</v>
      </c>
      <c r="D11434" s="19" t="s">
        <v>26841</v>
      </c>
      <c r="E11434" s="19" t="s">
        <v>34931</v>
      </c>
      <c r="F11434" s="19" t="s">
        <v>36012</v>
      </c>
      <c r="G11434" s="18" t="str">
        <f>"16662"</f>
        <v>16662</v>
      </c>
      <c r="H11434" s="19" t="s">
        <v>33795</v>
      </c>
      <c r="I11434" s="20">
        <v>18.117999999999999</v>
      </c>
      <c r="J11434" s="44" t="s">
        <v>8</v>
      </c>
      <c r="K11434" s="23" t="s">
        <v>8</v>
      </c>
      <c r="L11434" s="23" t="s">
        <v>8</v>
      </c>
      <c r="M11434" s="23" t="s">
        <v>8</v>
      </c>
    </row>
    <row r="11435" spans="1:13" s="21" customFormat="1" x14ac:dyDescent="0.25">
      <c r="A11435" s="22" t="s">
        <v>8</v>
      </c>
      <c r="B11435" s="18" t="str">
        <f>"395564"</f>
        <v>395564</v>
      </c>
      <c r="C11435" s="19" t="s">
        <v>11253</v>
      </c>
      <c r="D11435" s="19" t="s">
        <v>26842</v>
      </c>
      <c r="E11435" s="19" t="s">
        <v>31080</v>
      </c>
      <c r="F11435" s="19" t="s">
        <v>36012</v>
      </c>
      <c r="G11435" s="18" t="str">
        <f>"18517"</f>
        <v>18517</v>
      </c>
      <c r="H11435" s="19" t="s">
        <v>36732</v>
      </c>
      <c r="I11435" s="20">
        <v>20.623000000000001</v>
      </c>
      <c r="J11435" s="44" t="s">
        <v>8</v>
      </c>
      <c r="K11435" s="23" t="s">
        <v>8</v>
      </c>
      <c r="L11435" s="23" t="s">
        <v>8</v>
      </c>
      <c r="M11435" s="23" t="s">
        <v>8</v>
      </c>
    </row>
    <row r="11436" spans="1:13" s="21" customFormat="1" x14ac:dyDescent="0.25">
      <c r="A11436" s="22" t="s">
        <v>8</v>
      </c>
      <c r="B11436" s="18" t="str">
        <f>"395566"</f>
        <v>395566</v>
      </c>
      <c r="C11436" s="19" t="s">
        <v>11254</v>
      </c>
      <c r="D11436" s="19" t="s">
        <v>26843</v>
      </c>
      <c r="E11436" s="19" t="s">
        <v>33857</v>
      </c>
      <c r="F11436" s="19" t="s">
        <v>36012</v>
      </c>
      <c r="G11436" s="18" t="str">
        <f>"18643"</f>
        <v>18643</v>
      </c>
      <c r="H11436" s="19" t="s">
        <v>36735</v>
      </c>
      <c r="I11436" s="20">
        <v>19.748999999999999</v>
      </c>
      <c r="J11436" s="44" t="s">
        <v>8</v>
      </c>
      <c r="K11436" s="23" t="s">
        <v>8</v>
      </c>
      <c r="L11436" s="23" t="s">
        <v>8</v>
      </c>
      <c r="M11436" s="23" t="s">
        <v>8</v>
      </c>
    </row>
    <row r="11437" spans="1:13" s="21" customFormat="1" x14ac:dyDescent="0.25">
      <c r="A11437" s="22" t="s">
        <v>8</v>
      </c>
      <c r="B11437" s="18" t="str">
        <f>"395567"</f>
        <v>395567</v>
      </c>
      <c r="C11437" s="19" t="s">
        <v>11255</v>
      </c>
      <c r="D11437" s="19" t="s">
        <v>26844</v>
      </c>
      <c r="E11437" s="19" t="s">
        <v>34932</v>
      </c>
      <c r="F11437" s="19" t="s">
        <v>36012</v>
      </c>
      <c r="G11437" s="18" t="str">
        <f>"18512"</f>
        <v>18512</v>
      </c>
      <c r="H11437" s="19" t="s">
        <v>36732</v>
      </c>
      <c r="I11437" s="20">
        <v>22.204999999999998</v>
      </c>
      <c r="J11437" s="44" t="s">
        <v>8</v>
      </c>
      <c r="K11437" s="23" t="s">
        <v>8</v>
      </c>
      <c r="L11437" s="23" t="s">
        <v>8</v>
      </c>
      <c r="M11437" s="23" t="s">
        <v>8</v>
      </c>
    </row>
    <row r="11438" spans="1:13" s="21" customFormat="1" x14ac:dyDescent="0.25">
      <c r="A11438" s="22" t="s">
        <v>8</v>
      </c>
      <c r="B11438" s="18" t="str">
        <f>"395568"</f>
        <v>395568</v>
      </c>
      <c r="C11438" s="19" t="s">
        <v>11256</v>
      </c>
      <c r="D11438" s="19" t="s">
        <v>26845</v>
      </c>
      <c r="E11438" s="19" t="s">
        <v>34863</v>
      </c>
      <c r="F11438" s="19" t="s">
        <v>36012</v>
      </c>
      <c r="G11438" s="18" t="str">
        <f>"15701"</f>
        <v>15701</v>
      </c>
      <c r="H11438" s="19" t="s">
        <v>34863</v>
      </c>
      <c r="I11438" s="20">
        <v>14.577999999999999</v>
      </c>
      <c r="J11438" s="44" t="s">
        <v>8</v>
      </c>
      <c r="K11438" s="23" t="s">
        <v>8</v>
      </c>
      <c r="L11438" s="23" t="s">
        <v>8</v>
      </c>
      <c r="M11438" s="23" t="s">
        <v>8</v>
      </c>
    </row>
    <row r="11439" spans="1:13" s="21" customFormat="1" x14ac:dyDescent="0.25">
      <c r="A11439" s="22" t="s">
        <v>8</v>
      </c>
      <c r="B11439" s="18" t="str">
        <f>"395569"</f>
        <v>395569</v>
      </c>
      <c r="C11439" s="19" t="s">
        <v>11257</v>
      </c>
      <c r="D11439" s="19" t="s">
        <v>26846</v>
      </c>
      <c r="E11439" s="19" t="s">
        <v>33195</v>
      </c>
      <c r="F11439" s="19" t="s">
        <v>36012</v>
      </c>
      <c r="G11439" s="18" t="str">
        <f>"15746"</f>
        <v>15746</v>
      </c>
      <c r="H11439" s="19" t="s">
        <v>34863</v>
      </c>
      <c r="I11439" s="20">
        <v>17.356000000000002</v>
      </c>
      <c r="J11439" s="44" t="s">
        <v>8</v>
      </c>
      <c r="K11439" s="23" t="s">
        <v>8</v>
      </c>
      <c r="L11439" s="23" t="s">
        <v>8</v>
      </c>
      <c r="M11439" s="23" t="s">
        <v>8</v>
      </c>
    </row>
    <row r="11440" spans="1:13" s="21" customFormat="1" x14ac:dyDescent="0.25">
      <c r="A11440" s="22" t="s">
        <v>8</v>
      </c>
      <c r="B11440" s="18" t="str">
        <f>"395570"</f>
        <v>395570</v>
      </c>
      <c r="C11440" s="19" t="s">
        <v>11258</v>
      </c>
      <c r="D11440" s="19" t="s">
        <v>26847</v>
      </c>
      <c r="E11440" s="19" t="s">
        <v>31571</v>
      </c>
      <c r="F11440" s="19" t="s">
        <v>36012</v>
      </c>
      <c r="G11440" s="18" t="str">
        <f>"17847"</f>
        <v>17847</v>
      </c>
      <c r="H11440" s="19" t="s">
        <v>34890</v>
      </c>
      <c r="I11440" s="20">
        <v>19.219000000000001</v>
      </c>
      <c r="J11440" s="44" t="s">
        <v>8</v>
      </c>
      <c r="K11440" s="23" t="s">
        <v>8</v>
      </c>
      <c r="L11440" s="23" t="s">
        <v>8</v>
      </c>
      <c r="M11440" s="23" t="s">
        <v>8</v>
      </c>
    </row>
    <row r="11441" spans="1:13" s="21" customFormat="1" x14ac:dyDescent="0.25">
      <c r="A11441" s="22" t="s">
        <v>8</v>
      </c>
      <c r="B11441" s="18" t="str">
        <f>"395571"</f>
        <v>395571</v>
      </c>
      <c r="C11441" s="19" t="s">
        <v>11259</v>
      </c>
      <c r="D11441" s="19" t="s">
        <v>26848</v>
      </c>
      <c r="E11441" s="19" t="s">
        <v>34933</v>
      </c>
      <c r="F11441" s="19" t="s">
        <v>36012</v>
      </c>
      <c r="G11441" s="18" t="str">
        <f>"17756"</f>
        <v>17756</v>
      </c>
      <c r="H11441" s="19" t="s">
        <v>36739</v>
      </c>
      <c r="I11441" s="20">
        <v>17.53</v>
      </c>
      <c r="J11441" s="44" t="s">
        <v>8</v>
      </c>
      <c r="K11441" s="23" t="s">
        <v>8</v>
      </c>
      <c r="L11441" s="23" t="s">
        <v>8</v>
      </c>
      <c r="M11441" s="23" t="s">
        <v>8</v>
      </c>
    </row>
    <row r="11442" spans="1:13" s="21" customFormat="1" x14ac:dyDescent="0.25">
      <c r="A11442" s="22" t="s">
        <v>8</v>
      </c>
      <c r="B11442" s="18" t="str">
        <f>"395572"</f>
        <v>395572</v>
      </c>
      <c r="C11442" s="19" t="s">
        <v>7824</v>
      </c>
      <c r="D11442" s="19" t="s">
        <v>26849</v>
      </c>
      <c r="E11442" s="19" t="s">
        <v>1570</v>
      </c>
      <c r="F11442" s="19" t="s">
        <v>36012</v>
      </c>
      <c r="G11442" s="18" t="str">
        <f>"16415"</f>
        <v>16415</v>
      </c>
      <c r="H11442" s="19" t="s">
        <v>34805</v>
      </c>
      <c r="I11442" s="20">
        <v>20.170000000000002</v>
      </c>
      <c r="J11442" s="44" t="s">
        <v>8</v>
      </c>
      <c r="K11442" s="23" t="s">
        <v>8</v>
      </c>
      <c r="L11442" s="23" t="s">
        <v>8</v>
      </c>
      <c r="M11442" s="23" t="s">
        <v>8</v>
      </c>
    </row>
    <row r="11443" spans="1:13" s="21" customFormat="1" x14ac:dyDescent="0.25">
      <c r="A11443" s="22" t="s">
        <v>8</v>
      </c>
      <c r="B11443" s="18" t="str">
        <f>"395574"</f>
        <v>395574</v>
      </c>
      <c r="C11443" s="19" t="s">
        <v>11260</v>
      </c>
      <c r="D11443" s="19" t="s">
        <v>26850</v>
      </c>
      <c r="E11443" s="19" t="s">
        <v>34894</v>
      </c>
      <c r="F11443" s="19" t="s">
        <v>36012</v>
      </c>
      <c r="G11443" s="18" t="str">
        <f>"18951"</f>
        <v>18951</v>
      </c>
      <c r="H11443" s="19" t="s">
        <v>36729</v>
      </c>
      <c r="I11443" s="20">
        <v>16.102</v>
      </c>
      <c r="J11443" s="44" t="s">
        <v>8</v>
      </c>
      <c r="K11443" s="23" t="s">
        <v>8</v>
      </c>
      <c r="L11443" s="23" t="s">
        <v>8</v>
      </c>
      <c r="M11443" s="23" t="s">
        <v>8</v>
      </c>
    </row>
    <row r="11444" spans="1:13" s="21" customFormat="1" x14ac:dyDescent="0.25">
      <c r="A11444" s="22" t="s">
        <v>8</v>
      </c>
      <c r="B11444" s="18" t="str">
        <f>"395575"</f>
        <v>395575</v>
      </c>
      <c r="C11444" s="19" t="s">
        <v>11261</v>
      </c>
      <c r="D11444" s="19" t="s">
        <v>26851</v>
      </c>
      <c r="E11444" s="19" t="s">
        <v>34934</v>
      </c>
      <c r="F11444" s="19" t="s">
        <v>36012</v>
      </c>
      <c r="G11444" s="18" t="str">
        <f>"17578"</f>
        <v>17578</v>
      </c>
      <c r="H11444" s="19" t="s">
        <v>31184</v>
      </c>
      <c r="I11444" s="20">
        <v>16.239999999999998</v>
      </c>
      <c r="J11444" s="44" t="s">
        <v>8</v>
      </c>
      <c r="K11444" s="23" t="s">
        <v>8</v>
      </c>
      <c r="L11444" s="23" t="s">
        <v>8</v>
      </c>
      <c r="M11444" s="23" t="s">
        <v>8</v>
      </c>
    </row>
    <row r="11445" spans="1:13" s="21" customFormat="1" x14ac:dyDescent="0.25">
      <c r="A11445" s="22" t="s">
        <v>8</v>
      </c>
      <c r="B11445" s="18" t="str">
        <f>"395577"</f>
        <v>395577</v>
      </c>
      <c r="C11445" s="19" t="s">
        <v>11262</v>
      </c>
      <c r="D11445" s="19" t="s">
        <v>26852</v>
      </c>
      <c r="E11445" s="19" t="s">
        <v>31500</v>
      </c>
      <c r="F11445" s="19" t="s">
        <v>36012</v>
      </c>
      <c r="G11445" s="18" t="str">
        <f>"15301"</f>
        <v>15301</v>
      </c>
      <c r="H11445" s="19" t="s">
        <v>31500</v>
      </c>
      <c r="I11445" s="20">
        <v>19.791</v>
      </c>
      <c r="J11445" s="44" t="s">
        <v>8</v>
      </c>
      <c r="K11445" s="23" t="s">
        <v>8</v>
      </c>
      <c r="L11445" s="23" t="s">
        <v>8</v>
      </c>
      <c r="M11445" s="23" t="s">
        <v>8</v>
      </c>
    </row>
    <row r="11446" spans="1:13" s="21" customFormat="1" x14ac:dyDescent="0.25">
      <c r="A11446" s="22" t="s">
        <v>8</v>
      </c>
      <c r="B11446" s="18" t="str">
        <f>"395581"</f>
        <v>395581</v>
      </c>
      <c r="C11446" s="19" t="s">
        <v>11263</v>
      </c>
      <c r="D11446" s="19" t="s">
        <v>26853</v>
      </c>
      <c r="E11446" s="19" t="s">
        <v>34823</v>
      </c>
      <c r="F11446" s="19" t="s">
        <v>36012</v>
      </c>
      <c r="G11446" s="18" t="str">
        <f>"18701"</f>
        <v>18701</v>
      </c>
      <c r="H11446" s="19" t="s">
        <v>36735</v>
      </c>
      <c r="I11446" s="20">
        <v>18.923999999999999</v>
      </c>
      <c r="J11446" s="44" t="s">
        <v>8</v>
      </c>
      <c r="K11446" s="23" t="s">
        <v>8</v>
      </c>
      <c r="L11446" s="23" t="s">
        <v>8</v>
      </c>
      <c r="M11446" s="23" t="s">
        <v>8</v>
      </c>
    </row>
    <row r="11447" spans="1:13" s="21" customFormat="1" x14ac:dyDescent="0.25">
      <c r="A11447" s="22" t="s">
        <v>8</v>
      </c>
      <c r="B11447" s="18" t="str">
        <f>"395582"</f>
        <v>395582</v>
      </c>
      <c r="C11447" s="19" t="s">
        <v>11264</v>
      </c>
      <c r="D11447" s="19" t="s">
        <v>26854</v>
      </c>
      <c r="E11447" s="19" t="s">
        <v>34848</v>
      </c>
      <c r="F11447" s="19" t="s">
        <v>36012</v>
      </c>
      <c r="G11447" s="18" t="str">
        <f>"18202"</f>
        <v>18202</v>
      </c>
      <c r="H11447" s="19" t="s">
        <v>36735</v>
      </c>
      <c r="I11447" s="20">
        <v>17.838000000000001</v>
      </c>
      <c r="J11447" s="44" t="s">
        <v>8</v>
      </c>
      <c r="K11447" s="23" t="s">
        <v>8</v>
      </c>
      <c r="L11447" s="23" t="s">
        <v>8</v>
      </c>
      <c r="M11447" s="23" t="s">
        <v>8</v>
      </c>
    </row>
    <row r="11448" spans="1:13" s="21" customFormat="1" x14ac:dyDescent="0.25">
      <c r="A11448" s="22" t="s">
        <v>8</v>
      </c>
      <c r="B11448" s="18" t="str">
        <f>"395583"</f>
        <v>395583</v>
      </c>
      <c r="C11448" s="19" t="s">
        <v>11265</v>
      </c>
      <c r="D11448" s="19" t="s">
        <v>26855</v>
      </c>
      <c r="E11448" s="19" t="s">
        <v>34935</v>
      </c>
      <c r="F11448" s="19" t="s">
        <v>36012</v>
      </c>
      <c r="G11448" s="18" t="str">
        <f>"17261"</f>
        <v>17261</v>
      </c>
      <c r="H11448" s="19" t="s">
        <v>5</v>
      </c>
      <c r="I11448" s="20">
        <v>19.792999999999999</v>
      </c>
      <c r="J11448" s="44" t="s">
        <v>8</v>
      </c>
      <c r="K11448" s="23" t="s">
        <v>8</v>
      </c>
      <c r="L11448" s="23" t="s">
        <v>8</v>
      </c>
      <c r="M11448" s="23" t="s">
        <v>8</v>
      </c>
    </row>
    <row r="11449" spans="1:13" s="21" customFormat="1" x14ac:dyDescent="0.25">
      <c r="A11449" s="22" t="s">
        <v>8</v>
      </c>
      <c r="B11449" s="18" t="str">
        <f>"395585"</f>
        <v>395585</v>
      </c>
      <c r="C11449" s="19" t="s">
        <v>11266</v>
      </c>
      <c r="D11449" s="19" t="s">
        <v>26856</v>
      </c>
      <c r="E11449" s="19" t="s">
        <v>34887</v>
      </c>
      <c r="F11449" s="19" t="s">
        <v>36012</v>
      </c>
      <c r="G11449" s="18" t="str">
        <f>"15642"</f>
        <v>15642</v>
      </c>
      <c r="H11449" s="19" t="s">
        <v>32652</v>
      </c>
      <c r="I11449" s="20">
        <v>20.209</v>
      </c>
      <c r="J11449" s="44" t="s">
        <v>8</v>
      </c>
      <c r="K11449" s="23" t="s">
        <v>8</v>
      </c>
      <c r="L11449" s="23" t="s">
        <v>8</v>
      </c>
      <c r="M11449" s="23" t="s">
        <v>8</v>
      </c>
    </row>
    <row r="11450" spans="1:13" s="21" customFormat="1" x14ac:dyDescent="0.25">
      <c r="A11450" s="22" t="s">
        <v>8</v>
      </c>
      <c r="B11450" s="18" t="str">
        <f>"395586"</f>
        <v>395586</v>
      </c>
      <c r="C11450" s="19" t="s">
        <v>11267</v>
      </c>
      <c r="D11450" s="19" t="s">
        <v>26857</v>
      </c>
      <c r="E11450" s="19" t="s">
        <v>30815</v>
      </c>
      <c r="F11450" s="19" t="s">
        <v>36012</v>
      </c>
      <c r="G11450" s="18" t="str">
        <f>"16947"</f>
        <v>16947</v>
      </c>
      <c r="H11450" s="19" t="s">
        <v>34878</v>
      </c>
      <c r="I11450" s="20">
        <v>24.783000000000001</v>
      </c>
      <c r="J11450" s="44" t="s">
        <v>8</v>
      </c>
      <c r="K11450" s="23" t="s">
        <v>8</v>
      </c>
      <c r="L11450" s="23" t="s">
        <v>8</v>
      </c>
      <c r="M11450" s="23" t="s">
        <v>8</v>
      </c>
    </row>
    <row r="11451" spans="1:13" s="21" customFormat="1" x14ac:dyDescent="0.25">
      <c r="A11451" s="22" t="s">
        <v>8</v>
      </c>
      <c r="B11451" s="18" t="str">
        <f>"395587"</f>
        <v>395587</v>
      </c>
      <c r="C11451" s="19" t="s">
        <v>11268</v>
      </c>
      <c r="D11451" s="19" t="s">
        <v>26858</v>
      </c>
      <c r="E11451" s="19" t="s">
        <v>31723</v>
      </c>
      <c r="F11451" s="19" t="s">
        <v>36012</v>
      </c>
      <c r="G11451" s="18" t="str">
        <f>"18612"</f>
        <v>18612</v>
      </c>
      <c r="H11451" s="19" t="s">
        <v>36735</v>
      </c>
      <c r="I11451" s="20">
        <v>16.356999999999999</v>
      </c>
      <c r="J11451" s="44" t="s">
        <v>8</v>
      </c>
      <c r="K11451" s="23" t="s">
        <v>8</v>
      </c>
      <c r="L11451" s="23" t="s">
        <v>8</v>
      </c>
      <c r="M11451" s="23" t="s">
        <v>8</v>
      </c>
    </row>
    <row r="11452" spans="1:13" s="21" customFormat="1" x14ac:dyDescent="0.25">
      <c r="A11452" s="22" t="s">
        <v>8</v>
      </c>
      <c r="B11452" s="18" t="str">
        <f>"395588"</f>
        <v>395588</v>
      </c>
      <c r="C11452" s="19" t="s">
        <v>11269</v>
      </c>
      <c r="D11452" s="19" t="s">
        <v>26859</v>
      </c>
      <c r="E11452" s="19" t="s">
        <v>33549</v>
      </c>
      <c r="F11452" s="19" t="s">
        <v>36012</v>
      </c>
      <c r="G11452" s="18" t="str">
        <f>"16335"</f>
        <v>16335</v>
      </c>
      <c r="H11452" s="19" t="s">
        <v>31759</v>
      </c>
      <c r="I11452" s="20">
        <v>17.736999999999998</v>
      </c>
      <c r="J11452" s="44" t="s">
        <v>8</v>
      </c>
      <c r="K11452" s="23" t="s">
        <v>8</v>
      </c>
      <c r="L11452" s="23" t="s">
        <v>8</v>
      </c>
      <c r="M11452" s="23" t="s">
        <v>8</v>
      </c>
    </row>
    <row r="11453" spans="1:13" s="21" customFormat="1" x14ac:dyDescent="0.25">
      <c r="A11453" s="22" t="s">
        <v>8</v>
      </c>
      <c r="B11453" s="18" t="str">
        <f>"395589"</f>
        <v>395589</v>
      </c>
      <c r="C11453" s="19" t="s">
        <v>11270</v>
      </c>
      <c r="D11453" s="19" t="s">
        <v>26860</v>
      </c>
      <c r="E11453" s="19" t="s">
        <v>34936</v>
      </c>
      <c r="F11453" s="19" t="s">
        <v>36012</v>
      </c>
      <c r="G11453" s="18" t="str">
        <f>"17851"</f>
        <v>17851</v>
      </c>
      <c r="H11453" s="19" t="s">
        <v>34890</v>
      </c>
      <c r="I11453" s="20">
        <v>20.515999999999998</v>
      </c>
      <c r="J11453" s="44" t="s">
        <v>8</v>
      </c>
      <c r="K11453" s="23" t="s">
        <v>8</v>
      </c>
      <c r="L11453" s="23" t="s">
        <v>8</v>
      </c>
      <c r="M11453" s="23" t="s">
        <v>8</v>
      </c>
    </row>
    <row r="11454" spans="1:13" s="21" customFormat="1" x14ac:dyDescent="0.25">
      <c r="A11454" s="22" t="s">
        <v>8</v>
      </c>
      <c r="B11454" s="18" t="str">
        <f>"395590"</f>
        <v>395590</v>
      </c>
      <c r="C11454" s="19" t="s">
        <v>11271</v>
      </c>
      <c r="D11454" s="19" t="s">
        <v>26861</v>
      </c>
      <c r="E11454" s="19" t="s">
        <v>34868</v>
      </c>
      <c r="F11454" s="19" t="s">
        <v>36012</v>
      </c>
      <c r="G11454" s="18" t="str">
        <f>"17543"</f>
        <v>17543</v>
      </c>
      <c r="H11454" s="19" t="s">
        <v>31184</v>
      </c>
      <c r="I11454" s="20">
        <v>19.507999999999999</v>
      </c>
      <c r="J11454" s="44" t="s">
        <v>8</v>
      </c>
      <c r="K11454" s="23" t="s">
        <v>8</v>
      </c>
      <c r="L11454" s="23" t="s">
        <v>8</v>
      </c>
      <c r="M11454" s="23" t="s">
        <v>8</v>
      </c>
    </row>
    <row r="11455" spans="1:13" s="21" customFormat="1" x14ac:dyDescent="0.25">
      <c r="A11455" s="22" t="s">
        <v>8</v>
      </c>
      <c r="B11455" s="18" t="str">
        <f>"395591"</f>
        <v>395591</v>
      </c>
      <c r="C11455" s="19" t="s">
        <v>11272</v>
      </c>
      <c r="D11455" s="19" t="s">
        <v>26862</v>
      </c>
      <c r="E11455" s="19" t="s">
        <v>34799</v>
      </c>
      <c r="F11455" s="19" t="s">
        <v>36012</v>
      </c>
      <c r="G11455" s="18" t="str">
        <f>"18104"</f>
        <v>18104</v>
      </c>
      <c r="H11455" s="19" t="s">
        <v>36731</v>
      </c>
      <c r="I11455" s="20">
        <v>17.094999999999999</v>
      </c>
      <c r="J11455" s="44" t="s">
        <v>8</v>
      </c>
      <c r="K11455" s="23" t="s">
        <v>8</v>
      </c>
      <c r="L11455" s="23" t="s">
        <v>8</v>
      </c>
      <c r="M11455" s="23" t="s">
        <v>8</v>
      </c>
    </row>
    <row r="11456" spans="1:13" s="21" customFormat="1" x14ac:dyDescent="0.25">
      <c r="A11456" s="22" t="s">
        <v>8</v>
      </c>
      <c r="B11456" s="18" t="str">
        <f>"395592"</f>
        <v>395592</v>
      </c>
      <c r="C11456" s="19" t="s">
        <v>11273</v>
      </c>
      <c r="D11456" s="19" t="s">
        <v>26863</v>
      </c>
      <c r="E11456" s="19" t="s">
        <v>33150</v>
      </c>
      <c r="F11456" s="19" t="s">
        <v>36012</v>
      </c>
      <c r="G11456" s="18" t="str">
        <f>"16646"</f>
        <v>16646</v>
      </c>
      <c r="H11456" s="19" t="s">
        <v>36728</v>
      </c>
      <c r="I11456" s="20">
        <v>17.866</v>
      </c>
      <c r="J11456" s="44" t="s">
        <v>8</v>
      </c>
      <c r="K11456" s="23" t="s">
        <v>8</v>
      </c>
      <c r="L11456" s="23" t="s">
        <v>8</v>
      </c>
      <c r="M11456" s="23" t="s">
        <v>8</v>
      </c>
    </row>
    <row r="11457" spans="1:13" s="21" customFormat="1" x14ac:dyDescent="0.25">
      <c r="A11457" s="22" t="s">
        <v>8</v>
      </c>
      <c r="B11457" s="18" t="str">
        <f>"395593"</f>
        <v>395593</v>
      </c>
      <c r="C11457" s="19" t="s">
        <v>11274</v>
      </c>
      <c r="D11457" s="19" t="s">
        <v>26864</v>
      </c>
      <c r="E11457" s="19" t="s">
        <v>34416</v>
      </c>
      <c r="F11457" s="19" t="s">
        <v>36012</v>
      </c>
      <c r="G11457" s="18" t="str">
        <f>"16127"</f>
        <v>16127</v>
      </c>
      <c r="H11457" s="19" t="s">
        <v>34991</v>
      </c>
      <c r="I11457" s="20">
        <v>19.166</v>
      </c>
      <c r="J11457" s="44" t="s">
        <v>8</v>
      </c>
      <c r="K11457" s="23" t="s">
        <v>8</v>
      </c>
      <c r="L11457" s="23" t="s">
        <v>8</v>
      </c>
      <c r="M11457" s="23" t="s">
        <v>8</v>
      </c>
    </row>
    <row r="11458" spans="1:13" s="21" customFormat="1" x14ac:dyDescent="0.25">
      <c r="A11458" s="22" t="s">
        <v>8</v>
      </c>
      <c r="B11458" s="18" t="str">
        <f>"395594"</f>
        <v>395594</v>
      </c>
      <c r="C11458" s="19" t="s">
        <v>11275</v>
      </c>
      <c r="D11458" s="19" t="s">
        <v>26865</v>
      </c>
      <c r="E11458" s="19" t="s">
        <v>34922</v>
      </c>
      <c r="F11458" s="19" t="s">
        <v>36012</v>
      </c>
      <c r="G11458" s="18" t="str">
        <f>"16301"</f>
        <v>16301</v>
      </c>
      <c r="H11458" s="19" t="s">
        <v>36740</v>
      </c>
      <c r="I11458" s="20">
        <v>19.423999999999999</v>
      </c>
      <c r="J11458" s="44" t="s">
        <v>8</v>
      </c>
      <c r="K11458" s="23" t="s">
        <v>8</v>
      </c>
      <c r="L11458" s="23" t="s">
        <v>8</v>
      </c>
      <c r="M11458" s="23" t="s">
        <v>8</v>
      </c>
    </row>
    <row r="11459" spans="1:13" s="21" customFormat="1" x14ac:dyDescent="0.25">
      <c r="A11459" s="22" t="s">
        <v>8</v>
      </c>
      <c r="B11459" s="18" t="str">
        <f>"395595"</f>
        <v>395595</v>
      </c>
      <c r="C11459" s="19" t="s">
        <v>11276</v>
      </c>
      <c r="D11459" s="19" t="s">
        <v>26866</v>
      </c>
      <c r="E11459" s="19" t="s">
        <v>31396</v>
      </c>
      <c r="F11459" s="19" t="s">
        <v>36012</v>
      </c>
      <c r="G11459" s="18" t="str">
        <f>"19013"</f>
        <v>19013</v>
      </c>
      <c r="H11459" s="19" t="s">
        <v>34462</v>
      </c>
      <c r="I11459" s="20">
        <v>18.024000000000001</v>
      </c>
      <c r="J11459" s="44" t="s">
        <v>8</v>
      </c>
      <c r="K11459" s="23" t="s">
        <v>8</v>
      </c>
      <c r="L11459" s="23" t="s">
        <v>8</v>
      </c>
      <c r="M11459" s="23" t="s">
        <v>8</v>
      </c>
    </row>
    <row r="11460" spans="1:13" s="21" customFormat="1" x14ac:dyDescent="0.25">
      <c r="A11460" s="22" t="s">
        <v>8</v>
      </c>
      <c r="B11460" s="18" t="str">
        <f>"395596"</f>
        <v>395596</v>
      </c>
      <c r="C11460" s="19" t="s">
        <v>11277</v>
      </c>
      <c r="D11460" s="19" t="s">
        <v>26867</v>
      </c>
      <c r="E11460" s="19" t="s">
        <v>34937</v>
      </c>
      <c r="F11460" s="19" t="s">
        <v>36012</v>
      </c>
      <c r="G11460" s="18" t="str">
        <f>"15017"</f>
        <v>15017</v>
      </c>
      <c r="H11460" s="19" t="s">
        <v>36730</v>
      </c>
      <c r="I11460" s="20">
        <v>21.452999999999999</v>
      </c>
      <c r="J11460" s="44" t="s">
        <v>8</v>
      </c>
      <c r="K11460" s="23" t="s">
        <v>8</v>
      </c>
      <c r="L11460" s="23" t="s">
        <v>8</v>
      </c>
      <c r="M11460" s="23" t="s">
        <v>8</v>
      </c>
    </row>
    <row r="11461" spans="1:13" s="21" customFormat="1" x14ac:dyDescent="0.25">
      <c r="A11461" s="22" t="s">
        <v>8</v>
      </c>
      <c r="B11461" s="18" t="str">
        <f>"395597"</f>
        <v>395597</v>
      </c>
      <c r="C11461" s="19" t="s">
        <v>11278</v>
      </c>
      <c r="D11461" s="19" t="s">
        <v>26868</v>
      </c>
      <c r="E11461" s="19" t="s">
        <v>31466</v>
      </c>
      <c r="F11461" s="19" t="s">
        <v>36012</v>
      </c>
      <c r="G11461" s="18" t="str">
        <f>"18940"</f>
        <v>18940</v>
      </c>
      <c r="H11461" s="19" t="s">
        <v>36729</v>
      </c>
      <c r="I11461" s="20">
        <v>21.556999999999999</v>
      </c>
      <c r="J11461" s="44" t="s">
        <v>8</v>
      </c>
      <c r="K11461" s="23" t="s">
        <v>8</v>
      </c>
      <c r="L11461" s="23" t="s">
        <v>8</v>
      </c>
      <c r="M11461" s="23" t="s">
        <v>8</v>
      </c>
    </row>
    <row r="11462" spans="1:13" s="21" customFormat="1" x14ac:dyDescent="0.25">
      <c r="A11462" s="22" t="s">
        <v>8</v>
      </c>
      <c r="B11462" s="18" t="str">
        <f>"395599"</f>
        <v>395599</v>
      </c>
      <c r="C11462" s="19" t="s">
        <v>11279</v>
      </c>
      <c r="D11462" s="19" t="s">
        <v>26869</v>
      </c>
      <c r="E11462" s="19" t="s">
        <v>34843</v>
      </c>
      <c r="F11462" s="19" t="s">
        <v>36012</v>
      </c>
      <c r="G11462" s="18" t="str">
        <f>"18018"</f>
        <v>18018</v>
      </c>
      <c r="H11462" s="19" t="s">
        <v>33038</v>
      </c>
      <c r="I11462" s="20">
        <v>17.984000000000002</v>
      </c>
      <c r="J11462" s="44" t="s">
        <v>8</v>
      </c>
      <c r="K11462" s="23" t="s">
        <v>8</v>
      </c>
      <c r="L11462" s="23" t="s">
        <v>8</v>
      </c>
      <c r="M11462" s="23" t="s">
        <v>8</v>
      </c>
    </row>
    <row r="11463" spans="1:13" s="21" customFormat="1" x14ac:dyDescent="0.25">
      <c r="A11463" s="22" t="s">
        <v>8</v>
      </c>
      <c r="B11463" s="18" t="str">
        <f>"395602"</f>
        <v>395602</v>
      </c>
      <c r="C11463" s="19" t="s">
        <v>3513</v>
      </c>
      <c r="D11463" s="19" t="s">
        <v>26870</v>
      </c>
      <c r="E11463" s="19" t="s">
        <v>34938</v>
      </c>
      <c r="F11463" s="19" t="s">
        <v>36012</v>
      </c>
      <c r="G11463" s="18" t="str">
        <f>"18640"</f>
        <v>18640</v>
      </c>
      <c r="H11463" s="19" t="s">
        <v>36735</v>
      </c>
      <c r="I11463" s="20">
        <v>16.417999999999999</v>
      </c>
      <c r="J11463" s="44" t="s">
        <v>8</v>
      </c>
      <c r="K11463" s="23" t="s">
        <v>8</v>
      </c>
      <c r="L11463" s="23" t="s">
        <v>8</v>
      </c>
      <c r="M11463" s="23" t="s">
        <v>8</v>
      </c>
    </row>
    <row r="11464" spans="1:13" s="21" customFormat="1" x14ac:dyDescent="0.25">
      <c r="A11464" s="22" t="s">
        <v>8</v>
      </c>
      <c r="B11464" s="18" t="str">
        <f>"395603"</f>
        <v>395603</v>
      </c>
      <c r="C11464" s="19" t="s">
        <v>11280</v>
      </c>
      <c r="D11464" s="19" t="s">
        <v>26871</v>
      </c>
      <c r="E11464" s="19" t="s">
        <v>34939</v>
      </c>
      <c r="F11464" s="19" t="s">
        <v>36012</v>
      </c>
      <c r="G11464" s="18" t="str">
        <f>"15108"</f>
        <v>15108</v>
      </c>
      <c r="H11464" s="19" t="s">
        <v>36730</v>
      </c>
      <c r="I11464" s="20">
        <v>18.952999999999999</v>
      </c>
      <c r="J11464" s="44" t="s">
        <v>8</v>
      </c>
      <c r="K11464" s="23" t="s">
        <v>8</v>
      </c>
      <c r="L11464" s="23" t="s">
        <v>8</v>
      </c>
      <c r="M11464" s="23" t="s">
        <v>8</v>
      </c>
    </row>
    <row r="11465" spans="1:13" s="21" customFormat="1" x14ac:dyDescent="0.25">
      <c r="A11465" s="22" t="s">
        <v>8</v>
      </c>
      <c r="B11465" s="18" t="str">
        <f>"395604"</f>
        <v>395604</v>
      </c>
      <c r="C11465" s="19" t="s">
        <v>11281</v>
      </c>
      <c r="D11465" s="19" t="s">
        <v>26872</v>
      </c>
      <c r="E11465" s="19" t="s">
        <v>32236</v>
      </c>
      <c r="F11465" s="19" t="s">
        <v>36012</v>
      </c>
      <c r="G11465" s="18" t="str">
        <f>"15601"</f>
        <v>15601</v>
      </c>
      <c r="H11465" s="19" t="s">
        <v>32652</v>
      </c>
      <c r="I11465" s="20">
        <v>18.25</v>
      </c>
      <c r="J11465" s="44" t="s">
        <v>8</v>
      </c>
      <c r="K11465" s="23" t="s">
        <v>8</v>
      </c>
      <c r="L11465" s="23" t="s">
        <v>8</v>
      </c>
      <c r="M11465" s="23" t="s">
        <v>8</v>
      </c>
    </row>
    <row r="11466" spans="1:13" s="21" customFormat="1" x14ac:dyDescent="0.25">
      <c r="A11466" s="22" t="s">
        <v>8</v>
      </c>
      <c r="B11466" s="18" t="str">
        <f>"395605"</f>
        <v>395605</v>
      </c>
      <c r="C11466" s="19" t="s">
        <v>11282</v>
      </c>
      <c r="D11466" s="19" t="s">
        <v>26873</v>
      </c>
      <c r="E11466" s="19" t="s">
        <v>34940</v>
      </c>
      <c r="F11466" s="19" t="s">
        <v>36012</v>
      </c>
      <c r="G11466" s="18" t="str">
        <f>"15044"</f>
        <v>15044</v>
      </c>
      <c r="H11466" s="19" t="s">
        <v>36730</v>
      </c>
      <c r="I11466" s="20">
        <v>18.292999999999999</v>
      </c>
      <c r="J11466" s="44" t="s">
        <v>8</v>
      </c>
      <c r="K11466" s="23" t="s">
        <v>8</v>
      </c>
      <c r="L11466" s="23" t="s">
        <v>8</v>
      </c>
      <c r="M11466" s="23" t="s">
        <v>8</v>
      </c>
    </row>
    <row r="11467" spans="1:13" s="21" customFormat="1" x14ac:dyDescent="0.25">
      <c r="A11467" s="22" t="s">
        <v>8</v>
      </c>
      <c r="B11467" s="18" t="str">
        <f>"395606"</f>
        <v>395606</v>
      </c>
      <c r="C11467" s="19" t="s">
        <v>11283</v>
      </c>
      <c r="D11467" s="19" t="s">
        <v>26874</v>
      </c>
      <c r="E11467" s="19" t="s">
        <v>34801</v>
      </c>
      <c r="F11467" s="19" t="s">
        <v>36012</v>
      </c>
      <c r="G11467" s="18" t="str">
        <f>"15237"</f>
        <v>15237</v>
      </c>
      <c r="H11467" s="19" t="s">
        <v>36730</v>
      </c>
      <c r="I11467" s="20">
        <v>19.504999999999999</v>
      </c>
      <c r="J11467" s="44" t="s">
        <v>8</v>
      </c>
      <c r="K11467" s="23" t="s">
        <v>8</v>
      </c>
      <c r="L11467" s="23" t="s">
        <v>8</v>
      </c>
      <c r="M11467" s="23" t="s">
        <v>8</v>
      </c>
    </row>
    <row r="11468" spans="1:13" s="21" customFormat="1" x14ac:dyDescent="0.25">
      <c r="A11468" s="22" t="s">
        <v>8</v>
      </c>
      <c r="B11468" s="18" t="str">
        <f>"395607"</f>
        <v>395607</v>
      </c>
      <c r="C11468" s="19" t="s">
        <v>11284</v>
      </c>
      <c r="D11468" s="19" t="s">
        <v>26875</v>
      </c>
      <c r="E11468" s="19" t="s">
        <v>34941</v>
      </c>
      <c r="F11468" s="19" t="s">
        <v>36012</v>
      </c>
      <c r="G11468" s="18" t="str">
        <f>"16254"</f>
        <v>16254</v>
      </c>
      <c r="H11468" s="19" t="s">
        <v>32460</v>
      </c>
      <c r="I11468" s="20">
        <v>19.285</v>
      </c>
      <c r="J11468" s="44" t="s">
        <v>8</v>
      </c>
      <c r="K11468" s="23" t="s">
        <v>8</v>
      </c>
      <c r="L11468" s="23" t="s">
        <v>8</v>
      </c>
      <c r="M11468" s="23" t="s">
        <v>8</v>
      </c>
    </row>
    <row r="11469" spans="1:13" s="21" customFormat="1" x14ac:dyDescent="0.25">
      <c r="A11469" s="22" t="s">
        <v>8</v>
      </c>
      <c r="B11469" s="18" t="str">
        <f>"395609"</f>
        <v>395609</v>
      </c>
      <c r="C11469" s="19" t="s">
        <v>11285</v>
      </c>
      <c r="D11469" s="19" t="s">
        <v>26876</v>
      </c>
      <c r="E11469" s="19" t="s">
        <v>34942</v>
      </c>
      <c r="F11469" s="19" t="s">
        <v>36012</v>
      </c>
      <c r="G11469" s="18" t="str">
        <f>"16371"</f>
        <v>16371</v>
      </c>
      <c r="H11469" s="19" t="s">
        <v>31025</v>
      </c>
      <c r="I11469" s="20">
        <v>14.571999999999999</v>
      </c>
      <c r="J11469" s="44" t="s">
        <v>8</v>
      </c>
      <c r="K11469" s="23" t="s">
        <v>8</v>
      </c>
      <c r="L11469" s="23" t="s">
        <v>8</v>
      </c>
      <c r="M11469" s="23" t="s">
        <v>8</v>
      </c>
    </row>
    <row r="11470" spans="1:13" s="21" customFormat="1" x14ac:dyDescent="0.25">
      <c r="A11470" s="22" t="s">
        <v>8</v>
      </c>
      <c r="B11470" s="18" t="str">
        <f>"395610"</f>
        <v>395610</v>
      </c>
      <c r="C11470" s="19" t="s">
        <v>11286</v>
      </c>
      <c r="D11470" s="19" t="s">
        <v>26877</v>
      </c>
      <c r="E11470" s="19" t="s">
        <v>34103</v>
      </c>
      <c r="F11470" s="19" t="s">
        <v>36012</v>
      </c>
      <c r="G11470" s="18" t="str">
        <f>"15904"</f>
        <v>15904</v>
      </c>
      <c r="H11470" s="19" t="s">
        <v>36728</v>
      </c>
      <c r="I11470" s="20">
        <v>20.286000000000001</v>
      </c>
      <c r="J11470" s="44" t="s">
        <v>8</v>
      </c>
      <c r="K11470" s="23" t="s">
        <v>8</v>
      </c>
      <c r="L11470" s="23" t="s">
        <v>8</v>
      </c>
      <c r="M11470" s="23" t="s">
        <v>8</v>
      </c>
    </row>
    <row r="11471" spans="1:13" s="21" customFormat="1" x14ac:dyDescent="0.25">
      <c r="A11471" s="22" t="s">
        <v>8</v>
      </c>
      <c r="B11471" s="18" t="str">
        <f>"395612"</f>
        <v>395612</v>
      </c>
      <c r="C11471" s="19" t="s">
        <v>11287</v>
      </c>
      <c r="D11471" s="19" t="s">
        <v>26878</v>
      </c>
      <c r="E11471" s="19" t="s">
        <v>30834</v>
      </c>
      <c r="F11471" s="19" t="s">
        <v>36012</v>
      </c>
      <c r="G11471" s="18" t="str">
        <f>"17404"</f>
        <v>17404</v>
      </c>
      <c r="H11471" s="19" t="s">
        <v>30834</v>
      </c>
      <c r="I11471" s="20">
        <v>14.599</v>
      </c>
      <c r="J11471" s="44" t="s">
        <v>8</v>
      </c>
      <c r="K11471" s="23" t="s">
        <v>8</v>
      </c>
      <c r="L11471" s="23" t="s">
        <v>8</v>
      </c>
      <c r="M11471" s="23" t="s">
        <v>8</v>
      </c>
    </row>
    <row r="11472" spans="1:13" s="21" customFormat="1" x14ac:dyDescent="0.25">
      <c r="A11472" s="22" t="s">
        <v>8</v>
      </c>
      <c r="B11472" s="18" t="str">
        <f>"395613"</f>
        <v>395613</v>
      </c>
      <c r="C11472" s="19" t="s">
        <v>11288</v>
      </c>
      <c r="D11472" s="19" t="s">
        <v>26879</v>
      </c>
      <c r="E11472" s="19" t="s">
        <v>34797</v>
      </c>
      <c r="F11472" s="19" t="s">
        <v>36012</v>
      </c>
      <c r="G11472" s="18" t="str">
        <f>"17201"</f>
        <v>17201</v>
      </c>
      <c r="H11472" s="19" t="s">
        <v>5</v>
      </c>
      <c r="I11472" s="20">
        <v>17.524000000000001</v>
      </c>
      <c r="J11472" s="44" t="s">
        <v>8</v>
      </c>
      <c r="K11472" s="23" t="s">
        <v>8</v>
      </c>
      <c r="L11472" s="23" t="s">
        <v>8</v>
      </c>
      <c r="M11472" s="23" t="s">
        <v>8</v>
      </c>
    </row>
    <row r="11473" spans="1:13" s="21" customFormat="1" x14ac:dyDescent="0.25">
      <c r="A11473" s="22" t="s">
        <v>8</v>
      </c>
      <c r="B11473" s="18" t="str">
        <f>"395614"</f>
        <v>395614</v>
      </c>
      <c r="C11473" s="19" t="s">
        <v>11289</v>
      </c>
      <c r="D11473" s="19" t="s">
        <v>26880</v>
      </c>
      <c r="E11473" s="19" t="s">
        <v>34943</v>
      </c>
      <c r="F11473" s="19" t="s">
        <v>36012</v>
      </c>
      <c r="G11473" s="18" t="str">
        <f>"17845"</f>
        <v>17845</v>
      </c>
      <c r="H11473" s="19" t="s">
        <v>33554</v>
      </c>
      <c r="I11473" s="20">
        <v>17.43</v>
      </c>
      <c r="J11473" s="44" t="s">
        <v>8</v>
      </c>
      <c r="K11473" s="23" t="s">
        <v>8</v>
      </c>
      <c r="L11473" s="23" t="s">
        <v>8</v>
      </c>
      <c r="M11473" s="23" t="s">
        <v>8</v>
      </c>
    </row>
    <row r="11474" spans="1:13" s="21" customFormat="1" x14ac:dyDescent="0.25">
      <c r="A11474" s="22" t="s">
        <v>8</v>
      </c>
      <c r="B11474" s="18" t="str">
        <f>"395616"</f>
        <v>395616</v>
      </c>
      <c r="C11474" s="19" t="s">
        <v>11290</v>
      </c>
      <c r="D11474" s="19" t="s">
        <v>26881</v>
      </c>
      <c r="E11474" s="19" t="s">
        <v>34803</v>
      </c>
      <c r="F11474" s="19" t="s">
        <v>36012</v>
      </c>
      <c r="G11474" s="18" t="str">
        <f>"17745"</f>
        <v>17745</v>
      </c>
      <c r="H11474" s="19" t="s">
        <v>31081</v>
      </c>
      <c r="I11474" s="20">
        <v>19.579999999999998</v>
      </c>
      <c r="J11474" s="44" t="s">
        <v>8</v>
      </c>
      <c r="K11474" s="23" t="s">
        <v>8</v>
      </c>
      <c r="L11474" s="23" t="s">
        <v>8</v>
      </c>
      <c r="M11474" s="23" t="s">
        <v>8</v>
      </c>
    </row>
    <row r="11475" spans="1:13" s="21" customFormat="1" x14ac:dyDescent="0.25">
      <c r="A11475" s="22" t="s">
        <v>8</v>
      </c>
      <c r="B11475" s="18" t="str">
        <f>"395617"</f>
        <v>395617</v>
      </c>
      <c r="C11475" s="19" t="s">
        <v>11291</v>
      </c>
      <c r="D11475" s="19" t="s">
        <v>26882</v>
      </c>
      <c r="E11475" s="19" t="s">
        <v>34801</v>
      </c>
      <c r="F11475" s="19" t="s">
        <v>36012</v>
      </c>
      <c r="G11475" s="18" t="str">
        <f>"15243"</f>
        <v>15243</v>
      </c>
      <c r="H11475" s="19" t="s">
        <v>36730</v>
      </c>
      <c r="I11475" s="20">
        <v>19.524000000000001</v>
      </c>
      <c r="J11475" s="44" t="s">
        <v>8</v>
      </c>
      <c r="K11475" s="23" t="s">
        <v>8</v>
      </c>
      <c r="L11475" s="23" t="s">
        <v>8</v>
      </c>
      <c r="M11475" s="23" t="s">
        <v>8</v>
      </c>
    </row>
    <row r="11476" spans="1:13" s="21" customFormat="1" x14ac:dyDescent="0.25">
      <c r="A11476" s="22" t="s">
        <v>8</v>
      </c>
      <c r="B11476" s="18" t="str">
        <f>"395618"</f>
        <v>395618</v>
      </c>
      <c r="C11476" s="19" t="s">
        <v>11292</v>
      </c>
      <c r="D11476" s="19" t="s">
        <v>26883</v>
      </c>
      <c r="E11476" s="19" t="s">
        <v>34791</v>
      </c>
      <c r="F11476" s="19" t="s">
        <v>36012</v>
      </c>
      <c r="G11476" s="18" t="str">
        <f>"15767"</f>
        <v>15767</v>
      </c>
      <c r="H11476" s="19" t="s">
        <v>32391</v>
      </c>
      <c r="I11476" s="20">
        <v>22.492999999999999</v>
      </c>
      <c r="J11476" s="44" t="s">
        <v>8</v>
      </c>
      <c r="K11476" s="23" t="s">
        <v>8</v>
      </c>
      <c r="L11476" s="23" t="s">
        <v>8</v>
      </c>
      <c r="M11476" s="23" t="s">
        <v>8</v>
      </c>
    </row>
    <row r="11477" spans="1:13" s="21" customFormat="1" x14ac:dyDescent="0.25">
      <c r="A11477" s="22" t="s">
        <v>8</v>
      </c>
      <c r="B11477" s="18" t="str">
        <f>"395619"</f>
        <v>395619</v>
      </c>
      <c r="C11477" s="19" t="s">
        <v>11293</v>
      </c>
      <c r="D11477" s="19" t="s">
        <v>26884</v>
      </c>
      <c r="E11477" s="19" t="s">
        <v>34944</v>
      </c>
      <c r="F11477" s="19" t="s">
        <v>36012</v>
      </c>
      <c r="G11477" s="18" t="str">
        <f>"16406"</f>
        <v>16406</v>
      </c>
      <c r="H11477" s="19" t="s">
        <v>31759</v>
      </c>
      <c r="I11477" s="20">
        <v>17.981999999999999</v>
      </c>
      <c r="J11477" s="44" t="s">
        <v>8</v>
      </c>
      <c r="K11477" s="23" t="s">
        <v>8</v>
      </c>
      <c r="L11477" s="23" t="s">
        <v>8</v>
      </c>
      <c r="M11477" s="23" t="s">
        <v>8</v>
      </c>
    </row>
    <row r="11478" spans="1:13" s="21" customFormat="1" x14ac:dyDescent="0.25">
      <c r="A11478" s="22" t="s">
        <v>8</v>
      </c>
      <c r="B11478" s="18" t="str">
        <f>"395620"</f>
        <v>395620</v>
      </c>
      <c r="C11478" s="19" t="s">
        <v>11294</v>
      </c>
      <c r="D11478" s="19" t="s">
        <v>26885</v>
      </c>
      <c r="E11478" s="19" t="s">
        <v>34939</v>
      </c>
      <c r="F11478" s="19" t="s">
        <v>36012</v>
      </c>
      <c r="G11478" s="18" t="str">
        <f>"15108"</f>
        <v>15108</v>
      </c>
      <c r="H11478" s="19" t="s">
        <v>36730</v>
      </c>
      <c r="I11478" s="20">
        <v>20.077999999999999</v>
      </c>
      <c r="J11478" s="44" t="s">
        <v>8</v>
      </c>
      <c r="K11478" s="23" t="s">
        <v>8</v>
      </c>
      <c r="L11478" s="23" t="s">
        <v>8</v>
      </c>
      <c r="M11478" s="23" t="s">
        <v>8</v>
      </c>
    </row>
    <row r="11479" spans="1:13" s="21" customFormat="1" x14ac:dyDescent="0.25">
      <c r="A11479" s="22" t="s">
        <v>8</v>
      </c>
      <c r="B11479" s="18" t="str">
        <f>"395621"</f>
        <v>395621</v>
      </c>
      <c r="C11479" s="19" t="s">
        <v>11295</v>
      </c>
      <c r="D11479" s="19" t="s">
        <v>26886</v>
      </c>
      <c r="E11479" s="19" t="s">
        <v>34845</v>
      </c>
      <c r="F11479" s="19" t="s">
        <v>36012</v>
      </c>
      <c r="G11479" s="18" t="str">
        <f>"19446"</f>
        <v>19446</v>
      </c>
      <c r="H11479" s="19" t="s">
        <v>30833</v>
      </c>
      <c r="I11479" s="20">
        <v>20.914000000000001</v>
      </c>
      <c r="J11479" s="44" t="s">
        <v>8</v>
      </c>
      <c r="K11479" s="23" t="s">
        <v>8</v>
      </c>
      <c r="L11479" s="23" t="s">
        <v>8</v>
      </c>
      <c r="M11479" s="23" t="s">
        <v>8</v>
      </c>
    </row>
    <row r="11480" spans="1:13" s="21" customFormat="1" x14ac:dyDescent="0.25">
      <c r="A11480" s="22" t="s">
        <v>8</v>
      </c>
      <c r="B11480" s="18" t="str">
        <f>"395623"</f>
        <v>395623</v>
      </c>
      <c r="C11480" s="19" t="s">
        <v>11296</v>
      </c>
      <c r="D11480" s="19" t="s">
        <v>26887</v>
      </c>
      <c r="E11480" s="19" t="s">
        <v>30981</v>
      </c>
      <c r="F11480" s="19" t="s">
        <v>36012</v>
      </c>
      <c r="G11480" s="18" t="str">
        <f>"17821"</f>
        <v>17821</v>
      </c>
      <c r="H11480" s="19" t="s">
        <v>36741</v>
      </c>
      <c r="I11480" s="20">
        <v>21.478999999999999</v>
      </c>
      <c r="J11480" s="44" t="s">
        <v>8</v>
      </c>
      <c r="K11480" s="23" t="s">
        <v>8</v>
      </c>
      <c r="L11480" s="23" t="s">
        <v>8</v>
      </c>
      <c r="M11480" s="23" t="s">
        <v>8</v>
      </c>
    </row>
    <row r="11481" spans="1:13" s="21" customFormat="1" x14ac:dyDescent="0.25">
      <c r="A11481" s="22" t="s">
        <v>8</v>
      </c>
      <c r="B11481" s="18" t="str">
        <f>"395624"</f>
        <v>395624</v>
      </c>
      <c r="C11481" s="19" t="s">
        <v>11297</v>
      </c>
      <c r="D11481" s="19" t="s">
        <v>26888</v>
      </c>
      <c r="E11481" s="19" t="s">
        <v>34790</v>
      </c>
      <c r="F11481" s="19" t="s">
        <v>36012</v>
      </c>
      <c r="G11481" s="18" t="str">
        <f>"15370"</f>
        <v>15370</v>
      </c>
      <c r="H11481" s="19" t="s">
        <v>32455</v>
      </c>
      <c r="I11481" s="20">
        <v>19.524000000000001</v>
      </c>
      <c r="J11481" s="44" t="s">
        <v>8</v>
      </c>
      <c r="K11481" s="23" t="s">
        <v>8</v>
      </c>
      <c r="L11481" s="23" t="s">
        <v>8</v>
      </c>
      <c r="M11481" s="23" t="s">
        <v>8</v>
      </c>
    </row>
    <row r="11482" spans="1:13" s="21" customFormat="1" x14ac:dyDescent="0.25">
      <c r="A11482" s="22" t="s">
        <v>8</v>
      </c>
      <c r="B11482" s="18" t="str">
        <f>"395625"</f>
        <v>395625</v>
      </c>
      <c r="C11482" s="19" t="s">
        <v>11298</v>
      </c>
      <c r="D11482" s="19" t="s">
        <v>26889</v>
      </c>
      <c r="E11482" s="19" t="s">
        <v>34811</v>
      </c>
      <c r="F11482" s="19" t="s">
        <v>36012</v>
      </c>
      <c r="G11482" s="18" t="str">
        <f>"18509"</f>
        <v>18509</v>
      </c>
      <c r="H11482" s="19" t="s">
        <v>36732</v>
      </c>
      <c r="I11482" s="20">
        <v>17.875</v>
      </c>
      <c r="J11482" s="44" t="s">
        <v>8</v>
      </c>
      <c r="K11482" s="23" t="s">
        <v>8</v>
      </c>
      <c r="L11482" s="23" t="s">
        <v>8</v>
      </c>
      <c r="M11482" s="23" t="s">
        <v>8</v>
      </c>
    </row>
    <row r="11483" spans="1:13" s="21" customFormat="1" x14ac:dyDescent="0.25">
      <c r="A11483" s="22" t="s">
        <v>8</v>
      </c>
      <c r="B11483" s="18" t="str">
        <f>"395626"</f>
        <v>395626</v>
      </c>
      <c r="C11483" s="19" t="s">
        <v>11299</v>
      </c>
      <c r="D11483" s="19" t="s">
        <v>26890</v>
      </c>
      <c r="E11483" s="19" t="s">
        <v>32277</v>
      </c>
      <c r="F11483" s="19" t="s">
        <v>36012</v>
      </c>
      <c r="G11483" s="18" t="str">
        <f>"15825"</f>
        <v>15825</v>
      </c>
      <c r="H11483" s="19" t="s">
        <v>32391</v>
      </c>
      <c r="I11483" s="20">
        <v>24.401</v>
      </c>
      <c r="J11483" s="44" t="s">
        <v>8</v>
      </c>
      <c r="K11483" s="23" t="s">
        <v>8</v>
      </c>
      <c r="L11483" s="23" t="s">
        <v>8</v>
      </c>
      <c r="M11483" s="23" t="s">
        <v>8</v>
      </c>
    </row>
    <row r="11484" spans="1:13" s="21" customFormat="1" x14ac:dyDescent="0.25">
      <c r="A11484" s="22" t="s">
        <v>8</v>
      </c>
      <c r="B11484" s="18" t="str">
        <f>"395627"</f>
        <v>395627</v>
      </c>
      <c r="C11484" s="19" t="s">
        <v>11300</v>
      </c>
      <c r="D11484" s="19" t="s">
        <v>26891</v>
      </c>
      <c r="E11484" s="19" t="s">
        <v>33084</v>
      </c>
      <c r="F11484" s="19" t="s">
        <v>36012</v>
      </c>
      <c r="G11484" s="18" t="str">
        <f>"19606"</f>
        <v>19606</v>
      </c>
      <c r="H11484" s="19" t="s">
        <v>36734</v>
      </c>
      <c r="I11484" s="20">
        <v>19.821000000000002</v>
      </c>
      <c r="J11484" s="44" t="s">
        <v>8</v>
      </c>
      <c r="K11484" s="23" t="s">
        <v>8</v>
      </c>
      <c r="L11484" s="23" t="s">
        <v>8</v>
      </c>
      <c r="M11484" s="23" t="s">
        <v>8</v>
      </c>
    </row>
    <row r="11485" spans="1:13" s="21" customFormat="1" x14ac:dyDescent="0.25">
      <c r="A11485" s="22" t="s">
        <v>8</v>
      </c>
      <c r="B11485" s="18" t="str">
        <f>"395628"</f>
        <v>395628</v>
      </c>
      <c r="C11485" s="19" t="s">
        <v>11301</v>
      </c>
      <c r="D11485" s="19" t="s">
        <v>26892</v>
      </c>
      <c r="E11485" s="19" t="s">
        <v>33514</v>
      </c>
      <c r="F11485" s="19" t="s">
        <v>36012</v>
      </c>
      <c r="G11485" s="18" t="str">
        <f>"19143"</f>
        <v>19143</v>
      </c>
      <c r="H11485" s="19" t="s">
        <v>33514</v>
      </c>
      <c r="I11485" s="20">
        <v>18.876000000000001</v>
      </c>
      <c r="J11485" s="44" t="s">
        <v>8</v>
      </c>
      <c r="K11485" s="23" t="s">
        <v>8</v>
      </c>
      <c r="L11485" s="23" t="s">
        <v>8</v>
      </c>
      <c r="M11485" s="23" t="s">
        <v>8</v>
      </c>
    </row>
    <row r="11486" spans="1:13" s="21" customFormat="1" x14ac:dyDescent="0.25">
      <c r="A11486" s="22" t="s">
        <v>8</v>
      </c>
      <c r="B11486" s="18" t="str">
        <f>"395629"</f>
        <v>395629</v>
      </c>
      <c r="C11486" s="19" t="s">
        <v>11302</v>
      </c>
      <c r="D11486" s="19" t="s">
        <v>26893</v>
      </c>
      <c r="E11486" s="19" t="s">
        <v>34841</v>
      </c>
      <c r="F11486" s="19" t="s">
        <v>36012</v>
      </c>
      <c r="G11486" s="18" t="str">
        <f>"15401"</f>
        <v>15401</v>
      </c>
      <c r="H11486" s="19" t="s">
        <v>30805</v>
      </c>
      <c r="I11486" s="20">
        <v>21.454999999999998</v>
      </c>
      <c r="J11486" s="44" t="s">
        <v>8</v>
      </c>
      <c r="K11486" s="23" t="s">
        <v>8</v>
      </c>
      <c r="L11486" s="23" t="s">
        <v>8</v>
      </c>
      <c r="M11486" s="23" t="s">
        <v>8</v>
      </c>
    </row>
    <row r="11487" spans="1:13" s="21" customFormat="1" x14ac:dyDescent="0.25">
      <c r="A11487" s="22" t="s">
        <v>8</v>
      </c>
      <c r="B11487" s="18" t="str">
        <f>"395631"</f>
        <v>395631</v>
      </c>
      <c r="C11487" s="19" t="s">
        <v>11303</v>
      </c>
      <c r="D11487" s="19" t="s">
        <v>26894</v>
      </c>
      <c r="E11487" s="19" t="s">
        <v>34868</v>
      </c>
      <c r="F11487" s="19" t="s">
        <v>36012</v>
      </c>
      <c r="G11487" s="18" t="str">
        <f>"17543"</f>
        <v>17543</v>
      </c>
      <c r="H11487" s="19" t="s">
        <v>31184</v>
      </c>
      <c r="I11487" s="20">
        <v>18.422000000000001</v>
      </c>
      <c r="J11487" s="44" t="s">
        <v>8</v>
      </c>
      <c r="K11487" s="23" t="s">
        <v>8</v>
      </c>
      <c r="L11487" s="23" t="s">
        <v>8</v>
      </c>
      <c r="M11487" s="23" t="s">
        <v>8</v>
      </c>
    </row>
    <row r="11488" spans="1:13" s="21" customFormat="1" x14ac:dyDescent="0.25">
      <c r="A11488" s="22" t="s">
        <v>8</v>
      </c>
      <c r="B11488" s="18" t="str">
        <f>"395633"</f>
        <v>395633</v>
      </c>
      <c r="C11488" s="19" t="s">
        <v>11304</v>
      </c>
      <c r="D11488" s="19" t="s">
        <v>26895</v>
      </c>
      <c r="E11488" s="19" t="s">
        <v>34945</v>
      </c>
      <c r="F11488" s="19" t="s">
        <v>36012</v>
      </c>
      <c r="G11488" s="18" t="str">
        <f>"15063"</f>
        <v>15063</v>
      </c>
      <c r="H11488" s="19" t="s">
        <v>31500</v>
      </c>
      <c r="I11488" s="20">
        <v>22.646000000000001</v>
      </c>
      <c r="J11488" s="44" t="s">
        <v>8</v>
      </c>
      <c r="K11488" s="23" t="s">
        <v>8</v>
      </c>
      <c r="L11488" s="23" t="s">
        <v>8</v>
      </c>
      <c r="M11488" s="23" t="s">
        <v>8</v>
      </c>
    </row>
    <row r="11489" spans="1:13" s="21" customFormat="1" x14ac:dyDescent="0.25">
      <c r="A11489" s="22" t="s">
        <v>8</v>
      </c>
      <c r="B11489" s="18" t="str">
        <f>"395634"</f>
        <v>395634</v>
      </c>
      <c r="C11489" s="19" t="s">
        <v>11305</v>
      </c>
      <c r="D11489" s="19" t="s">
        <v>26896</v>
      </c>
      <c r="E11489" s="19" t="s">
        <v>34946</v>
      </c>
      <c r="F11489" s="19" t="s">
        <v>36012</v>
      </c>
      <c r="G11489" s="18" t="str">
        <f>"18964"</f>
        <v>18964</v>
      </c>
      <c r="H11489" s="19" t="s">
        <v>30833</v>
      </c>
      <c r="I11489" s="20">
        <v>17.887</v>
      </c>
      <c r="J11489" s="44" t="s">
        <v>8</v>
      </c>
      <c r="K11489" s="23" t="s">
        <v>8</v>
      </c>
      <c r="L11489" s="23" t="s">
        <v>8</v>
      </c>
      <c r="M11489" s="23" t="s">
        <v>8</v>
      </c>
    </row>
    <row r="11490" spans="1:13" s="21" customFormat="1" x14ac:dyDescent="0.25">
      <c r="A11490" s="22" t="s">
        <v>8</v>
      </c>
      <c r="B11490" s="18" t="str">
        <f>"395636"</f>
        <v>395636</v>
      </c>
      <c r="C11490" s="19" t="s">
        <v>11306</v>
      </c>
      <c r="D11490" s="19" t="s">
        <v>26897</v>
      </c>
      <c r="E11490" s="19" t="s">
        <v>34848</v>
      </c>
      <c r="F11490" s="19" t="s">
        <v>36012</v>
      </c>
      <c r="G11490" s="18" t="str">
        <f>"18201"</f>
        <v>18201</v>
      </c>
      <c r="H11490" s="19" t="s">
        <v>36735</v>
      </c>
      <c r="I11490" s="20">
        <v>15.613</v>
      </c>
      <c r="J11490" s="44" t="s">
        <v>8</v>
      </c>
      <c r="K11490" s="23" t="s">
        <v>8</v>
      </c>
      <c r="L11490" s="23" t="s">
        <v>8</v>
      </c>
      <c r="M11490" s="23" t="s">
        <v>8</v>
      </c>
    </row>
    <row r="11491" spans="1:13" s="21" customFormat="1" x14ac:dyDescent="0.25">
      <c r="A11491" s="22" t="s">
        <v>8</v>
      </c>
      <c r="B11491" s="18" t="str">
        <f>"395637"</f>
        <v>395637</v>
      </c>
      <c r="C11491" s="19" t="s">
        <v>11307</v>
      </c>
      <c r="D11491" s="19" t="s">
        <v>26898</v>
      </c>
      <c r="E11491" s="19" t="s">
        <v>33514</v>
      </c>
      <c r="F11491" s="19" t="s">
        <v>36012</v>
      </c>
      <c r="G11491" s="18" t="str">
        <f>"19143"</f>
        <v>19143</v>
      </c>
      <c r="H11491" s="19" t="s">
        <v>33514</v>
      </c>
      <c r="I11491" s="20">
        <v>18.044</v>
      </c>
      <c r="J11491" s="44" t="s">
        <v>8</v>
      </c>
      <c r="K11491" s="23" t="s">
        <v>8</v>
      </c>
      <c r="L11491" s="23" t="s">
        <v>8</v>
      </c>
      <c r="M11491" s="23" t="s">
        <v>8</v>
      </c>
    </row>
    <row r="11492" spans="1:13" s="21" customFormat="1" x14ac:dyDescent="0.25">
      <c r="A11492" s="22" t="s">
        <v>8</v>
      </c>
      <c r="B11492" s="18" t="str">
        <f>"395638"</f>
        <v>395638</v>
      </c>
      <c r="C11492" s="19" t="s">
        <v>11308</v>
      </c>
      <c r="D11492" s="19" t="s">
        <v>26899</v>
      </c>
      <c r="E11492" s="19" t="s">
        <v>34947</v>
      </c>
      <c r="F11492" s="19" t="s">
        <v>36012</v>
      </c>
      <c r="G11492" s="18" t="str">
        <f>"15143"</f>
        <v>15143</v>
      </c>
      <c r="H11492" s="19" t="s">
        <v>36730</v>
      </c>
      <c r="I11492" s="20">
        <v>20.623999999999999</v>
      </c>
      <c r="J11492" s="44" t="s">
        <v>8</v>
      </c>
      <c r="K11492" s="23" t="s">
        <v>8</v>
      </c>
      <c r="L11492" s="23" t="s">
        <v>8</v>
      </c>
      <c r="M11492" s="23" t="s">
        <v>8</v>
      </c>
    </row>
    <row r="11493" spans="1:13" s="21" customFormat="1" x14ac:dyDescent="0.25">
      <c r="A11493" s="22" t="s">
        <v>8</v>
      </c>
      <c r="B11493" s="18" t="str">
        <f>"395640"</f>
        <v>395640</v>
      </c>
      <c r="C11493" s="19" t="s">
        <v>11309</v>
      </c>
      <c r="D11493" s="19" t="s">
        <v>26900</v>
      </c>
      <c r="E11493" s="19" t="s">
        <v>34948</v>
      </c>
      <c r="F11493" s="19" t="s">
        <v>36012</v>
      </c>
      <c r="G11493" s="18" t="str">
        <f>"15132"</f>
        <v>15132</v>
      </c>
      <c r="H11493" s="19" t="s">
        <v>36730</v>
      </c>
      <c r="I11493" s="20">
        <v>16.239000000000001</v>
      </c>
      <c r="J11493" s="44" t="s">
        <v>8</v>
      </c>
      <c r="K11493" s="23" t="s">
        <v>8</v>
      </c>
      <c r="L11493" s="23" t="s">
        <v>8</v>
      </c>
      <c r="M11493" s="23" t="s">
        <v>8</v>
      </c>
    </row>
    <row r="11494" spans="1:13" s="21" customFormat="1" x14ac:dyDescent="0.25">
      <c r="A11494" s="22" t="s">
        <v>8</v>
      </c>
      <c r="B11494" s="18" t="str">
        <f>"395643"</f>
        <v>395643</v>
      </c>
      <c r="C11494" s="19" t="s">
        <v>11310</v>
      </c>
      <c r="D11494" s="19" t="s">
        <v>26901</v>
      </c>
      <c r="E11494" s="19" t="s">
        <v>34801</v>
      </c>
      <c r="F11494" s="19" t="s">
        <v>36012</v>
      </c>
      <c r="G11494" s="18" t="str">
        <f>"15207"</f>
        <v>15207</v>
      </c>
      <c r="H11494" s="19" t="s">
        <v>36730</v>
      </c>
      <c r="I11494" s="20">
        <v>19.344999999999999</v>
      </c>
      <c r="J11494" s="44" t="s">
        <v>8</v>
      </c>
      <c r="K11494" s="23" t="s">
        <v>8</v>
      </c>
      <c r="L11494" s="23" t="s">
        <v>8</v>
      </c>
      <c r="M11494" s="23" t="s">
        <v>8</v>
      </c>
    </row>
    <row r="11495" spans="1:13" s="21" customFormat="1" x14ac:dyDescent="0.25">
      <c r="A11495" s="22" t="s">
        <v>8</v>
      </c>
      <c r="B11495" s="18" t="str">
        <f>"395644"</f>
        <v>395644</v>
      </c>
      <c r="C11495" s="19" t="s">
        <v>11311</v>
      </c>
      <c r="D11495" s="19" t="s">
        <v>26902</v>
      </c>
      <c r="E11495" s="19" t="s">
        <v>34949</v>
      </c>
      <c r="F11495" s="19" t="s">
        <v>36012</v>
      </c>
      <c r="G11495" s="18" t="str">
        <f>"18452"</f>
        <v>18452</v>
      </c>
      <c r="H11495" s="19" t="s">
        <v>36732</v>
      </c>
      <c r="I11495" s="20">
        <v>19.172000000000001</v>
      </c>
      <c r="J11495" s="44" t="s">
        <v>8</v>
      </c>
      <c r="K11495" s="23" t="s">
        <v>8</v>
      </c>
      <c r="L11495" s="23" t="s">
        <v>8</v>
      </c>
      <c r="M11495" s="23" t="s">
        <v>8</v>
      </c>
    </row>
    <row r="11496" spans="1:13" s="21" customFormat="1" x14ac:dyDescent="0.25">
      <c r="A11496" s="22" t="s">
        <v>8</v>
      </c>
      <c r="B11496" s="18" t="str">
        <f>"395645"</f>
        <v>395645</v>
      </c>
      <c r="C11496" s="19" t="s">
        <v>11312</v>
      </c>
      <c r="D11496" s="19" t="s">
        <v>26903</v>
      </c>
      <c r="E11496" s="19" t="s">
        <v>34950</v>
      </c>
      <c r="F11496" s="19" t="s">
        <v>36012</v>
      </c>
      <c r="G11496" s="18" t="str">
        <f>"16412"</f>
        <v>16412</v>
      </c>
      <c r="H11496" s="19" t="s">
        <v>34805</v>
      </c>
      <c r="I11496" s="20">
        <v>23.163</v>
      </c>
      <c r="J11496" s="44" t="s">
        <v>8</v>
      </c>
      <c r="K11496" s="23" t="s">
        <v>8</v>
      </c>
      <c r="L11496" s="23" t="s">
        <v>8</v>
      </c>
      <c r="M11496" s="23" t="s">
        <v>8</v>
      </c>
    </row>
    <row r="11497" spans="1:13" s="21" customFormat="1" x14ac:dyDescent="0.25">
      <c r="A11497" s="22" t="s">
        <v>8</v>
      </c>
      <c r="B11497" s="18" t="str">
        <f>"395646"</f>
        <v>395646</v>
      </c>
      <c r="C11497" s="19" t="s">
        <v>11313</v>
      </c>
      <c r="D11497" s="19" t="s">
        <v>26904</v>
      </c>
      <c r="E11497" s="19" t="s">
        <v>32236</v>
      </c>
      <c r="F11497" s="19" t="s">
        <v>36012</v>
      </c>
      <c r="G11497" s="18" t="str">
        <f>"15601"</f>
        <v>15601</v>
      </c>
      <c r="H11497" s="19" t="s">
        <v>32652</v>
      </c>
      <c r="I11497" s="20">
        <v>19.829999999999998</v>
      </c>
      <c r="J11497" s="44" t="s">
        <v>8</v>
      </c>
      <c r="K11497" s="23" t="s">
        <v>8</v>
      </c>
      <c r="L11497" s="23" t="s">
        <v>8</v>
      </c>
      <c r="M11497" s="23" t="s">
        <v>8</v>
      </c>
    </row>
    <row r="11498" spans="1:13" s="21" customFormat="1" x14ac:dyDescent="0.25">
      <c r="A11498" s="22" t="s">
        <v>8</v>
      </c>
      <c r="B11498" s="18" t="str">
        <f>"395647"</f>
        <v>395647</v>
      </c>
      <c r="C11498" s="19" t="s">
        <v>11314</v>
      </c>
      <c r="D11498" s="19" t="s">
        <v>26905</v>
      </c>
      <c r="E11498" s="19" t="s">
        <v>34842</v>
      </c>
      <c r="F11498" s="19" t="s">
        <v>36012</v>
      </c>
      <c r="G11498" s="18" t="str">
        <f>"17325"</f>
        <v>17325</v>
      </c>
      <c r="H11498" s="19" t="s">
        <v>33467</v>
      </c>
      <c r="I11498" s="20">
        <v>17.335000000000001</v>
      </c>
      <c r="J11498" s="44" t="s">
        <v>8</v>
      </c>
      <c r="K11498" s="23" t="s">
        <v>8</v>
      </c>
      <c r="L11498" s="23" t="s">
        <v>8</v>
      </c>
      <c r="M11498" s="23" t="s">
        <v>8</v>
      </c>
    </row>
    <row r="11499" spans="1:13" s="21" customFormat="1" x14ac:dyDescent="0.25">
      <c r="A11499" s="22" t="s">
        <v>8</v>
      </c>
      <c r="B11499" s="18" t="str">
        <f>"395648"</f>
        <v>395648</v>
      </c>
      <c r="C11499" s="19" t="s">
        <v>11315</v>
      </c>
      <c r="D11499" s="19" t="s">
        <v>26906</v>
      </c>
      <c r="E11499" s="19" t="s">
        <v>34951</v>
      </c>
      <c r="F11499" s="19" t="s">
        <v>36012</v>
      </c>
      <c r="G11499" s="18" t="str">
        <f>"19438"</f>
        <v>19438</v>
      </c>
      <c r="H11499" s="19" t="s">
        <v>30833</v>
      </c>
      <c r="I11499" s="20">
        <v>19.067</v>
      </c>
      <c r="J11499" s="44" t="s">
        <v>8</v>
      </c>
      <c r="K11499" s="23" t="s">
        <v>8</v>
      </c>
      <c r="L11499" s="23" t="s">
        <v>8</v>
      </c>
      <c r="M11499" s="23" t="s">
        <v>8</v>
      </c>
    </row>
    <row r="11500" spans="1:13" s="21" customFormat="1" x14ac:dyDescent="0.25">
      <c r="A11500" s="22" t="s">
        <v>8</v>
      </c>
      <c r="B11500" s="18" t="str">
        <f>"395650"</f>
        <v>395650</v>
      </c>
      <c r="C11500" s="19" t="s">
        <v>11316</v>
      </c>
      <c r="D11500" s="19" t="s">
        <v>26907</v>
      </c>
      <c r="E11500" s="19" t="s">
        <v>31025</v>
      </c>
      <c r="F11500" s="19" t="s">
        <v>36012</v>
      </c>
      <c r="G11500" s="18" t="str">
        <f>"16365"</f>
        <v>16365</v>
      </c>
      <c r="H11500" s="19" t="s">
        <v>31025</v>
      </c>
      <c r="I11500" s="20">
        <v>20.664999999999999</v>
      </c>
      <c r="J11500" s="44" t="s">
        <v>8</v>
      </c>
      <c r="K11500" s="23" t="s">
        <v>8</v>
      </c>
      <c r="L11500" s="23" t="s">
        <v>8</v>
      </c>
      <c r="M11500" s="23" t="s">
        <v>8</v>
      </c>
    </row>
    <row r="11501" spans="1:13" s="21" customFormat="1" x14ac:dyDescent="0.25">
      <c r="A11501" s="22" t="s">
        <v>8</v>
      </c>
      <c r="B11501" s="18" t="str">
        <f>"395651"</f>
        <v>395651</v>
      </c>
      <c r="C11501" s="19" t="s">
        <v>11317</v>
      </c>
      <c r="D11501" s="19" t="s">
        <v>26908</v>
      </c>
      <c r="E11501" s="19" t="s">
        <v>34860</v>
      </c>
      <c r="F11501" s="19" t="s">
        <v>36012</v>
      </c>
      <c r="G11501" s="18" t="str">
        <f>"18634"</f>
        <v>18634</v>
      </c>
      <c r="H11501" s="19" t="s">
        <v>36735</v>
      </c>
      <c r="I11501" s="20">
        <v>15.836</v>
      </c>
      <c r="J11501" s="44" t="s">
        <v>8</v>
      </c>
      <c r="K11501" s="23" t="s">
        <v>8</v>
      </c>
      <c r="L11501" s="23" t="s">
        <v>8</v>
      </c>
      <c r="M11501" s="23" t="s">
        <v>8</v>
      </c>
    </row>
    <row r="11502" spans="1:13" s="21" customFormat="1" x14ac:dyDescent="0.25">
      <c r="A11502" s="22" t="s">
        <v>8</v>
      </c>
      <c r="B11502" s="18" t="str">
        <f>"395652"</f>
        <v>395652</v>
      </c>
      <c r="C11502" s="19" t="s">
        <v>11318</v>
      </c>
      <c r="D11502" s="19" t="s">
        <v>26909</v>
      </c>
      <c r="E11502" s="19" t="s">
        <v>34952</v>
      </c>
      <c r="F11502" s="19" t="s">
        <v>36012</v>
      </c>
      <c r="G11502" s="18" t="str">
        <f>"16833"</f>
        <v>16833</v>
      </c>
      <c r="H11502" s="19" t="s">
        <v>32508</v>
      </c>
      <c r="I11502" s="20">
        <v>22.86</v>
      </c>
      <c r="J11502" s="44" t="s">
        <v>8</v>
      </c>
      <c r="K11502" s="23" t="s">
        <v>8</v>
      </c>
      <c r="L11502" s="23" t="s">
        <v>8</v>
      </c>
      <c r="M11502" s="23" t="s">
        <v>8</v>
      </c>
    </row>
    <row r="11503" spans="1:13" s="21" customFormat="1" x14ac:dyDescent="0.25">
      <c r="A11503" s="22" t="s">
        <v>8</v>
      </c>
      <c r="B11503" s="18" t="str">
        <f>"395653"</f>
        <v>395653</v>
      </c>
      <c r="C11503" s="19" t="s">
        <v>4703</v>
      </c>
      <c r="D11503" s="19" t="s">
        <v>26910</v>
      </c>
      <c r="E11503" s="19" t="s">
        <v>30905</v>
      </c>
      <c r="F11503" s="19" t="s">
        <v>36012</v>
      </c>
      <c r="G11503" s="18" t="str">
        <f>"15146"</f>
        <v>15146</v>
      </c>
      <c r="H11503" s="19" t="s">
        <v>36730</v>
      </c>
      <c r="I11503" s="20">
        <v>17.52</v>
      </c>
      <c r="J11503" s="44" t="s">
        <v>8</v>
      </c>
      <c r="K11503" s="23" t="s">
        <v>8</v>
      </c>
      <c r="L11503" s="23" t="s">
        <v>8</v>
      </c>
      <c r="M11503" s="23" t="s">
        <v>8</v>
      </c>
    </row>
    <row r="11504" spans="1:13" s="21" customFormat="1" x14ac:dyDescent="0.25">
      <c r="A11504" s="22" t="s">
        <v>8</v>
      </c>
      <c r="B11504" s="18" t="str">
        <f>"395654"</f>
        <v>395654</v>
      </c>
      <c r="C11504" s="19" t="s">
        <v>11319</v>
      </c>
      <c r="D11504" s="19" t="s">
        <v>26911</v>
      </c>
      <c r="E11504" s="19" t="s">
        <v>33337</v>
      </c>
      <c r="F11504" s="19" t="s">
        <v>36012</v>
      </c>
      <c r="G11504" s="18" t="str">
        <f>"17878"</f>
        <v>17878</v>
      </c>
      <c r="H11504" s="19" t="s">
        <v>32076</v>
      </c>
      <c r="I11504" s="20">
        <v>19.616</v>
      </c>
      <c r="J11504" s="44" t="s">
        <v>8</v>
      </c>
      <c r="K11504" s="23" t="s">
        <v>8</v>
      </c>
      <c r="L11504" s="23" t="s">
        <v>8</v>
      </c>
      <c r="M11504" s="23" t="s">
        <v>8</v>
      </c>
    </row>
    <row r="11505" spans="1:13" s="21" customFormat="1" x14ac:dyDescent="0.25">
      <c r="A11505" s="22" t="s">
        <v>8</v>
      </c>
      <c r="B11505" s="18" t="str">
        <f>"395656"</f>
        <v>395656</v>
      </c>
      <c r="C11505" s="19" t="s">
        <v>11320</v>
      </c>
      <c r="D11505" s="19" t="s">
        <v>26912</v>
      </c>
      <c r="E11505" s="19" t="s">
        <v>32927</v>
      </c>
      <c r="F11505" s="19" t="s">
        <v>36012</v>
      </c>
      <c r="G11505" s="18" t="str">
        <f>"19435"</f>
        <v>19435</v>
      </c>
      <c r="H11505" s="19" t="s">
        <v>30833</v>
      </c>
      <c r="I11505" s="20">
        <v>16.202000000000002</v>
      </c>
      <c r="J11505" s="44" t="s">
        <v>8</v>
      </c>
      <c r="K11505" s="23" t="s">
        <v>8</v>
      </c>
      <c r="L11505" s="23" t="s">
        <v>8</v>
      </c>
      <c r="M11505" s="23" t="s">
        <v>8</v>
      </c>
    </row>
    <row r="11506" spans="1:13" s="21" customFormat="1" x14ac:dyDescent="0.25">
      <c r="A11506" s="22" t="s">
        <v>8</v>
      </c>
      <c r="B11506" s="18" t="str">
        <f>"395660"</f>
        <v>395660</v>
      </c>
      <c r="C11506" s="19" t="s">
        <v>11321</v>
      </c>
      <c r="D11506" s="19" t="s">
        <v>26913</v>
      </c>
      <c r="E11506" s="19" t="s">
        <v>31056</v>
      </c>
      <c r="F11506" s="19" t="s">
        <v>36012</v>
      </c>
      <c r="G11506" s="18" t="str">
        <f>"17013"</f>
        <v>17013</v>
      </c>
      <c r="H11506" s="19" t="s">
        <v>32766</v>
      </c>
      <c r="I11506" s="20">
        <v>16.068999999999999</v>
      </c>
      <c r="J11506" s="44" t="s">
        <v>8</v>
      </c>
      <c r="K11506" s="23" t="s">
        <v>8</v>
      </c>
      <c r="L11506" s="23" t="s">
        <v>8</v>
      </c>
      <c r="M11506" s="23" t="s">
        <v>8</v>
      </c>
    </row>
    <row r="11507" spans="1:13" s="21" customFormat="1" x14ac:dyDescent="0.25">
      <c r="A11507" s="22" t="s">
        <v>8</v>
      </c>
      <c r="B11507" s="18" t="str">
        <f>"395661"</f>
        <v>395661</v>
      </c>
      <c r="C11507" s="19" t="s">
        <v>11322</v>
      </c>
      <c r="D11507" s="19" t="s">
        <v>26914</v>
      </c>
      <c r="E11507" s="19" t="s">
        <v>34953</v>
      </c>
      <c r="F11507" s="19" t="s">
        <v>36012</v>
      </c>
      <c r="G11507" s="18" t="str">
        <f>"15552"</f>
        <v>15552</v>
      </c>
      <c r="H11507" s="19" t="s">
        <v>32705</v>
      </c>
      <c r="I11507" s="20">
        <v>19.428999999999998</v>
      </c>
      <c r="J11507" s="44" t="s">
        <v>8</v>
      </c>
      <c r="K11507" s="23" t="s">
        <v>8</v>
      </c>
      <c r="L11507" s="23" t="s">
        <v>8</v>
      </c>
      <c r="M11507" s="23" t="s">
        <v>8</v>
      </c>
    </row>
    <row r="11508" spans="1:13" s="21" customFormat="1" x14ac:dyDescent="0.25">
      <c r="A11508" s="22" t="s">
        <v>8</v>
      </c>
      <c r="B11508" s="18" t="str">
        <f>"395662"</f>
        <v>395662</v>
      </c>
      <c r="C11508" s="19" t="s">
        <v>11323</v>
      </c>
      <c r="D11508" s="19" t="s">
        <v>26915</v>
      </c>
      <c r="E11508" s="19" t="s">
        <v>33514</v>
      </c>
      <c r="F11508" s="19" t="s">
        <v>36012</v>
      </c>
      <c r="G11508" s="18" t="str">
        <f>"19103"</f>
        <v>19103</v>
      </c>
      <c r="H11508" s="19" t="s">
        <v>33514</v>
      </c>
      <c r="I11508" s="20">
        <v>23.071999999999999</v>
      </c>
      <c r="J11508" s="44" t="s">
        <v>8</v>
      </c>
      <c r="K11508" s="23" t="s">
        <v>8</v>
      </c>
      <c r="L11508" s="23" t="s">
        <v>8</v>
      </c>
      <c r="M11508" s="23" t="s">
        <v>8</v>
      </c>
    </row>
    <row r="11509" spans="1:13" s="21" customFormat="1" x14ac:dyDescent="0.25">
      <c r="A11509" s="22" t="s">
        <v>8</v>
      </c>
      <c r="B11509" s="18" t="str">
        <f>"395665"</f>
        <v>395665</v>
      </c>
      <c r="C11509" s="19" t="s">
        <v>11324</v>
      </c>
      <c r="D11509" s="19" t="s">
        <v>26916</v>
      </c>
      <c r="E11509" s="19" t="s">
        <v>34954</v>
      </c>
      <c r="F11509" s="19" t="s">
        <v>36012</v>
      </c>
      <c r="G11509" s="18" t="str">
        <f>"19422"</f>
        <v>19422</v>
      </c>
      <c r="H11509" s="19" t="s">
        <v>30833</v>
      </c>
      <c r="I11509" s="20">
        <v>16.798999999999999</v>
      </c>
      <c r="J11509" s="44" t="s">
        <v>8</v>
      </c>
      <c r="K11509" s="23" t="s">
        <v>8</v>
      </c>
      <c r="L11509" s="23" t="s">
        <v>8</v>
      </c>
      <c r="M11509" s="23" t="s">
        <v>8</v>
      </c>
    </row>
    <row r="11510" spans="1:13" s="21" customFormat="1" x14ac:dyDescent="0.25">
      <c r="A11510" s="22" t="s">
        <v>8</v>
      </c>
      <c r="B11510" s="18" t="str">
        <f>"395666"</f>
        <v>395666</v>
      </c>
      <c r="C11510" s="19" t="s">
        <v>11325</v>
      </c>
      <c r="D11510" s="19" t="s">
        <v>26917</v>
      </c>
      <c r="E11510" s="19" t="s">
        <v>34801</v>
      </c>
      <c r="F11510" s="19" t="s">
        <v>36012</v>
      </c>
      <c r="G11510" s="18" t="str">
        <f>"15212"</f>
        <v>15212</v>
      </c>
      <c r="H11510" s="19" t="s">
        <v>36730</v>
      </c>
      <c r="I11510" s="20">
        <v>17.722999999999999</v>
      </c>
      <c r="J11510" s="44" t="s">
        <v>8</v>
      </c>
      <c r="K11510" s="23" t="s">
        <v>8</v>
      </c>
      <c r="L11510" s="23" t="s">
        <v>8</v>
      </c>
      <c r="M11510" s="23" t="s">
        <v>8</v>
      </c>
    </row>
    <row r="11511" spans="1:13" s="21" customFormat="1" x14ac:dyDescent="0.25">
      <c r="A11511" s="22" t="s">
        <v>8</v>
      </c>
      <c r="B11511" s="18" t="str">
        <f>"395670"</f>
        <v>395670</v>
      </c>
      <c r="C11511" s="19" t="s">
        <v>11326</v>
      </c>
      <c r="D11511" s="19" t="s">
        <v>26918</v>
      </c>
      <c r="E11511" s="19" t="s">
        <v>30905</v>
      </c>
      <c r="F11511" s="19" t="s">
        <v>36012</v>
      </c>
      <c r="G11511" s="18" t="str">
        <f>"15146"</f>
        <v>15146</v>
      </c>
      <c r="H11511" s="19" t="s">
        <v>36730</v>
      </c>
      <c r="I11511" s="20">
        <v>18.481999999999999</v>
      </c>
      <c r="J11511" s="44" t="s">
        <v>8</v>
      </c>
      <c r="K11511" s="23" t="s">
        <v>8</v>
      </c>
      <c r="L11511" s="23" t="s">
        <v>8</v>
      </c>
      <c r="M11511" s="23" t="s">
        <v>8</v>
      </c>
    </row>
    <row r="11512" spans="1:13" s="21" customFormat="1" x14ac:dyDescent="0.25">
      <c r="A11512" s="22" t="s">
        <v>8</v>
      </c>
      <c r="B11512" s="18" t="str">
        <f>"395671"</f>
        <v>395671</v>
      </c>
      <c r="C11512" s="19" t="s">
        <v>11327</v>
      </c>
      <c r="D11512" s="19" t="s">
        <v>26919</v>
      </c>
      <c r="E11512" s="19" t="s">
        <v>31500</v>
      </c>
      <c r="F11512" s="19" t="s">
        <v>36012</v>
      </c>
      <c r="G11512" s="18" t="str">
        <f>"15301"</f>
        <v>15301</v>
      </c>
      <c r="H11512" s="19" t="s">
        <v>31500</v>
      </c>
      <c r="I11512" s="20">
        <v>19.513999999999999</v>
      </c>
      <c r="J11512" s="44" t="s">
        <v>8</v>
      </c>
      <c r="K11512" s="23" t="s">
        <v>8</v>
      </c>
      <c r="L11512" s="23" t="s">
        <v>8</v>
      </c>
      <c r="M11512" s="23" t="s">
        <v>8</v>
      </c>
    </row>
    <row r="11513" spans="1:13" s="21" customFormat="1" x14ac:dyDescent="0.25">
      <c r="A11513" s="22" t="s">
        <v>8</v>
      </c>
      <c r="B11513" s="18" t="str">
        <f>"395672"</f>
        <v>395672</v>
      </c>
      <c r="C11513" s="19" t="s">
        <v>11328</v>
      </c>
      <c r="D11513" s="19" t="s">
        <v>26920</v>
      </c>
      <c r="E11513" s="19" t="s">
        <v>34805</v>
      </c>
      <c r="F11513" s="19" t="s">
        <v>36012</v>
      </c>
      <c r="G11513" s="18" t="str">
        <f>"16502"</f>
        <v>16502</v>
      </c>
      <c r="H11513" s="19" t="s">
        <v>34805</v>
      </c>
      <c r="I11513" s="20">
        <v>19.102</v>
      </c>
      <c r="J11513" s="44" t="s">
        <v>8</v>
      </c>
      <c r="K11513" s="23" t="s">
        <v>8</v>
      </c>
      <c r="L11513" s="23" t="s">
        <v>8</v>
      </c>
      <c r="M11513" s="23" t="s">
        <v>8</v>
      </c>
    </row>
    <row r="11514" spans="1:13" s="21" customFormat="1" x14ac:dyDescent="0.25">
      <c r="A11514" s="22" t="s">
        <v>8</v>
      </c>
      <c r="B11514" s="18" t="str">
        <f>"395674"</f>
        <v>395674</v>
      </c>
      <c r="C11514" s="19" t="s">
        <v>11329</v>
      </c>
      <c r="D11514" s="19" t="s">
        <v>26921</v>
      </c>
      <c r="E11514" s="19" t="s">
        <v>34841</v>
      </c>
      <c r="F11514" s="19" t="s">
        <v>36012</v>
      </c>
      <c r="G11514" s="18" t="str">
        <f>"15401"</f>
        <v>15401</v>
      </c>
      <c r="H11514" s="19" t="s">
        <v>30805</v>
      </c>
      <c r="I11514" s="20">
        <v>16.404</v>
      </c>
      <c r="J11514" s="44" t="s">
        <v>8</v>
      </c>
      <c r="K11514" s="23" t="s">
        <v>8</v>
      </c>
      <c r="L11514" s="23" t="s">
        <v>8</v>
      </c>
      <c r="M11514" s="23" t="s">
        <v>8</v>
      </c>
    </row>
    <row r="11515" spans="1:13" s="21" customFormat="1" x14ac:dyDescent="0.25">
      <c r="A11515" s="22" t="s">
        <v>8</v>
      </c>
      <c r="B11515" s="18" t="str">
        <f>"395675"</f>
        <v>395675</v>
      </c>
      <c r="C11515" s="19" t="s">
        <v>11330</v>
      </c>
      <c r="D11515" s="19" t="s">
        <v>26922</v>
      </c>
      <c r="E11515" s="19" t="s">
        <v>34790</v>
      </c>
      <c r="F11515" s="19" t="s">
        <v>36012</v>
      </c>
      <c r="G11515" s="18" t="str">
        <f>"15370"</f>
        <v>15370</v>
      </c>
      <c r="H11515" s="19" t="s">
        <v>32455</v>
      </c>
      <c r="I11515" s="20">
        <v>19.977</v>
      </c>
      <c r="J11515" s="44" t="s">
        <v>8</v>
      </c>
      <c r="K11515" s="23" t="s">
        <v>8</v>
      </c>
      <c r="L11515" s="23" t="s">
        <v>8</v>
      </c>
      <c r="M11515" s="23" t="s">
        <v>8</v>
      </c>
    </row>
    <row r="11516" spans="1:13" s="21" customFormat="1" x14ac:dyDescent="0.25">
      <c r="A11516" s="22" t="s">
        <v>8</v>
      </c>
      <c r="B11516" s="18" t="str">
        <f>"395677"</f>
        <v>395677</v>
      </c>
      <c r="C11516" s="19" t="s">
        <v>11331</v>
      </c>
      <c r="D11516" s="19" t="s">
        <v>26923</v>
      </c>
      <c r="E11516" s="19" t="s">
        <v>31056</v>
      </c>
      <c r="F11516" s="19" t="s">
        <v>36012</v>
      </c>
      <c r="G11516" s="18" t="str">
        <f>"17013"</f>
        <v>17013</v>
      </c>
      <c r="H11516" s="19" t="s">
        <v>32766</v>
      </c>
      <c r="I11516" s="20">
        <v>17.805</v>
      </c>
      <c r="J11516" s="44" t="s">
        <v>8</v>
      </c>
      <c r="K11516" s="23" t="s">
        <v>8</v>
      </c>
      <c r="L11516" s="23" t="s">
        <v>8</v>
      </c>
      <c r="M11516" s="23" t="s">
        <v>8</v>
      </c>
    </row>
    <row r="11517" spans="1:13" s="21" customFormat="1" x14ac:dyDescent="0.25">
      <c r="A11517" s="22" t="s">
        <v>8</v>
      </c>
      <c r="B11517" s="18" t="str">
        <f>"395678"</f>
        <v>395678</v>
      </c>
      <c r="C11517" s="19" t="s">
        <v>11332</v>
      </c>
      <c r="D11517" s="19" t="s">
        <v>26924</v>
      </c>
      <c r="E11517" s="19" t="s">
        <v>32298</v>
      </c>
      <c r="F11517" s="19" t="s">
        <v>36012</v>
      </c>
      <c r="G11517" s="18" t="str">
        <f>"17701"</f>
        <v>17701</v>
      </c>
      <c r="H11517" s="19" t="s">
        <v>36739</v>
      </c>
      <c r="I11517" s="20">
        <v>15.013</v>
      </c>
      <c r="J11517" s="44" t="s">
        <v>8</v>
      </c>
      <c r="K11517" s="23" t="s">
        <v>8</v>
      </c>
      <c r="L11517" s="23" t="s">
        <v>8</v>
      </c>
      <c r="M11517" s="23" t="s">
        <v>8</v>
      </c>
    </row>
    <row r="11518" spans="1:13" s="21" customFormat="1" x14ac:dyDescent="0.25">
      <c r="A11518" s="22" t="s">
        <v>8</v>
      </c>
      <c r="B11518" s="18" t="str">
        <f>"395679"</f>
        <v>395679</v>
      </c>
      <c r="C11518" s="19" t="s">
        <v>11333</v>
      </c>
      <c r="D11518" s="19" t="s">
        <v>26925</v>
      </c>
      <c r="E11518" s="19" t="s">
        <v>31500</v>
      </c>
      <c r="F11518" s="19" t="s">
        <v>36012</v>
      </c>
      <c r="G11518" s="18" t="str">
        <f>"15301"</f>
        <v>15301</v>
      </c>
      <c r="H11518" s="19" t="s">
        <v>31500</v>
      </c>
      <c r="I11518" s="20">
        <v>19.539000000000001</v>
      </c>
      <c r="J11518" s="44" t="s">
        <v>8</v>
      </c>
      <c r="K11518" s="23" t="s">
        <v>8</v>
      </c>
      <c r="L11518" s="23" t="s">
        <v>8</v>
      </c>
      <c r="M11518" s="23" t="s">
        <v>8</v>
      </c>
    </row>
    <row r="11519" spans="1:13" s="21" customFormat="1" x14ac:dyDescent="0.25">
      <c r="A11519" s="22" t="s">
        <v>8</v>
      </c>
      <c r="B11519" s="18" t="str">
        <f>"395680"</f>
        <v>395680</v>
      </c>
      <c r="C11519" s="19" t="s">
        <v>11334</v>
      </c>
      <c r="D11519" s="19" t="s">
        <v>26926</v>
      </c>
      <c r="E11519" s="19" t="s">
        <v>34955</v>
      </c>
      <c r="F11519" s="19" t="s">
        <v>36012</v>
      </c>
      <c r="G11519" s="18" t="str">
        <f>"19530"</f>
        <v>19530</v>
      </c>
      <c r="H11519" s="19" t="s">
        <v>36734</v>
      </c>
      <c r="I11519" s="20">
        <v>20.85</v>
      </c>
      <c r="J11519" s="44" t="s">
        <v>8</v>
      </c>
      <c r="K11519" s="23" t="s">
        <v>8</v>
      </c>
      <c r="L11519" s="23" t="s">
        <v>8</v>
      </c>
      <c r="M11519" s="23" t="s">
        <v>8</v>
      </c>
    </row>
    <row r="11520" spans="1:13" s="21" customFormat="1" x14ac:dyDescent="0.25">
      <c r="A11520" s="22" t="s">
        <v>8</v>
      </c>
      <c r="B11520" s="18" t="str">
        <f>"395681"</f>
        <v>395681</v>
      </c>
      <c r="C11520" s="19" t="s">
        <v>11335</v>
      </c>
      <c r="D11520" s="19" t="s">
        <v>26927</v>
      </c>
      <c r="E11520" s="19" t="s">
        <v>32728</v>
      </c>
      <c r="F11520" s="19" t="s">
        <v>36012</v>
      </c>
      <c r="G11520" s="18" t="str">
        <f>"17003"</f>
        <v>17003</v>
      </c>
      <c r="H11520" s="19" t="s">
        <v>32035</v>
      </c>
      <c r="I11520" s="20">
        <v>18.34</v>
      </c>
      <c r="J11520" s="44" t="s">
        <v>8</v>
      </c>
      <c r="K11520" s="23" t="s">
        <v>8</v>
      </c>
      <c r="L11520" s="23" t="s">
        <v>8</v>
      </c>
      <c r="M11520" s="23" t="s">
        <v>8</v>
      </c>
    </row>
    <row r="11521" spans="1:13" s="21" customFormat="1" x14ac:dyDescent="0.25">
      <c r="A11521" s="22" t="s">
        <v>8</v>
      </c>
      <c r="B11521" s="18" t="str">
        <f>"395682"</f>
        <v>395682</v>
      </c>
      <c r="C11521" s="19" t="s">
        <v>10119</v>
      </c>
      <c r="D11521" s="19" t="s">
        <v>26928</v>
      </c>
      <c r="E11521" s="19" t="s">
        <v>34849</v>
      </c>
      <c r="F11521" s="19" t="s">
        <v>36012</v>
      </c>
      <c r="G11521" s="18" t="str">
        <f>"15010"</f>
        <v>15010</v>
      </c>
      <c r="H11521" s="19" t="s">
        <v>34742</v>
      </c>
      <c r="I11521" s="20">
        <v>18.594000000000001</v>
      </c>
      <c r="J11521" s="44" t="s">
        <v>8</v>
      </c>
      <c r="K11521" s="23" t="s">
        <v>8</v>
      </c>
      <c r="L11521" s="23" t="s">
        <v>8</v>
      </c>
      <c r="M11521" s="23" t="s">
        <v>8</v>
      </c>
    </row>
    <row r="11522" spans="1:13" s="21" customFormat="1" x14ac:dyDescent="0.25">
      <c r="A11522" s="22" t="s">
        <v>8</v>
      </c>
      <c r="B11522" s="18" t="str">
        <f>"395683"</f>
        <v>395683</v>
      </c>
      <c r="C11522" s="19" t="s">
        <v>11336</v>
      </c>
      <c r="D11522" s="19" t="s">
        <v>26929</v>
      </c>
      <c r="E11522" s="19" t="s">
        <v>34956</v>
      </c>
      <c r="F11522" s="19" t="s">
        <v>36012</v>
      </c>
      <c r="G11522" s="18" t="str">
        <f>"18626"</f>
        <v>18626</v>
      </c>
      <c r="H11522" s="19" t="s">
        <v>31976</v>
      </c>
      <c r="I11522" s="20">
        <v>17.902999999999999</v>
      </c>
      <c r="J11522" s="44" t="s">
        <v>8</v>
      </c>
      <c r="K11522" s="23" t="s">
        <v>8</v>
      </c>
      <c r="L11522" s="23" t="s">
        <v>8</v>
      </c>
      <c r="M11522" s="23" t="s">
        <v>8</v>
      </c>
    </row>
    <row r="11523" spans="1:13" s="21" customFormat="1" x14ac:dyDescent="0.25">
      <c r="A11523" s="22" t="s">
        <v>8</v>
      </c>
      <c r="B11523" s="18" t="str">
        <f>"395684"</f>
        <v>395684</v>
      </c>
      <c r="C11523" s="19" t="s">
        <v>11337</v>
      </c>
      <c r="D11523" s="19" t="s">
        <v>26930</v>
      </c>
      <c r="E11523" s="19" t="s">
        <v>31027</v>
      </c>
      <c r="F11523" s="19" t="s">
        <v>36012</v>
      </c>
      <c r="G11523" s="18" t="str">
        <f>"16023"</f>
        <v>16023</v>
      </c>
      <c r="H11523" s="19" t="s">
        <v>30876</v>
      </c>
      <c r="I11523" s="20">
        <v>23.68</v>
      </c>
      <c r="J11523" s="44" t="s">
        <v>8</v>
      </c>
      <c r="K11523" s="23" t="s">
        <v>8</v>
      </c>
      <c r="L11523" s="23" t="s">
        <v>8</v>
      </c>
      <c r="M11523" s="23" t="s">
        <v>8</v>
      </c>
    </row>
    <row r="11524" spans="1:13" s="21" customFormat="1" x14ac:dyDescent="0.25">
      <c r="A11524" s="22" t="s">
        <v>8</v>
      </c>
      <c r="B11524" s="18" t="str">
        <f>"395685"</f>
        <v>395685</v>
      </c>
      <c r="C11524" s="19" t="s">
        <v>11338</v>
      </c>
      <c r="D11524" s="19" t="s">
        <v>26931</v>
      </c>
      <c r="E11524" s="19" t="s">
        <v>31401</v>
      </c>
      <c r="F11524" s="19" t="s">
        <v>36012</v>
      </c>
      <c r="G11524" s="18" t="str">
        <f>"19086"</f>
        <v>19086</v>
      </c>
      <c r="H11524" s="19" t="s">
        <v>34462</v>
      </c>
      <c r="I11524" s="20">
        <v>16.405999999999999</v>
      </c>
      <c r="J11524" s="44" t="s">
        <v>8</v>
      </c>
      <c r="K11524" s="23" t="s">
        <v>8</v>
      </c>
      <c r="L11524" s="23" t="s">
        <v>8</v>
      </c>
      <c r="M11524" s="23" t="s">
        <v>8</v>
      </c>
    </row>
    <row r="11525" spans="1:13" s="21" customFormat="1" x14ac:dyDescent="0.25">
      <c r="A11525" s="22" t="s">
        <v>8</v>
      </c>
      <c r="B11525" s="18" t="str">
        <f>"395686"</f>
        <v>395686</v>
      </c>
      <c r="C11525" s="19" t="s">
        <v>11339</v>
      </c>
      <c r="D11525" s="19" t="s">
        <v>26932</v>
      </c>
      <c r="E11525" s="19" t="s">
        <v>33514</v>
      </c>
      <c r="F11525" s="19" t="s">
        <v>36012</v>
      </c>
      <c r="G11525" s="18" t="str">
        <f>"19104"</f>
        <v>19104</v>
      </c>
      <c r="H11525" s="19" t="s">
        <v>33514</v>
      </c>
      <c r="I11525" s="20">
        <v>19.934999999999999</v>
      </c>
      <c r="J11525" s="44" t="s">
        <v>8</v>
      </c>
      <c r="K11525" s="23" t="s">
        <v>8</v>
      </c>
      <c r="L11525" s="23" t="s">
        <v>8</v>
      </c>
      <c r="M11525" s="23" t="s">
        <v>8</v>
      </c>
    </row>
    <row r="11526" spans="1:13" s="21" customFormat="1" x14ac:dyDescent="0.25">
      <c r="A11526" s="22" t="s">
        <v>8</v>
      </c>
      <c r="B11526" s="18" t="str">
        <f>"395687"</f>
        <v>395687</v>
      </c>
      <c r="C11526" s="19" t="s">
        <v>11340</v>
      </c>
      <c r="D11526" s="19" t="s">
        <v>26933</v>
      </c>
      <c r="E11526" s="19" t="s">
        <v>34957</v>
      </c>
      <c r="F11526" s="19" t="s">
        <v>36012</v>
      </c>
      <c r="G11526" s="18" t="str">
        <f>"19126"</f>
        <v>19126</v>
      </c>
      <c r="H11526" s="19" t="s">
        <v>33514</v>
      </c>
      <c r="I11526" s="20">
        <v>20.292000000000002</v>
      </c>
      <c r="J11526" s="44" t="s">
        <v>8</v>
      </c>
      <c r="K11526" s="23" t="s">
        <v>8</v>
      </c>
      <c r="L11526" s="23" t="s">
        <v>8</v>
      </c>
      <c r="M11526" s="23" t="s">
        <v>8</v>
      </c>
    </row>
    <row r="11527" spans="1:13" s="21" customFormat="1" x14ac:dyDescent="0.25">
      <c r="A11527" s="22" t="s">
        <v>8</v>
      </c>
      <c r="B11527" s="18" t="str">
        <f>"395688"</f>
        <v>395688</v>
      </c>
      <c r="C11527" s="19" t="s">
        <v>11341</v>
      </c>
      <c r="D11527" s="19" t="s">
        <v>26934</v>
      </c>
      <c r="E11527" s="19" t="s">
        <v>34801</v>
      </c>
      <c r="F11527" s="19" t="s">
        <v>36012</v>
      </c>
      <c r="G11527" s="18" t="str">
        <f>"15241"</f>
        <v>15241</v>
      </c>
      <c r="H11527" s="19" t="s">
        <v>36730</v>
      </c>
      <c r="I11527" s="20">
        <v>18.442</v>
      </c>
      <c r="J11527" s="44" t="s">
        <v>8</v>
      </c>
      <c r="K11527" s="23" t="s">
        <v>8</v>
      </c>
      <c r="L11527" s="23" t="s">
        <v>8</v>
      </c>
      <c r="M11527" s="23" t="s">
        <v>8</v>
      </c>
    </row>
    <row r="11528" spans="1:13" s="21" customFormat="1" x14ac:dyDescent="0.25">
      <c r="A11528" s="22" t="s">
        <v>8</v>
      </c>
      <c r="B11528" s="18" t="str">
        <f>"395690"</f>
        <v>395690</v>
      </c>
      <c r="C11528" s="19" t="s">
        <v>11342</v>
      </c>
      <c r="D11528" s="19" t="s">
        <v>26935</v>
      </c>
      <c r="E11528" s="19" t="s">
        <v>31717</v>
      </c>
      <c r="F11528" s="19" t="s">
        <v>36012</v>
      </c>
      <c r="G11528" s="18" t="str">
        <f>"19064"</f>
        <v>19064</v>
      </c>
      <c r="H11528" s="19" t="s">
        <v>34462</v>
      </c>
      <c r="I11528" s="20">
        <v>18.640999999999998</v>
      </c>
      <c r="J11528" s="44" t="s">
        <v>8</v>
      </c>
      <c r="K11528" s="23" t="s">
        <v>8</v>
      </c>
      <c r="L11528" s="23" t="s">
        <v>8</v>
      </c>
      <c r="M11528" s="23" t="s">
        <v>8</v>
      </c>
    </row>
    <row r="11529" spans="1:13" s="21" customFormat="1" x14ac:dyDescent="0.25">
      <c r="A11529" s="22" t="s">
        <v>8</v>
      </c>
      <c r="B11529" s="18" t="str">
        <f>"395691"</f>
        <v>395691</v>
      </c>
      <c r="C11529" s="19" t="s">
        <v>11343</v>
      </c>
      <c r="D11529" s="19" t="s">
        <v>26936</v>
      </c>
      <c r="E11529" s="19" t="s">
        <v>34958</v>
      </c>
      <c r="F11529" s="19" t="s">
        <v>36012</v>
      </c>
      <c r="G11529" s="18" t="str">
        <f>"18702"</f>
        <v>18702</v>
      </c>
      <c r="H11529" s="19" t="s">
        <v>36735</v>
      </c>
      <c r="I11529" s="20">
        <v>17.036999999999999</v>
      </c>
      <c r="J11529" s="44" t="s">
        <v>8</v>
      </c>
      <c r="K11529" s="23" t="s">
        <v>8</v>
      </c>
      <c r="L11529" s="23" t="s">
        <v>8</v>
      </c>
      <c r="M11529" s="23" t="s">
        <v>8</v>
      </c>
    </row>
    <row r="11530" spans="1:13" s="21" customFormat="1" x14ac:dyDescent="0.25">
      <c r="A11530" s="22" t="s">
        <v>8</v>
      </c>
      <c r="B11530" s="18" t="str">
        <f>"395692"</f>
        <v>395692</v>
      </c>
      <c r="C11530" s="19" t="s">
        <v>11344</v>
      </c>
      <c r="D11530" s="19" t="s">
        <v>26937</v>
      </c>
      <c r="E11530" s="19" t="s">
        <v>31500</v>
      </c>
      <c r="F11530" s="19" t="s">
        <v>36012</v>
      </c>
      <c r="G11530" s="18" t="str">
        <f>"15301"</f>
        <v>15301</v>
      </c>
      <c r="H11530" s="19" t="s">
        <v>31500</v>
      </c>
      <c r="I11530" s="20">
        <v>20.355</v>
      </c>
      <c r="J11530" s="44" t="s">
        <v>8</v>
      </c>
      <c r="K11530" s="23" t="s">
        <v>8</v>
      </c>
      <c r="L11530" s="23" t="s">
        <v>8</v>
      </c>
      <c r="M11530" s="23" t="s">
        <v>8</v>
      </c>
    </row>
    <row r="11531" spans="1:13" s="21" customFormat="1" x14ac:dyDescent="0.25">
      <c r="A11531" s="22" t="s">
        <v>8</v>
      </c>
      <c r="B11531" s="18" t="str">
        <f>"395695"</f>
        <v>395695</v>
      </c>
      <c r="C11531" s="19" t="s">
        <v>11345</v>
      </c>
      <c r="D11531" s="19" t="s">
        <v>26938</v>
      </c>
      <c r="E11531" s="19" t="s">
        <v>34857</v>
      </c>
      <c r="F11531" s="19" t="s">
        <v>36012</v>
      </c>
      <c r="G11531" s="18" t="str">
        <f>"15317"</f>
        <v>15317</v>
      </c>
      <c r="H11531" s="19" t="s">
        <v>31500</v>
      </c>
      <c r="I11531" s="20">
        <v>19.518000000000001</v>
      </c>
      <c r="J11531" s="44" t="s">
        <v>8</v>
      </c>
      <c r="K11531" s="23" t="s">
        <v>8</v>
      </c>
      <c r="L11531" s="23" t="s">
        <v>8</v>
      </c>
      <c r="M11531" s="23" t="s">
        <v>8</v>
      </c>
    </row>
    <row r="11532" spans="1:13" s="21" customFormat="1" x14ac:dyDescent="0.25">
      <c r="A11532" s="22" t="s">
        <v>8</v>
      </c>
      <c r="B11532" s="18" t="str">
        <f>"395697"</f>
        <v>395697</v>
      </c>
      <c r="C11532" s="19" t="s">
        <v>11346</v>
      </c>
      <c r="D11532" s="19" t="s">
        <v>26939</v>
      </c>
      <c r="E11532" s="19" t="s">
        <v>34959</v>
      </c>
      <c r="F11532" s="19" t="s">
        <v>36012</v>
      </c>
      <c r="G11532" s="18" t="str">
        <f>"17243"</f>
        <v>17243</v>
      </c>
      <c r="H11532" s="19" t="s">
        <v>34786</v>
      </c>
      <c r="I11532" s="20">
        <v>18.209</v>
      </c>
      <c r="J11532" s="44" t="s">
        <v>8</v>
      </c>
      <c r="K11532" s="23" t="s">
        <v>8</v>
      </c>
      <c r="L11532" s="23" t="s">
        <v>8</v>
      </c>
      <c r="M11532" s="23" t="s">
        <v>8</v>
      </c>
    </row>
    <row r="11533" spans="1:13" s="21" customFormat="1" x14ac:dyDescent="0.25">
      <c r="A11533" s="22" t="s">
        <v>8</v>
      </c>
      <c r="B11533" s="18" t="str">
        <f>"395698"</f>
        <v>395698</v>
      </c>
      <c r="C11533" s="19" t="s">
        <v>11347</v>
      </c>
      <c r="D11533" s="19" t="s">
        <v>26940</v>
      </c>
      <c r="E11533" s="19" t="s">
        <v>34960</v>
      </c>
      <c r="F11533" s="19" t="s">
        <v>36012</v>
      </c>
      <c r="G11533" s="18" t="str">
        <f>"15102"</f>
        <v>15102</v>
      </c>
      <c r="H11533" s="19" t="s">
        <v>36730</v>
      </c>
      <c r="I11533" s="20">
        <v>18.457999999999998</v>
      </c>
      <c r="J11533" s="44" t="s">
        <v>8</v>
      </c>
      <c r="K11533" s="23" t="s">
        <v>8</v>
      </c>
      <c r="L11533" s="23" t="s">
        <v>8</v>
      </c>
      <c r="M11533" s="23" t="s">
        <v>8</v>
      </c>
    </row>
    <row r="11534" spans="1:13" s="21" customFormat="1" x14ac:dyDescent="0.25">
      <c r="A11534" s="22" t="s">
        <v>8</v>
      </c>
      <c r="B11534" s="18" t="str">
        <f>"395699"</f>
        <v>395699</v>
      </c>
      <c r="C11534" s="19" t="s">
        <v>11348</v>
      </c>
      <c r="D11534" s="19" t="s">
        <v>26941</v>
      </c>
      <c r="E11534" s="19" t="s">
        <v>34839</v>
      </c>
      <c r="F11534" s="19" t="s">
        <v>36012</v>
      </c>
      <c r="G11534" s="18" t="str">
        <f>"16915"</f>
        <v>16915</v>
      </c>
      <c r="H11534" s="19" t="s">
        <v>36736</v>
      </c>
      <c r="I11534" s="20">
        <v>17.102</v>
      </c>
      <c r="J11534" s="44" t="s">
        <v>8</v>
      </c>
      <c r="K11534" s="23" t="s">
        <v>8</v>
      </c>
      <c r="L11534" s="23" t="s">
        <v>8</v>
      </c>
      <c r="M11534" s="23" t="s">
        <v>8</v>
      </c>
    </row>
    <row r="11535" spans="1:13" s="21" customFormat="1" x14ac:dyDescent="0.25">
      <c r="A11535" s="22" t="s">
        <v>8</v>
      </c>
      <c r="B11535" s="18" t="str">
        <f>"395700"</f>
        <v>395700</v>
      </c>
      <c r="C11535" s="19" t="s">
        <v>11349</v>
      </c>
      <c r="D11535" s="19" t="s">
        <v>26942</v>
      </c>
      <c r="E11535" s="19" t="s">
        <v>34878</v>
      </c>
      <c r="F11535" s="19" t="s">
        <v>36012</v>
      </c>
      <c r="G11535" s="18" t="str">
        <f>"16701"</f>
        <v>16701</v>
      </c>
      <c r="H11535" s="19" t="s">
        <v>36727</v>
      </c>
      <c r="I11535" s="20">
        <v>18.177</v>
      </c>
      <c r="J11535" s="44" t="s">
        <v>8</v>
      </c>
      <c r="K11535" s="23" t="s">
        <v>8</v>
      </c>
      <c r="L11535" s="23" t="s">
        <v>8</v>
      </c>
      <c r="M11535" s="23" t="s">
        <v>8</v>
      </c>
    </row>
    <row r="11536" spans="1:13" s="21" customFormat="1" x14ac:dyDescent="0.25">
      <c r="A11536" s="22" t="s">
        <v>8</v>
      </c>
      <c r="B11536" s="18" t="str">
        <f>"395701"</f>
        <v>395701</v>
      </c>
      <c r="C11536" s="19" t="s">
        <v>11350</v>
      </c>
      <c r="D11536" s="19" t="s">
        <v>26943</v>
      </c>
      <c r="E11536" s="19" t="s">
        <v>34961</v>
      </c>
      <c r="F11536" s="19" t="s">
        <v>36012</v>
      </c>
      <c r="G11536" s="18" t="str">
        <f>"18411"</f>
        <v>18411</v>
      </c>
      <c r="H11536" s="19" t="s">
        <v>36732</v>
      </c>
      <c r="I11536" s="20">
        <v>19.123000000000001</v>
      </c>
      <c r="J11536" s="44" t="s">
        <v>8</v>
      </c>
      <c r="K11536" s="23" t="s">
        <v>8</v>
      </c>
      <c r="L11536" s="23" t="s">
        <v>8</v>
      </c>
      <c r="M11536" s="23" t="s">
        <v>8</v>
      </c>
    </row>
    <row r="11537" spans="1:13" s="21" customFormat="1" x14ac:dyDescent="0.25">
      <c r="A11537" s="22" t="s">
        <v>8</v>
      </c>
      <c r="B11537" s="18" t="str">
        <f>"395702"</f>
        <v>395702</v>
      </c>
      <c r="C11537" s="19" t="s">
        <v>11351</v>
      </c>
      <c r="D11537" s="19" t="s">
        <v>26944</v>
      </c>
      <c r="E11537" s="19" t="s">
        <v>34863</v>
      </c>
      <c r="F11537" s="19" t="s">
        <v>36012</v>
      </c>
      <c r="G11537" s="18" t="str">
        <f>"15701"</f>
        <v>15701</v>
      </c>
      <c r="H11537" s="19" t="s">
        <v>34863</v>
      </c>
      <c r="I11537" s="20">
        <v>17.658999999999999</v>
      </c>
      <c r="J11537" s="44" t="s">
        <v>8</v>
      </c>
      <c r="K11537" s="23" t="s">
        <v>8</v>
      </c>
      <c r="L11537" s="23" t="s">
        <v>8</v>
      </c>
      <c r="M11537" s="23" t="s">
        <v>8</v>
      </c>
    </row>
    <row r="11538" spans="1:13" s="21" customFormat="1" x14ac:dyDescent="0.25">
      <c r="A11538" s="22" t="s">
        <v>8</v>
      </c>
      <c r="B11538" s="18" t="str">
        <f>"395704"</f>
        <v>395704</v>
      </c>
      <c r="C11538" s="19" t="s">
        <v>11352</v>
      </c>
      <c r="D11538" s="19" t="s">
        <v>26945</v>
      </c>
      <c r="E11538" s="19" t="s">
        <v>33514</v>
      </c>
      <c r="F11538" s="19" t="s">
        <v>36012</v>
      </c>
      <c r="G11538" s="18" t="str">
        <f>"19111"</f>
        <v>19111</v>
      </c>
      <c r="H11538" s="19" t="s">
        <v>33514</v>
      </c>
      <c r="I11538" s="20">
        <v>20.242000000000001</v>
      </c>
      <c r="J11538" s="44" t="s">
        <v>8</v>
      </c>
      <c r="K11538" s="23" t="s">
        <v>8</v>
      </c>
      <c r="L11538" s="23" t="s">
        <v>8</v>
      </c>
      <c r="M11538" s="23" t="s">
        <v>8</v>
      </c>
    </row>
    <row r="11539" spans="1:13" s="21" customFormat="1" x14ac:dyDescent="0.25">
      <c r="A11539" s="22" t="s">
        <v>8</v>
      </c>
      <c r="B11539" s="18" t="str">
        <f>"395705"</f>
        <v>395705</v>
      </c>
      <c r="C11539" s="19" t="s">
        <v>11353</v>
      </c>
      <c r="D11539" s="19" t="s">
        <v>26946</v>
      </c>
      <c r="E11539" s="19" t="s">
        <v>32236</v>
      </c>
      <c r="F11539" s="19" t="s">
        <v>36012</v>
      </c>
      <c r="G11539" s="18" t="str">
        <f>"15601"</f>
        <v>15601</v>
      </c>
      <c r="H11539" s="19" t="s">
        <v>32652</v>
      </c>
      <c r="I11539" s="20">
        <v>22.173999999999999</v>
      </c>
      <c r="J11539" s="44" t="s">
        <v>8</v>
      </c>
      <c r="K11539" s="23" t="s">
        <v>8</v>
      </c>
      <c r="L11539" s="23" t="s">
        <v>8</v>
      </c>
      <c r="M11539" s="23" t="s">
        <v>8</v>
      </c>
    </row>
    <row r="11540" spans="1:13" s="21" customFormat="1" x14ac:dyDescent="0.25">
      <c r="A11540" s="22" t="s">
        <v>8</v>
      </c>
      <c r="B11540" s="18" t="str">
        <f>"395706"</f>
        <v>395706</v>
      </c>
      <c r="C11540" s="19" t="s">
        <v>11354</v>
      </c>
      <c r="D11540" s="19" t="s">
        <v>26947</v>
      </c>
      <c r="E11540" s="19" t="s">
        <v>34958</v>
      </c>
      <c r="F11540" s="19" t="s">
        <v>36012</v>
      </c>
      <c r="G11540" s="18" t="str">
        <f>"18702"</f>
        <v>18702</v>
      </c>
      <c r="H11540" s="19" t="s">
        <v>36735</v>
      </c>
      <c r="I11540" s="20">
        <v>19.044</v>
      </c>
      <c r="J11540" s="44" t="s">
        <v>8</v>
      </c>
      <c r="K11540" s="23" t="s">
        <v>8</v>
      </c>
      <c r="L11540" s="23" t="s">
        <v>8</v>
      </c>
      <c r="M11540" s="23" t="s">
        <v>8</v>
      </c>
    </row>
    <row r="11541" spans="1:13" s="21" customFormat="1" x14ac:dyDescent="0.25">
      <c r="A11541" s="22" t="s">
        <v>8</v>
      </c>
      <c r="B11541" s="18" t="str">
        <f>"395707"</f>
        <v>395707</v>
      </c>
      <c r="C11541" s="19" t="s">
        <v>11355</v>
      </c>
      <c r="D11541" s="19" t="s">
        <v>26948</v>
      </c>
      <c r="E11541" s="19" t="s">
        <v>32460</v>
      </c>
      <c r="F11541" s="19" t="s">
        <v>36012</v>
      </c>
      <c r="G11541" s="18" t="str">
        <f>"16214"</f>
        <v>16214</v>
      </c>
      <c r="H11541" s="19" t="s">
        <v>32460</v>
      </c>
      <c r="I11541" s="20">
        <v>16.728000000000002</v>
      </c>
      <c r="J11541" s="44" t="s">
        <v>8</v>
      </c>
      <c r="K11541" s="23" t="s">
        <v>8</v>
      </c>
      <c r="L11541" s="23" t="s">
        <v>8</v>
      </c>
      <c r="M11541" s="23" t="s">
        <v>8</v>
      </c>
    </row>
    <row r="11542" spans="1:13" s="21" customFormat="1" x14ac:dyDescent="0.25">
      <c r="A11542" s="22" t="s">
        <v>8</v>
      </c>
      <c r="B11542" s="18" t="str">
        <f>"395708"</f>
        <v>395708</v>
      </c>
      <c r="C11542" s="19" t="s">
        <v>11356</v>
      </c>
      <c r="D11542" s="19" t="s">
        <v>26949</v>
      </c>
      <c r="E11542" s="19" t="s">
        <v>32639</v>
      </c>
      <c r="F11542" s="19" t="s">
        <v>36012</v>
      </c>
      <c r="G11542" s="18" t="str">
        <f>"18042"</f>
        <v>18042</v>
      </c>
      <c r="H11542" s="19" t="s">
        <v>33038</v>
      </c>
      <c r="I11542" s="20">
        <v>19.931000000000001</v>
      </c>
      <c r="J11542" s="44" t="s">
        <v>8</v>
      </c>
      <c r="K11542" s="23" t="s">
        <v>8</v>
      </c>
      <c r="L11542" s="23" t="s">
        <v>8</v>
      </c>
      <c r="M11542" s="23" t="s">
        <v>8</v>
      </c>
    </row>
    <row r="11543" spans="1:13" s="21" customFormat="1" x14ac:dyDescent="0.25">
      <c r="A11543" s="22" t="s">
        <v>8</v>
      </c>
      <c r="B11543" s="18" t="str">
        <f>"395710"</f>
        <v>395710</v>
      </c>
      <c r="C11543" s="19" t="s">
        <v>11357</v>
      </c>
      <c r="D11543" s="19" t="s">
        <v>26950</v>
      </c>
      <c r="E11543" s="19" t="s">
        <v>34907</v>
      </c>
      <c r="F11543" s="19" t="s">
        <v>36012</v>
      </c>
      <c r="G11543" s="18" t="str">
        <f>"19047"</f>
        <v>19047</v>
      </c>
      <c r="H11543" s="19" t="s">
        <v>36729</v>
      </c>
      <c r="I11543" s="20">
        <v>21.553999999999998</v>
      </c>
      <c r="J11543" s="44" t="s">
        <v>8</v>
      </c>
      <c r="K11543" s="23" t="s">
        <v>8</v>
      </c>
      <c r="L11543" s="23" t="s">
        <v>8</v>
      </c>
      <c r="M11543" s="23" t="s">
        <v>8</v>
      </c>
    </row>
    <row r="11544" spans="1:13" s="21" customFormat="1" x14ac:dyDescent="0.25">
      <c r="A11544" s="22" t="s">
        <v>8</v>
      </c>
      <c r="B11544" s="18" t="str">
        <f>"395711"</f>
        <v>395711</v>
      </c>
      <c r="C11544" s="19" t="s">
        <v>11358</v>
      </c>
      <c r="D11544" s="19" t="s">
        <v>26951</v>
      </c>
      <c r="E11544" s="19" t="s">
        <v>34962</v>
      </c>
      <c r="F11544" s="19" t="s">
        <v>36012</v>
      </c>
      <c r="G11544" s="18" t="str">
        <f>"19027"</f>
        <v>19027</v>
      </c>
      <c r="H11544" s="19" t="s">
        <v>30833</v>
      </c>
      <c r="I11544" s="20">
        <v>19.521000000000001</v>
      </c>
      <c r="J11544" s="44" t="s">
        <v>8</v>
      </c>
      <c r="K11544" s="23" t="s">
        <v>8</v>
      </c>
      <c r="L11544" s="23" t="s">
        <v>8</v>
      </c>
      <c r="M11544" s="23" t="s">
        <v>8</v>
      </c>
    </row>
    <row r="11545" spans="1:13" s="21" customFormat="1" x14ac:dyDescent="0.25">
      <c r="A11545" s="22" t="s">
        <v>8</v>
      </c>
      <c r="B11545" s="18" t="str">
        <f>"395712"</f>
        <v>395712</v>
      </c>
      <c r="C11545" s="19" t="s">
        <v>11359</v>
      </c>
      <c r="D11545" s="19" t="s">
        <v>26952</v>
      </c>
      <c r="E11545" s="19" t="s">
        <v>34865</v>
      </c>
      <c r="F11545" s="19" t="s">
        <v>36012</v>
      </c>
      <c r="G11545" s="18" t="str">
        <f>"16901"</f>
        <v>16901</v>
      </c>
      <c r="H11545" s="19" t="s">
        <v>34367</v>
      </c>
      <c r="I11545" s="20">
        <v>17.567</v>
      </c>
      <c r="J11545" s="44" t="s">
        <v>8</v>
      </c>
      <c r="K11545" s="23" t="s">
        <v>8</v>
      </c>
      <c r="L11545" s="23" t="s">
        <v>8</v>
      </c>
      <c r="M11545" s="23" t="s">
        <v>8</v>
      </c>
    </row>
    <row r="11546" spans="1:13" s="21" customFormat="1" x14ac:dyDescent="0.25">
      <c r="A11546" s="22" t="s">
        <v>8</v>
      </c>
      <c r="B11546" s="18" t="str">
        <f>"395713"</f>
        <v>395713</v>
      </c>
      <c r="C11546" s="19" t="s">
        <v>11360</v>
      </c>
      <c r="D11546" s="19" t="s">
        <v>26953</v>
      </c>
      <c r="E11546" s="19" t="s">
        <v>34806</v>
      </c>
      <c r="F11546" s="19" t="s">
        <v>36012</v>
      </c>
      <c r="G11546" s="18" t="str">
        <f>"15139"</f>
        <v>15139</v>
      </c>
      <c r="H11546" s="19" t="s">
        <v>36730</v>
      </c>
      <c r="I11546" s="20">
        <v>18.288</v>
      </c>
      <c r="J11546" s="44" t="s">
        <v>8</v>
      </c>
      <c r="K11546" s="23" t="s">
        <v>8</v>
      </c>
      <c r="L11546" s="23" t="s">
        <v>8</v>
      </c>
      <c r="M11546" s="23" t="s">
        <v>8</v>
      </c>
    </row>
    <row r="11547" spans="1:13" s="21" customFormat="1" x14ac:dyDescent="0.25">
      <c r="A11547" s="22" t="s">
        <v>8</v>
      </c>
      <c r="B11547" s="18" t="str">
        <f>"395715"</f>
        <v>395715</v>
      </c>
      <c r="C11547" s="19" t="s">
        <v>11361</v>
      </c>
      <c r="D11547" s="19" t="s">
        <v>26954</v>
      </c>
      <c r="E11547" s="19" t="s">
        <v>33514</v>
      </c>
      <c r="F11547" s="19" t="s">
        <v>36012</v>
      </c>
      <c r="G11547" s="18" t="str">
        <f>"19144"</f>
        <v>19144</v>
      </c>
      <c r="H11547" s="19" t="s">
        <v>33514</v>
      </c>
      <c r="I11547" s="20">
        <v>20.029</v>
      </c>
      <c r="J11547" s="44" t="s">
        <v>8</v>
      </c>
      <c r="K11547" s="23" t="s">
        <v>8</v>
      </c>
      <c r="L11547" s="23" t="s">
        <v>8</v>
      </c>
      <c r="M11547" s="23" t="s">
        <v>8</v>
      </c>
    </row>
    <row r="11548" spans="1:13" s="21" customFormat="1" x14ac:dyDescent="0.25">
      <c r="A11548" s="22" t="s">
        <v>8</v>
      </c>
      <c r="B11548" s="18" t="str">
        <f>"395716"</f>
        <v>395716</v>
      </c>
      <c r="C11548" s="19" t="s">
        <v>11362</v>
      </c>
      <c r="D11548" s="19" t="s">
        <v>26955</v>
      </c>
      <c r="E11548" s="19" t="s">
        <v>34927</v>
      </c>
      <c r="F11548" s="19" t="s">
        <v>36012</v>
      </c>
      <c r="G11548" s="18" t="str">
        <f>"18707"</f>
        <v>18707</v>
      </c>
      <c r="H11548" s="19" t="s">
        <v>36735</v>
      </c>
      <c r="I11548" s="20">
        <v>16.623000000000001</v>
      </c>
      <c r="J11548" s="44" t="s">
        <v>8</v>
      </c>
      <c r="K11548" s="23" t="s">
        <v>8</v>
      </c>
      <c r="L11548" s="23" t="s">
        <v>8</v>
      </c>
      <c r="M11548" s="23" t="s">
        <v>8</v>
      </c>
    </row>
    <row r="11549" spans="1:13" s="21" customFormat="1" x14ac:dyDescent="0.25">
      <c r="A11549" s="22" t="s">
        <v>8</v>
      </c>
      <c r="B11549" s="18" t="str">
        <f>"395717"</f>
        <v>395717</v>
      </c>
      <c r="C11549" s="19" t="s">
        <v>11363</v>
      </c>
      <c r="D11549" s="19" t="s">
        <v>26956</v>
      </c>
      <c r="E11549" s="19" t="s">
        <v>34811</v>
      </c>
      <c r="F11549" s="19" t="s">
        <v>36012</v>
      </c>
      <c r="G11549" s="18" t="str">
        <f>"18505"</f>
        <v>18505</v>
      </c>
      <c r="H11549" s="19" t="s">
        <v>36732</v>
      </c>
      <c r="I11549" s="20">
        <v>20.545000000000002</v>
      </c>
      <c r="J11549" s="44" t="s">
        <v>8</v>
      </c>
      <c r="K11549" s="23" t="s">
        <v>8</v>
      </c>
      <c r="L11549" s="23" t="s">
        <v>8</v>
      </c>
      <c r="M11549" s="23" t="s">
        <v>8</v>
      </c>
    </row>
    <row r="11550" spans="1:13" s="21" customFormat="1" x14ac:dyDescent="0.25">
      <c r="A11550" s="22" t="s">
        <v>8</v>
      </c>
      <c r="B11550" s="18" t="str">
        <f>"395718"</f>
        <v>395718</v>
      </c>
      <c r="C11550" s="19" t="s">
        <v>11364</v>
      </c>
      <c r="D11550" s="19" t="s">
        <v>26957</v>
      </c>
      <c r="E11550" s="19" t="s">
        <v>34963</v>
      </c>
      <c r="F11550" s="19" t="s">
        <v>36012</v>
      </c>
      <c r="G11550" s="18" t="str">
        <f>"19035"</f>
        <v>19035</v>
      </c>
      <c r="H11550" s="19" t="s">
        <v>30833</v>
      </c>
      <c r="I11550" s="20">
        <v>17.271999999999998</v>
      </c>
      <c r="J11550" s="44" t="s">
        <v>8</v>
      </c>
      <c r="K11550" s="23" t="s">
        <v>8</v>
      </c>
      <c r="L11550" s="23" t="s">
        <v>8</v>
      </c>
      <c r="M11550" s="23" t="s">
        <v>8</v>
      </c>
    </row>
    <row r="11551" spans="1:13" s="21" customFormat="1" x14ac:dyDescent="0.25">
      <c r="A11551" s="22" t="s">
        <v>8</v>
      </c>
      <c r="B11551" s="18" t="str">
        <f>"395719"</f>
        <v>395719</v>
      </c>
      <c r="C11551" s="19" t="s">
        <v>1946</v>
      </c>
      <c r="D11551" s="19" t="s">
        <v>26958</v>
      </c>
      <c r="E11551" s="19" t="s">
        <v>34948</v>
      </c>
      <c r="F11551" s="19" t="s">
        <v>36012</v>
      </c>
      <c r="G11551" s="18" t="str">
        <f>"15132"</f>
        <v>15132</v>
      </c>
      <c r="H11551" s="19" t="s">
        <v>36730</v>
      </c>
      <c r="I11551" s="20">
        <v>18.393999999999998</v>
      </c>
      <c r="J11551" s="44" t="s">
        <v>8</v>
      </c>
      <c r="K11551" s="23" t="s">
        <v>8</v>
      </c>
      <c r="L11551" s="23" t="s">
        <v>8</v>
      </c>
      <c r="M11551" s="23" t="s">
        <v>8</v>
      </c>
    </row>
    <row r="11552" spans="1:13" s="21" customFormat="1" x14ac:dyDescent="0.25">
      <c r="A11552" s="22" t="s">
        <v>8</v>
      </c>
      <c r="B11552" s="18" t="str">
        <f>"395720"</f>
        <v>395720</v>
      </c>
      <c r="C11552" s="19" t="s">
        <v>11365</v>
      </c>
      <c r="D11552" s="19" t="s">
        <v>26959</v>
      </c>
      <c r="E11552" s="19" t="s">
        <v>31184</v>
      </c>
      <c r="F11552" s="19" t="s">
        <v>36012</v>
      </c>
      <c r="G11552" s="18" t="str">
        <f>"17604"</f>
        <v>17604</v>
      </c>
      <c r="H11552" s="19" t="s">
        <v>31184</v>
      </c>
      <c r="I11552" s="20">
        <v>20.667000000000002</v>
      </c>
      <c r="J11552" s="44" t="s">
        <v>8</v>
      </c>
      <c r="K11552" s="23" t="s">
        <v>8</v>
      </c>
      <c r="L11552" s="23" t="s">
        <v>8</v>
      </c>
      <c r="M11552" s="23" t="s">
        <v>8</v>
      </c>
    </row>
    <row r="11553" spans="1:13" s="21" customFormat="1" x14ac:dyDescent="0.25">
      <c r="A11553" s="22" t="s">
        <v>8</v>
      </c>
      <c r="B11553" s="18" t="str">
        <f>"395721"</f>
        <v>395721</v>
      </c>
      <c r="C11553" s="19" t="s">
        <v>11366</v>
      </c>
      <c r="D11553" s="19" t="s">
        <v>26960</v>
      </c>
      <c r="E11553" s="19" t="s">
        <v>30991</v>
      </c>
      <c r="F11553" s="19" t="s">
        <v>36012</v>
      </c>
      <c r="G11553" s="18" t="str">
        <f>"17222"</f>
        <v>17222</v>
      </c>
      <c r="H11553" s="19" t="s">
        <v>5</v>
      </c>
      <c r="I11553" s="20">
        <v>19.234000000000002</v>
      </c>
      <c r="J11553" s="44" t="s">
        <v>8</v>
      </c>
      <c r="K11553" s="23" t="s">
        <v>8</v>
      </c>
      <c r="L11553" s="23" t="s">
        <v>8</v>
      </c>
      <c r="M11553" s="23" t="s">
        <v>8</v>
      </c>
    </row>
    <row r="11554" spans="1:13" s="21" customFormat="1" x14ac:dyDescent="0.25">
      <c r="A11554" s="22" t="s">
        <v>8</v>
      </c>
      <c r="B11554" s="18" t="str">
        <f>"395722"</f>
        <v>395722</v>
      </c>
      <c r="C11554" s="19" t="s">
        <v>11367</v>
      </c>
      <c r="D11554" s="19" t="s">
        <v>26961</v>
      </c>
      <c r="E11554" s="19" t="s">
        <v>33514</v>
      </c>
      <c r="F11554" s="19" t="s">
        <v>36012</v>
      </c>
      <c r="G11554" s="18" t="str">
        <f>"19104"</f>
        <v>19104</v>
      </c>
      <c r="H11554" s="19" t="s">
        <v>33514</v>
      </c>
      <c r="I11554" s="20">
        <v>20.968</v>
      </c>
      <c r="J11554" s="44" t="s">
        <v>8</v>
      </c>
      <c r="K11554" s="23" t="s">
        <v>8</v>
      </c>
      <c r="L11554" s="23" t="s">
        <v>8</v>
      </c>
      <c r="M11554" s="23" t="s">
        <v>8</v>
      </c>
    </row>
    <row r="11555" spans="1:13" s="21" customFormat="1" x14ac:dyDescent="0.25">
      <c r="A11555" s="22" t="s">
        <v>8</v>
      </c>
      <c r="B11555" s="18" t="str">
        <f>"395726"</f>
        <v>395726</v>
      </c>
      <c r="C11555" s="19" t="s">
        <v>11368</v>
      </c>
      <c r="D11555" s="19" t="s">
        <v>26962</v>
      </c>
      <c r="E11555" s="19" t="s">
        <v>32348</v>
      </c>
      <c r="F11555" s="19" t="s">
        <v>36012</v>
      </c>
      <c r="G11555" s="18" t="str">
        <f>"15666"</f>
        <v>15666</v>
      </c>
      <c r="H11555" s="19" t="s">
        <v>32652</v>
      </c>
      <c r="I11555" s="20">
        <v>19.204999999999998</v>
      </c>
      <c r="J11555" s="44" t="s">
        <v>8</v>
      </c>
      <c r="K11555" s="23" t="s">
        <v>8</v>
      </c>
      <c r="L11555" s="23" t="s">
        <v>8</v>
      </c>
      <c r="M11555" s="23" t="s">
        <v>8</v>
      </c>
    </row>
    <row r="11556" spans="1:13" s="21" customFormat="1" x14ac:dyDescent="0.25">
      <c r="A11556" s="22" t="s">
        <v>8</v>
      </c>
      <c r="B11556" s="18" t="str">
        <f>"395728"</f>
        <v>395728</v>
      </c>
      <c r="C11556" s="19" t="s">
        <v>11369</v>
      </c>
      <c r="D11556" s="19" t="s">
        <v>26963</v>
      </c>
      <c r="E11556" s="19" t="s">
        <v>34964</v>
      </c>
      <c r="F11556" s="19" t="s">
        <v>36012</v>
      </c>
      <c r="G11556" s="18" t="str">
        <f>"16239"</f>
        <v>16239</v>
      </c>
      <c r="H11556" s="19" t="s">
        <v>36742</v>
      </c>
      <c r="I11556" s="20">
        <v>24.271999999999998</v>
      </c>
      <c r="J11556" s="44" t="s">
        <v>8</v>
      </c>
      <c r="K11556" s="23" t="s">
        <v>8</v>
      </c>
      <c r="L11556" s="23" t="s">
        <v>8</v>
      </c>
      <c r="M11556" s="23" t="s">
        <v>8</v>
      </c>
    </row>
    <row r="11557" spans="1:13" s="21" customFormat="1" x14ac:dyDescent="0.25">
      <c r="A11557" s="22" t="s">
        <v>8</v>
      </c>
      <c r="B11557" s="18" t="str">
        <f>"395729"</f>
        <v>395729</v>
      </c>
      <c r="C11557" s="19" t="s">
        <v>11370</v>
      </c>
      <c r="D11557" s="19" t="s">
        <v>26964</v>
      </c>
      <c r="E11557" s="19" t="s">
        <v>32639</v>
      </c>
      <c r="F11557" s="19" t="s">
        <v>36012</v>
      </c>
      <c r="G11557" s="18" t="str">
        <f>"18042"</f>
        <v>18042</v>
      </c>
      <c r="H11557" s="19" t="s">
        <v>33038</v>
      </c>
      <c r="I11557" s="20">
        <v>19.603000000000002</v>
      </c>
      <c r="J11557" s="44" t="s">
        <v>8</v>
      </c>
      <c r="K11557" s="23" t="s">
        <v>8</v>
      </c>
      <c r="L11557" s="23" t="s">
        <v>8</v>
      </c>
      <c r="M11557" s="23" t="s">
        <v>8</v>
      </c>
    </row>
    <row r="11558" spans="1:13" s="21" customFormat="1" x14ac:dyDescent="0.25">
      <c r="A11558" s="22" t="s">
        <v>8</v>
      </c>
      <c r="B11558" s="18" t="str">
        <f>"395730"</f>
        <v>395730</v>
      </c>
      <c r="C11558" s="19" t="s">
        <v>11371</v>
      </c>
      <c r="D11558" s="19" t="s">
        <v>26965</v>
      </c>
      <c r="E11558" s="19" t="s">
        <v>31723</v>
      </c>
      <c r="F11558" s="19" t="s">
        <v>36012</v>
      </c>
      <c r="G11558" s="18" t="str">
        <f>"18612"</f>
        <v>18612</v>
      </c>
      <c r="H11558" s="19" t="s">
        <v>36735</v>
      </c>
      <c r="I11558" s="20">
        <v>16.797999999999998</v>
      </c>
      <c r="J11558" s="44" t="s">
        <v>8</v>
      </c>
      <c r="K11558" s="23" t="s">
        <v>8</v>
      </c>
      <c r="L11558" s="23" t="s">
        <v>8</v>
      </c>
      <c r="M11558" s="23" t="s">
        <v>8</v>
      </c>
    </row>
    <row r="11559" spans="1:13" s="21" customFormat="1" x14ac:dyDescent="0.25">
      <c r="A11559" s="22" t="s">
        <v>8</v>
      </c>
      <c r="B11559" s="18" t="str">
        <f>"395731"</f>
        <v>395731</v>
      </c>
      <c r="C11559" s="19" t="s">
        <v>11372</v>
      </c>
      <c r="D11559" s="19" t="s">
        <v>26966</v>
      </c>
      <c r="E11559" s="19" t="s">
        <v>34960</v>
      </c>
      <c r="F11559" s="19" t="s">
        <v>36012</v>
      </c>
      <c r="G11559" s="18" t="str">
        <f>"15102"</f>
        <v>15102</v>
      </c>
      <c r="H11559" s="19" t="s">
        <v>36730</v>
      </c>
      <c r="I11559" s="20">
        <v>19.771999999999998</v>
      </c>
      <c r="J11559" s="44" t="s">
        <v>8</v>
      </c>
      <c r="K11559" s="23" t="s">
        <v>8</v>
      </c>
      <c r="L11559" s="23" t="s">
        <v>8</v>
      </c>
      <c r="M11559" s="23" t="s">
        <v>8</v>
      </c>
    </row>
    <row r="11560" spans="1:13" s="21" customFormat="1" x14ac:dyDescent="0.25">
      <c r="A11560" s="22" t="s">
        <v>8</v>
      </c>
      <c r="B11560" s="18" t="str">
        <f>"395732"</f>
        <v>395732</v>
      </c>
      <c r="C11560" s="19" t="s">
        <v>11373</v>
      </c>
      <c r="D11560" s="19" t="s">
        <v>26967</v>
      </c>
      <c r="E11560" s="19" t="s">
        <v>34801</v>
      </c>
      <c r="F11560" s="19" t="s">
        <v>36012</v>
      </c>
      <c r="G11560" s="18" t="str">
        <f>"15217"</f>
        <v>15217</v>
      </c>
      <c r="H11560" s="19" t="s">
        <v>36730</v>
      </c>
      <c r="I11560" s="20">
        <v>17.116</v>
      </c>
      <c r="J11560" s="44" t="s">
        <v>8</v>
      </c>
      <c r="K11560" s="23" t="s">
        <v>8</v>
      </c>
      <c r="L11560" s="23" t="s">
        <v>8</v>
      </c>
      <c r="M11560" s="23" t="s">
        <v>8</v>
      </c>
    </row>
    <row r="11561" spans="1:13" s="21" customFormat="1" x14ac:dyDescent="0.25">
      <c r="A11561" s="22" t="s">
        <v>8</v>
      </c>
      <c r="B11561" s="18" t="str">
        <f>"395733"</f>
        <v>395733</v>
      </c>
      <c r="C11561" s="19" t="s">
        <v>11374</v>
      </c>
      <c r="D11561" s="19" t="s">
        <v>26968</v>
      </c>
      <c r="E11561" s="19" t="s">
        <v>34842</v>
      </c>
      <c r="F11561" s="19" t="s">
        <v>36012</v>
      </c>
      <c r="G11561" s="18" t="str">
        <f>"17325"</f>
        <v>17325</v>
      </c>
      <c r="H11561" s="19" t="s">
        <v>33467</v>
      </c>
      <c r="I11561" s="20">
        <v>17.286000000000001</v>
      </c>
      <c r="J11561" s="44" t="s">
        <v>8</v>
      </c>
      <c r="K11561" s="23" t="s">
        <v>8</v>
      </c>
      <c r="L11561" s="23" t="s">
        <v>8</v>
      </c>
      <c r="M11561" s="23" t="s">
        <v>8</v>
      </c>
    </row>
    <row r="11562" spans="1:13" s="21" customFormat="1" x14ac:dyDescent="0.25">
      <c r="A11562" s="22" t="s">
        <v>8</v>
      </c>
      <c r="B11562" s="18" t="str">
        <f>"395735"</f>
        <v>395735</v>
      </c>
      <c r="C11562" s="19" t="s">
        <v>11375</v>
      </c>
      <c r="D11562" s="19" t="s">
        <v>26969</v>
      </c>
      <c r="E11562" s="19" t="s">
        <v>34894</v>
      </c>
      <c r="F11562" s="19" t="s">
        <v>36012</v>
      </c>
      <c r="G11562" s="18" t="str">
        <f>"18951"</f>
        <v>18951</v>
      </c>
      <c r="H11562" s="19" t="s">
        <v>36729</v>
      </c>
      <c r="I11562" s="20">
        <v>16.899999999999999</v>
      </c>
      <c r="J11562" s="44" t="s">
        <v>8</v>
      </c>
      <c r="K11562" s="23" t="s">
        <v>8</v>
      </c>
      <c r="L11562" s="23" t="s">
        <v>8</v>
      </c>
      <c r="M11562" s="23" t="s">
        <v>8</v>
      </c>
    </row>
    <row r="11563" spans="1:13" s="21" customFormat="1" x14ac:dyDescent="0.25">
      <c r="A11563" s="22" t="s">
        <v>8</v>
      </c>
      <c r="B11563" s="18" t="str">
        <f>"395736"</f>
        <v>395736</v>
      </c>
      <c r="C11563" s="19" t="s">
        <v>11376</v>
      </c>
      <c r="D11563" s="19" t="s">
        <v>26970</v>
      </c>
      <c r="E11563" s="19" t="s">
        <v>34920</v>
      </c>
      <c r="F11563" s="19" t="s">
        <v>36012</v>
      </c>
      <c r="G11563" s="18" t="str">
        <f>"19063"</f>
        <v>19063</v>
      </c>
      <c r="H11563" s="19" t="s">
        <v>34462</v>
      </c>
      <c r="I11563" s="20">
        <v>16.361000000000001</v>
      </c>
      <c r="J11563" s="44" t="s">
        <v>8</v>
      </c>
      <c r="K11563" s="23" t="s">
        <v>8</v>
      </c>
      <c r="L11563" s="23" t="s">
        <v>8</v>
      </c>
      <c r="M11563" s="23" t="s">
        <v>8</v>
      </c>
    </row>
    <row r="11564" spans="1:13" s="21" customFormat="1" x14ac:dyDescent="0.25">
      <c r="A11564" s="22" t="s">
        <v>8</v>
      </c>
      <c r="B11564" s="18" t="str">
        <f>"395738"</f>
        <v>395738</v>
      </c>
      <c r="C11564" s="19" t="s">
        <v>11377</v>
      </c>
      <c r="D11564" s="19" t="s">
        <v>26971</v>
      </c>
      <c r="E11564" s="19" t="s">
        <v>33514</v>
      </c>
      <c r="F11564" s="19" t="s">
        <v>36012</v>
      </c>
      <c r="G11564" s="18" t="str">
        <f>"19115"</f>
        <v>19115</v>
      </c>
      <c r="H11564" s="19" t="s">
        <v>33514</v>
      </c>
      <c r="I11564" s="20">
        <v>16.361000000000001</v>
      </c>
      <c r="J11564" s="44" t="s">
        <v>8</v>
      </c>
      <c r="K11564" s="23" t="s">
        <v>8</v>
      </c>
      <c r="L11564" s="23" t="s">
        <v>8</v>
      </c>
      <c r="M11564" s="23" t="s">
        <v>8</v>
      </c>
    </row>
    <row r="11565" spans="1:13" s="21" customFormat="1" x14ac:dyDescent="0.25">
      <c r="A11565" s="22" t="s">
        <v>8</v>
      </c>
      <c r="B11565" s="18" t="str">
        <f>"395740"</f>
        <v>395740</v>
      </c>
      <c r="C11565" s="19" t="s">
        <v>11378</v>
      </c>
      <c r="D11565" s="19" t="s">
        <v>26972</v>
      </c>
      <c r="E11565" s="19" t="s">
        <v>34575</v>
      </c>
      <c r="F11565" s="19" t="s">
        <v>36012</v>
      </c>
      <c r="G11565" s="18" t="str">
        <f>"19382"</f>
        <v>19382</v>
      </c>
      <c r="H11565" s="19" t="s">
        <v>31396</v>
      </c>
      <c r="I11565" s="20">
        <v>18.622</v>
      </c>
      <c r="J11565" s="44" t="s">
        <v>8</v>
      </c>
      <c r="K11565" s="23" t="s">
        <v>8</v>
      </c>
      <c r="L11565" s="23" t="s">
        <v>8</v>
      </c>
      <c r="M11565" s="23" t="s">
        <v>8</v>
      </c>
    </row>
    <row r="11566" spans="1:13" s="21" customFormat="1" x14ac:dyDescent="0.25">
      <c r="A11566" s="22" t="s">
        <v>8</v>
      </c>
      <c r="B11566" s="18" t="str">
        <f>"395741"</f>
        <v>395741</v>
      </c>
      <c r="C11566" s="19" t="s">
        <v>11379</v>
      </c>
      <c r="D11566" s="19" t="s">
        <v>26973</v>
      </c>
      <c r="E11566" s="19" t="s">
        <v>34920</v>
      </c>
      <c r="F11566" s="19" t="s">
        <v>36012</v>
      </c>
      <c r="G11566" s="18" t="str">
        <f>"19063"</f>
        <v>19063</v>
      </c>
      <c r="H11566" s="19" t="s">
        <v>34462</v>
      </c>
      <c r="I11566" s="20">
        <v>18.879000000000001</v>
      </c>
      <c r="J11566" s="44" t="s">
        <v>8</v>
      </c>
      <c r="K11566" s="23" t="s">
        <v>8</v>
      </c>
      <c r="L11566" s="23" t="s">
        <v>8</v>
      </c>
      <c r="M11566" s="23" t="s">
        <v>8</v>
      </c>
    </row>
    <row r="11567" spans="1:13" s="21" customFormat="1" x14ac:dyDescent="0.25">
      <c r="A11567" s="22" t="s">
        <v>8</v>
      </c>
      <c r="B11567" s="18" t="str">
        <f>"395742"</f>
        <v>395742</v>
      </c>
      <c r="C11567" s="19" t="s">
        <v>11380</v>
      </c>
      <c r="D11567" s="19" t="s">
        <v>26974</v>
      </c>
      <c r="E11567" s="19" t="s">
        <v>34801</v>
      </c>
      <c r="F11567" s="19" t="s">
        <v>36012</v>
      </c>
      <c r="G11567" s="18" t="str">
        <f>"15122"</f>
        <v>15122</v>
      </c>
      <c r="H11567" s="19" t="s">
        <v>36730</v>
      </c>
      <c r="I11567" s="20">
        <v>22.018999999999998</v>
      </c>
      <c r="J11567" s="44" t="s">
        <v>8</v>
      </c>
      <c r="K11567" s="23" t="s">
        <v>8</v>
      </c>
      <c r="L11567" s="23" t="s">
        <v>8</v>
      </c>
      <c r="M11567" s="23" t="s">
        <v>8</v>
      </c>
    </row>
    <row r="11568" spans="1:13" s="21" customFormat="1" x14ac:dyDescent="0.25">
      <c r="A11568" s="22" t="s">
        <v>8</v>
      </c>
      <c r="B11568" s="18" t="str">
        <f>"395743"</f>
        <v>395743</v>
      </c>
      <c r="C11568" s="19" t="s">
        <v>11381</v>
      </c>
      <c r="D11568" s="19" t="s">
        <v>26975</v>
      </c>
      <c r="E11568" s="19" t="s">
        <v>34801</v>
      </c>
      <c r="F11568" s="19" t="s">
        <v>36012</v>
      </c>
      <c r="G11568" s="18" t="str">
        <f>"15220"</f>
        <v>15220</v>
      </c>
      <c r="H11568" s="19" t="s">
        <v>36730</v>
      </c>
      <c r="I11568" s="20">
        <v>18.936</v>
      </c>
      <c r="J11568" s="44" t="s">
        <v>8</v>
      </c>
      <c r="K11568" s="23" t="s">
        <v>8</v>
      </c>
      <c r="L11568" s="23" t="s">
        <v>8</v>
      </c>
      <c r="M11568" s="23" t="s">
        <v>8</v>
      </c>
    </row>
    <row r="11569" spans="1:13" s="21" customFormat="1" x14ac:dyDescent="0.25">
      <c r="A11569" s="22" t="s">
        <v>8</v>
      </c>
      <c r="B11569" s="18" t="str">
        <f>"395745"</f>
        <v>395745</v>
      </c>
      <c r="C11569" s="19" t="s">
        <v>11382</v>
      </c>
      <c r="D11569" s="19" t="s">
        <v>26976</v>
      </c>
      <c r="E11569" s="19" t="s">
        <v>34801</v>
      </c>
      <c r="F11569" s="19" t="s">
        <v>36012</v>
      </c>
      <c r="G11569" s="18" t="str">
        <f>"15227"</f>
        <v>15227</v>
      </c>
      <c r="H11569" s="19" t="s">
        <v>36730</v>
      </c>
      <c r="I11569" s="20">
        <v>21.495000000000001</v>
      </c>
      <c r="J11569" s="44" t="s">
        <v>8</v>
      </c>
      <c r="K11569" s="23" t="s">
        <v>8</v>
      </c>
      <c r="L11569" s="23" t="s">
        <v>8</v>
      </c>
      <c r="M11569" s="23" t="s">
        <v>8</v>
      </c>
    </row>
    <row r="11570" spans="1:13" s="21" customFormat="1" x14ac:dyDescent="0.25">
      <c r="A11570" s="22" t="s">
        <v>8</v>
      </c>
      <c r="B11570" s="18" t="str">
        <f>"395746"</f>
        <v>395746</v>
      </c>
      <c r="C11570" s="19" t="s">
        <v>11383</v>
      </c>
      <c r="D11570" s="19" t="s">
        <v>26977</v>
      </c>
      <c r="E11570" s="19" t="s">
        <v>31056</v>
      </c>
      <c r="F11570" s="19" t="s">
        <v>36012</v>
      </c>
      <c r="G11570" s="18" t="str">
        <f>"17013"</f>
        <v>17013</v>
      </c>
      <c r="H11570" s="19" t="s">
        <v>32766</v>
      </c>
      <c r="I11570" s="20">
        <v>17.940999999999999</v>
      </c>
      <c r="J11570" s="44" t="s">
        <v>8</v>
      </c>
      <c r="K11570" s="23" t="s">
        <v>8</v>
      </c>
      <c r="L11570" s="23" t="s">
        <v>8</v>
      </c>
      <c r="M11570" s="23" t="s">
        <v>8</v>
      </c>
    </row>
    <row r="11571" spans="1:13" s="21" customFormat="1" x14ac:dyDescent="0.25">
      <c r="A11571" s="22" t="s">
        <v>8</v>
      </c>
      <c r="B11571" s="18" t="str">
        <f>"395749"</f>
        <v>395749</v>
      </c>
      <c r="C11571" s="19" t="s">
        <v>11384</v>
      </c>
      <c r="D11571" s="19" t="s">
        <v>26978</v>
      </c>
      <c r="E11571" s="19" t="s">
        <v>33514</v>
      </c>
      <c r="F11571" s="19" t="s">
        <v>36012</v>
      </c>
      <c r="G11571" s="18" t="str">
        <f>"19104"</f>
        <v>19104</v>
      </c>
      <c r="H11571" s="19" t="s">
        <v>33514</v>
      </c>
      <c r="I11571" s="20">
        <v>19.896999999999998</v>
      </c>
      <c r="J11571" s="44" t="s">
        <v>8</v>
      </c>
      <c r="K11571" s="23" t="s">
        <v>8</v>
      </c>
      <c r="L11571" s="23" t="s">
        <v>8</v>
      </c>
      <c r="M11571" s="23" t="s">
        <v>8</v>
      </c>
    </row>
    <row r="11572" spans="1:13" s="21" customFormat="1" x14ac:dyDescent="0.25">
      <c r="A11572" s="22" t="s">
        <v>8</v>
      </c>
      <c r="B11572" s="18" t="str">
        <f>"395751"</f>
        <v>395751</v>
      </c>
      <c r="C11572" s="19" t="s">
        <v>7953</v>
      </c>
      <c r="D11572" s="19" t="s">
        <v>26979</v>
      </c>
      <c r="E11572" s="19" t="s">
        <v>32267</v>
      </c>
      <c r="F11572" s="19" t="s">
        <v>36012</v>
      </c>
      <c r="G11572" s="18" t="str">
        <f>"15074"</f>
        <v>15074</v>
      </c>
      <c r="H11572" s="19" t="s">
        <v>34742</v>
      </c>
      <c r="I11572" s="20">
        <v>18.175999999999998</v>
      </c>
      <c r="J11572" s="44" t="s">
        <v>8</v>
      </c>
      <c r="K11572" s="23" t="s">
        <v>8</v>
      </c>
      <c r="L11572" s="23" t="s">
        <v>8</v>
      </c>
      <c r="M11572" s="23" t="s">
        <v>8</v>
      </c>
    </row>
    <row r="11573" spans="1:13" s="21" customFormat="1" x14ac:dyDescent="0.25">
      <c r="A11573" s="22" t="s">
        <v>8</v>
      </c>
      <c r="B11573" s="18" t="str">
        <f>"395752"</f>
        <v>395752</v>
      </c>
      <c r="C11573" s="19" t="s">
        <v>11385</v>
      </c>
      <c r="D11573" s="19" t="s">
        <v>26980</v>
      </c>
      <c r="E11573" s="19" t="s">
        <v>34911</v>
      </c>
      <c r="F11573" s="19" t="s">
        <v>36012</v>
      </c>
      <c r="G11573" s="18" t="str">
        <f>"18064"</f>
        <v>18064</v>
      </c>
      <c r="H11573" s="19" t="s">
        <v>33038</v>
      </c>
      <c r="I11573" s="20">
        <v>17.288</v>
      </c>
      <c r="J11573" s="44" t="s">
        <v>8</v>
      </c>
      <c r="K11573" s="23" t="s">
        <v>8</v>
      </c>
      <c r="L11573" s="23" t="s">
        <v>8</v>
      </c>
      <c r="M11573" s="23" t="s">
        <v>8</v>
      </c>
    </row>
    <row r="11574" spans="1:13" s="21" customFormat="1" x14ac:dyDescent="0.25">
      <c r="A11574" s="22" t="s">
        <v>8</v>
      </c>
      <c r="B11574" s="18" t="str">
        <f>"395753"</f>
        <v>395753</v>
      </c>
      <c r="C11574" s="19" t="s">
        <v>11386</v>
      </c>
      <c r="D11574" s="19" t="s">
        <v>26981</v>
      </c>
      <c r="E11574" s="19" t="s">
        <v>34815</v>
      </c>
      <c r="F11574" s="19" t="s">
        <v>36012</v>
      </c>
      <c r="G11574" s="18" t="str">
        <f>"19010"</f>
        <v>19010</v>
      </c>
      <c r="H11574" s="19" t="s">
        <v>34462</v>
      </c>
      <c r="I11574" s="20">
        <v>18.888000000000002</v>
      </c>
      <c r="J11574" s="44" t="s">
        <v>8</v>
      </c>
      <c r="K11574" s="23" t="s">
        <v>8</v>
      </c>
      <c r="L11574" s="23" t="s">
        <v>8</v>
      </c>
      <c r="M11574" s="23" t="s">
        <v>8</v>
      </c>
    </row>
    <row r="11575" spans="1:13" s="21" customFormat="1" x14ac:dyDescent="0.25">
      <c r="A11575" s="22" t="s">
        <v>8</v>
      </c>
      <c r="B11575" s="18" t="str">
        <f>"395754"</f>
        <v>395754</v>
      </c>
      <c r="C11575" s="19" t="s">
        <v>11387</v>
      </c>
      <c r="D11575" s="19" t="s">
        <v>26982</v>
      </c>
      <c r="E11575" s="19" t="s">
        <v>31474</v>
      </c>
      <c r="F11575" s="19" t="s">
        <v>36012</v>
      </c>
      <c r="G11575" s="18" t="str">
        <f>"16146"</f>
        <v>16146</v>
      </c>
      <c r="H11575" s="19" t="s">
        <v>34991</v>
      </c>
      <c r="I11575" s="20">
        <v>21.436</v>
      </c>
      <c r="J11575" s="44" t="s">
        <v>8</v>
      </c>
      <c r="K11575" s="23" t="s">
        <v>8</v>
      </c>
      <c r="L11575" s="23" t="s">
        <v>8</v>
      </c>
      <c r="M11575" s="23" t="s">
        <v>8</v>
      </c>
    </row>
    <row r="11576" spans="1:13" s="21" customFormat="1" x14ac:dyDescent="0.25">
      <c r="A11576" s="22" t="s">
        <v>8</v>
      </c>
      <c r="B11576" s="18" t="str">
        <f>"395756"</f>
        <v>395756</v>
      </c>
      <c r="C11576" s="19" t="s">
        <v>11388</v>
      </c>
      <c r="D11576" s="19" t="s">
        <v>26983</v>
      </c>
      <c r="E11576" s="19" t="s">
        <v>34965</v>
      </c>
      <c r="F11576" s="19" t="s">
        <v>36012</v>
      </c>
      <c r="G11576" s="18" t="str">
        <f>"16801"</f>
        <v>16801</v>
      </c>
      <c r="H11576" s="19" t="s">
        <v>30801</v>
      </c>
      <c r="I11576" s="20">
        <v>18.655000000000001</v>
      </c>
      <c r="J11576" s="44" t="s">
        <v>8</v>
      </c>
      <c r="K11576" s="23" t="s">
        <v>8</v>
      </c>
      <c r="L11576" s="23" t="s">
        <v>8</v>
      </c>
      <c r="M11576" s="23" t="s">
        <v>8</v>
      </c>
    </row>
    <row r="11577" spans="1:13" s="21" customFormat="1" x14ac:dyDescent="0.25">
      <c r="A11577" s="22" t="s">
        <v>8</v>
      </c>
      <c r="B11577" s="18" t="str">
        <f>"395757"</f>
        <v>395757</v>
      </c>
      <c r="C11577" s="19" t="s">
        <v>11389</v>
      </c>
      <c r="D11577" s="19" t="s">
        <v>26984</v>
      </c>
      <c r="E11577" s="19" t="s">
        <v>34928</v>
      </c>
      <c r="F11577" s="19" t="s">
        <v>36012</v>
      </c>
      <c r="G11577" s="18" t="str">
        <f>"19038"</f>
        <v>19038</v>
      </c>
      <c r="H11577" s="19" t="s">
        <v>30833</v>
      </c>
      <c r="I11577" s="20">
        <v>18.344999999999999</v>
      </c>
      <c r="J11577" s="44" t="s">
        <v>8</v>
      </c>
      <c r="K11577" s="23" t="s">
        <v>8</v>
      </c>
      <c r="L11577" s="23" t="s">
        <v>8</v>
      </c>
      <c r="M11577" s="23" t="s">
        <v>8</v>
      </c>
    </row>
    <row r="11578" spans="1:13" s="21" customFormat="1" x14ac:dyDescent="0.25">
      <c r="A11578" s="22" t="s">
        <v>8</v>
      </c>
      <c r="B11578" s="18" t="str">
        <f>"395758"</f>
        <v>395758</v>
      </c>
      <c r="C11578" s="19" t="s">
        <v>11390</v>
      </c>
      <c r="D11578" s="19" t="s">
        <v>26985</v>
      </c>
      <c r="E11578" s="19" t="s">
        <v>33473</v>
      </c>
      <c r="F11578" s="19" t="s">
        <v>36012</v>
      </c>
      <c r="G11578" s="18" t="str">
        <f>"16037"</f>
        <v>16037</v>
      </c>
      <c r="H11578" s="19" t="s">
        <v>30876</v>
      </c>
      <c r="I11578" s="20">
        <v>20.724</v>
      </c>
      <c r="J11578" s="44" t="s">
        <v>8</v>
      </c>
      <c r="K11578" s="23" t="s">
        <v>8</v>
      </c>
      <c r="L11578" s="23" t="s">
        <v>8</v>
      </c>
      <c r="M11578" s="23" t="s">
        <v>8</v>
      </c>
    </row>
    <row r="11579" spans="1:13" s="21" customFormat="1" x14ac:dyDescent="0.25">
      <c r="A11579" s="22" t="s">
        <v>8</v>
      </c>
      <c r="B11579" s="18" t="str">
        <f>"395760"</f>
        <v>395760</v>
      </c>
      <c r="C11579" s="19" t="s">
        <v>11391</v>
      </c>
      <c r="D11579" s="19" t="s">
        <v>26986</v>
      </c>
      <c r="E11579" s="19" t="s">
        <v>34799</v>
      </c>
      <c r="F11579" s="19" t="s">
        <v>36012</v>
      </c>
      <c r="G11579" s="18" t="str">
        <f>"18103"</f>
        <v>18103</v>
      </c>
      <c r="H11579" s="19" t="s">
        <v>36731</v>
      </c>
      <c r="I11579" s="20">
        <v>17.411999999999999</v>
      </c>
      <c r="J11579" s="44" t="s">
        <v>8</v>
      </c>
      <c r="K11579" s="23" t="s">
        <v>8</v>
      </c>
      <c r="L11579" s="23" t="s">
        <v>8</v>
      </c>
      <c r="M11579" s="23" t="s">
        <v>8</v>
      </c>
    </row>
    <row r="11580" spans="1:13" s="21" customFormat="1" x14ac:dyDescent="0.25">
      <c r="A11580" s="22" t="s">
        <v>8</v>
      </c>
      <c r="B11580" s="18" t="str">
        <f>"395762"</f>
        <v>395762</v>
      </c>
      <c r="C11580" s="19" t="s">
        <v>11392</v>
      </c>
      <c r="D11580" s="19" t="s">
        <v>26987</v>
      </c>
      <c r="E11580" s="19" t="s">
        <v>34845</v>
      </c>
      <c r="F11580" s="19" t="s">
        <v>36012</v>
      </c>
      <c r="G11580" s="18" t="str">
        <f>"19446"</f>
        <v>19446</v>
      </c>
      <c r="H11580" s="19" t="s">
        <v>30833</v>
      </c>
      <c r="I11580" s="20">
        <v>18.567</v>
      </c>
      <c r="J11580" s="44" t="s">
        <v>8</v>
      </c>
      <c r="K11580" s="23" t="s">
        <v>8</v>
      </c>
      <c r="L11580" s="23" t="s">
        <v>8</v>
      </c>
      <c r="M11580" s="23" t="s">
        <v>8</v>
      </c>
    </row>
    <row r="11581" spans="1:13" s="21" customFormat="1" x14ac:dyDescent="0.25">
      <c r="A11581" s="22" t="s">
        <v>8</v>
      </c>
      <c r="B11581" s="18" t="str">
        <f>"395763"</f>
        <v>395763</v>
      </c>
      <c r="C11581" s="19" t="s">
        <v>11393</v>
      </c>
      <c r="D11581" s="19" t="s">
        <v>26988</v>
      </c>
      <c r="E11581" s="19" t="s">
        <v>33198</v>
      </c>
      <c r="F11581" s="19" t="s">
        <v>36012</v>
      </c>
      <c r="G11581" s="18" t="str">
        <f>"18052"</f>
        <v>18052</v>
      </c>
      <c r="H11581" s="19" t="s">
        <v>36731</v>
      </c>
      <c r="I11581" s="20">
        <v>16.059000000000001</v>
      </c>
      <c r="J11581" s="44" t="s">
        <v>8</v>
      </c>
      <c r="K11581" s="23" t="s">
        <v>8</v>
      </c>
      <c r="L11581" s="23" t="s">
        <v>8</v>
      </c>
      <c r="M11581" s="23" t="s">
        <v>8</v>
      </c>
    </row>
    <row r="11582" spans="1:13" s="21" customFormat="1" x14ac:dyDescent="0.25">
      <c r="A11582" s="22" t="s">
        <v>8</v>
      </c>
      <c r="B11582" s="18" t="str">
        <f>"395764"</f>
        <v>395764</v>
      </c>
      <c r="C11582" s="19" t="s">
        <v>11394</v>
      </c>
      <c r="D11582" s="19" t="s">
        <v>26989</v>
      </c>
      <c r="E11582" s="19" t="s">
        <v>33514</v>
      </c>
      <c r="F11582" s="19" t="s">
        <v>36012</v>
      </c>
      <c r="G11582" s="18" t="str">
        <f>"19150"</f>
        <v>19150</v>
      </c>
      <c r="H11582" s="19" t="s">
        <v>33514</v>
      </c>
      <c r="I11582" s="20">
        <v>21.265999999999998</v>
      </c>
      <c r="J11582" s="44" t="s">
        <v>8</v>
      </c>
      <c r="K11582" s="23" t="s">
        <v>8</v>
      </c>
      <c r="L11582" s="23" t="s">
        <v>8</v>
      </c>
      <c r="M11582" s="23" t="s">
        <v>8</v>
      </c>
    </row>
    <row r="11583" spans="1:13" s="21" customFormat="1" x14ac:dyDescent="0.25">
      <c r="A11583" s="22" t="s">
        <v>8</v>
      </c>
      <c r="B11583" s="18" t="str">
        <f>"395765"</f>
        <v>395765</v>
      </c>
      <c r="C11583" s="19" t="s">
        <v>11395</v>
      </c>
      <c r="D11583" s="19" t="s">
        <v>26990</v>
      </c>
      <c r="E11583" s="19" t="s">
        <v>34801</v>
      </c>
      <c r="F11583" s="19" t="s">
        <v>36012</v>
      </c>
      <c r="G11583" s="18" t="str">
        <f>"15220"</f>
        <v>15220</v>
      </c>
      <c r="H11583" s="19" t="s">
        <v>36730</v>
      </c>
      <c r="I11583" s="20">
        <v>20.001999999999999</v>
      </c>
      <c r="J11583" s="44" t="s">
        <v>8</v>
      </c>
      <c r="K11583" s="23" t="s">
        <v>8</v>
      </c>
      <c r="L11583" s="23" t="s">
        <v>8</v>
      </c>
      <c r="M11583" s="23" t="s">
        <v>8</v>
      </c>
    </row>
    <row r="11584" spans="1:13" s="21" customFormat="1" x14ac:dyDescent="0.25">
      <c r="A11584" s="22" t="s">
        <v>8</v>
      </c>
      <c r="B11584" s="18" t="str">
        <f>"395767"</f>
        <v>395767</v>
      </c>
      <c r="C11584" s="19" t="s">
        <v>11396</v>
      </c>
      <c r="D11584" s="19" t="s">
        <v>26991</v>
      </c>
      <c r="E11584" s="19" t="s">
        <v>32298</v>
      </c>
      <c r="F11584" s="19" t="s">
        <v>36012</v>
      </c>
      <c r="G11584" s="18" t="str">
        <f>"17701"</f>
        <v>17701</v>
      </c>
      <c r="H11584" s="19" t="s">
        <v>36739</v>
      </c>
      <c r="I11584" s="20">
        <v>19.341999999999999</v>
      </c>
      <c r="J11584" s="44" t="s">
        <v>8</v>
      </c>
      <c r="K11584" s="23" t="s">
        <v>8</v>
      </c>
      <c r="L11584" s="23" t="s">
        <v>8</v>
      </c>
      <c r="M11584" s="23" t="s">
        <v>8</v>
      </c>
    </row>
    <row r="11585" spans="1:13" s="21" customFormat="1" x14ac:dyDescent="0.25">
      <c r="A11585" s="22" t="s">
        <v>8</v>
      </c>
      <c r="B11585" s="18" t="str">
        <f>"395768"</f>
        <v>395768</v>
      </c>
      <c r="C11585" s="19" t="s">
        <v>3581</v>
      </c>
      <c r="D11585" s="19" t="s">
        <v>26992</v>
      </c>
      <c r="E11585" s="19" t="s">
        <v>33002</v>
      </c>
      <c r="F11585" s="19" t="s">
        <v>36012</v>
      </c>
      <c r="G11585" s="18" t="str">
        <f>"19490"</f>
        <v>19490</v>
      </c>
      <c r="H11585" s="19" t="s">
        <v>30833</v>
      </c>
      <c r="I11585" s="20">
        <v>19.329999999999998</v>
      </c>
      <c r="J11585" s="44" t="s">
        <v>8</v>
      </c>
      <c r="K11585" s="23" t="s">
        <v>8</v>
      </c>
      <c r="L11585" s="23" t="s">
        <v>8</v>
      </c>
      <c r="M11585" s="23" t="s">
        <v>8</v>
      </c>
    </row>
    <row r="11586" spans="1:13" s="21" customFormat="1" x14ac:dyDescent="0.25">
      <c r="A11586" s="22" t="s">
        <v>8</v>
      </c>
      <c r="B11586" s="18" t="str">
        <f>"395770"</f>
        <v>395770</v>
      </c>
      <c r="C11586" s="19" t="s">
        <v>11397</v>
      </c>
      <c r="D11586" s="19" t="s">
        <v>26993</v>
      </c>
      <c r="E11586" s="19" t="s">
        <v>32035</v>
      </c>
      <c r="F11586" s="19" t="s">
        <v>36012</v>
      </c>
      <c r="G11586" s="18" t="str">
        <f>"17042"</f>
        <v>17042</v>
      </c>
      <c r="H11586" s="19" t="s">
        <v>32035</v>
      </c>
      <c r="I11586" s="20">
        <v>18.568000000000001</v>
      </c>
      <c r="J11586" s="44" t="s">
        <v>8</v>
      </c>
      <c r="K11586" s="23" t="s">
        <v>8</v>
      </c>
      <c r="L11586" s="23" t="s">
        <v>8</v>
      </c>
      <c r="M11586" s="23" t="s">
        <v>8</v>
      </c>
    </row>
    <row r="11587" spans="1:13" s="21" customFormat="1" x14ac:dyDescent="0.25">
      <c r="A11587" s="22" t="s">
        <v>8</v>
      </c>
      <c r="B11587" s="18" t="str">
        <f>"395771"</f>
        <v>395771</v>
      </c>
      <c r="C11587" s="19" t="s">
        <v>11398</v>
      </c>
      <c r="D11587" s="19" t="s">
        <v>26994</v>
      </c>
      <c r="E11587" s="19" t="s">
        <v>34966</v>
      </c>
      <c r="F11587" s="19" t="s">
        <v>36012</v>
      </c>
      <c r="G11587" s="18" t="str">
        <f>"17584"</f>
        <v>17584</v>
      </c>
      <c r="H11587" s="19" t="s">
        <v>31184</v>
      </c>
      <c r="I11587" s="20">
        <v>18.003</v>
      </c>
      <c r="J11587" s="44" t="s">
        <v>8</v>
      </c>
      <c r="K11587" s="23" t="s">
        <v>8</v>
      </c>
      <c r="L11587" s="23" t="s">
        <v>8</v>
      </c>
      <c r="M11587" s="23" t="s">
        <v>8</v>
      </c>
    </row>
    <row r="11588" spans="1:13" s="21" customFormat="1" x14ac:dyDescent="0.25">
      <c r="A11588" s="22" t="s">
        <v>8</v>
      </c>
      <c r="B11588" s="18" t="str">
        <f>"395773"</f>
        <v>395773</v>
      </c>
      <c r="C11588" s="19" t="s">
        <v>7717</v>
      </c>
      <c r="D11588" s="19" t="s">
        <v>26995</v>
      </c>
      <c r="E11588" s="19" t="s">
        <v>34801</v>
      </c>
      <c r="F11588" s="19" t="s">
        <v>36012</v>
      </c>
      <c r="G11588" s="18" t="str">
        <f>"15206"</f>
        <v>15206</v>
      </c>
      <c r="H11588" s="19" t="s">
        <v>36730</v>
      </c>
      <c r="I11588" s="20">
        <v>19.260999999999999</v>
      </c>
      <c r="J11588" s="44" t="s">
        <v>8</v>
      </c>
      <c r="K11588" s="23" t="s">
        <v>8</v>
      </c>
      <c r="L11588" s="23" t="s">
        <v>8</v>
      </c>
      <c r="M11588" s="23" t="s">
        <v>8</v>
      </c>
    </row>
    <row r="11589" spans="1:13" s="21" customFormat="1" x14ac:dyDescent="0.25">
      <c r="A11589" s="22" t="s">
        <v>8</v>
      </c>
      <c r="B11589" s="18" t="str">
        <f>"395774"</f>
        <v>395774</v>
      </c>
      <c r="C11589" s="19" t="s">
        <v>11399</v>
      </c>
      <c r="D11589" s="19" t="s">
        <v>26996</v>
      </c>
      <c r="E11589" s="19" t="s">
        <v>31184</v>
      </c>
      <c r="F11589" s="19" t="s">
        <v>36012</v>
      </c>
      <c r="G11589" s="18" t="str">
        <f>"17602"</f>
        <v>17602</v>
      </c>
      <c r="H11589" s="19" t="s">
        <v>31184</v>
      </c>
      <c r="I11589" s="20">
        <v>14.728</v>
      </c>
      <c r="J11589" s="44" t="s">
        <v>8</v>
      </c>
      <c r="K11589" s="23" t="s">
        <v>8</v>
      </c>
      <c r="L11589" s="23" t="s">
        <v>8</v>
      </c>
      <c r="M11589" s="23" t="s">
        <v>8</v>
      </c>
    </row>
    <row r="11590" spans="1:13" s="21" customFormat="1" x14ac:dyDescent="0.25">
      <c r="A11590" s="22" t="s">
        <v>8</v>
      </c>
      <c r="B11590" s="18" t="str">
        <f>"395775"</f>
        <v>395775</v>
      </c>
      <c r="C11590" s="19" t="s">
        <v>11400</v>
      </c>
      <c r="D11590" s="19" t="s">
        <v>26997</v>
      </c>
      <c r="E11590" s="19" t="s">
        <v>34967</v>
      </c>
      <c r="F11590" s="19" t="s">
        <v>36012</v>
      </c>
      <c r="G11590" s="18" t="str">
        <f>"16749"</f>
        <v>16749</v>
      </c>
      <c r="H11590" s="19" t="s">
        <v>36727</v>
      </c>
      <c r="I11590" s="20">
        <v>16.93</v>
      </c>
      <c r="J11590" s="44" t="s">
        <v>8</v>
      </c>
      <c r="K11590" s="23" t="s">
        <v>8</v>
      </c>
      <c r="L11590" s="23" t="s">
        <v>8</v>
      </c>
      <c r="M11590" s="23" t="s">
        <v>8</v>
      </c>
    </row>
    <row r="11591" spans="1:13" s="21" customFormat="1" x14ac:dyDescent="0.25">
      <c r="A11591" s="22" t="s">
        <v>8</v>
      </c>
      <c r="B11591" s="18" t="str">
        <f>"395777"</f>
        <v>395777</v>
      </c>
      <c r="C11591" s="19" t="s">
        <v>11401</v>
      </c>
      <c r="D11591" s="19" t="s">
        <v>26998</v>
      </c>
      <c r="E11591" s="19" t="s">
        <v>5</v>
      </c>
      <c r="F11591" s="19" t="s">
        <v>36012</v>
      </c>
      <c r="G11591" s="18" t="str">
        <f>"16323"</f>
        <v>16323</v>
      </c>
      <c r="H11591" s="19" t="s">
        <v>36740</v>
      </c>
      <c r="I11591" s="20">
        <v>19.216000000000001</v>
      </c>
      <c r="J11591" s="44" t="s">
        <v>8</v>
      </c>
      <c r="K11591" s="23" t="s">
        <v>8</v>
      </c>
      <c r="L11591" s="23" t="s">
        <v>8</v>
      </c>
      <c r="M11591" s="23" t="s">
        <v>8</v>
      </c>
    </row>
    <row r="11592" spans="1:13" s="21" customFormat="1" x14ac:dyDescent="0.25">
      <c r="A11592" s="22" t="s">
        <v>8</v>
      </c>
      <c r="B11592" s="18" t="str">
        <f>"395778"</f>
        <v>395778</v>
      </c>
      <c r="C11592" s="19" t="s">
        <v>11402</v>
      </c>
      <c r="D11592" s="19" t="s">
        <v>26999</v>
      </c>
      <c r="E11592" s="19" t="s">
        <v>34863</v>
      </c>
      <c r="F11592" s="19" t="s">
        <v>36012</v>
      </c>
      <c r="G11592" s="18" t="str">
        <f>"15701"</f>
        <v>15701</v>
      </c>
      <c r="H11592" s="19" t="s">
        <v>34863</v>
      </c>
      <c r="I11592" s="20">
        <v>18.846</v>
      </c>
      <c r="J11592" s="44" t="s">
        <v>8</v>
      </c>
      <c r="K11592" s="23" t="s">
        <v>8</v>
      </c>
      <c r="L11592" s="23" t="s">
        <v>8</v>
      </c>
      <c r="M11592" s="23" t="s">
        <v>8</v>
      </c>
    </row>
    <row r="11593" spans="1:13" s="21" customFormat="1" x14ac:dyDescent="0.25">
      <c r="A11593" s="22" t="s">
        <v>8</v>
      </c>
      <c r="B11593" s="18" t="str">
        <f>"395779"</f>
        <v>395779</v>
      </c>
      <c r="C11593" s="19" t="s">
        <v>11403</v>
      </c>
      <c r="D11593" s="19" t="s">
        <v>27000</v>
      </c>
      <c r="E11593" s="19" t="s">
        <v>34968</v>
      </c>
      <c r="F11593" s="19" t="s">
        <v>36012</v>
      </c>
      <c r="G11593" s="18" t="str">
        <f>"16823"</f>
        <v>16823</v>
      </c>
      <c r="H11593" s="19" t="s">
        <v>30801</v>
      </c>
      <c r="I11593" s="20">
        <v>16.803000000000001</v>
      </c>
      <c r="J11593" s="44" t="s">
        <v>8</v>
      </c>
      <c r="K11593" s="23" t="s">
        <v>8</v>
      </c>
      <c r="L11593" s="23" t="s">
        <v>8</v>
      </c>
      <c r="M11593" s="23" t="s">
        <v>8</v>
      </c>
    </row>
    <row r="11594" spans="1:13" s="21" customFormat="1" x14ac:dyDescent="0.25">
      <c r="A11594" s="22" t="s">
        <v>8</v>
      </c>
      <c r="B11594" s="18" t="str">
        <f>"395780"</f>
        <v>395780</v>
      </c>
      <c r="C11594" s="19" t="s">
        <v>11404</v>
      </c>
      <c r="D11594" s="19" t="s">
        <v>27001</v>
      </c>
      <c r="E11594" s="19" t="s">
        <v>34426</v>
      </c>
      <c r="F11594" s="19" t="s">
        <v>36012</v>
      </c>
      <c r="G11594" s="18" t="str">
        <f>"19037"</f>
        <v>19037</v>
      </c>
      <c r="H11594" s="19" t="s">
        <v>34462</v>
      </c>
      <c r="I11594" s="20">
        <v>18.940000000000001</v>
      </c>
      <c r="J11594" s="44" t="s">
        <v>8</v>
      </c>
      <c r="K11594" s="23" t="s">
        <v>8</v>
      </c>
      <c r="L11594" s="23" t="s">
        <v>8</v>
      </c>
      <c r="M11594" s="23" t="s">
        <v>8</v>
      </c>
    </row>
    <row r="11595" spans="1:13" s="21" customFormat="1" x14ac:dyDescent="0.25">
      <c r="A11595" s="22" t="s">
        <v>8</v>
      </c>
      <c r="B11595" s="18" t="str">
        <f>"395782"</f>
        <v>395782</v>
      </c>
      <c r="C11595" s="19" t="s">
        <v>11405</v>
      </c>
      <c r="D11595" s="19" t="s">
        <v>27002</v>
      </c>
      <c r="E11595" s="19" t="s">
        <v>33514</v>
      </c>
      <c r="F11595" s="19" t="s">
        <v>36012</v>
      </c>
      <c r="G11595" s="18" t="str">
        <f>"19118"</f>
        <v>19118</v>
      </c>
      <c r="H11595" s="19" t="s">
        <v>33514</v>
      </c>
      <c r="I11595" s="20">
        <v>21.056000000000001</v>
      </c>
      <c r="J11595" s="44" t="s">
        <v>8</v>
      </c>
      <c r="K11595" s="23" t="s">
        <v>8</v>
      </c>
      <c r="L11595" s="23" t="s">
        <v>8</v>
      </c>
      <c r="M11595" s="23" t="s">
        <v>8</v>
      </c>
    </row>
    <row r="11596" spans="1:13" s="21" customFormat="1" x14ac:dyDescent="0.25">
      <c r="A11596" s="22" t="s">
        <v>8</v>
      </c>
      <c r="B11596" s="18" t="str">
        <f>"395783"</f>
        <v>395783</v>
      </c>
      <c r="C11596" s="19" t="s">
        <v>11406</v>
      </c>
      <c r="D11596" s="19" t="s">
        <v>27003</v>
      </c>
      <c r="E11596" s="19" t="s">
        <v>34804</v>
      </c>
      <c r="F11596" s="19" t="s">
        <v>36012</v>
      </c>
      <c r="G11596" s="18" t="str">
        <f>"15317"</f>
        <v>15317</v>
      </c>
      <c r="H11596" s="19" t="s">
        <v>31500</v>
      </c>
      <c r="I11596" s="20">
        <v>22.503</v>
      </c>
      <c r="J11596" s="44" t="s">
        <v>8</v>
      </c>
      <c r="K11596" s="23" t="s">
        <v>8</v>
      </c>
      <c r="L11596" s="23" t="s">
        <v>8</v>
      </c>
      <c r="M11596" s="23" t="s">
        <v>8</v>
      </c>
    </row>
    <row r="11597" spans="1:13" s="21" customFormat="1" x14ac:dyDescent="0.25">
      <c r="A11597" s="22" t="s">
        <v>8</v>
      </c>
      <c r="B11597" s="18" t="str">
        <f>"395784"</f>
        <v>395784</v>
      </c>
      <c r="C11597" s="19" t="s">
        <v>11407</v>
      </c>
      <c r="D11597" s="19" t="s">
        <v>27004</v>
      </c>
      <c r="E11597" s="19" t="s">
        <v>31056</v>
      </c>
      <c r="F11597" s="19" t="s">
        <v>36012</v>
      </c>
      <c r="G11597" s="18" t="str">
        <f>"17013"</f>
        <v>17013</v>
      </c>
      <c r="H11597" s="19" t="s">
        <v>32766</v>
      </c>
      <c r="I11597" s="20">
        <v>15.488</v>
      </c>
      <c r="J11597" s="44" t="s">
        <v>8</v>
      </c>
      <c r="K11597" s="23" t="s">
        <v>8</v>
      </c>
      <c r="L11597" s="23" t="s">
        <v>8</v>
      </c>
      <c r="M11597" s="23" t="s">
        <v>8</v>
      </c>
    </row>
    <row r="11598" spans="1:13" s="21" customFormat="1" x14ac:dyDescent="0.25">
      <c r="A11598" s="22" t="s">
        <v>8</v>
      </c>
      <c r="B11598" s="18" t="str">
        <f>"395785"</f>
        <v>395785</v>
      </c>
      <c r="C11598" s="19" t="s">
        <v>11408</v>
      </c>
      <c r="D11598" s="19" t="s">
        <v>27005</v>
      </c>
      <c r="E11598" s="19" t="s">
        <v>34969</v>
      </c>
      <c r="F11598" s="19" t="s">
        <v>36012</v>
      </c>
      <c r="G11598" s="18" t="str">
        <f>"17020"</f>
        <v>17020</v>
      </c>
      <c r="H11598" s="19" t="s">
        <v>31503</v>
      </c>
      <c r="I11598" s="20">
        <v>20.922000000000001</v>
      </c>
      <c r="J11598" s="44" t="s">
        <v>8</v>
      </c>
      <c r="K11598" s="23" t="s">
        <v>8</v>
      </c>
      <c r="L11598" s="23" t="s">
        <v>8</v>
      </c>
      <c r="M11598" s="23" t="s">
        <v>8</v>
      </c>
    </row>
    <row r="11599" spans="1:13" s="21" customFormat="1" x14ac:dyDescent="0.25">
      <c r="A11599" s="22" t="s">
        <v>8</v>
      </c>
      <c r="B11599" s="18" t="str">
        <f>"395786"</f>
        <v>395786</v>
      </c>
      <c r="C11599" s="19" t="s">
        <v>11409</v>
      </c>
      <c r="D11599" s="19" t="s">
        <v>27006</v>
      </c>
      <c r="E11599" s="19" t="s">
        <v>34970</v>
      </c>
      <c r="F11599" s="19" t="s">
        <v>36012</v>
      </c>
      <c r="G11599" s="18" t="str">
        <f>"17545"</f>
        <v>17545</v>
      </c>
      <c r="H11599" s="19" t="s">
        <v>31184</v>
      </c>
      <c r="I11599" s="20">
        <v>14.737</v>
      </c>
      <c r="J11599" s="44" t="s">
        <v>8</v>
      </c>
      <c r="K11599" s="23" t="s">
        <v>8</v>
      </c>
      <c r="L11599" s="23" t="s">
        <v>8</v>
      </c>
      <c r="M11599" s="23" t="s">
        <v>8</v>
      </c>
    </row>
    <row r="11600" spans="1:13" s="21" customFormat="1" x14ac:dyDescent="0.25">
      <c r="A11600" s="22" t="s">
        <v>8</v>
      </c>
      <c r="B11600" s="18" t="str">
        <f>"395787"</f>
        <v>395787</v>
      </c>
      <c r="C11600" s="19" t="s">
        <v>11410</v>
      </c>
      <c r="D11600" s="19" t="s">
        <v>27007</v>
      </c>
      <c r="E11600" s="19" t="s">
        <v>31931</v>
      </c>
      <c r="F11600" s="19" t="s">
        <v>36012</v>
      </c>
      <c r="G11600" s="18" t="str">
        <f>"17004"</f>
        <v>17004</v>
      </c>
      <c r="H11600" s="19" t="s">
        <v>34876</v>
      </c>
      <c r="I11600" s="20">
        <v>18.576000000000001</v>
      </c>
      <c r="J11600" s="44" t="s">
        <v>8</v>
      </c>
      <c r="K11600" s="23" t="s">
        <v>8</v>
      </c>
      <c r="L11600" s="23" t="s">
        <v>8</v>
      </c>
      <c r="M11600" s="23" t="s">
        <v>8</v>
      </c>
    </row>
    <row r="11601" spans="1:13" s="21" customFormat="1" x14ac:dyDescent="0.25">
      <c r="A11601" s="22" t="s">
        <v>8</v>
      </c>
      <c r="B11601" s="18" t="str">
        <f>"395788"</f>
        <v>395788</v>
      </c>
      <c r="C11601" s="19" t="s">
        <v>11411</v>
      </c>
      <c r="D11601" s="19" t="s">
        <v>27008</v>
      </c>
      <c r="E11601" s="19" t="s">
        <v>30876</v>
      </c>
      <c r="F11601" s="19" t="s">
        <v>36012</v>
      </c>
      <c r="G11601" s="18" t="str">
        <f>"16001"</f>
        <v>16001</v>
      </c>
      <c r="H11601" s="19" t="s">
        <v>30876</v>
      </c>
      <c r="I11601" s="20">
        <v>16.114999999999998</v>
      </c>
      <c r="J11601" s="44" t="s">
        <v>8</v>
      </c>
      <c r="K11601" s="23" t="s">
        <v>8</v>
      </c>
      <c r="L11601" s="23" t="s">
        <v>8</v>
      </c>
      <c r="M11601" s="23" t="s">
        <v>8</v>
      </c>
    </row>
    <row r="11602" spans="1:13" s="21" customFormat="1" x14ac:dyDescent="0.25">
      <c r="A11602" s="22" t="s">
        <v>8</v>
      </c>
      <c r="B11602" s="18" t="str">
        <f>"395790"</f>
        <v>395790</v>
      </c>
      <c r="C11602" s="19" t="s">
        <v>11412</v>
      </c>
      <c r="D11602" s="19" t="s">
        <v>27009</v>
      </c>
      <c r="E11602" s="19" t="s">
        <v>34971</v>
      </c>
      <c r="F11602" s="19" t="s">
        <v>36012</v>
      </c>
      <c r="G11602" s="18" t="str">
        <f>"15147"</f>
        <v>15147</v>
      </c>
      <c r="H11602" s="19" t="s">
        <v>36730</v>
      </c>
      <c r="I11602" s="20">
        <v>19.591999999999999</v>
      </c>
      <c r="J11602" s="44" t="s">
        <v>8</v>
      </c>
      <c r="K11602" s="23" t="s">
        <v>8</v>
      </c>
      <c r="L11602" s="23" t="s">
        <v>8</v>
      </c>
      <c r="M11602" s="23" t="s">
        <v>8</v>
      </c>
    </row>
    <row r="11603" spans="1:13" s="21" customFormat="1" x14ac:dyDescent="0.25">
      <c r="A11603" s="22" t="s">
        <v>8</v>
      </c>
      <c r="B11603" s="18" t="str">
        <f>"395791"</f>
        <v>395791</v>
      </c>
      <c r="C11603" s="19" t="s">
        <v>11413</v>
      </c>
      <c r="D11603" s="19" t="s">
        <v>27010</v>
      </c>
      <c r="E11603" s="19" t="s">
        <v>34851</v>
      </c>
      <c r="F11603" s="19" t="s">
        <v>36012</v>
      </c>
      <c r="G11603" s="18" t="str">
        <f>"19031"</f>
        <v>19031</v>
      </c>
      <c r="H11603" s="19" t="s">
        <v>30833</v>
      </c>
      <c r="I11603" s="20">
        <v>19.558</v>
      </c>
      <c r="J11603" s="44" t="s">
        <v>8</v>
      </c>
      <c r="K11603" s="23" t="s">
        <v>8</v>
      </c>
      <c r="L11603" s="23" t="s">
        <v>8</v>
      </c>
      <c r="M11603" s="23" t="s">
        <v>8</v>
      </c>
    </row>
    <row r="11604" spans="1:13" s="21" customFormat="1" x14ac:dyDescent="0.25">
      <c r="A11604" s="22" t="s">
        <v>8</v>
      </c>
      <c r="B11604" s="18" t="str">
        <f>"395793"</f>
        <v>395793</v>
      </c>
      <c r="C11604" s="19" t="s">
        <v>11414</v>
      </c>
      <c r="D11604" s="19" t="s">
        <v>27011</v>
      </c>
      <c r="E11604" s="19" t="s">
        <v>34416</v>
      </c>
      <c r="F11604" s="19" t="s">
        <v>36012</v>
      </c>
      <c r="G11604" s="18" t="str">
        <f>"16127"</f>
        <v>16127</v>
      </c>
      <c r="H11604" s="19" t="s">
        <v>34991</v>
      </c>
      <c r="I11604" s="20">
        <v>18.349</v>
      </c>
      <c r="J11604" s="44" t="s">
        <v>8</v>
      </c>
      <c r="K11604" s="23" t="s">
        <v>8</v>
      </c>
      <c r="L11604" s="23" t="s">
        <v>8</v>
      </c>
      <c r="M11604" s="23" t="s">
        <v>8</v>
      </c>
    </row>
    <row r="11605" spans="1:13" s="21" customFormat="1" x14ac:dyDescent="0.25">
      <c r="A11605" s="22" t="s">
        <v>8</v>
      </c>
      <c r="B11605" s="18" t="str">
        <f>"395794"</f>
        <v>395794</v>
      </c>
      <c r="C11605" s="19" t="s">
        <v>11415</v>
      </c>
      <c r="D11605" s="19" t="s">
        <v>27012</v>
      </c>
      <c r="E11605" s="19" t="s">
        <v>33611</v>
      </c>
      <c r="F11605" s="19" t="s">
        <v>36012</v>
      </c>
      <c r="G11605" s="18" t="str">
        <f>"16148"</f>
        <v>16148</v>
      </c>
      <c r="H11605" s="19" t="s">
        <v>34991</v>
      </c>
      <c r="I11605" s="20">
        <v>17.856999999999999</v>
      </c>
      <c r="J11605" s="44" t="s">
        <v>8</v>
      </c>
      <c r="K11605" s="23" t="s">
        <v>8</v>
      </c>
      <c r="L11605" s="23" t="s">
        <v>8</v>
      </c>
      <c r="M11605" s="23" t="s">
        <v>8</v>
      </c>
    </row>
    <row r="11606" spans="1:13" s="21" customFormat="1" x14ac:dyDescent="0.25">
      <c r="A11606" s="22" t="s">
        <v>8</v>
      </c>
      <c r="B11606" s="18" t="str">
        <f>"395795"</f>
        <v>395795</v>
      </c>
      <c r="C11606" s="19" t="s">
        <v>11416</v>
      </c>
      <c r="D11606" s="19" t="s">
        <v>27013</v>
      </c>
      <c r="E11606" s="19" t="s">
        <v>34841</v>
      </c>
      <c r="F11606" s="19" t="s">
        <v>36012</v>
      </c>
      <c r="G11606" s="18" t="str">
        <f>"15401"</f>
        <v>15401</v>
      </c>
      <c r="H11606" s="19" t="s">
        <v>30805</v>
      </c>
      <c r="I11606" s="20">
        <v>18.37</v>
      </c>
      <c r="J11606" s="44" t="s">
        <v>8</v>
      </c>
      <c r="K11606" s="23" t="s">
        <v>8</v>
      </c>
      <c r="L11606" s="23" t="s">
        <v>8</v>
      </c>
      <c r="M11606" s="23" t="s">
        <v>8</v>
      </c>
    </row>
    <row r="11607" spans="1:13" s="21" customFormat="1" x14ac:dyDescent="0.25">
      <c r="A11607" s="22" t="s">
        <v>8</v>
      </c>
      <c r="B11607" s="18" t="str">
        <f>"395796"</f>
        <v>395796</v>
      </c>
      <c r="C11607" s="19" t="s">
        <v>11417</v>
      </c>
      <c r="D11607" s="19" t="s">
        <v>27014</v>
      </c>
      <c r="E11607" s="19" t="s">
        <v>34972</v>
      </c>
      <c r="F11607" s="19" t="s">
        <v>36012</v>
      </c>
      <c r="G11607" s="18" t="str">
        <f>"18936"</f>
        <v>18936</v>
      </c>
      <c r="H11607" s="19" t="s">
        <v>30833</v>
      </c>
      <c r="I11607" s="20">
        <v>16.347000000000001</v>
      </c>
      <c r="J11607" s="44" t="s">
        <v>8</v>
      </c>
      <c r="K11607" s="23" t="s">
        <v>8</v>
      </c>
      <c r="L11607" s="23" t="s">
        <v>8</v>
      </c>
      <c r="M11607" s="23" t="s">
        <v>8</v>
      </c>
    </row>
    <row r="11608" spans="1:13" s="21" customFormat="1" x14ac:dyDescent="0.25">
      <c r="A11608" s="22" t="s">
        <v>8</v>
      </c>
      <c r="B11608" s="18" t="str">
        <f>"395797"</f>
        <v>395797</v>
      </c>
      <c r="C11608" s="19" t="s">
        <v>11418</v>
      </c>
      <c r="D11608" s="19" t="s">
        <v>27015</v>
      </c>
      <c r="E11608" s="19" t="s">
        <v>34868</v>
      </c>
      <c r="F11608" s="19" t="s">
        <v>36012</v>
      </c>
      <c r="G11608" s="18" t="str">
        <f>"17543"</f>
        <v>17543</v>
      </c>
      <c r="H11608" s="19" t="s">
        <v>31184</v>
      </c>
      <c r="I11608" s="20">
        <v>16.068999999999999</v>
      </c>
      <c r="J11608" s="44" t="s">
        <v>8</v>
      </c>
      <c r="K11608" s="23" t="s">
        <v>8</v>
      </c>
      <c r="L11608" s="23" t="s">
        <v>8</v>
      </c>
      <c r="M11608" s="23" t="s">
        <v>8</v>
      </c>
    </row>
    <row r="11609" spans="1:13" s="21" customFormat="1" x14ac:dyDescent="0.25">
      <c r="A11609" s="22" t="s">
        <v>8</v>
      </c>
      <c r="B11609" s="18" t="str">
        <f>"395798"</f>
        <v>395798</v>
      </c>
      <c r="C11609" s="19" t="s">
        <v>11419</v>
      </c>
      <c r="D11609" s="19" t="s">
        <v>27016</v>
      </c>
      <c r="E11609" s="19" t="s">
        <v>34842</v>
      </c>
      <c r="F11609" s="19" t="s">
        <v>36012</v>
      </c>
      <c r="G11609" s="18" t="str">
        <f>"17325"</f>
        <v>17325</v>
      </c>
      <c r="H11609" s="19" t="s">
        <v>33467</v>
      </c>
      <c r="I11609" s="20">
        <v>14.976000000000001</v>
      </c>
      <c r="J11609" s="44" t="s">
        <v>8</v>
      </c>
      <c r="K11609" s="23" t="s">
        <v>8</v>
      </c>
      <c r="L11609" s="23" t="s">
        <v>8</v>
      </c>
      <c r="M11609" s="23" t="s">
        <v>8</v>
      </c>
    </row>
    <row r="11610" spans="1:13" s="21" customFormat="1" x14ac:dyDescent="0.25">
      <c r="A11610" s="22" t="s">
        <v>8</v>
      </c>
      <c r="B11610" s="18" t="str">
        <f>"395800"</f>
        <v>395800</v>
      </c>
      <c r="C11610" s="19" t="s">
        <v>11420</v>
      </c>
      <c r="D11610" s="19" t="s">
        <v>27017</v>
      </c>
      <c r="E11610" s="19" t="s">
        <v>34973</v>
      </c>
      <c r="F11610" s="19" t="s">
        <v>36012</v>
      </c>
      <c r="G11610" s="18" t="str">
        <f>"19610"</f>
        <v>19610</v>
      </c>
      <c r="H11610" s="19" t="s">
        <v>36734</v>
      </c>
      <c r="I11610" s="20">
        <v>17.995000000000001</v>
      </c>
      <c r="J11610" s="44" t="s">
        <v>8</v>
      </c>
      <c r="K11610" s="23" t="s">
        <v>8</v>
      </c>
      <c r="L11610" s="23" t="s">
        <v>8</v>
      </c>
      <c r="M11610" s="23" t="s">
        <v>8</v>
      </c>
    </row>
    <row r="11611" spans="1:13" s="21" customFormat="1" x14ac:dyDescent="0.25">
      <c r="A11611" s="22" t="s">
        <v>8</v>
      </c>
      <c r="B11611" s="18" t="str">
        <f>"395801"</f>
        <v>395801</v>
      </c>
      <c r="C11611" s="19" t="s">
        <v>11421</v>
      </c>
      <c r="D11611" s="19" t="s">
        <v>27018</v>
      </c>
      <c r="E11611" s="19" t="s">
        <v>34974</v>
      </c>
      <c r="F11611" s="19" t="s">
        <v>36012</v>
      </c>
      <c r="G11611" s="18" t="str">
        <f>"19041"</f>
        <v>19041</v>
      </c>
      <c r="H11611" s="19" t="s">
        <v>30833</v>
      </c>
      <c r="I11611" s="20">
        <v>21.305</v>
      </c>
      <c r="J11611" s="44" t="s">
        <v>8</v>
      </c>
      <c r="K11611" s="23" t="s">
        <v>8</v>
      </c>
      <c r="L11611" s="23" t="s">
        <v>8</v>
      </c>
      <c r="M11611" s="23" t="s">
        <v>8</v>
      </c>
    </row>
    <row r="11612" spans="1:13" s="21" customFormat="1" x14ac:dyDescent="0.25">
      <c r="A11612" s="22" t="s">
        <v>8</v>
      </c>
      <c r="B11612" s="18" t="str">
        <f>"395802"</f>
        <v>395802</v>
      </c>
      <c r="C11612" s="19" t="s">
        <v>11422</v>
      </c>
      <c r="D11612" s="19" t="s">
        <v>27019</v>
      </c>
      <c r="E11612" s="19" t="s">
        <v>31056</v>
      </c>
      <c r="F11612" s="19" t="s">
        <v>36012</v>
      </c>
      <c r="G11612" s="18" t="str">
        <f>"17013"</f>
        <v>17013</v>
      </c>
      <c r="H11612" s="19" t="s">
        <v>32766</v>
      </c>
      <c r="I11612" s="20">
        <v>18.832999999999998</v>
      </c>
      <c r="J11612" s="44" t="s">
        <v>8</v>
      </c>
      <c r="K11612" s="23" t="s">
        <v>8</v>
      </c>
      <c r="L11612" s="23" t="s">
        <v>8</v>
      </c>
      <c r="M11612" s="23" t="s">
        <v>8</v>
      </c>
    </row>
    <row r="11613" spans="1:13" s="21" customFormat="1" x14ac:dyDescent="0.25">
      <c r="A11613" s="22" t="s">
        <v>8</v>
      </c>
      <c r="B11613" s="18" t="str">
        <f>"395804"</f>
        <v>395804</v>
      </c>
      <c r="C11613" s="19" t="s">
        <v>11423</v>
      </c>
      <c r="D11613" s="19" t="s">
        <v>27020</v>
      </c>
      <c r="E11613" s="19" t="s">
        <v>34975</v>
      </c>
      <c r="F11613" s="19" t="s">
        <v>36012</v>
      </c>
      <c r="G11613" s="18" t="str">
        <f>"18969"</f>
        <v>18969</v>
      </c>
      <c r="H11613" s="19" t="s">
        <v>30833</v>
      </c>
      <c r="I11613" s="20">
        <v>17.036999999999999</v>
      </c>
      <c r="J11613" s="44" t="s">
        <v>8</v>
      </c>
      <c r="K11613" s="23" t="s">
        <v>8</v>
      </c>
      <c r="L11613" s="23" t="s">
        <v>8</v>
      </c>
      <c r="M11613" s="23" t="s">
        <v>8</v>
      </c>
    </row>
    <row r="11614" spans="1:13" s="21" customFormat="1" x14ac:dyDescent="0.25">
      <c r="A11614" s="22" t="s">
        <v>8</v>
      </c>
      <c r="B11614" s="18" t="str">
        <f>"395805"</f>
        <v>395805</v>
      </c>
      <c r="C11614" s="19" t="s">
        <v>11424</v>
      </c>
      <c r="D11614" s="19" t="s">
        <v>27021</v>
      </c>
      <c r="E11614" s="19" t="s">
        <v>34976</v>
      </c>
      <c r="F11614" s="19" t="s">
        <v>36012</v>
      </c>
      <c r="G11614" s="18" t="str">
        <f>"17522"</f>
        <v>17522</v>
      </c>
      <c r="H11614" s="19" t="s">
        <v>31184</v>
      </c>
      <c r="I11614" s="20">
        <v>16.155000000000001</v>
      </c>
      <c r="J11614" s="44" t="s">
        <v>8</v>
      </c>
      <c r="K11614" s="23" t="s">
        <v>8</v>
      </c>
      <c r="L11614" s="23" t="s">
        <v>8</v>
      </c>
      <c r="M11614" s="23" t="s">
        <v>8</v>
      </c>
    </row>
    <row r="11615" spans="1:13" s="21" customFormat="1" x14ac:dyDescent="0.25">
      <c r="A11615" s="22" t="s">
        <v>8</v>
      </c>
      <c r="B11615" s="18" t="str">
        <f>"395806"</f>
        <v>395806</v>
      </c>
      <c r="C11615" s="19" t="s">
        <v>11425</v>
      </c>
      <c r="D11615" s="19" t="s">
        <v>27022</v>
      </c>
      <c r="E11615" s="19" t="s">
        <v>32076</v>
      </c>
      <c r="F11615" s="19" t="s">
        <v>36012</v>
      </c>
      <c r="G11615" s="18" t="str">
        <f>"17512"</f>
        <v>17512</v>
      </c>
      <c r="H11615" s="19" t="s">
        <v>31184</v>
      </c>
      <c r="I11615" s="20">
        <v>15.965</v>
      </c>
      <c r="J11615" s="44" t="s">
        <v>8</v>
      </c>
      <c r="K11615" s="23" t="s">
        <v>8</v>
      </c>
      <c r="L11615" s="23" t="s">
        <v>8</v>
      </c>
      <c r="M11615" s="23" t="s">
        <v>8</v>
      </c>
    </row>
    <row r="11616" spans="1:13" s="21" customFormat="1" x14ac:dyDescent="0.25">
      <c r="A11616" s="22" t="s">
        <v>8</v>
      </c>
      <c r="B11616" s="18" t="str">
        <f>"395812"</f>
        <v>395812</v>
      </c>
      <c r="C11616" s="19" t="s">
        <v>11426</v>
      </c>
      <c r="D11616" s="19" t="s">
        <v>27023</v>
      </c>
      <c r="E11616" s="19" t="s">
        <v>34103</v>
      </c>
      <c r="F11616" s="19" t="s">
        <v>36012</v>
      </c>
      <c r="G11616" s="18" t="str">
        <f>"15905"</f>
        <v>15905</v>
      </c>
      <c r="H11616" s="19" t="s">
        <v>36728</v>
      </c>
      <c r="I11616" s="20">
        <v>17.134</v>
      </c>
      <c r="J11616" s="44" t="s">
        <v>8</v>
      </c>
      <c r="K11616" s="23" t="s">
        <v>8</v>
      </c>
      <c r="L11616" s="23" t="s">
        <v>8</v>
      </c>
      <c r="M11616" s="23" t="s">
        <v>8</v>
      </c>
    </row>
    <row r="11617" spans="1:13" s="21" customFormat="1" x14ac:dyDescent="0.25">
      <c r="A11617" s="22" t="s">
        <v>8</v>
      </c>
      <c r="B11617" s="18" t="str">
        <f>"395815"</f>
        <v>395815</v>
      </c>
      <c r="C11617" s="19" t="s">
        <v>11427</v>
      </c>
      <c r="D11617" s="19" t="s">
        <v>27024</v>
      </c>
      <c r="E11617" s="19" t="s">
        <v>34977</v>
      </c>
      <c r="F11617" s="19" t="s">
        <v>36012</v>
      </c>
      <c r="G11617" s="18" t="str">
        <f>"19335"</f>
        <v>19335</v>
      </c>
      <c r="H11617" s="19" t="s">
        <v>31396</v>
      </c>
      <c r="I11617" s="20">
        <v>18.727</v>
      </c>
      <c r="J11617" s="44" t="s">
        <v>8</v>
      </c>
      <c r="K11617" s="23" t="s">
        <v>8</v>
      </c>
      <c r="L11617" s="23" t="s">
        <v>8</v>
      </c>
      <c r="M11617" s="23" t="s">
        <v>8</v>
      </c>
    </row>
    <row r="11618" spans="1:13" s="21" customFormat="1" x14ac:dyDescent="0.25">
      <c r="A11618" s="22" t="s">
        <v>8</v>
      </c>
      <c r="B11618" s="18" t="str">
        <f>"395816"</f>
        <v>395816</v>
      </c>
      <c r="C11618" s="19" t="s">
        <v>11428</v>
      </c>
      <c r="D11618" s="19" t="s">
        <v>27025</v>
      </c>
      <c r="E11618" s="19" t="s">
        <v>34788</v>
      </c>
      <c r="F11618" s="19" t="s">
        <v>36012</v>
      </c>
      <c r="G11618" s="18" t="str">
        <f>"16735"</f>
        <v>16735</v>
      </c>
      <c r="H11618" s="19" t="s">
        <v>36727</v>
      </c>
      <c r="I11618" s="20">
        <v>16.167999999999999</v>
      </c>
      <c r="J11618" s="44" t="s">
        <v>8</v>
      </c>
      <c r="K11618" s="23" t="s">
        <v>8</v>
      </c>
      <c r="L11618" s="23" t="s">
        <v>8</v>
      </c>
      <c r="M11618" s="23" t="s">
        <v>8</v>
      </c>
    </row>
    <row r="11619" spans="1:13" s="21" customFormat="1" x14ac:dyDescent="0.25">
      <c r="A11619" s="22" t="s">
        <v>8</v>
      </c>
      <c r="B11619" s="18" t="str">
        <f>"395817"</f>
        <v>395817</v>
      </c>
      <c r="C11619" s="19" t="s">
        <v>11429</v>
      </c>
      <c r="D11619" s="19" t="s">
        <v>27026</v>
      </c>
      <c r="E11619" s="19" t="s">
        <v>34978</v>
      </c>
      <c r="F11619" s="19" t="s">
        <v>36012</v>
      </c>
      <c r="G11619" s="18" t="str">
        <f>"19067"</f>
        <v>19067</v>
      </c>
      <c r="H11619" s="19" t="s">
        <v>36729</v>
      </c>
      <c r="I11619" s="20">
        <v>17.405000000000001</v>
      </c>
      <c r="J11619" s="44" t="s">
        <v>8</v>
      </c>
      <c r="K11619" s="23" t="s">
        <v>8</v>
      </c>
      <c r="L11619" s="23" t="s">
        <v>8</v>
      </c>
      <c r="M11619" s="23" t="s">
        <v>8</v>
      </c>
    </row>
    <row r="11620" spans="1:13" s="21" customFormat="1" x14ac:dyDescent="0.25">
      <c r="A11620" s="22" t="s">
        <v>8</v>
      </c>
      <c r="B11620" s="18" t="str">
        <f>"395818"</f>
        <v>395818</v>
      </c>
      <c r="C11620" s="19" t="s">
        <v>11430</v>
      </c>
      <c r="D11620" s="19" t="s">
        <v>27027</v>
      </c>
      <c r="E11620" s="19" t="s">
        <v>34979</v>
      </c>
      <c r="F11620" s="19" t="s">
        <v>36012</v>
      </c>
      <c r="G11620" s="18" t="str">
        <f>"19444"</f>
        <v>19444</v>
      </c>
      <c r="H11620" s="19" t="s">
        <v>30833</v>
      </c>
      <c r="I11620" s="20">
        <v>18.184000000000001</v>
      </c>
      <c r="J11620" s="44" t="s">
        <v>8</v>
      </c>
      <c r="K11620" s="23" t="s">
        <v>8</v>
      </c>
      <c r="L11620" s="23" t="s">
        <v>8</v>
      </c>
      <c r="M11620" s="23" t="s">
        <v>8</v>
      </c>
    </row>
    <row r="11621" spans="1:13" s="21" customFormat="1" x14ac:dyDescent="0.25">
      <c r="A11621" s="22" t="s">
        <v>8</v>
      </c>
      <c r="B11621" s="18" t="str">
        <f>"395819"</f>
        <v>395819</v>
      </c>
      <c r="C11621" s="19" t="s">
        <v>11431</v>
      </c>
      <c r="D11621" s="19" t="s">
        <v>27028</v>
      </c>
      <c r="E11621" s="19" t="s">
        <v>33514</v>
      </c>
      <c r="F11621" s="19" t="s">
        <v>36012</v>
      </c>
      <c r="G11621" s="18" t="str">
        <f>"19119"</f>
        <v>19119</v>
      </c>
      <c r="H11621" s="19" t="s">
        <v>33514</v>
      </c>
      <c r="I11621" s="20">
        <v>21.123000000000001</v>
      </c>
      <c r="J11621" s="44" t="s">
        <v>8</v>
      </c>
      <c r="K11621" s="23" t="s">
        <v>8</v>
      </c>
      <c r="L11621" s="23" t="s">
        <v>8</v>
      </c>
      <c r="M11621" s="23" t="s">
        <v>8</v>
      </c>
    </row>
    <row r="11622" spans="1:13" s="21" customFormat="1" x14ac:dyDescent="0.25">
      <c r="A11622" s="22" t="s">
        <v>8</v>
      </c>
      <c r="B11622" s="18" t="str">
        <f>"395821"</f>
        <v>395821</v>
      </c>
      <c r="C11622" s="19" t="s">
        <v>11432</v>
      </c>
      <c r="D11622" s="19" t="s">
        <v>27029</v>
      </c>
      <c r="E11622" s="19" t="s">
        <v>34852</v>
      </c>
      <c r="F11622" s="19" t="s">
        <v>36012</v>
      </c>
      <c r="G11622" s="18" t="str">
        <f>"19023"</f>
        <v>19023</v>
      </c>
      <c r="H11622" s="19" t="s">
        <v>34462</v>
      </c>
      <c r="I11622" s="20">
        <v>21.588000000000001</v>
      </c>
      <c r="J11622" s="44" t="s">
        <v>8</v>
      </c>
      <c r="K11622" s="23" t="s">
        <v>8</v>
      </c>
      <c r="L11622" s="23" t="s">
        <v>8</v>
      </c>
      <c r="M11622" s="23" t="s">
        <v>8</v>
      </c>
    </row>
    <row r="11623" spans="1:13" s="21" customFormat="1" x14ac:dyDescent="0.25">
      <c r="A11623" s="22" t="s">
        <v>8</v>
      </c>
      <c r="B11623" s="18" t="str">
        <f>"395823"</f>
        <v>395823</v>
      </c>
      <c r="C11623" s="19" t="s">
        <v>11433</v>
      </c>
      <c r="D11623" s="19" t="s">
        <v>27030</v>
      </c>
      <c r="E11623" s="19" t="s">
        <v>34857</v>
      </c>
      <c r="F11623" s="19" t="s">
        <v>36012</v>
      </c>
      <c r="G11623" s="18" t="str">
        <f>"15317"</f>
        <v>15317</v>
      </c>
      <c r="H11623" s="19" t="s">
        <v>31500</v>
      </c>
      <c r="I11623" s="20">
        <v>21.209</v>
      </c>
      <c r="J11623" s="44" t="s">
        <v>8</v>
      </c>
      <c r="K11623" s="23" t="s">
        <v>8</v>
      </c>
      <c r="L11623" s="23" t="s">
        <v>8</v>
      </c>
      <c r="M11623" s="23" t="s">
        <v>8</v>
      </c>
    </row>
    <row r="11624" spans="1:13" s="21" customFormat="1" x14ac:dyDescent="0.25">
      <c r="A11624" s="22" t="s">
        <v>8</v>
      </c>
      <c r="B11624" s="18" t="str">
        <f>"395824"</f>
        <v>395824</v>
      </c>
      <c r="C11624" s="19" t="s">
        <v>11434</v>
      </c>
      <c r="D11624" s="19" t="s">
        <v>27031</v>
      </c>
      <c r="E11624" s="19" t="s">
        <v>30981</v>
      </c>
      <c r="F11624" s="19" t="s">
        <v>36012</v>
      </c>
      <c r="G11624" s="18" t="str">
        <f>"17821"</f>
        <v>17821</v>
      </c>
      <c r="H11624" s="19" t="s">
        <v>36741</v>
      </c>
      <c r="I11624" s="20">
        <v>18.562000000000001</v>
      </c>
      <c r="J11624" s="44" t="s">
        <v>8</v>
      </c>
      <c r="K11624" s="23" t="s">
        <v>8</v>
      </c>
      <c r="L11624" s="23" t="s">
        <v>8</v>
      </c>
      <c r="M11624" s="23" t="s">
        <v>8</v>
      </c>
    </row>
    <row r="11625" spans="1:13" s="21" customFormat="1" x14ac:dyDescent="0.25">
      <c r="A11625" s="22" t="s">
        <v>8</v>
      </c>
      <c r="B11625" s="18" t="str">
        <f>"395825"</f>
        <v>395825</v>
      </c>
      <c r="C11625" s="19" t="s">
        <v>11435</v>
      </c>
      <c r="D11625" s="19" t="s">
        <v>27032</v>
      </c>
      <c r="E11625" s="19" t="s">
        <v>34980</v>
      </c>
      <c r="F11625" s="19" t="s">
        <v>36012</v>
      </c>
      <c r="G11625" s="18" t="str">
        <f>"17777"</f>
        <v>17777</v>
      </c>
      <c r="H11625" s="19" t="s">
        <v>34890</v>
      </c>
      <c r="I11625" s="20">
        <v>20.946000000000002</v>
      </c>
      <c r="J11625" s="44" t="s">
        <v>8</v>
      </c>
      <c r="K11625" s="23" t="s">
        <v>8</v>
      </c>
      <c r="L11625" s="23" t="s">
        <v>8</v>
      </c>
      <c r="M11625" s="23" t="s">
        <v>8</v>
      </c>
    </row>
    <row r="11626" spans="1:13" s="21" customFormat="1" x14ac:dyDescent="0.25">
      <c r="A11626" s="22" t="s">
        <v>8</v>
      </c>
      <c r="B11626" s="18" t="str">
        <f>"395826"</f>
        <v>395826</v>
      </c>
      <c r="C11626" s="19" t="s">
        <v>11436</v>
      </c>
      <c r="D11626" s="19" t="s">
        <v>27033</v>
      </c>
      <c r="E11626" s="19" t="s">
        <v>34801</v>
      </c>
      <c r="F11626" s="19" t="s">
        <v>36012</v>
      </c>
      <c r="G11626" s="18" t="str">
        <f>"15237"</f>
        <v>15237</v>
      </c>
      <c r="H11626" s="19" t="s">
        <v>36730</v>
      </c>
      <c r="I11626" s="20">
        <v>17.341000000000001</v>
      </c>
      <c r="J11626" s="44" t="s">
        <v>8</v>
      </c>
      <c r="K11626" s="23" t="s">
        <v>8</v>
      </c>
      <c r="L11626" s="23" t="s">
        <v>8</v>
      </c>
      <c r="M11626" s="23" t="s">
        <v>8</v>
      </c>
    </row>
    <row r="11627" spans="1:13" s="21" customFormat="1" x14ac:dyDescent="0.25">
      <c r="A11627" s="22" t="s">
        <v>8</v>
      </c>
      <c r="B11627" s="18" t="str">
        <f>"395827"</f>
        <v>395827</v>
      </c>
      <c r="C11627" s="19" t="s">
        <v>11437</v>
      </c>
      <c r="D11627" s="19" t="s">
        <v>27034</v>
      </c>
      <c r="E11627" s="19" t="s">
        <v>34866</v>
      </c>
      <c r="F11627" s="19" t="s">
        <v>36012</v>
      </c>
      <c r="G11627" s="18" t="str">
        <f>"19464"</f>
        <v>19464</v>
      </c>
      <c r="H11627" s="19" t="s">
        <v>30833</v>
      </c>
      <c r="I11627" s="20">
        <v>17.57</v>
      </c>
      <c r="J11627" s="44" t="s">
        <v>8</v>
      </c>
      <c r="K11627" s="23" t="s">
        <v>8</v>
      </c>
      <c r="L11627" s="23" t="s">
        <v>8</v>
      </c>
      <c r="M11627" s="23" t="s">
        <v>8</v>
      </c>
    </row>
    <row r="11628" spans="1:13" s="21" customFormat="1" x14ac:dyDescent="0.25">
      <c r="A11628" s="22" t="s">
        <v>8</v>
      </c>
      <c r="B11628" s="18" t="str">
        <f>"395828"</f>
        <v>395828</v>
      </c>
      <c r="C11628" s="19" t="s">
        <v>11438</v>
      </c>
      <c r="D11628" s="19" t="s">
        <v>27035</v>
      </c>
      <c r="E11628" s="19" t="s">
        <v>34981</v>
      </c>
      <c r="F11628" s="19" t="s">
        <v>36012</v>
      </c>
      <c r="G11628" s="18" t="str">
        <f>"15931"</f>
        <v>15931</v>
      </c>
      <c r="H11628" s="19" t="s">
        <v>36728</v>
      </c>
      <c r="I11628" s="20">
        <v>18.07</v>
      </c>
      <c r="J11628" s="44" t="s">
        <v>8</v>
      </c>
      <c r="K11628" s="23" t="s">
        <v>8</v>
      </c>
      <c r="L11628" s="23" t="s">
        <v>8</v>
      </c>
      <c r="M11628" s="23" t="s">
        <v>8</v>
      </c>
    </row>
    <row r="11629" spans="1:13" s="21" customFormat="1" x14ac:dyDescent="0.25">
      <c r="A11629" s="22" t="s">
        <v>8</v>
      </c>
      <c r="B11629" s="18" t="str">
        <f>"395830"</f>
        <v>395830</v>
      </c>
      <c r="C11629" s="19" t="s">
        <v>11439</v>
      </c>
      <c r="D11629" s="19" t="s">
        <v>27036</v>
      </c>
      <c r="E11629" s="19" t="s">
        <v>32952</v>
      </c>
      <c r="F11629" s="19" t="s">
        <v>36012</v>
      </c>
      <c r="G11629" s="18" t="str">
        <f>"15530"</f>
        <v>15530</v>
      </c>
      <c r="H11629" s="19" t="s">
        <v>32705</v>
      </c>
      <c r="I11629" s="20">
        <v>20.824999999999999</v>
      </c>
      <c r="J11629" s="44" t="s">
        <v>8</v>
      </c>
      <c r="K11629" s="23" t="s">
        <v>8</v>
      </c>
      <c r="L11629" s="23" t="s">
        <v>8</v>
      </c>
      <c r="M11629" s="23" t="s">
        <v>8</v>
      </c>
    </row>
    <row r="11630" spans="1:13" s="21" customFormat="1" x14ac:dyDescent="0.25">
      <c r="A11630" s="22" t="s">
        <v>8</v>
      </c>
      <c r="B11630" s="18" t="str">
        <f>"395831"</f>
        <v>395831</v>
      </c>
      <c r="C11630" s="19" t="s">
        <v>11440</v>
      </c>
      <c r="D11630" s="19" t="s">
        <v>27037</v>
      </c>
      <c r="E11630" s="19" t="s">
        <v>34844</v>
      </c>
      <c r="F11630" s="19" t="s">
        <v>36012</v>
      </c>
      <c r="G11630" s="18" t="str">
        <f>"17901"</f>
        <v>17901</v>
      </c>
      <c r="H11630" s="19" t="s">
        <v>36737</v>
      </c>
      <c r="I11630" s="20">
        <v>15.753</v>
      </c>
      <c r="J11630" s="44" t="s">
        <v>8</v>
      </c>
      <c r="K11630" s="23" t="s">
        <v>8</v>
      </c>
      <c r="L11630" s="23" t="s">
        <v>8</v>
      </c>
      <c r="M11630" s="23" t="s">
        <v>8</v>
      </c>
    </row>
    <row r="11631" spans="1:13" s="21" customFormat="1" x14ac:dyDescent="0.25">
      <c r="A11631" s="22" t="s">
        <v>8</v>
      </c>
      <c r="B11631" s="18" t="str">
        <f>"395832"</f>
        <v>395832</v>
      </c>
      <c r="C11631" s="19" t="s">
        <v>11441</v>
      </c>
      <c r="D11631" s="19" t="s">
        <v>27038</v>
      </c>
      <c r="E11631" s="19" t="s">
        <v>32728</v>
      </c>
      <c r="F11631" s="19" t="s">
        <v>36012</v>
      </c>
      <c r="G11631" s="18" t="str">
        <f>"17003"</f>
        <v>17003</v>
      </c>
      <c r="H11631" s="19" t="s">
        <v>32035</v>
      </c>
      <c r="I11631" s="20">
        <v>20.608000000000001</v>
      </c>
      <c r="J11631" s="44" t="s">
        <v>8</v>
      </c>
      <c r="K11631" s="23" t="s">
        <v>8</v>
      </c>
      <c r="L11631" s="23" t="s">
        <v>8</v>
      </c>
      <c r="M11631" s="23" t="s">
        <v>8</v>
      </c>
    </row>
    <row r="11632" spans="1:13" s="21" customFormat="1" x14ac:dyDescent="0.25">
      <c r="A11632" s="22" t="s">
        <v>8</v>
      </c>
      <c r="B11632" s="18" t="str">
        <f>"395833"</f>
        <v>395833</v>
      </c>
      <c r="C11632" s="19" t="s">
        <v>11442</v>
      </c>
      <c r="D11632" s="19" t="s">
        <v>27039</v>
      </c>
      <c r="E11632" s="19" t="s">
        <v>34870</v>
      </c>
      <c r="F11632" s="19" t="s">
        <v>36012</v>
      </c>
      <c r="G11632" s="18" t="str">
        <f>"19073"</f>
        <v>19073</v>
      </c>
      <c r="H11632" s="19" t="s">
        <v>34462</v>
      </c>
      <c r="I11632" s="20">
        <v>19.728000000000002</v>
      </c>
      <c r="J11632" s="44" t="s">
        <v>8</v>
      </c>
      <c r="K11632" s="23" t="s">
        <v>8</v>
      </c>
      <c r="L11632" s="23" t="s">
        <v>8</v>
      </c>
      <c r="M11632" s="23" t="s">
        <v>8</v>
      </c>
    </row>
    <row r="11633" spans="1:13" s="21" customFormat="1" x14ac:dyDescent="0.25">
      <c r="A11633" s="22" t="s">
        <v>8</v>
      </c>
      <c r="B11633" s="18" t="str">
        <f>"395834"</f>
        <v>395834</v>
      </c>
      <c r="C11633" s="19" t="s">
        <v>11443</v>
      </c>
      <c r="D11633" s="19" t="s">
        <v>27040</v>
      </c>
      <c r="E11633" s="19" t="s">
        <v>34982</v>
      </c>
      <c r="F11633" s="19" t="s">
        <v>36012</v>
      </c>
      <c r="G11633" s="18" t="str">
        <f>"19406"</f>
        <v>19406</v>
      </c>
      <c r="H11633" s="19" t="s">
        <v>30833</v>
      </c>
      <c r="I11633" s="20">
        <v>16.259</v>
      </c>
      <c r="J11633" s="44" t="s">
        <v>8</v>
      </c>
      <c r="K11633" s="23" t="s">
        <v>8</v>
      </c>
      <c r="L11633" s="23" t="s">
        <v>8</v>
      </c>
      <c r="M11633" s="23" t="s">
        <v>8</v>
      </c>
    </row>
    <row r="11634" spans="1:13" s="21" customFormat="1" x14ac:dyDescent="0.25">
      <c r="A11634" s="22" t="s">
        <v>8</v>
      </c>
      <c r="B11634" s="18" t="str">
        <f>"395838"</f>
        <v>395838</v>
      </c>
      <c r="C11634" s="19" t="s">
        <v>11444</v>
      </c>
      <c r="D11634" s="19" t="s">
        <v>27041</v>
      </c>
      <c r="E11634" s="19" t="s">
        <v>34965</v>
      </c>
      <c r="F11634" s="19" t="s">
        <v>36012</v>
      </c>
      <c r="G11634" s="18" t="str">
        <f>"16801"</f>
        <v>16801</v>
      </c>
      <c r="H11634" s="19" t="s">
        <v>30801</v>
      </c>
      <c r="I11634" s="20">
        <v>18.581</v>
      </c>
      <c r="J11634" s="44" t="s">
        <v>8</v>
      </c>
      <c r="K11634" s="23" t="s">
        <v>8</v>
      </c>
      <c r="L11634" s="23" t="s">
        <v>8</v>
      </c>
      <c r="M11634" s="23" t="s">
        <v>8</v>
      </c>
    </row>
    <row r="11635" spans="1:13" s="21" customFormat="1" x14ac:dyDescent="0.25">
      <c r="A11635" s="22" t="s">
        <v>8</v>
      </c>
      <c r="B11635" s="18" t="str">
        <f>"395840"</f>
        <v>395840</v>
      </c>
      <c r="C11635" s="19" t="s">
        <v>11445</v>
      </c>
      <c r="D11635" s="19" t="s">
        <v>27042</v>
      </c>
      <c r="E11635" s="19" t="s">
        <v>32705</v>
      </c>
      <c r="F11635" s="19" t="s">
        <v>36012</v>
      </c>
      <c r="G11635" s="18" t="str">
        <f>"15501"</f>
        <v>15501</v>
      </c>
      <c r="H11635" s="19" t="s">
        <v>32705</v>
      </c>
      <c r="I11635" s="20">
        <v>21.635000000000002</v>
      </c>
      <c r="J11635" s="44" t="s">
        <v>8</v>
      </c>
      <c r="K11635" s="23" t="s">
        <v>8</v>
      </c>
      <c r="L11635" s="23" t="s">
        <v>8</v>
      </c>
      <c r="M11635" s="23" t="s">
        <v>8</v>
      </c>
    </row>
    <row r="11636" spans="1:13" s="21" customFormat="1" x14ac:dyDescent="0.25">
      <c r="A11636" s="22" t="s">
        <v>8</v>
      </c>
      <c r="B11636" s="18" t="str">
        <f>"395842"</f>
        <v>395842</v>
      </c>
      <c r="C11636" s="19" t="s">
        <v>11446</v>
      </c>
      <c r="D11636" s="19" t="s">
        <v>27043</v>
      </c>
      <c r="E11636" s="19" t="s">
        <v>34801</v>
      </c>
      <c r="F11636" s="19" t="s">
        <v>36012</v>
      </c>
      <c r="G11636" s="18" t="str">
        <f>"15206"</f>
        <v>15206</v>
      </c>
      <c r="H11636" s="19" t="s">
        <v>36730</v>
      </c>
      <c r="I11636" s="20">
        <v>20.123999999999999</v>
      </c>
      <c r="J11636" s="44" t="s">
        <v>8</v>
      </c>
      <c r="K11636" s="23" t="s">
        <v>8</v>
      </c>
      <c r="L11636" s="23" t="s">
        <v>8</v>
      </c>
      <c r="M11636" s="23" t="s">
        <v>8</v>
      </c>
    </row>
    <row r="11637" spans="1:13" s="21" customFormat="1" x14ac:dyDescent="0.25">
      <c r="A11637" s="22" t="s">
        <v>8</v>
      </c>
      <c r="B11637" s="18" t="str">
        <f>"395843"</f>
        <v>395843</v>
      </c>
      <c r="C11637" s="19" t="s">
        <v>11447</v>
      </c>
      <c r="D11637" s="19" t="s">
        <v>27044</v>
      </c>
      <c r="E11637" s="19" t="s">
        <v>33514</v>
      </c>
      <c r="F11637" s="19" t="s">
        <v>36012</v>
      </c>
      <c r="G11637" s="18" t="str">
        <f>"19114"</f>
        <v>19114</v>
      </c>
      <c r="H11637" s="19" t="s">
        <v>33514</v>
      </c>
      <c r="I11637" s="20">
        <v>20.260999999999999</v>
      </c>
      <c r="J11637" s="44" t="s">
        <v>8</v>
      </c>
      <c r="K11637" s="23" t="s">
        <v>8</v>
      </c>
      <c r="L11637" s="23" t="s">
        <v>8</v>
      </c>
      <c r="M11637" s="23" t="s">
        <v>8</v>
      </c>
    </row>
    <row r="11638" spans="1:13" s="21" customFormat="1" x14ac:dyDescent="0.25">
      <c r="A11638" s="22" t="s">
        <v>8</v>
      </c>
      <c r="B11638" s="18" t="str">
        <f>"395844"</f>
        <v>395844</v>
      </c>
      <c r="C11638" s="19" t="s">
        <v>4996</v>
      </c>
      <c r="D11638" s="19" t="s">
        <v>27045</v>
      </c>
      <c r="E11638" s="19" t="s">
        <v>32698</v>
      </c>
      <c r="F11638" s="19" t="s">
        <v>36012</v>
      </c>
      <c r="G11638" s="18" t="str">
        <f>"17022"</f>
        <v>17022</v>
      </c>
      <c r="H11638" s="19" t="s">
        <v>31184</v>
      </c>
      <c r="I11638" s="20">
        <v>15.3</v>
      </c>
      <c r="J11638" s="44" t="s">
        <v>8</v>
      </c>
      <c r="K11638" s="23" t="s">
        <v>8</v>
      </c>
      <c r="L11638" s="23" t="s">
        <v>8</v>
      </c>
      <c r="M11638" s="23" t="s">
        <v>8</v>
      </c>
    </row>
    <row r="11639" spans="1:13" s="21" customFormat="1" x14ac:dyDescent="0.25">
      <c r="A11639" s="22" t="s">
        <v>8</v>
      </c>
      <c r="B11639" s="18" t="str">
        <f>"395845"</f>
        <v>395845</v>
      </c>
      <c r="C11639" s="19" t="s">
        <v>11448</v>
      </c>
      <c r="D11639" s="19" t="s">
        <v>27046</v>
      </c>
      <c r="E11639" s="19" t="s">
        <v>34929</v>
      </c>
      <c r="F11639" s="19" t="s">
        <v>36012</v>
      </c>
      <c r="G11639" s="18" t="str">
        <f>"16066"</f>
        <v>16066</v>
      </c>
      <c r="H11639" s="19" t="s">
        <v>30876</v>
      </c>
      <c r="I11639" s="20">
        <v>18.824000000000002</v>
      </c>
      <c r="J11639" s="44" t="s">
        <v>8</v>
      </c>
      <c r="K11639" s="23" t="s">
        <v>8</v>
      </c>
      <c r="L11639" s="23" t="s">
        <v>8</v>
      </c>
      <c r="M11639" s="23" t="s">
        <v>8</v>
      </c>
    </row>
    <row r="11640" spans="1:13" s="21" customFormat="1" x14ac:dyDescent="0.25">
      <c r="A11640" s="22" t="s">
        <v>8</v>
      </c>
      <c r="B11640" s="18" t="str">
        <f>"395846"</f>
        <v>395846</v>
      </c>
      <c r="C11640" s="19" t="s">
        <v>11449</v>
      </c>
      <c r="D11640" s="19" t="s">
        <v>27047</v>
      </c>
      <c r="E11640" s="19" t="s">
        <v>33610</v>
      </c>
      <c r="F11640" s="19" t="s">
        <v>36012</v>
      </c>
      <c r="G11640" s="18" t="str">
        <f>"17078"</f>
        <v>17078</v>
      </c>
      <c r="H11640" s="19" t="s">
        <v>32035</v>
      </c>
      <c r="I11640" s="20">
        <v>18.189</v>
      </c>
      <c r="J11640" s="44" t="s">
        <v>8</v>
      </c>
      <c r="K11640" s="23" t="s">
        <v>8</v>
      </c>
      <c r="L11640" s="23" t="s">
        <v>8</v>
      </c>
      <c r="M11640" s="23" t="s">
        <v>8</v>
      </c>
    </row>
    <row r="11641" spans="1:13" s="21" customFormat="1" x14ac:dyDescent="0.25">
      <c r="A11641" s="22" t="s">
        <v>8</v>
      </c>
      <c r="B11641" s="18" t="str">
        <f>"395847"</f>
        <v>395847</v>
      </c>
      <c r="C11641" s="19" t="s">
        <v>11450</v>
      </c>
      <c r="D11641" s="19" t="s">
        <v>27048</v>
      </c>
      <c r="E11641" s="19" t="s">
        <v>34800</v>
      </c>
      <c r="F11641" s="19" t="s">
        <v>36012</v>
      </c>
      <c r="G11641" s="18" t="str">
        <f>"19462"</f>
        <v>19462</v>
      </c>
      <c r="H11641" s="19" t="s">
        <v>30833</v>
      </c>
      <c r="I11641" s="20">
        <v>18.648</v>
      </c>
      <c r="J11641" s="44" t="s">
        <v>8</v>
      </c>
      <c r="K11641" s="23" t="s">
        <v>8</v>
      </c>
      <c r="L11641" s="23" t="s">
        <v>8</v>
      </c>
      <c r="M11641" s="23" t="s">
        <v>8</v>
      </c>
    </row>
    <row r="11642" spans="1:13" s="21" customFormat="1" x14ac:dyDescent="0.25">
      <c r="A11642" s="22" t="s">
        <v>8</v>
      </c>
      <c r="B11642" s="18" t="str">
        <f>"395848"</f>
        <v>395848</v>
      </c>
      <c r="C11642" s="19" t="s">
        <v>11451</v>
      </c>
      <c r="D11642" s="19" t="s">
        <v>27049</v>
      </c>
      <c r="E11642" s="19" t="s">
        <v>34575</v>
      </c>
      <c r="F11642" s="19" t="s">
        <v>36012</v>
      </c>
      <c r="G11642" s="18" t="str">
        <f>"19380"</f>
        <v>19380</v>
      </c>
      <c r="H11642" s="19" t="s">
        <v>31396</v>
      </c>
      <c r="I11642" s="20">
        <v>20.323</v>
      </c>
      <c r="J11642" s="44" t="s">
        <v>8</v>
      </c>
      <c r="K11642" s="23" t="s">
        <v>8</v>
      </c>
      <c r="L11642" s="23" t="s">
        <v>8</v>
      </c>
      <c r="M11642" s="23" t="s">
        <v>8</v>
      </c>
    </row>
    <row r="11643" spans="1:13" s="21" customFormat="1" x14ac:dyDescent="0.25">
      <c r="A11643" s="22" t="s">
        <v>8</v>
      </c>
      <c r="B11643" s="18" t="str">
        <f>"395850"</f>
        <v>395850</v>
      </c>
      <c r="C11643" s="19" t="s">
        <v>11452</v>
      </c>
      <c r="D11643" s="19" t="s">
        <v>27050</v>
      </c>
      <c r="E11643" s="19" t="s">
        <v>31723</v>
      </c>
      <c r="F11643" s="19" t="s">
        <v>36012</v>
      </c>
      <c r="G11643" s="18" t="str">
        <f>"18612"</f>
        <v>18612</v>
      </c>
      <c r="H11643" s="19" t="s">
        <v>36735</v>
      </c>
      <c r="I11643" s="20">
        <v>17.308</v>
      </c>
      <c r="J11643" s="44" t="s">
        <v>8</v>
      </c>
      <c r="K11643" s="23" t="s">
        <v>8</v>
      </c>
      <c r="L11643" s="23" t="s">
        <v>8</v>
      </c>
      <c r="M11643" s="23" t="s">
        <v>8</v>
      </c>
    </row>
    <row r="11644" spans="1:13" s="21" customFormat="1" x14ac:dyDescent="0.25">
      <c r="A11644" s="22" t="s">
        <v>8</v>
      </c>
      <c r="B11644" s="18" t="str">
        <f>"395851"</f>
        <v>395851</v>
      </c>
      <c r="C11644" s="19" t="s">
        <v>11453</v>
      </c>
      <c r="D11644" s="19" t="s">
        <v>27051</v>
      </c>
      <c r="E11644" s="19" t="s">
        <v>32236</v>
      </c>
      <c r="F11644" s="19" t="s">
        <v>36012</v>
      </c>
      <c r="G11644" s="18" t="str">
        <f>"15601"</f>
        <v>15601</v>
      </c>
      <c r="H11644" s="19" t="s">
        <v>32652</v>
      </c>
      <c r="I11644" s="20">
        <v>17.881</v>
      </c>
      <c r="J11644" s="44" t="s">
        <v>8</v>
      </c>
      <c r="K11644" s="23" t="s">
        <v>8</v>
      </c>
      <c r="L11644" s="23" t="s">
        <v>8</v>
      </c>
      <c r="M11644" s="23" t="s">
        <v>8</v>
      </c>
    </row>
    <row r="11645" spans="1:13" s="21" customFormat="1" x14ac:dyDescent="0.25">
      <c r="A11645" s="22" t="s">
        <v>8</v>
      </c>
      <c r="B11645" s="18" t="str">
        <f>"395852"</f>
        <v>395852</v>
      </c>
      <c r="C11645" s="19" t="s">
        <v>11454</v>
      </c>
      <c r="D11645" s="19" t="s">
        <v>27052</v>
      </c>
      <c r="E11645" s="19" t="s">
        <v>33514</v>
      </c>
      <c r="F11645" s="19" t="s">
        <v>36012</v>
      </c>
      <c r="G11645" s="18" t="str">
        <f>"19119"</f>
        <v>19119</v>
      </c>
      <c r="H11645" s="19" t="s">
        <v>33514</v>
      </c>
      <c r="I11645" s="20">
        <v>19.651</v>
      </c>
      <c r="J11645" s="44" t="s">
        <v>8</v>
      </c>
      <c r="K11645" s="23" t="s">
        <v>8</v>
      </c>
      <c r="L11645" s="23" t="s">
        <v>8</v>
      </c>
      <c r="M11645" s="23" t="s">
        <v>8</v>
      </c>
    </row>
    <row r="11646" spans="1:13" s="21" customFormat="1" x14ac:dyDescent="0.25">
      <c r="A11646" s="22" t="s">
        <v>8</v>
      </c>
      <c r="B11646" s="18" t="str">
        <f>"395853"</f>
        <v>395853</v>
      </c>
      <c r="C11646" s="19" t="s">
        <v>11455</v>
      </c>
      <c r="D11646" s="19" t="s">
        <v>27053</v>
      </c>
      <c r="E11646" s="19" t="s">
        <v>34983</v>
      </c>
      <c r="F11646" s="19" t="s">
        <v>36012</v>
      </c>
      <c r="G11646" s="18" t="str">
        <f>"16433"</f>
        <v>16433</v>
      </c>
      <c r="H11646" s="19" t="s">
        <v>31759</v>
      </c>
      <c r="I11646" s="20">
        <v>20.076000000000001</v>
      </c>
      <c r="J11646" s="44" t="s">
        <v>8</v>
      </c>
      <c r="K11646" s="23" t="s">
        <v>8</v>
      </c>
      <c r="L11646" s="23" t="s">
        <v>8</v>
      </c>
      <c r="M11646" s="23" t="s">
        <v>8</v>
      </c>
    </row>
    <row r="11647" spans="1:13" s="21" customFormat="1" x14ac:dyDescent="0.25">
      <c r="A11647" s="22" t="s">
        <v>8</v>
      </c>
      <c r="B11647" s="18" t="str">
        <f>"395857"</f>
        <v>395857</v>
      </c>
      <c r="C11647" s="19" t="s">
        <v>11456</v>
      </c>
      <c r="D11647" s="19" t="s">
        <v>27054</v>
      </c>
      <c r="E11647" s="19" t="s">
        <v>34976</v>
      </c>
      <c r="F11647" s="19" t="s">
        <v>36012</v>
      </c>
      <c r="G11647" s="18" t="str">
        <f>"17522"</f>
        <v>17522</v>
      </c>
      <c r="H11647" s="19" t="s">
        <v>31184</v>
      </c>
      <c r="I11647" s="20">
        <v>17.198</v>
      </c>
      <c r="J11647" s="44" t="s">
        <v>8</v>
      </c>
      <c r="K11647" s="23" t="s">
        <v>8</v>
      </c>
      <c r="L11647" s="23" t="s">
        <v>8</v>
      </c>
      <c r="M11647" s="23" t="s">
        <v>8</v>
      </c>
    </row>
    <row r="11648" spans="1:13" s="21" customFormat="1" x14ac:dyDescent="0.25">
      <c r="A11648" s="22" t="s">
        <v>8</v>
      </c>
      <c r="B11648" s="18" t="str">
        <f>"395860"</f>
        <v>395860</v>
      </c>
      <c r="C11648" s="19" t="s">
        <v>11457</v>
      </c>
      <c r="D11648" s="19" t="s">
        <v>27055</v>
      </c>
      <c r="E11648" s="19" t="s">
        <v>34984</v>
      </c>
      <c r="F11648" s="19" t="s">
        <v>36012</v>
      </c>
      <c r="G11648" s="18" t="str">
        <f>"15650"</f>
        <v>15650</v>
      </c>
      <c r="H11648" s="19" t="s">
        <v>32652</v>
      </c>
      <c r="I11648" s="20">
        <v>21.405999999999999</v>
      </c>
      <c r="J11648" s="44" t="s">
        <v>8</v>
      </c>
      <c r="K11648" s="23" t="s">
        <v>8</v>
      </c>
      <c r="L11648" s="23" t="s">
        <v>8</v>
      </c>
      <c r="M11648" s="23" t="s">
        <v>8</v>
      </c>
    </row>
    <row r="11649" spans="1:13" s="21" customFormat="1" x14ac:dyDescent="0.25">
      <c r="A11649" s="22" t="s">
        <v>8</v>
      </c>
      <c r="B11649" s="18" t="str">
        <f>"395861"</f>
        <v>395861</v>
      </c>
      <c r="C11649" s="19" t="s">
        <v>11458</v>
      </c>
      <c r="D11649" s="19" t="s">
        <v>27056</v>
      </c>
      <c r="E11649" s="19" t="s">
        <v>34794</v>
      </c>
      <c r="F11649" s="19" t="s">
        <v>36012</v>
      </c>
      <c r="G11649" s="18" t="str">
        <f>"19046"</f>
        <v>19046</v>
      </c>
      <c r="H11649" s="19" t="s">
        <v>30833</v>
      </c>
      <c r="I11649" s="20">
        <v>17.385999999999999</v>
      </c>
      <c r="J11649" s="44" t="s">
        <v>8</v>
      </c>
      <c r="K11649" s="23" t="s">
        <v>8</v>
      </c>
      <c r="L11649" s="23" t="s">
        <v>8</v>
      </c>
      <c r="M11649" s="23" t="s">
        <v>8</v>
      </c>
    </row>
    <row r="11650" spans="1:13" s="21" customFormat="1" x14ac:dyDescent="0.25">
      <c r="A11650" s="22" t="s">
        <v>8</v>
      </c>
      <c r="B11650" s="18" t="str">
        <f>"395864"</f>
        <v>395864</v>
      </c>
      <c r="C11650" s="19" t="s">
        <v>11459</v>
      </c>
      <c r="D11650" s="19" t="s">
        <v>27057</v>
      </c>
      <c r="E11650" s="19" t="s">
        <v>34985</v>
      </c>
      <c r="F11650" s="19" t="s">
        <v>36012</v>
      </c>
      <c r="G11650" s="18" t="str">
        <f>"19020"</f>
        <v>19020</v>
      </c>
      <c r="H11650" s="19" t="s">
        <v>36729</v>
      </c>
      <c r="I11650" s="20">
        <v>18.216000000000001</v>
      </c>
      <c r="J11650" s="44" t="s">
        <v>8</v>
      </c>
      <c r="K11650" s="23" t="s">
        <v>8</v>
      </c>
      <c r="L11650" s="23" t="s">
        <v>8</v>
      </c>
      <c r="M11650" s="23" t="s">
        <v>8</v>
      </c>
    </row>
    <row r="11651" spans="1:13" s="21" customFormat="1" x14ac:dyDescent="0.25">
      <c r="A11651" s="22" t="s">
        <v>8</v>
      </c>
      <c r="B11651" s="18" t="str">
        <f>"395865"</f>
        <v>395865</v>
      </c>
      <c r="C11651" s="19" t="s">
        <v>11460</v>
      </c>
      <c r="D11651" s="19" t="s">
        <v>27058</v>
      </c>
      <c r="E11651" s="19" t="s">
        <v>33514</v>
      </c>
      <c r="F11651" s="19" t="s">
        <v>36012</v>
      </c>
      <c r="G11651" s="18" t="str">
        <f>"19144"</f>
        <v>19144</v>
      </c>
      <c r="H11651" s="19" t="s">
        <v>33514</v>
      </c>
      <c r="I11651" s="20">
        <v>22.192</v>
      </c>
      <c r="J11651" s="44" t="s">
        <v>8</v>
      </c>
      <c r="K11651" s="23" t="s">
        <v>8</v>
      </c>
      <c r="L11651" s="23" t="s">
        <v>8</v>
      </c>
      <c r="M11651" s="23" t="s">
        <v>8</v>
      </c>
    </row>
    <row r="11652" spans="1:13" s="21" customFormat="1" x14ac:dyDescent="0.25">
      <c r="A11652" s="22" t="s">
        <v>8</v>
      </c>
      <c r="B11652" s="18" t="str">
        <f>"395867"</f>
        <v>395867</v>
      </c>
      <c r="C11652" s="19" t="s">
        <v>11461</v>
      </c>
      <c r="D11652" s="19" t="s">
        <v>27059</v>
      </c>
      <c r="E11652" s="19" t="s">
        <v>34967</v>
      </c>
      <c r="F11652" s="19" t="s">
        <v>36012</v>
      </c>
      <c r="G11652" s="18" t="str">
        <f>"16749"</f>
        <v>16749</v>
      </c>
      <c r="H11652" s="19" t="s">
        <v>36727</v>
      </c>
      <c r="I11652" s="20">
        <v>17.875</v>
      </c>
      <c r="J11652" s="44" t="s">
        <v>8</v>
      </c>
      <c r="K11652" s="23" t="s">
        <v>8</v>
      </c>
      <c r="L11652" s="23" t="s">
        <v>8</v>
      </c>
      <c r="M11652" s="23" t="s">
        <v>8</v>
      </c>
    </row>
    <row r="11653" spans="1:13" s="21" customFormat="1" x14ac:dyDescent="0.25">
      <c r="A11653" s="22" t="s">
        <v>8</v>
      </c>
      <c r="B11653" s="18" t="str">
        <f>"395868"</f>
        <v>395868</v>
      </c>
      <c r="C11653" s="19" t="s">
        <v>11462</v>
      </c>
      <c r="D11653" s="19" t="s">
        <v>27060</v>
      </c>
      <c r="E11653" s="19" t="s">
        <v>34965</v>
      </c>
      <c r="F11653" s="19" t="s">
        <v>36012</v>
      </c>
      <c r="G11653" s="18" t="str">
        <f>"16801"</f>
        <v>16801</v>
      </c>
      <c r="H11653" s="19" t="s">
        <v>30801</v>
      </c>
      <c r="I11653" s="20">
        <v>20.702000000000002</v>
      </c>
      <c r="J11653" s="44" t="s">
        <v>8</v>
      </c>
      <c r="K11653" s="23" t="s">
        <v>8</v>
      </c>
      <c r="L11653" s="23" t="s">
        <v>8</v>
      </c>
      <c r="M11653" s="23" t="s">
        <v>8</v>
      </c>
    </row>
    <row r="11654" spans="1:13" s="21" customFormat="1" x14ac:dyDescent="0.25">
      <c r="A11654" s="22" t="s">
        <v>8</v>
      </c>
      <c r="B11654" s="18" t="str">
        <f>"395869"</f>
        <v>395869</v>
      </c>
      <c r="C11654" s="19" t="s">
        <v>11463</v>
      </c>
      <c r="D11654" s="19" t="s">
        <v>27061</v>
      </c>
      <c r="E11654" s="19" t="s">
        <v>30876</v>
      </c>
      <c r="F11654" s="19" t="s">
        <v>36012</v>
      </c>
      <c r="G11654" s="18" t="str">
        <f>"16001"</f>
        <v>16001</v>
      </c>
      <c r="H11654" s="19" t="s">
        <v>30876</v>
      </c>
      <c r="I11654" s="20">
        <v>18.925000000000001</v>
      </c>
      <c r="J11654" s="44" t="s">
        <v>8</v>
      </c>
      <c r="K11654" s="23" t="s">
        <v>8</v>
      </c>
      <c r="L11654" s="23" t="s">
        <v>8</v>
      </c>
      <c r="M11654" s="23" t="s">
        <v>8</v>
      </c>
    </row>
    <row r="11655" spans="1:13" s="21" customFormat="1" x14ac:dyDescent="0.25">
      <c r="A11655" s="22" t="s">
        <v>8</v>
      </c>
      <c r="B11655" s="18" t="str">
        <f>"395870"</f>
        <v>395870</v>
      </c>
      <c r="C11655" s="19" t="s">
        <v>11464</v>
      </c>
      <c r="D11655" s="19" t="s">
        <v>27062</v>
      </c>
      <c r="E11655" s="19" t="s">
        <v>34986</v>
      </c>
      <c r="F11655" s="19" t="s">
        <v>36012</v>
      </c>
      <c r="G11655" s="18" t="str">
        <f>"15459"</f>
        <v>15459</v>
      </c>
      <c r="H11655" s="19" t="s">
        <v>30805</v>
      </c>
      <c r="I11655" s="20">
        <v>18.398</v>
      </c>
      <c r="J11655" s="44" t="s">
        <v>8</v>
      </c>
      <c r="K11655" s="23" t="s">
        <v>8</v>
      </c>
      <c r="L11655" s="23" t="s">
        <v>8</v>
      </c>
      <c r="M11655" s="23" t="s">
        <v>8</v>
      </c>
    </row>
    <row r="11656" spans="1:13" s="21" customFormat="1" x14ac:dyDescent="0.25">
      <c r="A11656" s="22" t="s">
        <v>8</v>
      </c>
      <c r="B11656" s="18" t="str">
        <f>"395872"</f>
        <v>395872</v>
      </c>
      <c r="C11656" s="19" t="s">
        <v>11465</v>
      </c>
      <c r="D11656" s="19" t="s">
        <v>27063</v>
      </c>
      <c r="E11656" s="19" t="s">
        <v>33944</v>
      </c>
      <c r="F11656" s="19" t="s">
        <v>36012</v>
      </c>
      <c r="G11656" s="18" t="str">
        <f>"17846"</f>
        <v>17846</v>
      </c>
      <c r="H11656" s="19" t="s">
        <v>32076</v>
      </c>
      <c r="I11656" s="20">
        <v>18.651</v>
      </c>
      <c r="J11656" s="44" t="s">
        <v>8</v>
      </c>
      <c r="K11656" s="23" t="s">
        <v>8</v>
      </c>
      <c r="L11656" s="23" t="s">
        <v>8</v>
      </c>
      <c r="M11656" s="23" t="s">
        <v>8</v>
      </c>
    </row>
    <row r="11657" spans="1:13" s="21" customFormat="1" x14ac:dyDescent="0.25">
      <c r="A11657" s="22" t="s">
        <v>8</v>
      </c>
      <c r="B11657" s="18" t="str">
        <f>"395873"</f>
        <v>395873</v>
      </c>
      <c r="C11657" s="19" t="s">
        <v>11466</v>
      </c>
      <c r="D11657" s="19" t="s">
        <v>27064</v>
      </c>
      <c r="E11657" s="19" t="s">
        <v>34987</v>
      </c>
      <c r="F11657" s="19" t="s">
        <v>36012</v>
      </c>
      <c r="G11657" s="18" t="str">
        <f>"15145"</f>
        <v>15145</v>
      </c>
      <c r="H11657" s="19" t="s">
        <v>36730</v>
      </c>
      <c r="I11657" s="20">
        <v>20.831</v>
      </c>
      <c r="J11657" s="44" t="s">
        <v>8</v>
      </c>
      <c r="K11657" s="23" t="s">
        <v>8</v>
      </c>
      <c r="L11657" s="23" t="s">
        <v>8</v>
      </c>
      <c r="M11657" s="23" t="s">
        <v>8</v>
      </c>
    </row>
    <row r="11658" spans="1:13" s="21" customFormat="1" x14ac:dyDescent="0.25">
      <c r="A11658" s="22" t="s">
        <v>8</v>
      </c>
      <c r="B11658" s="18" t="str">
        <f>"395875"</f>
        <v>395875</v>
      </c>
      <c r="C11658" s="19" t="s">
        <v>11467</v>
      </c>
      <c r="D11658" s="19" t="s">
        <v>27065</v>
      </c>
      <c r="E11658" s="19" t="s">
        <v>34988</v>
      </c>
      <c r="F11658" s="19" t="s">
        <v>36012</v>
      </c>
      <c r="G11658" s="18" t="str">
        <f>"18252"</f>
        <v>18252</v>
      </c>
      <c r="H11658" s="19" t="s">
        <v>36737</v>
      </c>
      <c r="I11658" s="20">
        <v>19.649999999999999</v>
      </c>
      <c r="J11658" s="44" t="s">
        <v>8</v>
      </c>
      <c r="K11658" s="23" t="s">
        <v>8</v>
      </c>
      <c r="L11658" s="23" t="s">
        <v>8</v>
      </c>
      <c r="M11658" s="23" t="s">
        <v>8</v>
      </c>
    </row>
    <row r="11659" spans="1:13" s="21" customFormat="1" x14ac:dyDescent="0.25">
      <c r="A11659" s="22" t="s">
        <v>8</v>
      </c>
      <c r="B11659" s="18" t="str">
        <f>"395876"</f>
        <v>395876</v>
      </c>
      <c r="C11659" s="19" t="s">
        <v>11468</v>
      </c>
      <c r="D11659" s="19" t="s">
        <v>27066</v>
      </c>
      <c r="E11659" s="19" t="s">
        <v>31056</v>
      </c>
      <c r="F11659" s="19" t="s">
        <v>36012</v>
      </c>
      <c r="G11659" s="18" t="str">
        <f>"17013"</f>
        <v>17013</v>
      </c>
      <c r="H11659" s="19" t="s">
        <v>32766</v>
      </c>
      <c r="I11659" s="20">
        <v>17.030999999999999</v>
      </c>
      <c r="J11659" s="44" t="s">
        <v>8</v>
      </c>
      <c r="K11659" s="23" t="s">
        <v>8</v>
      </c>
      <c r="L11659" s="23" t="s">
        <v>8</v>
      </c>
      <c r="M11659" s="23" t="s">
        <v>8</v>
      </c>
    </row>
    <row r="11660" spans="1:13" s="21" customFormat="1" x14ac:dyDescent="0.25">
      <c r="A11660" s="22" t="s">
        <v>8</v>
      </c>
      <c r="B11660" s="18" t="str">
        <f>"395877"</f>
        <v>395877</v>
      </c>
      <c r="C11660" s="19" t="s">
        <v>11469</v>
      </c>
      <c r="D11660" s="19" t="s">
        <v>27067</v>
      </c>
      <c r="E11660" s="19" t="s">
        <v>34989</v>
      </c>
      <c r="F11660" s="19" t="s">
        <v>36012</v>
      </c>
      <c r="G11660" s="18" t="str">
        <f>"15824"</f>
        <v>15824</v>
      </c>
      <c r="H11660" s="19" t="s">
        <v>32391</v>
      </c>
      <c r="I11660" s="20">
        <v>17.943999999999999</v>
      </c>
      <c r="J11660" s="44" t="s">
        <v>8</v>
      </c>
      <c r="K11660" s="23" t="s">
        <v>8</v>
      </c>
      <c r="L11660" s="23" t="s">
        <v>8</v>
      </c>
      <c r="M11660" s="23" t="s">
        <v>8</v>
      </c>
    </row>
    <row r="11661" spans="1:13" s="21" customFormat="1" x14ac:dyDescent="0.25">
      <c r="A11661" s="22" t="s">
        <v>8</v>
      </c>
      <c r="B11661" s="18" t="str">
        <f>"395878"</f>
        <v>395878</v>
      </c>
      <c r="C11661" s="19" t="s">
        <v>11470</v>
      </c>
      <c r="D11661" s="19" t="s">
        <v>27068</v>
      </c>
      <c r="E11661" s="19" t="s">
        <v>34990</v>
      </c>
      <c r="F11661" s="19" t="s">
        <v>36012</v>
      </c>
      <c r="G11661" s="18" t="str">
        <f>"17961"</f>
        <v>17961</v>
      </c>
      <c r="H11661" s="19" t="s">
        <v>36737</v>
      </c>
      <c r="I11661" s="20">
        <v>17.355</v>
      </c>
      <c r="J11661" s="44" t="s">
        <v>8</v>
      </c>
      <c r="K11661" s="23" t="s">
        <v>8</v>
      </c>
      <c r="L11661" s="23" t="s">
        <v>8</v>
      </c>
      <c r="M11661" s="23" t="s">
        <v>8</v>
      </c>
    </row>
    <row r="11662" spans="1:13" s="21" customFormat="1" x14ac:dyDescent="0.25">
      <c r="A11662" s="22" t="s">
        <v>8</v>
      </c>
      <c r="B11662" s="18" t="str">
        <f>"395879"</f>
        <v>395879</v>
      </c>
      <c r="C11662" s="19" t="s">
        <v>11471</v>
      </c>
      <c r="D11662" s="19" t="s">
        <v>27069</v>
      </c>
      <c r="E11662" s="19" t="s">
        <v>34991</v>
      </c>
      <c r="F11662" s="19" t="s">
        <v>36012</v>
      </c>
      <c r="G11662" s="18" t="str">
        <f>"16137"</f>
        <v>16137</v>
      </c>
      <c r="H11662" s="19" t="s">
        <v>34991</v>
      </c>
      <c r="I11662" s="20">
        <v>20.867000000000001</v>
      </c>
      <c r="J11662" s="44" t="s">
        <v>8</v>
      </c>
      <c r="K11662" s="23" t="s">
        <v>8</v>
      </c>
      <c r="L11662" s="23" t="s">
        <v>8</v>
      </c>
      <c r="M11662" s="23" t="s">
        <v>8</v>
      </c>
    </row>
    <row r="11663" spans="1:13" s="21" customFormat="1" x14ac:dyDescent="0.25">
      <c r="A11663" s="22" t="s">
        <v>8</v>
      </c>
      <c r="B11663" s="18" t="str">
        <f>"395880"</f>
        <v>395880</v>
      </c>
      <c r="C11663" s="19" t="s">
        <v>11472</v>
      </c>
      <c r="D11663" s="19" t="s">
        <v>27070</v>
      </c>
      <c r="E11663" s="19" t="s">
        <v>34992</v>
      </c>
      <c r="F11663" s="19" t="s">
        <v>36012</v>
      </c>
      <c r="G11663" s="18" t="str">
        <f>"19565"</f>
        <v>19565</v>
      </c>
      <c r="H11663" s="19" t="s">
        <v>36734</v>
      </c>
      <c r="I11663" s="20">
        <v>19.091000000000001</v>
      </c>
      <c r="J11663" s="44" t="s">
        <v>8</v>
      </c>
      <c r="K11663" s="23" t="s">
        <v>8</v>
      </c>
      <c r="L11663" s="23" t="s">
        <v>8</v>
      </c>
      <c r="M11663" s="23" t="s">
        <v>8</v>
      </c>
    </row>
    <row r="11664" spans="1:13" s="21" customFormat="1" x14ac:dyDescent="0.25">
      <c r="A11664" s="22" t="s">
        <v>8</v>
      </c>
      <c r="B11664" s="18" t="str">
        <f>"395881"</f>
        <v>395881</v>
      </c>
      <c r="C11664" s="19" t="s">
        <v>362</v>
      </c>
      <c r="D11664" s="19" t="s">
        <v>27071</v>
      </c>
      <c r="E11664" s="19" t="s">
        <v>34811</v>
      </c>
      <c r="F11664" s="19" t="s">
        <v>36012</v>
      </c>
      <c r="G11664" s="18" t="str">
        <f>"18505"</f>
        <v>18505</v>
      </c>
      <c r="H11664" s="19" t="s">
        <v>36732</v>
      </c>
      <c r="I11664" s="20">
        <v>16.875</v>
      </c>
      <c r="J11664" s="44" t="s">
        <v>8</v>
      </c>
      <c r="K11664" s="23" t="s">
        <v>8</v>
      </c>
      <c r="L11664" s="23" t="s">
        <v>8</v>
      </c>
      <c r="M11664" s="23" t="s">
        <v>8</v>
      </c>
    </row>
    <row r="11665" spans="1:13" s="21" customFormat="1" x14ac:dyDescent="0.25">
      <c r="A11665" s="22" t="s">
        <v>8</v>
      </c>
      <c r="B11665" s="18" t="str">
        <f>"395882"</f>
        <v>395882</v>
      </c>
      <c r="C11665" s="19" t="s">
        <v>11473</v>
      </c>
      <c r="D11665" s="19" t="s">
        <v>27072</v>
      </c>
      <c r="E11665" s="19" t="s">
        <v>34971</v>
      </c>
      <c r="F11665" s="19" t="s">
        <v>36012</v>
      </c>
      <c r="G11665" s="18" t="str">
        <f>"15147"</f>
        <v>15147</v>
      </c>
      <c r="H11665" s="19" t="s">
        <v>36730</v>
      </c>
      <c r="I11665" s="20">
        <v>19.044</v>
      </c>
      <c r="J11665" s="44" t="s">
        <v>8</v>
      </c>
      <c r="K11665" s="23" t="s">
        <v>8</v>
      </c>
      <c r="L11665" s="23" t="s">
        <v>8</v>
      </c>
      <c r="M11665" s="23" t="s">
        <v>8</v>
      </c>
    </row>
    <row r="11666" spans="1:13" s="21" customFormat="1" x14ac:dyDescent="0.25">
      <c r="A11666" s="22" t="s">
        <v>8</v>
      </c>
      <c r="B11666" s="18" t="str">
        <f>"395883"</f>
        <v>395883</v>
      </c>
      <c r="C11666" s="19" t="s">
        <v>11474</v>
      </c>
      <c r="D11666" s="19" t="s">
        <v>27073</v>
      </c>
      <c r="E11666" s="19" t="s">
        <v>34801</v>
      </c>
      <c r="F11666" s="19" t="s">
        <v>36012</v>
      </c>
      <c r="G11666" s="18" t="str">
        <f>"15221"</f>
        <v>15221</v>
      </c>
      <c r="H11666" s="19" t="s">
        <v>36730</v>
      </c>
      <c r="I11666" s="20">
        <v>20.51</v>
      </c>
      <c r="J11666" s="44" t="s">
        <v>8</v>
      </c>
      <c r="K11666" s="23" t="s">
        <v>8</v>
      </c>
      <c r="L11666" s="23" t="s">
        <v>8</v>
      </c>
      <c r="M11666" s="23" t="s">
        <v>8</v>
      </c>
    </row>
    <row r="11667" spans="1:13" s="21" customFormat="1" x14ac:dyDescent="0.25">
      <c r="A11667" s="22" t="s">
        <v>8</v>
      </c>
      <c r="B11667" s="18" t="str">
        <f>"395889"</f>
        <v>395889</v>
      </c>
      <c r="C11667" s="19" t="s">
        <v>11475</v>
      </c>
      <c r="D11667" s="19" t="s">
        <v>27074</v>
      </c>
      <c r="E11667" s="19" t="s">
        <v>31498</v>
      </c>
      <c r="F11667" s="19" t="s">
        <v>36012</v>
      </c>
      <c r="G11667" s="18" t="str">
        <f>"16105"</f>
        <v>16105</v>
      </c>
      <c r="H11667" s="19" t="s">
        <v>32568</v>
      </c>
      <c r="I11667" s="20">
        <v>17.431999999999999</v>
      </c>
      <c r="J11667" s="44" t="s">
        <v>8</v>
      </c>
      <c r="K11667" s="23" t="s">
        <v>8</v>
      </c>
      <c r="L11667" s="23" t="s">
        <v>8</v>
      </c>
      <c r="M11667" s="23" t="s">
        <v>8</v>
      </c>
    </row>
    <row r="11668" spans="1:13" s="21" customFormat="1" x14ac:dyDescent="0.25">
      <c r="A11668" s="22" t="s">
        <v>8</v>
      </c>
      <c r="B11668" s="18" t="str">
        <f>"395890"</f>
        <v>395890</v>
      </c>
      <c r="C11668" s="19" t="s">
        <v>11476</v>
      </c>
      <c r="D11668" s="19" t="s">
        <v>27075</v>
      </c>
      <c r="E11668" s="19" t="s">
        <v>34910</v>
      </c>
      <c r="F11668" s="19" t="s">
        <v>36012</v>
      </c>
      <c r="G11668" s="18" t="str">
        <f>"16201"</f>
        <v>16201</v>
      </c>
      <c r="H11668" s="19" t="s">
        <v>32452</v>
      </c>
      <c r="I11668" s="20">
        <v>18.004000000000001</v>
      </c>
      <c r="J11668" s="44" t="s">
        <v>8</v>
      </c>
      <c r="K11668" s="23" t="s">
        <v>8</v>
      </c>
      <c r="L11668" s="23" t="s">
        <v>8</v>
      </c>
      <c r="M11668" s="23" t="s">
        <v>8</v>
      </c>
    </row>
    <row r="11669" spans="1:13" s="21" customFormat="1" x14ac:dyDescent="0.25">
      <c r="A11669" s="22" t="s">
        <v>8</v>
      </c>
      <c r="B11669" s="18" t="str">
        <f>"395891"</f>
        <v>395891</v>
      </c>
      <c r="C11669" s="19" t="s">
        <v>11477</v>
      </c>
      <c r="D11669" s="19" t="s">
        <v>27076</v>
      </c>
      <c r="E11669" s="19" t="s">
        <v>34993</v>
      </c>
      <c r="F11669" s="19" t="s">
        <v>36012</v>
      </c>
      <c r="G11669" s="18" t="str">
        <f>"15928"</f>
        <v>15928</v>
      </c>
      <c r="H11669" s="19" t="s">
        <v>32705</v>
      </c>
      <c r="I11669" s="20">
        <v>19.475999999999999</v>
      </c>
      <c r="J11669" s="44" t="s">
        <v>8</v>
      </c>
      <c r="K11669" s="23" t="s">
        <v>8</v>
      </c>
      <c r="L11669" s="23" t="s">
        <v>8</v>
      </c>
      <c r="M11669" s="23" t="s">
        <v>8</v>
      </c>
    </row>
    <row r="11670" spans="1:13" s="21" customFormat="1" x14ac:dyDescent="0.25">
      <c r="A11670" s="22" t="s">
        <v>8</v>
      </c>
      <c r="B11670" s="18" t="str">
        <f>"395892"</f>
        <v>395892</v>
      </c>
      <c r="C11670" s="19" t="s">
        <v>11478</v>
      </c>
      <c r="D11670" s="19" t="s">
        <v>27077</v>
      </c>
      <c r="E11670" s="19" t="s">
        <v>34984</v>
      </c>
      <c r="F11670" s="19" t="s">
        <v>36012</v>
      </c>
      <c r="G11670" s="18" t="str">
        <f>"15650"</f>
        <v>15650</v>
      </c>
      <c r="H11670" s="19" t="s">
        <v>32652</v>
      </c>
      <c r="I11670" s="20">
        <v>18.277000000000001</v>
      </c>
      <c r="J11670" s="44" t="s">
        <v>8</v>
      </c>
      <c r="K11670" s="23" t="s">
        <v>8</v>
      </c>
      <c r="L11670" s="23" t="s">
        <v>8</v>
      </c>
      <c r="M11670" s="23" t="s">
        <v>8</v>
      </c>
    </row>
    <row r="11671" spans="1:13" s="21" customFormat="1" x14ac:dyDescent="0.25">
      <c r="A11671" s="22" t="s">
        <v>8</v>
      </c>
      <c r="B11671" s="18" t="str">
        <f>"395893"</f>
        <v>395893</v>
      </c>
      <c r="C11671" s="19" t="s">
        <v>11479</v>
      </c>
      <c r="D11671" s="19" t="s">
        <v>27078</v>
      </c>
      <c r="E11671" s="19" t="s">
        <v>33514</v>
      </c>
      <c r="F11671" s="19" t="s">
        <v>36012</v>
      </c>
      <c r="G11671" s="18" t="str">
        <f>"19139"</f>
        <v>19139</v>
      </c>
      <c r="H11671" s="19" t="s">
        <v>33514</v>
      </c>
      <c r="I11671" s="20">
        <v>19.329000000000001</v>
      </c>
      <c r="J11671" s="44" t="s">
        <v>8</v>
      </c>
      <c r="K11671" s="23" t="s">
        <v>8</v>
      </c>
      <c r="L11671" s="23" t="s">
        <v>8</v>
      </c>
      <c r="M11671" s="23" t="s">
        <v>8</v>
      </c>
    </row>
    <row r="11672" spans="1:13" s="21" customFormat="1" x14ac:dyDescent="0.25">
      <c r="A11672" s="22" t="s">
        <v>8</v>
      </c>
      <c r="B11672" s="18" t="str">
        <f>"395894"</f>
        <v>395894</v>
      </c>
      <c r="C11672" s="19" t="s">
        <v>11480</v>
      </c>
      <c r="D11672" s="19" t="s">
        <v>27079</v>
      </c>
      <c r="E11672" s="19" t="s">
        <v>33549</v>
      </c>
      <c r="F11672" s="19" t="s">
        <v>36012</v>
      </c>
      <c r="G11672" s="18" t="str">
        <f>"16335"</f>
        <v>16335</v>
      </c>
      <c r="H11672" s="19" t="s">
        <v>31759</v>
      </c>
      <c r="I11672" s="20">
        <v>19.681999999999999</v>
      </c>
      <c r="J11672" s="44" t="s">
        <v>8</v>
      </c>
      <c r="K11672" s="23" t="s">
        <v>8</v>
      </c>
      <c r="L11672" s="23" t="s">
        <v>8</v>
      </c>
      <c r="M11672" s="23" t="s">
        <v>8</v>
      </c>
    </row>
    <row r="11673" spans="1:13" s="21" customFormat="1" x14ac:dyDescent="0.25">
      <c r="A11673" s="22" t="s">
        <v>8</v>
      </c>
      <c r="B11673" s="18" t="str">
        <f>"395895"</f>
        <v>395895</v>
      </c>
      <c r="C11673" s="19" t="s">
        <v>11481</v>
      </c>
      <c r="D11673" s="19" t="s">
        <v>27080</v>
      </c>
      <c r="E11673" s="19" t="s">
        <v>34885</v>
      </c>
      <c r="F11673" s="19" t="s">
        <v>36012</v>
      </c>
      <c r="G11673" s="18" t="str">
        <f>"17754"</f>
        <v>17754</v>
      </c>
      <c r="H11673" s="19" t="s">
        <v>36739</v>
      </c>
      <c r="I11673" s="20">
        <v>17.510999999999999</v>
      </c>
      <c r="J11673" s="44" t="s">
        <v>8</v>
      </c>
      <c r="K11673" s="23" t="s">
        <v>8</v>
      </c>
      <c r="L11673" s="23" t="s">
        <v>8</v>
      </c>
      <c r="M11673" s="23" t="s">
        <v>8</v>
      </c>
    </row>
    <row r="11674" spans="1:13" s="21" customFormat="1" x14ac:dyDescent="0.25">
      <c r="A11674" s="22" t="s">
        <v>8</v>
      </c>
      <c r="B11674" s="18" t="str">
        <f>"395896"</f>
        <v>395896</v>
      </c>
      <c r="C11674" s="19" t="s">
        <v>11482</v>
      </c>
      <c r="D11674" s="19" t="s">
        <v>27081</v>
      </c>
      <c r="E11674" s="19" t="s">
        <v>34931</v>
      </c>
      <c r="F11674" s="19" t="s">
        <v>36012</v>
      </c>
      <c r="G11674" s="18" t="str">
        <f>"16662"</f>
        <v>16662</v>
      </c>
      <c r="H11674" s="19" t="s">
        <v>33795</v>
      </c>
      <c r="I11674" s="20">
        <v>19.04</v>
      </c>
      <c r="J11674" s="44" t="s">
        <v>8</v>
      </c>
      <c r="K11674" s="23" t="s">
        <v>8</v>
      </c>
      <c r="L11674" s="23" t="s">
        <v>8</v>
      </c>
      <c r="M11674" s="23" t="s">
        <v>8</v>
      </c>
    </row>
    <row r="11675" spans="1:13" s="21" customFormat="1" x14ac:dyDescent="0.25">
      <c r="A11675" s="22" t="s">
        <v>8</v>
      </c>
      <c r="B11675" s="18" t="str">
        <f>"395898"</f>
        <v>395898</v>
      </c>
      <c r="C11675" s="19" t="s">
        <v>11483</v>
      </c>
      <c r="D11675" s="19" t="s">
        <v>27082</v>
      </c>
      <c r="E11675" s="19" t="s">
        <v>32235</v>
      </c>
      <c r="F11675" s="19" t="s">
        <v>36012</v>
      </c>
      <c r="G11675" s="18" t="str">
        <f>"17331"</f>
        <v>17331</v>
      </c>
      <c r="H11675" s="19" t="s">
        <v>30834</v>
      </c>
      <c r="I11675" s="20">
        <v>17.277999999999999</v>
      </c>
      <c r="J11675" s="44" t="s">
        <v>8</v>
      </c>
      <c r="K11675" s="23" t="s">
        <v>8</v>
      </c>
      <c r="L11675" s="23" t="s">
        <v>8</v>
      </c>
      <c r="M11675" s="23" t="s">
        <v>8</v>
      </c>
    </row>
    <row r="11676" spans="1:13" s="21" customFormat="1" x14ac:dyDescent="0.25">
      <c r="A11676" s="22" t="s">
        <v>8</v>
      </c>
      <c r="B11676" s="18" t="str">
        <f>"395899"</f>
        <v>395899</v>
      </c>
      <c r="C11676" s="19" t="s">
        <v>11484</v>
      </c>
      <c r="D11676" s="19" t="s">
        <v>27083</v>
      </c>
      <c r="E11676" s="19" t="s">
        <v>34994</v>
      </c>
      <c r="F11676" s="19" t="s">
        <v>36012</v>
      </c>
      <c r="G11676" s="18" t="str">
        <f>"17859"</f>
        <v>17859</v>
      </c>
      <c r="H11676" s="19" t="s">
        <v>32076</v>
      </c>
      <c r="I11676" s="20">
        <v>24.39</v>
      </c>
      <c r="J11676" s="44" t="s">
        <v>8</v>
      </c>
      <c r="K11676" s="23" t="s">
        <v>8</v>
      </c>
      <c r="L11676" s="23" t="s">
        <v>8</v>
      </c>
      <c r="M11676" s="23" t="s">
        <v>8</v>
      </c>
    </row>
    <row r="11677" spans="1:13" s="21" customFormat="1" x14ac:dyDescent="0.25">
      <c r="A11677" s="22" t="s">
        <v>8</v>
      </c>
      <c r="B11677" s="18" t="str">
        <f>"395901"</f>
        <v>395901</v>
      </c>
      <c r="C11677" s="19" t="s">
        <v>11485</v>
      </c>
      <c r="D11677" s="19" t="s">
        <v>27084</v>
      </c>
      <c r="E11677" s="19" t="s">
        <v>31605</v>
      </c>
      <c r="F11677" s="19" t="s">
        <v>36012</v>
      </c>
      <c r="G11677" s="18" t="str">
        <f>"16354"</f>
        <v>16354</v>
      </c>
      <c r="H11677" s="19" t="s">
        <v>31759</v>
      </c>
      <c r="I11677" s="20">
        <v>18.471</v>
      </c>
      <c r="J11677" s="44" t="s">
        <v>8</v>
      </c>
      <c r="K11677" s="23" t="s">
        <v>8</v>
      </c>
      <c r="L11677" s="23" t="s">
        <v>8</v>
      </c>
      <c r="M11677" s="23" t="s">
        <v>8</v>
      </c>
    </row>
    <row r="11678" spans="1:13" s="21" customFormat="1" x14ac:dyDescent="0.25">
      <c r="A11678" s="22" t="s">
        <v>8</v>
      </c>
      <c r="B11678" s="18" t="str">
        <f>"395902"</f>
        <v>395902</v>
      </c>
      <c r="C11678" s="19" t="s">
        <v>11486</v>
      </c>
      <c r="D11678" s="19" t="s">
        <v>27085</v>
      </c>
      <c r="E11678" s="19" t="s">
        <v>30834</v>
      </c>
      <c r="F11678" s="19" t="s">
        <v>36012</v>
      </c>
      <c r="G11678" s="18" t="str">
        <f>"17404"</f>
        <v>17404</v>
      </c>
      <c r="H11678" s="19" t="s">
        <v>30834</v>
      </c>
      <c r="I11678" s="20">
        <v>16.66</v>
      </c>
      <c r="J11678" s="44" t="s">
        <v>8</v>
      </c>
      <c r="K11678" s="23" t="s">
        <v>8</v>
      </c>
      <c r="L11678" s="23" t="s">
        <v>8</v>
      </c>
      <c r="M11678" s="23" t="s">
        <v>8</v>
      </c>
    </row>
    <row r="11679" spans="1:13" s="21" customFormat="1" x14ac:dyDescent="0.25">
      <c r="A11679" s="22" t="s">
        <v>8</v>
      </c>
      <c r="B11679" s="18" t="str">
        <f>"395903"</f>
        <v>395903</v>
      </c>
      <c r="C11679" s="19" t="s">
        <v>11487</v>
      </c>
      <c r="D11679" s="19" t="s">
        <v>27086</v>
      </c>
      <c r="E11679" s="19" t="s">
        <v>34861</v>
      </c>
      <c r="F11679" s="19" t="s">
        <v>36012</v>
      </c>
      <c r="G11679" s="18" t="str">
        <f>"15090"</f>
        <v>15090</v>
      </c>
      <c r="H11679" s="19" t="s">
        <v>36730</v>
      </c>
      <c r="I11679" s="20">
        <v>18.881</v>
      </c>
      <c r="J11679" s="44" t="s">
        <v>8</v>
      </c>
      <c r="K11679" s="23" t="s">
        <v>8</v>
      </c>
      <c r="L11679" s="23" t="s">
        <v>8</v>
      </c>
      <c r="M11679" s="23" t="s">
        <v>8</v>
      </c>
    </row>
    <row r="11680" spans="1:13" s="21" customFormat="1" x14ac:dyDescent="0.25">
      <c r="A11680" s="22" t="s">
        <v>8</v>
      </c>
      <c r="B11680" s="18" t="str">
        <f>"395904"</f>
        <v>395904</v>
      </c>
      <c r="C11680" s="19" t="s">
        <v>11488</v>
      </c>
      <c r="D11680" s="19" t="s">
        <v>27087</v>
      </c>
      <c r="E11680" s="19" t="s">
        <v>34866</v>
      </c>
      <c r="F11680" s="19" t="s">
        <v>36012</v>
      </c>
      <c r="G11680" s="18" t="str">
        <f>"19464"</f>
        <v>19464</v>
      </c>
      <c r="H11680" s="19" t="s">
        <v>30833</v>
      </c>
      <c r="I11680" s="20">
        <v>17.594999999999999</v>
      </c>
      <c r="J11680" s="44" t="s">
        <v>8</v>
      </c>
      <c r="K11680" s="23" t="s">
        <v>8</v>
      </c>
      <c r="L11680" s="23" t="s">
        <v>8</v>
      </c>
      <c r="M11680" s="23" t="s">
        <v>8</v>
      </c>
    </row>
    <row r="11681" spans="1:13" s="21" customFormat="1" x14ac:dyDescent="0.25">
      <c r="A11681" s="22" t="s">
        <v>8</v>
      </c>
      <c r="B11681" s="18" t="str">
        <f>"395905"</f>
        <v>395905</v>
      </c>
      <c r="C11681" s="19" t="s">
        <v>11489</v>
      </c>
      <c r="D11681" s="19" t="s">
        <v>27088</v>
      </c>
      <c r="E11681" s="19" t="s">
        <v>33111</v>
      </c>
      <c r="F11681" s="19" t="s">
        <v>36012</v>
      </c>
      <c r="G11681" s="18" t="str">
        <f>"18704"</f>
        <v>18704</v>
      </c>
      <c r="H11681" s="19" t="s">
        <v>36735</v>
      </c>
      <c r="I11681" s="20">
        <v>13.869</v>
      </c>
      <c r="J11681" s="44" t="s">
        <v>8</v>
      </c>
      <c r="K11681" s="23" t="s">
        <v>8</v>
      </c>
      <c r="L11681" s="23" t="s">
        <v>8</v>
      </c>
      <c r="M11681" s="23" t="s">
        <v>8</v>
      </c>
    </row>
    <row r="11682" spans="1:13" s="21" customFormat="1" x14ac:dyDescent="0.25">
      <c r="A11682" s="22" t="s">
        <v>8</v>
      </c>
      <c r="B11682" s="18" t="str">
        <f>"395906"</f>
        <v>395906</v>
      </c>
      <c r="C11682" s="19" t="s">
        <v>11490</v>
      </c>
      <c r="D11682" s="19" t="s">
        <v>27089</v>
      </c>
      <c r="E11682" s="19" t="s">
        <v>34986</v>
      </c>
      <c r="F11682" s="19" t="s">
        <v>36012</v>
      </c>
      <c r="G11682" s="18" t="str">
        <f>"15459"</f>
        <v>15459</v>
      </c>
      <c r="H11682" s="19" t="s">
        <v>30805</v>
      </c>
      <c r="I11682" s="20">
        <v>18.327999999999999</v>
      </c>
      <c r="J11682" s="44" t="s">
        <v>8</v>
      </c>
      <c r="K11682" s="23" t="s">
        <v>8</v>
      </c>
      <c r="L11682" s="23" t="s">
        <v>8</v>
      </c>
      <c r="M11682" s="23" t="s">
        <v>8</v>
      </c>
    </row>
    <row r="11683" spans="1:13" s="21" customFormat="1" x14ac:dyDescent="0.25">
      <c r="A11683" s="22" t="s">
        <v>8</v>
      </c>
      <c r="B11683" s="18" t="str">
        <f>"395907"</f>
        <v>395907</v>
      </c>
      <c r="C11683" s="19" t="s">
        <v>11491</v>
      </c>
      <c r="D11683" s="19" t="s">
        <v>27090</v>
      </c>
      <c r="E11683" s="19" t="s">
        <v>34805</v>
      </c>
      <c r="F11683" s="19" t="s">
        <v>36012</v>
      </c>
      <c r="G11683" s="18" t="str">
        <f>"16509"</f>
        <v>16509</v>
      </c>
      <c r="H11683" s="19" t="s">
        <v>34805</v>
      </c>
      <c r="I11683" s="20">
        <v>19.983000000000001</v>
      </c>
      <c r="J11683" s="44" t="s">
        <v>8</v>
      </c>
      <c r="K11683" s="23" t="s">
        <v>8</v>
      </c>
      <c r="L11683" s="23" t="s">
        <v>8</v>
      </c>
      <c r="M11683" s="23" t="s">
        <v>8</v>
      </c>
    </row>
    <row r="11684" spans="1:13" s="21" customFormat="1" x14ac:dyDescent="0.25">
      <c r="A11684" s="22" t="s">
        <v>8</v>
      </c>
      <c r="B11684" s="18" t="str">
        <f>"395908"</f>
        <v>395908</v>
      </c>
      <c r="C11684" s="19" t="s">
        <v>11492</v>
      </c>
      <c r="D11684" s="19" t="s">
        <v>27091</v>
      </c>
      <c r="E11684" s="19" t="s">
        <v>34878</v>
      </c>
      <c r="F11684" s="19" t="s">
        <v>36012</v>
      </c>
      <c r="G11684" s="18" t="str">
        <f>"16701"</f>
        <v>16701</v>
      </c>
      <c r="H11684" s="19" t="s">
        <v>36727</v>
      </c>
      <c r="I11684" s="20">
        <v>18.050999999999998</v>
      </c>
      <c r="J11684" s="44" t="s">
        <v>8</v>
      </c>
      <c r="K11684" s="23" t="s">
        <v>8</v>
      </c>
      <c r="L11684" s="23" t="s">
        <v>8</v>
      </c>
      <c r="M11684" s="23" t="s">
        <v>8</v>
      </c>
    </row>
    <row r="11685" spans="1:13" s="21" customFormat="1" x14ac:dyDescent="0.25">
      <c r="A11685" s="22" t="s">
        <v>8</v>
      </c>
      <c r="B11685" s="18" t="str">
        <f>"395909"</f>
        <v>395909</v>
      </c>
      <c r="C11685" s="19" t="s">
        <v>11493</v>
      </c>
      <c r="D11685" s="19" t="s">
        <v>27092</v>
      </c>
      <c r="E11685" s="19" t="s">
        <v>34995</v>
      </c>
      <c r="F11685" s="19" t="s">
        <v>36012</v>
      </c>
      <c r="G11685" s="18" t="str">
        <f>"18616"</f>
        <v>18616</v>
      </c>
      <c r="H11685" s="19" t="s">
        <v>31976</v>
      </c>
      <c r="I11685" s="20">
        <v>18.942</v>
      </c>
      <c r="J11685" s="44" t="s">
        <v>8</v>
      </c>
      <c r="K11685" s="23" t="s">
        <v>8</v>
      </c>
      <c r="L11685" s="23" t="s">
        <v>8</v>
      </c>
      <c r="M11685" s="23" t="s">
        <v>8</v>
      </c>
    </row>
    <row r="11686" spans="1:13" s="21" customFormat="1" x14ac:dyDescent="0.25">
      <c r="A11686" s="22" t="s">
        <v>8</v>
      </c>
      <c r="B11686" s="18" t="str">
        <f>"395912"</f>
        <v>395912</v>
      </c>
      <c r="C11686" s="19" t="s">
        <v>11494</v>
      </c>
      <c r="D11686" s="19" t="s">
        <v>27093</v>
      </c>
      <c r="E11686" s="19" t="s">
        <v>34875</v>
      </c>
      <c r="F11686" s="19" t="s">
        <v>36012</v>
      </c>
      <c r="G11686" s="18" t="str">
        <f>"19401"</f>
        <v>19401</v>
      </c>
      <c r="H11686" s="19" t="s">
        <v>30833</v>
      </c>
      <c r="I11686" s="20">
        <v>20.614999999999998</v>
      </c>
      <c r="J11686" s="44" t="s">
        <v>8</v>
      </c>
      <c r="K11686" s="23" t="s">
        <v>8</v>
      </c>
      <c r="L11686" s="23" t="s">
        <v>8</v>
      </c>
      <c r="M11686" s="23" t="s">
        <v>8</v>
      </c>
    </row>
    <row r="11687" spans="1:13" s="21" customFormat="1" x14ac:dyDescent="0.25">
      <c r="A11687" s="22" t="s">
        <v>8</v>
      </c>
      <c r="B11687" s="18" t="str">
        <f>"395913"</f>
        <v>395913</v>
      </c>
      <c r="C11687" s="19" t="s">
        <v>11495</v>
      </c>
      <c r="D11687" s="19" t="s">
        <v>27094</v>
      </c>
      <c r="E11687" s="19" t="s">
        <v>34996</v>
      </c>
      <c r="F11687" s="19" t="s">
        <v>36012</v>
      </c>
      <c r="G11687" s="18" t="str">
        <f>"19006"</f>
        <v>19006</v>
      </c>
      <c r="H11687" s="19" t="s">
        <v>30833</v>
      </c>
      <c r="I11687" s="20">
        <v>19.113</v>
      </c>
      <c r="J11687" s="44" t="s">
        <v>8</v>
      </c>
      <c r="K11687" s="23" t="s">
        <v>8</v>
      </c>
      <c r="L11687" s="23" t="s">
        <v>8</v>
      </c>
      <c r="M11687" s="23" t="s">
        <v>8</v>
      </c>
    </row>
    <row r="11688" spans="1:13" s="21" customFormat="1" x14ac:dyDescent="0.25">
      <c r="A11688" s="22" t="s">
        <v>8</v>
      </c>
      <c r="B11688" s="18" t="str">
        <f>"395915"</f>
        <v>395915</v>
      </c>
      <c r="C11688" s="19" t="s">
        <v>11496</v>
      </c>
      <c r="D11688" s="19" t="s">
        <v>27095</v>
      </c>
      <c r="E11688" s="19" t="s">
        <v>34969</v>
      </c>
      <c r="F11688" s="19" t="s">
        <v>36012</v>
      </c>
      <c r="G11688" s="18" t="str">
        <f>"17020"</f>
        <v>17020</v>
      </c>
      <c r="H11688" s="19" t="s">
        <v>31503</v>
      </c>
      <c r="I11688" s="20">
        <v>19.321999999999999</v>
      </c>
      <c r="J11688" s="44" t="s">
        <v>8</v>
      </c>
      <c r="K11688" s="23" t="s">
        <v>8</v>
      </c>
      <c r="L11688" s="23" t="s">
        <v>8</v>
      </c>
      <c r="M11688" s="23" t="s">
        <v>8</v>
      </c>
    </row>
    <row r="11689" spans="1:13" s="21" customFormat="1" x14ac:dyDescent="0.25">
      <c r="A11689" s="22" t="s">
        <v>8</v>
      </c>
      <c r="B11689" s="18" t="str">
        <f>"395916"</f>
        <v>395916</v>
      </c>
      <c r="C11689" s="19" t="s">
        <v>11497</v>
      </c>
      <c r="D11689" s="19" t="s">
        <v>27096</v>
      </c>
      <c r="E11689" s="19" t="s">
        <v>34843</v>
      </c>
      <c r="F11689" s="19" t="s">
        <v>36012</v>
      </c>
      <c r="G11689" s="18" t="str">
        <f>"18017"</f>
        <v>18017</v>
      </c>
      <c r="H11689" s="19" t="s">
        <v>33038</v>
      </c>
      <c r="I11689" s="20">
        <v>18.841000000000001</v>
      </c>
      <c r="J11689" s="44" t="s">
        <v>8</v>
      </c>
      <c r="K11689" s="23" t="s">
        <v>8</v>
      </c>
      <c r="L11689" s="23" t="s">
        <v>8</v>
      </c>
      <c r="M11689" s="23" t="s">
        <v>8</v>
      </c>
    </row>
    <row r="11690" spans="1:13" s="21" customFormat="1" x14ac:dyDescent="0.25">
      <c r="A11690" s="22" t="s">
        <v>8</v>
      </c>
      <c r="B11690" s="18" t="str">
        <f>"395917"</f>
        <v>395917</v>
      </c>
      <c r="C11690" s="19" t="s">
        <v>11498</v>
      </c>
      <c r="D11690" s="19" t="s">
        <v>27097</v>
      </c>
      <c r="E11690" s="19" t="s">
        <v>34997</v>
      </c>
      <c r="F11690" s="19" t="s">
        <v>36012</v>
      </c>
      <c r="G11690" s="18" t="str">
        <f>"19342"</f>
        <v>19342</v>
      </c>
      <c r="H11690" s="19" t="s">
        <v>34462</v>
      </c>
      <c r="I11690" s="20">
        <v>18.727</v>
      </c>
      <c r="J11690" s="44" t="s">
        <v>8</v>
      </c>
      <c r="K11690" s="23" t="s">
        <v>8</v>
      </c>
      <c r="L11690" s="23" t="s">
        <v>8</v>
      </c>
      <c r="M11690" s="23" t="s">
        <v>8</v>
      </c>
    </row>
    <row r="11691" spans="1:13" s="21" customFormat="1" x14ac:dyDescent="0.25">
      <c r="A11691" s="22" t="s">
        <v>8</v>
      </c>
      <c r="B11691" s="18" t="str">
        <f>"395918"</f>
        <v>395918</v>
      </c>
      <c r="C11691" s="19" t="s">
        <v>11499</v>
      </c>
      <c r="D11691" s="19" t="s">
        <v>27098</v>
      </c>
      <c r="E11691" s="19" t="s">
        <v>34797</v>
      </c>
      <c r="F11691" s="19" t="s">
        <v>36012</v>
      </c>
      <c r="G11691" s="18" t="str">
        <f>"17201"</f>
        <v>17201</v>
      </c>
      <c r="H11691" s="19" t="s">
        <v>5</v>
      </c>
      <c r="I11691" s="20">
        <v>18.939</v>
      </c>
      <c r="J11691" s="44" t="s">
        <v>8</v>
      </c>
      <c r="K11691" s="23" t="s">
        <v>8</v>
      </c>
      <c r="L11691" s="23" t="s">
        <v>8</v>
      </c>
      <c r="M11691" s="23" t="s">
        <v>8</v>
      </c>
    </row>
    <row r="11692" spans="1:13" s="21" customFormat="1" x14ac:dyDescent="0.25">
      <c r="A11692" s="22" t="s">
        <v>8</v>
      </c>
      <c r="B11692" s="18" t="str">
        <f>"395922"</f>
        <v>395922</v>
      </c>
      <c r="C11692" s="19" t="s">
        <v>11500</v>
      </c>
      <c r="D11692" s="19" t="s">
        <v>27099</v>
      </c>
      <c r="E11692" s="19" t="s">
        <v>34829</v>
      </c>
      <c r="F11692" s="19" t="s">
        <v>36012</v>
      </c>
      <c r="G11692" s="18" t="str">
        <f>"19002"</f>
        <v>19002</v>
      </c>
      <c r="H11692" s="19" t="s">
        <v>30833</v>
      </c>
      <c r="I11692" s="20">
        <v>18.157</v>
      </c>
      <c r="J11692" s="44" t="s">
        <v>8</v>
      </c>
      <c r="K11692" s="23" t="s">
        <v>8</v>
      </c>
      <c r="L11692" s="23" t="s">
        <v>8</v>
      </c>
      <c r="M11692" s="23" t="s">
        <v>8</v>
      </c>
    </row>
    <row r="11693" spans="1:13" s="21" customFormat="1" x14ac:dyDescent="0.25">
      <c r="A11693" s="22" t="s">
        <v>8</v>
      </c>
      <c r="B11693" s="18" t="str">
        <f>"395923"</f>
        <v>395923</v>
      </c>
      <c r="C11693" s="19" t="s">
        <v>11501</v>
      </c>
      <c r="D11693" s="19" t="s">
        <v>27100</v>
      </c>
      <c r="E11693" s="19" t="s">
        <v>31056</v>
      </c>
      <c r="F11693" s="19" t="s">
        <v>36012</v>
      </c>
      <c r="G11693" s="18" t="str">
        <f>"17013"</f>
        <v>17013</v>
      </c>
      <c r="H11693" s="19" t="s">
        <v>32766</v>
      </c>
      <c r="I11693" s="20">
        <v>17.555</v>
      </c>
      <c r="J11693" s="44" t="s">
        <v>8</v>
      </c>
      <c r="K11693" s="23" t="s">
        <v>8</v>
      </c>
      <c r="L11693" s="23" t="s">
        <v>8</v>
      </c>
      <c r="M11693" s="23" t="s">
        <v>8</v>
      </c>
    </row>
    <row r="11694" spans="1:13" s="21" customFormat="1" x14ac:dyDescent="0.25">
      <c r="A11694" s="22" t="s">
        <v>8</v>
      </c>
      <c r="B11694" s="18" t="str">
        <f>"395925"</f>
        <v>395925</v>
      </c>
      <c r="C11694" s="19" t="s">
        <v>11502</v>
      </c>
      <c r="D11694" s="19" t="s">
        <v>27101</v>
      </c>
      <c r="E11694" s="19" t="s">
        <v>34948</v>
      </c>
      <c r="F11694" s="19" t="s">
        <v>36012</v>
      </c>
      <c r="G11694" s="18" t="str">
        <f>"15132"</f>
        <v>15132</v>
      </c>
      <c r="H11694" s="19" t="s">
        <v>36730</v>
      </c>
      <c r="I11694" s="20">
        <v>19.132000000000001</v>
      </c>
      <c r="J11694" s="44" t="s">
        <v>8</v>
      </c>
      <c r="K11694" s="23" t="s">
        <v>8</v>
      </c>
      <c r="L11694" s="23" t="s">
        <v>8</v>
      </c>
      <c r="M11694" s="23" t="s">
        <v>8</v>
      </c>
    </row>
    <row r="11695" spans="1:13" s="21" customFormat="1" x14ac:dyDescent="0.25">
      <c r="A11695" s="22" t="s">
        <v>8</v>
      </c>
      <c r="B11695" s="18" t="str">
        <f>"395926"</f>
        <v>395926</v>
      </c>
      <c r="C11695" s="19" t="s">
        <v>11503</v>
      </c>
      <c r="D11695" s="19" t="s">
        <v>27102</v>
      </c>
      <c r="E11695" s="19" t="s">
        <v>34799</v>
      </c>
      <c r="F11695" s="19" t="s">
        <v>36012</v>
      </c>
      <c r="G11695" s="18" t="str">
        <f>"18102"</f>
        <v>18102</v>
      </c>
      <c r="H11695" s="19" t="s">
        <v>36731</v>
      </c>
      <c r="I11695" s="20">
        <v>18.776</v>
      </c>
      <c r="J11695" s="44" t="s">
        <v>8</v>
      </c>
      <c r="K11695" s="23" t="s">
        <v>8</v>
      </c>
      <c r="L11695" s="23" t="s">
        <v>8</v>
      </c>
      <c r="M11695" s="23" t="s">
        <v>8</v>
      </c>
    </row>
    <row r="11696" spans="1:13" s="21" customFormat="1" x14ac:dyDescent="0.25">
      <c r="A11696" s="22" t="s">
        <v>8</v>
      </c>
      <c r="B11696" s="18" t="str">
        <f>"395927"</f>
        <v>395927</v>
      </c>
      <c r="C11696" s="19" t="s">
        <v>11504</v>
      </c>
      <c r="D11696" s="19" t="s">
        <v>27103</v>
      </c>
      <c r="E11696" s="19" t="s">
        <v>34874</v>
      </c>
      <c r="F11696" s="19" t="s">
        <v>36012</v>
      </c>
      <c r="G11696" s="18" t="str">
        <f>"17067"</f>
        <v>17067</v>
      </c>
      <c r="H11696" s="19" t="s">
        <v>32035</v>
      </c>
      <c r="I11696" s="20">
        <v>18.016999999999999</v>
      </c>
      <c r="J11696" s="44" t="s">
        <v>8</v>
      </c>
      <c r="K11696" s="23" t="s">
        <v>8</v>
      </c>
      <c r="L11696" s="23" t="s">
        <v>8</v>
      </c>
      <c r="M11696" s="23" t="s">
        <v>8</v>
      </c>
    </row>
    <row r="11697" spans="1:13" s="21" customFormat="1" x14ac:dyDescent="0.25">
      <c r="A11697" s="22" t="s">
        <v>8</v>
      </c>
      <c r="B11697" s="18" t="str">
        <f>"395929"</f>
        <v>395929</v>
      </c>
      <c r="C11697" s="19" t="s">
        <v>11505</v>
      </c>
      <c r="D11697" s="19" t="s">
        <v>27104</v>
      </c>
      <c r="E11697" s="19" t="s">
        <v>32529</v>
      </c>
      <c r="F11697" s="19" t="s">
        <v>36012</v>
      </c>
      <c r="G11697" s="18" t="str">
        <f>"17976"</f>
        <v>17976</v>
      </c>
      <c r="H11697" s="19" t="s">
        <v>36737</v>
      </c>
      <c r="I11697" s="20">
        <v>21.370999999999999</v>
      </c>
      <c r="J11697" s="44" t="s">
        <v>8</v>
      </c>
      <c r="K11697" s="23" t="s">
        <v>8</v>
      </c>
      <c r="L11697" s="23" t="s">
        <v>8</v>
      </c>
      <c r="M11697" s="23" t="s">
        <v>8</v>
      </c>
    </row>
    <row r="11698" spans="1:13" s="21" customFormat="1" x14ac:dyDescent="0.25">
      <c r="A11698" s="22" t="s">
        <v>8</v>
      </c>
      <c r="B11698" s="18" t="str">
        <f>"395930"</f>
        <v>395930</v>
      </c>
      <c r="C11698" s="19" t="s">
        <v>11506</v>
      </c>
      <c r="D11698" s="19" t="s">
        <v>27105</v>
      </c>
      <c r="E11698" s="19" t="s">
        <v>34811</v>
      </c>
      <c r="F11698" s="19" t="s">
        <v>36012</v>
      </c>
      <c r="G11698" s="18" t="str">
        <f>"18501"</f>
        <v>18501</v>
      </c>
      <c r="H11698" s="19" t="s">
        <v>36732</v>
      </c>
      <c r="I11698" s="20">
        <v>22.285</v>
      </c>
      <c r="J11698" s="44" t="s">
        <v>8</v>
      </c>
      <c r="K11698" s="23" t="s">
        <v>8</v>
      </c>
      <c r="L11698" s="23" t="s">
        <v>8</v>
      </c>
      <c r="M11698" s="23" t="s">
        <v>8</v>
      </c>
    </row>
    <row r="11699" spans="1:13" s="21" customFormat="1" x14ac:dyDescent="0.25">
      <c r="A11699" s="22" t="s">
        <v>8</v>
      </c>
      <c r="B11699" s="18" t="str">
        <f>"395933"</f>
        <v>395933</v>
      </c>
      <c r="C11699" s="19" t="s">
        <v>11507</v>
      </c>
      <c r="D11699" s="19" t="s">
        <v>27106</v>
      </c>
      <c r="E11699" s="19" t="s">
        <v>32035</v>
      </c>
      <c r="F11699" s="19" t="s">
        <v>36012</v>
      </c>
      <c r="G11699" s="18" t="str">
        <f>"17046"</f>
        <v>17046</v>
      </c>
      <c r="H11699" s="19" t="s">
        <v>32035</v>
      </c>
      <c r="I11699" s="20">
        <v>19.443999999999999</v>
      </c>
      <c r="J11699" s="44" t="s">
        <v>8</v>
      </c>
      <c r="K11699" s="23" t="s">
        <v>8</v>
      </c>
      <c r="L11699" s="23" t="s">
        <v>8</v>
      </c>
      <c r="M11699" s="23" t="s">
        <v>8</v>
      </c>
    </row>
    <row r="11700" spans="1:13" s="21" customFormat="1" x14ac:dyDescent="0.25">
      <c r="A11700" s="22" t="s">
        <v>8</v>
      </c>
      <c r="B11700" s="18" t="str">
        <f>"395936"</f>
        <v>395936</v>
      </c>
      <c r="C11700" s="19" t="s">
        <v>11508</v>
      </c>
      <c r="D11700" s="19" t="s">
        <v>27107</v>
      </c>
      <c r="E11700" s="19" t="s">
        <v>34998</v>
      </c>
      <c r="F11700" s="19" t="s">
        <v>36012</v>
      </c>
      <c r="G11700" s="18" t="str">
        <f>"18472"</f>
        <v>18472</v>
      </c>
      <c r="H11700" s="19" t="s">
        <v>33280</v>
      </c>
      <c r="I11700" s="20">
        <v>22.591000000000001</v>
      </c>
      <c r="J11700" s="44" t="s">
        <v>8</v>
      </c>
      <c r="K11700" s="23" t="s">
        <v>8</v>
      </c>
      <c r="L11700" s="23" t="s">
        <v>8</v>
      </c>
      <c r="M11700" s="23" t="s">
        <v>8</v>
      </c>
    </row>
    <row r="11701" spans="1:13" s="21" customFormat="1" x14ac:dyDescent="0.25">
      <c r="A11701" s="22" t="s">
        <v>8</v>
      </c>
      <c r="B11701" s="18" t="str">
        <f>"395938"</f>
        <v>395938</v>
      </c>
      <c r="C11701" s="19" t="s">
        <v>11509</v>
      </c>
      <c r="D11701" s="19" t="s">
        <v>27108</v>
      </c>
      <c r="E11701" s="19" t="s">
        <v>33084</v>
      </c>
      <c r="F11701" s="19" t="s">
        <v>36012</v>
      </c>
      <c r="G11701" s="18" t="str">
        <f>"19606"</f>
        <v>19606</v>
      </c>
      <c r="H11701" s="19" t="s">
        <v>36734</v>
      </c>
      <c r="I11701" s="20">
        <v>12.772</v>
      </c>
      <c r="J11701" s="44" t="s">
        <v>8</v>
      </c>
      <c r="K11701" s="23" t="s">
        <v>8</v>
      </c>
      <c r="L11701" s="23" t="s">
        <v>8</v>
      </c>
      <c r="M11701" s="23" t="s">
        <v>8</v>
      </c>
    </row>
    <row r="11702" spans="1:13" s="21" customFormat="1" x14ac:dyDescent="0.25">
      <c r="A11702" s="22" t="s">
        <v>8</v>
      </c>
      <c r="B11702" s="18" t="str">
        <f>"395939"</f>
        <v>395939</v>
      </c>
      <c r="C11702" s="19" t="s">
        <v>11510</v>
      </c>
      <c r="D11702" s="19" t="s">
        <v>27109</v>
      </c>
      <c r="E11702" s="19" t="s">
        <v>34999</v>
      </c>
      <c r="F11702" s="19" t="s">
        <v>36012</v>
      </c>
      <c r="G11702" s="18" t="str">
        <f>"18062"</f>
        <v>18062</v>
      </c>
      <c r="H11702" s="19" t="s">
        <v>36731</v>
      </c>
      <c r="I11702" s="20">
        <v>17.292000000000002</v>
      </c>
      <c r="J11702" s="44" t="s">
        <v>8</v>
      </c>
      <c r="K11702" s="23" t="s">
        <v>8</v>
      </c>
      <c r="L11702" s="23" t="s">
        <v>8</v>
      </c>
      <c r="M11702" s="23" t="s">
        <v>8</v>
      </c>
    </row>
    <row r="11703" spans="1:13" s="21" customFormat="1" x14ac:dyDescent="0.25">
      <c r="A11703" s="22" t="s">
        <v>8</v>
      </c>
      <c r="B11703" s="18" t="str">
        <f>"395941"</f>
        <v>395941</v>
      </c>
      <c r="C11703" s="19" t="s">
        <v>11511</v>
      </c>
      <c r="D11703" s="19" t="s">
        <v>27110</v>
      </c>
      <c r="E11703" s="19" t="s">
        <v>34973</v>
      </c>
      <c r="F11703" s="19" t="s">
        <v>36012</v>
      </c>
      <c r="G11703" s="18" t="str">
        <f>"19610"</f>
        <v>19610</v>
      </c>
      <c r="H11703" s="19" t="s">
        <v>36734</v>
      </c>
      <c r="I11703" s="20">
        <v>18.809000000000001</v>
      </c>
      <c r="J11703" s="44" t="s">
        <v>8</v>
      </c>
      <c r="K11703" s="23" t="s">
        <v>8</v>
      </c>
      <c r="L11703" s="23" t="s">
        <v>8</v>
      </c>
      <c r="M11703" s="23" t="s">
        <v>8</v>
      </c>
    </row>
    <row r="11704" spans="1:13" s="21" customFormat="1" x14ac:dyDescent="0.25">
      <c r="A11704" s="22" t="s">
        <v>8</v>
      </c>
      <c r="B11704" s="18" t="str">
        <f>"395944"</f>
        <v>395944</v>
      </c>
      <c r="C11704" s="19" t="s">
        <v>11512</v>
      </c>
      <c r="D11704" s="19" t="s">
        <v>27111</v>
      </c>
      <c r="E11704" s="19" t="s">
        <v>34797</v>
      </c>
      <c r="F11704" s="19" t="s">
        <v>36012</v>
      </c>
      <c r="G11704" s="18" t="str">
        <f>"17201"</f>
        <v>17201</v>
      </c>
      <c r="H11704" s="19" t="s">
        <v>5</v>
      </c>
      <c r="I11704" s="20">
        <v>19.184999999999999</v>
      </c>
      <c r="J11704" s="44" t="s">
        <v>8</v>
      </c>
      <c r="K11704" s="23" t="s">
        <v>8</v>
      </c>
      <c r="L11704" s="23" t="s">
        <v>8</v>
      </c>
      <c r="M11704" s="23" t="s">
        <v>8</v>
      </c>
    </row>
    <row r="11705" spans="1:13" s="21" customFormat="1" x14ac:dyDescent="0.25">
      <c r="A11705" s="22" t="s">
        <v>8</v>
      </c>
      <c r="B11705" s="18" t="str">
        <f>"395948"</f>
        <v>395948</v>
      </c>
      <c r="C11705" s="19" t="s">
        <v>11513</v>
      </c>
      <c r="D11705" s="19" t="s">
        <v>27112</v>
      </c>
      <c r="E11705" s="19" t="s">
        <v>35000</v>
      </c>
      <c r="F11705" s="19" t="s">
        <v>36012</v>
      </c>
      <c r="G11705" s="18" t="str">
        <f>"15025"</f>
        <v>15025</v>
      </c>
      <c r="H11705" s="19" t="s">
        <v>36730</v>
      </c>
      <c r="I11705" s="20">
        <v>19.722000000000001</v>
      </c>
      <c r="J11705" s="44" t="s">
        <v>8</v>
      </c>
      <c r="K11705" s="23" t="s">
        <v>8</v>
      </c>
      <c r="L11705" s="23" t="s">
        <v>8</v>
      </c>
      <c r="M11705" s="23" t="s">
        <v>8</v>
      </c>
    </row>
    <row r="11706" spans="1:13" s="21" customFormat="1" x14ac:dyDescent="0.25">
      <c r="A11706" s="22" t="s">
        <v>8</v>
      </c>
      <c r="B11706" s="18" t="str">
        <f>"395950"</f>
        <v>395950</v>
      </c>
      <c r="C11706" s="19" t="s">
        <v>11514</v>
      </c>
      <c r="D11706" s="19" t="s">
        <v>27113</v>
      </c>
      <c r="E11706" s="19" t="s">
        <v>33514</v>
      </c>
      <c r="F11706" s="19" t="s">
        <v>36012</v>
      </c>
      <c r="G11706" s="18" t="str">
        <f>"19104"</f>
        <v>19104</v>
      </c>
      <c r="H11706" s="19" t="s">
        <v>33514</v>
      </c>
      <c r="I11706" s="20">
        <v>19.664999999999999</v>
      </c>
      <c r="J11706" s="44" t="s">
        <v>8</v>
      </c>
      <c r="K11706" s="23" t="s">
        <v>8</v>
      </c>
      <c r="L11706" s="23" t="s">
        <v>8</v>
      </c>
      <c r="M11706" s="23" t="s">
        <v>8</v>
      </c>
    </row>
    <row r="11707" spans="1:13" s="21" customFormat="1" x14ac:dyDescent="0.25">
      <c r="A11707" s="22" t="s">
        <v>8</v>
      </c>
      <c r="B11707" s="18" t="str">
        <f>"395951"</f>
        <v>395951</v>
      </c>
      <c r="C11707" s="19" t="s">
        <v>11515</v>
      </c>
      <c r="D11707" s="19" t="s">
        <v>27114</v>
      </c>
      <c r="E11707" s="19" t="s">
        <v>34799</v>
      </c>
      <c r="F11707" s="19" t="s">
        <v>36012</v>
      </c>
      <c r="G11707" s="18" t="str">
        <f>"18105"</f>
        <v>18105</v>
      </c>
      <c r="H11707" s="19" t="s">
        <v>36731</v>
      </c>
      <c r="I11707" s="20">
        <v>18.45</v>
      </c>
      <c r="J11707" s="44" t="s">
        <v>8</v>
      </c>
      <c r="K11707" s="23" t="s">
        <v>8</v>
      </c>
      <c r="L11707" s="23" t="s">
        <v>8</v>
      </c>
      <c r="M11707" s="23" t="s">
        <v>8</v>
      </c>
    </row>
    <row r="11708" spans="1:13" s="21" customFormat="1" x14ac:dyDescent="0.25">
      <c r="A11708" s="22" t="s">
        <v>8</v>
      </c>
      <c r="B11708" s="18" t="str">
        <f>"395952"</f>
        <v>395952</v>
      </c>
      <c r="C11708" s="19" t="s">
        <v>11516</v>
      </c>
      <c r="D11708" s="19" t="s">
        <v>27115</v>
      </c>
      <c r="E11708" s="19" t="s">
        <v>35001</v>
      </c>
      <c r="F11708" s="19" t="s">
        <v>36012</v>
      </c>
      <c r="G11708" s="18" t="str">
        <f>"19061"</f>
        <v>19061</v>
      </c>
      <c r="H11708" s="19" t="s">
        <v>34462</v>
      </c>
      <c r="I11708" s="20">
        <v>19.178999999999998</v>
      </c>
      <c r="J11708" s="44" t="s">
        <v>8</v>
      </c>
      <c r="K11708" s="23" t="s">
        <v>8</v>
      </c>
      <c r="L11708" s="23" t="s">
        <v>8</v>
      </c>
      <c r="M11708" s="23" t="s">
        <v>8</v>
      </c>
    </row>
    <row r="11709" spans="1:13" s="21" customFormat="1" x14ac:dyDescent="0.25">
      <c r="A11709" s="22" t="s">
        <v>8</v>
      </c>
      <c r="B11709" s="18" t="str">
        <f>"395953"</f>
        <v>395953</v>
      </c>
      <c r="C11709" s="19" t="s">
        <v>11517</v>
      </c>
      <c r="D11709" s="19" t="s">
        <v>27116</v>
      </c>
      <c r="E11709" s="19" t="s">
        <v>35002</v>
      </c>
      <c r="F11709" s="19" t="s">
        <v>36012</v>
      </c>
      <c r="G11709" s="18" t="str">
        <f>"17815"</f>
        <v>17815</v>
      </c>
      <c r="H11709" s="19" t="s">
        <v>32076</v>
      </c>
      <c r="I11709" s="20">
        <v>18.460999999999999</v>
      </c>
      <c r="J11709" s="44" t="s">
        <v>8</v>
      </c>
      <c r="K11709" s="23" t="s">
        <v>8</v>
      </c>
      <c r="L11709" s="23" t="s">
        <v>8</v>
      </c>
      <c r="M11709" s="23" t="s">
        <v>8</v>
      </c>
    </row>
    <row r="11710" spans="1:13" s="21" customFormat="1" x14ac:dyDescent="0.25">
      <c r="A11710" s="22" t="s">
        <v>8</v>
      </c>
      <c r="B11710" s="18" t="str">
        <f>"395956"</f>
        <v>395956</v>
      </c>
      <c r="C11710" s="19" t="s">
        <v>11518</v>
      </c>
      <c r="D11710" s="19" t="s">
        <v>27117</v>
      </c>
      <c r="E11710" s="19" t="s">
        <v>31184</v>
      </c>
      <c r="F11710" s="19" t="s">
        <v>36012</v>
      </c>
      <c r="G11710" s="18" t="str">
        <f>"17602"</f>
        <v>17602</v>
      </c>
      <c r="H11710" s="19" t="s">
        <v>31184</v>
      </c>
      <c r="I11710" s="20">
        <v>15.286</v>
      </c>
      <c r="J11710" s="44" t="s">
        <v>8</v>
      </c>
      <c r="K11710" s="23" t="s">
        <v>8</v>
      </c>
      <c r="L11710" s="23" t="s">
        <v>8</v>
      </c>
      <c r="M11710" s="23" t="s">
        <v>8</v>
      </c>
    </row>
    <row r="11711" spans="1:13" s="21" customFormat="1" x14ac:dyDescent="0.25">
      <c r="A11711" s="22" t="s">
        <v>8</v>
      </c>
      <c r="B11711" s="18" t="str">
        <f>"395959"</f>
        <v>395959</v>
      </c>
      <c r="C11711" s="19" t="s">
        <v>11519</v>
      </c>
      <c r="D11711" s="19" t="s">
        <v>27118</v>
      </c>
      <c r="E11711" s="19" t="s">
        <v>5</v>
      </c>
      <c r="F11711" s="19" t="s">
        <v>36012</v>
      </c>
      <c r="G11711" s="18" t="str">
        <f>"16323"</f>
        <v>16323</v>
      </c>
      <c r="H11711" s="19" t="s">
        <v>36740</v>
      </c>
      <c r="I11711" s="20">
        <v>15.435</v>
      </c>
      <c r="J11711" s="44" t="s">
        <v>8</v>
      </c>
      <c r="K11711" s="23" t="s">
        <v>8</v>
      </c>
      <c r="L11711" s="23" t="s">
        <v>8</v>
      </c>
      <c r="M11711" s="23" t="s">
        <v>8</v>
      </c>
    </row>
    <row r="11712" spans="1:13" s="21" customFormat="1" x14ac:dyDescent="0.25">
      <c r="A11712" s="22" t="s">
        <v>8</v>
      </c>
      <c r="B11712" s="18" t="str">
        <f>"395961"</f>
        <v>395961</v>
      </c>
      <c r="C11712" s="19" t="s">
        <v>11520</v>
      </c>
      <c r="D11712" s="19" t="s">
        <v>27119</v>
      </c>
      <c r="E11712" s="19" t="s">
        <v>33514</v>
      </c>
      <c r="F11712" s="19" t="s">
        <v>36012</v>
      </c>
      <c r="G11712" s="18" t="str">
        <f>"19111"</f>
        <v>19111</v>
      </c>
      <c r="H11712" s="19" t="s">
        <v>33514</v>
      </c>
      <c r="I11712" s="20">
        <v>14.922000000000001</v>
      </c>
      <c r="J11712" s="44" t="s">
        <v>8</v>
      </c>
      <c r="K11712" s="23" t="s">
        <v>8</v>
      </c>
      <c r="L11712" s="23" t="s">
        <v>8</v>
      </c>
      <c r="M11712" s="23" t="s">
        <v>8</v>
      </c>
    </row>
    <row r="11713" spans="1:13" s="21" customFormat="1" x14ac:dyDescent="0.25">
      <c r="A11713" s="22" t="s">
        <v>8</v>
      </c>
      <c r="B11713" s="18" t="str">
        <f>"395964"</f>
        <v>395964</v>
      </c>
      <c r="C11713" s="19" t="s">
        <v>11521</v>
      </c>
      <c r="D11713" s="19" t="s">
        <v>27120</v>
      </c>
      <c r="E11713" s="19" t="s">
        <v>35003</v>
      </c>
      <c r="F11713" s="19" t="s">
        <v>36012</v>
      </c>
      <c r="G11713" s="18" t="str">
        <f>"17257"</f>
        <v>17257</v>
      </c>
      <c r="H11713" s="19" t="s">
        <v>32766</v>
      </c>
      <c r="I11713" s="20">
        <v>18.925000000000001</v>
      </c>
      <c r="J11713" s="44" t="s">
        <v>8</v>
      </c>
      <c r="K11713" s="23" t="s">
        <v>8</v>
      </c>
      <c r="L11713" s="23" t="s">
        <v>8</v>
      </c>
      <c r="M11713" s="23" t="s">
        <v>8</v>
      </c>
    </row>
    <row r="11714" spans="1:13" s="21" customFormat="1" x14ac:dyDescent="0.25">
      <c r="A11714" s="22" t="s">
        <v>8</v>
      </c>
      <c r="B11714" s="18" t="str">
        <f>"395966"</f>
        <v>395966</v>
      </c>
      <c r="C11714" s="19" t="s">
        <v>11522</v>
      </c>
      <c r="D11714" s="19" t="s">
        <v>27121</v>
      </c>
      <c r="E11714" s="19" t="s">
        <v>32641</v>
      </c>
      <c r="F11714" s="19" t="s">
        <v>36012</v>
      </c>
      <c r="G11714" s="18" t="str">
        <f>"16346"</f>
        <v>16346</v>
      </c>
      <c r="H11714" s="19" t="s">
        <v>36740</v>
      </c>
      <c r="I11714" s="20">
        <v>19.436</v>
      </c>
      <c r="J11714" s="44" t="s">
        <v>8</v>
      </c>
      <c r="K11714" s="23" t="s">
        <v>8</v>
      </c>
      <c r="L11714" s="23" t="s">
        <v>8</v>
      </c>
      <c r="M11714" s="23" t="s">
        <v>8</v>
      </c>
    </row>
    <row r="11715" spans="1:13" s="21" customFormat="1" x14ac:dyDescent="0.25">
      <c r="A11715" s="22" t="s">
        <v>8</v>
      </c>
      <c r="B11715" s="18" t="str">
        <f>"395974"</f>
        <v>395974</v>
      </c>
      <c r="C11715" s="19" t="s">
        <v>7517</v>
      </c>
      <c r="D11715" s="19" t="s">
        <v>27122</v>
      </c>
      <c r="E11715" s="19" t="s">
        <v>34920</v>
      </c>
      <c r="F11715" s="19" t="s">
        <v>36012</v>
      </c>
      <c r="G11715" s="18" t="str">
        <f>"19063"</f>
        <v>19063</v>
      </c>
      <c r="H11715" s="19" t="s">
        <v>34462</v>
      </c>
      <c r="I11715" s="20">
        <v>19.646000000000001</v>
      </c>
      <c r="J11715" s="44" t="s">
        <v>8</v>
      </c>
      <c r="K11715" s="23" t="s">
        <v>8</v>
      </c>
      <c r="L11715" s="23" t="s">
        <v>8</v>
      </c>
      <c r="M11715" s="23" t="s">
        <v>8</v>
      </c>
    </row>
    <row r="11716" spans="1:13" s="21" customFormat="1" x14ac:dyDescent="0.25">
      <c r="A11716" s="22" t="s">
        <v>8</v>
      </c>
      <c r="B11716" s="18" t="str">
        <f>"395977"</f>
        <v>395977</v>
      </c>
      <c r="C11716" s="19" t="s">
        <v>11523</v>
      </c>
      <c r="D11716" s="19" t="s">
        <v>27123</v>
      </c>
      <c r="E11716" s="19" t="s">
        <v>34841</v>
      </c>
      <c r="F11716" s="19" t="s">
        <v>36012</v>
      </c>
      <c r="G11716" s="18" t="str">
        <f>"15401"</f>
        <v>15401</v>
      </c>
      <c r="H11716" s="19" t="s">
        <v>30805</v>
      </c>
      <c r="I11716" s="20">
        <v>18.861000000000001</v>
      </c>
      <c r="J11716" s="44" t="s">
        <v>8</v>
      </c>
      <c r="K11716" s="23" t="s">
        <v>8</v>
      </c>
      <c r="L11716" s="23" t="s">
        <v>8</v>
      </c>
      <c r="M11716" s="23" t="s">
        <v>8</v>
      </c>
    </row>
    <row r="11717" spans="1:13" s="21" customFormat="1" x14ac:dyDescent="0.25">
      <c r="A11717" s="22" t="s">
        <v>8</v>
      </c>
      <c r="B11717" s="18" t="str">
        <f>"395983"</f>
        <v>395983</v>
      </c>
      <c r="C11717" s="19" t="s">
        <v>11524</v>
      </c>
      <c r="D11717" s="19" t="s">
        <v>27124</v>
      </c>
      <c r="E11717" s="19" t="s">
        <v>33514</v>
      </c>
      <c r="F11717" s="19" t="s">
        <v>36012</v>
      </c>
      <c r="G11717" s="18" t="str">
        <f>"19131"</f>
        <v>19131</v>
      </c>
      <c r="H11717" s="19" t="s">
        <v>33514</v>
      </c>
      <c r="I11717" s="20">
        <v>20.626999999999999</v>
      </c>
      <c r="J11717" s="44" t="s">
        <v>8</v>
      </c>
      <c r="K11717" s="23" t="s">
        <v>8</v>
      </c>
      <c r="L11717" s="23" t="s">
        <v>8</v>
      </c>
      <c r="M11717" s="23" t="s">
        <v>8</v>
      </c>
    </row>
    <row r="11718" spans="1:13" s="21" customFormat="1" x14ac:dyDescent="0.25">
      <c r="A11718" s="22" t="s">
        <v>8</v>
      </c>
      <c r="B11718" s="18" t="str">
        <f>"395984"</f>
        <v>395984</v>
      </c>
      <c r="C11718" s="19" t="s">
        <v>11525</v>
      </c>
      <c r="D11718" s="19" t="s">
        <v>27125</v>
      </c>
      <c r="E11718" s="19" t="s">
        <v>31359</v>
      </c>
      <c r="F11718" s="19" t="s">
        <v>36012</v>
      </c>
      <c r="G11718" s="18" t="str">
        <f>"18407"</f>
        <v>18407</v>
      </c>
      <c r="H11718" s="19" t="s">
        <v>36732</v>
      </c>
      <c r="I11718" s="20">
        <v>22.186</v>
      </c>
      <c r="J11718" s="44" t="s">
        <v>8</v>
      </c>
      <c r="K11718" s="23" t="s">
        <v>8</v>
      </c>
      <c r="L11718" s="23" t="s">
        <v>8</v>
      </c>
      <c r="M11718" s="23" t="s">
        <v>8</v>
      </c>
    </row>
    <row r="11719" spans="1:13" s="21" customFormat="1" x14ac:dyDescent="0.25">
      <c r="A11719" s="22" t="s">
        <v>8</v>
      </c>
      <c r="B11719" s="18" t="str">
        <f>"395985"</f>
        <v>395985</v>
      </c>
      <c r="C11719" s="19" t="s">
        <v>11526</v>
      </c>
      <c r="D11719" s="19" t="s">
        <v>27126</v>
      </c>
      <c r="E11719" s="19" t="s">
        <v>30849</v>
      </c>
      <c r="F11719" s="19" t="s">
        <v>36012</v>
      </c>
      <c r="G11719" s="18" t="str">
        <f>"16601"</f>
        <v>16601</v>
      </c>
      <c r="H11719" s="19" t="s">
        <v>33795</v>
      </c>
      <c r="I11719" s="20">
        <v>17.657</v>
      </c>
      <c r="J11719" s="44" t="s">
        <v>8</v>
      </c>
      <c r="K11719" s="23" t="s">
        <v>8</v>
      </c>
      <c r="L11719" s="23" t="s">
        <v>8</v>
      </c>
      <c r="M11719" s="23" t="s">
        <v>8</v>
      </c>
    </row>
    <row r="11720" spans="1:13" s="21" customFormat="1" x14ac:dyDescent="0.25">
      <c r="A11720" s="22" t="s">
        <v>8</v>
      </c>
      <c r="B11720" s="18" t="str">
        <f>"395986"</f>
        <v>395986</v>
      </c>
      <c r="C11720" s="19" t="s">
        <v>11527</v>
      </c>
      <c r="D11720" s="19" t="s">
        <v>27127</v>
      </c>
      <c r="E11720" s="19" t="s">
        <v>34910</v>
      </c>
      <c r="F11720" s="19" t="s">
        <v>36012</v>
      </c>
      <c r="G11720" s="18" t="str">
        <f>"16201"</f>
        <v>16201</v>
      </c>
      <c r="H11720" s="19" t="s">
        <v>32452</v>
      </c>
      <c r="I11720" s="20">
        <v>18.472000000000001</v>
      </c>
      <c r="J11720" s="44" t="s">
        <v>8</v>
      </c>
      <c r="K11720" s="23" t="s">
        <v>8</v>
      </c>
      <c r="L11720" s="23" t="s">
        <v>8</v>
      </c>
      <c r="M11720" s="23" t="s">
        <v>8</v>
      </c>
    </row>
    <row r="11721" spans="1:13" s="21" customFormat="1" x14ac:dyDescent="0.25">
      <c r="A11721" s="22" t="s">
        <v>8</v>
      </c>
      <c r="B11721" s="18" t="str">
        <f>"395987"</f>
        <v>395987</v>
      </c>
      <c r="C11721" s="19" t="s">
        <v>11528</v>
      </c>
      <c r="D11721" s="19" t="s">
        <v>27128</v>
      </c>
      <c r="E11721" s="19" t="s">
        <v>35004</v>
      </c>
      <c r="F11721" s="19" t="s">
        <v>36012</v>
      </c>
      <c r="G11721" s="18" t="str">
        <f>"17866"</f>
        <v>17866</v>
      </c>
      <c r="H11721" s="19" t="s">
        <v>34890</v>
      </c>
      <c r="I11721" s="20">
        <v>21.05</v>
      </c>
      <c r="J11721" s="44" t="s">
        <v>8</v>
      </c>
      <c r="K11721" s="23" t="s">
        <v>8</v>
      </c>
      <c r="L11721" s="23" t="s">
        <v>8</v>
      </c>
      <c r="M11721" s="23" t="s">
        <v>8</v>
      </c>
    </row>
    <row r="11722" spans="1:13" s="21" customFormat="1" x14ac:dyDescent="0.25">
      <c r="A11722" s="22" t="s">
        <v>8</v>
      </c>
      <c r="B11722" s="18" t="str">
        <f>"395989"</f>
        <v>395989</v>
      </c>
      <c r="C11722" s="19" t="s">
        <v>11529</v>
      </c>
      <c r="D11722" s="19" t="s">
        <v>27129</v>
      </c>
      <c r="E11722" s="19" t="s">
        <v>34883</v>
      </c>
      <c r="F11722" s="19" t="s">
        <v>36012</v>
      </c>
      <c r="G11722" s="18" t="str">
        <f>"19050"</f>
        <v>19050</v>
      </c>
      <c r="H11722" s="19" t="s">
        <v>34462</v>
      </c>
      <c r="I11722" s="20">
        <v>17.811</v>
      </c>
      <c r="J11722" s="44" t="s">
        <v>8</v>
      </c>
      <c r="K11722" s="23" t="s">
        <v>8</v>
      </c>
      <c r="L11722" s="23" t="s">
        <v>8</v>
      </c>
      <c r="M11722" s="23" t="s">
        <v>8</v>
      </c>
    </row>
    <row r="11723" spans="1:13" s="21" customFormat="1" x14ac:dyDescent="0.25">
      <c r="A11723" s="22" t="s">
        <v>8</v>
      </c>
      <c r="B11723" s="18" t="str">
        <f>"395990"</f>
        <v>395990</v>
      </c>
      <c r="C11723" s="19" t="s">
        <v>11530</v>
      </c>
      <c r="D11723" s="19" t="s">
        <v>27130</v>
      </c>
      <c r="E11723" s="19" t="s">
        <v>34416</v>
      </c>
      <c r="F11723" s="19" t="s">
        <v>36012</v>
      </c>
      <c r="G11723" s="18" t="str">
        <f>"16127"</f>
        <v>16127</v>
      </c>
      <c r="H11723" s="19" t="s">
        <v>34991</v>
      </c>
      <c r="I11723" s="20">
        <v>18.66</v>
      </c>
      <c r="J11723" s="44" t="s">
        <v>8</v>
      </c>
      <c r="K11723" s="23" t="s">
        <v>8</v>
      </c>
      <c r="L11723" s="23" t="s">
        <v>8</v>
      </c>
      <c r="M11723" s="23" t="s">
        <v>8</v>
      </c>
    </row>
    <row r="11724" spans="1:13" s="21" customFormat="1" x14ac:dyDescent="0.25">
      <c r="A11724" s="22" t="s">
        <v>8</v>
      </c>
      <c r="B11724" s="18" t="str">
        <f>"395996"</f>
        <v>395996</v>
      </c>
      <c r="C11724" s="19" t="s">
        <v>11531</v>
      </c>
      <c r="D11724" s="19" t="s">
        <v>27131</v>
      </c>
      <c r="E11724" s="19" t="s">
        <v>34805</v>
      </c>
      <c r="F11724" s="19" t="s">
        <v>36012</v>
      </c>
      <c r="G11724" s="18" t="str">
        <f>"16505"</f>
        <v>16505</v>
      </c>
      <c r="H11724" s="19" t="s">
        <v>34805</v>
      </c>
      <c r="I11724" s="20">
        <v>19.561</v>
      </c>
      <c r="J11724" s="44" t="s">
        <v>8</v>
      </c>
      <c r="K11724" s="23" t="s">
        <v>8</v>
      </c>
      <c r="L11724" s="23" t="s">
        <v>8</v>
      </c>
      <c r="M11724" s="23" t="s">
        <v>8</v>
      </c>
    </row>
    <row r="11725" spans="1:13" s="21" customFormat="1" x14ac:dyDescent="0.25">
      <c r="A11725" s="22" t="s">
        <v>8</v>
      </c>
      <c r="B11725" s="18" t="str">
        <f>"395998"</f>
        <v>395998</v>
      </c>
      <c r="C11725" s="19" t="s">
        <v>11532</v>
      </c>
      <c r="D11725" s="19" t="s">
        <v>27132</v>
      </c>
      <c r="E11725" s="19" t="s">
        <v>30834</v>
      </c>
      <c r="F11725" s="19" t="s">
        <v>36012</v>
      </c>
      <c r="G11725" s="18" t="str">
        <f>"17402"</f>
        <v>17402</v>
      </c>
      <c r="H11725" s="19" t="s">
        <v>30834</v>
      </c>
      <c r="I11725" s="20">
        <v>19.925999999999998</v>
      </c>
      <c r="J11725" s="44" t="s">
        <v>8</v>
      </c>
      <c r="K11725" s="23" t="s">
        <v>8</v>
      </c>
      <c r="L11725" s="23" t="s">
        <v>8</v>
      </c>
      <c r="M11725" s="23" t="s">
        <v>8</v>
      </c>
    </row>
    <row r="11726" spans="1:13" s="21" customFormat="1" x14ac:dyDescent="0.25">
      <c r="A11726" s="22" t="s">
        <v>8</v>
      </c>
      <c r="B11726" s="18" t="str">
        <f>"396001"</f>
        <v>396001</v>
      </c>
      <c r="C11726" s="19" t="s">
        <v>11533</v>
      </c>
      <c r="D11726" s="19" t="s">
        <v>26708</v>
      </c>
      <c r="E11726" s="19" t="s">
        <v>34662</v>
      </c>
      <c r="F11726" s="19" t="s">
        <v>36012</v>
      </c>
      <c r="G11726" s="18" t="str">
        <f>"19096"</f>
        <v>19096</v>
      </c>
      <c r="H11726" s="19" t="s">
        <v>30833</v>
      </c>
      <c r="I11726" s="20">
        <v>15.285</v>
      </c>
      <c r="J11726" s="44" t="s">
        <v>8</v>
      </c>
      <c r="K11726" s="23" t="s">
        <v>8</v>
      </c>
      <c r="L11726" s="23" t="s">
        <v>8</v>
      </c>
      <c r="M11726" s="23" t="s">
        <v>8</v>
      </c>
    </row>
    <row r="11727" spans="1:13" s="21" customFormat="1" x14ac:dyDescent="0.25">
      <c r="A11727" s="22" t="s">
        <v>8</v>
      </c>
      <c r="B11727" s="18" t="str">
        <f>"396002"</f>
        <v>396002</v>
      </c>
      <c r="C11727" s="19" t="s">
        <v>11534</v>
      </c>
      <c r="D11727" s="19" t="s">
        <v>27133</v>
      </c>
      <c r="E11727" s="19" t="s">
        <v>35005</v>
      </c>
      <c r="F11727" s="19" t="s">
        <v>36012</v>
      </c>
      <c r="G11727" s="18" t="str">
        <f>"19152"</f>
        <v>19152</v>
      </c>
      <c r="H11727" s="19" t="s">
        <v>33514</v>
      </c>
      <c r="I11727" s="20">
        <v>20.443999999999999</v>
      </c>
      <c r="J11727" s="44" t="s">
        <v>8</v>
      </c>
      <c r="K11727" s="23" t="s">
        <v>8</v>
      </c>
      <c r="L11727" s="23" t="s">
        <v>8</v>
      </c>
      <c r="M11727" s="23" t="s">
        <v>8</v>
      </c>
    </row>
    <row r="11728" spans="1:13" s="21" customFormat="1" x14ac:dyDescent="0.25">
      <c r="A11728" s="22" t="s">
        <v>8</v>
      </c>
      <c r="B11728" s="18" t="str">
        <f>"396003"</f>
        <v>396003</v>
      </c>
      <c r="C11728" s="19" t="s">
        <v>11535</v>
      </c>
      <c r="D11728" s="19" t="s">
        <v>27134</v>
      </c>
      <c r="E11728" s="19" t="s">
        <v>30905</v>
      </c>
      <c r="F11728" s="19" t="s">
        <v>36012</v>
      </c>
      <c r="G11728" s="18" t="str">
        <f>"15146"</f>
        <v>15146</v>
      </c>
      <c r="H11728" s="19" t="s">
        <v>36730</v>
      </c>
      <c r="I11728" s="20">
        <v>22.387</v>
      </c>
      <c r="J11728" s="44" t="s">
        <v>8</v>
      </c>
      <c r="K11728" s="23" t="s">
        <v>8</v>
      </c>
      <c r="L11728" s="23" t="s">
        <v>8</v>
      </c>
      <c r="M11728" s="23" t="s">
        <v>8</v>
      </c>
    </row>
    <row r="11729" spans="1:13" s="21" customFormat="1" x14ac:dyDescent="0.25">
      <c r="A11729" s="22" t="s">
        <v>8</v>
      </c>
      <c r="B11729" s="18" t="str">
        <f>"396009"</f>
        <v>396009</v>
      </c>
      <c r="C11729" s="19" t="s">
        <v>11536</v>
      </c>
      <c r="D11729" s="19" t="s">
        <v>27135</v>
      </c>
      <c r="E11729" s="19" t="s">
        <v>34875</v>
      </c>
      <c r="F11729" s="19" t="s">
        <v>36012</v>
      </c>
      <c r="G11729" s="18" t="str">
        <f>"19401"</f>
        <v>19401</v>
      </c>
      <c r="H11729" s="19" t="s">
        <v>30833</v>
      </c>
      <c r="I11729" s="20">
        <v>20.344999999999999</v>
      </c>
      <c r="J11729" s="44" t="s">
        <v>8</v>
      </c>
      <c r="K11729" s="23" t="s">
        <v>8</v>
      </c>
      <c r="L11729" s="23" t="s">
        <v>8</v>
      </c>
      <c r="M11729" s="23" t="s">
        <v>8</v>
      </c>
    </row>
    <row r="11730" spans="1:13" s="21" customFormat="1" x14ac:dyDescent="0.25">
      <c r="A11730" s="22" t="s">
        <v>8</v>
      </c>
      <c r="B11730" s="18" t="str">
        <f>"396015"</f>
        <v>396015</v>
      </c>
      <c r="C11730" s="19" t="s">
        <v>11537</v>
      </c>
      <c r="D11730" s="19" t="s">
        <v>27136</v>
      </c>
      <c r="E11730" s="19" t="s">
        <v>34786</v>
      </c>
      <c r="F11730" s="19" t="s">
        <v>36012</v>
      </c>
      <c r="G11730" s="18" t="str">
        <f>"16652"</f>
        <v>16652</v>
      </c>
      <c r="H11730" s="19" t="s">
        <v>34786</v>
      </c>
      <c r="I11730" s="20">
        <v>16.103999999999999</v>
      </c>
      <c r="J11730" s="44" t="s">
        <v>8</v>
      </c>
      <c r="K11730" s="23" t="s">
        <v>8</v>
      </c>
      <c r="L11730" s="23" t="s">
        <v>8</v>
      </c>
      <c r="M11730" s="23" t="s">
        <v>8</v>
      </c>
    </row>
    <row r="11731" spans="1:13" s="21" customFormat="1" x14ac:dyDescent="0.25">
      <c r="A11731" s="22" t="s">
        <v>8</v>
      </c>
      <c r="B11731" s="18" t="str">
        <f>"396017"</f>
        <v>396017</v>
      </c>
      <c r="C11731" s="19" t="s">
        <v>11538</v>
      </c>
      <c r="D11731" s="19" t="s">
        <v>27137</v>
      </c>
      <c r="E11731" s="19" t="s">
        <v>34881</v>
      </c>
      <c r="F11731" s="19" t="s">
        <v>36012</v>
      </c>
      <c r="G11731" s="18" t="str">
        <f>"19040"</f>
        <v>19040</v>
      </c>
      <c r="H11731" s="19" t="s">
        <v>30833</v>
      </c>
      <c r="I11731" s="20">
        <v>21.960999999999999</v>
      </c>
      <c r="J11731" s="44" t="s">
        <v>8</v>
      </c>
      <c r="K11731" s="23" t="s">
        <v>8</v>
      </c>
      <c r="L11731" s="23" t="s">
        <v>8</v>
      </c>
      <c r="M11731" s="23" t="s">
        <v>8</v>
      </c>
    </row>
    <row r="11732" spans="1:13" s="21" customFormat="1" x14ac:dyDescent="0.25">
      <c r="A11732" s="22" t="s">
        <v>8</v>
      </c>
      <c r="B11732" s="18" t="str">
        <f>"396021"</f>
        <v>396021</v>
      </c>
      <c r="C11732" s="19" t="s">
        <v>11539</v>
      </c>
      <c r="D11732" s="19" t="s">
        <v>27138</v>
      </c>
      <c r="E11732" s="19" t="s">
        <v>32236</v>
      </c>
      <c r="F11732" s="19" t="s">
        <v>36012</v>
      </c>
      <c r="G11732" s="18" t="str">
        <f>"15601"</f>
        <v>15601</v>
      </c>
      <c r="H11732" s="19" t="s">
        <v>32652</v>
      </c>
      <c r="I11732" s="20">
        <v>18.692</v>
      </c>
      <c r="J11732" s="44" t="s">
        <v>8</v>
      </c>
      <c r="K11732" s="23" t="s">
        <v>8</v>
      </c>
      <c r="L11732" s="23" t="s">
        <v>8</v>
      </c>
      <c r="M11732" s="23" t="s">
        <v>8</v>
      </c>
    </row>
    <row r="11733" spans="1:13" s="21" customFormat="1" x14ac:dyDescent="0.25">
      <c r="A11733" s="22" t="s">
        <v>8</v>
      </c>
      <c r="B11733" s="18" t="str">
        <f>"396024"</f>
        <v>396024</v>
      </c>
      <c r="C11733" s="19" t="s">
        <v>11540</v>
      </c>
      <c r="D11733" s="19" t="s">
        <v>27139</v>
      </c>
      <c r="E11733" s="19" t="s">
        <v>35006</v>
      </c>
      <c r="F11733" s="19" t="s">
        <v>36012</v>
      </c>
      <c r="G11733" s="18" t="str">
        <f>"18055"</f>
        <v>18055</v>
      </c>
      <c r="H11733" s="19" t="s">
        <v>33038</v>
      </c>
      <c r="I11733" s="20">
        <v>21.21</v>
      </c>
      <c r="J11733" s="44" t="s">
        <v>8</v>
      </c>
      <c r="K11733" s="23" t="s">
        <v>8</v>
      </c>
      <c r="L11733" s="23" t="s">
        <v>8</v>
      </c>
      <c r="M11733" s="23" t="s">
        <v>8</v>
      </c>
    </row>
    <row r="11734" spans="1:13" s="21" customFormat="1" x14ac:dyDescent="0.25">
      <c r="A11734" s="22" t="s">
        <v>8</v>
      </c>
      <c r="B11734" s="18" t="str">
        <f>"396026"</f>
        <v>396026</v>
      </c>
      <c r="C11734" s="19" t="s">
        <v>11541</v>
      </c>
      <c r="D11734" s="19" t="s">
        <v>27140</v>
      </c>
      <c r="E11734" s="19" t="s">
        <v>35007</v>
      </c>
      <c r="F11734" s="19" t="s">
        <v>36012</v>
      </c>
      <c r="G11734" s="18" t="str">
        <f>"15005"</f>
        <v>15005</v>
      </c>
      <c r="H11734" s="19" t="s">
        <v>34742</v>
      </c>
      <c r="I11734" s="20">
        <v>20.010999999999999</v>
      </c>
      <c r="J11734" s="44" t="s">
        <v>8</v>
      </c>
      <c r="K11734" s="23" t="s">
        <v>8</v>
      </c>
      <c r="L11734" s="23" t="s">
        <v>8</v>
      </c>
      <c r="M11734" s="23" t="s">
        <v>8</v>
      </c>
    </row>
    <row r="11735" spans="1:13" s="21" customFormat="1" x14ac:dyDescent="0.25">
      <c r="A11735" s="22" t="s">
        <v>8</v>
      </c>
      <c r="B11735" s="18" t="str">
        <f>"396035"</f>
        <v>396035</v>
      </c>
      <c r="C11735" s="19" t="s">
        <v>11542</v>
      </c>
      <c r="D11735" s="19" t="s">
        <v>27141</v>
      </c>
      <c r="E11735" s="19" t="s">
        <v>35008</v>
      </c>
      <c r="F11735" s="19" t="s">
        <v>36012</v>
      </c>
      <c r="G11735" s="18" t="str">
        <f>"15683"</f>
        <v>15683</v>
      </c>
      <c r="H11735" s="19" t="s">
        <v>32652</v>
      </c>
      <c r="I11735" s="20">
        <v>20.664999999999999</v>
      </c>
      <c r="J11735" s="44" t="s">
        <v>8</v>
      </c>
      <c r="K11735" s="23" t="s">
        <v>8</v>
      </c>
      <c r="L11735" s="23" t="s">
        <v>8</v>
      </c>
      <c r="M11735" s="23" t="s">
        <v>8</v>
      </c>
    </row>
    <row r="11736" spans="1:13" s="21" customFormat="1" x14ac:dyDescent="0.25">
      <c r="A11736" s="22" t="s">
        <v>8</v>
      </c>
      <c r="B11736" s="18" t="str">
        <f>"396040"</f>
        <v>396040</v>
      </c>
      <c r="C11736" s="19" t="s">
        <v>11543</v>
      </c>
      <c r="D11736" s="19" t="s">
        <v>27142</v>
      </c>
      <c r="E11736" s="19" t="s">
        <v>34801</v>
      </c>
      <c r="F11736" s="19" t="s">
        <v>36012</v>
      </c>
      <c r="G11736" s="18" t="str">
        <f>"15213"</f>
        <v>15213</v>
      </c>
      <c r="H11736" s="19" t="s">
        <v>36730</v>
      </c>
      <c r="I11736" s="20">
        <v>24.195</v>
      </c>
      <c r="J11736" s="44" t="s">
        <v>8</v>
      </c>
      <c r="K11736" s="23" t="s">
        <v>8</v>
      </c>
      <c r="L11736" s="23" t="s">
        <v>8</v>
      </c>
      <c r="M11736" s="23" t="s">
        <v>8</v>
      </c>
    </row>
    <row r="11737" spans="1:13" s="21" customFormat="1" x14ac:dyDescent="0.25">
      <c r="A11737" s="22" t="s">
        <v>8</v>
      </c>
      <c r="B11737" s="18" t="str">
        <f>"396048"</f>
        <v>396048</v>
      </c>
      <c r="C11737" s="19" t="s">
        <v>11544</v>
      </c>
      <c r="D11737" s="19" t="s">
        <v>27143</v>
      </c>
      <c r="E11737" s="19" t="s">
        <v>34925</v>
      </c>
      <c r="F11737" s="19" t="s">
        <v>36012</v>
      </c>
      <c r="G11737" s="18" t="str">
        <f>"15024"</f>
        <v>15024</v>
      </c>
      <c r="H11737" s="19" t="s">
        <v>36730</v>
      </c>
      <c r="I11737" s="20">
        <v>17.262</v>
      </c>
      <c r="J11737" s="44" t="s">
        <v>8</v>
      </c>
      <c r="K11737" s="23" t="s">
        <v>8</v>
      </c>
      <c r="L11737" s="23" t="s">
        <v>8</v>
      </c>
      <c r="M11737" s="23" t="s">
        <v>8</v>
      </c>
    </row>
    <row r="11738" spans="1:13" s="21" customFormat="1" x14ac:dyDescent="0.25">
      <c r="A11738" s="22" t="s">
        <v>8</v>
      </c>
      <c r="B11738" s="18" t="str">
        <f>"396049"</f>
        <v>396049</v>
      </c>
      <c r="C11738" s="19" t="s">
        <v>11545</v>
      </c>
      <c r="D11738" s="19" t="s">
        <v>27144</v>
      </c>
      <c r="E11738" s="19" t="s">
        <v>31498</v>
      </c>
      <c r="F11738" s="19" t="s">
        <v>36012</v>
      </c>
      <c r="G11738" s="18" t="str">
        <f>"16105"</f>
        <v>16105</v>
      </c>
      <c r="H11738" s="19" t="s">
        <v>32568</v>
      </c>
      <c r="I11738" s="20">
        <v>18.167000000000002</v>
      </c>
      <c r="J11738" s="44" t="s">
        <v>8</v>
      </c>
      <c r="K11738" s="23" t="s">
        <v>8</v>
      </c>
      <c r="L11738" s="23" t="s">
        <v>8</v>
      </c>
      <c r="M11738" s="23" t="s">
        <v>8</v>
      </c>
    </row>
    <row r="11739" spans="1:13" s="21" customFormat="1" x14ac:dyDescent="0.25">
      <c r="A11739" s="22" t="s">
        <v>8</v>
      </c>
      <c r="B11739" s="18" t="str">
        <f>"396053"</f>
        <v>396053</v>
      </c>
      <c r="C11739" s="19" t="s">
        <v>11546</v>
      </c>
      <c r="D11739" s="19" t="s">
        <v>27145</v>
      </c>
      <c r="E11739" s="19" t="s">
        <v>34843</v>
      </c>
      <c r="F11739" s="19" t="s">
        <v>36012</v>
      </c>
      <c r="G11739" s="18" t="str">
        <f>"18020"</f>
        <v>18020</v>
      </c>
      <c r="H11739" s="19" t="s">
        <v>33038</v>
      </c>
      <c r="I11739" s="20">
        <v>18.844000000000001</v>
      </c>
      <c r="J11739" s="44" t="s">
        <v>8</v>
      </c>
      <c r="K11739" s="23" t="s">
        <v>8</v>
      </c>
      <c r="L11739" s="23" t="s">
        <v>8</v>
      </c>
      <c r="M11739" s="23" t="s">
        <v>8</v>
      </c>
    </row>
    <row r="11740" spans="1:13" s="21" customFormat="1" x14ac:dyDescent="0.25">
      <c r="A11740" s="22" t="s">
        <v>8</v>
      </c>
      <c r="B11740" s="18" t="str">
        <f>"396054"</f>
        <v>396054</v>
      </c>
      <c r="C11740" s="19" t="s">
        <v>11547</v>
      </c>
      <c r="D11740" s="19" t="s">
        <v>27146</v>
      </c>
      <c r="E11740" s="19" t="s">
        <v>34900</v>
      </c>
      <c r="F11740" s="19" t="s">
        <v>36012</v>
      </c>
      <c r="G11740" s="18" t="str">
        <f>"18974"</f>
        <v>18974</v>
      </c>
      <c r="H11740" s="19" t="s">
        <v>36729</v>
      </c>
      <c r="I11740" s="20">
        <v>19.314</v>
      </c>
      <c r="J11740" s="44" t="s">
        <v>8</v>
      </c>
      <c r="K11740" s="23" t="s">
        <v>8</v>
      </c>
      <c r="L11740" s="23" t="s">
        <v>8</v>
      </c>
      <c r="M11740" s="23" t="s">
        <v>8</v>
      </c>
    </row>
    <row r="11741" spans="1:13" s="21" customFormat="1" x14ac:dyDescent="0.25">
      <c r="A11741" s="22" t="s">
        <v>8</v>
      </c>
      <c r="B11741" s="18" t="str">
        <f>"396056"</f>
        <v>396056</v>
      </c>
      <c r="C11741" s="19" t="s">
        <v>11548</v>
      </c>
      <c r="D11741" s="19" t="s">
        <v>27147</v>
      </c>
      <c r="E11741" s="19" t="s">
        <v>35009</v>
      </c>
      <c r="F11741" s="19" t="s">
        <v>36012</v>
      </c>
      <c r="G11741" s="18" t="str">
        <f>"15644"</f>
        <v>15644</v>
      </c>
      <c r="H11741" s="19" t="s">
        <v>32652</v>
      </c>
      <c r="I11741" s="20">
        <v>19.614000000000001</v>
      </c>
      <c r="J11741" s="44" t="s">
        <v>8</v>
      </c>
      <c r="K11741" s="23" t="s">
        <v>8</v>
      </c>
      <c r="L11741" s="23" t="s">
        <v>8</v>
      </c>
      <c r="M11741" s="23" t="s">
        <v>8</v>
      </c>
    </row>
    <row r="11742" spans="1:13" s="21" customFormat="1" x14ac:dyDescent="0.25">
      <c r="A11742" s="22" t="s">
        <v>8</v>
      </c>
      <c r="B11742" s="18" t="str">
        <f>"396058"</f>
        <v>396058</v>
      </c>
      <c r="C11742" s="19" t="s">
        <v>11549</v>
      </c>
      <c r="D11742" s="19" t="s">
        <v>27148</v>
      </c>
      <c r="E11742" s="19" t="s">
        <v>34991</v>
      </c>
      <c r="F11742" s="19" t="s">
        <v>36012</v>
      </c>
      <c r="G11742" s="18" t="str">
        <f>"16137"</f>
        <v>16137</v>
      </c>
      <c r="H11742" s="19" t="s">
        <v>34991</v>
      </c>
      <c r="I11742" s="20">
        <v>18.574000000000002</v>
      </c>
      <c r="J11742" s="44" t="s">
        <v>8</v>
      </c>
      <c r="K11742" s="23" t="s">
        <v>8</v>
      </c>
      <c r="L11742" s="23" t="s">
        <v>8</v>
      </c>
      <c r="M11742" s="23" t="s">
        <v>8</v>
      </c>
    </row>
    <row r="11743" spans="1:13" s="21" customFormat="1" x14ac:dyDescent="0.25">
      <c r="A11743" s="22" t="s">
        <v>8</v>
      </c>
      <c r="B11743" s="18" t="str">
        <f>"396059"</f>
        <v>396059</v>
      </c>
      <c r="C11743" s="19" t="s">
        <v>11550</v>
      </c>
      <c r="D11743" s="19" t="s">
        <v>27149</v>
      </c>
      <c r="E11743" s="19" t="s">
        <v>30905</v>
      </c>
      <c r="F11743" s="19" t="s">
        <v>36012</v>
      </c>
      <c r="G11743" s="18" t="str">
        <f>"15146"</f>
        <v>15146</v>
      </c>
      <c r="H11743" s="19" t="s">
        <v>36730</v>
      </c>
      <c r="I11743" s="20">
        <v>22.129000000000001</v>
      </c>
      <c r="J11743" s="44" t="s">
        <v>8</v>
      </c>
      <c r="K11743" s="23" t="s">
        <v>8</v>
      </c>
      <c r="L11743" s="23" t="s">
        <v>8</v>
      </c>
      <c r="M11743" s="23" t="s">
        <v>8</v>
      </c>
    </row>
    <row r="11744" spans="1:13" s="21" customFormat="1" x14ac:dyDescent="0.25">
      <c r="A11744" s="22" t="s">
        <v>8</v>
      </c>
      <c r="B11744" s="18" t="str">
        <f>"396062"</f>
        <v>396062</v>
      </c>
      <c r="C11744" s="19" t="s">
        <v>11551</v>
      </c>
      <c r="D11744" s="19" t="s">
        <v>27150</v>
      </c>
      <c r="E11744" s="19" t="s">
        <v>35010</v>
      </c>
      <c r="F11744" s="19" t="s">
        <v>36012</v>
      </c>
      <c r="G11744" s="18" t="str">
        <f>"19320"</f>
        <v>19320</v>
      </c>
      <c r="H11744" s="19" t="s">
        <v>31396</v>
      </c>
      <c r="I11744" s="20">
        <v>18.318000000000001</v>
      </c>
      <c r="J11744" s="44" t="s">
        <v>8</v>
      </c>
      <c r="K11744" s="23" t="s">
        <v>8</v>
      </c>
      <c r="L11744" s="23" t="s">
        <v>8</v>
      </c>
      <c r="M11744" s="23" t="s">
        <v>8</v>
      </c>
    </row>
    <row r="11745" spans="1:13" s="21" customFormat="1" x14ac:dyDescent="0.25">
      <c r="A11745" s="22" t="s">
        <v>8</v>
      </c>
      <c r="B11745" s="18" t="str">
        <f>"396063"</f>
        <v>396063</v>
      </c>
      <c r="C11745" s="19" t="s">
        <v>11552</v>
      </c>
      <c r="D11745" s="19" t="s">
        <v>27151</v>
      </c>
      <c r="E11745" s="19" t="s">
        <v>34990</v>
      </c>
      <c r="F11745" s="19" t="s">
        <v>36012</v>
      </c>
      <c r="G11745" s="18" t="str">
        <f>"17961"</f>
        <v>17961</v>
      </c>
      <c r="H11745" s="19" t="s">
        <v>36737</v>
      </c>
      <c r="I11745" s="20">
        <v>17.628</v>
      </c>
      <c r="J11745" s="44" t="s">
        <v>8</v>
      </c>
      <c r="K11745" s="23" t="s">
        <v>8</v>
      </c>
      <c r="L11745" s="23" t="s">
        <v>8</v>
      </c>
      <c r="M11745" s="23" t="s">
        <v>8</v>
      </c>
    </row>
    <row r="11746" spans="1:13" s="21" customFormat="1" x14ac:dyDescent="0.25">
      <c r="A11746" s="22" t="s">
        <v>8</v>
      </c>
      <c r="B11746" s="18" t="str">
        <f>"396064"</f>
        <v>396064</v>
      </c>
      <c r="C11746" s="19" t="s">
        <v>11553</v>
      </c>
      <c r="D11746" s="19" t="s">
        <v>27152</v>
      </c>
      <c r="E11746" s="19" t="s">
        <v>30834</v>
      </c>
      <c r="F11746" s="19" t="s">
        <v>36012</v>
      </c>
      <c r="G11746" s="18" t="str">
        <f>"17404"</f>
        <v>17404</v>
      </c>
      <c r="H11746" s="19" t="s">
        <v>30834</v>
      </c>
      <c r="I11746" s="20">
        <v>18.901</v>
      </c>
      <c r="J11746" s="44" t="s">
        <v>8</v>
      </c>
      <c r="K11746" s="23" t="s">
        <v>8</v>
      </c>
      <c r="L11746" s="23" t="s">
        <v>8</v>
      </c>
      <c r="M11746" s="23" t="s">
        <v>8</v>
      </c>
    </row>
    <row r="11747" spans="1:13" s="21" customFormat="1" x14ac:dyDescent="0.25">
      <c r="A11747" s="22" t="s">
        <v>8</v>
      </c>
      <c r="B11747" s="18" t="str">
        <f>"396065"</f>
        <v>396065</v>
      </c>
      <c r="C11747" s="19" t="s">
        <v>11554</v>
      </c>
      <c r="D11747" s="19" t="s">
        <v>27153</v>
      </c>
      <c r="E11747" s="19" t="s">
        <v>35002</v>
      </c>
      <c r="F11747" s="19" t="s">
        <v>36012</v>
      </c>
      <c r="G11747" s="18" t="str">
        <f>"17815"</f>
        <v>17815</v>
      </c>
      <c r="H11747" s="19" t="s">
        <v>32076</v>
      </c>
      <c r="I11747" s="20">
        <v>18.501000000000001</v>
      </c>
      <c r="J11747" s="44" t="s">
        <v>8</v>
      </c>
      <c r="K11747" s="23" t="s">
        <v>8</v>
      </c>
      <c r="L11747" s="23" t="s">
        <v>8</v>
      </c>
      <c r="M11747" s="23" t="s">
        <v>8</v>
      </c>
    </row>
    <row r="11748" spans="1:13" s="21" customFormat="1" x14ac:dyDescent="0.25">
      <c r="A11748" s="22" t="s">
        <v>8</v>
      </c>
      <c r="B11748" s="18" t="str">
        <f>"396066"</f>
        <v>396066</v>
      </c>
      <c r="C11748" s="19" t="s">
        <v>11555</v>
      </c>
      <c r="D11748" s="19" t="s">
        <v>27154</v>
      </c>
      <c r="E11748" s="19" t="s">
        <v>34801</v>
      </c>
      <c r="F11748" s="19" t="s">
        <v>36012</v>
      </c>
      <c r="G11748" s="18" t="str">
        <f>"15236"</f>
        <v>15236</v>
      </c>
      <c r="H11748" s="19" t="s">
        <v>36730</v>
      </c>
      <c r="I11748" s="20">
        <v>18.405000000000001</v>
      </c>
      <c r="J11748" s="44" t="s">
        <v>8</v>
      </c>
      <c r="K11748" s="23" t="s">
        <v>8</v>
      </c>
      <c r="L11748" s="23" t="s">
        <v>8</v>
      </c>
      <c r="M11748" s="23" t="s">
        <v>8</v>
      </c>
    </row>
    <row r="11749" spans="1:13" s="21" customFormat="1" x14ac:dyDescent="0.25">
      <c r="A11749" s="22" t="s">
        <v>8</v>
      </c>
      <c r="B11749" s="18" t="str">
        <f>"396067"</f>
        <v>396067</v>
      </c>
      <c r="C11749" s="19" t="s">
        <v>11556</v>
      </c>
      <c r="D11749" s="19" t="s">
        <v>27155</v>
      </c>
      <c r="E11749" s="19" t="s">
        <v>35011</v>
      </c>
      <c r="F11749" s="19" t="s">
        <v>36012</v>
      </c>
      <c r="G11749" s="18" t="str">
        <f>"15101"</f>
        <v>15101</v>
      </c>
      <c r="H11749" s="19" t="s">
        <v>36730</v>
      </c>
      <c r="I11749" s="20">
        <v>19.786999999999999</v>
      </c>
      <c r="J11749" s="44" t="s">
        <v>8</v>
      </c>
      <c r="K11749" s="23" t="s">
        <v>8</v>
      </c>
      <c r="L11749" s="23" t="s">
        <v>8</v>
      </c>
      <c r="M11749" s="23" t="s">
        <v>8</v>
      </c>
    </row>
    <row r="11750" spans="1:13" s="21" customFormat="1" x14ac:dyDescent="0.25">
      <c r="A11750" s="22" t="s">
        <v>8</v>
      </c>
      <c r="B11750" s="18" t="str">
        <f>"396069"</f>
        <v>396069</v>
      </c>
      <c r="C11750" s="19" t="s">
        <v>11557</v>
      </c>
      <c r="D11750" s="19" t="s">
        <v>27156</v>
      </c>
      <c r="E11750" s="19" t="s">
        <v>34103</v>
      </c>
      <c r="F11750" s="19" t="s">
        <v>36012</v>
      </c>
      <c r="G11750" s="18" t="str">
        <f>"15904"</f>
        <v>15904</v>
      </c>
      <c r="H11750" s="19" t="s">
        <v>36728</v>
      </c>
      <c r="I11750" s="20">
        <v>19.821999999999999</v>
      </c>
      <c r="J11750" s="44" t="s">
        <v>8</v>
      </c>
      <c r="K11750" s="23" t="s">
        <v>8</v>
      </c>
      <c r="L11750" s="23" t="s">
        <v>8</v>
      </c>
      <c r="M11750" s="23" t="s">
        <v>8</v>
      </c>
    </row>
    <row r="11751" spans="1:13" s="21" customFormat="1" x14ac:dyDescent="0.25">
      <c r="A11751" s="22" t="s">
        <v>8</v>
      </c>
      <c r="B11751" s="18" t="str">
        <f>"396070"</f>
        <v>396070</v>
      </c>
      <c r="C11751" s="19" t="s">
        <v>11558</v>
      </c>
      <c r="D11751" s="19" t="s">
        <v>27157</v>
      </c>
      <c r="E11751" s="19" t="s">
        <v>33514</v>
      </c>
      <c r="F11751" s="19" t="s">
        <v>36012</v>
      </c>
      <c r="G11751" s="18" t="str">
        <f>"19152"</f>
        <v>19152</v>
      </c>
      <c r="H11751" s="19" t="s">
        <v>33514</v>
      </c>
      <c r="I11751" s="20">
        <v>23.004000000000001</v>
      </c>
      <c r="J11751" s="44" t="s">
        <v>8</v>
      </c>
      <c r="K11751" s="23" t="s">
        <v>8</v>
      </c>
      <c r="L11751" s="23" t="s">
        <v>8</v>
      </c>
      <c r="M11751" s="23" t="s">
        <v>8</v>
      </c>
    </row>
    <row r="11752" spans="1:13" s="21" customFormat="1" x14ac:dyDescent="0.25">
      <c r="A11752" s="22" t="s">
        <v>8</v>
      </c>
      <c r="B11752" s="18" t="str">
        <f>"396071"</f>
        <v>396071</v>
      </c>
      <c r="C11752" s="19" t="s">
        <v>11559</v>
      </c>
      <c r="D11752" s="19" t="s">
        <v>27158</v>
      </c>
      <c r="E11752" s="19" t="s">
        <v>31474</v>
      </c>
      <c r="F11752" s="19" t="s">
        <v>36012</v>
      </c>
      <c r="G11752" s="18" t="str">
        <f>"16146"</f>
        <v>16146</v>
      </c>
      <c r="H11752" s="19" t="s">
        <v>34991</v>
      </c>
      <c r="I11752" s="20">
        <v>18.811</v>
      </c>
      <c r="J11752" s="44" t="s">
        <v>8</v>
      </c>
      <c r="K11752" s="23" t="s">
        <v>8</v>
      </c>
      <c r="L11752" s="23" t="s">
        <v>8</v>
      </c>
      <c r="M11752" s="23" t="s">
        <v>8</v>
      </c>
    </row>
    <row r="11753" spans="1:13" s="21" customFormat="1" x14ac:dyDescent="0.25">
      <c r="A11753" s="22" t="s">
        <v>8</v>
      </c>
      <c r="B11753" s="18" t="str">
        <f>"396072"</f>
        <v>396072</v>
      </c>
      <c r="C11753" s="19" t="s">
        <v>11560</v>
      </c>
      <c r="D11753" s="19" t="s">
        <v>27159</v>
      </c>
      <c r="E11753" s="19" t="s">
        <v>34805</v>
      </c>
      <c r="F11753" s="19" t="s">
        <v>36012</v>
      </c>
      <c r="G11753" s="18" t="str">
        <f>"16509"</f>
        <v>16509</v>
      </c>
      <c r="H11753" s="19" t="s">
        <v>34805</v>
      </c>
      <c r="I11753" s="20">
        <v>20.998000000000001</v>
      </c>
      <c r="J11753" s="44" t="s">
        <v>8</v>
      </c>
      <c r="K11753" s="23" t="s">
        <v>8</v>
      </c>
      <c r="L11753" s="23" t="s">
        <v>8</v>
      </c>
      <c r="M11753" s="23" t="s">
        <v>8</v>
      </c>
    </row>
    <row r="11754" spans="1:13" s="21" customFormat="1" x14ac:dyDescent="0.25">
      <c r="A11754" s="22" t="s">
        <v>8</v>
      </c>
      <c r="B11754" s="18" t="str">
        <f>"396073"</f>
        <v>396073</v>
      </c>
      <c r="C11754" s="19" t="s">
        <v>11561</v>
      </c>
      <c r="D11754" s="19" t="s">
        <v>27160</v>
      </c>
      <c r="E11754" s="19" t="s">
        <v>34857</v>
      </c>
      <c r="F11754" s="19" t="s">
        <v>36012</v>
      </c>
      <c r="G11754" s="18" t="str">
        <f>"15317"</f>
        <v>15317</v>
      </c>
      <c r="H11754" s="19" t="s">
        <v>31500</v>
      </c>
      <c r="I11754" s="20">
        <v>21.193000000000001</v>
      </c>
      <c r="J11754" s="44" t="s">
        <v>8</v>
      </c>
      <c r="K11754" s="23" t="s">
        <v>8</v>
      </c>
      <c r="L11754" s="23" t="s">
        <v>8</v>
      </c>
      <c r="M11754" s="23" t="s">
        <v>8</v>
      </c>
    </row>
    <row r="11755" spans="1:13" s="21" customFormat="1" x14ac:dyDescent="0.25">
      <c r="A11755" s="22" t="s">
        <v>8</v>
      </c>
      <c r="B11755" s="18" t="str">
        <f>"396074"</f>
        <v>396074</v>
      </c>
      <c r="C11755" s="19" t="s">
        <v>11562</v>
      </c>
      <c r="D11755" s="19" t="s">
        <v>27161</v>
      </c>
      <c r="E11755" s="19" t="s">
        <v>34811</v>
      </c>
      <c r="F11755" s="19" t="s">
        <v>36012</v>
      </c>
      <c r="G11755" s="18" t="str">
        <f>"18501"</f>
        <v>18501</v>
      </c>
      <c r="H11755" s="19" t="s">
        <v>36732</v>
      </c>
      <c r="I11755" s="20">
        <v>17.718</v>
      </c>
      <c r="J11755" s="44" t="s">
        <v>8</v>
      </c>
      <c r="K11755" s="23" t="s">
        <v>8</v>
      </c>
      <c r="L11755" s="23" t="s">
        <v>8</v>
      </c>
      <c r="M11755" s="23" t="s">
        <v>8</v>
      </c>
    </row>
    <row r="11756" spans="1:13" s="21" customFormat="1" x14ac:dyDescent="0.25">
      <c r="A11756" s="22" t="s">
        <v>8</v>
      </c>
      <c r="B11756" s="18" t="str">
        <f>"396075"</f>
        <v>396075</v>
      </c>
      <c r="C11756" s="19" t="s">
        <v>11563</v>
      </c>
      <c r="D11756" s="19" t="s">
        <v>27162</v>
      </c>
      <c r="E11756" s="19" t="s">
        <v>31498</v>
      </c>
      <c r="F11756" s="19" t="s">
        <v>36012</v>
      </c>
      <c r="G11756" s="18" t="str">
        <f>"16101"</f>
        <v>16101</v>
      </c>
      <c r="H11756" s="19" t="s">
        <v>32568</v>
      </c>
      <c r="I11756" s="20">
        <v>16.306999999999999</v>
      </c>
      <c r="J11756" s="44" t="s">
        <v>8</v>
      </c>
      <c r="K11756" s="23" t="s">
        <v>8</v>
      </c>
      <c r="L11756" s="23" t="s">
        <v>8</v>
      </c>
      <c r="M11756" s="23" t="s">
        <v>8</v>
      </c>
    </row>
    <row r="11757" spans="1:13" s="21" customFormat="1" x14ac:dyDescent="0.25">
      <c r="A11757" s="22" t="s">
        <v>8</v>
      </c>
      <c r="B11757" s="18" t="str">
        <f>"396076"</f>
        <v>396076</v>
      </c>
      <c r="C11757" s="19" t="s">
        <v>11564</v>
      </c>
      <c r="D11757" s="19" t="s">
        <v>27163</v>
      </c>
      <c r="E11757" s="19" t="s">
        <v>33514</v>
      </c>
      <c r="F11757" s="19" t="s">
        <v>36012</v>
      </c>
      <c r="G11757" s="18" t="str">
        <f>"19131"</f>
        <v>19131</v>
      </c>
      <c r="H11757" s="19" t="s">
        <v>33514</v>
      </c>
      <c r="I11757" s="20">
        <v>20.062000000000001</v>
      </c>
      <c r="J11757" s="44" t="s">
        <v>8</v>
      </c>
      <c r="K11757" s="23" t="s">
        <v>8</v>
      </c>
      <c r="L11757" s="23" t="s">
        <v>8</v>
      </c>
      <c r="M11757" s="23" t="s">
        <v>8</v>
      </c>
    </row>
    <row r="11758" spans="1:13" s="21" customFormat="1" x14ac:dyDescent="0.25">
      <c r="A11758" s="22" t="s">
        <v>8</v>
      </c>
      <c r="B11758" s="18" t="str">
        <f>"396077"</f>
        <v>396077</v>
      </c>
      <c r="C11758" s="19" t="s">
        <v>11565</v>
      </c>
      <c r="D11758" s="19" t="s">
        <v>27164</v>
      </c>
      <c r="E11758" s="19" t="s">
        <v>32639</v>
      </c>
      <c r="F11758" s="19" t="s">
        <v>36012</v>
      </c>
      <c r="G11758" s="18" t="str">
        <f>"18045"</f>
        <v>18045</v>
      </c>
      <c r="H11758" s="19" t="s">
        <v>33038</v>
      </c>
      <c r="I11758" s="20">
        <v>16.094000000000001</v>
      </c>
      <c r="J11758" s="44" t="s">
        <v>8</v>
      </c>
      <c r="K11758" s="23" t="s">
        <v>8</v>
      </c>
      <c r="L11758" s="23" t="s">
        <v>8</v>
      </c>
      <c r="M11758" s="23" t="s">
        <v>8</v>
      </c>
    </row>
    <row r="11759" spans="1:13" s="21" customFormat="1" x14ac:dyDescent="0.25">
      <c r="A11759" s="22" t="s">
        <v>8</v>
      </c>
      <c r="B11759" s="18" t="str">
        <f>"396078"</f>
        <v>396078</v>
      </c>
      <c r="C11759" s="19" t="s">
        <v>11566</v>
      </c>
      <c r="D11759" s="19" t="s">
        <v>27165</v>
      </c>
      <c r="E11759" s="19" t="s">
        <v>35012</v>
      </c>
      <c r="F11759" s="19" t="s">
        <v>36012</v>
      </c>
      <c r="G11759" s="18" t="str">
        <f>"19454"</f>
        <v>19454</v>
      </c>
      <c r="H11759" s="19" t="s">
        <v>30833</v>
      </c>
      <c r="I11759" s="20">
        <v>15.49</v>
      </c>
      <c r="J11759" s="44" t="s">
        <v>8</v>
      </c>
      <c r="K11759" s="23" t="s">
        <v>8</v>
      </c>
      <c r="L11759" s="23" t="s">
        <v>8</v>
      </c>
      <c r="M11759" s="23" t="s">
        <v>8</v>
      </c>
    </row>
    <row r="11760" spans="1:13" s="21" customFormat="1" x14ac:dyDescent="0.25">
      <c r="A11760" s="22" t="s">
        <v>8</v>
      </c>
      <c r="B11760" s="18" t="str">
        <f>"396079"</f>
        <v>396079</v>
      </c>
      <c r="C11760" s="19" t="s">
        <v>11567</v>
      </c>
      <c r="D11760" s="19" t="s">
        <v>27166</v>
      </c>
      <c r="E11760" s="19" t="s">
        <v>35013</v>
      </c>
      <c r="F11760" s="19" t="s">
        <v>36012</v>
      </c>
      <c r="G11760" s="18" t="str">
        <f>"17557"</f>
        <v>17557</v>
      </c>
      <c r="H11760" s="19" t="s">
        <v>31184</v>
      </c>
      <c r="I11760" s="20">
        <v>20.841000000000001</v>
      </c>
      <c r="J11760" s="44" t="s">
        <v>8</v>
      </c>
      <c r="K11760" s="23" t="s">
        <v>8</v>
      </c>
      <c r="L11760" s="23" t="s">
        <v>8</v>
      </c>
      <c r="M11760" s="23" t="s">
        <v>8</v>
      </c>
    </row>
    <row r="11761" spans="1:13" s="21" customFormat="1" x14ac:dyDescent="0.25">
      <c r="A11761" s="22" t="s">
        <v>8</v>
      </c>
      <c r="B11761" s="18" t="str">
        <f>"396080"</f>
        <v>396080</v>
      </c>
      <c r="C11761" s="19" t="s">
        <v>11568</v>
      </c>
      <c r="D11761" s="19" t="s">
        <v>27167</v>
      </c>
      <c r="E11761" s="19" t="s">
        <v>31405</v>
      </c>
      <c r="F11761" s="19" t="s">
        <v>36012</v>
      </c>
      <c r="G11761" s="18" t="str">
        <f>"18337"</f>
        <v>18337</v>
      </c>
      <c r="H11761" s="19" t="s">
        <v>36033</v>
      </c>
      <c r="I11761" s="20">
        <v>21.091000000000001</v>
      </c>
      <c r="J11761" s="44" t="s">
        <v>8</v>
      </c>
      <c r="K11761" s="23" t="s">
        <v>8</v>
      </c>
      <c r="L11761" s="23" t="s">
        <v>8</v>
      </c>
      <c r="M11761" s="23" t="s">
        <v>8</v>
      </c>
    </row>
    <row r="11762" spans="1:13" s="21" customFormat="1" x14ac:dyDescent="0.25">
      <c r="A11762" s="22" t="s">
        <v>8</v>
      </c>
      <c r="B11762" s="18" t="str">
        <f>"396081"</f>
        <v>396081</v>
      </c>
      <c r="C11762" s="19" t="s">
        <v>11569</v>
      </c>
      <c r="D11762" s="19" t="s">
        <v>27168</v>
      </c>
      <c r="E11762" s="19" t="s">
        <v>34805</v>
      </c>
      <c r="F11762" s="19" t="s">
        <v>36012</v>
      </c>
      <c r="G11762" s="18" t="str">
        <f>"16506"</f>
        <v>16506</v>
      </c>
      <c r="H11762" s="19" t="s">
        <v>34805</v>
      </c>
      <c r="I11762" s="20">
        <v>17.7</v>
      </c>
      <c r="J11762" s="44" t="s">
        <v>8</v>
      </c>
      <c r="K11762" s="23" t="s">
        <v>8</v>
      </c>
      <c r="L11762" s="23" t="s">
        <v>8</v>
      </c>
      <c r="M11762" s="23" t="s">
        <v>8</v>
      </c>
    </row>
    <row r="11763" spans="1:13" s="21" customFormat="1" x14ac:dyDescent="0.25">
      <c r="A11763" s="22" t="s">
        <v>8</v>
      </c>
      <c r="B11763" s="18" t="str">
        <f>"396082"</f>
        <v>396082</v>
      </c>
      <c r="C11763" s="19" t="s">
        <v>11570</v>
      </c>
      <c r="D11763" s="19" t="s">
        <v>27169</v>
      </c>
      <c r="E11763" s="19" t="s">
        <v>34575</v>
      </c>
      <c r="F11763" s="19" t="s">
        <v>36012</v>
      </c>
      <c r="G11763" s="18" t="str">
        <f>"19380"</f>
        <v>19380</v>
      </c>
      <c r="H11763" s="19" t="s">
        <v>31396</v>
      </c>
      <c r="I11763" s="20">
        <v>21.135000000000002</v>
      </c>
      <c r="J11763" s="44" t="s">
        <v>8</v>
      </c>
      <c r="K11763" s="23" t="s">
        <v>8</v>
      </c>
      <c r="L11763" s="23" t="s">
        <v>8</v>
      </c>
      <c r="M11763" s="23" t="s">
        <v>8</v>
      </c>
    </row>
    <row r="11764" spans="1:13" s="21" customFormat="1" x14ac:dyDescent="0.25">
      <c r="A11764" s="22" t="s">
        <v>8</v>
      </c>
      <c r="B11764" s="18" t="str">
        <f>"396083"</f>
        <v>396083</v>
      </c>
      <c r="C11764" s="19" t="s">
        <v>11571</v>
      </c>
      <c r="D11764" s="19" t="s">
        <v>27170</v>
      </c>
      <c r="E11764" s="19" t="s">
        <v>34920</v>
      </c>
      <c r="F11764" s="19" t="s">
        <v>36012</v>
      </c>
      <c r="G11764" s="18" t="str">
        <f>"19063"</f>
        <v>19063</v>
      </c>
      <c r="H11764" s="19" t="s">
        <v>34462</v>
      </c>
      <c r="I11764" s="20">
        <v>18.954999999999998</v>
      </c>
      <c r="J11764" s="44" t="s">
        <v>8</v>
      </c>
      <c r="K11764" s="23" t="s">
        <v>8</v>
      </c>
      <c r="L11764" s="23" t="s">
        <v>8</v>
      </c>
      <c r="M11764" s="23" t="s">
        <v>8</v>
      </c>
    </row>
    <row r="11765" spans="1:13" s="21" customFormat="1" x14ac:dyDescent="0.25">
      <c r="A11765" s="22" t="s">
        <v>8</v>
      </c>
      <c r="B11765" s="18" t="str">
        <f>"396085"</f>
        <v>396085</v>
      </c>
      <c r="C11765" s="19" t="s">
        <v>11572</v>
      </c>
      <c r="D11765" s="19" t="s">
        <v>27171</v>
      </c>
      <c r="E11765" s="19" t="s">
        <v>34945</v>
      </c>
      <c r="F11765" s="19" t="s">
        <v>36012</v>
      </c>
      <c r="G11765" s="18" t="str">
        <f>"15063"</f>
        <v>15063</v>
      </c>
      <c r="H11765" s="19" t="s">
        <v>31500</v>
      </c>
      <c r="I11765" s="20">
        <v>22.797999999999998</v>
      </c>
      <c r="J11765" s="44" t="s">
        <v>8</v>
      </c>
      <c r="K11765" s="23" t="s">
        <v>8</v>
      </c>
      <c r="L11765" s="23" t="s">
        <v>8</v>
      </c>
      <c r="M11765" s="23" t="s">
        <v>8</v>
      </c>
    </row>
    <row r="11766" spans="1:13" s="21" customFormat="1" x14ac:dyDescent="0.25">
      <c r="A11766" s="22" t="s">
        <v>8</v>
      </c>
      <c r="B11766" s="18" t="str">
        <f>"396086"</f>
        <v>396086</v>
      </c>
      <c r="C11766" s="19" t="s">
        <v>11573</v>
      </c>
      <c r="D11766" s="19" t="s">
        <v>27172</v>
      </c>
      <c r="E11766" s="19" t="s">
        <v>33987</v>
      </c>
      <c r="F11766" s="19" t="s">
        <v>36012</v>
      </c>
      <c r="G11766" s="18" t="str">
        <f>"17964"</f>
        <v>17964</v>
      </c>
      <c r="H11766" s="19" t="s">
        <v>36737</v>
      </c>
      <c r="I11766" s="20">
        <v>18.954999999999998</v>
      </c>
      <c r="J11766" s="44" t="s">
        <v>8</v>
      </c>
      <c r="K11766" s="23" t="s">
        <v>8</v>
      </c>
      <c r="L11766" s="23" t="s">
        <v>8</v>
      </c>
      <c r="M11766" s="23" t="s">
        <v>8</v>
      </c>
    </row>
    <row r="11767" spans="1:13" s="21" customFormat="1" x14ac:dyDescent="0.25">
      <c r="A11767" s="22" t="s">
        <v>8</v>
      </c>
      <c r="B11767" s="18" t="str">
        <f>"396088"</f>
        <v>396088</v>
      </c>
      <c r="C11767" s="19" t="s">
        <v>11574</v>
      </c>
      <c r="D11767" s="19" t="s">
        <v>27173</v>
      </c>
      <c r="E11767" s="19" t="s">
        <v>32230</v>
      </c>
      <c r="F11767" s="19" t="s">
        <v>36012</v>
      </c>
      <c r="G11767" s="18" t="str">
        <f>"15946"</f>
        <v>15946</v>
      </c>
      <c r="H11767" s="19" t="s">
        <v>36728</v>
      </c>
      <c r="I11767" s="20">
        <v>20.878</v>
      </c>
      <c r="J11767" s="44" t="s">
        <v>8</v>
      </c>
      <c r="K11767" s="23" t="s">
        <v>8</v>
      </c>
      <c r="L11767" s="23" t="s">
        <v>8</v>
      </c>
      <c r="M11767" s="23" t="s">
        <v>8</v>
      </c>
    </row>
    <row r="11768" spans="1:13" s="21" customFormat="1" x14ac:dyDescent="0.25">
      <c r="A11768" s="22" t="s">
        <v>8</v>
      </c>
      <c r="B11768" s="18" t="str">
        <f>"396089"</f>
        <v>396089</v>
      </c>
      <c r="C11768" s="19" t="s">
        <v>11575</v>
      </c>
      <c r="D11768" s="19" t="s">
        <v>27174</v>
      </c>
      <c r="E11768" s="19" t="s">
        <v>34801</v>
      </c>
      <c r="F11768" s="19" t="s">
        <v>36012</v>
      </c>
      <c r="G11768" s="18" t="str">
        <f>"15243"</f>
        <v>15243</v>
      </c>
      <c r="H11768" s="19" t="s">
        <v>36730</v>
      </c>
      <c r="I11768" s="20">
        <v>21.306000000000001</v>
      </c>
      <c r="J11768" s="44" t="s">
        <v>8</v>
      </c>
      <c r="K11768" s="23" t="s">
        <v>8</v>
      </c>
      <c r="L11768" s="23" t="s">
        <v>8</v>
      </c>
      <c r="M11768" s="23" t="s">
        <v>8</v>
      </c>
    </row>
    <row r="11769" spans="1:13" s="21" customFormat="1" x14ac:dyDescent="0.25">
      <c r="A11769" s="22" t="s">
        <v>8</v>
      </c>
      <c r="B11769" s="18" t="str">
        <f>"396090"</f>
        <v>396090</v>
      </c>
      <c r="C11769" s="19" t="s">
        <v>11576</v>
      </c>
      <c r="D11769" s="19" t="s">
        <v>27175</v>
      </c>
      <c r="E11769" s="19" t="s">
        <v>35014</v>
      </c>
      <c r="F11769" s="19" t="s">
        <v>36012</v>
      </c>
      <c r="G11769" s="18" t="str">
        <f>"19390"</f>
        <v>19390</v>
      </c>
      <c r="H11769" s="19" t="s">
        <v>31396</v>
      </c>
      <c r="I11769" s="20">
        <v>23.053999999999998</v>
      </c>
      <c r="J11769" s="44" t="s">
        <v>8</v>
      </c>
      <c r="K11769" s="23" t="s">
        <v>8</v>
      </c>
      <c r="L11769" s="23" t="s">
        <v>8</v>
      </c>
      <c r="M11769" s="23" t="s">
        <v>8</v>
      </c>
    </row>
    <row r="11770" spans="1:13" s="21" customFormat="1" x14ac:dyDescent="0.25">
      <c r="A11770" s="22" t="s">
        <v>8</v>
      </c>
      <c r="B11770" s="18" t="str">
        <f>"396092"</f>
        <v>396092</v>
      </c>
      <c r="C11770" s="19" t="s">
        <v>11577</v>
      </c>
      <c r="D11770" s="19" t="s">
        <v>27176</v>
      </c>
      <c r="E11770" s="19" t="s">
        <v>34965</v>
      </c>
      <c r="F11770" s="19" t="s">
        <v>36012</v>
      </c>
      <c r="G11770" s="18" t="str">
        <f>"16803"</f>
        <v>16803</v>
      </c>
      <c r="H11770" s="19" t="s">
        <v>30801</v>
      </c>
      <c r="I11770" s="20">
        <v>18.378</v>
      </c>
      <c r="J11770" s="44" t="s">
        <v>8</v>
      </c>
      <c r="K11770" s="23" t="s">
        <v>8</v>
      </c>
      <c r="L11770" s="23" t="s">
        <v>8</v>
      </c>
      <c r="M11770" s="23" t="s">
        <v>8</v>
      </c>
    </row>
    <row r="11771" spans="1:13" s="21" customFormat="1" x14ac:dyDescent="0.25">
      <c r="A11771" s="22" t="s">
        <v>8</v>
      </c>
      <c r="B11771" s="18" t="str">
        <f>"396093"</f>
        <v>396093</v>
      </c>
      <c r="C11771" s="19" t="s">
        <v>11578</v>
      </c>
      <c r="D11771" s="19" t="s">
        <v>27177</v>
      </c>
      <c r="E11771" s="19" t="s">
        <v>33366</v>
      </c>
      <c r="F11771" s="19" t="s">
        <v>36012</v>
      </c>
      <c r="G11771" s="18" t="str">
        <f>"17086"</f>
        <v>17086</v>
      </c>
      <c r="H11771" s="19" t="s">
        <v>36738</v>
      </c>
      <c r="I11771" s="20">
        <v>19.856999999999999</v>
      </c>
      <c r="J11771" s="44" t="s">
        <v>8</v>
      </c>
      <c r="K11771" s="23" t="s">
        <v>8</v>
      </c>
      <c r="L11771" s="23" t="s">
        <v>8</v>
      </c>
      <c r="M11771" s="23" t="s">
        <v>8</v>
      </c>
    </row>
    <row r="11772" spans="1:13" s="21" customFormat="1" x14ac:dyDescent="0.25">
      <c r="A11772" s="22" t="s">
        <v>8</v>
      </c>
      <c r="B11772" s="18" t="str">
        <f>"396095"</f>
        <v>396095</v>
      </c>
      <c r="C11772" s="19" t="s">
        <v>11579</v>
      </c>
      <c r="D11772" s="19" t="s">
        <v>27178</v>
      </c>
      <c r="E11772" s="19" t="s">
        <v>34811</v>
      </c>
      <c r="F11772" s="19" t="s">
        <v>36012</v>
      </c>
      <c r="G11772" s="18" t="str">
        <f>"18505"</f>
        <v>18505</v>
      </c>
      <c r="H11772" s="19" t="s">
        <v>36732</v>
      </c>
      <c r="I11772" s="20">
        <v>18.202000000000002</v>
      </c>
      <c r="J11772" s="44" t="s">
        <v>8</v>
      </c>
      <c r="K11772" s="23" t="s">
        <v>8</v>
      </c>
      <c r="L11772" s="23" t="s">
        <v>8</v>
      </c>
      <c r="M11772" s="23" t="s">
        <v>8</v>
      </c>
    </row>
    <row r="11773" spans="1:13" s="21" customFormat="1" x14ac:dyDescent="0.25">
      <c r="A11773" s="22" t="s">
        <v>8</v>
      </c>
      <c r="B11773" s="18" t="str">
        <f>"396096"</f>
        <v>396096</v>
      </c>
      <c r="C11773" s="19" t="s">
        <v>11580</v>
      </c>
      <c r="D11773" s="19" t="s">
        <v>27179</v>
      </c>
      <c r="E11773" s="19" t="s">
        <v>34843</v>
      </c>
      <c r="F11773" s="19" t="s">
        <v>36012</v>
      </c>
      <c r="G11773" s="18" t="str">
        <f>"18018"</f>
        <v>18018</v>
      </c>
      <c r="H11773" s="19" t="s">
        <v>33038</v>
      </c>
      <c r="I11773" s="20">
        <v>19.091999999999999</v>
      </c>
      <c r="J11773" s="44" t="s">
        <v>8</v>
      </c>
      <c r="K11773" s="23" t="s">
        <v>8</v>
      </c>
      <c r="L11773" s="23" t="s">
        <v>8</v>
      </c>
      <c r="M11773" s="23" t="s">
        <v>8</v>
      </c>
    </row>
    <row r="11774" spans="1:13" s="21" customFormat="1" x14ac:dyDescent="0.25">
      <c r="A11774" s="22" t="s">
        <v>8</v>
      </c>
      <c r="B11774" s="18" t="str">
        <f>"396098"</f>
        <v>396098</v>
      </c>
      <c r="C11774" s="19" t="s">
        <v>11581</v>
      </c>
      <c r="D11774" s="19" t="s">
        <v>27180</v>
      </c>
      <c r="E11774" s="19" t="s">
        <v>34801</v>
      </c>
      <c r="F11774" s="19" t="s">
        <v>36012</v>
      </c>
      <c r="G11774" s="18" t="str">
        <f>"15213"</f>
        <v>15213</v>
      </c>
      <c r="H11774" s="19" t="s">
        <v>36730</v>
      </c>
      <c r="I11774" s="20">
        <v>22.452000000000002</v>
      </c>
      <c r="J11774" s="44" t="s">
        <v>8</v>
      </c>
      <c r="K11774" s="23" t="s">
        <v>8</v>
      </c>
      <c r="L11774" s="23" t="s">
        <v>8</v>
      </c>
      <c r="M11774" s="23" t="s">
        <v>8</v>
      </c>
    </row>
    <row r="11775" spans="1:13" s="21" customFormat="1" x14ac:dyDescent="0.25">
      <c r="A11775" s="22" t="s">
        <v>8</v>
      </c>
      <c r="B11775" s="18" t="str">
        <f>"396099"</f>
        <v>396099</v>
      </c>
      <c r="C11775" s="19" t="s">
        <v>11582</v>
      </c>
      <c r="D11775" s="19" t="s">
        <v>27181</v>
      </c>
      <c r="E11775" s="19" t="s">
        <v>35015</v>
      </c>
      <c r="F11775" s="19" t="s">
        <v>36012</v>
      </c>
      <c r="G11775" s="18" t="str">
        <f>"19078"</f>
        <v>19078</v>
      </c>
      <c r="H11775" s="19" t="s">
        <v>34462</v>
      </c>
      <c r="I11775" s="20">
        <v>17.521000000000001</v>
      </c>
      <c r="J11775" s="44" t="s">
        <v>8</v>
      </c>
      <c r="K11775" s="23" t="s">
        <v>8</v>
      </c>
      <c r="L11775" s="23" t="s">
        <v>8</v>
      </c>
      <c r="M11775" s="23" t="s">
        <v>8</v>
      </c>
    </row>
    <row r="11776" spans="1:13" s="21" customFormat="1" x14ac:dyDescent="0.25">
      <c r="A11776" s="22" t="s">
        <v>8</v>
      </c>
      <c r="B11776" s="18" t="str">
        <f>"396101"</f>
        <v>396101</v>
      </c>
      <c r="C11776" s="19" t="s">
        <v>11583</v>
      </c>
      <c r="D11776" s="19" t="s">
        <v>27182</v>
      </c>
      <c r="E11776" s="19" t="s">
        <v>32390</v>
      </c>
      <c r="F11776" s="19" t="s">
        <v>36012</v>
      </c>
      <c r="G11776" s="18" t="str">
        <f>"19403"</f>
        <v>19403</v>
      </c>
      <c r="H11776" s="19" t="s">
        <v>30833</v>
      </c>
      <c r="I11776" s="20">
        <v>16.867999999999999</v>
      </c>
      <c r="J11776" s="44" t="s">
        <v>8</v>
      </c>
      <c r="K11776" s="23" t="s">
        <v>8</v>
      </c>
      <c r="L11776" s="23" t="s">
        <v>8</v>
      </c>
      <c r="M11776" s="23" t="s">
        <v>8</v>
      </c>
    </row>
    <row r="11777" spans="1:13" s="21" customFormat="1" x14ac:dyDescent="0.25">
      <c r="A11777" s="22" t="s">
        <v>8</v>
      </c>
      <c r="B11777" s="18" t="str">
        <f>"396102"</f>
        <v>396102</v>
      </c>
      <c r="C11777" s="19" t="s">
        <v>11584</v>
      </c>
      <c r="D11777" s="19" t="s">
        <v>27183</v>
      </c>
      <c r="E11777" s="19" t="s">
        <v>34103</v>
      </c>
      <c r="F11777" s="19" t="s">
        <v>36012</v>
      </c>
      <c r="G11777" s="18" t="str">
        <f>"15901"</f>
        <v>15901</v>
      </c>
      <c r="H11777" s="19" t="s">
        <v>36728</v>
      </c>
      <c r="I11777" s="20">
        <v>19.146999999999998</v>
      </c>
      <c r="J11777" s="44" t="s">
        <v>8</v>
      </c>
      <c r="K11777" s="23" t="s">
        <v>8</v>
      </c>
      <c r="L11777" s="23" t="s">
        <v>8</v>
      </c>
      <c r="M11777" s="23" t="s">
        <v>8</v>
      </c>
    </row>
    <row r="11778" spans="1:13" s="21" customFormat="1" x14ac:dyDescent="0.25">
      <c r="A11778" s="22" t="s">
        <v>8</v>
      </c>
      <c r="B11778" s="18" t="str">
        <f>"396105"</f>
        <v>396105</v>
      </c>
      <c r="C11778" s="19" t="s">
        <v>11585</v>
      </c>
      <c r="D11778" s="19" t="s">
        <v>27184</v>
      </c>
      <c r="E11778" s="19" t="s">
        <v>34833</v>
      </c>
      <c r="F11778" s="19" t="s">
        <v>36012</v>
      </c>
      <c r="G11778" s="18" t="str">
        <f>"16142"</f>
        <v>16142</v>
      </c>
      <c r="H11778" s="19" t="s">
        <v>32568</v>
      </c>
      <c r="I11778" s="20">
        <v>18.274000000000001</v>
      </c>
      <c r="J11778" s="44" t="s">
        <v>8</v>
      </c>
      <c r="K11778" s="23" t="s">
        <v>8</v>
      </c>
      <c r="L11778" s="23" t="s">
        <v>8</v>
      </c>
      <c r="M11778" s="23" t="s">
        <v>8</v>
      </c>
    </row>
    <row r="11779" spans="1:13" s="21" customFormat="1" x14ac:dyDescent="0.25">
      <c r="A11779" s="22" t="s">
        <v>8</v>
      </c>
      <c r="B11779" s="18" t="str">
        <f>"396106"</f>
        <v>396106</v>
      </c>
      <c r="C11779" s="19" t="s">
        <v>11586</v>
      </c>
      <c r="D11779" s="19" t="s">
        <v>27185</v>
      </c>
      <c r="E11779" s="19" t="s">
        <v>31498</v>
      </c>
      <c r="F11779" s="19" t="s">
        <v>36012</v>
      </c>
      <c r="G11779" s="18" t="str">
        <f>"16101"</f>
        <v>16101</v>
      </c>
      <c r="H11779" s="19" t="s">
        <v>32568</v>
      </c>
      <c r="I11779" s="20">
        <v>21.006</v>
      </c>
      <c r="J11779" s="44" t="s">
        <v>8</v>
      </c>
      <c r="K11779" s="23" t="s">
        <v>8</v>
      </c>
      <c r="L11779" s="23" t="s">
        <v>8</v>
      </c>
      <c r="M11779" s="23" t="s">
        <v>8</v>
      </c>
    </row>
    <row r="11780" spans="1:13" s="21" customFormat="1" x14ac:dyDescent="0.25">
      <c r="A11780" s="22" t="s">
        <v>8</v>
      </c>
      <c r="B11780" s="18" t="str">
        <f>"396107"</f>
        <v>396107</v>
      </c>
      <c r="C11780" s="19" t="s">
        <v>11587</v>
      </c>
      <c r="D11780" s="19" t="s">
        <v>27186</v>
      </c>
      <c r="E11780" s="19" t="s">
        <v>34900</v>
      </c>
      <c r="F11780" s="19" t="s">
        <v>36012</v>
      </c>
      <c r="G11780" s="18" t="str">
        <f>"18974"</f>
        <v>18974</v>
      </c>
      <c r="H11780" s="19" t="s">
        <v>36729</v>
      </c>
      <c r="I11780" s="20">
        <v>20.465</v>
      </c>
      <c r="J11780" s="44" t="s">
        <v>8</v>
      </c>
      <c r="K11780" s="23" t="s">
        <v>8</v>
      </c>
      <c r="L11780" s="23" t="s">
        <v>8</v>
      </c>
      <c r="M11780" s="23" t="s">
        <v>8</v>
      </c>
    </row>
    <row r="11781" spans="1:13" s="21" customFormat="1" x14ac:dyDescent="0.25">
      <c r="A11781" s="22" t="s">
        <v>8</v>
      </c>
      <c r="B11781" s="18" t="str">
        <f>"396108"</f>
        <v>396108</v>
      </c>
      <c r="C11781" s="19" t="s">
        <v>11588</v>
      </c>
      <c r="D11781" s="19" t="s">
        <v>27187</v>
      </c>
      <c r="E11781" s="19" t="s">
        <v>34843</v>
      </c>
      <c r="F11781" s="19" t="s">
        <v>36012</v>
      </c>
      <c r="G11781" s="18" t="str">
        <f>"18017"</f>
        <v>18017</v>
      </c>
      <c r="H11781" s="19" t="s">
        <v>33038</v>
      </c>
      <c r="I11781" s="20">
        <v>19.138999999999999</v>
      </c>
      <c r="J11781" s="44" t="s">
        <v>8</v>
      </c>
      <c r="K11781" s="23" t="s">
        <v>8</v>
      </c>
      <c r="L11781" s="23" t="s">
        <v>8</v>
      </c>
      <c r="M11781" s="23" t="s">
        <v>8</v>
      </c>
    </row>
    <row r="11782" spans="1:13" s="21" customFormat="1" x14ac:dyDescent="0.25">
      <c r="A11782" s="22" t="s">
        <v>8</v>
      </c>
      <c r="B11782" s="18" t="str">
        <f>"396109"</f>
        <v>396109</v>
      </c>
      <c r="C11782" s="19" t="s">
        <v>11589</v>
      </c>
      <c r="D11782" s="19" t="s">
        <v>27188</v>
      </c>
      <c r="E11782" s="19" t="s">
        <v>34958</v>
      </c>
      <c r="F11782" s="19" t="s">
        <v>36012</v>
      </c>
      <c r="G11782" s="18" t="str">
        <f>"18702"</f>
        <v>18702</v>
      </c>
      <c r="H11782" s="19" t="s">
        <v>36735</v>
      </c>
      <c r="I11782" s="20">
        <v>19.2</v>
      </c>
      <c r="J11782" s="44" t="s">
        <v>8</v>
      </c>
      <c r="K11782" s="23" t="s">
        <v>8</v>
      </c>
      <c r="L11782" s="23" t="s">
        <v>8</v>
      </c>
      <c r="M11782" s="23" t="s">
        <v>8</v>
      </c>
    </row>
    <row r="11783" spans="1:13" s="21" customFormat="1" x14ac:dyDescent="0.25">
      <c r="A11783" s="22" t="s">
        <v>8</v>
      </c>
      <c r="B11783" s="18" t="str">
        <f>"396111"</f>
        <v>396111</v>
      </c>
      <c r="C11783" s="19" t="s">
        <v>11590</v>
      </c>
      <c r="D11783" s="19" t="s">
        <v>27189</v>
      </c>
      <c r="E11783" s="19" t="s">
        <v>32235</v>
      </c>
      <c r="F11783" s="19" t="s">
        <v>36012</v>
      </c>
      <c r="G11783" s="18" t="str">
        <f>"17331"</f>
        <v>17331</v>
      </c>
      <c r="H11783" s="19" t="s">
        <v>30834</v>
      </c>
      <c r="I11783" s="20">
        <v>20.558</v>
      </c>
      <c r="J11783" s="44" t="s">
        <v>8</v>
      </c>
      <c r="K11783" s="23" t="s">
        <v>8</v>
      </c>
      <c r="L11783" s="23" t="s">
        <v>8</v>
      </c>
      <c r="M11783" s="23" t="s">
        <v>8</v>
      </c>
    </row>
    <row r="11784" spans="1:13" s="21" customFormat="1" x14ac:dyDescent="0.25">
      <c r="A11784" s="22" t="s">
        <v>8</v>
      </c>
      <c r="B11784" s="18" t="str">
        <f>"396112"</f>
        <v>396112</v>
      </c>
      <c r="C11784" s="19" t="s">
        <v>11591</v>
      </c>
      <c r="D11784" s="19" t="s">
        <v>27190</v>
      </c>
      <c r="E11784" s="19" t="s">
        <v>35016</v>
      </c>
      <c r="F11784" s="19" t="s">
        <v>36012</v>
      </c>
      <c r="G11784" s="18" t="str">
        <f>"17023"</f>
        <v>17023</v>
      </c>
      <c r="H11784" s="19" t="s">
        <v>36733</v>
      </c>
      <c r="I11784" s="20">
        <v>18.417999999999999</v>
      </c>
      <c r="J11784" s="44" t="s">
        <v>8</v>
      </c>
      <c r="K11784" s="23" t="s">
        <v>8</v>
      </c>
      <c r="L11784" s="23" t="s">
        <v>8</v>
      </c>
      <c r="M11784" s="23" t="s">
        <v>8</v>
      </c>
    </row>
    <row r="11785" spans="1:13" s="21" customFormat="1" x14ac:dyDescent="0.25">
      <c r="A11785" s="22" t="s">
        <v>8</v>
      </c>
      <c r="B11785" s="18" t="str">
        <f>"396113"</f>
        <v>396113</v>
      </c>
      <c r="C11785" s="19" t="s">
        <v>11592</v>
      </c>
      <c r="D11785" s="19" t="s">
        <v>27191</v>
      </c>
      <c r="E11785" s="19" t="s">
        <v>34979</v>
      </c>
      <c r="F11785" s="19" t="s">
        <v>36012</v>
      </c>
      <c r="G11785" s="18" t="str">
        <f>"19444"</f>
        <v>19444</v>
      </c>
      <c r="H11785" s="19" t="s">
        <v>30833</v>
      </c>
      <c r="I11785" s="20">
        <v>18.748999999999999</v>
      </c>
      <c r="J11785" s="44" t="s">
        <v>8</v>
      </c>
      <c r="K11785" s="23" t="s">
        <v>8</v>
      </c>
      <c r="L11785" s="23" t="s">
        <v>8</v>
      </c>
      <c r="M11785" s="23" t="s">
        <v>8</v>
      </c>
    </row>
    <row r="11786" spans="1:13" s="21" customFormat="1" x14ac:dyDescent="0.25">
      <c r="A11786" s="22" t="s">
        <v>8</v>
      </c>
      <c r="B11786" s="18" t="str">
        <f>"396114"</f>
        <v>396114</v>
      </c>
      <c r="C11786" s="19" t="s">
        <v>11593</v>
      </c>
      <c r="D11786" s="19" t="s">
        <v>27192</v>
      </c>
      <c r="E11786" s="19" t="s">
        <v>35014</v>
      </c>
      <c r="F11786" s="19" t="s">
        <v>36012</v>
      </c>
      <c r="G11786" s="18" t="str">
        <f>"19390"</f>
        <v>19390</v>
      </c>
      <c r="H11786" s="19" t="s">
        <v>31396</v>
      </c>
      <c r="I11786" s="20">
        <v>17.597000000000001</v>
      </c>
      <c r="J11786" s="44" t="s">
        <v>8</v>
      </c>
      <c r="K11786" s="23" t="s">
        <v>8</v>
      </c>
      <c r="L11786" s="23" t="s">
        <v>8</v>
      </c>
      <c r="M11786" s="23" t="s">
        <v>8</v>
      </c>
    </row>
    <row r="11787" spans="1:13" s="21" customFormat="1" x14ac:dyDescent="0.25">
      <c r="A11787" s="22" t="s">
        <v>8</v>
      </c>
      <c r="B11787" s="18" t="str">
        <f>"396115"</f>
        <v>396115</v>
      </c>
      <c r="C11787" s="19" t="s">
        <v>11594</v>
      </c>
      <c r="D11787" s="19" t="s">
        <v>27193</v>
      </c>
      <c r="E11787" s="19" t="s">
        <v>34871</v>
      </c>
      <c r="F11787" s="19" t="s">
        <v>36012</v>
      </c>
      <c r="G11787" s="18" t="str">
        <f>"19038"</f>
        <v>19038</v>
      </c>
      <c r="H11787" s="19" t="s">
        <v>30833</v>
      </c>
      <c r="I11787" s="20">
        <v>24.346</v>
      </c>
      <c r="J11787" s="44" t="s">
        <v>8</v>
      </c>
      <c r="K11787" s="23" t="s">
        <v>8</v>
      </c>
      <c r="L11787" s="23" t="s">
        <v>8</v>
      </c>
      <c r="M11787" s="23" t="s">
        <v>8</v>
      </c>
    </row>
    <row r="11788" spans="1:13" s="21" customFormat="1" x14ac:dyDescent="0.25">
      <c r="A11788" s="22" t="s">
        <v>8</v>
      </c>
      <c r="B11788" s="18" t="str">
        <f>"396116"</f>
        <v>396116</v>
      </c>
      <c r="C11788" s="19" t="s">
        <v>4991</v>
      </c>
      <c r="D11788" s="19" t="s">
        <v>27194</v>
      </c>
      <c r="E11788" s="19" t="s">
        <v>34801</v>
      </c>
      <c r="F11788" s="19" t="s">
        <v>36012</v>
      </c>
      <c r="G11788" s="18" t="str">
        <f>"15212"</f>
        <v>15212</v>
      </c>
      <c r="H11788" s="19" t="s">
        <v>36730</v>
      </c>
      <c r="I11788" s="20">
        <v>18.562999999999999</v>
      </c>
      <c r="J11788" s="44" t="s">
        <v>8</v>
      </c>
      <c r="K11788" s="23" t="s">
        <v>8</v>
      </c>
      <c r="L11788" s="23" t="s">
        <v>8</v>
      </c>
      <c r="M11788" s="23" t="s">
        <v>8</v>
      </c>
    </row>
    <row r="11789" spans="1:13" s="21" customFormat="1" x14ac:dyDescent="0.25">
      <c r="A11789" s="22" t="s">
        <v>8</v>
      </c>
      <c r="B11789" s="18" t="str">
        <f>"396117"</f>
        <v>396117</v>
      </c>
      <c r="C11789" s="19" t="s">
        <v>11595</v>
      </c>
      <c r="D11789" s="19" t="s">
        <v>27195</v>
      </c>
      <c r="E11789" s="19" t="s">
        <v>34575</v>
      </c>
      <c r="F11789" s="19" t="s">
        <v>36012</v>
      </c>
      <c r="G11789" s="18" t="str">
        <f>"19380"</f>
        <v>19380</v>
      </c>
      <c r="H11789" s="19" t="s">
        <v>31396</v>
      </c>
      <c r="I11789" s="20">
        <v>21.312999999999999</v>
      </c>
      <c r="J11789" s="44" t="s">
        <v>8</v>
      </c>
      <c r="K11789" s="23" t="s">
        <v>8</v>
      </c>
      <c r="L11789" s="23" t="s">
        <v>8</v>
      </c>
      <c r="M11789" s="23" t="s">
        <v>8</v>
      </c>
    </row>
    <row r="11790" spans="1:13" s="21" customFormat="1" x14ac:dyDescent="0.25">
      <c r="A11790" s="22" t="s">
        <v>8</v>
      </c>
      <c r="B11790" s="18" t="str">
        <f>"396119"</f>
        <v>396119</v>
      </c>
      <c r="C11790" s="19" t="s">
        <v>11596</v>
      </c>
      <c r="D11790" s="19" t="s">
        <v>27196</v>
      </c>
      <c r="E11790" s="19" t="s">
        <v>34970</v>
      </c>
      <c r="F11790" s="19" t="s">
        <v>36012</v>
      </c>
      <c r="G11790" s="18" t="str">
        <f>"17545"</f>
        <v>17545</v>
      </c>
      <c r="H11790" s="19" t="s">
        <v>31184</v>
      </c>
      <c r="I11790" s="20">
        <v>18.074999999999999</v>
      </c>
      <c r="J11790" s="44" t="s">
        <v>8</v>
      </c>
      <c r="K11790" s="23" t="s">
        <v>8</v>
      </c>
      <c r="L11790" s="23" t="s">
        <v>8</v>
      </c>
      <c r="M11790" s="23" t="s">
        <v>8</v>
      </c>
    </row>
    <row r="11791" spans="1:13" s="21" customFormat="1" x14ac:dyDescent="0.25">
      <c r="A11791" s="22" t="s">
        <v>8</v>
      </c>
      <c r="B11791" s="18" t="str">
        <f>"396120"</f>
        <v>396120</v>
      </c>
      <c r="C11791" s="19" t="s">
        <v>11597</v>
      </c>
      <c r="D11791" s="19" t="s">
        <v>27197</v>
      </c>
      <c r="E11791" s="19" t="s">
        <v>34873</v>
      </c>
      <c r="F11791" s="19" t="s">
        <v>36012</v>
      </c>
      <c r="G11791" s="18" t="str">
        <f>"19095"</f>
        <v>19095</v>
      </c>
      <c r="H11791" s="19" t="s">
        <v>30833</v>
      </c>
      <c r="I11791" s="20">
        <v>19.170999999999999</v>
      </c>
      <c r="J11791" s="44" t="s">
        <v>8</v>
      </c>
      <c r="K11791" s="23" t="s">
        <v>8</v>
      </c>
      <c r="L11791" s="23" t="s">
        <v>8</v>
      </c>
      <c r="M11791" s="23" t="s">
        <v>8</v>
      </c>
    </row>
    <row r="11792" spans="1:13" s="21" customFormat="1" x14ac:dyDescent="0.25">
      <c r="A11792" s="22" t="s">
        <v>8</v>
      </c>
      <c r="B11792" s="18" t="str">
        <f>"396121"</f>
        <v>396121</v>
      </c>
      <c r="C11792" s="19" t="s">
        <v>11598</v>
      </c>
      <c r="D11792" s="19" t="s">
        <v>27198</v>
      </c>
      <c r="E11792" s="19" t="s">
        <v>34805</v>
      </c>
      <c r="F11792" s="19" t="s">
        <v>36012</v>
      </c>
      <c r="G11792" s="18" t="str">
        <f>"16509"</f>
        <v>16509</v>
      </c>
      <c r="H11792" s="19" t="s">
        <v>34805</v>
      </c>
      <c r="I11792" s="20">
        <v>19.859000000000002</v>
      </c>
      <c r="J11792" s="44" t="s">
        <v>8</v>
      </c>
      <c r="K11792" s="23" t="s">
        <v>8</v>
      </c>
      <c r="L11792" s="23" t="s">
        <v>8</v>
      </c>
      <c r="M11792" s="23" t="s">
        <v>8</v>
      </c>
    </row>
    <row r="11793" spans="1:13" s="21" customFormat="1" x14ac:dyDescent="0.25">
      <c r="A11793" s="22" t="s">
        <v>8</v>
      </c>
      <c r="B11793" s="18" t="str">
        <f>"396122"</f>
        <v>396122</v>
      </c>
      <c r="C11793" s="19" t="s">
        <v>11599</v>
      </c>
      <c r="D11793" s="19" t="s">
        <v>27199</v>
      </c>
      <c r="E11793" s="19" t="s">
        <v>34888</v>
      </c>
      <c r="F11793" s="19" t="s">
        <v>36012</v>
      </c>
      <c r="G11793" s="18" t="str">
        <f>"17055"</f>
        <v>17055</v>
      </c>
      <c r="H11793" s="19" t="s">
        <v>32766</v>
      </c>
      <c r="I11793" s="20">
        <v>20.378</v>
      </c>
      <c r="J11793" s="44" t="s">
        <v>8</v>
      </c>
      <c r="K11793" s="23" t="s">
        <v>8</v>
      </c>
      <c r="L11793" s="23" t="s">
        <v>8</v>
      </c>
      <c r="M11793" s="23" t="s">
        <v>8</v>
      </c>
    </row>
    <row r="11794" spans="1:13" s="21" customFormat="1" x14ac:dyDescent="0.25">
      <c r="A11794" s="22" t="s">
        <v>8</v>
      </c>
      <c r="B11794" s="18" t="str">
        <f>"396123"</f>
        <v>396123</v>
      </c>
      <c r="C11794" s="19" t="s">
        <v>11600</v>
      </c>
      <c r="D11794" s="19" t="s">
        <v>27200</v>
      </c>
      <c r="E11794" s="19" t="s">
        <v>34997</v>
      </c>
      <c r="F11794" s="19" t="s">
        <v>36012</v>
      </c>
      <c r="G11794" s="18" t="str">
        <f>"19342"</f>
        <v>19342</v>
      </c>
      <c r="H11794" s="19" t="s">
        <v>34462</v>
      </c>
      <c r="I11794" s="20">
        <v>16.673999999999999</v>
      </c>
      <c r="J11794" s="44" t="s">
        <v>8</v>
      </c>
      <c r="K11794" s="23" t="s">
        <v>8</v>
      </c>
      <c r="L11794" s="23" t="s">
        <v>8</v>
      </c>
      <c r="M11794" s="23" t="s">
        <v>8</v>
      </c>
    </row>
    <row r="11795" spans="1:13" s="21" customFormat="1" x14ac:dyDescent="0.25">
      <c r="A11795" s="22" t="s">
        <v>8</v>
      </c>
      <c r="B11795" s="18" t="str">
        <f>"396124"</f>
        <v>396124</v>
      </c>
      <c r="C11795" s="19" t="s">
        <v>11601</v>
      </c>
      <c r="D11795" s="19" t="s">
        <v>27201</v>
      </c>
      <c r="E11795" s="19" t="s">
        <v>34801</v>
      </c>
      <c r="F11795" s="19" t="s">
        <v>36012</v>
      </c>
      <c r="G11795" s="18" t="str">
        <f>"15243"</f>
        <v>15243</v>
      </c>
      <c r="H11795" s="19" t="s">
        <v>36730</v>
      </c>
      <c r="I11795" s="20">
        <v>18.869</v>
      </c>
      <c r="J11795" s="44" t="s">
        <v>8</v>
      </c>
      <c r="K11795" s="23" t="s">
        <v>8</v>
      </c>
      <c r="L11795" s="23" t="s">
        <v>8</v>
      </c>
      <c r="M11795" s="23" t="s">
        <v>8</v>
      </c>
    </row>
    <row r="11796" spans="1:13" s="21" customFormat="1" x14ac:dyDescent="0.25">
      <c r="A11796" s="22" t="s">
        <v>8</v>
      </c>
      <c r="B11796" s="18" t="str">
        <f>"396125"</f>
        <v>396125</v>
      </c>
      <c r="C11796" s="19" t="s">
        <v>11602</v>
      </c>
      <c r="D11796" s="19" t="s">
        <v>27202</v>
      </c>
      <c r="E11796" s="19" t="s">
        <v>34900</v>
      </c>
      <c r="F11796" s="19" t="s">
        <v>36012</v>
      </c>
      <c r="G11796" s="18" t="str">
        <f>"18974"</f>
        <v>18974</v>
      </c>
      <c r="H11796" s="19" t="s">
        <v>36729</v>
      </c>
      <c r="I11796" s="20">
        <v>18.204999999999998</v>
      </c>
      <c r="J11796" s="44" t="s">
        <v>8</v>
      </c>
      <c r="K11796" s="23" t="s">
        <v>8</v>
      </c>
      <c r="L11796" s="23" t="s">
        <v>8</v>
      </c>
      <c r="M11796" s="23" t="s">
        <v>8</v>
      </c>
    </row>
    <row r="11797" spans="1:13" s="21" customFormat="1" x14ac:dyDescent="0.25">
      <c r="A11797" s="22" t="s">
        <v>8</v>
      </c>
      <c r="B11797" s="18" t="str">
        <f>"396126"</f>
        <v>396126</v>
      </c>
      <c r="C11797" s="19" t="s">
        <v>11603</v>
      </c>
      <c r="D11797" s="19" t="s">
        <v>27203</v>
      </c>
      <c r="E11797" s="19" t="s">
        <v>34853</v>
      </c>
      <c r="F11797" s="19" t="s">
        <v>36012</v>
      </c>
      <c r="G11797" s="18" t="str">
        <f>"19460"</f>
        <v>19460</v>
      </c>
      <c r="H11797" s="19" t="s">
        <v>31396</v>
      </c>
      <c r="I11797" s="20">
        <v>19.684999999999999</v>
      </c>
      <c r="J11797" s="44" t="s">
        <v>8</v>
      </c>
      <c r="K11797" s="23" t="s">
        <v>8</v>
      </c>
      <c r="L11797" s="23" t="s">
        <v>8</v>
      </c>
      <c r="M11797" s="23" t="s">
        <v>8</v>
      </c>
    </row>
    <row r="11798" spans="1:13" s="21" customFormat="1" x14ac:dyDescent="0.25">
      <c r="A11798" s="22" t="s">
        <v>8</v>
      </c>
      <c r="B11798" s="18" t="str">
        <f>"396127"</f>
        <v>396127</v>
      </c>
      <c r="C11798" s="19" t="s">
        <v>11604</v>
      </c>
      <c r="D11798" s="19" t="s">
        <v>27204</v>
      </c>
      <c r="E11798" s="19" t="s">
        <v>34844</v>
      </c>
      <c r="F11798" s="19" t="s">
        <v>36012</v>
      </c>
      <c r="G11798" s="18" t="str">
        <f>"17901"</f>
        <v>17901</v>
      </c>
      <c r="H11798" s="19" t="s">
        <v>36737</v>
      </c>
      <c r="I11798" s="20">
        <v>19.774000000000001</v>
      </c>
      <c r="J11798" s="44" t="s">
        <v>8</v>
      </c>
      <c r="K11798" s="23" t="s">
        <v>8</v>
      </c>
      <c r="L11798" s="23" t="s">
        <v>8</v>
      </c>
      <c r="M11798" s="23" t="s">
        <v>8</v>
      </c>
    </row>
    <row r="11799" spans="1:13" s="21" customFormat="1" x14ac:dyDescent="0.25">
      <c r="A11799" s="22" t="s">
        <v>8</v>
      </c>
      <c r="B11799" s="18" t="str">
        <f>"396128"</f>
        <v>396128</v>
      </c>
      <c r="C11799" s="19" t="s">
        <v>11605</v>
      </c>
      <c r="D11799" s="19" t="s">
        <v>27205</v>
      </c>
      <c r="E11799" s="19" t="s">
        <v>31375</v>
      </c>
      <c r="F11799" s="19" t="s">
        <v>36012</v>
      </c>
      <c r="G11799" s="18" t="str">
        <f>"17501"</f>
        <v>17501</v>
      </c>
      <c r="H11799" s="19" t="s">
        <v>31184</v>
      </c>
      <c r="I11799" s="20">
        <v>15.760999999999999</v>
      </c>
      <c r="J11799" s="44" t="s">
        <v>8</v>
      </c>
      <c r="K11799" s="23" t="s">
        <v>8</v>
      </c>
      <c r="L11799" s="23" t="s">
        <v>8</v>
      </c>
      <c r="M11799" s="23" t="s">
        <v>8</v>
      </c>
    </row>
    <row r="11800" spans="1:13" s="21" customFormat="1" x14ac:dyDescent="0.25">
      <c r="A11800" s="22" t="s">
        <v>8</v>
      </c>
      <c r="B11800" s="18" t="str">
        <f>"396129"</f>
        <v>396129</v>
      </c>
      <c r="C11800" s="19" t="s">
        <v>11606</v>
      </c>
      <c r="D11800" s="19" t="s">
        <v>27206</v>
      </c>
      <c r="E11800" s="19" t="s">
        <v>33514</v>
      </c>
      <c r="F11800" s="19" t="s">
        <v>36012</v>
      </c>
      <c r="G11800" s="18" t="str">
        <f>"19144"</f>
        <v>19144</v>
      </c>
      <c r="H11800" s="19" t="s">
        <v>33514</v>
      </c>
      <c r="I11800" s="20">
        <v>17.312000000000001</v>
      </c>
      <c r="J11800" s="44" t="s">
        <v>8</v>
      </c>
      <c r="K11800" s="23" t="s">
        <v>8</v>
      </c>
      <c r="L11800" s="23" t="s">
        <v>8</v>
      </c>
      <c r="M11800" s="23" t="s">
        <v>8</v>
      </c>
    </row>
    <row r="11801" spans="1:13" s="21" customFormat="1" x14ac:dyDescent="0.25">
      <c r="A11801" s="22" t="s">
        <v>8</v>
      </c>
      <c r="B11801" s="18" t="str">
        <f>"396130"</f>
        <v>396130</v>
      </c>
      <c r="C11801" s="19" t="s">
        <v>11607</v>
      </c>
      <c r="D11801" s="19" t="s">
        <v>27207</v>
      </c>
      <c r="E11801" s="19" t="s">
        <v>34916</v>
      </c>
      <c r="F11801" s="19" t="s">
        <v>36012</v>
      </c>
      <c r="G11801" s="18" t="str">
        <f>"18360"</f>
        <v>18360</v>
      </c>
      <c r="H11801" s="19" t="s">
        <v>31711</v>
      </c>
      <c r="I11801" s="20">
        <v>17.783999999999999</v>
      </c>
      <c r="J11801" s="44" t="s">
        <v>8</v>
      </c>
      <c r="K11801" s="23" t="s">
        <v>8</v>
      </c>
      <c r="L11801" s="23" t="s">
        <v>8</v>
      </c>
      <c r="M11801" s="23" t="s">
        <v>8</v>
      </c>
    </row>
    <row r="11802" spans="1:13" s="21" customFormat="1" x14ac:dyDescent="0.25">
      <c r="A11802" s="22" t="s">
        <v>8</v>
      </c>
      <c r="B11802" s="18" t="str">
        <f>"396131"</f>
        <v>396131</v>
      </c>
      <c r="C11802" s="19" t="s">
        <v>11608</v>
      </c>
      <c r="D11802" s="19" t="s">
        <v>27208</v>
      </c>
      <c r="E11802" s="19" t="s">
        <v>34801</v>
      </c>
      <c r="F11802" s="19" t="s">
        <v>36012</v>
      </c>
      <c r="G11802" s="18" t="str">
        <f>"15202"</f>
        <v>15202</v>
      </c>
      <c r="H11802" s="19" t="s">
        <v>36730</v>
      </c>
      <c r="I11802" s="20">
        <v>17.556999999999999</v>
      </c>
      <c r="J11802" s="44" t="s">
        <v>8</v>
      </c>
      <c r="K11802" s="23" t="s">
        <v>8</v>
      </c>
      <c r="L11802" s="23" t="s">
        <v>8</v>
      </c>
      <c r="M11802" s="23" t="s">
        <v>8</v>
      </c>
    </row>
    <row r="11803" spans="1:13" s="21" customFormat="1" x14ac:dyDescent="0.25">
      <c r="A11803" s="22" t="s">
        <v>8</v>
      </c>
      <c r="B11803" s="18" t="str">
        <f>"396132"</f>
        <v>396132</v>
      </c>
      <c r="C11803" s="19" t="s">
        <v>11609</v>
      </c>
      <c r="D11803" s="19" t="s">
        <v>27209</v>
      </c>
      <c r="E11803" s="19" t="s">
        <v>34103</v>
      </c>
      <c r="F11803" s="19" t="s">
        <v>36012</v>
      </c>
      <c r="G11803" s="18" t="str">
        <f>"15905"</f>
        <v>15905</v>
      </c>
      <c r="H11803" s="19" t="s">
        <v>36728</v>
      </c>
      <c r="I11803" s="20">
        <v>19.501999999999999</v>
      </c>
      <c r="J11803" s="44" t="s">
        <v>8</v>
      </c>
      <c r="K11803" s="23" t="s">
        <v>8</v>
      </c>
      <c r="L11803" s="23" t="s">
        <v>8</v>
      </c>
      <c r="M11803" s="23" t="s">
        <v>8</v>
      </c>
    </row>
    <row r="11804" spans="1:13" s="21" customFormat="1" x14ac:dyDescent="0.25">
      <c r="A11804" s="22" t="s">
        <v>8</v>
      </c>
      <c r="B11804" s="18" t="str">
        <f>"396133"</f>
        <v>396133</v>
      </c>
      <c r="C11804" s="19" t="s">
        <v>11610</v>
      </c>
      <c r="D11804" s="19" t="s">
        <v>27210</v>
      </c>
      <c r="E11804" s="19" t="s">
        <v>34888</v>
      </c>
      <c r="F11804" s="19" t="s">
        <v>36012</v>
      </c>
      <c r="G11804" s="18" t="str">
        <f>"17055"</f>
        <v>17055</v>
      </c>
      <c r="H11804" s="19" t="s">
        <v>32766</v>
      </c>
      <c r="I11804" s="20">
        <v>14.941000000000001</v>
      </c>
      <c r="J11804" s="44" t="s">
        <v>8</v>
      </c>
      <c r="K11804" s="23" t="s">
        <v>8</v>
      </c>
      <c r="L11804" s="23" t="s">
        <v>8</v>
      </c>
      <c r="M11804" s="23" t="s">
        <v>8</v>
      </c>
    </row>
    <row r="11805" spans="1:13" s="21" customFormat="1" x14ac:dyDescent="0.25">
      <c r="A11805" s="22" t="s">
        <v>8</v>
      </c>
      <c r="B11805" s="18" t="str">
        <f>"396134"</f>
        <v>396134</v>
      </c>
      <c r="C11805" s="19" t="s">
        <v>11611</v>
      </c>
      <c r="D11805" s="19" t="s">
        <v>27211</v>
      </c>
      <c r="E11805" s="19" t="s">
        <v>35017</v>
      </c>
      <c r="F11805" s="19" t="s">
        <v>36012</v>
      </c>
      <c r="G11805" s="18" t="str">
        <f>"17036"</f>
        <v>17036</v>
      </c>
      <c r="H11805" s="19" t="s">
        <v>36733</v>
      </c>
      <c r="I11805" s="20">
        <v>18.509</v>
      </c>
      <c r="J11805" s="44" t="s">
        <v>8</v>
      </c>
      <c r="K11805" s="23" t="s">
        <v>8</v>
      </c>
      <c r="L11805" s="23" t="s">
        <v>8</v>
      </c>
      <c r="M11805" s="23" t="s">
        <v>8</v>
      </c>
    </row>
    <row r="11806" spans="1:13" s="21" customFormat="1" x14ac:dyDescent="0.25">
      <c r="A11806" s="22" t="s">
        <v>8</v>
      </c>
      <c r="B11806" s="18" t="str">
        <f>"396135"</f>
        <v>396135</v>
      </c>
      <c r="C11806" s="19" t="s">
        <v>11612</v>
      </c>
      <c r="D11806" s="19" t="s">
        <v>27212</v>
      </c>
      <c r="E11806" s="19" t="s">
        <v>34811</v>
      </c>
      <c r="F11806" s="19" t="s">
        <v>36012</v>
      </c>
      <c r="G11806" s="18" t="str">
        <f>"18508"</f>
        <v>18508</v>
      </c>
      <c r="H11806" s="19" t="s">
        <v>36732</v>
      </c>
      <c r="I11806" s="20">
        <v>20.484000000000002</v>
      </c>
      <c r="J11806" s="44" t="s">
        <v>8</v>
      </c>
      <c r="K11806" s="23" t="s">
        <v>8</v>
      </c>
      <c r="L11806" s="23" t="s">
        <v>8</v>
      </c>
      <c r="M11806" s="23" t="s">
        <v>8</v>
      </c>
    </row>
    <row r="11807" spans="1:13" s="21" customFormat="1" x14ac:dyDescent="0.25">
      <c r="A11807" s="22" t="s">
        <v>8</v>
      </c>
      <c r="B11807" s="18" t="str">
        <f>"396136"</f>
        <v>396136</v>
      </c>
      <c r="C11807" s="19" t="s">
        <v>11613</v>
      </c>
      <c r="D11807" s="19" t="s">
        <v>27213</v>
      </c>
      <c r="E11807" s="19" t="s">
        <v>34799</v>
      </c>
      <c r="F11807" s="19" t="s">
        <v>36012</v>
      </c>
      <c r="G11807" s="18" t="str">
        <f>"18104"</f>
        <v>18104</v>
      </c>
      <c r="H11807" s="19" t="s">
        <v>36731</v>
      </c>
      <c r="I11807" s="20">
        <v>18.337</v>
      </c>
      <c r="J11807" s="44" t="s">
        <v>8</v>
      </c>
      <c r="K11807" s="23" t="s">
        <v>8</v>
      </c>
      <c r="L11807" s="23" t="s">
        <v>8</v>
      </c>
      <c r="M11807" s="23" t="s">
        <v>8</v>
      </c>
    </row>
    <row r="11808" spans="1:13" s="21" customFormat="1" x14ac:dyDescent="0.25">
      <c r="A11808" s="22" t="s">
        <v>8</v>
      </c>
      <c r="B11808" s="18" t="str">
        <f>"396137"</f>
        <v>396137</v>
      </c>
      <c r="C11808" s="19" t="s">
        <v>11614</v>
      </c>
      <c r="D11808" s="19" t="s">
        <v>27214</v>
      </c>
      <c r="E11808" s="19" t="s">
        <v>30824</v>
      </c>
      <c r="F11808" s="19" t="s">
        <v>36012</v>
      </c>
      <c r="G11808" s="18" t="str">
        <f>"18810"</f>
        <v>18810</v>
      </c>
      <c r="H11808" s="19" t="s">
        <v>34878</v>
      </c>
      <c r="I11808" s="20">
        <v>21.367999999999999</v>
      </c>
      <c r="J11808" s="44" t="s">
        <v>8</v>
      </c>
      <c r="K11808" s="23" t="s">
        <v>8</v>
      </c>
      <c r="L11808" s="23" t="s">
        <v>8</v>
      </c>
      <c r="M11808" s="23" t="s">
        <v>8</v>
      </c>
    </row>
    <row r="11809" spans="1:13" s="21" customFormat="1" x14ac:dyDescent="0.25">
      <c r="A11809" s="22" t="s">
        <v>8</v>
      </c>
      <c r="B11809" s="18" t="str">
        <f>"396138"</f>
        <v>396138</v>
      </c>
      <c r="C11809" s="19" t="s">
        <v>11615</v>
      </c>
      <c r="D11809" s="19" t="s">
        <v>27215</v>
      </c>
      <c r="E11809" s="19" t="s">
        <v>30905</v>
      </c>
      <c r="F11809" s="19" t="s">
        <v>36012</v>
      </c>
      <c r="G11809" s="18" t="str">
        <f>"15146"</f>
        <v>15146</v>
      </c>
      <c r="H11809" s="19" t="s">
        <v>36730</v>
      </c>
      <c r="I11809" s="20">
        <v>19.286000000000001</v>
      </c>
      <c r="J11809" s="44" t="s">
        <v>8</v>
      </c>
      <c r="K11809" s="23" t="s">
        <v>8</v>
      </c>
      <c r="L11809" s="23" t="s">
        <v>8</v>
      </c>
      <c r="M11809" s="23" t="s">
        <v>8</v>
      </c>
    </row>
    <row r="11810" spans="1:13" s="21" customFormat="1" x14ac:dyDescent="0.25">
      <c r="A11810" s="22" t="s">
        <v>8</v>
      </c>
      <c r="B11810" s="18" t="str">
        <f>"405018"</f>
        <v>405018</v>
      </c>
      <c r="C11810" s="19" t="s">
        <v>11616</v>
      </c>
      <c r="D11810" s="19" t="s">
        <v>27216</v>
      </c>
      <c r="E11810" s="19" t="s">
        <v>35018</v>
      </c>
      <c r="F11810" s="19" t="s">
        <v>36013</v>
      </c>
      <c r="G11810" s="18" t="str">
        <f>"00792"</f>
        <v>00792</v>
      </c>
      <c r="H11810" s="19" t="s">
        <v>35018</v>
      </c>
      <c r="I11810" s="20">
        <v>20.574999999999999</v>
      </c>
      <c r="J11810" s="44" t="s">
        <v>8</v>
      </c>
      <c r="K11810" s="23" t="s">
        <v>8</v>
      </c>
      <c r="L11810" s="23" t="s">
        <v>8</v>
      </c>
      <c r="M11810" s="23" t="s">
        <v>8</v>
      </c>
    </row>
    <row r="11811" spans="1:13" s="21" customFormat="1" x14ac:dyDescent="0.25">
      <c r="A11811" s="22" t="s">
        <v>8</v>
      </c>
      <c r="B11811" s="18" t="str">
        <f>"405023"</f>
        <v>405023</v>
      </c>
      <c r="C11811" s="19" t="s">
        <v>11617</v>
      </c>
      <c r="D11811" s="19" t="s">
        <v>27217</v>
      </c>
      <c r="E11811" s="19" t="s">
        <v>35019</v>
      </c>
      <c r="F11811" s="19" t="s">
        <v>36013</v>
      </c>
      <c r="G11811" s="18" t="str">
        <f>"00717"</f>
        <v>00717</v>
      </c>
      <c r="H11811" s="19" t="s">
        <v>35019</v>
      </c>
      <c r="I11811" s="20">
        <v>19.356999999999999</v>
      </c>
      <c r="J11811" s="44" t="s">
        <v>8</v>
      </c>
      <c r="K11811" s="23" t="s">
        <v>8</v>
      </c>
      <c r="L11811" s="23" t="s">
        <v>8</v>
      </c>
      <c r="M11811" s="23" t="s">
        <v>8</v>
      </c>
    </row>
    <row r="11812" spans="1:13" s="21" customFormat="1" x14ac:dyDescent="0.25">
      <c r="A11812" s="22" t="s">
        <v>8</v>
      </c>
      <c r="B11812" s="18" t="str">
        <f>"405025"</f>
        <v>405025</v>
      </c>
      <c r="C11812" s="19" t="s">
        <v>11618</v>
      </c>
      <c r="D11812" s="19" t="s">
        <v>27218</v>
      </c>
      <c r="E11812" s="19" t="s">
        <v>35020</v>
      </c>
      <c r="F11812" s="19" t="s">
        <v>36013</v>
      </c>
      <c r="G11812" s="18" t="str">
        <f>"00693"</f>
        <v>00693</v>
      </c>
      <c r="H11812" s="19" t="s">
        <v>35020</v>
      </c>
      <c r="I11812" s="20">
        <v>20.221</v>
      </c>
      <c r="J11812" s="44" t="s">
        <v>8</v>
      </c>
      <c r="K11812" s="23" t="s">
        <v>8</v>
      </c>
      <c r="L11812" s="23" t="s">
        <v>8</v>
      </c>
      <c r="M11812" s="23" t="s">
        <v>8</v>
      </c>
    </row>
    <row r="11813" spans="1:13" s="21" customFormat="1" x14ac:dyDescent="0.25">
      <c r="A11813" s="22" t="s">
        <v>8</v>
      </c>
      <c r="B11813" s="18" t="str">
        <f>"405029"</f>
        <v>405029</v>
      </c>
      <c r="C11813" s="19" t="s">
        <v>11619</v>
      </c>
      <c r="D11813" s="19" t="s">
        <v>27219</v>
      </c>
      <c r="E11813" s="19" t="s">
        <v>35021</v>
      </c>
      <c r="F11813" s="19" t="s">
        <v>36013</v>
      </c>
      <c r="G11813" s="18" t="str">
        <f>"00660"</f>
        <v>00660</v>
      </c>
      <c r="H11813" s="19" t="s">
        <v>35021</v>
      </c>
      <c r="I11813" s="20">
        <v>18.677</v>
      </c>
      <c r="J11813" s="44" t="s">
        <v>8</v>
      </c>
      <c r="K11813" s="23" t="s">
        <v>8</v>
      </c>
      <c r="L11813" s="23" t="s">
        <v>8</v>
      </c>
      <c r="M11813" s="23" t="s">
        <v>8</v>
      </c>
    </row>
    <row r="11814" spans="1:13" s="21" customFormat="1" x14ac:dyDescent="0.25">
      <c r="A11814" s="22" t="s">
        <v>8</v>
      </c>
      <c r="B11814" s="18" t="str">
        <f>"405030"</f>
        <v>405030</v>
      </c>
      <c r="C11814" s="19" t="s">
        <v>11620</v>
      </c>
      <c r="D11814" s="19" t="s">
        <v>27220</v>
      </c>
      <c r="E11814" s="19" t="s">
        <v>35022</v>
      </c>
      <c r="F11814" s="19" t="s">
        <v>36013</v>
      </c>
      <c r="G11814" s="18" t="str">
        <f>"00926"</f>
        <v>00926</v>
      </c>
      <c r="H11814" s="19" t="s">
        <v>35251</v>
      </c>
      <c r="I11814" s="20">
        <v>21.404</v>
      </c>
      <c r="J11814" s="44" t="s">
        <v>8</v>
      </c>
      <c r="K11814" s="23" t="s">
        <v>8</v>
      </c>
      <c r="L11814" s="23" t="s">
        <v>8</v>
      </c>
      <c r="M11814" s="23" t="s">
        <v>8</v>
      </c>
    </row>
    <row r="11815" spans="1:13" s="21" customFormat="1" x14ac:dyDescent="0.25">
      <c r="A11815" s="22" t="s">
        <v>8</v>
      </c>
      <c r="B11815" s="18" t="str">
        <f>"415002"</f>
        <v>415002</v>
      </c>
      <c r="C11815" s="19" t="s">
        <v>11621</v>
      </c>
      <c r="D11815" s="19" t="s">
        <v>27221</v>
      </c>
      <c r="E11815" s="19" t="s">
        <v>35023</v>
      </c>
      <c r="F11815" s="19" t="s">
        <v>36014</v>
      </c>
      <c r="G11815" s="18" t="str">
        <f>"02914"</f>
        <v>02914</v>
      </c>
      <c r="H11815" s="19" t="s">
        <v>35026</v>
      </c>
      <c r="I11815" s="20">
        <v>20.018999999999998</v>
      </c>
      <c r="J11815" s="44" t="s">
        <v>8</v>
      </c>
      <c r="K11815" s="23" t="s">
        <v>8</v>
      </c>
      <c r="L11815" s="23" t="s">
        <v>8</v>
      </c>
      <c r="M11815" s="23" t="s">
        <v>8</v>
      </c>
    </row>
    <row r="11816" spans="1:13" s="21" customFormat="1" x14ac:dyDescent="0.25">
      <c r="A11816" s="22" t="s">
        <v>8</v>
      </c>
      <c r="B11816" s="18" t="str">
        <f>"415004"</f>
        <v>415004</v>
      </c>
      <c r="C11816" s="19" t="s">
        <v>11622</v>
      </c>
      <c r="D11816" s="19" t="s">
        <v>27222</v>
      </c>
      <c r="E11816" s="19" t="s">
        <v>35024</v>
      </c>
      <c r="F11816" s="19" t="s">
        <v>36014</v>
      </c>
      <c r="G11816" s="18" t="str">
        <f>"02891"</f>
        <v>02891</v>
      </c>
      <c r="H11816" s="19" t="s">
        <v>31500</v>
      </c>
      <c r="I11816" s="20">
        <v>17.704000000000001</v>
      </c>
      <c r="J11816" s="44" t="s">
        <v>8</v>
      </c>
      <c r="K11816" s="23" t="s">
        <v>8</v>
      </c>
      <c r="L11816" s="23" t="s">
        <v>8</v>
      </c>
      <c r="M11816" s="23" t="s">
        <v>8</v>
      </c>
    </row>
    <row r="11817" spans="1:13" s="21" customFormat="1" x14ac:dyDescent="0.25">
      <c r="A11817" s="22" t="s">
        <v>8</v>
      </c>
      <c r="B11817" s="18" t="str">
        <f>"415007"</f>
        <v>415007</v>
      </c>
      <c r="C11817" s="19" t="s">
        <v>11623</v>
      </c>
      <c r="D11817" s="19" t="s">
        <v>27223</v>
      </c>
      <c r="E11817" s="19" t="s">
        <v>31112</v>
      </c>
      <c r="F11817" s="19" t="s">
        <v>36014</v>
      </c>
      <c r="G11817" s="18" t="str">
        <f>"02915"</f>
        <v>02915</v>
      </c>
      <c r="H11817" s="19" t="s">
        <v>35026</v>
      </c>
      <c r="I11817" s="20">
        <v>19.474</v>
      </c>
      <c r="J11817" s="44" t="s">
        <v>8</v>
      </c>
      <c r="K11817" s="23" t="s">
        <v>8</v>
      </c>
      <c r="L11817" s="23" t="s">
        <v>8</v>
      </c>
      <c r="M11817" s="23" t="s">
        <v>8</v>
      </c>
    </row>
    <row r="11818" spans="1:13" s="21" customFormat="1" x14ac:dyDescent="0.25">
      <c r="A11818" s="22" t="s">
        <v>8</v>
      </c>
      <c r="B11818" s="18" t="str">
        <f>"415008"</f>
        <v>415008</v>
      </c>
      <c r="C11818" s="19" t="s">
        <v>5465</v>
      </c>
      <c r="D11818" s="19" t="s">
        <v>27224</v>
      </c>
      <c r="E11818" s="19" t="s">
        <v>34215</v>
      </c>
      <c r="F11818" s="19" t="s">
        <v>36014</v>
      </c>
      <c r="G11818" s="18" t="str">
        <f>"02886"</f>
        <v>02886</v>
      </c>
      <c r="H11818" s="19" t="s">
        <v>31478</v>
      </c>
      <c r="I11818" s="20">
        <v>18.754999999999999</v>
      </c>
      <c r="J11818" s="44" t="s">
        <v>8</v>
      </c>
      <c r="K11818" s="23" t="s">
        <v>8</v>
      </c>
      <c r="L11818" s="23" t="s">
        <v>8</v>
      </c>
      <c r="M11818" s="23" t="s">
        <v>8</v>
      </c>
    </row>
    <row r="11819" spans="1:13" s="21" customFormat="1" x14ac:dyDescent="0.25">
      <c r="A11819" s="22" t="s">
        <v>8</v>
      </c>
      <c r="B11819" s="18" t="str">
        <f>"415009"</f>
        <v>415009</v>
      </c>
      <c r="C11819" s="19" t="s">
        <v>11624</v>
      </c>
      <c r="D11819" s="19" t="s">
        <v>27225</v>
      </c>
      <c r="E11819" s="19" t="s">
        <v>34215</v>
      </c>
      <c r="F11819" s="19" t="s">
        <v>36014</v>
      </c>
      <c r="G11819" s="18" t="str">
        <f>"02886"</f>
        <v>02886</v>
      </c>
      <c r="H11819" s="19" t="s">
        <v>31478</v>
      </c>
      <c r="I11819" s="20">
        <v>21.663</v>
      </c>
      <c r="J11819" s="44" t="s">
        <v>8</v>
      </c>
      <c r="K11819" s="23" t="s">
        <v>8</v>
      </c>
      <c r="L11819" s="23" t="s">
        <v>8</v>
      </c>
      <c r="M11819" s="23" t="s">
        <v>8</v>
      </c>
    </row>
    <row r="11820" spans="1:13" s="21" customFormat="1" x14ac:dyDescent="0.25">
      <c r="A11820" s="22" t="s">
        <v>8</v>
      </c>
      <c r="B11820" s="18" t="str">
        <f>"415010"</f>
        <v>415010</v>
      </c>
      <c r="C11820" s="19" t="s">
        <v>11625</v>
      </c>
      <c r="D11820" s="19" t="s">
        <v>27226</v>
      </c>
      <c r="E11820" s="19" t="s">
        <v>35025</v>
      </c>
      <c r="F11820" s="19" t="s">
        <v>36014</v>
      </c>
      <c r="G11820" s="18" t="str">
        <f>"02818"</f>
        <v>02818</v>
      </c>
      <c r="H11820" s="19" t="s">
        <v>31478</v>
      </c>
      <c r="I11820" s="20">
        <v>17.548999999999999</v>
      </c>
      <c r="J11820" s="44" t="s">
        <v>8</v>
      </c>
      <c r="K11820" s="23" t="s">
        <v>8</v>
      </c>
      <c r="L11820" s="23" t="s">
        <v>8</v>
      </c>
      <c r="M11820" s="23" t="s">
        <v>8</v>
      </c>
    </row>
    <row r="11821" spans="1:13" s="21" customFormat="1" x14ac:dyDescent="0.25">
      <c r="A11821" s="22" t="s">
        <v>8</v>
      </c>
      <c r="B11821" s="18" t="str">
        <f>"415012"</f>
        <v>415012</v>
      </c>
      <c r="C11821" s="19" t="s">
        <v>11626</v>
      </c>
      <c r="D11821" s="19" t="s">
        <v>27227</v>
      </c>
      <c r="E11821" s="19" t="s">
        <v>32504</v>
      </c>
      <c r="F11821" s="19" t="s">
        <v>36014</v>
      </c>
      <c r="G11821" s="18" t="str">
        <f>"02919"</f>
        <v>02919</v>
      </c>
      <c r="H11821" s="19" t="s">
        <v>35026</v>
      </c>
      <c r="I11821" s="20">
        <v>17.39</v>
      </c>
      <c r="J11821" s="44" t="s">
        <v>8</v>
      </c>
      <c r="K11821" s="23" t="s">
        <v>8</v>
      </c>
      <c r="L11821" s="23" t="s">
        <v>8</v>
      </c>
      <c r="M11821" s="23" t="s">
        <v>8</v>
      </c>
    </row>
    <row r="11822" spans="1:13" s="21" customFormat="1" x14ac:dyDescent="0.25">
      <c r="A11822" s="22" t="s">
        <v>8</v>
      </c>
      <c r="B11822" s="18" t="str">
        <f>"415014"</f>
        <v>415014</v>
      </c>
      <c r="C11822" s="19" t="s">
        <v>11627</v>
      </c>
      <c r="D11822" s="19" t="s">
        <v>27228</v>
      </c>
      <c r="E11822" s="19" t="s">
        <v>31025</v>
      </c>
      <c r="F11822" s="19" t="s">
        <v>36014</v>
      </c>
      <c r="G11822" s="18" t="str">
        <f>"02885"</f>
        <v>02885</v>
      </c>
      <c r="H11822" s="19" t="s">
        <v>31434</v>
      </c>
      <c r="I11822" s="20">
        <v>17.8</v>
      </c>
      <c r="J11822" s="44" t="s">
        <v>8</v>
      </c>
      <c r="K11822" s="23" t="s">
        <v>8</v>
      </c>
      <c r="L11822" s="23" t="s">
        <v>8</v>
      </c>
      <c r="M11822" s="23" t="s">
        <v>8</v>
      </c>
    </row>
    <row r="11823" spans="1:13" s="21" customFormat="1" x14ac:dyDescent="0.25">
      <c r="A11823" s="22" t="s">
        <v>8</v>
      </c>
      <c r="B11823" s="18" t="str">
        <f>"415015"</f>
        <v>415015</v>
      </c>
      <c r="C11823" s="19" t="s">
        <v>11628</v>
      </c>
      <c r="D11823" s="19" t="s">
        <v>27229</v>
      </c>
      <c r="E11823" s="19" t="s">
        <v>35024</v>
      </c>
      <c r="F11823" s="19" t="s">
        <v>36014</v>
      </c>
      <c r="G11823" s="18" t="str">
        <f>"02891"</f>
        <v>02891</v>
      </c>
      <c r="H11823" s="19" t="s">
        <v>31500</v>
      </c>
      <c r="I11823" s="20">
        <v>20.015000000000001</v>
      </c>
      <c r="J11823" s="44" t="s">
        <v>8</v>
      </c>
      <c r="K11823" s="23" t="s">
        <v>8</v>
      </c>
      <c r="L11823" s="23" t="s">
        <v>8</v>
      </c>
      <c r="M11823" s="23" t="s">
        <v>8</v>
      </c>
    </row>
    <row r="11824" spans="1:13" s="21" customFormat="1" x14ac:dyDescent="0.25">
      <c r="A11824" s="22" t="s">
        <v>8</v>
      </c>
      <c r="B11824" s="18" t="str">
        <f>"415020"</f>
        <v>415020</v>
      </c>
      <c r="C11824" s="19" t="s">
        <v>11629</v>
      </c>
      <c r="D11824" s="19" t="s">
        <v>27230</v>
      </c>
      <c r="E11824" s="19" t="s">
        <v>32766</v>
      </c>
      <c r="F11824" s="19" t="s">
        <v>36014</v>
      </c>
      <c r="G11824" s="18" t="str">
        <f>"02864"</f>
        <v>02864</v>
      </c>
      <c r="H11824" s="19" t="s">
        <v>35026</v>
      </c>
      <c r="I11824" s="20">
        <v>18.658000000000001</v>
      </c>
      <c r="J11824" s="44" t="s">
        <v>8</v>
      </c>
      <c r="K11824" s="23" t="s">
        <v>8</v>
      </c>
      <c r="L11824" s="23" t="s">
        <v>8</v>
      </c>
      <c r="M11824" s="23" t="s">
        <v>8</v>
      </c>
    </row>
    <row r="11825" spans="1:13" s="21" customFormat="1" x14ac:dyDescent="0.25">
      <c r="A11825" s="22" t="s">
        <v>8</v>
      </c>
      <c r="B11825" s="18" t="str">
        <f>"415023"</f>
        <v>415023</v>
      </c>
      <c r="C11825" s="19" t="s">
        <v>11630</v>
      </c>
      <c r="D11825" s="19" t="s">
        <v>27231</v>
      </c>
      <c r="E11825" s="19" t="s">
        <v>34215</v>
      </c>
      <c r="F11825" s="19" t="s">
        <v>36014</v>
      </c>
      <c r="G11825" s="18" t="str">
        <f>"02886"</f>
        <v>02886</v>
      </c>
      <c r="H11825" s="19" t="s">
        <v>31478</v>
      </c>
      <c r="I11825" s="20">
        <v>17.228000000000002</v>
      </c>
      <c r="J11825" s="44" t="s">
        <v>8</v>
      </c>
      <c r="K11825" s="23" t="s">
        <v>8</v>
      </c>
      <c r="L11825" s="23" t="s">
        <v>8</v>
      </c>
      <c r="M11825" s="23" t="s">
        <v>8</v>
      </c>
    </row>
    <row r="11826" spans="1:13" s="21" customFormat="1" x14ac:dyDescent="0.25">
      <c r="A11826" s="22" t="s">
        <v>8</v>
      </c>
      <c r="B11826" s="18" t="str">
        <f>"415024"</f>
        <v>415024</v>
      </c>
      <c r="C11826" s="19" t="s">
        <v>11631</v>
      </c>
      <c r="D11826" s="19" t="s">
        <v>27232</v>
      </c>
      <c r="E11826" s="19" t="s">
        <v>35026</v>
      </c>
      <c r="F11826" s="19" t="s">
        <v>36014</v>
      </c>
      <c r="G11826" s="18" t="str">
        <f>"02904"</f>
        <v>02904</v>
      </c>
      <c r="H11826" s="19" t="s">
        <v>35026</v>
      </c>
      <c r="I11826" s="20">
        <v>22.231999999999999</v>
      </c>
      <c r="J11826" s="44" t="s">
        <v>8</v>
      </c>
      <c r="K11826" s="23" t="s">
        <v>8</v>
      </c>
      <c r="L11826" s="23" t="s">
        <v>8</v>
      </c>
      <c r="M11826" s="23" t="s">
        <v>8</v>
      </c>
    </row>
    <row r="11827" spans="1:13" s="21" customFormat="1" x14ac:dyDescent="0.25">
      <c r="A11827" s="22" t="s">
        <v>8</v>
      </c>
      <c r="B11827" s="18" t="str">
        <f>"415027"</f>
        <v>415027</v>
      </c>
      <c r="C11827" s="19" t="s">
        <v>11632</v>
      </c>
      <c r="D11827" s="19" t="s">
        <v>27233</v>
      </c>
      <c r="E11827" s="19" t="s">
        <v>35027</v>
      </c>
      <c r="F11827" s="19" t="s">
        <v>36014</v>
      </c>
      <c r="G11827" s="18" t="str">
        <f>"02860"</f>
        <v>02860</v>
      </c>
      <c r="H11827" s="19" t="s">
        <v>35026</v>
      </c>
      <c r="I11827" s="20">
        <v>22.672999999999998</v>
      </c>
      <c r="J11827" s="44" t="s">
        <v>8</v>
      </c>
      <c r="K11827" s="23" t="s">
        <v>8</v>
      </c>
      <c r="L11827" s="23" t="s">
        <v>8</v>
      </c>
      <c r="M11827" s="23" t="s">
        <v>8</v>
      </c>
    </row>
    <row r="11828" spans="1:13" s="21" customFormat="1" x14ac:dyDescent="0.25">
      <c r="A11828" s="22" t="s">
        <v>8</v>
      </c>
      <c r="B11828" s="18" t="str">
        <f>"415028"</f>
        <v>415028</v>
      </c>
      <c r="C11828" s="19" t="s">
        <v>11633</v>
      </c>
      <c r="D11828" s="19" t="s">
        <v>27234</v>
      </c>
      <c r="E11828" s="19" t="s">
        <v>34215</v>
      </c>
      <c r="F11828" s="19" t="s">
        <v>36014</v>
      </c>
      <c r="G11828" s="18" t="str">
        <f>"02889"</f>
        <v>02889</v>
      </c>
      <c r="H11828" s="19" t="s">
        <v>31478</v>
      </c>
      <c r="I11828" s="20">
        <v>20.375</v>
      </c>
      <c r="J11828" s="44" t="s">
        <v>8</v>
      </c>
      <c r="K11828" s="23" t="s">
        <v>8</v>
      </c>
      <c r="L11828" s="23" t="s">
        <v>8</v>
      </c>
      <c r="M11828" s="23" t="s">
        <v>8</v>
      </c>
    </row>
    <row r="11829" spans="1:13" s="21" customFormat="1" x14ac:dyDescent="0.25">
      <c r="A11829" s="22" t="s">
        <v>8</v>
      </c>
      <c r="B11829" s="18" t="str">
        <f>"415029"</f>
        <v>415029</v>
      </c>
      <c r="C11829" s="19" t="s">
        <v>11634</v>
      </c>
      <c r="D11829" s="19" t="s">
        <v>27235</v>
      </c>
      <c r="E11829" s="19" t="s">
        <v>35028</v>
      </c>
      <c r="F11829" s="19" t="s">
        <v>36014</v>
      </c>
      <c r="G11829" s="18" t="str">
        <f>"02904"</f>
        <v>02904</v>
      </c>
      <c r="H11829" s="19" t="s">
        <v>35026</v>
      </c>
      <c r="I11829" s="20">
        <v>18.338999999999999</v>
      </c>
      <c r="J11829" s="44" t="s">
        <v>8</v>
      </c>
      <c r="K11829" s="23" t="s">
        <v>8</v>
      </c>
      <c r="L11829" s="23" t="s">
        <v>8</v>
      </c>
      <c r="M11829" s="23" t="s">
        <v>8</v>
      </c>
    </row>
    <row r="11830" spans="1:13" s="21" customFormat="1" x14ac:dyDescent="0.25">
      <c r="A11830" s="22" t="s">
        <v>8</v>
      </c>
      <c r="B11830" s="18" t="str">
        <f>"415031"</f>
        <v>415031</v>
      </c>
      <c r="C11830" s="19" t="s">
        <v>11635</v>
      </c>
      <c r="D11830" s="19" t="s">
        <v>27236</v>
      </c>
      <c r="E11830" s="19" t="s">
        <v>31434</v>
      </c>
      <c r="F11830" s="19" t="s">
        <v>36014</v>
      </c>
      <c r="G11830" s="18" t="str">
        <f>"02809"</f>
        <v>02809</v>
      </c>
      <c r="H11830" s="19" t="s">
        <v>31434</v>
      </c>
      <c r="I11830" s="20">
        <v>15.493</v>
      </c>
      <c r="J11830" s="44" t="s">
        <v>8</v>
      </c>
      <c r="K11830" s="23" t="s">
        <v>8</v>
      </c>
      <c r="L11830" s="23" t="s">
        <v>8</v>
      </c>
      <c r="M11830" s="23" t="s">
        <v>8</v>
      </c>
    </row>
    <row r="11831" spans="1:13" s="21" customFormat="1" x14ac:dyDescent="0.25">
      <c r="A11831" s="22" t="s">
        <v>8</v>
      </c>
      <c r="B11831" s="18" t="str">
        <f>"415032"</f>
        <v>415032</v>
      </c>
      <c r="C11831" s="19" t="s">
        <v>11636</v>
      </c>
      <c r="D11831" s="19" t="s">
        <v>27237</v>
      </c>
      <c r="E11831" s="19" t="s">
        <v>35029</v>
      </c>
      <c r="F11831" s="19" t="s">
        <v>36014</v>
      </c>
      <c r="G11831" s="18" t="str">
        <f>"02920"</f>
        <v>02920</v>
      </c>
      <c r="H11831" s="19" t="s">
        <v>35026</v>
      </c>
      <c r="I11831" s="20">
        <v>24.082999999999998</v>
      </c>
      <c r="J11831" s="44" t="s">
        <v>8</v>
      </c>
      <c r="K11831" s="23" t="s">
        <v>8</v>
      </c>
      <c r="L11831" s="23" t="s">
        <v>8</v>
      </c>
      <c r="M11831" s="23" t="s">
        <v>8</v>
      </c>
    </row>
    <row r="11832" spans="1:13" s="21" customFormat="1" x14ac:dyDescent="0.25">
      <c r="A11832" s="22" t="s">
        <v>8</v>
      </c>
      <c r="B11832" s="18" t="str">
        <f>"415033"</f>
        <v>415033</v>
      </c>
      <c r="C11832" s="19" t="s">
        <v>11637</v>
      </c>
      <c r="D11832" s="19" t="s">
        <v>27238</v>
      </c>
      <c r="E11832" s="19" t="s">
        <v>31058</v>
      </c>
      <c r="F11832" s="19" t="s">
        <v>36014</v>
      </c>
      <c r="G11832" s="18" t="str">
        <f>"02840"</f>
        <v>02840</v>
      </c>
      <c r="H11832" s="19" t="s">
        <v>31058</v>
      </c>
      <c r="I11832" s="20">
        <v>17.562000000000001</v>
      </c>
      <c r="J11832" s="44" t="s">
        <v>8</v>
      </c>
      <c r="K11832" s="23" t="s">
        <v>8</v>
      </c>
      <c r="L11832" s="23" t="s">
        <v>8</v>
      </c>
      <c r="M11832" s="23" t="s">
        <v>8</v>
      </c>
    </row>
    <row r="11833" spans="1:13" s="21" customFormat="1" x14ac:dyDescent="0.25">
      <c r="A11833" s="22" t="s">
        <v>8</v>
      </c>
      <c r="B11833" s="18" t="str">
        <f>"415034"</f>
        <v>415034</v>
      </c>
      <c r="C11833" s="19" t="s">
        <v>11638</v>
      </c>
      <c r="D11833" s="19" t="s">
        <v>27239</v>
      </c>
      <c r="E11833" s="19" t="s">
        <v>31412</v>
      </c>
      <c r="F11833" s="19" t="s">
        <v>36014</v>
      </c>
      <c r="G11833" s="18" t="str">
        <f>"02842"</f>
        <v>02842</v>
      </c>
      <c r="H11833" s="19" t="s">
        <v>31058</v>
      </c>
      <c r="I11833" s="20">
        <v>19.635000000000002</v>
      </c>
      <c r="J11833" s="44" t="s">
        <v>8</v>
      </c>
      <c r="K11833" s="23" t="s">
        <v>8</v>
      </c>
      <c r="L11833" s="23" t="s">
        <v>8</v>
      </c>
      <c r="M11833" s="23" t="s">
        <v>8</v>
      </c>
    </row>
    <row r="11834" spans="1:13" s="21" customFormat="1" x14ac:dyDescent="0.25">
      <c r="A11834" s="22" t="s">
        <v>8</v>
      </c>
      <c r="B11834" s="18" t="str">
        <f>"415035"</f>
        <v>415035</v>
      </c>
      <c r="C11834" s="19" t="s">
        <v>11639</v>
      </c>
      <c r="D11834" s="19" t="s">
        <v>27240</v>
      </c>
      <c r="E11834" s="19" t="s">
        <v>35028</v>
      </c>
      <c r="F11834" s="19" t="s">
        <v>36014</v>
      </c>
      <c r="G11834" s="18" t="str">
        <f>"02904"</f>
        <v>02904</v>
      </c>
      <c r="H11834" s="19" t="s">
        <v>35026</v>
      </c>
      <c r="I11834" s="20">
        <v>18.748000000000001</v>
      </c>
      <c r="J11834" s="44" t="s">
        <v>8</v>
      </c>
      <c r="K11834" s="23" t="s">
        <v>8</v>
      </c>
      <c r="L11834" s="23" t="s">
        <v>8</v>
      </c>
      <c r="M11834" s="23" t="s">
        <v>8</v>
      </c>
    </row>
    <row r="11835" spans="1:13" s="21" customFormat="1" x14ac:dyDescent="0.25">
      <c r="A11835" s="22" t="s">
        <v>8</v>
      </c>
      <c r="B11835" s="18" t="str">
        <f>"415036"</f>
        <v>415036</v>
      </c>
      <c r="C11835" s="19" t="s">
        <v>11640</v>
      </c>
      <c r="D11835" s="19" t="s">
        <v>27241</v>
      </c>
      <c r="E11835" s="19" t="s">
        <v>35026</v>
      </c>
      <c r="F11835" s="19" t="s">
        <v>36014</v>
      </c>
      <c r="G11835" s="18" t="str">
        <f>"02909"</f>
        <v>02909</v>
      </c>
      <c r="H11835" s="19" t="s">
        <v>35026</v>
      </c>
      <c r="I11835" s="20">
        <v>20.210999999999999</v>
      </c>
      <c r="J11835" s="44" t="s">
        <v>8</v>
      </c>
      <c r="K11835" s="23" t="s">
        <v>8</v>
      </c>
      <c r="L11835" s="23" t="s">
        <v>8</v>
      </c>
      <c r="M11835" s="23" t="s">
        <v>8</v>
      </c>
    </row>
    <row r="11836" spans="1:13" s="21" customFormat="1" x14ac:dyDescent="0.25">
      <c r="A11836" s="22" t="s">
        <v>8</v>
      </c>
      <c r="B11836" s="18" t="str">
        <f>"415038"</f>
        <v>415038</v>
      </c>
      <c r="C11836" s="19" t="s">
        <v>11641</v>
      </c>
      <c r="D11836" s="19" t="s">
        <v>27242</v>
      </c>
      <c r="E11836" s="19" t="s">
        <v>35026</v>
      </c>
      <c r="F11836" s="19" t="s">
        <v>36014</v>
      </c>
      <c r="G11836" s="18" t="str">
        <f>"02907"</f>
        <v>02907</v>
      </c>
      <c r="H11836" s="19" t="s">
        <v>35026</v>
      </c>
      <c r="I11836" s="20">
        <v>21.998000000000001</v>
      </c>
      <c r="J11836" s="44" t="s">
        <v>8</v>
      </c>
      <c r="K11836" s="23" t="s">
        <v>8</v>
      </c>
      <c r="L11836" s="23" t="s">
        <v>8</v>
      </c>
      <c r="M11836" s="23" t="s">
        <v>8</v>
      </c>
    </row>
    <row r="11837" spans="1:13" s="21" customFormat="1" x14ac:dyDescent="0.25">
      <c r="A11837" s="22" t="s">
        <v>8</v>
      </c>
      <c r="B11837" s="18" t="str">
        <f>"415039"</f>
        <v>415039</v>
      </c>
      <c r="C11837" s="19" t="s">
        <v>11642</v>
      </c>
      <c r="D11837" s="19" t="s">
        <v>27243</v>
      </c>
      <c r="E11837" s="19" t="s">
        <v>34276</v>
      </c>
      <c r="F11837" s="19" t="s">
        <v>36014</v>
      </c>
      <c r="G11837" s="18" t="str">
        <f>"02917"</f>
        <v>02917</v>
      </c>
      <c r="H11837" s="19" t="s">
        <v>35026</v>
      </c>
      <c r="I11837" s="20">
        <v>20.866</v>
      </c>
      <c r="J11837" s="44" t="s">
        <v>8</v>
      </c>
      <c r="K11837" s="23" t="s">
        <v>8</v>
      </c>
      <c r="L11837" s="23" t="s">
        <v>8</v>
      </c>
      <c r="M11837" s="23" t="s">
        <v>8</v>
      </c>
    </row>
    <row r="11838" spans="1:13" s="21" customFormat="1" x14ac:dyDescent="0.25">
      <c r="A11838" s="22" t="s">
        <v>8</v>
      </c>
      <c r="B11838" s="18" t="str">
        <f>"415040"</f>
        <v>415040</v>
      </c>
      <c r="C11838" s="19" t="s">
        <v>11643</v>
      </c>
      <c r="D11838" s="19" t="s">
        <v>27244</v>
      </c>
      <c r="E11838" s="19" t="s">
        <v>31412</v>
      </c>
      <c r="F11838" s="19" t="s">
        <v>36014</v>
      </c>
      <c r="G11838" s="18" t="str">
        <f>"02842"</f>
        <v>02842</v>
      </c>
      <c r="H11838" s="19" t="s">
        <v>31058</v>
      </c>
      <c r="I11838" s="20">
        <v>16.145</v>
      </c>
      <c r="J11838" s="44" t="s">
        <v>8</v>
      </c>
      <c r="K11838" s="23" t="s">
        <v>8</v>
      </c>
      <c r="L11838" s="23" t="s">
        <v>8</v>
      </c>
      <c r="M11838" s="23" t="s">
        <v>8</v>
      </c>
    </row>
    <row r="11839" spans="1:13" s="21" customFormat="1" x14ac:dyDescent="0.25">
      <c r="A11839" s="22" t="s">
        <v>8</v>
      </c>
      <c r="B11839" s="18" t="str">
        <f>"415041"</f>
        <v>415041</v>
      </c>
      <c r="C11839" s="19" t="s">
        <v>11644</v>
      </c>
      <c r="D11839" s="19" t="s">
        <v>27245</v>
      </c>
      <c r="E11839" s="19" t="s">
        <v>35030</v>
      </c>
      <c r="F11839" s="19" t="s">
        <v>36014</v>
      </c>
      <c r="G11839" s="18" t="str">
        <f>"02895"</f>
        <v>02895</v>
      </c>
      <c r="H11839" s="19" t="s">
        <v>35026</v>
      </c>
      <c r="I11839" s="20">
        <v>16.218</v>
      </c>
      <c r="J11839" s="44" t="s">
        <v>8</v>
      </c>
      <c r="K11839" s="23" t="s">
        <v>8</v>
      </c>
      <c r="L11839" s="23" t="s">
        <v>8</v>
      </c>
      <c r="M11839" s="23" t="s">
        <v>8</v>
      </c>
    </row>
    <row r="11840" spans="1:13" s="21" customFormat="1" x14ac:dyDescent="0.25">
      <c r="A11840" s="22" t="s">
        <v>8</v>
      </c>
      <c r="B11840" s="18" t="str">
        <f>"415042"</f>
        <v>415042</v>
      </c>
      <c r="C11840" s="19" t="s">
        <v>11645</v>
      </c>
      <c r="D11840" s="19" t="s">
        <v>27246</v>
      </c>
      <c r="E11840" s="19" t="s">
        <v>35023</v>
      </c>
      <c r="F11840" s="19" t="s">
        <v>36014</v>
      </c>
      <c r="G11840" s="18" t="str">
        <f>"02914"</f>
        <v>02914</v>
      </c>
      <c r="H11840" s="19" t="s">
        <v>35026</v>
      </c>
      <c r="I11840" s="20">
        <v>18.114999999999998</v>
      </c>
      <c r="J11840" s="44" t="s">
        <v>8</v>
      </c>
      <c r="K11840" s="23" t="s">
        <v>8</v>
      </c>
      <c r="L11840" s="23" t="s">
        <v>8</v>
      </c>
      <c r="M11840" s="23" t="s">
        <v>8</v>
      </c>
    </row>
    <row r="11841" spans="1:13" s="21" customFormat="1" x14ac:dyDescent="0.25">
      <c r="A11841" s="22" t="s">
        <v>8</v>
      </c>
      <c r="B11841" s="18" t="str">
        <f>"415044"</f>
        <v>415044</v>
      </c>
      <c r="C11841" s="19" t="s">
        <v>11646</v>
      </c>
      <c r="D11841" s="19" t="s">
        <v>27247</v>
      </c>
      <c r="E11841" s="19" t="s">
        <v>35030</v>
      </c>
      <c r="F11841" s="19" t="s">
        <v>36014</v>
      </c>
      <c r="G11841" s="18" t="str">
        <f>"02895"</f>
        <v>02895</v>
      </c>
      <c r="H11841" s="19" t="s">
        <v>35026</v>
      </c>
      <c r="I11841" s="20">
        <v>20.605</v>
      </c>
      <c r="J11841" s="44" t="s">
        <v>8</v>
      </c>
      <c r="K11841" s="23" t="s">
        <v>8</v>
      </c>
      <c r="L11841" s="23" t="s">
        <v>8</v>
      </c>
      <c r="M11841" s="23" t="s">
        <v>8</v>
      </c>
    </row>
    <row r="11842" spans="1:13" s="21" customFormat="1" x14ac:dyDescent="0.25">
      <c r="A11842" s="22" t="s">
        <v>8</v>
      </c>
      <c r="B11842" s="18" t="str">
        <f>"415045"</f>
        <v>415045</v>
      </c>
      <c r="C11842" s="19" t="s">
        <v>11647</v>
      </c>
      <c r="D11842" s="19" t="s">
        <v>27248</v>
      </c>
      <c r="E11842" s="19" t="s">
        <v>35031</v>
      </c>
      <c r="F11842" s="19" t="s">
        <v>36014</v>
      </c>
      <c r="G11842" s="18" t="str">
        <f>"02859"</f>
        <v>02859</v>
      </c>
      <c r="H11842" s="19" t="s">
        <v>35026</v>
      </c>
      <c r="I11842" s="20">
        <v>21.535</v>
      </c>
      <c r="J11842" s="44" t="s">
        <v>8</v>
      </c>
      <c r="K11842" s="23" t="s">
        <v>8</v>
      </c>
      <c r="L11842" s="23" t="s">
        <v>8</v>
      </c>
      <c r="M11842" s="23" t="s">
        <v>8</v>
      </c>
    </row>
    <row r="11843" spans="1:13" s="21" customFormat="1" x14ac:dyDescent="0.25">
      <c r="A11843" s="22" t="s">
        <v>8</v>
      </c>
      <c r="B11843" s="18" t="str">
        <f>"415049"</f>
        <v>415049</v>
      </c>
      <c r="C11843" s="19" t="s">
        <v>11648</v>
      </c>
      <c r="D11843" s="19" t="s">
        <v>27249</v>
      </c>
      <c r="E11843" s="19" t="s">
        <v>34276</v>
      </c>
      <c r="F11843" s="19" t="s">
        <v>36014</v>
      </c>
      <c r="G11843" s="18" t="str">
        <f>"02917"</f>
        <v>02917</v>
      </c>
      <c r="H11843" s="19" t="s">
        <v>35026</v>
      </c>
      <c r="I11843" s="20">
        <v>17.968</v>
      </c>
      <c r="J11843" s="44" t="s">
        <v>8</v>
      </c>
      <c r="K11843" s="23" t="s">
        <v>8</v>
      </c>
      <c r="L11843" s="23" t="s">
        <v>8</v>
      </c>
      <c r="M11843" s="23" t="s">
        <v>8</v>
      </c>
    </row>
    <row r="11844" spans="1:13" s="21" customFormat="1" x14ac:dyDescent="0.25">
      <c r="A11844" s="22" t="s">
        <v>8</v>
      </c>
      <c r="B11844" s="18" t="str">
        <f>"415050"</f>
        <v>415050</v>
      </c>
      <c r="C11844" s="19" t="s">
        <v>11649</v>
      </c>
      <c r="D11844" s="19" t="s">
        <v>27250</v>
      </c>
      <c r="E11844" s="19" t="s">
        <v>31434</v>
      </c>
      <c r="F11844" s="19" t="s">
        <v>36014</v>
      </c>
      <c r="G11844" s="18" t="str">
        <f>"02809"</f>
        <v>02809</v>
      </c>
      <c r="H11844" s="19" t="s">
        <v>31434</v>
      </c>
      <c r="I11844" s="20">
        <v>17.523</v>
      </c>
      <c r="J11844" s="44" t="s">
        <v>8</v>
      </c>
      <c r="K11844" s="23" t="s">
        <v>8</v>
      </c>
      <c r="L11844" s="23" t="s">
        <v>8</v>
      </c>
      <c r="M11844" s="23" t="s">
        <v>8</v>
      </c>
    </row>
    <row r="11845" spans="1:13" s="21" customFormat="1" x14ac:dyDescent="0.25">
      <c r="A11845" s="22" t="s">
        <v>8</v>
      </c>
      <c r="B11845" s="18" t="str">
        <f>"415051"</f>
        <v>415051</v>
      </c>
      <c r="C11845" s="19" t="s">
        <v>11650</v>
      </c>
      <c r="D11845" s="19" t="s">
        <v>27251</v>
      </c>
      <c r="E11845" s="19" t="s">
        <v>35029</v>
      </c>
      <c r="F11845" s="19" t="s">
        <v>36014</v>
      </c>
      <c r="G11845" s="18" t="str">
        <f>"02905"</f>
        <v>02905</v>
      </c>
      <c r="H11845" s="19" t="s">
        <v>35026</v>
      </c>
      <c r="I11845" s="20">
        <v>16.986999999999998</v>
      </c>
      <c r="J11845" s="44" t="s">
        <v>8</v>
      </c>
      <c r="K11845" s="23" t="s">
        <v>8</v>
      </c>
      <c r="L11845" s="23" t="s">
        <v>8</v>
      </c>
      <c r="M11845" s="23" t="s">
        <v>8</v>
      </c>
    </row>
    <row r="11846" spans="1:13" s="21" customFormat="1" x14ac:dyDescent="0.25">
      <c r="A11846" s="22" t="s">
        <v>8</v>
      </c>
      <c r="B11846" s="18" t="str">
        <f>"415052"</f>
        <v>415052</v>
      </c>
      <c r="C11846" s="19" t="s">
        <v>11651</v>
      </c>
      <c r="D11846" s="19" t="s">
        <v>27252</v>
      </c>
      <c r="E11846" s="19" t="s">
        <v>35026</v>
      </c>
      <c r="F11846" s="19" t="s">
        <v>36014</v>
      </c>
      <c r="G11846" s="18" t="str">
        <f>"02904"</f>
        <v>02904</v>
      </c>
      <c r="H11846" s="19" t="s">
        <v>35026</v>
      </c>
      <c r="I11846" s="20">
        <v>18.748999999999999</v>
      </c>
      <c r="J11846" s="44" t="s">
        <v>8</v>
      </c>
      <c r="K11846" s="23" t="s">
        <v>8</v>
      </c>
      <c r="L11846" s="23" t="s">
        <v>8</v>
      </c>
      <c r="M11846" s="23" t="s">
        <v>8</v>
      </c>
    </row>
    <row r="11847" spans="1:13" s="21" customFormat="1" x14ac:dyDescent="0.25">
      <c r="A11847" s="22" t="s">
        <v>8</v>
      </c>
      <c r="B11847" s="18" t="str">
        <f>"415053"</f>
        <v>415053</v>
      </c>
      <c r="C11847" s="19" t="s">
        <v>11652</v>
      </c>
      <c r="D11847" s="19" t="s">
        <v>27253</v>
      </c>
      <c r="E11847" s="19" t="s">
        <v>32504</v>
      </c>
      <c r="F11847" s="19" t="s">
        <v>36014</v>
      </c>
      <c r="G11847" s="18" t="str">
        <f>"02919"</f>
        <v>02919</v>
      </c>
      <c r="H11847" s="19" t="s">
        <v>35026</v>
      </c>
      <c r="I11847" s="20">
        <v>17.87</v>
      </c>
      <c r="J11847" s="44" t="s">
        <v>8</v>
      </c>
      <c r="K11847" s="23" t="s">
        <v>8</v>
      </c>
      <c r="L11847" s="23" t="s">
        <v>8</v>
      </c>
      <c r="M11847" s="23" t="s">
        <v>8</v>
      </c>
    </row>
    <row r="11848" spans="1:13" s="21" customFormat="1" x14ac:dyDescent="0.25">
      <c r="A11848" s="22" t="s">
        <v>8</v>
      </c>
      <c r="B11848" s="18" t="str">
        <f>"415054"</f>
        <v>415054</v>
      </c>
      <c r="C11848" s="19" t="s">
        <v>11653</v>
      </c>
      <c r="D11848" s="19" t="s">
        <v>27254</v>
      </c>
      <c r="E11848" s="19" t="s">
        <v>35032</v>
      </c>
      <c r="F11848" s="19" t="s">
        <v>36014</v>
      </c>
      <c r="G11848" s="18" t="str">
        <f>"02892"</f>
        <v>02892</v>
      </c>
      <c r="H11848" s="19" t="s">
        <v>31500</v>
      </c>
      <c r="I11848" s="20">
        <v>15.863</v>
      </c>
      <c r="J11848" s="44" t="s">
        <v>8</v>
      </c>
      <c r="K11848" s="23" t="s">
        <v>8</v>
      </c>
      <c r="L11848" s="23" t="s">
        <v>8</v>
      </c>
      <c r="M11848" s="23" t="s">
        <v>8</v>
      </c>
    </row>
    <row r="11849" spans="1:13" s="21" customFormat="1" x14ac:dyDescent="0.25">
      <c r="A11849" s="22" t="s">
        <v>8</v>
      </c>
      <c r="B11849" s="18" t="str">
        <f>"415056"</f>
        <v>415056</v>
      </c>
      <c r="C11849" s="19" t="s">
        <v>11654</v>
      </c>
      <c r="D11849" s="19" t="s">
        <v>27255</v>
      </c>
      <c r="E11849" s="19" t="s">
        <v>35023</v>
      </c>
      <c r="F11849" s="19" t="s">
        <v>36014</v>
      </c>
      <c r="G11849" s="18" t="str">
        <f>"02914"</f>
        <v>02914</v>
      </c>
      <c r="H11849" s="19" t="s">
        <v>35026</v>
      </c>
      <c r="I11849" s="20">
        <v>20.260999999999999</v>
      </c>
      <c r="J11849" s="44" t="s">
        <v>8</v>
      </c>
      <c r="K11849" s="23" t="s">
        <v>8</v>
      </c>
      <c r="L11849" s="23" t="s">
        <v>8</v>
      </c>
      <c r="M11849" s="23" t="s">
        <v>8</v>
      </c>
    </row>
    <row r="11850" spans="1:13" s="21" customFormat="1" x14ac:dyDescent="0.25">
      <c r="A11850" s="22" t="s">
        <v>8</v>
      </c>
      <c r="B11850" s="18" t="str">
        <f>"415057"</f>
        <v>415057</v>
      </c>
      <c r="C11850" s="19" t="s">
        <v>11655</v>
      </c>
      <c r="D11850" s="19" t="s">
        <v>27256</v>
      </c>
      <c r="E11850" s="19" t="s">
        <v>35033</v>
      </c>
      <c r="F11850" s="19" t="s">
        <v>36014</v>
      </c>
      <c r="G11850" s="18" t="str">
        <f>"02883"</f>
        <v>02883</v>
      </c>
      <c r="H11850" s="19" t="s">
        <v>31500</v>
      </c>
      <c r="I11850" s="20">
        <v>17.382000000000001</v>
      </c>
      <c r="J11850" s="44" t="s">
        <v>8</v>
      </c>
      <c r="K11850" s="23" t="s">
        <v>8</v>
      </c>
      <c r="L11850" s="23" t="s">
        <v>8</v>
      </c>
      <c r="M11850" s="23" t="s">
        <v>8</v>
      </c>
    </row>
    <row r="11851" spans="1:13" s="21" customFormat="1" x14ac:dyDescent="0.25">
      <c r="A11851" s="22" t="s">
        <v>8</v>
      </c>
      <c r="B11851" s="18" t="str">
        <f>"415059"</f>
        <v>415059</v>
      </c>
      <c r="C11851" s="19" t="s">
        <v>11656</v>
      </c>
      <c r="D11851" s="19" t="s">
        <v>27257</v>
      </c>
      <c r="E11851" s="19" t="s">
        <v>35023</v>
      </c>
      <c r="F11851" s="19" t="s">
        <v>36014</v>
      </c>
      <c r="G11851" s="18" t="str">
        <f>"02915"</f>
        <v>02915</v>
      </c>
      <c r="H11851" s="19" t="s">
        <v>35026</v>
      </c>
      <c r="I11851" s="20">
        <v>18.434000000000001</v>
      </c>
      <c r="J11851" s="44" t="s">
        <v>8</v>
      </c>
      <c r="K11851" s="23" t="s">
        <v>8</v>
      </c>
      <c r="L11851" s="23" t="s">
        <v>8</v>
      </c>
      <c r="M11851" s="23" t="s">
        <v>8</v>
      </c>
    </row>
    <row r="11852" spans="1:13" s="21" customFormat="1" x14ac:dyDescent="0.25">
      <c r="A11852" s="22" t="s">
        <v>8</v>
      </c>
      <c r="B11852" s="18" t="str">
        <f>"415060"</f>
        <v>415060</v>
      </c>
      <c r="C11852" s="19" t="s">
        <v>11657</v>
      </c>
      <c r="D11852" s="19" t="s">
        <v>27258</v>
      </c>
      <c r="E11852" s="19" t="s">
        <v>34215</v>
      </c>
      <c r="F11852" s="19" t="s">
        <v>36014</v>
      </c>
      <c r="G11852" s="18" t="str">
        <f>"02889"</f>
        <v>02889</v>
      </c>
      <c r="H11852" s="19" t="s">
        <v>31478</v>
      </c>
      <c r="I11852" s="20">
        <v>19.523</v>
      </c>
      <c r="J11852" s="44" t="s">
        <v>8</v>
      </c>
      <c r="K11852" s="23" t="s">
        <v>8</v>
      </c>
      <c r="L11852" s="23" t="s">
        <v>8</v>
      </c>
      <c r="M11852" s="23" t="s">
        <v>8</v>
      </c>
    </row>
    <row r="11853" spans="1:13" s="21" customFormat="1" x14ac:dyDescent="0.25">
      <c r="A11853" s="22" t="s">
        <v>8</v>
      </c>
      <c r="B11853" s="18" t="str">
        <f>"415061"</f>
        <v>415061</v>
      </c>
      <c r="C11853" s="19" t="s">
        <v>11658</v>
      </c>
      <c r="D11853" s="19" t="s">
        <v>27259</v>
      </c>
      <c r="E11853" s="19" t="s">
        <v>34215</v>
      </c>
      <c r="F11853" s="19" t="s">
        <v>36014</v>
      </c>
      <c r="G11853" s="18" t="str">
        <f>"02886"</f>
        <v>02886</v>
      </c>
      <c r="H11853" s="19" t="s">
        <v>31478</v>
      </c>
      <c r="I11853" s="20">
        <v>15.48</v>
      </c>
      <c r="J11853" s="44" t="s">
        <v>8</v>
      </c>
      <c r="K11853" s="23" t="s">
        <v>8</v>
      </c>
      <c r="L11853" s="23" t="s">
        <v>8</v>
      </c>
      <c r="M11853" s="23" t="s">
        <v>8</v>
      </c>
    </row>
    <row r="11854" spans="1:13" s="21" customFormat="1" x14ac:dyDescent="0.25">
      <c r="A11854" s="22" t="s">
        <v>8</v>
      </c>
      <c r="B11854" s="18" t="str">
        <f>"415062"</f>
        <v>415062</v>
      </c>
      <c r="C11854" s="19" t="s">
        <v>11659</v>
      </c>
      <c r="D11854" s="19" t="s">
        <v>27260</v>
      </c>
      <c r="E11854" s="19" t="s">
        <v>32504</v>
      </c>
      <c r="F11854" s="19" t="s">
        <v>36014</v>
      </c>
      <c r="G11854" s="18" t="str">
        <f>"02919"</f>
        <v>02919</v>
      </c>
      <c r="H11854" s="19" t="s">
        <v>35026</v>
      </c>
      <c r="I11854" s="20">
        <v>21.984000000000002</v>
      </c>
      <c r="J11854" s="44" t="s">
        <v>8</v>
      </c>
      <c r="K11854" s="23" t="s">
        <v>8</v>
      </c>
      <c r="L11854" s="23" t="s">
        <v>8</v>
      </c>
      <c r="M11854" s="23" t="s">
        <v>8</v>
      </c>
    </row>
    <row r="11855" spans="1:13" s="21" customFormat="1" x14ac:dyDescent="0.25">
      <c r="A11855" s="22" t="s">
        <v>8</v>
      </c>
      <c r="B11855" s="18" t="str">
        <f>"415063"</f>
        <v>415063</v>
      </c>
      <c r="C11855" s="19" t="s">
        <v>11660</v>
      </c>
      <c r="D11855" s="19" t="s">
        <v>27261</v>
      </c>
      <c r="E11855" s="19" t="s">
        <v>35034</v>
      </c>
      <c r="F11855" s="19" t="s">
        <v>36014</v>
      </c>
      <c r="G11855" s="18" t="str">
        <f>"02852"</f>
        <v>02852</v>
      </c>
      <c r="H11855" s="19" t="s">
        <v>31500</v>
      </c>
      <c r="I11855" s="20">
        <v>16.965</v>
      </c>
      <c r="J11855" s="44" t="s">
        <v>8</v>
      </c>
      <c r="K11855" s="23" t="s">
        <v>8</v>
      </c>
      <c r="L11855" s="23" t="s">
        <v>8</v>
      </c>
      <c r="M11855" s="23" t="s">
        <v>8</v>
      </c>
    </row>
    <row r="11856" spans="1:13" s="21" customFormat="1" x14ac:dyDescent="0.25">
      <c r="A11856" s="22" t="s">
        <v>8</v>
      </c>
      <c r="B11856" s="18" t="str">
        <f>"415064"</f>
        <v>415064</v>
      </c>
      <c r="C11856" s="19" t="s">
        <v>11661</v>
      </c>
      <c r="D11856" s="19" t="s">
        <v>27262</v>
      </c>
      <c r="E11856" s="19" t="s">
        <v>35027</v>
      </c>
      <c r="F11856" s="19" t="s">
        <v>36014</v>
      </c>
      <c r="G11856" s="18" t="str">
        <f>"02861"</f>
        <v>02861</v>
      </c>
      <c r="H11856" s="19" t="s">
        <v>35026</v>
      </c>
      <c r="I11856" s="20">
        <v>16.024000000000001</v>
      </c>
      <c r="J11856" s="44" t="s">
        <v>8</v>
      </c>
      <c r="K11856" s="23" t="s">
        <v>8</v>
      </c>
      <c r="L11856" s="23" t="s">
        <v>8</v>
      </c>
      <c r="M11856" s="23" t="s">
        <v>8</v>
      </c>
    </row>
    <row r="11857" spans="1:13" s="21" customFormat="1" x14ac:dyDescent="0.25">
      <c r="A11857" s="22" t="s">
        <v>8</v>
      </c>
      <c r="B11857" s="18" t="str">
        <f>"415066"</f>
        <v>415066</v>
      </c>
      <c r="C11857" s="19" t="s">
        <v>11662</v>
      </c>
      <c r="D11857" s="19" t="s">
        <v>27263</v>
      </c>
      <c r="E11857" s="19" t="s">
        <v>35029</v>
      </c>
      <c r="F11857" s="19" t="s">
        <v>36014</v>
      </c>
      <c r="G11857" s="18" t="str">
        <f>"02920"</f>
        <v>02920</v>
      </c>
      <c r="H11857" s="19" t="s">
        <v>35026</v>
      </c>
      <c r="I11857" s="20">
        <v>17.795000000000002</v>
      </c>
      <c r="J11857" s="44" t="s">
        <v>8</v>
      </c>
      <c r="K11857" s="23" t="s">
        <v>8</v>
      </c>
      <c r="L11857" s="23" t="s">
        <v>8</v>
      </c>
      <c r="M11857" s="23" t="s">
        <v>8</v>
      </c>
    </row>
    <row r="11858" spans="1:13" s="21" customFormat="1" x14ac:dyDescent="0.25">
      <c r="A11858" s="22" t="s">
        <v>8</v>
      </c>
      <c r="B11858" s="18" t="str">
        <f>"415067"</f>
        <v>415067</v>
      </c>
      <c r="C11858" s="19" t="s">
        <v>11663</v>
      </c>
      <c r="D11858" s="19" t="s">
        <v>27264</v>
      </c>
      <c r="E11858" s="19" t="s">
        <v>35035</v>
      </c>
      <c r="F11858" s="19" t="s">
        <v>36014</v>
      </c>
      <c r="G11858" s="18" t="str">
        <f>"02893"</f>
        <v>02893</v>
      </c>
      <c r="H11858" s="19" t="s">
        <v>31478</v>
      </c>
      <c r="I11858" s="20">
        <v>18.809999999999999</v>
      </c>
      <c r="J11858" s="44" t="s">
        <v>8</v>
      </c>
      <c r="K11858" s="23" t="s">
        <v>8</v>
      </c>
      <c r="L11858" s="23" t="s">
        <v>8</v>
      </c>
      <c r="M11858" s="23" t="s">
        <v>8</v>
      </c>
    </row>
    <row r="11859" spans="1:13" s="21" customFormat="1" x14ac:dyDescent="0.25">
      <c r="A11859" s="22" t="s">
        <v>8</v>
      </c>
      <c r="B11859" s="18" t="str">
        <f>"415068"</f>
        <v>415068</v>
      </c>
      <c r="C11859" s="19" t="s">
        <v>11664</v>
      </c>
      <c r="D11859" s="19" t="s">
        <v>27265</v>
      </c>
      <c r="E11859" s="19" t="s">
        <v>31025</v>
      </c>
      <c r="F11859" s="19" t="s">
        <v>36014</v>
      </c>
      <c r="G11859" s="18" t="str">
        <f>"02885"</f>
        <v>02885</v>
      </c>
      <c r="H11859" s="19" t="s">
        <v>31434</v>
      </c>
      <c r="I11859" s="20">
        <v>20.667999999999999</v>
      </c>
      <c r="J11859" s="44" t="s">
        <v>8</v>
      </c>
      <c r="K11859" s="23" t="s">
        <v>8</v>
      </c>
      <c r="L11859" s="23" t="s">
        <v>8</v>
      </c>
      <c r="M11859" s="23" t="s">
        <v>8</v>
      </c>
    </row>
    <row r="11860" spans="1:13" s="21" customFormat="1" x14ac:dyDescent="0.25">
      <c r="A11860" s="22" t="s">
        <v>8</v>
      </c>
      <c r="B11860" s="18" t="str">
        <f>"415070"</f>
        <v>415070</v>
      </c>
      <c r="C11860" s="19" t="s">
        <v>11665</v>
      </c>
      <c r="D11860" s="19" t="s">
        <v>27266</v>
      </c>
      <c r="E11860" s="19" t="s">
        <v>31025</v>
      </c>
      <c r="F11860" s="19" t="s">
        <v>36014</v>
      </c>
      <c r="G11860" s="18" t="str">
        <f>"02885"</f>
        <v>02885</v>
      </c>
      <c r="H11860" s="19" t="s">
        <v>31434</v>
      </c>
      <c r="I11860" s="20">
        <v>18.658000000000001</v>
      </c>
      <c r="J11860" s="44" t="s">
        <v>8</v>
      </c>
      <c r="K11860" s="23" t="s">
        <v>8</v>
      </c>
      <c r="L11860" s="23" t="s">
        <v>8</v>
      </c>
      <c r="M11860" s="23" t="s">
        <v>8</v>
      </c>
    </row>
    <row r="11861" spans="1:13" s="21" customFormat="1" x14ac:dyDescent="0.25">
      <c r="A11861" s="22" t="s">
        <v>8</v>
      </c>
      <c r="B11861" s="18" t="str">
        <f>"415071"</f>
        <v>415071</v>
      </c>
      <c r="C11861" s="19" t="s">
        <v>11666</v>
      </c>
      <c r="D11861" s="19" t="s">
        <v>27267</v>
      </c>
      <c r="E11861" s="19" t="s">
        <v>35034</v>
      </c>
      <c r="F11861" s="19" t="s">
        <v>36014</v>
      </c>
      <c r="G11861" s="18" t="str">
        <f>"02852"</f>
        <v>02852</v>
      </c>
      <c r="H11861" s="19" t="s">
        <v>31500</v>
      </c>
      <c r="I11861" s="20">
        <v>16.779</v>
      </c>
      <c r="J11861" s="44" t="s">
        <v>8</v>
      </c>
      <c r="K11861" s="23" t="s">
        <v>8</v>
      </c>
      <c r="L11861" s="23" t="s">
        <v>8</v>
      </c>
      <c r="M11861" s="23" t="s">
        <v>8</v>
      </c>
    </row>
    <row r="11862" spans="1:13" s="21" customFormat="1" x14ac:dyDescent="0.25">
      <c r="A11862" s="22" t="s">
        <v>8</v>
      </c>
      <c r="B11862" s="18" t="str">
        <f>"415072"</f>
        <v>415072</v>
      </c>
      <c r="C11862" s="19" t="s">
        <v>11667</v>
      </c>
      <c r="D11862" s="19" t="s">
        <v>27268</v>
      </c>
      <c r="E11862" s="19" t="s">
        <v>35026</v>
      </c>
      <c r="F11862" s="19" t="s">
        <v>36014</v>
      </c>
      <c r="G11862" s="18" t="str">
        <f>"02907"</f>
        <v>02907</v>
      </c>
      <c r="H11862" s="19" t="s">
        <v>35026</v>
      </c>
      <c r="I11862" s="20">
        <v>17.241</v>
      </c>
      <c r="J11862" s="44" t="s">
        <v>8</v>
      </c>
      <c r="K11862" s="23" t="s">
        <v>8</v>
      </c>
      <c r="L11862" s="23" t="s">
        <v>8</v>
      </c>
      <c r="M11862" s="23" t="s">
        <v>8</v>
      </c>
    </row>
    <row r="11863" spans="1:13" s="21" customFormat="1" x14ac:dyDescent="0.25">
      <c r="A11863" s="22" t="s">
        <v>8</v>
      </c>
      <c r="B11863" s="18" t="str">
        <f>"415073"</f>
        <v>415073</v>
      </c>
      <c r="C11863" s="19" t="s">
        <v>11668</v>
      </c>
      <c r="D11863" s="19" t="s">
        <v>27269</v>
      </c>
      <c r="E11863" s="19" t="s">
        <v>35027</v>
      </c>
      <c r="F11863" s="19" t="s">
        <v>36014</v>
      </c>
      <c r="G11863" s="18" t="str">
        <f>"02860"</f>
        <v>02860</v>
      </c>
      <c r="H11863" s="19" t="s">
        <v>35026</v>
      </c>
      <c r="I11863" s="20">
        <v>18.638999999999999</v>
      </c>
      <c r="J11863" s="44" t="s">
        <v>8</v>
      </c>
      <c r="K11863" s="23" t="s">
        <v>8</v>
      </c>
      <c r="L11863" s="23" t="s">
        <v>8</v>
      </c>
      <c r="M11863" s="23" t="s">
        <v>8</v>
      </c>
    </row>
    <row r="11864" spans="1:13" s="21" customFormat="1" x14ac:dyDescent="0.25">
      <c r="A11864" s="22" t="s">
        <v>8</v>
      </c>
      <c r="B11864" s="18" t="str">
        <f>"415074"</f>
        <v>415074</v>
      </c>
      <c r="C11864" s="19" t="s">
        <v>11669</v>
      </c>
      <c r="D11864" s="19" t="s">
        <v>27270</v>
      </c>
      <c r="E11864" s="19" t="s">
        <v>31058</v>
      </c>
      <c r="F11864" s="19" t="s">
        <v>36014</v>
      </c>
      <c r="G11864" s="18" t="str">
        <f>"02840"</f>
        <v>02840</v>
      </c>
      <c r="H11864" s="19" t="s">
        <v>31058</v>
      </c>
      <c r="I11864" s="20">
        <v>17.834</v>
      </c>
      <c r="J11864" s="44" t="s">
        <v>8</v>
      </c>
      <c r="K11864" s="23" t="s">
        <v>8</v>
      </c>
      <c r="L11864" s="23" t="s">
        <v>8</v>
      </c>
      <c r="M11864" s="23" t="s">
        <v>8</v>
      </c>
    </row>
    <row r="11865" spans="1:13" s="21" customFormat="1" x14ac:dyDescent="0.25">
      <c r="A11865" s="22" t="s">
        <v>8</v>
      </c>
      <c r="B11865" s="18" t="str">
        <f>"415075"</f>
        <v>415075</v>
      </c>
      <c r="C11865" s="19" t="s">
        <v>11670</v>
      </c>
      <c r="D11865" s="19" t="s">
        <v>27271</v>
      </c>
      <c r="E11865" s="19" t="s">
        <v>35036</v>
      </c>
      <c r="F11865" s="19" t="s">
        <v>36014</v>
      </c>
      <c r="G11865" s="18" t="str">
        <f>"02838"</f>
        <v>02838</v>
      </c>
      <c r="H11865" s="19" t="s">
        <v>35026</v>
      </c>
      <c r="I11865" s="20">
        <v>17.648</v>
      </c>
      <c r="J11865" s="44" t="s">
        <v>8</v>
      </c>
      <c r="K11865" s="23" t="s">
        <v>8</v>
      </c>
      <c r="L11865" s="23" t="s">
        <v>8</v>
      </c>
      <c r="M11865" s="23" t="s">
        <v>8</v>
      </c>
    </row>
    <row r="11866" spans="1:13" s="21" customFormat="1" x14ac:dyDescent="0.25">
      <c r="A11866" s="22" t="s">
        <v>8</v>
      </c>
      <c r="B11866" s="18" t="str">
        <f>"415076"</f>
        <v>415076</v>
      </c>
      <c r="C11866" s="19" t="s">
        <v>11671</v>
      </c>
      <c r="D11866" s="19" t="s">
        <v>27272</v>
      </c>
      <c r="E11866" s="19" t="s">
        <v>31412</v>
      </c>
      <c r="F11866" s="19" t="s">
        <v>36014</v>
      </c>
      <c r="G11866" s="18" t="str">
        <f>"02842"</f>
        <v>02842</v>
      </c>
      <c r="H11866" s="19" t="s">
        <v>31058</v>
      </c>
      <c r="I11866" s="20">
        <v>20.262</v>
      </c>
      <c r="J11866" s="44" t="s">
        <v>8</v>
      </c>
      <c r="K11866" s="23" t="s">
        <v>8</v>
      </c>
      <c r="L11866" s="23" t="s">
        <v>8</v>
      </c>
      <c r="M11866" s="23" t="s">
        <v>8</v>
      </c>
    </row>
    <row r="11867" spans="1:13" s="21" customFormat="1" x14ac:dyDescent="0.25">
      <c r="A11867" s="22" t="s">
        <v>8</v>
      </c>
      <c r="B11867" s="18" t="str">
        <f>"415078"</f>
        <v>415078</v>
      </c>
      <c r="C11867" s="19" t="s">
        <v>11672</v>
      </c>
      <c r="D11867" s="19" t="s">
        <v>27273</v>
      </c>
      <c r="E11867" s="19" t="s">
        <v>35037</v>
      </c>
      <c r="F11867" s="19" t="s">
        <v>36014</v>
      </c>
      <c r="G11867" s="18" t="str">
        <f>"02816"</f>
        <v>02816</v>
      </c>
      <c r="H11867" s="19" t="s">
        <v>31478</v>
      </c>
      <c r="I11867" s="20">
        <v>19.757999999999999</v>
      </c>
      <c r="J11867" s="44" t="s">
        <v>8</v>
      </c>
      <c r="K11867" s="23" t="s">
        <v>8</v>
      </c>
      <c r="L11867" s="23" t="s">
        <v>8</v>
      </c>
      <c r="M11867" s="23" t="s">
        <v>8</v>
      </c>
    </row>
    <row r="11868" spans="1:13" s="21" customFormat="1" x14ac:dyDescent="0.25">
      <c r="A11868" s="22" t="s">
        <v>8</v>
      </c>
      <c r="B11868" s="18" t="str">
        <f>"415079"</f>
        <v>415079</v>
      </c>
      <c r="C11868" s="19" t="s">
        <v>11673</v>
      </c>
      <c r="D11868" s="19" t="s">
        <v>27274</v>
      </c>
      <c r="E11868" s="19" t="s">
        <v>35030</v>
      </c>
      <c r="F11868" s="19" t="s">
        <v>36014</v>
      </c>
      <c r="G11868" s="18" t="str">
        <f>"02895"</f>
        <v>02895</v>
      </c>
      <c r="H11868" s="19" t="s">
        <v>35026</v>
      </c>
      <c r="I11868" s="20">
        <v>17.866</v>
      </c>
      <c r="J11868" s="44" t="s">
        <v>8</v>
      </c>
      <c r="K11868" s="23" t="s">
        <v>8</v>
      </c>
      <c r="L11868" s="23" t="s">
        <v>8</v>
      </c>
      <c r="M11868" s="23" t="s">
        <v>8</v>
      </c>
    </row>
    <row r="11869" spans="1:13" s="21" customFormat="1" x14ac:dyDescent="0.25">
      <c r="A11869" s="22" t="s">
        <v>8</v>
      </c>
      <c r="B11869" s="18" t="str">
        <f>"415080"</f>
        <v>415080</v>
      </c>
      <c r="C11869" s="19" t="s">
        <v>11674</v>
      </c>
      <c r="D11869" s="19" t="s">
        <v>27275</v>
      </c>
      <c r="E11869" s="19" t="s">
        <v>35031</v>
      </c>
      <c r="F11869" s="19" t="s">
        <v>36014</v>
      </c>
      <c r="G11869" s="18" t="str">
        <f>"02859"</f>
        <v>02859</v>
      </c>
      <c r="H11869" s="19" t="s">
        <v>35026</v>
      </c>
      <c r="I11869" s="20">
        <v>17.82</v>
      </c>
      <c r="J11869" s="44" t="s">
        <v>8</v>
      </c>
      <c r="K11869" s="23" t="s">
        <v>8</v>
      </c>
      <c r="L11869" s="23" t="s">
        <v>8</v>
      </c>
      <c r="M11869" s="23" t="s">
        <v>8</v>
      </c>
    </row>
    <row r="11870" spans="1:13" s="21" customFormat="1" x14ac:dyDescent="0.25">
      <c r="A11870" s="22" t="s">
        <v>8</v>
      </c>
      <c r="B11870" s="18" t="str">
        <f>"415081"</f>
        <v>415081</v>
      </c>
      <c r="C11870" s="19" t="s">
        <v>11675</v>
      </c>
      <c r="D11870" s="19" t="s">
        <v>27276</v>
      </c>
      <c r="E11870" s="19" t="s">
        <v>35024</v>
      </c>
      <c r="F11870" s="19" t="s">
        <v>36014</v>
      </c>
      <c r="G11870" s="18" t="str">
        <f>"02891"</f>
        <v>02891</v>
      </c>
      <c r="H11870" s="19" t="s">
        <v>31500</v>
      </c>
      <c r="I11870" s="20">
        <v>19.645</v>
      </c>
      <c r="J11870" s="44" t="s">
        <v>8</v>
      </c>
      <c r="K11870" s="23" t="s">
        <v>8</v>
      </c>
      <c r="L11870" s="23" t="s">
        <v>8</v>
      </c>
      <c r="M11870" s="23" t="s">
        <v>8</v>
      </c>
    </row>
    <row r="11871" spans="1:13" s="21" customFormat="1" x14ac:dyDescent="0.25">
      <c r="A11871" s="22" t="s">
        <v>8</v>
      </c>
      <c r="B11871" s="18" t="str">
        <f>"415082"</f>
        <v>415082</v>
      </c>
      <c r="C11871" s="19" t="s">
        <v>11676</v>
      </c>
      <c r="D11871" s="19" t="s">
        <v>27277</v>
      </c>
      <c r="E11871" s="19" t="s">
        <v>35037</v>
      </c>
      <c r="F11871" s="19" t="s">
        <v>36014</v>
      </c>
      <c r="G11871" s="18" t="str">
        <f>"02816"</f>
        <v>02816</v>
      </c>
      <c r="H11871" s="19" t="s">
        <v>31478</v>
      </c>
      <c r="I11871" s="20">
        <v>20.779</v>
      </c>
      <c r="J11871" s="44" t="s">
        <v>8</v>
      </c>
      <c r="K11871" s="23" t="s">
        <v>8</v>
      </c>
      <c r="L11871" s="23" t="s">
        <v>8</v>
      </c>
      <c r="M11871" s="23" t="s">
        <v>8</v>
      </c>
    </row>
    <row r="11872" spans="1:13" s="21" customFormat="1" x14ac:dyDescent="0.25">
      <c r="A11872" s="22" t="s">
        <v>8</v>
      </c>
      <c r="B11872" s="18" t="str">
        <f>"415083"</f>
        <v>415083</v>
      </c>
      <c r="C11872" s="19" t="s">
        <v>11677</v>
      </c>
      <c r="D11872" s="19" t="s">
        <v>27278</v>
      </c>
      <c r="E11872" s="19" t="s">
        <v>35023</v>
      </c>
      <c r="F11872" s="19" t="s">
        <v>36014</v>
      </c>
      <c r="G11872" s="18" t="str">
        <f>"02914"</f>
        <v>02914</v>
      </c>
      <c r="H11872" s="19" t="s">
        <v>35026</v>
      </c>
      <c r="I11872" s="20">
        <v>18.704000000000001</v>
      </c>
      <c r="J11872" s="44" t="s">
        <v>8</v>
      </c>
      <c r="K11872" s="23" t="s">
        <v>8</v>
      </c>
      <c r="L11872" s="23" t="s">
        <v>8</v>
      </c>
      <c r="M11872" s="23" t="s">
        <v>8</v>
      </c>
    </row>
    <row r="11873" spans="1:13" s="21" customFormat="1" x14ac:dyDescent="0.25">
      <c r="A11873" s="22" t="s">
        <v>8</v>
      </c>
      <c r="B11873" s="18" t="str">
        <f>"415084"</f>
        <v>415084</v>
      </c>
      <c r="C11873" s="19" t="s">
        <v>11678</v>
      </c>
      <c r="D11873" s="19" t="s">
        <v>27279</v>
      </c>
      <c r="E11873" s="19" t="s">
        <v>35026</v>
      </c>
      <c r="F11873" s="19" t="s">
        <v>36014</v>
      </c>
      <c r="G11873" s="18" t="str">
        <f>"02908"</f>
        <v>02908</v>
      </c>
      <c r="H11873" s="19" t="s">
        <v>35026</v>
      </c>
      <c r="I11873" s="20">
        <v>19.831</v>
      </c>
      <c r="J11873" s="44" t="s">
        <v>8</v>
      </c>
      <c r="K11873" s="23" t="s">
        <v>8</v>
      </c>
      <c r="L11873" s="23" t="s">
        <v>8</v>
      </c>
      <c r="M11873" s="23" t="s">
        <v>8</v>
      </c>
    </row>
    <row r="11874" spans="1:13" s="21" customFormat="1" x14ac:dyDescent="0.25">
      <c r="A11874" s="22" t="s">
        <v>8</v>
      </c>
      <c r="B11874" s="18" t="str">
        <f>"415085"</f>
        <v>415085</v>
      </c>
      <c r="C11874" s="19" t="s">
        <v>11679</v>
      </c>
      <c r="D11874" s="19" t="s">
        <v>27280</v>
      </c>
      <c r="E11874" s="19" t="s">
        <v>32766</v>
      </c>
      <c r="F11874" s="19" t="s">
        <v>36014</v>
      </c>
      <c r="G11874" s="18" t="str">
        <f>"02864"</f>
        <v>02864</v>
      </c>
      <c r="H11874" s="19" t="s">
        <v>35026</v>
      </c>
      <c r="I11874" s="20">
        <v>18.175000000000001</v>
      </c>
      <c r="J11874" s="44" t="s">
        <v>8</v>
      </c>
      <c r="K11874" s="23" t="s">
        <v>8</v>
      </c>
      <c r="L11874" s="23" t="s">
        <v>8</v>
      </c>
      <c r="M11874" s="23" t="s">
        <v>8</v>
      </c>
    </row>
    <row r="11875" spans="1:13" s="21" customFormat="1" x14ac:dyDescent="0.25">
      <c r="A11875" s="22" t="s">
        <v>8</v>
      </c>
      <c r="B11875" s="18" t="str">
        <f>"415086"</f>
        <v>415086</v>
      </c>
      <c r="C11875" s="19" t="s">
        <v>11680</v>
      </c>
      <c r="D11875" s="19" t="s">
        <v>27281</v>
      </c>
      <c r="E11875" s="19" t="s">
        <v>34276</v>
      </c>
      <c r="F11875" s="19" t="s">
        <v>36014</v>
      </c>
      <c r="G11875" s="18" t="str">
        <f>"02917"</f>
        <v>02917</v>
      </c>
      <c r="H11875" s="19" t="s">
        <v>35026</v>
      </c>
      <c r="I11875" s="20">
        <v>19.79</v>
      </c>
      <c r="J11875" s="44" t="s">
        <v>8</v>
      </c>
      <c r="K11875" s="23" t="s">
        <v>8</v>
      </c>
      <c r="L11875" s="23" t="s">
        <v>8</v>
      </c>
      <c r="M11875" s="23" t="s">
        <v>8</v>
      </c>
    </row>
    <row r="11876" spans="1:13" s="21" customFormat="1" x14ac:dyDescent="0.25">
      <c r="A11876" s="22" t="s">
        <v>8</v>
      </c>
      <c r="B11876" s="18" t="str">
        <f>"415087"</f>
        <v>415087</v>
      </c>
      <c r="C11876" s="19" t="s">
        <v>11681</v>
      </c>
      <c r="D11876" s="19" t="s">
        <v>27282</v>
      </c>
      <c r="E11876" s="19" t="s">
        <v>30817</v>
      </c>
      <c r="F11876" s="19" t="s">
        <v>36014</v>
      </c>
      <c r="G11876" s="18" t="str">
        <f>"02828"</f>
        <v>02828</v>
      </c>
      <c r="H11876" s="19" t="s">
        <v>35026</v>
      </c>
      <c r="I11876" s="20">
        <v>19.495999999999999</v>
      </c>
      <c r="J11876" s="44" t="s">
        <v>8</v>
      </c>
      <c r="K11876" s="23" t="s">
        <v>8</v>
      </c>
      <c r="L11876" s="23" t="s">
        <v>8</v>
      </c>
      <c r="M11876" s="23" t="s">
        <v>8</v>
      </c>
    </row>
    <row r="11877" spans="1:13" s="21" customFormat="1" x14ac:dyDescent="0.25">
      <c r="A11877" s="22" t="s">
        <v>8</v>
      </c>
      <c r="B11877" s="18" t="str">
        <f>"415089"</f>
        <v>415089</v>
      </c>
      <c r="C11877" s="19" t="s">
        <v>11682</v>
      </c>
      <c r="D11877" s="19" t="s">
        <v>27283</v>
      </c>
      <c r="E11877" s="19" t="s">
        <v>35037</v>
      </c>
      <c r="F11877" s="19" t="s">
        <v>36014</v>
      </c>
      <c r="G11877" s="18" t="str">
        <f>"02816"</f>
        <v>02816</v>
      </c>
      <c r="H11877" s="19" t="s">
        <v>31478</v>
      </c>
      <c r="I11877" s="20">
        <v>17.218</v>
      </c>
      <c r="J11877" s="44" t="s">
        <v>8</v>
      </c>
      <c r="K11877" s="23" t="s">
        <v>8</v>
      </c>
      <c r="L11877" s="23" t="s">
        <v>8</v>
      </c>
      <c r="M11877" s="23" t="s">
        <v>8</v>
      </c>
    </row>
    <row r="11878" spans="1:13" s="21" customFormat="1" x14ac:dyDescent="0.25">
      <c r="A11878" s="22" t="s">
        <v>8</v>
      </c>
      <c r="B11878" s="18" t="str">
        <f>"415090"</f>
        <v>415090</v>
      </c>
      <c r="C11878" s="19" t="s">
        <v>11683</v>
      </c>
      <c r="D11878" s="19" t="s">
        <v>27284</v>
      </c>
      <c r="E11878" s="19" t="s">
        <v>35023</v>
      </c>
      <c r="F11878" s="19" t="s">
        <v>36014</v>
      </c>
      <c r="G11878" s="18" t="str">
        <f>"02914"</f>
        <v>02914</v>
      </c>
      <c r="H11878" s="19" t="s">
        <v>35026</v>
      </c>
      <c r="I11878" s="20">
        <v>18.032</v>
      </c>
      <c r="J11878" s="44" t="s">
        <v>8</v>
      </c>
      <c r="K11878" s="23" t="s">
        <v>8</v>
      </c>
      <c r="L11878" s="23" t="s">
        <v>8</v>
      </c>
      <c r="M11878" s="23" t="s">
        <v>8</v>
      </c>
    </row>
    <row r="11879" spans="1:13" s="21" customFormat="1" x14ac:dyDescent="0.25">
      <c r="A11879" s="22" t="s">
        <v>8</v>
      </c>
      <c r="B11879" s="18" t="str">
        <f>"415091"</f>
        <v>415091</v>
      </c>
      <c r="C11879" s="19" t="s">
        <v>11684</v>
      </c>
      <c r="D11879" s="19" t="s">
        <v>27285</v>
      </c>
      <c r="E11879" s="19" t="s">
        <v>35026</v>
      </c>
      <c r="F11879" s="19" t="s">
        <v>36014</v>
      </c>
      <c r="G11879" s="18" t="str">
        <f>"02903"</f>
        <v>02903</v>
      </c>
      <c r="H11879" s="19" t="s">
        <v>35026</v>
      </c>
      <c r="I11879" s="20">
        <v>19.597999999999999</v>
      </c>
      <c r="J11879" s="44" t="s">
        <v>8</v>
      </c>
      <c r="K11879" s="23" t="s">
        <v>8</v>
      </c>
      <c r="L11879" s="23" t="s">
        <v>8</v>
      </c>
      <c r="M11879" s="23" t="s">
        <v>8</v>
      </c>
    </row>
    <row r="11880" spans="1:13" s="21" customFormat="1" x14ac:dyDescent="0.25">
      <c r="A11880" s="22" t="s">
        <v>8</v>
      </c>
      <c r="B11880" s="18" t="str">
        <f>"415094"</f>
        <v>415094</v>
      </c>
      <c r="C11880" s="19" t="s">
        <v>11685</v>
      </c>
      <c r="D11880" s="19" t="s">
        <v>27286</v>
      </c>
      <c r="E11880" s="19" t="s">
        <v>35030</v>
      </c>
      <c r="F11880" s="19" t="s">
        <v>36014</v>
      </c>
      <c r="G11880" s="18" t="str">
        <f>"02895"</f>
        <v>02895</v>
      </c>
      <c r="H11880" s="19" t="s">
        <v>35026</v>
      </c>
      <c r="I11880" s="20">
        <v>18.335999999999999</v>
      </c>
      <c r="J11880" s="44" t="s">
        <v>8</v>
      </c>
      <c r="K11880" s="23" t="s">
        <v>8</v>
      </c>
      <c r="L11880" s="23" t="s">
        <v>8</v>
      </c>
      <c r="M11880" s="23" t="s">
        <v>8</v>
      </c>
    </row>
    <row r="11881" spans="1:13" s="21" customFormat="1" x14ac:dyDescent="0.25">
      <c r="A11881" s="22" t="s">
        <v>8</v>
      </c>
      <c r="B11881" s="18" t="str">
        <f>"415096"</f>
        <v>415096</v>
      </c>
      <c r="C11881" s="19" t="s">
        <v>11686</v>
      </c>
      <c r="D11881" s="19" t="s">
        <v>27287</v>
      </c>
      <c r="E11881" s="19" t="s">
        <v>35026</v>
      </c>
      <c r="F11881" s="19" t="s">
        <v>36014</v>
      </c>
      <c r="G11881" s="18" t="str">
        <f>"02906"</f>
        <v>02906</v>
      </c>
      <c r="H11881" s="19" t="s">
        <v>35026</v>
      </c>
      <c r="I11881" s="20">
        <v>17.872</v>
      </c>
      <c r="J11881" s="44" t="s">
        <v>8</v>
      </c>
      <c r="K11881" s="23" t="s">
        <v>8</v>
      </c>
      <c r="L11881" s="23" t="s">
        <v>8</v>
      </c>
      <c r="M11881" s="23" t="s">
        <v>8</v>
      </c>
    </row>
    <row r="11882" spans="1:13" s="21" customFormat="1" x14ac:dyDescent="0.25">
      <c r="A11882" s="22" t="s">
        <v>8</v>
      </c>
      <c r="B11882" s="18" t="str">
        <f>"415097"</f>
        <v>415097</v>
      </c>
      <c r="C11882" s="19" t="s">
        <v>11687</v>
      </c>
      <c r="D11882" s="19" t="s">
        <v>27288</v>
      </c>
      <c r="E11882" s="19" t="s">
        <v>35038</v>
      </c>
      <c r="F11882" s="19" t="s">
        <v>36014</v>
      </c>
      <c r="G11882" s="18" t="str">
        <f>"02863"</f>
        <v>02863</v>
      </c>
      <c r="H11882" s="19" t="s">
        <v>35026</v>
      </c>
      <c r="I11882" s="20">
        <v>17.978999999999999</v>
      </c>
      <c r="J11882" s="44" t="s">
        <v>8</v>
      </c>
      <c r="K11882" s="23" t="s">
        <v>8</v>
      </c>
      <c r="L11882" s="23" t="s">
        <v>8</v>
      </c>
      <c r="M11882" s="23" t="s">
        <v>8</v>
      </c>
    </row>
    <row r="11883" spans="1:13" s="21" customFormat="1" x14ac:dyDescent="0.25">
      <c r="A11883" s="22" t="s">
        <v>8</v>
      </c>
      <c r="B11883" s="18" t="str">
        <f>"415098"</f>
        <v>415098</v>
      </c>
      <c r="C11883" s="19" t="s">
        <v>11688</v>
      </c>
      <c r="D11883" s="19" t="s">
        <v>27289</v>
      </c>
      <c r="E11883" s="19" t="s">
        <v>35023</v>
      </c>
      <c r="F11883" s="19" t="s">
        <v>36014</v>
      </c>
      <c r="G11883" s="18" t="str">
        <f>"02914"</f>
        <v>02914</v>
      </c>
      <c r="H11883" s="19" t="s">
        <v>35026</v>
      </c>
      <c r="I11883" s="20">
        <v>18.707000000000001</v>
      </c>
      <c r="J11883" s="44" t="s">
        <v>8</v>
      </c>
      <c r="K11883" s="23" t="s">
        <v>8</v>
      </c>
      <c r="L11883" s="23" t="s">
        <v>8</v>
      </c>
      <c r="M11883" s="23" t="s">
        <v>8</v>
      </c>
    </row>
    <row r="11884" spans="1:13" s="21" customFormat="1" x14ac:dyDescent="0.25">
      <c r="A11884" s="22" t="s">
        <v>8</v>
      </c>
      <c r="B11884" s="18" t="str">
        <f>"415099"</f>
        <v>415099</v>
      </c>
      <c r="C11884" s="19" t="s">
        <v>11689</v>
      </c>
      <c r="D11884" s="19" t="s">
        <v>27290</v>
      </c>
      <c r="E11884" s="19" t="s">
        <v>35031</v>
      </c>
      <c r="F11884" s="19" t="s">
        <v>36014</v>
      </c>
      <c r="G11884" s="18" t="str">
        <f>"02859"</f>
        <v>02859</v>
      </c>
      <c r="H11884" s="19" t="s">
        <v>35026</v>
      </c>
      <c r="I11884" s="20">
        <v>17.815000000000001</v>
      </c>
      <c r="J11884" s="44" t="s">
        <v>8</v>
      </c>
      <c r="K11884" s="23" t="s">
        <v>8</v>
      </c>
      <c r="L11884" s="23" t="s">
        <v>8</v>
      </c>
      <c r="M11884" s="23" t="s">
        <v>8</v>
      </c>
    </row>
    <row r="11885" spans="1:13" s="21" customFormat="1" x14ac:dyDescent="0.25">
      <c r="A11885" s="22" t="s">
        <v>8</v>
      </c>
      <c r="B11885" s="18" t="str">
        <f>"415104"</f>
        <v>415104</v>
      </c>
      <c r="C11885" s="19" t="s">
        <v>11690</v>
      </c>
      <c r="D11885" s="19" t="s">
        <v>27291</v>
      </c>
      <c r="E11885" s="19" t="s">
        <v>35034</v>
      </c>
      <c r="F11885" s="19" t="s">
        <v>36014</v>
      </c>
      <c r="G11885" s="18" t="str">
        <f>"02852"</f>
        <v>02852</v>
      </c>
      <c r="H11885" s="19" t="s">
        <v>31500</v>
      </c>
      <c r="I11885" s="20">
        <v>18.140999999999998</v>
      </c>
      <c r="J11885" s="44" t="s">
        <v>8</v>
      </c>
      <c r="K11885" s="23" t="s">
        <v>8</v>
      </c>
      <c r="L11885" s="23" t="s">
        <v>8</v>
      </c>
      <c r="M11885" s="23" t="s">
        <v>8</v>
      </c>
    </row>
    <row r="11886" spans="1:13" s="21" customFormat="1" x14ac:dyDescent="0.25">
      <c r="A11886" s="22" t="s">
        <v>8</v>
      </c>
      <c r="B11886" s="18" t="str">
        <f>"415105"</f>
        <v>415105</v>
      </c>
      <c r="C11886" s="19" t="s">
        <v>11691</v>
      </c>
      <c r="D11886" s="19" t="s">
        <v>27292</v>
      </c>
      <c r="E11886" s="19" t="s">
        <v>32455</v>
      </c>
      <c r="F11886" s="19" t="s">
        <v>36014</v>
      </c>
      <c r="G11886" s="18" t="str">
        <f>"02827"</f>
        <v>02827</v>
      </c>
      <c r="H11886" s="19" t="s">
        <v>31478</v>
      </c>
      <c r="I11886" s="20">
        <v>20.134</v>
      </c>
      <c r="J11886" s="44" t="s">
        <v>8</v>
      </c>
      <c r="K11886" s="23" t="s">
        <v>8</v>
      </c>
      <c r="L11886" s="23" t="s">
        <v>8</v>
      </c>
      <c r="M11886" s="23" t="s">
        <v>8</v>
      </c>
    </row>
    <row r="11887" spans="1:13" s="21" customFormat="1" x14ac:dyDescent="0.25">
      <c r="A11887" s="22" t="s">
        <v>8</v>
      </c>
      <c r="B11887" s="18" t="str">
        <f>"415106"</f>
        <v>415106</v>
      </c>
      <c r="C11887" s="19" t="s">
        <v>11692</v>
      </c>
      <c r="D11887" s="19" t="s">
        <v>27293</v>
      </c>
      <c r="E11887" s="19" t="s">
        <v>35039</v>
      </c>
      <c r="F11887" s="19" t="s">
        <v>36014</v>
      </c>
      <c r="G11887" s="18" t="str">
        <f>"02896"</f>
        <v>02896</v>
      </c>
      <c r="H11887" s="19" t="s">
        <v>35026</v>
      </c>
      <c r="I11887" s="20">
        <v>20.885999999999999</v>
      </c>
      <c r="J11887" s="44" t="s">
        <v>8</v>
      </c>
      <c r="K11887" s="23" t="s">
        <v>8</v>
      </c>
      <c r="L11887" s="23" t="s">
        <v>8</v>
      </c>
      <c r="M11887" s="23" t="s">
        <v>8</v>
      </c>
    </row>
    <row r="11888" spans="1:13" s="21" customFormat="1" x14ac:dyDescent="0.25">
      <c r="A11888" s="22" t="s">
        <v>8</v>
      </c>
      <c r="B11888" s="18" t="str">
        <f>"415107"</f>
        <v>415107</v>
      </c>
      <c r="C11888" s="19" t="s">
        <v>11693</v>
      </c>
      <c r="D11888" s="19" t="s">
        <v>27294</v>
      </c>
      <c r="E11888" s="19" t="s">
        <v>35032</v>
      </c>
      <c r="F11888" s="19" t="s">
        <v>36014</v>
      </c>
      <c r="G11888" s="18" t="str">
        <f>"02892"</f>
        <v>02892</v>
      </c>
      <c r="H11888" s="19" t="s">
        <v>31500</v>
      </c>
      <c r="I11888" s="20">
        <v>18.178000000000001</v>
      </c>
      <c r="J11888" s="44" t="s">
        <v>8</v>
      </c>
      <c r="K11888" s="23" t="s">
        <v>8</v>
      </c>
      <c r="L11888" s="23" t="s">
        <v>8</v>
      </c>
      <c r="M11888" s="23" t="s">
        <v>8</v>
      </c>
    </row>
    <row r="11889" spans="1:13" s="21" customFormat="1" x14ac:dyDescent="0.25">
      <c r="A11889" s="22" t="s">
        <v>8</v>
      </c>
      <c r="B11889" s="18" t="str">
        <f>"415108"</f>
        <v>415108</v>
      </c>
      <c r="C11889" s="19" t="s">
        <v>11694</v>
      </c>
      <c r="D11889" s="19" t="s">
        <v>27295</v>
      </c>
      <c r="E11889" s="19" t="s">
        <v>35038</v>
      </c>
      <c r="F11889" s="19" t="s">
        <v>36014</v>
      </c>
      <c r="G11889" s="18" t="str">
        <f>"02863"</f>
        <v>02863</v>
      </c>
      <c r="H11889" s="19" t="s">
        <v>35026</v>
      </c>
      <c r="I11889" s="20">
        <v>18.710999999999999</v>
      </c>
      <c r="J11889" s="44" t="s">
        <v>8</v>
      </c>
      <c r="K11889" s="23" t="s">
        <v>8</v>
      </c>
      <c r="L11889" s="23" t="s">
        <v>8</v>
      </c>
      <c r="M11889" s="23" t="s">
        <v>8</v>
      </c>
    </row>
    <row r="11890" spans="1:13" s="21" customFormat="1" x14ac:dyDescent="0.25">
      <c r="A11890" s="22" t="s">
        <v>8</v>
      </c>
      <c r="B11890" s="18" t="str">
        <f>"415110"</f>
        <v>415110</v>
      </c>
      <c r="C11890" s="19" t="s">
        <v>11695</v>
      </c>
      <c r="D11890" s="19" t="s">
        <v>27296</v>
      </c>
      <c r="E11890" s="19" t="s">
        <v>35030</v>
      </c>
      <c r="F11890" s="19" t="s">
        <v>36014</v>
      </c>
      <c r="G11890" s="18" t="str">
        <f>"02895"</f>
        <v>02895</v>
      </c>
      <c r="H11890" s="19" t="s">
        <v>35026</v>
      </c>
      <c r="I11890" s="20">
        <v>19.885000000000002</v>
      </c>
      <c r="J11890" s="44" t="s">
        <v>8</v>
      </c>
      <c r="K11890" s="23" t="s">
        <v>8</v>
      </c>
      <c r="L11890" s="23" t="s">
        <v>8</v>
      </c>
      <c r="M11890" s="23" t="s">
        <v>8</v>
      </c>
    </row>
    <row r="11891" spans="1:13" s="21" customFormat="1" x14ac:dyDescent="0.25">
      <c r="A11891" s="22" t="s">
        <v>8</v>
      </c>
      <c r="B11891" s="18" t="str">
        <f>"415111"</f>
        <v>415111</v>
      </c>
      <c r="C11891" s="19" t="s">
        <v>11696</v>
      </c>
      <c r="D11891" s="19" t="s">
        <v>27297</v>
      </c>
      <c r="E11891" s="19" t="s">
        <v>31058</v>
      </c>
      <c r="F11891" s="19" t="s">
        <v>36014</v>
      </c>
      <c r="G11891" s="18" t="str">
        <f>"02840"</f>
        <v>02840</v>
      </c>
      <c r="H11891" s="19" t="s">
        <v>31058</v>
      </c>
      <c r="I11891" s="20">
        <v>19.486999999999998</v>
      </c>
      <c r="J11891" s="44" t="s">
        <v>8</v>
      </c>
      <c r="K11891" s="23" t="s">
        <v>8</v>
      </c>
      <c r="L11891" s="23" t="s">
        <v>8</v>
      </c>
      <c r="M11891" s="23" t="s">
        <v>8</v>
      </c>
    </row>
    <row r="11892" spans="1:13" s="21" customFormat="1" x14ac:dyDescent="0.25">
      <c r="A11892" s="22" t="s">
        <v>8</v>
      </c>
      <c r="B11892" s="18" t="str">
        <f>"415113"</f>
        <v>415113</v>
      </c>
      <c r="C11892" s="19" t="s">
        <v>11697</v>
      </c>
      <c r="D11892" s="19" t="s">
        <v>27298</v>
      </c>
      <c r="E11892" s="19" t="s">
        <v>35023</v>
      </c>
      <c r="F11892" s="19" t="s">
        <v>36014</v>
      </c>
      <c r="G11892" s="18" t="str">
        <f>"02914"</f>
        <v>02914</v>
      </c>
      <c r="H11892" s="19" t="s">
        <v>35026</v>
      </c>
      <c r="I11892" s="20">
        <v>17.497</v>
      </c>
      <c r="J11892" s="44" t="s">
        <v>8</v>
      </c>
      <c r="K11892" s="23" t="s">
        <v>8</v>
      </c>
      <c r="L11892" s="23" t="s">
        <v>8</v>
      </c>
      <c r="M11892" s="23" t="s">
        <v>8</v>
      </c>
    </row>
    <row r="11893" spans="1:13" s="21" customFormat="1" x14ac:dyDescent="0.25">
      <c r="A11893" s="22" t="s">
        <v>8</v>
      </c>
      <c r="B11893" s="18" t="str">
        <f>"415115"</f>
        <v>415115</v>
      </c>
      <c r="C11893" s="19" t="s">
        <v>11698</v>
      </c>
      <c r="D11893" s="19" t="s">
        <v>27299</v>
      </c>
      <c r="E11893" s="19" t="s">
        <v>35040</v>
      </c>
      <c r="F11893" s="19" t="s">
        <v>36014</v>
      </c>
      <c r="G11893" s="18" t="str">
        <f>"02825"</f>
        <v>02825</v>
      </c>
      <c r="H11893" s="19" t="s">
        <v>35026</v>
      </c>
      <c r="I11893" s="20">
        <v>18.972000000000001</v>
      </c>
      <c r="J11893" s="44" t="s">
        <v>8</v>
      </c>
      <c r="K11893" s="23" t="s">
        <v>8</v>
      </c>
      <c r="L11893" s="23" t="s">
        <v>8</v>
      </c>
      <c r="M11893" s="23" t="s">
        <v>8</v>
      </c>
    </row>
    <row r="11894" spans="1:13" s="21" customFormat="1" x14ac:dyDescent="0.25">
      <c r="A11894" s="22" t="s">
        <v>8</v>
      </c>
      <c r="B11894" s="18" t="str">
        <f>"415119"</f>
        <v>415119</v>
      </c>
      <c r="C11894" s="19" t="s">
        <v>6139</v>
      </c>
      <c r="D11894" s="19" t="s">
        <v>27300</v>
      </c>
      <c r="E11894" s="19" t="s">
        <v>35026</v>
      </c>
      <c r="F11894" s="19" t="s">
        <v>36014</v>
      </c>
      <c r="G11894" s="18" t="str">
        <f>"02908"</f>
        <v>02908</v>
      </c>
      <c r="H11894" s="19" t="s">
        <v>35026</v>
      </c>
      <c r="I11894" s="20">
        <v>19.102</v>
      </c>
      <c r="J11894" s="44" t="s">
        <v>8</v>
      </c>
      <c r="K11894" s="23" t="s">
        <v>8</v>
      </c>
      <c r="L11894" s="23" t="s">
        <v>8</v>
      </c>
      <c r="M11894" s="23" t="s">
        <v>8</v>
      </c>
    </row>
    <row r="11895" spans="1:13" s="21" customFormat="1" x14ac:dyDescent="0.25">
      <c r="A11895" s="22" t="s">
        <v>8</v>
      </c>
      <c r="B11895" s="18" t="str">
        <f>"415120"</f>
        <v>415120</v>
      </c>
      <c r="C11895" s="19" t="s">
        <v>11699</v>
      </c>
      <c r="D11895" s="19" t="s">
        <v>27301</v>
      </c>
      <c r="E11895" s="19" t="s">
        <v>35024</v>
      </c>
      <c r="F11895" s="19" t="s">
        <v>36014</v>
      </c>
      <c r="G11895" s="18" t="str">
        <f>"02891"</f>
        <v>02891</v>
      </c>
      <c r="H11895" s="19" t="s">
        <v>31500</v>
      </c>
      <c r="I11895" s="20">
        <v>15.898</v>
      </c>
      <c r="J11895" s="44" t="s">
        <v>8</v>
      </c>
      <c r="K11895" s="23" t="s">
        <v>8</v>
      </c>
      <c r="L11895" s="23" t="s">
        <v>8</v>
      </c>
      <c r="M11895" s="23" t="s">
        <v>8</v>
      </c>
    </row>
    <row r="11896" spans="1:13" s="21" customFormat="1" x14ac:dyDescent="0.25">
      <c r="A11896" s="22" t="s">
        <v>8</v>
      </c>
      <c r="B11896" s="18" t="str">
        <f>"415123"</f>
        <v>415123</v>
      </c>
      <c r="C11896" s="19" t="s">
        <v>11700</v>
      </c>
      <c r="D11896" s="19" t="s">
        <v>27302</v>
      </c>
      <c r="E11896" s="19" t="s">
        <v>30817</v>
      </c>
      <c r="F11896" s="19" t="s">
        <v>36014</v>
      </c>
      <c r="G11896" s="18" t="str">
        <f>"02828"</f>
        <v>02828</v>
      </c>
      <c r="H11896" s="19" t="s">
        <v>35026</v>
      </c>
      <c r="I11896" s="20">
        <v>20.166</v>
      </c>
      <c r="J11896" s="44" t="s">
        <v>8</v>
      </c>
      <c r="K11896" s="23" t="s">
        <v>8</v>
      </c>
      <c r="L11896" s="23" t="s">
        <v>8</v>
      </c>
      <c r="M11896" s="23" t="s">
        <v>8</v>
      </c>
    </row>
    <row r="11897" spans="1:13" s="21" customFormat="1" x14ac:dyDescent="0.25">
      <c r="A11897" s="22" t="s">
        <v>8</v>
      </c>
      <c r="B11897" s="18" t="str">
        <f>"415126"</f>
        <v>415126</v>
      </c>
      <c r="C11897" s="19" t="s">
        <v>11701</v>
      </c>
      <c r="D11897" s="19" t="s">
        <v>27303</v>
      </c>
      <c r="E11897" s="19" t="s">
        <v>35026</v>
      </c>
      <c r="F11897" s="19" t="s">
        <v>36014</v>
      </c>
      <c r="G11897" s="18" t="str">
        <f>"02906"</f>
        <v>02906</v>
      </c>
      <c r="H11897" s="19" t="s">
        <v>35026</v>
      </c>
      <c r="I11897" s="20">
        <v>19.605</v>
      </c>
      <c r="J11897" s="44" t="s">
        <v>8</v>
      </c>
      <c r="K11897" s="23" t="s">
        <v>8</v>
      </c>
      <c r="L11897" s="23" t="s">
        <v>8</v>
      </c>
      <c r="M11897" s="23" t="s">
        <v>8</v>
      </c>
    </row>
    <row r="11898" spans="1:13" s="21" customFormat="1" x14ac:dyDescent="0.25">
      <c r="A11898" s="22" t="s">
        <v>8</v>
      </c>
      <c r="B11898" s="18" t="str">
        <f>"415129"</f>
        <v>415129</v>
      </c>
      <c r="C11898" s="19" t="s">
        <v>11702</v>
      </c>
      <c r="D11898" s="19" t="s">
        <v>27304</v>
      </c>
      <c r="E11898" s="19" t="s">
        <v>35026</v>
      </c>
      <c r="F11898" s="19" t="s">
        <v>36014</v>
      </c>
      <c r="G11898" s="18" t="str">
        <f>"02906"</f>
        <v>02906</v>
      </c>
      <c r="H11898" s="19" t="s">
        <v>35026</v>
      </c>
      <c r="I11898" s="20">
        <v>20.036999999999999</v>
      </c>
      <c r="J11898" s="44" t="s">
        <v>8</v>
      </c>
      <c r="K11898" s="23" t="s">
        <v>8</v>
      </c>
      <c r="L11898" s="23" t="s">
        <v>8</v>
      </c>
      <c r="M11898" s="23" t="s">
        <v>8</v>
      </c>
    </row>
    <row r="11899" spans="1:13" s="21" customFormat="1" x14ac:dyDescent="0.25">
      <c r="A11899" s="22" t="s">
        <v>8</v>
      </c>
      <c r="B11899" s="18" t="s">
        <v>15352</v>
      </c>
      <c r="C11899" s="19" t="s">
        <v>11703</v>
      </c>
      <c r="D11899" s="19" t="s">
        <v>27305</v>
      </c>
      <c r="E11899" s="19" t="s">
        <v>35041</v>
      </c>
      <c r="F11899" s="19" t="s">
        <v>36015</v>
      </c>
      <c r="G11899" s="18" t="str">
        <f>"29812"</f>
        <v>29812</v>
      </c>
      <c r="H11899" s="19" t="s">
        <v>35041</v>
      </c>
      <c r="I11899" s="20">
        <v>18.268000000000001</v>
      </c>
      <c r="J11899" s="44" t="s">
        <v>8</v>
      </c>
      <c r="K11899" s="23" t="s">
        <v>8</v>
      </c>
      <c r="L11899" s="23" t="s">
        <v>8</v>
      </c>
      <c r="M11899" s="23" t="s">
        <v>8</v>
      </c>
    </row>
    <row r="11900" spans="1:13" s="21" customFormat="1" x14ac:dyDescent="0.25">
      <c r="A11900" s="22" t="s">
        <v>8</v>
      </c>
      <c r="B11900" s="18" t="s">
        <v>15353</v>
      </c>
      <c r="C11900" s="19" t="s">
        <v>11704</v>
      </c>
      <c r="D11900" s="19" t="s">
        <v>27306</v>
      </c>
      <c r="E11900" s="19" t="s">
        <v>35042</v>
      </c>
      <c r="F11900" s="19" t="s">
        <v>36015</v>
      </c>
      <c r="G11900" s="18" t="str">
        <f>"29108"</f>
        <v>29108</v>
      </c>
      <c r="H11900" s="19" t="s">
        <v>35042</v>
      </c>
      <c r="I11900" s="20">
        <v>18.806999999999999</v>
      </c>
      <c r="J11900" s="44" t="s">
        <v>8</v>
      </c>
      <c r="K11900" s="23" t="s">
        <v>8</v>
      </c>
      <c r="L11900" s="23" t="s">
        <v>8</v>
      </c>
      <c r="M11900" s="23" t="s">
        <v>8</v>
      </c>
    </row>
    <row r="11901" spans="1:13" s="21" customFormat="1" x14ac:dyDescent="0.25">
      <c r="A11901" s="22" t="s">
        <v>8</v>
      </c>
      <c r="B11901" s="18" t="s">
        <v>15354</v>
      </c>
      <c r="C11901" s="19" t="s">
        <v>11705</v>
      </c>
      <c r="D11901" s="19" t="s">
        <v>27307</v>
      </c>
      <c r="E11901" s="19" t="s">
        <v>35043</v>
      </c>
      <c r="F11901" s="19" t="s">
        <v>36015</v>
      </c>
      <c r="G11901" s="18" t="str">
        <f>"29512"</f>
        <v>29512</v>
      </c>
      <c r="H11901" s="19" t="s">
        <v>36743</v>
      </c>
      <c r="I11901" s="20">
        <v>18.911999999999999</v>
      </c>
      <c r="J11901" s="44" t="s">
        <v>8</v>
      </c>
      <c r="K11901" s="23" t="s">
        <v>8</v>
      </c>
      <c r="L11901" s="23" t="s">
        <v>8</v>
      </c>
      <c r="M11901" s="23" t="s">
        <v>8</v>
      </c>
    </row>
    <row r="11902" spans="1:13" s="21" customFormat="1" x14ac:dyDescent="0.25">
      <c r="A11902" s="22" t="s">
        <v>8</v>
      </c>
      <c r="B11902" s="18" t="s">
        <v>15355</v>
      </c>
      <c r="C11902" s="19" t="s">
        <v>11706</v>
      </c>
      <c r="D11902" s="19" t="s">
        <v>27308</v>
      </c>
      <c r="E11902" s="19" t="s">
        <v>35044</v>
      </c>
      <c r="F11902" s="19" t="s">
        <v>36015</v>
      </c>
      <c r="G11902" s="18" t="str">
        <f>"29574"</f>
        <v>29574</v>
      </c>
      <c r="H11902" s="19" t="s">
        <v>30850</v>
      </c>
      <c r="I11902" s="20">
        <v>20.605</v>
      </c>
      <c r="J11902" s="44" t="s">
        <v>8</v>
      </c>
      <c r="K11902" s="23" t="s">
        <v>8</v>
      </c>
      <c r="L11902" s="23" t="s">
        <v>8</v>
      </c>
      <c r="M11902" s="23" t="s">
        <v>8</v>
      </c>
    </row>
    <row r="11903" spans="1:13" s="21" customFormat="1" x14ac:dyDescent="0.25">
      <c r="A11903" s="22" t="s">
        <v>8</v>
      </c>
      <c r="B11903" s="18" t="s">
        <v>15356</v>
      </c>
      <c r="C11903" s="19" t="s">
        <v>11707</v>
      </c>
      <c r="D11903" s="19" t="s">
        <v>27309</v>
      </c>
      <c r="E11903" s="19" t="s">
        <v>35045</v>
      </c>
      <c r="F11903" s="19" t="s">
        <v>36015</v>
      </c>
      <c r="G11903" s="18" t="str">
        <f>"29540"</f>
        <v>29540</v>
      </c>
      <c r="H11903" s="19" t="s">
        <v>35045</v>
      </c>
      <c r="I11903" s="20">
        <v>18.745000000000001</v>
      </c>
      <c r="J11903" s="44" t="s">
        <v>8</v>
      </c>
      <c r="K11903" s="23" t="s">
        <v>8</v>
      </c>
      <c r="L11903" s="23" t="s">
        <v>8</v>
      </c>
      <c r="M11903" s="23" t="s">
        <v>8</v>
      </c>
    </row>
    <row r="11904" spans="1:13" s="21" customFormat="1" x14ac:dyDescent="0.25">
      <c r="A11904" s="22" t="s">
        <v>8</v>
      </c>
      <c r="B11904" s="18" t="s">
        <v>15357</v>
      </c>
      <c r="C11904" s="19" t="s">
        <v>11708</v>
      </c>
      <c r="D11904" s="19" t="s">
        <v>27310</v>
      </c>
      <c r="E11904" s="19" t="s">
        <v>35046</v>
      </c>
      <c r="F11904" s="19" t="s">
        <v>36015</v>
      </c>
      <c r="G11904" s="18" t="str">
        <f>"29520"</f>
        <v>29520</v>
      </c>
      <c r="H11904" s="19" t="s">
        <v>32311</v>
      </c>
      <c r="I11904" s="20">
        <v>18.765999999999998</v>
      </c>
      <c r="J11904" s="44" t="s">
        <v>8</v>
      </c>
      <c r="K11904" s="23" t="s">
        <v>8</v>
      </c>
      <c r="L11904" s="23" t="s">
        <v>8</v>
      </c>
      <c r="M11904" s="23" t="s">
        <v>8</v>
      </c>
    </row>
    <row r="11905" spans="1:13" s="21" customFormat="1" x14ac:dyDescent="0.25">
      <c r="A11905" s="22" t="s">
        <v>8</v>
      </c>
      <c r="B11905" s="18" t="s">
        <v>15358</v>
      </c>
      <c r="C11905" s="19" t="s">
        <v>11709</v>
      </c>
      <c r="D11905" s="19" t="s">
        <v>27311</v>
      </c>
      <c r="E11905" s="19" t="s">
        <v>35047</v>
      </c>
      <c r="F11905" s="19" t="s">
        <v>36015</v>
      </c>
      <c r="G11905" s="18" t="str">
        <f>"29102"</f>
        <v>29102</v>
      </c>
      <c r="H11905" s="19" t="s">
        <v>35938</v>
      </c>
      <c r="I11905" s="20">
        <v>18.678000000000001</v>
      </c>
      <c r="J11905" s="44" t="s">
        <v>8</v>
      </c>
      <c r="K11905" s="23" t="s">
        <v>8</v>
      </c>
      <c r="L11905" s="23" t="s">
        <v>8</v>
      </c>
      <c r="M11905" s="23" t="s">
        <v>8</v>
      </c>
    </row>
    <row r="11906" spans="1:13" s="21" customFormat="1" x14ac:dyDescent="0.25">
      <c r="A11906" s="22" t="s">
        <v>8</v>
      </c>
      <c r="B11906" s="18" t="s">
        <v>15359</v>
      </c>
      <c r="C11906" s="19" t="s">
        <v>11710</v>
      </c>
      <c r="D11906" s="19" t="s">
        <v>27312</v>
      </c>
      <c r="E11906" s="19" t="s">
        <v>35048</v>
      </c>
      <c r="F11906" s="19" t="s">
        <v>36015</v>
      </c>
      <c r="G11906" s="18" t="str">
        <f>"29944"</f>
        <v>29944</v>
      </c>
      <c r="H11906" s="19" t="s">
        <v>32453</v>
      </c>
      <c r="I11906" s="20">
        <v>19.068000000000001</v>
      </c>
      <c r="J11906" s="44" t="s">
        <v>8</v>
      </c>
      <c r="K11906" s="23" t="s">
        <v>8</v>
      </c>
      <c r="L11906" s="23" t="s">
        <v>8</v>
      </c>
      <c r="M11906" s="23" t="s">
        <v>8</v>
      </c>
    </row>
    <row r="11907" spans="1:13" s="21" customFormat="1" x14ac:dyDescent="0.25">
      <c r="A11907" s="22" t="s">
        <v>8</v>
      </c>
      <c r="B11907" s="18" t="str">
        <f>"425004"</f>
        <v>425004</v>
      </c>
      <c r="C11907" s="19" t="s">
        <v>11711</v>
      </c>
      <c r="D11907" s="19" t="s">
        <v>27313</v>
      </c>
      <c r="E11907" s="19" t="s">
        <v>35049</v>
      </c>
      <c r="F11907" s="19" t="s">
        <v>36015</v>
      </c>
      <c r="G11907" s="18" t="str">
        <f>"29650"</f>
        <v>29650</v>
      </c>
      <c r="H11907" s="19" t="s">
        <v>30817</v>
      </c>
      <c r="I11907" s="20">
        <v>15.384</v>
      </c>
      <c r="J11907" s="44" t="s">
        <v>8</v>
      </c>
      <c r="K11907" s="23" t="s">
        <v>8</v>
      </c>
      <c r="L11907" s="23" t="s">
        <v>8</v>
      </c>
      <c r="M11907" s="23" t="s">
        <v>8</v>
      </c>
    </row>
    <row r="11908" spans="1:13" s="21" customFormat="1" x14ac:dyDescent="0.25">
      <c r="A11908" s="22" t="s">
        <v>8</v>
      </c>
      <c r="B11908" s="18" t="str">
        <f>"425005"</f>
        <v>425005</v>
      </c>
      <c r="C11908" s="19" t="s">
        <v>11712</v>
      </c>
      <c r="D11908" s="19" t="s">
        <v>27314</v>
      </c>
      <c r="E11908" s="19" t="s">
        <v>35046</v>
      </c>
      <c r="F11908" s="19" t="s">
        <v>36015</v>
      </c>
      <c r="G11908" s="18" t="str">
        <f>"29520"</f>
        <v>29520</v>
      </c>
      <c r="H11908" s="19" t="s">
        <v>32311</v>
      </c>
      <c r="I11908" s="20">
        <v>17.251000000000001</v>
      </c>
      <c r="J11908" s="44" t="s">
        <v>8</v>
      </c>
      <c r="K11908" s="23" t="s">
        <v>8</v>
      </c>
      <c r="L11908" s="23" t="s">
        <v>8</v>
      </c>
      <c r="M11908" s="23" t="s">
        <v>8</v>
      </c>
    </row>
    <row r="11909" spans="1:13" s="21" customFormat="1" x14ac:dyDescent="0.25">
      <c r="A11909" s="22" t="s">
        <v>8</v>
      </c>
      <c r="B11909" s="18" t="str">
        <f>"425008"</f>
        <v>425008</v>
      </c>
      <c r="C11909" s="19" t="s">
        <v>11713</v>
      </c>
      <c r="D11909" s="19" t="s">
        <v>27315</v>
      </c>
      <c r="E11909" s="19" t="s">
        <v>32076</v>
      </c>
      <c r="F11909" s="19" t="s">
        <v>36015</v>
      </c>
      <c r="G11909" s="18" t="str">
        <f>"29204"</f>
        <v>29204</v>
      </c>
      <c r="H11909" s="19" t="s">
        <v>31785</v>
      </c>
      <c r="I11909" s="20">
        <v>17.527999999999999</v>
      </c>
      <c r="J11909" s="44" t="s">
        <v>8</v>
      </c>
      <c r="K11909" s="23" t="s">
        <v>8</v>
      </c>
      <c r="L11909" s="23" t="s">
        <v>8</v>
      </c>
      <c r="M11909" s="23" t="s">
        <v>8</v>
      </c>
    </row>
    <row r="11910" spans="1:13" s="21" customFormat="1" x14ac:dyDescent="0.25">
      <c r="A11910" s="22" t="s">
        <v>8</v>
      </c>
      <c r="B11910" s="18" t="str">
        <f>"425009"</f>
        <v>425009</v>
      </c>
      <c r="C11910" s="19" t="s">
        <v>11714</v>
      </c>
      <c r="D11910" s="19" t="s">
        <v>27316</v>
      </c>
      <c r="E11910" s="19" t="s">
        <v>30829</v>
      </c>
      <c r="F11910" s="19" t="s">
        <v>36015</v>
      </c>
      <c r="G11910" s="18" t="str">
        <f>"29501"</f>
        <v>29501</v>
      </c>
      <c r="H11910" s="19" t="s">
        <v>30829</v>
      </c>
      <c r="I11910" s="20">
        <v>19.797000000000001</v>
      </c>
      <c r="J11910" s="44" t="s">
        <v>8</v>
      </c>
      <c r="K11910" s="23" t="s">
        <v>8</v>
      </c>
      <c r="L11910" s="23" t="s">
        <v>8</v>
      </c>
      <c r="M11910" s="23" t="s">
        <v>8</v>
      </c>
    </row>
    <row r="11911" spans="1:13" s="21" customFormat="1" x14ac:dyDescent="0.25">
      <c r="A11911" s="22" t="s">
        <v>8</v>
      </c>
      <c r="B11911" s="18" t="str">
        <f>"425012"</f>
        <v>425012</v>
      </c>
      <c r="C11911" s="19" t="s">
        <v>11715</v>
      </c>
      <c r="D11911" s="19" t="s">
        <v>27317</v>
      </c>
      <c r="E11911" s="19" t="s">
        <v>33554</v>
      </c>
      <c r="F11911" s="19" t="s">
        <v>36015</v>
      </c>
      <c r="G11911" s="18" t="str">
        <f>"29379"</f>
        <v>29379</v>
      </c>
      <c r="H11911" s="19" t="s">
        <v>33554</v>
      </c>
      <c r="I11911" s="20">
        <v>19.681999999999999</v>
      </c>
      <c r="J11911" s="44" t="s">
        <v>8</v>
      </c>
      <c r="K11911" s="23" t="s">
        <v>8</v>
      </c>
      <c r="L11911" s="23" t="s">
        <v>8</v>
      </c>
      <c r="M11911" s="23" t="s">
        <v>8</v>
      </c>
    </row>
    <row r="11912" spans="1:13" s="21" customFormat="1" x14ac:dyDescent="0.25">
      <c r="A11912" s="22" t="s">
        <v>8</v>
      </c>
      <c r="B11912" s="18" t="str">
        <f>"425013"</f>
        <v>425013</v>
      </c>
      <c r="C11912" s="19" t="s">
        <v>11716</v>
      </c>
      <c r="D11912" s="19" t="s">
        <v>27318</v>
      </c>
      <c r="E11912" s="19" t="s">
        <v>32076</v>
      </c>
      <c r="F11912" s="19" t="s">
        <v>36015</v>
      </c>
      <c r="G11912" s="18" t="str">
        <f>"29204"</f>
        <v>29204</v>
      </c>
      <c r="H11912" s="19" t="s">
        <v>31785</v>
      </c>
      <c r="I11912" s="20">
        <v>18.251999999999999</v>
      </c>
      <c r="J11912" s="44" t="s">
        <v>8</v>
      </c>
      <c r="K11912" s="23" t="s">
        <v>8</v>
      </c>
      <c r="L11912" s="23" t="s">
        <v>8</v>
      </c>
      <c r="M11912" s="23" t="s">
        <v>8</v>
      </c>
    </row>
    <row r="11913" spans="1:13" s="21" customFormat="1" x14ac:dyDescent="0.25">
      <c r="A11913" s="22" t="s">
        <v>8</v>
      </c>
      <c r="B11913" s="18" t="str">
        <f>"425014"</f>
        <v>425014</v>
      </c>
      <c r="C11913" s="19" t="s">
        <v>11717</v>
      </c>
      <c r="D11913" s="19" t="s">
        <v>27319</v>
      </c>
      <c r="E11913" s="19" t="s">
        <v>35050</v>
      </c>
      <c r="F11913" s="19" t="s">
        <v>36015</v>
      </c>
      <c r="G11913" s="18" t="str">
        <f>"29801"</f>
        <v>29801</v>
      </c>
      <c r="H11913" s="19" t="s">
        <v>35050</v>
      </c>
      <c r="I11913" s="20">
        <v>17.224</v>
      </c>
      <c r="J11913" s="44" t="s">
        <v>8</v>
      </c>
      <c r="K11913" s="23" t="s">
        <v>8</v>
      </c>
      <c r="L11913" s="23" t="s">
        <v>8</v>
      </c>
      <c r="M11913" s="23" t="s">
        <v>8</v>
      </c>
    </row>
    <row r="11914" spans="1:13" s="21" customFormat="1" x14ac:dyDescent="0.25">
      <c r="A11914" s="22" t="s">
        <v>8</v>
      </c>
      <c r="B11914" s="18" t="str">
        <f>"425016"</f>
        <v>425016</v>
      </c>
      <c r="C11914" s="19" t="s">
        <v>11718</v>
      </c>
      <c r="D11914" s="19" t="s">
        <v>27320</v>
      </c>
      <c r="E11914" s="19" t="s">
        <v>32202</v>
      </c>
      <c r="F11914" s="19" t="s">
        <v>36015</v>
      </c>
      <c r="G11914" s="18" t="str">
        <f>"29625"</f>
        <v>29625</v>
      </c>
      <c r="H11914" s="19" t="s">
        <v>32202</v>
      </c>
      <c r="I11914" s="20">
        <v>20.463999999999999</v>
      </c>
      <c r="J11914" s="44" t="s">
        <v>8</v>
      </c>
      <c r="K11914" s="23" t="s">
        <v>8</v>
      </c>
      <c r="L11914" s="23" t="s">
        <v>8</v>
      </c>
      <c r="M11914" s="23" t="s">
        <v>8</v>
      </c>
    </row>
    <row r="11915" spans="1:13" s="21" customFormat="1" x14ac:dyDescent="0.25">
      <c r="A11915" s="22" t="s">
        <v>8</v>
      </c>
      <c r="B11915" s="18" t="str">
        <f>"425017"</f>
        <v>425017</v>
      </c>
      <c r="C11915" s="19" t="s">
        <v>11719</v>
      </c>
      <c r="D11915" s="19" t="s">
        <v>27321</v>
      </c>
      <c r="E11915" s="19" t="s">
        <v>31184</v>
      </c>
      <c r="F11915" s="19" t="s">
        <v>36015</v>
      </c>
      <c r="G11915" s="18" t="str">
        <f>"29720"</f>
        <v>29720</v>
      </c>
      <c r="H11915" s="19" t="s">
        <v>31184</v>
      </c>
      <c r="I11915" s="20">
        <v>23.97</v>
      </c>
      <c r="J11915" s="44" t="s">
        <v>8</v>
      </c>
      <c r="K11915" s="23" t="s">
        <v>8</v>
      </c>
      <c r="L11915" s="23" t="s">
        <v>8</v>
      </c>
      <c r="M11915" s="23" t="s">
        <v>8</v>
      </c>
    </row>
    <row r="11916" spans="1:13" s="21" customFormat="1" x14ac:dyDescent="0.25">
      <c r="A11916" s="22" t="s">
        <v>8</v>
      </c>
      <c r="B11916" s="18" t="str">
        <f>"425018"</f>
        <v>425018</v>
      </c>
      <c r="C11916" s="19" t="s">
        <v>11720</v>
      </c>
      <c r="D11916" s="19" t="s">
        <v>27322</v>
      </c>
      <c r="E11916" s="19" t="s">
        <v>35051</v>
      </c>
      <c r="F11916" s="19" t="s">
        <v>36015</v>
      </c>
      <c r="G11916" s="18" t="str">
        <f>"29640"</f>
        <v>29640</v>
      </c>
      <c r="H11916" s="19" t="s">
        <v>35058</v>
      </c>
      <c r="I11916" s="20">
        <v>20.015000000000001</v>
      </c>
      <c r="J11916" s="44" t="s">
        <v>8</v>
      </c>
      <c r="K11916" s="23" t="s">
        <v>8</v>
      </c>
      <c r="L11916" s="23" t="s">
        <v>8</v>
      </c>
      <c r="M11916" s="23" t="s">
        <v>8</v>
      </c>
    </row>
    <row r="11917" spans="1:13" s="21" customFormat="1" x14ac:dyDescent="0.25">
      <c r="A11917" s="22" t="s">
        <v>8</v>
      </c>
      <c r="B11917" s="18" t="str">
        <f>"425024"</f>
        <v>425024</v>
      </c>
      <c r="C11917" s="19" t="s">
        <v>11721</v>
      </c>
      <c r="D11917" s="19" t="s">
        <v>27323</v>
      </c>
      <c r="E11917" s="19" t="s">
        <v>35052</v>
      </c>
      <c r="F11917" s="19" t="s">
        <v>36015</v>
      </c>
      <c r="G11917" s="18" t="str">
        <f>"29303"</f>
        <v>29303</v>
      </c>
      <c r="H11917" s="19" t="s">
        <v>35052</v>
      </c>
      <c r="I11917" s="20">
        <v>18.777999999999999</v>
      </c>
      <c r="J11917" s="44" t="s">
        <v>8</v>
      </c>
      <c r="K11917" s="23" t="s">
        <v>8</v>
      </c>
      <c r="L11917" s="23" t="s">
        <v>8</v>
      </c>
      <c r="M11917" s="23" t="s">
        <v>8</v>
      </c>
    </row>
    <row r="11918" spans="1:13" s="21" customFormat="1" x14ac:dyDescent="0.25">
      <c r="A11918" s="22" t="s">
        <v>8</v>
      </c>
      <c r="B11918" s="18" t="str">
        <f>"425027"</f>
        <v>425027</v>
      </c>
      <c r="C11918" s="19" t="s">
        <v>11722</v>
      </c>
      <c r="D11918" s="19" t="s">
        <v>27324</v>
      </c>
      <c r="E11918" s="19" t="s">
        <v>35052</v>
      </c>
      <c r="F11918" s="19" t="s">
        <v>36015</v>
      </c>
      <c r="G11918" s="18" t="str">
        <f>"29302"</f>
        <v>29302</v>
      </c>
      <c r="H11918" s="19" t="s">
        <v>35052</v>
      </c>
      <c r="I11918" s="20">
        <v>18.291</v>
      </c>
      <c r="J11918" s="44" t="s">
        <v>8</v>
      </c>
      <c r="K11918" s="23" t="s">
        <v>8</v>
      </c>
      <c r="L11918" s="23" t="s">
        <v>8</v>
      </c>
      <c r="M11918" s="23" t="s">
        <v>8</v>
      </c>
    </row>
    <row r="11919" spans="1:13" s="21" customFormat="1" x14ac:dyDescent="0.25">
      <c r="A11919" s="22" t="s">
        <v>8</v>
      </c>
      <c r="B11919" s="18" t="str">
        <f>"425032"</f>
        <v>425032</v>
      </c>
      <c r="C11919" s="19" t="s">
        <v>11723</v>
      </c>
      <c r="D11919" s="19" t="s">
        <v>27325</v>
      </c>
      <c r="E11919" s="19" t="s">
        <v>32636</v>
      </c>
      <c r="F11919" s="19" t="s">
        <v>36015</v>
      </c>
      <c r="G11919" s="18" t="str">
        <f>"29349"</f>
        <v>29349</v>
      </c>
      <c r="H11919" s="19" t="s">
        <v>35052</v>
      </c>
      <c r="I11919" s="20">
        <v>19.978000000000002</v>
      </c>
      <c r="J11919" s="44" t="s">
        <v>8</v>
      </c>
      <c r="K11919" s="23" t="s">
        <v>8</v>
      </c>
      <c r="L11919" s="23" t="s">
        <v>8</v>
      </c>
      <c r="M11919" s="23" t="s">
        <v>8</v>
      </c>
    </row>
    <row r="11920" spans="1:13" s="21" customFormat="1" x14ac:dyDescent="0.25">
      <c r="A11920" s="22" t="s">
        <v>8</v>
      </c>
      <c r="B11920" s="18" t="str">
        <f>"425035"</f>
        <v>425035</v>
      </c>
      <c r="C11920" s="19" t="s">
        <v>11724</v>
      </c>
      <c r="D11920" s="19" t="s">
        <v>27326</v>
      </c>
      <c r="E11920" s="19" t="s">
        <v>35042</v>
      </c>
      <c r="F11920" s="19" t="s">
        <v>36015</v>
      </c>
      <c r="G11920" s="18" t="str">
        <f>"29108"</f>
        <v>29108</v>
      </c>
      <c r="H11920" s="19" t="s">
        <v>35042</v>
      </c>
      <c r="I11920" s="20">
        <v>18.344999999999999</v>
      </c>
      <c r="J11920" s="44" t="s">
        <v>8</v>
      </c>
      <c r="K11920" s="23" t="s">
        <v>8</v>
      </c>
      <c r="L11920" s="23" t="s">
        <v>8</v>
      </c>
      <c r="M11920" s="23" t="s">
        <v>8</v>
      </c>
    </row>
    <row r="11921" spans="1:13" s="21" customFormat="1" x14ac:dyDescent="0.25">
      <c r="A11921" s="22" t="s">
        <v>8</v>
      </c>
      <c r="B11921" s="18" t="str">
        <f>"425042"</f>
        <v>425042</v>
      </c>
      <c r="C11921" s="19" t="s">
        <v>11725</v>
      </c>
      <c r="D11921" s="19" t="s">
        <v>27327</v>
      </c>
      <c r="E11921" s="19" t="s">
        <v>30817</v>
      </c>
      <c r="F11921" s="19" t="s">
        <v>36015</v>
      </c>
      <c r="G11921" s="18" t="str">
        <f>"29609"</f>
        <v>29609</v>
      </c>
      <c r="H11921" s="19" t="s">
        <v>30817</v>
      </c>
      <c r="I11921" s="20">
        <v>21.498000000000001</v>
      </c>
      <c r="J11921" s="44" t="s">
        <v>8</v>
      </c>
      <c r="K11921" s="23" t="s">
        <v>8</v>
      </c>
      <c r="L11921" s="23" t="s">
        <v>8</v>
      </c>
      <c r="M11921" s="23" t="s">
        <v>8</v>
      </c>
    </row>
    <row r="11922" spans="1:13" s="21" customFormat="1" x14ac:dyDescent="0.25">
      <c r="A11922" s="22" t="s">
        <v>8</v>
      </c>
      <c r="B11922" s="18" t="str">
        <f>"425047"</f>
        <v>425047</v>
      </c>
      <c r="C11922" s="19" t="s">
        <v>11726</v>
      </c>
      <c r="D11922" s="19" t="s">
        <v>27328</v>
      </c>
      <c r="E11922" s="19" t="s">
        <v>32202</v>
      </c>
      <c r="F11922" s="19" t="s">
        <v>36015</v>
      </c>
      <c r="G11922" s="18" t="str">
        <f>"29624"</f>
        <v>29624</v>
      </c>
      <c r="H11922" s="19" t="s">
        <v>32202</v>
      </c>
      <c r="I11922" s="20">
        <v>21.591999999999999</v>
      </c>
      <c r="J11922" s="44" t="s">
        <v>8</v>
      </c>
      <c r="K11922" s="23" t="s">
        <v>8</v>
      </c>
      <c r="L11922" s="23" t="s">
        <v>8</v>
      </c>
      <c r="M11922" s="23" t="s">
        <v>8</v>
      </c>
    </row>
    <row r="11923" spans="1:13" s="21" customFormat="1" x14ac:dyDescent="0.25">
      <c r="A11923" s="22" t="s">
        <v>8</v>
      </c>
      <c r="B11923" s="18" t="str">
        <f>"425048"</f>
        <v>425048</v>
      </c>
      <c r="C11923" s="19" t="s">
        <v>11727</v>
      </c>
      <c r="D11923" s="19" t="s">
        <v>27329</v>
      </c>
      <c r="E11923" s="19" t="s">
        <v>31495</v>
      </c>
      <c r="F11923" s="19" t="s">
        <v>36015</v>
      </c>
      <c r="G11923" s="18" t="str">
        <f>"29440"</f>
        <v>29440</v>
      </c>
      <c r="H11923" s="19" t="s">
        <v>31495</v>
      </c>
      <c r="I11923" s="20">
        <v>19.962</v>
      </c>
      <c r="J11923" s="44" t="s">
        <v>8</v>
      </c>
      <c r="K11923" s="23" t="s">
        <v>8</v>
      </c>
      <c r="L11923" s="23" t="s">
        <v>8</v>
      </c>
      <c r="M11923" s="23" t="s">
        <v>8</v>
      </c>
    </row>
    <row r="11924" spans="1:13" s="21" customFormat="1" x14ac:dyDescent="0.25">
      <c r="A11924" s="22" t="s">
        <v>8</v>
      </c>
      <c r="B11924" s="18" t="str">
        <f>"425052"</f>
        <v>425052</v>
      </c>
      <c r="C11924" s="19" t="s">
        <v>11728</v>
      </c>
      <c r="D11924" s="19" t="s">
        <v>27330</v>
      </c>
      <c r="E11924" s="19" t="s">
        <v>32202</v>
      </c>
      <c r="F11924" s="19" t="s">
        <v>36015</v>
      </c>
      <c r="G11924" s="18" t="str">
        <f>"29621"</f>
        <v>29621</v>
      </c>
      <c r="H11924" s="19" t="s">
        <v>32202</v>
      </c>
      <c r="I11924" s="20">
        <v>19.026</v>
      </c>
      <c r="J11924" s="44" t="s">
        <v>8</v>
      </c>
      <c r="K11924" s="23" t="s">
        <v>8</v>
      </c>
      <c r="L11924" s="23" t="s">
        <v>8</v>
      </c>
      <c r="M11924" s="23" t="s">
        <v>8</v>
      </c>
    </row>
    <row r="11925" spans="1:13" s="21" customFormat="1" x14ac:dyDescent="0.25">
      <c r="A11925" s="22" t="s">
        <v>8</v>
      </c>
      <c r="B11925" s="18" t="str">
        <f>"425053"</f>
        <v>425053</v>
      </c>
      <c r="C11925" s="19" t="s">
        <v>11729</v>
      </c>
      <c r="D11925" s="19" t="s">
        <v>27331</v>
      </c>
      <c r="E11925" s="19" t="s">
        <v>35053</v>
      </c>
      <c r="F11925" s="19" t="s">
        <v>36015</v>
      </c>
      <c r="G11925" s="18" t="str">
        <f>"29488"</f>
        <v>29488</v>
      </c>
      <c r="H11925" s="19" t="s">
        <v>36744</v>
      </c>
      <c r="I11925" s="20">
        <v>18.436</v>
      </c>
      <c r="J11925" s="44" t="s">
        <v>8</v>
      </c>
      <c r="K11925" s="23" t="s">
        <v>8</v>
      </c>
      <c r="L11925" s="23" t="s">
        <v>8</v>
      </c>
      <c r="M11925" s="23" t="s">
        <v>8</v>
      </c>
    </row>
    <row r="11926" spans="1:13" s="21" customFormat="1" x14ac:dyDescent="0.25">
      <c r="A11926" s="22" t="s">
        <v>8</v>
      </c>
      <c r="B11926" s="18" t="str">
        <f>"425054"</f>
        <v>425054</v>
      </c>
      <c r="C11926" s="19" t="s">
        <v>11730</v>
      </c>
      <c r="D11926" s="19" t="s">
        <v>27332</v>
      </c>
      <c r="E11926" s="19" t="s">
        <v>32386</v>
      </c>
      <c r="F11926" s="19" t="s">
        <v>36015</v>
      </c>
      <c r="G11926" s="18" t="str">
        <f>"29360"</f>
        <v>29360</v>
      </c>
      <c r="H11926" s="19" t="s">
        <v>32386</v>
      </c>
      <c r="I11926" s="20">
        <v>15.688000000000001</v>
      </c>
      <c r="J11926" s="44" t="s">
        <v>8</v>
      </c>
      <c r="K11926" s="23" t="s">
        <v>8</v>
      </c>
      <c r="L11926" s="23" t="s">
        <v>8</v>
      </c>
      <c r="M11926" s="23" t="s">
        <v>8</v>
      </c>
    </row>
    <row r="11927" spans="1:13" s="21" customFormat="1" x14ac:dyDescent="0.25">
      <c r="A11927" s="22" t="s">
        <v>8</v>
      </c>
      <c r="B11927" s="18" t="str">
        <f>"425055"</f>
        <v>425055</v>
      </c>
      <c r="C11927" s="19" t="s">
        <v>11731</v>
      </c>
      <c r="D11927" s="19" t="s">
        <v>27333</v>
      </c>
      <c r="E11927" s="19" t="s">
        <v>35054</v>
      </c>
      <c r="F11927" s="19" t="s">
        <v>36015</v>
      </c>
      <c r="G11927" s="18" t="str">
        <f>"29115"</f>
        <v>29115</v>
      </c>
      <c r="H11927" s="19" t="s">
        <v>35054</v>
      </c>
      <c r="I11927" s="20">
        <v>18.433</v>
      </c>
      <c r="J11927" s="44" t="s">
        <v>8</v>
      </c>
      <c r="K11927" s="23" t="s">
        <v>8</v>
      </c>
      <c r="L11927" s="23" t="s">
        <v>8</v>
      </c>
      <c r="M11927" s="23" t="s">
        <v>8</v>
      </c>
    </row>
    <row r="11928" spans="1:13" s="21" customFormat="1" x14ac:dyDescent="0.25">
      <c r="A11928" s="22" t="s">
        <v>8</v>
      </c>
      <c r="B11928" s="18" t="str">
        <f>"425057"</f>
        <v>425057</v>
      </c>
      <c r="C11928" s="19" t="s">
        <v>11732</v>
      </c>
      <c r="D11928" s="19" t="s">
        <v>27334</v>
      </c>
      <c r="E11928" s="19" t="s">
        <v>30909</v>
      </c>
      <c r="F11928" s="19" t="s">
        <v>36015</v>
      </c>
      <c r="G11928" s="18" t="str">
        <f>"29620"</f>
        <v>29620</v>
      </c>
      <c r="H11928" s="19" t="s">
        <v>30909</v>
      </c>
      <c r="I11928" s="20">
        <v>17.571000000000002</v>
      </c>
      <c r="J11928" s="44" t="s">
        <v>8</v>
      </c>
      <c r="K11928" s="23" t="s">
        <v>8</v>
      </c>
      <c r="L11928" s="23" t="s">
        <v>8</v>
      </c>
      <c r="M11928" s="23" t="s">
        <v>8</v>
      </c>
    </row>
    <row r="11929" spans="1:13" s="21" customFormat="1" x14ac:dyDescent="0.25">
      <c r="A11929" s="22" t="s">
        <v>8</v>
      </c>
      <c r="B11929" s="18" t="str">
        <f>"425061"</f>
        <v>425061</v>
      </c>
      <c r="C11929" s="19" t="s">
        <v>11733</v>
      </c>
      <c r="D11929" s="19" t="s">
        <v>27335</v>
      </c>
      <c r="E11929" s="19" t="s">
        <v>31396</v>
      </c>
      <c r="F11929" s="19" t="s">
        <v>36015</v>
      </c>
      <c r="G11929" s="18" t="str">
        <f>"29706"</f>
        <v>29706</v>
      </c>
      <c r="H11929" s="19" t="s">
        <v>31396</v>
      </c>
      <c r="I11929" s="20">
        <v>19.824000000000002</v>
      </c>
      <c r="J11929" s="44" t="s">
        <v>8</v>
      </c>
      <c r="K11929" s="23" t="s">
        <v>8</v>
      </c>
      <c r="L11929" s="23" t="s">
        <v>8</v>
      </c>
      <c r="M11929" s="23" t="s">
        <v>8</v>
      </c>
    </row>
    <row r="11930" spans="1:13" s="21" customFormat="1" x14ac:dyDescent="0.25">
      <c r="A11930" s="22" t="s">
        <v>8</v>
      </c>
      <c r="B11930" s="18" t="str">
        <f>"425062"</f>
        <v>425062</v>
      </c>
      <c r="C11930" s="19" t="s">
        <v>11734</v>
      </c>
      <c r="D11930" s="19" t="s">
        <v>27336</v>
      </c>
      <c r="E11930" s="19" t="s">
        <v>35055</v>
      </c>
      <c r="F11930" s="19" t="s">
        <v>36015</v>
      </c>
      <c r="G11930" s="18" t="str">
        <f>"29340"</f>
        <v>29340</v>
      </c>
      <c r="H11930" s="19" t="s">
        <v>32436</v>
      </c>
      <c r="I11930" s="20">
        <v>22.187000000000001</v>
      </c>
      <c r="J11930" s="44" t="s">
        <v>8</v>
      </c>
      <c r="K11930" s="23" t="s">
        <v>8</v>
      </c>
      <c r="L11930" s="23" t="s">
        <v>8</v>
      </c>
      <c r="M11930" s="23" t="s">
        <v>8</v>
      </c>
    </row>
    <row r="11931" spans="1:13" s="21" customFormat="1" x14ac:dyDescent="0.25">
      <c r="A11931" s="22" t="s">
        <v>8</v>
      </c>
      <c r="B11931" s="18" t="str">
        <f>"425063"</f>
        <v>425063</v>
      </c>
      <c r="C11931" s="19" t="s">
        <v>11735</v>
      </c>
      <c r="D11931" s="19" t="s">
        <v>27337</v>
      </c>
      <c r="E11931" s="19" t="s">
        <v>32204</v>
      </c>
      <c r="F11931" s="19" t="s">
        <v>36015</v>
      </c>
      <c r="G11931" s="18" t="str">
        <f>"29646"</f>
        <v>29646</v>
      </c>
      <c r="H11931" s="19" t="s">
        <v>32204</v>
      </c>
      <c r="I11931" s="20">
        <v>17.71</v>
      </c>
      <c r="J11931" s="44" t="s">
        <v>8</v>
      </c>
      <c r="K11931" s="23" t="s">
        <v>8</v>
      </c>
      <c r="L11931" s="23" t="s">
        <v>8</v>
      </c>
      <c r="M11931" s="23" t="s">
        <v>8</v>
      </c>
    </row>
    <row r="11932" spans="1:13" s="21" customFormat="1" x14ac:dyDescent="0.25">
      <c r="A11932" s="22" t="s">
        <v>8</v>
      </c>
      <c r="B11932" s="18" t="str">
        <f>"425064"</f>
        <v>425064</v>
      </c>
      <c r="C11932" s="19" t="s">
        <v>11736</v>
      </c>
      <c r="D11932" s="19" t="s">
        <v>27338</v>
      </c>
      <c r="E11932" s="19" t="s">
        <v>35045</v>
      </c>
      <c r="F11932" s="19" t="s">
        <v>36015</v>
      </c>
      <c r="G11932" s="18" t="str">
        <f>"29532"</f>
        <v>29532</v>
      </c>
      <c r="H11932" s="19" t="s">
        <v>35045</v>
      </c>
      <c r="I11932" s="20">
        <v>20.158000000000001</v>
      </c>
      <c r="J11932" s="44" t="s">
        <v>8</v>
      </c>
      <c r="K11932" s="23" t="s">
        <v>8</v>
      </c>
      <c r="L11932" s="23" t="s">
        <v>8</v>
      </c>
      <c r="M11932" s="23" t="s">
        <v>8</v>
      </c>
    </row>
    <row r="11933" spans="1:13" s="21" customFormat="1" x14ac:dyDescent="0.25">
      <c r="A11933" s="22" t="s">
        <v>8</v>
      </c>
      <c r="B11933" s="18" t="str">
        <f>"425067"</f>
        <v>425067</v>
      </c>
      <c r="C11933" s="19" t="s">
        <v>11737</v>
      </c>
      <c r="D11933" s="19" t="s">
        <v>27339</v>
      </c>
      <c r="E11933" s="19" t="s">
        <v>35056</v>
      </c>
      <c r="F11933" s="19" t="s">
        <v>36015</v>
      </c>
      <c r="G11933" s="18" t="str">
        <f>"29901"</f>
        <v>29901</v>
      </c>
      <c r="H11933" s="19" t="s">
        <v>35056</v>
      </c>
      <c r="I11933" s="20">
        <v>18.347999999999999</v>
      </c>
      <c r="J11933" s="44" t="s">
        <v>8</v>
      </c>
      <c r="K11933" s="23" t="s">
        <v>8</v>
      </c>
      <c r="L11933" s="23" t="s">
        <v>8</v>
      </c>
      <c r="M11933" s="23" t="s">
        <v>8</v>
      </c>
    </row>
    <row r="11934" spans="1:13" s="21" customFormat="1" x14ac:dyDescent="0.25">
      <c r="A11934" s="22" t="s">
        <v>8</v>
      </c>
      <c r="B11934" s="18" t="str">
        <f>"425068"</f>
        <v>425068</v>
      </c>
      <c r="C11934" s="19" t="s">
        <v>11738</v>
      </c>
      <c r="D11934" s="19" t="s">
        <v>27340</v>
      </c>
      <c r="E11934" s="19" t="s">
        <v>32076</v>
      </c>
      <c r="F11934" s="19" t="s">
        <v>36015</v>
      </c>
      <c r="G11934" s="18" t="str">
        <f>"29204"</f>
        <v>29204</v>
      </c>
      <c r="H11934" s="19" t="s">
        <v>31785</v>
      </c>
      <c r="I11934" s="20">
        <v>18.466999999999999</v>
      </c>
      <c r="J11934" s="44" t="s">
        <v>8</v>
      </c>
      <c r="K11934" s="23" t="s">
        <v>8</v>
      </c>
      <c r="L11934" s="23" t="s">
        <v>8</v>
      </c>
      <c r="M11934" s="23" t="s">
        <v>8</v>
      </c>
    </row>
    <row r="11935" spans="1:13" s="21" customFormat="1" x14ac:dyDescent="0.25">
      <c r="A11935" s="22" t="s">
        <v>8</v>
      </c>
      <c r="B11935" s="18" t="str">
        <f>"425070"</f>
        <v>425070</v>
      </c>
      <c r="C11935" s="19" t="s">
        <v>11739</v>
      </c>
      <c r="D11935" s="19" t="s">
        <v>27341</v>
      </c>
      <c r="E11935" s="19" t="s">
        <v>35057</v>
      </c>
      <c r="F11935" s="19" t="s">
        <v>36015</v>
      </c>
      <c r="G11935" s="18" t="str">
        <f>"29572"</f>
        <v>29572</v>
      </c>
      <c r="H11935" s="19" t="s">
        <v>36745</v>
      </c>
      <c r="I11935" s="20">
        <v>26.943000000000001</v>
      </c>
      <c r="J11935" s="44" t="s">
        <v>8</v>
      </c>
      <c r="K11935" s="23" t="s">
        <v>8</v>
      </c>
      <c r="L11935" s="23" t="s">
        <v>8</v>
      </c>
      <c r="M11935" s="23" t="s">
        <v>8</v>
      </c>
    </row>
    <row r="11936" spans="1:13" s="21" customFormat="1" x14ac:dyDescent="0.25">
      <c r="A11936" s="22" t="s">
        <v>8</v>
      </c>
      <c r="B11936" s="18" t="str">
        <f>"425071"</f>
        <v>425071</v>
      </c>
      <c r="C11936" s="19" t="s">
        <v>11740</v>
      </c>
      <c r="D11936" s="19" t="s">
        <v>27342</v>
      </c>
      <c r="E11936" s="19" t="s">
        <v>31081</v>
      </c>
      <c r="F11936" s="19" t="s">
        <v>36015</v>
      </c>
      <c r="G11936" s="18" t="str">
        <f>"29325"</f>
        <v>29325</v>
      </c>
      <c r="H11936" s="19" t="s">
        <v>32386</v>
      </c>
      <c r="I11936" s="20">
        <v>15.268000000000001</v>
      </c>
      <c r="J11936" s="44" t="s">
        <v>8</v>
      </c>
      <c r="K11936" s="23" t="s">
        <v>8</v>
      </c>
      <c r="L11936" s="23" t="s">
        <v>8</v>
      </c>
      <c r="M11936" s="23" t="s">
        <v>8</v>
      </c>
    </row>
    <row r="11937" spans="1:13" s="21" customFormat="1" x14ac:dyDescent="0.25">
      <c r="A11937" s="22" t="s">
        <v>8</v>
      </c>
      <c r="B11937" s="18" t="str">
        <f>"425074"</f>
        <v>425074</v>
      </c>
      <c r="C11937" s="19" t="s">
        <v>11741</v>
      </c>
      <c r="D11937" s="19" t="s">
        <v>27343</v>
      </c>
      <c r="E11937" s="19" t="s">
        <v>32076</v>
      </c>
      <c r="F11937" s="19" t="s">
        <v>36015</v>
      </c>
      <c r="G11937" s="18" t="str">
        <f>"29203"</f>
        <v>29203</v>
      </c>
      <c r="H11937" s="19" t="s">
        <v>31785</v>
      </c>
      <c r="I11937" s="20">
        <v>18.899999999999999</v>
      </c>
      <c r="J11937" s="44" t="s">
        <v>8</v>
      </c>
      <c r="K11937" s="23" t="s">
        <v>8</v>
      </c>
      <c r="L11937" s="23" t="s">
        <v>8</v>
      </c>
      <c r="M11937" s="23" t="s">
        <v>8</v>
      </c>
    </row>
    <row r="11938" spans="1:13" s="21" customFormat="1" x14ac:dyDescent="0.25">
      <c r="A11938" s="22" t="s">
        <v>8</v>
      </c>
      <c r="B11938" s="18" t="str">
        <f>"425075"</f>
        <v>425075</v>
      </c>
      <c r="C11938" s="19" t="s">
        <v>11742</v>
      </c>
      <c r="D11938" s="19" t="s">
        <v>27344</v>
      </c>
      <c r="E11938" s="19" t="s">
        <v>32641</v>
      </c>
      <c r="F11938" s="19" t="s">
        <v>36015</v>
      </c>
      <c r="G11938" s="18" t="str">
        <f>"29672"</f>
        <v>29672</v>
      </c>
      <c r="H11938" s="19" t="s">
        <v>31748</v>
      </c>
      <c r="I11938" s="20">
        <v>14.923</v>
      </c>
      <c r="J11938" s="44" t="s">
        <v>8</v>
      </c>
      <c r="K11938" s="23" t="s">
        <v>8</v>
      </c>
      <c r="L11938" s="23" t="s">
        <v>8</v>
      </c>
      <c r="M11938" s="23" t="s">
        <v>8</v>
      </c>
    </row>
    <row r="11939" spans="1:13" s="21" customFormat="1" x14ac:dyDescent="0.25">
      <c r="A11939" s="22" t="s">
        <v>8</v>
      </c>
      <c r="B11939" s="18" t="str">
        <f>"425077"</f>
        <v>425077</v>
      </c>
      <c r="C11939" s="19" t="s">
        <v>11743</v>
      </c>
      <c r="D11939" s="19" t="s">
        <v>27345</v>
      </c>
      <c r="E11939" s="19" t="s">
        <v>35042</v>
      </c>
      <c r="F11939" s="19" t="s">
        <v>36015</v>
      </c>
      <c r="G11939" s="18" t="str">
        <f>"29108"</f>
        <v>29108</v>
      </c>
      <c r="H11939" s="19" t="s">
        <v>35042</v>
      </c>
      <c r="I11939" s="20">
        <v>19.170000000000002</v>
      </c>
      <c r="J11939" s="44" t="s">
        <v>8</v>
      </c>
      <c r="K11939" s="23" t="s">
        <v>8</v>
      </c>
      <c r="L11939" s="23" t="s">
        <v>8</v>
      </c>
      <c r="M11939" s="23" t="s">
        <v>8</v>
      </c>
    </row>
    <row r="11940" spans="1:13" s="21" customFormat="1" x14ac:dyDescent="0.25">
      <c r="A11940" s="22" t="s">
        <v>8</v>
      </c>
      <c r="B11940" s="18" t="str">
        <f>"425078"</f>
        <v>425078</v>
      </c>
      <c r="C11940" s="19" t="s">
        <v>11744</v>
      </c>
      <c r="D11940" s="19" t="s">
        <v>27346</v>
      </c>
      <c r="E11940" s="19" t="s">
        <v>32204</v>
      </c>
      <c r="F11940" s="19" t="s">
        <v>36015</v>
      </c>
      <c r="G11940" s="18" t="str">
        <f>"29646"</f>
        <v>29646</v>
      </c>
      <c r="H11940" s="19" t="s">
        <v>32204</v>
      </c>
      <c r="I11940" s="20">
        <v>16.667000000000002</v>
      </c>
      <c r="J11940" s="44" t="s">
        <v>8</v>
      </c>
      <c r="K11940" s="23" t="s">
        <v>8</v>
      </c>
      <c r="L11940" s="23" t="s">
        <v>8</v>
      </c>
      <c r="M11940" s="23" t="s">
        <v>8</v>
      </c>
    </row>
    <row r="11941" spans="1:13" s="21" customFormat="1" x14ac:dyDescent="0.25">
      <c r="A11941" s="22" t="s">
        <v>8</v>
      </c>
      <c r="B11941" s="18" t="str">
        <f>"425080"</f>
        <v>425080</v>
      </c>
      <c r="C11941" s="19" t="s">
        <v>11745</v>
      </c>
      <c r="D11941" s="19" t="s">
        <v>27347</v>
      </c>
      <c r="E11941" s="19" t="s">
        <v>30910</v>
      </c>
      <c r="F11941" s="19" t="s">
        <v>36015</v>
      </c>
      <c r="G11941" s="18" t="str">
        <f>"29020"</f>
        <v>29020</v>
      </c>
      <c r="H11941" s="19" t="s">
        <v>36746</v>
      </c>
      <c r="I11941" s="20">
        <v>17.117999999999999</v>
      </c>
      <c r="J11941" s="44" t="s">
        <v>8</v>
      </c>
      <c r="K11941" s="23" t="s">
        <v>8</v>
      </c>
      <c r="L11941" s="23" t="s">
        <v>8</v>
      </c>
      <c r="M11941" s="23" t="s">
        <v>8</v>
      </c>
    </row>
    <row r="11942" spans="1:13" s="21" customFormat="1" x14ac:dyDescent="0.25">
      <c r="A11942" s="22" t="s">
        <v>8</v>
      </c>
      <c r="B11942" s="18" t="str">
        <f>"425081"</f>
        <v>425081</v>
      </c>
      <c r="C11942" s="19" t="s">
        <v>11746</v>
      </c>
      <c r="D11942" s="19" t="s">
        <v>27348</v>
      </c>
      <c r="E11942" s="19" t="s">
        <v>34318</v>
      </c>
      <c r="F11942" s="19" t="s">
        <v>36015</v>
      </c>
      <c r="G11942" s="18" t="str">
        <f>"29138"</f>
        <v>29138</v>
      </c>
      <c r="H11942" s="19" t="s">
        <v>34318</v>
      </c>
      <c r="I11942" s="20">
        <v>16.661000000000001</v>
      </c>
      <c r="J11942" s="44" t="s">
        <v>8</v>
      </c>
      <c r="K11942" s="23" t="s">
        <v>8</v>
      </c>
      <c r="L11942" s="23" t="s">
        <v>8</v>
      </c>
      <c r="M11942" s="23" t="s">
        <v>8</v>
      </c>
    </row>
    <row r="11943" spans="1:13" s="21" customFormat="1" x14ac:dyDescent="0.25">
      <c r="A11943" s="22" t="s">
        <v>8</v>
      </c>
      <c r="B11943" s="18" t="str">
        <f>"425082"</f>
        <v>425082</v>
      </c>
      <c r="C11943" s="19" t="s">
        <v>11747</v>
      </c>
      <c r="D11943" s="19" t="s">
        <v>27349</v>
      </c>
      <c r="E11943" s="19" t="s">
        <v>31091</v>
      </c>
      <c r="F11943" s="19" t="s">
        <v>36015</v>
      </c>
      <c r="G11943" s="18" t="str">
        <f>"29405"</f>
        <v>29405</v>
      </c>
      <c r="H11943" s="19" t="s">
        <v>31091</v>
      </c>
      <c r="I11943" s="20">
        <v>19.962</v>
      </c>
      <c r="J11943" s="44" t="s">
        <v>8</v>
      </c>
      <c r="K11943" s="23" t="s">
        <v>8</v>
      </c>
      <c r="L11943" s="23" t="s">
        <v>8</v>
      </c>
      <c r="M11943" s="23" t="s">
        <v>8</v>
      </c>
    </row>
    <row r="11944" spans="1:13" s="21" customFormat="1" x14ac:dyDescent="0.25">
      <c r="A11944" s="22" t="s">
        <v>8</v>
      </c>
      <c r="B11944" s="18" t="str">
        <f>"425084"</f>
        <v>425084</v>
      </c>
      <c r="C11944" s="19" t="s">
        <v>11748</v>
      </c>
      <c r="D11944" s="19" t="s">
        <v>27350</v>
      </c>
      <c r="E11944" s="19" t="s">
        <v>35058</v>
      </c>
      <c r="F11944" s="19" t="s">
        <v>36015</v>
      </c>
      <c r="G11944" s="18" t="str">
        <f>"29671"</f>
        <v>29671</v>
      </c>
      <c r="H11944" s="19" t="s">
        <v>35058</v>
      </c>
      <c r="I11944" s="20">
        <v>19.818999999999999</v>
      </c>
      <c r="J11944" s="44" t="s">
        <v>8</v>
      </c>
      <c r="K11944" s="23" t="s">
        <v>8</v>
      </c>
      <c r="L11944" s="23" t="s">
        <v>8</v>
      </c>
      <c r="M11944" s="23" t="s">
        <v>8</v>
      </c>
    </row>
    <row r="11945" spans="1:13" s="21" customFormat="1" x14ac:dyDescent="0.25">
      <c r="A11945" s="22" t="s">
        <v>8</v>
      </c>
      <c r="B11945" s="18" t="str">
        <f>"425085"</f>
        <v>425085</v>
      </c>
      <c r="C11945" s="19" t="s">
        <v>11749</v>
      </c>
      <c r="D11945" s="19" t="s">
        <v>27351</v>
      </c>
      <c r="E11945" s="19" t="s">
        <v>35054</v>
      </c>
      <c r="F11945" s="19" t="s">
        <v>36015</v>
      </c>
      <c r="G11945" s="18" t="str">
        <f>"29115"</f>
        <v>29115</v>
      </c>
      <c r="H11945" s="19" t="s">
        <v>35054</v>
      </c>
      <c r="I11945" s="20">
        <v>25.344000000000001</v>
      </c>
      <c r="J11945" s="44" t="s">
        <v>8</v>
      </c>
      <c r="K11945" s="23" t="s">
        <v>8</v>
      </c>
      <c r="L11945" s="23" t="s">
        <v>8</v>
      </c>
      <c r="M11945" s="23" t="s">
        <v>8</v>
      </c>
    </row>
    <row r="11946" spans="1:13" s="21" customFormat="1" x14ac:dyDescent="0.25">
      <c r="A11946" s="22" t="s">
        <v>8</v>
      </c>
      <c r="B11946" s="18" t="str">
        <f>"425086"</f>
        <v>425086</v>
      </c>
      <c r="C11946" s="19" t="s">
        <v>11750</v>
      </c>
      <c r="D11946" s="19" t="s">
        <v>27352</v>
      </c>
      <c r="E11946" s="19" t="s">
        <v>35059</v>
      </c>
      <c r="F11946" s="19" t="s">
        <v>36015</v>
      </c>
      <c r="G11946" s="18" t="str">
        <f>"29569"</f>
        <v>29569</v>
      </c>
      <c r="H11946" s="19" t="s">
        <v>36745</v>
      </c>
      <c r="I11946" s="20">
        <v>18.678000000000001</v>
      </c>
      <c r="J11946" s="44" t="s">
        <v>8</v>
      </c>
      <c r="K11946" s="23" t="s">
        <v>8</v>
      </c>
      <c r="L11946" s="23" t="s">
        <v>8</v>
      </c>
      <c r="M11946" s="23" t="s">
        <v>8</v>
      </c>
    </row>
    <row r="11947" spans="1:13" s="21" customFormat="1" x14ac:dyDescent="0.25">
      <c r="A11947" s="22" t="s">
        <v>8</v>
      </c>
      <c r="B11947" s="18" t="str">
        <f>"425088"</f>
        <v>425088</v>
      </c>
      <c r="C11947" s="19" t="s">
        <v>11751</v>
      </c>
      <c r="D11947" s="19" t="s">
        <v>27353</v>
      </c>
      <c r="E11947" s="19" t="s">
        <v>35060</v>
      </c>
      <c r="F11947" s="19" t="s">
        <v>36015</v>
      </c>
      <c r="G11947" s="18" t="str">
        <f>"29732"</f>
        <v>29732</v>
      </c>
      <c r="H11947" s="19" t="s">
        <v>30834</v>
      </c>
      <c r="I11947" s="20">
        <v>19.661999999999999</v>
      </c>
      <c r="J11947" s="44" t="s">
        <v>8</v>
      </c>
      <c r="K11947" s="23" t="s">
        <v>8</v>
      </c>
      <c r="L11947" s="23" t="s">
        <v>8</v>
      </c>
      <c r="M11947" s="23" t="s">
        <v>8</v>
      </c>
    </row>
    <row r="11948" spans="1:13" s="21" customFormat="1" x14ac:dyDescent="0.25">
      <c r="A11948" s="22" t="s">
        <v>8</v>
      </c>
      <c r="B11948" s="18" t="str">
        <f>"425089"</f>
        <v>425089</v>
      </c>
      <c r="C11948" s="19" t="s">
        <v>11752</v>
      </c>
      <c r="D11948" s="19" t="s">
        <v>27354</v>
      </c>
      <c r="E11948" s="19" t="s">
        <v>30834</v>
      </c>
      <c r="F11948" s="19" t="s">
        <v>36015</v>
      </c>
      <c r="G11948" s="18" t="str">
        <f>"29745"</f>
        <v>29745</v>
      </c>
      <c r="H11948" s="19" t="s">
        <v>30834</v>
      </c>
      <c r="I11948" s="20">
        <v>19.998999999999999</v>
      </c>
      <c r="J11948" s="44" t="s">
        <v>8</v>
      </c>
      <c r="K11948" s="23" t="s">
        <v>8</v>
      </c>
      <c r="L11948" s="23" t="s">
        <v>8</v>
      </c>
      <c r="M11948" s="23" t="s">
        <v>8</v>
      </c>
    </row>
    <row r="11949" spans="1:13" s="21" customFormat="1" x14ac:dyDescent="0.25">
      <c r="A11949" s="22" t="s">
        <v>8</v>
      </c>
      <c r="B11949" s="18" t="str">
        <f>"425090"</f>
        <v>425090</v>
      </c>
      <c r="C11949" s="19" t="s">
        <v>11753</v>
      </c>
      <c r="D11949" s="19" t="s">
        <v>27355</v>
      </c>
      <c r="E11949" s="19" t="s">
        <v>30817</v>
      </c>
      <c r="F11949" s="19" t="s">
        <v>36015</v>
      </c>
      <c r="G11949" s="18" t="str">
        <f>"29601"</f>
        <v>29601</v>
      </c>
      <c r="H11949" s="19" t="s">
        <v>30817</v>
      </c>
      <c r="I11949" s="20">
        <v>17.797000000000001</v>
      </c>
      <c r="J11949" s="44" t="s">
        <v>8</v>
      </c>
      <c r="K11949" s="23" t="s">
        <v>8</v>
      </c>
      <c r="L11949" s="23" t="s">
        <v>8</v>
      </c>
      <c r="M11949" s="23" t="s">
        <v>8</v>
      </c>
    </row>
    <row r="11950" spans="1:13" s="21" customFormat="1" x14ac:dyDescent="0.25">
      <c r="A11950" s="22" t="s">
        <v>8</v>
      </c>
      <c r="B11950" s="18" t="str">
        <f>"425091"</f>
        <v>425091</v>
      </c>
      <c r="C11950" s="19" t="s">
        <v>11754</v>
      </c>
      <c r="D11950" s="19" t="s">
        <v>27356</v>
      </c>
      <c r="E11950" s="19" t="s">
        <v>35052</v>
      </c>
      <c r="F11950" s="19" t="s">
        <v>36015</v>
      </c>
      <c r="G11950" s="18" t="str">
        <f>"29305"</f>
        <v>29305</v>
      </c>
      <c r="H11950" s="19" t="s">
        <v>35052</v>
      </c>
      <c r="I11950" s="20">
        <v>17.920999999999999</v>
      </c>
      <c r="J11950" s="44" t="s">
        <v>8</v>
      </c>
      <c r="K11950" s="23" t="s">
        <v>8</v>
      </c>
      <c r="L11950" s="23" t="s">
        <v>8</v>
      </c>
      <c r="M11950" s="23" t="s">
        <v>8</v>
      </c>
    </row>
    <row r="11951" spans="1:13" s="21" customFormat="1" x14ac:dyDescent="0.25">
      <c r="A11951" s="22" t="s">
        <v>8</v>
      </c>
      <c r="B11951" s="18" t="str">
        <f>"425093"</f>
        <v>425093</v>
      </c>
      <c r="C11951" s="19" t="s">
        <v>3533</v>
      </c>
      <c r="D11951" s="19" t="s">
        <v>27357</v>
      </c>
      <c r="E11951" s="19" t="s">
        <v>35061</v>
      </c>
      <c r="F11951" s="19" t="s">
        <v>36015</v>
      </c>
      <c r="G11951" s="18" t="str">
        <f>"29543"</f>
        <v>29543</v>
      </c>
      <c r="H11951" s="19" t="s">
        <v>33757</v>
      </c>
      <c r="I11951" s="20">
        <v>21.414000000000001</v>
      </c>
      <c r="J11951" s="44" t="s">
        <v>8</v>
      </c>
      <c r="K11951" s="23" t="s">
        <v>8</v>
      </c>
      <c r="L11951" s="23" t="s">
        <v>8</v>
      </c>
      <c r="M11951" s="23" t="s">
        <v>8</v>
      </c>
    </row>
    <row r="11952" spans="1:13" s="21" customFormat="1" x14ac:dyDescent="0.25">
      <c r="A11952" s="22" t="s">
        <v>8</v>
      </c>
      <c r="B11952" s="18" t="str">
        <f>"425095"</f>
        <v>425095</v>
      </c>
      <c r="C11952" s="19" t="s">
        <v>11755</v>
      </c>
      <c r="D11952" s="19" t="s">
        <v>27358</v>
      </c>
      <c r="E11952" s="19" t="s">
        <v>35055</v>
      </c>
      <c r="F11952" s="19" t="s">
        <v>36015</v>
      </c>
      <c r="G11952" s="18" t="str">
        <f>"29340"</f>
        <v>29340</v>
      </c>
      <c r="H11952" s="19" t="s">
        <v>32436</v>
      </c>
      <c r="I11952" s="20">
        <v>19.462</v>
      </c>
      <c r="J11952" s="44" t="s">
        <v>8</v>
      </c>
      <c r="K11952" s="23" t="s">
        <v>8</v>
      </c>
      <c r="L11952" s="23" t="s">
        <v>8</v>
      </c>
      <c r="M11952" s="23" t="s">
        <v>8</v>
      </c>
    </row>
    <row r="11953" spans="1:13" s="21" customFormat="1" x14ac:dyDescent="0.25">
      <c r="A11953" s="22" t="s">
        <v>8</v>
      </c>
      <c r="B11953" s="18" t="str">
        <f>"425096"</f>
        <v>425096</v>
      </c>
      <c r="C11953" s="19" t="s">
        <v>11756</v>
      </c>
      <c r="D11953" s="19" t="s">
        <v>27359</v>
      </c>
      <c r="E11953" s="19" t="s">
        <v>35052</v>
      </c>
      <c r="F11953" s="19" t="s">
        <v>36015</v>
      </c>
      <c r="G11953" s="18" t="str">
        <f>"29303"</f>
        <v>29303</v>
      </c>
      <c r="H11953" s="19" t="s">
        <v>35052</v>
      </c>
      <c r="I11953" s="20">
        <v>17.802</v>
      </c>
      <c r="J11953" s="44" t="s">
        <v>8</v>
      </c>
      <c r="K11953" s="23" t="s">
        <v>8</v>
      </c>
      <c r="L11953" s="23" t="s">
        <v>8</v>
      </c>
      <c r="M11953" s="23" t="s">
        <v>8</v>
      </c>
    </row>
    <row r="11954" spans="1:13" s="21" customFormat="1" x14ac:dyDescent="0.25">
      <c r="A11954" s="22" t="s">
        <v>8</v>
      </c>
      <c r="B11954" s="18" t="str">
        <f>"425097"</f>
        <v>425097</v>
      </c>
      <c r="C11954" s="19" t="s">
        <v>11757</v>
      </c>
      <c r="D11954" s="19" t="s">
        <v>27360</v>
      </c>
      <c r="E11954" s="19" t="s">
        <v>35041</v>
      </c>
      <c r="F11954" s="19" t="s">
        <v>36015</v>
      </c>
      <c r="G11954" s="18" t="str">
        <f>"29812"</f>
        <v>29812</v>
      </c>
      <c r="H11954" s="19" t="s">
        <v>35041</v>
      </c>
      <c r="I11954" s="20">
        <v>19.547999999999998</v>
      </c>
      <c r="J11954" s="44" t="s">
        <v>8</v>
      </c>
      <c r="K11954" s="23" t="s">
        <v>8</v>
      </c>
      <c r="L11954" s="23" t="s">
        <v>8</v>
      </c>
      <c r="M11954" s="23" t="s">
        <v>8</v>
      </c>
    </row>
    <row r="11955" spans="1:13" s="21" customFormat="1" x14ac:dyDescent="0.25">
      <c r="A11955" s="22" t="s">
        <v>8</v>
      </c>
      <c r="B11955" s="18" t="str">
        <f>"425100"</f>
        <v>425100</v>
      </c>
      <c r="C11955" s="19" t="s">
        <v>11758</v>
      </c>
      <c r="D11955" s="19" t="s">
        <v>27361</v>
      </c>
      <c r="E11955" s="19" t="s">
        <v>35062</v>
      </c>
      <c r="F11955" s="19" t="s">
        <v>36015</v>
      </c>
      <c r="G11955" s="18" t="str">
        <f>"29177"</f>
        <v>29177</v>
      </c>
      <c r="H11955" s="19" t="s">
        <v>31785</v>
      </c>
      <c r="I11955" s="20">
        <v>16.18</v>
      </c>
      <c r="J11955" s="44" t="s">
        <v>8</v>
      </c>
      <c r="K11955" s="23" t="s">
        <v>8</v>
      </c>
      <c r="L11955" s="23" t="s">
        <v>8</v>
      </c>
      <c r="M11955" s="23" t="s">
        <v>8</v>
      </c>
    </row>
    <row r="11956" spans="1:13" s="21" customFormat="1" x14ac:dyDescent="0.25">
      <c r="A11956" s="22" t="s">
        <v>8</v>
      </c>
      <c r="B11956" s="18" t="str">
        <f>"425102"</f>
        <v>425102</v>
      </c>
      <c r="C11956" s="19" t="s">
        <v>11759</v>
      </c>
      <c r="D11956" s="19" t="s">
        <v>27362</v>
      </c>
      <c r="E11956" s="19" t="s">
        <v>30817</v>
      </c>
      <c r="F11956" s="19" t="s">
        <v>36015</v>
      </c>
      <c r="G11956" s="18" t="str">
        <f>"29611"</f>
        <v>29611</v>
      </c>
      <c r="H11956" s="19" t="s">
        <v>30817</v>
      </c>
      <c r="I11956" s="20">
        <v>21.916</v>
      </c>
      <c r="J11956" s="44" t="s">
        <v>8</v>
      </c>
      <c r="K11956" s="23" t="s">
        <v>8</v>
      </c>
      <c r="L11956" s="23" t="s">
        <v>8</v>
      </c>
      <c r="M11956" s="23" t="s">
        <v>8</v>
      </c>
    </row>
    <row r="11957" spans="1:13" s="21" customFormat="1" x14ac:dyDescent="0.25">
      <c r="A11957" s="22" t="s">
        <v>8</v>
      </c>
      <c r="B11957" s="18" t="str">
        <f>"425104"</f>
        <v>425104</v>
      </c>
      <c r="C11957" s="19" t="s">
        <v>11760</v>
      </c>
      <c r="D11957" s="19" t="s">
        <v>27363</v>
      </c>
      <c r="E11957" s="19" t="s">
        <v>35063</v>
      </c>
      <c r="F11957" s="19" t="s">
        <v>36015</v>
      </c>
      <c r="G11957" s="18" t="str">
        <f>"29003"</f>
        <v>29003</v>
      </c>
      <c r="H11957" s="19" t="s">
        <v>35063</v>
      </c>
      <c r="I11957" s="20">
        <v>22.43</v>
      </c>
      <c r="J11957" s="44" t="s">
        <v>8</v>
      </c>
      <c r="K11957" s="23" t="s">
        <v>8</v>
      </c>
      <c r="L11957" s="23" t="s">
        <v>8</v>
      </c>
      <c r="M11957" s="23" t="s">
        <v>8</v>
      </c>
    </row>
    <row r="11958" spans="1:13" s="21" customFormat="1" x14ac:dyDescent="0.25">
      <c r="A11958" s="22" t="s">
        <v>8</v>
      </c>
      <c r="B11958" s="18" t="str">
        <f>"425105"</f>
        <v>425105</v>
      </c>
      <c r="C11958" s="19" t="s">
        <v>11761</v>
      </c>
      <c r="D11958" s="19" t="s">
        <v>27364</v>
      </c>
      <c r="E11958" s="19" t="s">
        <v>35064</v>
      </c>
      <c r="F11958" s="19" t="s">
        <v>36015</v>
      </c>
      <c r="G11958" s="18" t="str">
        <f>"29169"</f>
        <v>29169</v>
      </c>
      <c r="H11958" s="19" t="s">
        <v>32692</v>
      </c>
      <c r="I11958" s="20">
        <v>18.678999999999998</v>
      </c>
      <c r="J11958" s="44" t="s">
        <v>8</v>
      </c>
      <c r="K11958" s="23" t="s">
        <v>8</v>
      </c>
      <c r="L11958" s="23" t="s">
        <v>8</v>
      </c>
      <c r="M11958" s="23" t="s">
        <v>8</v>
      </c>
    </row>
    <row r="11959" spans="1:13" s="21" customFormat="1" x14ac:dyDescent="0.25">
      <c r="A11959" s="22" t="s">
        <v>8</v>
      </c>
      <c r="B11959" s="18" t="str">
        <f>"425106"</f>
        <v>425106</v>
      </c>
      <c r="C11959" s="19" t="s">
        <v>11762</v>
      </c>
      <c r="D11959" s="19" t="s">
        <v>27365</v>
      </c>
      <c r="E11959" s="19" t="s">
        <v>30817</v>
      </c>
      <c r="F11959" s="19" t="s">
        <v>36015</v>
      </c>
      <c r="G11959" s="18" t="str">
        <f>"29611"</f>
        <v>29611</v>
      </c>
      <c r="H11959" s="19" t="s">
        <v>30817</v>
      </c>
      <c r="I11959" s="20">
        <v>19.414999999999999</v>
      </c>
      <c r="J11959" s="44" t="s">
        <v>8</v>
      </c>
      <c r="K11959" s="23" t="s">
        <v>8</v>
      </c>
      <c r="L11959" s="23" t="s">
        <v>8</v>
      </c>
      <c r="M11959" s="23" t="s">
        <v>8</v>
      </c>
    </row>
    <row r="11960" spans="1:13" s="21" customFormat="1" x14ac:dyDescent="0.25">
      <c r="A11960" s="22" t="s">
        <v>8</v>
      </c>
      <c r="B11960" s="18" t="str">
        <f>"425107"</f>
        <v>425107</v>
      </c>
      <c r="C11960" s="19" t="s">
        <v>11763</v>
      </c>
      <c r="D11960" s="19" t="s">
        <v>27366</v>
      </c>
      <c r="E11960" s="19" t="s">
        <v>35065</v>
      </c>
      <c r="F11960" s="19" t="s">
        <v>36015</v>
      </c>
      <c r="G11960" s="18" t="str">
        <f>"29150"</f>
        <v>29150</v>
      </c>
      <c r="H11960" s="19" t="s">
        <v>35065</v>
      </c>
      <c r="I11960" s="20">
        <v>16.802</v>
      </c>
      <c r="J11960" s="44" t="s">
        <v>8</v>
      </c>
      <c r="K11960" s="23" t="s">
        <v>8</v>
      </c>
      <c r="L11960" s="23" t="s">
        <v>8</v>
      </c>
      <c r="M11960" s="23" t="s">
        <v>8</v>
      </c>
    </row>
    <row r="11961" spans="1:13" s="21" customFormat="1" x14ac:dyDescent="0.25">
      <c r="A11961" s="22" t="s">
        <v>8</v>
      </c>
      <c r="B11961" s="18" t="str">
        <f>"425109"</f>
        <v>425109</v>
      </c>
      <c r="C11961" s="19" t="s">
        <v>11764</v>
      </c>
      <c r="D11961" s="19" t="s">
        <v>27367</v>
      </c>
      <c r="E11961" s="19" t="s">
        <v>35065</v>
      </c>
      <c r="F11961" s="19" t="s">
        <v>36015</v>
      </c>
      <c r="G11961" s="18" t="str">
        <f>"29150"</f>
        <v>29150</v>
      </c>
      <c r="H11961" s="19" t="s">
        <v>35065</v>
      </c>
      <c r="I11961" s="20">
        <v>17.867999999999999</v>
      </c>
      <c r="J11961" s="44" t="s">
        <v>8</v>
      </c>
      <c r="K11961" s="23" t="s">
        <v>8</v>
      </c>
      <c r="L11961" s="23" t="s">
        <v>8</v>
      </c>
      <c r="M11961" s="23" t="s">
        <v>8</v>
      </c>
    </row>
    <row r="11962" spans="1:13" s="21" customFormat="1" x14ac:dyDescent="0.25">
      <c r="A11962" s="22" t="s">
        <v>8</v>
      </c>
      <c r="B11962" s="18" t="str">
        <f>"425110"</f>
        <v>425110</v>
      </c>
      <c r="C11962" s="19" t="s">
        <v>11765</v>
      </c>
      <c r="D11962" s="19" t="s">
        <v>27368</v>
      </c>
      <c r="E11962" s="19" t="s">
        <v>35066</v>
      </c>
      <c r="F11962" s="19" t="s">
        <v>36015</v>
      </c>
      <c r="G11962" s="18" t="str">
        <f>"29464"</f>
        <v>29464</v>
      </c>
      <c r="H11962" s="19" t="s">
        <v>31091</v>
      </c>
      <c r="I11962" s="20">
        <v>18.035</v>
      </c>
      <c r="J11962" s="44" t="s">
        <v>8</v>
      </c>
      <c r="K11962" s="23" t="s">
        <v>8</v>
      </c>
      <c r="L11962" s="23" t="s">
        <v>8</v>
      </c>
      <c r="M11962" s="23" t="s">
        <v>8</v>
      </c>
    </row>
    <row r="11963" spans="1:13" s="21" customFormat="1" x14ac:dyDescent="0.25">
      <c r="A11963" s="22" t="s">
        <v>8</v>
      </c>
      <c r="B11963" s="18" t="str">
        <f>"425111"</f>
        <v>425111</v>
      </c>
      <c r="C11963" s="19" t="s">
        <v>11766</v>
      </c>
      <c r="D11963" s="19" t="s">
        <v>27369</v>
      </c>
      <c r="E11963" s="19" t="s">
        <v>35067</v>
      </c>
      <c r="F11963" s="19" t="s">
        <v>36015</v>
      </c>
      <c r="G11963" s="18" t="str">
        <f>"29551"</f>
        <v>29551</v>
      </c>
      <c r="H11963" s="19" t="s">
        <v>35045</v>
      </c>
      <c r="I11963" s="20">
        <v>21.632000000000001</v>
      </c>
      <c r="J11963" s="44" t="s">
        <v>8</v>
      </c>
      <c r="K11963" s="23" t="s">
        <v>8</v>
      </c>
      <c r="L11963" s="23" t="s">
        <v>8</v>
      </c>
      <c r="M11963" s="23" t="s">
        <v>8</v>
      </c>
    </row>
    <row r="11964" spans="1:13" s="21" customFormat="1" x14ac:dyDescent="0.25">
      <c r="A11964" s="22" t="s">
        <v>8</v>
      </c>
      <c r="B11964" s="18" t="str">
        <f>"425112"</f>
        <v>425112</v>
      </c>
      <c r="C11964" s="19" t="s">
        <v>11767</v>
      </c>
      <c r="D11964" s="19" t="s">
        <v>27370</v>
      </c>
      <c r="E11964" s="19" t="s">
        <v>35068</v>
      </c>
      <c r="F11964" s="19" t="s">
        <v>36015</v>
      </c>
      <c r="G11964" s="18" t="str">
        <f>"29681"</f>
        <v>29681</v>
      </c>
      <c r="H11964" s="19" t="s">
        <v>30817</v>
      </c>
      <c r="I11964" s="20">
        <v>18.463000000000001</v>
      </c>
      <c r="J11964" s="44" t="s">
        <v>8</v>
      </c>
      <c r="K11964" s="23" t="s">
        <v>8</v>
      </c>
      <c r="L11964" s="23" t="s">
        <v>8</v>
      </c>
      <c r="M11964" s="23" t="s">
        <v>8</v>
      </c>
    </row>
    <row r="11965" spans="1:13" s="21" customFormat="1" x14ac:dyDescent="0.25">
      <c r="A11965" s="22" t="s">
        <v>8</v>
      </c>
      <c r="B11965" s="18" t="str">
        <f>"425113"</f>
        <v>425113</v>
      </c>
      <c r="C11965" s="19" t="s">
        <v>11768</v>
      </c>
      <c r="D11965" s="19" t="s">
        <v>27371</v>
      </c>
      <c r="E11965" s="19" t="s">
        <v>33757</v>
      </c>
      <c r="F11965" s="19" t="s">
        <v>36015</v>
      </c>
      <c r="G11965" s="18" t="str">
        <f>"29536"</f>
        <v>29536</v>
      </c>
      <c r="H11965" s="19" t="s">
        <v>33757</v>
      </c>
      <c r="I11965" s="20">
        <v>17.975000000000001</v>
      </c>
      <c r="J11965" s="44" t="s">
        <v>8</v>
      </c>
      <c r="K11965" s="23" t="s">
        <v>8</v>
      </c>
      <c r="L11965" s="23" t="s">
        <v>8</v>
      </c>
      <c r="M11965" s="23" t="s">
        <v>8</v>
      </c>
    </row>
    <row r="11966" spans="1:13" s="21" customFormat="1" x14ac:dyDescent="0.25">
      <c r="A11966" s="22" t="s">
        <v>8</v>
      </c>
      <c r="B11966" s="18" t="str">
        <f>"425114"</f>
        <v>425114</v>
      </c>
      <c r="C11966" s="19" t="s">
        <v>11769</v>
      </c>
      <c r="D11966" s="19" t="s">
        <v>27372</v>
      </c>
      <c r="E11966" s="19" t="s">
        <v>35047</v>
      </c>
      <c r="F11966" s="19" t="s">
        <v>36015</v>
      </c>
      <c r="G11966" s="18" t="str">
        <f>"29102"</f>
        <v>29102</v>
      </c>
      <c r="H11966" s="19" t="s">
        <v>35938</v>
      </c>
      <c r="I11966" s="20">
        <v>20.975000000000001</v>
      </c>
      <c r="J11966" s="44" t="s">
        <v>8</v>
      </c>
      <c r="K11966" s="23" t="s">
        <v>8</v>
      </c>
      <c r="L11966" s="23" t="s">
        <v>8</v>
      </c>
      <c r="M11966" s="23" t="s">
        <v>8</v>
      </c>
    </row>
    <row r="11967" spans="1:13" s="21" customFormat="1" x14ac:dyDescent="0.25">
      <c r="A11967" s="22" t="s">
        <v>8</v>
      </c>
      <c r="B11967" s="18" t="str">
        <f>"425115"</f>
        <v>425115</v>
      </c>
      <c r="C11967" s="19" t="s">
        <v>11770</v>
      </c>
      <c r="D11967" s="19" t="s">
        <v>27373</v>
      </c>
      <c r="E11967" s="19" t="s">
        <v>30829</v>
      </c>
      <c r="F11967" s="19" t="s">
        <v>36015</v>
      </c>
      <c r="G11967" s="18" t="str">
        <f>"29501"</f>
        <v>29501</v>
      </c>
      <c r="H11967" s="19" t="s">
        <v>30829</v>
      </c>
      <c r="I11967" s="20">
        <v>18.721</v>
      </c>
      <c r="J11967" s="44" t="s">
        <v>8</v>
      </c>
      <c r="K11967" s="23" t="s">
        <v>8</v>
      </c>
      <c r="L11967" s="23" t="s">
        <v>8</v>
      </c>
      <c r="M11967" s="23" t="s">
        <v>8</v>
      </c>
    </row>
    <row r="11968" spans="1:13" s="21" customFormat="1" x14ac:dyDescent="0.25">
      <c r="A11968" s="22" t="s">
        <v>8</v>
      </c>
      <c r="B11968" s="18" t="str">
        <f>"425116"</f>
        <v>425116</v>
      </c>
      <c r="C11968" s="19" t="s">
        <v>11771</v>
      </c>
      <c r="D11968" s="19" t="s">
        <v>27374</v>
      </c>
      <c r="E11968" s="19" t="s">
        <v>35054</v>
      </c>
      <c r="F11968" s="19" t="s">
        <v>36015</v>
      </c>
      <c r="G11968" s="18" t="str">
        <f>"29115"</f>
        <v>29115</v>
      </c>
      <c r="H11968" s="19" t="s">
        <v>35054</v>
      </c>
      <c r="I11968" s="20">
        <v>19.663</v>
      </c>
      <c r="J11968" s="44" t="s">
        <v>8</v>
      </c>
      <c r="K11968" s="23" t="s">
        <v>8</v>
      </c>
      <c r="L11968" s="23" t="s">
        <v>8</v>
      </c>
      <c r="M11968" s="23" t="s">
        <v>8</v>
      </c>
    </row>
    <row r="11969" spans="1:13" s="21" customFormat="1" x14ac:dyDescent="0.25">
      <c r="A11969" s="22" t="s">
        <v>8</v>
      </c>
      <c r="B11969" s="18" t="str">
        <f>"425117"</f>
        <v>425117</v>
      </c>
      <c r="C11969" s="19" t="s">
        <v>11772</v>
      </c>
      <c r="D11969" s="19" t="s">
        <v>27375</v>
      </c>
      <c r="E11969" s="19" t="s">
        <v>35069</v>
      </c>
      <c r="F11969" s="19" t="s">
        <v>36015</v>
      </c>
      <c r="G11969" s="18" t="str">
        <f>"29556"</f>
        <v>29556</v>
      </c>
      <c r="H11969" s="19" t="s">
        <v>32538</v>
      </c>
      <c r="I11969" s="20">
        <v>23.402999999999999</v>
      </c>
      <c r="J11969" s="44" t="s">
        <v>8</v>
      </c>
      <c r="K11969" s="23" t="s">
        <v>8</v>
      </c>
      <c r="L11969" s="23" t="s">
        <v>8</v>
      </c>
      <c r="M11969" s="23" t="s">
        <v>8</v>
      </c>
    </row>
    <row r="11970" spans="1:13" s="21" customFormat="1" x14ac:dyDescent="0.25">
      <c r="A11970" s="22" t="s">
        <v>8</v>
      </c>
      <c r="B11970" s="18" t="str">
        <f>"425118"</f>
        <v>425118</v>
      </c>
      <c r="C11970" s="19" t="s">
        <v>11773</v>
      </c>
      <c r="D11970" s="19" t="s">
        <v>27376</v>
      </c>
      <c r="E11970" s="19" t="s">
        <v>35043</v>
      </c>
      <c r="F11970" s="19" t="s">
        <v>36015</v>
      </c>
      <c r="G11970" s="18" t="str">
        <f>"29512"</f>
        <v>29512</v>
      </c>
      <c r="H11970" s="19" t="s">
        <v>36743</v>
      </c>
      <c r="I11970" s="20">
        <v>20.608000000000001</v>
      </c>
      <c r="J11970" s="44" t="s">
        <v>8</v>
      </c>
      <c r="K11970" s="23" t="s">
        <v>8</v>
      </c>
      <c r="L11970" s="23" t="s">
        <v>8</v>
      </c>
      <c r="M11970" s="23" t="s">
        <v>8</v>
      </c>
    </row>
    <row r="11971" spans="1:13" s="21" customFormat="1" x14ac:dyDescent="0.25">
      <c r="A11971" s="22" t="s">
        <v>8</v>
      </c>
      <c r="B11971" s="18" t="str">
        <f>"425119"</f>
        <v>425119</v>
      </c>
      <c r="C11971" s="19" t="s">
        <v>11774</v>
      </c>
      <c r="D11971" s="19" t="s">
        <v>27377</v>
      </c>
      <c r="E11971" s="19" t="s">
        <v>30829</v>
      </c>
      <c r="F11971" s="19" t="s">
        <v>36015</v>
      </c>
      <c r="G11971" s="18" t="str">
        <f>"29505"</f>
        <v>29505</v>
      </c>
      <c r="H11971" s="19" t="s">
        <v>30829</v>
      </c>
      <c r="I11971" s="20">
        <v>17.43</v>
      </c>
      <c r="J11971" s="44" t="s">
        <v>8</v>
      </c>
      <c r="K11971" s="23" t="s">
        <v>8</v>
      </c>
      <c r="L11971" s="23" t="s">
        <v>8</v>
      </c>
      <c r="M11971" s="23" t="s">
        <v>8</v>
      </c>
    </row>
    <row r="11972" spans="1:13" s="21" customFormat="1" x14ac:dyDescent="0.25">
      <c r="A11972" s="22" t="s">
        <v>8</v>
      </c>
      <c r="B11972" s="18" t="str">
        <f>"425121"</f>
        <v>425121</v>
      </c>
      <c r="C11972" s="19" t="s">
        <v>11775</v>
      </c>
      <c r="D11972" s="19" t="s">
        <v>27378</v>
      </c>
      <c r="E11972" s="19" t="s">
        <v>31016</v>
      </c>
      <c r="F11972" s="19" t="s">
        <v>36015</v>
      </c>
      <c r="G11972" s="18" t="str">
        <f>"29527"</f>
        <v>29527</v>
      </c>
      <c r="H11972" s="19" t="s">
        <v>36745</v>
      </c>
      <c r="I11972" s="20">
        <v>20.07</v>
      </c>
      <c r="J11972" s="44" t="s">
        <v>8</v>
      </c>
      <c r="K11972" s="23" t="s">
        <v>8</v>
      </c>
      <c r="L11972" s="23" t="s">
        <v>8</v>
      </c>
      <c r="M11972" s="23" t="s">
        <v>8</v>
      </c>
    </row>
    <row r="11973" spans="1:13" s="21" customFormat="1" x14ac:dyDescent="0.25">
      <c r="A11973" s="22" t="s">
        <v>8</v>
      </c>
      <c r="B11973" s="18" t="str">
        <f>"425122"</f>
        <v>425122</v>
      </c>
      <c r="C11973" s="19" t="s">
        <v>11776</v>
      </c>
      <c r="D11973" s="19" t="s">
        <v>27379</v>
      </c>
      <c r="E11973" s="19" t="s">
        <v>32636</v>
      </c>
      <c r="F11973" s="19" t="s">
        <v>36015</v>
      </c>
      <c r="G11973" s="18" t="str">
        <f>"29349"</f>
        <v>29349</v>
      </c>
      <c r="H11973" s="19" t="s">
        <v>35052</v>
      </c>
      <c r="I11973" s="20">
        <v>19.350999999999999</v>
      </c>
      <c r="J11973" s="44" t="s">
        <v>8</v>
      </c>
      <c r="K11973" s="23" t="s">
        <v>8</v>
      </c>
      <c r="L11973" s="23" t="s">
        <v>8</v>
      </c>
      <c r="M11973" s="23" t="s">
        <v>8</v>
      </c>
    </row>
    <row r="11974" spans="1:13" s="21" customFormat="1" x14ac:dyDescent="0.25">
      <c r="A11974" s="22" t="s">
        <v>8</v>
      </c>
      <c r="B11974" s="18" t="str">
        <f>"425127"</f>
        <v>425127</v>
      </c>
      <c r="C11974" s="19" t="s">
        <v>11777</v>
      </c>
      <c r="D11974" s="19" t="s">
        <v>27380</v>
      </c>
      <c r="E11974" s="19" t="s">
        <v>35060</v>
      </c>
      <c r="F11974" s="19" t="s">
        <v>36015</v>
      </c>
      <c r="G11974" s="18" t="str">
        <f>"29732"</f>
        <v>29732</v>
      </c>
      <c r="H11974" s="19" t="s">
        <v>30834</v>
      </c>
      <c r="I11974" s="20">
        <v>17.297000000000001</v>
      </c>
      <c r="J11974" s="44" t="s">
        <v>8</v>
      </c>
      <c r="K11974" s="23" t="s">
        <v>8</v>
      </c>
      <c r="L11974" s="23" t="s">
        <v>8</v>
      </c>
      <c r="M11974" s="23" t="s">
        <v>8</v>
      </c>
    </row>
    <row r="11975" spans="1:13" s="21" customFormat="1" x14ac:dyDescent="0.25">
      <c r="A11975" s="22" t="s">
        <v>8</v>
      </c>
      <c r="B11975" s="18" t="str">
        <f>"425128"</f>
        <v>425128</v>
      </c>
      <c r="C11975" s="19" t="s">
        <v>11778</v>
      </c>
      <c r="D11975" s="19" t="s">
        <v>27381</v>
      </c>
      <c r="E11975" s="19" t="s">
        <v>31091</v>
      </c>
      <c r="F11975" s="19" t="s">
        <v>36015</v>
      </c>
      <c r="G11975" s="18" t="str">
        <f>"29418"</f>
        <v>29418</v>
      </c>
      <c r="H11975" s="19" t="s">
        <v>31091</v>
      </c>
      <c r="I11975" s="20">
        <v>20.067</v>
      </c>
      <c r="J11975" s="44" t="s">
        <v>8</v>
      </c>
      <c r="K11975" s="23" t="s">
        <v>8</v>
      </c>
      <c r="L11975" s="23" t="s">
        <v>8</v>
      </c>
      <c r="M11975" s="23" t="s">
        <v>8</v>
      </c>
    </row>
    <row r="11976" spans="1:13" s="21" customFormat="1" x14ac:dyDescent="0.25">
      <c r="A11976" s="22" t="s">
        <v>8</v>
      </c>
      <c r="B11976" s="18" t="str">
        <f>"425129"</f>
        <v>425129</v>
      </c>
      <c r="C11976" s="19" t="s">
        <v>11779</v>
      </c>
      <c r="D11976" s="19" t="s">
        <v>27382</v>
      </c>
      <c r="E11976" s="19" t="s">
        <v>32076</v>
      </c>
      <c r="F11976" s="19" t="s">
        <v>36015</v>
      </c>
      <c r="G11976" s="18" t="str">
        <f>"29210"</f>
        <v>29210</v>
      </c>
      <c r="H11976" s="19" t="s">
        <v>31785</v>
      </c>
      <c r="I11976" s="20">
        <v>18.963999999999999</v>
      </c>
      <c r="J11976" s="44" t="s">
        <v>8</v>
      </c>
      <c r="K11976" s="23" t="s">
        <v>8</v>
      </c>
      <c r="L11976" s="23" t="s">
        <v>8</v>
      </c>
      <c r="M11976" s="23" t="s">
        <v>8</v>
      </c>
    </row>
    <row r="11977" spans="1:13" s="21" customFormat="1" x14ac:dyDescent="0.25">
      <c r="A11977" s="22" t="s">
        <v>8</v>
      </c>
      <c r="B11977" s="18" t="str">
        <f>"425131"</f>
        <v>425131</v>
      </c>
      <c r="C11977" s="19" t="s">
        <v>11780</v>
      </c>
      <c r="D11977" s="19" t="s">
        <v>27383</v>
      </c>
      <c r="E11977" s="19" t="s">
        <v>35054</v>
      </c>
      <c r="F11977" s="19" t="s">
        <v>36015</v>
      </c>
      <c r="G11977" s="18" t="str">
        <f>"29115"</f>
        <v>29115</v>
      </c>
      <c r="H11977" s="19" t="s">
        <v>35054</v>
      </c>
      <c r="I11977" s="20">
        <v>25.606000000000002</v>
      </c>
      <c r="J11977" s="44" t="s">
        <v>8</v>
      </c>
      <c r="K11977" s="23" t="s">
        <v>8</v>
      </c>
      <c r="L11977" s="23" t="s">
        <v>8</v>
      </c>
      <c r="M11977" s="23" t="s">
        <v>8</v>
      </c>
    </row>
    <row r="11978" spans="1:13" s="21" customFormat="1" x14ac:dyDescent="0.25">
      <c r="A11978" s="22" t="s">
        <v>8</v>
      </c>
      <c r="B11978" s="18" t="str">
        <f>"425132"</f>
        <v>425132</v>
      </c>
      <c r="C11978" s="19" t="s">
        <v>11781</v>
      </c>
      <c r="D11978" s="19" t="s">
        <v>27384</v>
      </c>
      <c r="E11978" s="19" t="s">
        <v>33557</v>
      </c>
      <c r="F11978" s="19" t="s">
        <v>36015</v>
      </c>
      <c r="G11978" s="18" t="str">
        <f>"29936"</f>
        <v>29936</v>
      </c>
      <c r="H11978" s="19" t="s">
        <v>30854</v>
      </c>
      <c r="I11978" s="20">
        <v>19.350999999999999</v>
      </c>
      <c r="J11978" s="44" t="s">
        <v>8</v>
      </c>
      <c r="K11978" s="23" t="s">
        <v>8</v>
      </c>
      <c r="L11978" s="23" t="s">
        <v>8</v>
      </c>
      <c r="M11978" s="23" t="s">
        <v>8</v>
      </c>
    </row>
    <row r="11979" spans="1:13" s="21" customFormat="1" x14ac:dyDescent="0.25">
      <c r="A11979" s="22" t="s">
        <v>8</v>
      </c>
      <c r="B11979" s="18" t="str">
        <f>"425138"</f>
        <v>425138</v>
      </c>
      <c r="C11979" s="19" t="s">
        <v>11782</v>
      </c>
      <c r="D11979" s="19" t="s">
        <v>27385</v>
      </c>
      <c r="E11979" s="19" t="s">
        <v>35049</v>
      </c>
      <c r="F11979" s="19" t="s">
        <v>36015</v>
      </c>
      <c r="G11979" s="18" t="str">
        <f>"29651"</f>
        <v>29651</v>
      </c>
      <c r="H11979" s="19" t="s">
        <v>30817</v>
      </c>
      <c r="I11979" s="20">
        <v>17.936</v>
      </c>
      <c r="J11979" s="44" t="s">
        <v>8</v>
      </c>
      <c r="K11979" s="23" t="s">
        <v>8</v>
      </c>
      <c r="L11979" s="23" t="s">
        <v>8</v>
      </c>
      <c r="M11979" s="23" t="s">
        <v>8</v>
      </c>
    </row>
    <row r="11980" spans="1:13" s="21" customFormat="1" x14ac:dyDescent="0.25">
      <c r="A11980" s="22" t="s">
        <v>8</v>
      </c>
      <c r="B11980" s="18" t="str">
        <f>"425139"</f>
        <v>425139</v>
      </c>
      <c r="C11980" s="19" t="s">
        <v>11783</v>
      </c>
      <c r="D11980" s="19" t="s">
        <v>27386</v>
      </c>
      <c r="E11980" s="19" t="s">
        <v>32641</v>
      </c>
      <c r="F11980" s="19" t="s">
        <v>36015</v>
      </c>
      <c r="G11980" s="18" t="str">
        <f>"29678"</f>
        <v>29678</v>
      </c>
      <c r="H11980" s="19" t="s">
        <v>31748</v>
      </c>
      <c r="I11980" s="20">
        <v>21.21</v>
      </c>
      <c r="J11980" s="44" t="s">
        <v>8</v>
      </c>
      <c r="K11980" s="23" t="s">
        <v>8</v>
      </c>
      <c r="L11980" s="23" t="s">
        <v>8</v>
      </c>
      <c r="M11980" s="23" t="s">
        <v>8</v>
      </c>
    </row>
    <row r="11981" spans="1:13" s="21" customFormat="1" x14ac:dyDescent="0.25">
      <c r="A11981" s="22" t="s">
        <v>8</v>
      </c>
      <c r="B11981" s="18" t="str">
        <f>"425140"</f>
        <v>425140</v>
      </c>
      <c r="C11981" s="19" t="s">
        <v>11784</v>
      </c>
      <c r="D11981" s="19" t="s">
        <v>27387</v>
      </c>
      <c r="E11981" s="19" t="s">
        <v>35070</v>
      </c>
      <c r="F11981" s="19" t="s">
        <v>36015</v>
      </c>
      <c r="G11981" s="18" t="str">
        <f>"29461"</f>
        <v>29461</v>
      </c>
      <c r="H11981" s="19" t="s">
        <v>31248</v>
      </c>
      <c r="I11981" s="20">
        <v>19.64</v>
      </c>
      <c r="J11981" s="44" t="s">
        <v>8</v>
      </c>
      <c r="K11981" s="23" t="s">
        <v>8</v>
      </c>
      <c r="L11981" s="23" t="s">
        <v>8</v>
      </c>
      <c r="M11981" s="23" t="s">
        <v>8</v>
      </c>
    </row>
    <row r="11982" spans="1:13" s="21" customFormat="1" x14ac:dyDescent="0.25">
      <c r="A11982" s="22" t="s">
        <v>8</v>
      </c>
      <c r="B11982" s="18" t="str">
        <f>"425142"</f>
        <v>425142</v>
      </c>
      <c r="C11982" s="19" t="s">
        <v>11785</v>
      </c>
      <c r="D11982" s="19" t="s">
        <v>27388</v>
      </c>
      <c r="E11982" s="19" t="s">
        <v>33554</v>
      </c>
      <c r="F11982" s="19" t="s">
        <v>36015</v>
      </c>
      <c r="G11982" s="18" t="str">
        <f>"29379"</f>
        <v>29379</v>
      </c>
      <c r="H11982" s="19" t="s">
        <v>33554</v>
      </c>
      <c r="I11982" s="20">
        <v>20.413</v>
      </c>
      <c r="J11982" s="44" t="s">
        <v>8</v>
      </c>
      <c r="K11982" s="23" t="s">
        <v>8</v>
      </c>
      <c r="L11982" s="23" t="s">
        <v>8</v>
      </c>
      <c r="M11982" s="23" t="s">
        <v>8</v>
      </c>
    </row>
    <row r="11983" spans="1:13" s="21" customFormat="1" x14ac:dyDescent="0.25">
      <c r="A11983" s="22" t="s">
        <v>8</v>
      </c>
      <c r="B11983" s="18" t="str">
        <f>"425143"</f>
        <v>425143</v>
      </c>
      <c r="C11983" s="19" t="s">
        <v>11786</v>
      </c>
      <c r="D11983" s="19" t="s">
        <v>27389</v>
      </c>
      <c r="E11983" s="19" t="s">
        <v>35071</v>
      </c>
      <c r="F11983" s="19" t="s">
        <v>36015</v>
      </c>
      <c r="G11983" s="18" t="str">
        <f>"29477"</f>
        <v>29477</v>
      </c>
      <c r="H11983" s="19" t="s">
        <v>33086</v>
      </c>
      <c r="I11983" s="20">
        <v>18.872</v>
      </c>
      <c r="J11983" s="44" t="s">
        <v>8</v>
      </c>
      <c r="K11983" s="23" t="s">
        <v>8</v>
      </c>
      <c r="L11983" s="23" t="s">
        <v>8</v>
      </c>
      <c r="M11983" s="23" t="s">
        <v>8</v>
      </c>
    </row>
    <row r="11984" spans="1:13" s="21" customFormat="1" x14ac:dyDescent="0.25">
      <c r="A11984" s="22" t="s">
        <v>8</v>
      </c>
      <c r="B11984" s="18" t="str">
        <f>"425145"</f>
        <v>425145</v>
      </c>
      <c r="C11984" s="19" t="s">
        <v>11787</v>
      </c>
      <c r="D11984" s="19" t="s">
        <v>27390</v>
      </c>
      <c r="E11984" s="19" t="s">
        <v>35050</v>
      </c>
      <c r="F11984" s="19" t="s">
        <v>36015</v>
      </c>
      <c r="G11984" s="18" t="str">
        <f>"29801"</f>
        <v>29801</v>
      </c>
      <c r="H11984" s="19" t="s">
        <v>35050</v>
      </c>
      <c r="I11984" s="20">
        <v>20.699000000000002</v>
      </c>
      <c r="J11984" s="44" t="s">
        <v>8</v>
      </c>
      <c r="K11984" s="23" t="s">
        <v>8</v>
      </c>
      <c r="L11984" s="23" t="s">
        <v>8</v>
      </c>
      <c r="M11984" s="23" t="s">
        <v>8</v>
      </c>
    </row>
    <row r="11985" spans="1:13" s="21" customFormat="1" x14ac:dyDescent="0.25">
      <c r="A11985" s="22" t="s">
        <v>8</v>
      </c>
      <c r="B11985" s="18" t="str">
        <f>"425146"</f>
        <v>425146</v>
      </c>
      <c r="C11985" s="19" t="s">
        <v>11788</v>
      </c>
      <c r="D11985" s="19" t="s">
        <v>27391</v>
      </c>
      <c r="E11985" s="19" t="s">
        <v>32348</v>
      </c>
      <c r="F11985" s="19" t="s">
        <v>36015</v>
      </c>
      <c r="G11985" s="18" t="str">
        <f>"29464"</f>
        <v>29464</v>
      </c>
      <c r="H11985" s="19" t="s">
        <v>31091</v>
      </c>
      <c r="I11985" s="20">
        <v>16.367999999999999</v>
      </c>
      <c r="J11985" s="44" t="s">
        <v>8</v>
      </c>
      <c r="K11985" s="23" t="s">
        <v>8</v>
      </c>
      <c r="L11985" s="23" t="s">
        <v>8</v>
      </c>
      <c r="M11985" s="23" t="s">
        <v>8</v>
      </c>
    </row>
    <row r="11986" spans="1:13" s="21" customFormat="1" x14ac:dyDescent="0.25">
      <c r="A11986" s="22" t="s">
        <v>8</v>
      </c>
      <c r="B11986" s="18" t="str">
        <f>"425147"</f>
        <v>425147</v>
      </c>
      <c r="C11986" s="19" t="s">
        <v>11789</v>
      </c>
      <c r="D11986" s="19" t="s">
        <v>27392</v>
      </c>
      <c r="E11986" s="19" t="s">
        <v>35072</v>
      </c>
      <c r="F11986" s="19" t="s">
        <v>36015</v>
      </c>
      <c r="G11986" s="18" t="str">
        <f>"29926"</f>
        <v>29926</v>
      </c>
      <c r="H11986" s="19" t="s">
        <v>35056</v>
      </c>
      <c r="I11986" s="20">
        <v>21.260999999999999</v>
      </c>
      <c r="J11986" s="44" t="s">
        <v>8</v>
      </c>
      <c r="K11986" s="23" t="s">
        <v>8</v>
      </c>
      <c r="L11986" s="23" t="s">
        <v>8</v>
      </c>
      <c r="M11986" s="23" t="s">
        <v>8</v>
      </c>
    </row>
    <row r="11987" spans="1:13" s="21" customFormat="1" x14ac:dyDescent="0.25">
      <c r="A11987" s="22" t="s">
        <v>8</v>
      </c>
      <c r="B11987" s="18" t="str">
        <f>"425149"</f>
        <v>425149</v>
      </c>
      <c r="C11987" s="19" t="s">
        <v>11790</v>
      </c>
      <c r="D11987" s="19" t="s">
        <v>27393</v>
      </c>
      <c r="E11987" s="19" t="s">
        <v>34811</v>
      </c>
      <c r="F11987" s="19" t="s">
        <v>36015</v>
      </c>
      <c r="G11987" s="18" t="str">
        <f>"29591"</f>
        <v>29591</v>
      </c>
      <c r="H11987" s="19" t="s">
        <v>30829</v>
      </c>
      <c r="I11987" s="20">
        <v>18.466000000000001</v>
      </c>
      <c r="J11987" s="44" t="s">
        <v>8</v>
      </c>
      <c r="K11987" s="23" t="s">
        <v>8</v>
      </c>
      <c r="L11987" s="23" t="s">
        <v>8</v>
      </c>
      <c r="M11987" s="23" t="s">
        <v>8</v>
      </c>
    </row>
    <row r="11988" spans="1:13" s="21" customFormat="1" x14ac:dyDescent="0.25">
      <c r="A11988" s="22" t="s">
        <v>8</v>
      </c>
      <c r="B11988" s="18" t="str">
        <f>"425150"</f>
        <v>425150</v>
      </c>
      <c r="C11988" s="19" t="s">
        <v>11791</v>
      </c>
      <c r="D11988" s="19" t="s">
        <v>27394</v>
      </c>
      <c r="E11988" s="19" t="s">
        <v>35072</v>
      </c>
      <c r="F11988" s="19" t="s">
        <v>36015</v>
      </c>
      <c r="G11988" s="18" t="str">
        <f>"29928"</f>
        <v>29928</v>
      </c>
      <c r="H11988" s="19" t="s">
        <v>35056</v>
      </c>
      <c r="I11988" s="20">
        <v>20.175000000000001</v>
      </c>
      <c r="J11988" s="44" t="s">
        <v>8</v>
      </c>
      <c r="K11988" s="23" t="s">
        <v>8</v>
      </c>
      <c r="L11988" s="23" t="s">
        <v>8</v>
      </c>
      <c r="M11988" s="23" t="s">
        <v>8</v>
      </c>
    </row>
    <row r="11989" spans="1:13" s="21" customFormat="1" x14ac:dyDescent="0.25">
      <c r="A11989" s="22" t="s">
        <v>8</v>
      </c>
      <c r="B11989" s="18" t="str">
        <f>"425154"</f>
        <v>425154</v>
      </c>
      <c r="C11989" s="19" t="s">
        <v>11792</v>
      </c>
      <c r="D11989" s="19" t="s">
        <v>27395</v>
      </c>
      <c r="E11989" s="19" t="s">
        <v>30829</v>
      </c>
      <c r="F11989" s="19" t="s">
        <v>36015</v>
      </c>
      <c r="G11989" s="18" t="str">
        <f>"29501"</f>
        <v>29501</v>
      </c>
      <c r="H11989" s="19" t="s">
        <v>30829</v>
      </c>
      <c r="I11989" s="20">
        <v>20.047000000000001</v>
      </c>
      <c r="J11989" s="44" t="s">
        <v>8</v>
      </c>
      <c r="K11989" s="23" t="s">
        <v>8</v>
      </c>
      <c r="L11989" s="23" t="s">
        <v>8</v>
      </c>
      <c r="M11989" s="23" t="s">
        <v>8</v>
      </c>
    </row>
    <row r="11990" spans="1:13" s="21" customFormat="1" x14ac:dyDescent="0.25">
      <c r="A11990" s="22" t="s">
        <v>8</v>
      </c>
      <c r="B11990" s="18" t="str">
        <f>"425155"</f>
        <v>425155</v>
      </c>
      <c r="C11990" s="19" t="s">
        <v>11793</v>
      </c>
      <c r="D11990" s="19" t="s">
        <v>27396</v>
      </c>
      <c r="E11990" s="19" t="s">
        <v>31184</v>
      </c>
      <c r="F11990" s="19" t="s">
        <v>36015</v>
      </c>
      <c r="G11990" s="18" t="str">
        <f>"29721"</f>
        <v>29721</v>
      </c>
      <c r="H11990" s="19" t="s">
        <v>31184</v>
      </c>
      <c r="I11990" s="20">
        <v>18.565000000000001</v>
      </c>
      <c r="J11990" s="44" t="s">
        <v>8</v>
      </c>
      <c r="K11990" s="23" t="s">
        <v>8</v>
      </c>
      <c r="L11990" s="23" t="s">
        <v>8</v>
      </c>
      <c r="M11990" s="23" t="s">
        <v>8</v>
      </c>
    </row>
    <row r="11991" spans="1:13" s="21" customFormat="1" x14ac:dyDescent="0.25">
      <c r="A11991" s="22" t="s">
        <v>8</v>
      </c>
      <c r="B11991" s="18" t="str">
        <f>"425156"</f>
        <v>425156</v>
      </c>
      <c r="C11991" s="19" t="s">
        <v>11794</v>
      </c>
      <c r="D11991" s="19" t="s">
        <v>27397</v>
      </c>
      <c r="E11991" s="19" t="s">
        <v>31770</v>
      </c>
      <c r="F11991" s="19" t="s">
        <v>36015</v>
      </c>
      <c r="G11991" s="18" t="str">
        <f>"29485"</f>
        <v>29485</v>
      </c>
      <c r="H11991" s="19" t="s">
        <v>33086</v>
      </c>
      <c r="I11991" s="20">
        <v>18.605</v>
      </c>
      <c r="J11991" s="44" t="s">
        <v>8</v>
      </c>
      <c r="K11991" s="23" t="s">
        <v>8</v>
      </c>
      <c r="L11991" s="23" t="s">
        <v>8</v>
      </c>
      <c r="M11991" s="23" t="s">
        <v>8</v>
      </c>
    </row>
    <row r="11992" spans="1:13" s="21" customFormat="1" x14ac:dyDescent="0.25">
      <c r="A11992" s="22" t="s">
        <v>8</v>
      </c>
      <c r="B11992" s="18" t="str">
        <f>"425157"</f>
        <v>425157</v>
      </c>
      <c r="C11992" s="19" t="s">
        <v>11795</v>
      </c>
      <c r="D11992" s="19" t="s">
        <v>27398</v>
      </c>
      <c r="E11992" s="19" t="s">
        <v>30829</v>
      </c>
      <c r="F11992" s="19" t="s">
        <v>36015</v>
      </c>
      <c r="G11992" s="18" t="str">
        <f>"29506"</f>
        <v>29506</v>
      </c>
      <c r="H11992" s="19" t="s">
        <v>30829</v>
      </c>
      <c r="I11992" s="20">
        <v>15.694000000000001</v>
      </c>
      <c r="J11992" s="44" t="s">
        <v>8</v>
      </c>
      <c r="K11992" s="23" t="s">
        <v>8</v>
      </c>
      <c r="L11992" s="23" t="s">
        <v>8</v>
      </c>
      <c r="M11992" s="23" t="s">
        <v>8</v>
      </c>
    </row>
    <row r="11993" spans="1:13" s="21" customFormat="1" x14ac:dyDescent="0.25">
      <c r="A11993" s="22" t="s">
        <v>8</v>
      </c>
      <c r="B11993" s="18" t="str">
        <f>"425158"</f>
        <v>425158</v>
      </c>
      <c r="C11993" s="19" t="s">
        <v>11796</v>
      </c>
      <c r="D11993" s="19" t="s">
        <v>27399</v>
      </c>
      <c r="E11993" s="19" t="s">
        <v>35073</v>
      </c>
      <c r="F11993" s="19" t="s">
        <v>36015</v>
      </c>
      <c r="G11993" s="18" t="str">
        <f>"29130"</f>
        <v>29130</v>
      </c>
      <c r="H11993" s="19" t="s">
        <v>31103</v>
      </c>
      <c r="I11993" s="20">
        <v>19.45</v>
      </c>
      <c r="J11993" s="44" t="s">
        <v>8</v>
      </c>
      <c r="K11993" s="23" t="s">
        <v>8</v>
      </c>
      <c r="L11993" s="23" t="s">
        <v>8</v>
      </c>
      <c r="M11993" s="23" t="s">
        <v>8</v>
      </c>
    </row>
    <row r="11994" spans="1:13" s="21" customFormat="1" x14ac:dyDescent="0.25">
      <c r="A11994" s="22" t="s">
        <v>8</v>
      </c>
      <c r="B11994" s="18" t="str">
        <f>"425159"</f>
        <v>425159</v>
      </c>
      <c r="C11994" s="19" t="s">
        <v>11797</v>
      </c>
      <c r="D11994" s="19" t="s">
        <v>27400</v>
      </c>
      <c r="E11994" s="19" t="s">
        <v>35060</v>
      </c>
      <c r="F11994" s="19" t="s">
        <v>36015</v>
      </c>
      <c r="G11994" s="18" t="str">
        <f>"29732"</f>
        <v>29732</v>
      </c>
      <c r="H11994" s="19" t="s">
        <v>30834</v>
      </c>
      <c r="I11994" s="20">
        <v>17.917000000000002</v>
      </c>
      <c r="J11994" s="44" t="s">
        <v>8</v>
      </c>
      <c r="K11994" s="23" t="s">
        <v>8</v>
      </c>
      <c r="L11994" s="23" t="s">
        <v>8</v>
      </c>
      <c r="M11994" s="23" t="s">
        <v>8</v>
      </c>
    </row>
    <row r="11995" spans="1:13" s="21" customFormat="1" x14ac:dyDescent="0.25">
      <c r="A11995" s="22" t="s">
        <v>8</v>
      </c>
      <c r="B11995" s="18" t="str">
        <f>"425160"</f>
        <v>425160</v>
      </c>
      <c r="C11995" s="19" t="s">
        <v>11798</v>
      </c>
      <c r="D11995" s="19" t="s">
        <v>27401</v>
      </c>
      <c r="E11995" s="19" t="s">
        <v>30817</v>
      </c>
      <c r="F11995" s="19" t="s">
        <v>36015</v>
      </c>
      <c r="G11995" s="18" t="str">
        <f>"29615"</f>
        <v>29615</v>
      </c>
      <c r="H11995" s="19" t="s">
        <v>30817</v>
      </c>
      <c r="I11995" s="20">
        <v>16.091000000000001</v>
      </c>
      <c r="J11995" s="44" t="s">
        <v>8</v>
      </c>
      <c r="K11995" s="23" t="s">
        <v>8</v>
      </c>
      <c r="L11995" s="23" t="s">
        <v>8</v>
      </c>
      <c r="M11995" s="23" t="s">
        <v>8</v>
      </c>
    </row>
    <row r="11996" spans="1:13" s="21" customFormat="1" x14ac:dyDescent="0.25">
      <c r="A11996" s="22" t="s">
        <v>8</v>
      </c>
      <c r="B11996" s="18" t="str">
        <f>"425163"</f>
        <v>425163</v>
      </c>
      <c r="C11996" s="19" t="s">
        <v>11799</v>
      </c>
      <c r="D11996" s="19" t="s">
        <v>27402</v>
      </c>
      <c r="E11996" s="19" t="s">
        <v>30829</v>
      </c>
      <c r="F11996" s="19" t="s">
        <v>36015</v>
      </c>
      <c r="G11996" s="18" t="str">
        <f>"29501"</f>
        <v>29501</v>
      </c>
      <c r="H11996" s="19" t="s">
        <v>30829</v>
      </c>
      <c r="I11996" s="20">
        <v>20.893000000000001</v>
      </c>
      <c r="J11996" s="44" t="s">
        <v>8</v>
      </c>
      <c r="K11996" s="23" t="s">
        <v>8</v>
      </c>
      <c r="L11996" s="23" t="s">
        <v>8</v>
      </c>
      <c r="M11996" s="23" t="s">
        <v>8</v>
      </c>
    </row>
    <row r="11997" spans="1:13" s="21" customFormat="1" x14ac:dyDescent="0.25">
      <c r="A11997" s="22" t="s">
        <v>8</v>
      </c>
      <c r="B11997" s="18" t="str">
        <f>"425165"</f>
        <v>425165</v>
      </c>
      <c r="C11997" s="19" t="s">
        <v>11800</v>
      </c>
      <c r="D11997" s="19" t="s">
        <v>27403</v>
      </c>
      <c r="E11997" s="19" t="s">
        <v>35060</v>
      </c>
      <c r="F11997" s="19" t="s">
        <v>36015</v>
      </c>
      <c r="G11997" s="18" t="str">
        <f>"29732"</f>
        <v>29732</v>
      </c>
      <c r="H11997" s="19" t="s">
        <v>30834</v>
      </c>
      <c r="I11997" s="20">
        <v>16.751999999999999</v>
      </c>
      <c r="J11997" s="44" t="s">
        <v>8</v>
      </c>
      <c r="K11997" s="23" t="s">
        <v>8</v>
      </c>
      <c r="L11997" s="23" t="s">
        <v>8</v>
      </c>
      <c r="M11997" s="23" t="s">
        <v>8</v>
      </c>
    </row>
    <row r="11998" spans="1:13" s="21" customFormat="1" x14ac:dyDescent="0.25">
      <c r="A11998" s="22" t="s">
        <v>8</v>
      </c>
      <c r="B11998" s="18" t="str">
        <f>"425168"</f>
        <v>425168</v>
      </c>
      <c r="C11998" s="19" t="s">
        <v>11801</v>
      </c>
      <c r="D11998" s="19" t="s">
        <v>27404</v>
      </c>
      <c r="E11998" s="19" t="s">
        <v>35074</v>
      </c>
      <c r="F11998" s="19" t="s">
        <v>36015</v>
      </c>
      <c r="G11998" s="18" t="str">
        <f>"29644"</f>
        <v>29644</v>
      </c>
      <c r="H11998" s="19" t="s">
        <v>30817</v>
      </c>
      <c r="I11998" s="20">
        <v>18.664999999999999</v>
      </c>
      <c r="J11998" s="44" t="s">
        <v>8</v>
      </c>
      <c r="K11998" s="23" t="s">
        <v>8</v>
      </c>
      <c r="L11998" s="23" t="s">
        <v>8</v>
      </c>
      <c r="M11998" s="23" t="s">
        <v>8</v>
      </c>
    </row>
    <row r="11999" spans="1:13" s="21" customFormat="1" x14ac:dyDescent="0.25">
      <c r="A11999" s="22" t="s">
        <v>8</v>
      </c>
      <c r="B11999" s="18" t="str">
        <f>"425169"</f>
        <v>425169</v>
      </c>
      <c r="C11999" s="19" t="s">
        <v>11802</v>
      </c>
      <c r="D11999" s="19" t="s">
        <v>27405</v>
      </c>
      <c r="E11999" s="19" t="s">
        <v>30910</v>
      </c>
      <c r="F11999" s="19" t="s">
        <v>36015</v>
      </c>
      <c r="G11999" s="18" t="str">
        <f>"29020"</f>
        <v>29020</v>
      </c>
      <c r="H11999" s="19" t="s">
        <v>36746</v>
      </c>
      <c r="I11999" s="20">
        <v>21.343</v>
      </c>
      <c r="J11999" s="44" t="s">
        <v>8</v>
      </c>
      <c r="K11999" s="23" t="s">
        <v>8</v>
      </c>
      <c r="L11999" s="23" t="s">
        <v>8</v>
      </c>
      <c r="M11999" s="23" t="s">
        <v>8</v>
      </c>
    </row>
    <row r="12000" spans="1:13" s="21" customFormat="1" x14ac:dyDescent="0.25">
      <c r="A12000" s="22" t="s">
        <v>8</v>
      </c>
      <c r="B12000" s="18" t="str">
        <f>"425170"</f>
        <v>425170</v>
      </c>
      <c r="C12000" s="19" t="s">
        <v>11803</v>
      </c>
      <c r="D12000" s="19" t="s">
        <v>27406</v>
      </c>
      <c r="E12000" s="19" t="s">
        <v>35075</v>
      </c>
      <c r="F12000" s="19" t="s">
        <v>36015</v>
      </c>
      <c r="G12000" s="18" t="str">
        <f>"29135"</f>
        <v>29135</v>
      </c>
      <c r="H12000" s="19" t="s">
        <v>31743</v>
      </c>
      <c r="I12000" s="20">
        <v>19.751000000000001</v>
      </c>
      <c r="J12000" s="44" t="s">
        <v>8</v>
      </c>
      <c r="K12000" s="23" t="s">
        <v>8</v>
      </c>
      <c r="L12000" s="23" t="s">
        <v>8</v>
      </c>
      <c r="M12000" s="23" t="s">
        <v>8</v>
      </c>
    </row>
    <row r="12001" spans="1:13" s="21" customFormat="1" x14ac:dyDescent="0.25">
      <c r="A12001" s="22" t="s">
        <v>8</v>
      </c>
      <c r="B12001" s="18" t="str">
        <f>"425171"</f>
        <v>425171</v>
      </c>
      <c r="C12001" s="19" t="s">
        <v>11804</v>
      </c>
      <c r="D12001" s="19" t="s">
        <v>27407</v>
      </c>
      <c r="E12001" s="19" t="s">
        <v>35076</v>
      </c>
      <c r="F12001" s="19" t="s">
        <v>36015</v>
      </c>
      <c r="G12001" s="18" t="str">
        <f>"29835"</f>
        <v>29835</v>
      </c>
      <c r="H12001" s="19" t="s">
        <v>36747</v>
      </c>
      <c r="I12001" s="20">
        <v>17.463000000000001</v>
      </c>
      <c r="J12001" s="44" t="s">
        <v>8</v>
      </c>
      <c r="K12001" s="23" t="s">
        <v>8</v>
      </c>
      <c r="L12001" s="23" t="s">
        <v>8</v>
      </c>
      <c r="M12001" s="23" t="s">
        <v>8</v>
      </c>
    </row>
    <row r="12002" spans="1:13" s="21" customFormat="1" x14ac:dyDescent="0.25">
      <c r="A12002" s="22" t="s">
        <v>8</v>
      </c>
      <c r="B12002" s="18" t="str">
        <f>"425172"</f>
        <v>425172</v>
      </c>
      <c r="C12002" s="19" t="s">
        <v>11805</v>
      </c>
      <c r="D12002" s="19" t="s">
        <v>27408</v>
      </c>
      <c r="E12002" s="19" t="s">
        <v>32204</v>
      </c>
      <c r="F12002" s="19" t="s">
        <v>36015</v>
      </c>
      <c r="G12002" s="18" t="str">
        <f>"29646"</f>
        <v>29646</v>
      </c>
      <c r="H12002" s="19" t="s">
        <v>32204</v>
      </c>
      <c r="I12002" s="20">
        <v>17.335999999999999</v>
      </c>
      <c r="J12002" s="44" t="s">
        <v>8</v>
      </c>
      <c r="K12002" s="23" t="s">
        <v>8</v>
      </c>
      <c r="L12002" s="23" t="s">
        <v>8</v>
      </c>
      <c r="M12002" s="23" t="s">
        <v>8</v>
      </c>
    </row>
    <row r="12003" spans="1:13" s="21" customFormat="1" x14ac:dyDescent="0.25">
      <c r="A12003" s="22" t="s">
        <v>8</v>
      </c>
      <c r="B12003" s="18" t="str">
        <f>"425173"</f>
        <v>425173</v>
      </c>
      <c r="C12003" s="19" t="s">
        <v>11806</v>
      </c>
      <c r="D12003" s="19" t="s">
        <v>27409</v>
      </c>
      <c r="E12003" s="19" t="s">
        <v>31016</v>
      </c>
      <c r="F12003" s="19" t="s">
        <v>36015</v>
      </c>
      <c r="G12003" s="18" t="str">
        <f>"29526"</f>
        <v>29526</v>
      </c>
      <c r="H12003" s="19" t="s">
        <v>36745</v>
      </c>
      <c r="I12003" s="20">
        <v>17.974</v>
      </c>
      <c r="J12003" s="44" t="s">
        <v>8</v>
      </c>
      <c r="K12003" s="23" t="s">
        <v>8</v>
      </c>
      <c r="L12003" s="23" t="s">
        <v>8</v>
      </c>
      <c r="M12003" s="23" t="s">
        <v>8</v>
      </c>
    </row>
    <row r="12004" spans="1:13" s="21" customFormat="1" x14ac:dyDescent="0.25">
      <c r="A12004" s="22" t="s">
        <v>8</v>
      </c>
      <c r="B12004" s="18" t="str">
        <f>"425174"</f>
        <v>425174</v>
      </c>
      <c r="C12004" s="19" t="s">
        <v>11807</v>
      </c>
      <c r="D12004" s="19" t="s">
        <v>27410</v>
      </c>
      <c r="E12004" s="19" t="s">
        <v>35077</v>
      </c>
      <c r="F12004" s="19" t="s">
        <v>36015</v>
      </c>
      <c r="G12004" s="18" t="str">
        <f>"29010"</f>
        <v>29010</v>
      </c>
      <c r="H12004" s="19" t="s">
        <v>33138</v>
      </c>
      <c r="I12004" s="20">
        <v>23.422999999999998</v>
      </c>
      <c r="J12004" s="44" t="s">
        <v>8</v>
      </c>
      <c r="K12004" s="23" t="s">
        <v>8</v>
      </c>
      <c r="L12004" s="23" t="s">
        <v>8</v>
      </c>
      <c r="M12004" s="23" t="s">
        <v>8</v>
      </c>
    </row>
    <row r="12005" spans="1:13" s="21" customFormat="1" x14ac:dyDescent="0.25">
      <c r="A12005" s="22" t="s">
        <v>8</v>
      </c>
      <c r="B12005" s="18" t="str">
        <f>"425175"</f>
        <v>425175</v>
      </c>
      <c r="C12005" s="19" t="s">
        <v>11808</v>
      </c>
      <c r="D12005" s="19" t="s">
        <v>27411</v>
      </c>
      <c r="E12005" s="19" t="s">
        <v>35052</v>
      </c>
      <c r="F12005" s="19" t="s">
        <v>36015</v>
      </c>
      <c r="G12005" s="18" t="str">
        <f>"29303"</f>
        <v>29303</v>
      </c>
      <c r="H12005" s="19" t="s">
        <v>35052</v>
      </c>
      <c r="I12005" s="20">
        <v>24.396000000000001</v>
      </c>
      <c r="J12005" s="44" t="s">
        <v>8</v>
      </c>
      <c r="K12005" s="23" t="s">
        <v>8</v>
      </c>
      <c r="L12005" s="23" t="s">
        <v>8</v>
      </c>
      <c r="M12005" s="23" t="s">
        <v>8</v>
      </c>
    </row>
    <row r="12006" spans="1:13" s="21" customFormat="1" x14ac:dyDescent="0.25">
      <c r="A12006" s="22" t="s">
        <v>8</v>
      </c>
      <c r="B12006" s="18" t="str">
        <f>"425176"</f>
        <v>425176</v>
      </c>
      <c r="C12006" s="19" t="s">
        <v>11809</v>
      </c>
      <c r="D12006" s="19" t="s">
        <v>27412</v>
      </c>
      <c r="E12006" s="19" t="s">
        <v>35045</v>
      </c>
      <c r="F12006" s="19" t="s">
        <v>36015</v>
      </c>
      <c r="G12006" s="18" t="str">
        <f>"29532"</f>
        <v>29532</v>
      </c>
      <c r="H12006" s="19" t="s">
        <v>35045</v>
      </c>
      <c r="I12006" s="20">
        <v>19.641999999999999</v>
      </c>
      <c r="J12006" s="44" t="s">
        <v>8</v>
      </c>
      <c r="K12006" s="23" t="s">
        <v>8</v>
      </c>
      <c r="L12006" s="23" t="s">
        <v>8</v>
      </c>
      <c r="M12006" s="23" t="s">
        <v>8</v>
      </c>
    </row>
    <row r="12007" spans="1:13" s="21" customFormat="1" x14ac:dyDescent="0.25">
      <c r="A12007" s="22" t="s">
        <v>8</v>
      </c>
      <c r="B12007" s="18" t="str">
        <f>"425179"</f>
        <v>425179</v>
      </c>
      <c r="C12007" s="19" t="s">
        <v>11810</v>
      </c>
      <c r="D12007" s="19" t="s">
        <v>27413</v>
      </c>
      <c r="E12007" s="19" t="s">
        <v>35078</v>
      </c>
      <c r="F12007" s="19" t="s">
        <v>36015</v>
      </c>
      <c r="G12007" s="18" t="str">
        <f>"29388"</f>
        <v>29388</v>
      </c>
      <c r="H12007" s="19" t="s">
        <v>35052</v>
      </c>
      <c r="I12007" s="20">
        <v>19.817</v>
      </c>
      <c r="J12007" s="44" t="s">
        <v>8</v>
      </c>
      <c r="K12007" s="23" t="s">
        <v>8</v>
      </c>
      <c r="L12007" s="23" t="s">
        <v>8</v>
      </c>
      <c r="M12007" s="23" t="s">
        <v>8</v>
      </c>
    </row>
    <row r="12008" spans="1:13" s="21" customFormat="1" x14ac:dyDescent="0.25">
      <c r="A12008" s="22" t="s">
        <v>8</v>
      </c>
      <c r="B12008" s="18" t="str">
        <f>"425287"</f>
        <v>425287</v>
      </c>
      <c r="C12008" s="19" t="s">
        <v>11811</v>
      </c>
      <c r="D12008" s="19" t="s">
        <v>27414</v>
      </c>
      <c r="E12008" s="19" t="s">
        <v>32076</v>
      </c>
      <c r="F12008" s="19" t="s">
        <v>36015</v>
      </c>
      <c r="G12008" s="18" t="str">
        <f>"29223"</f>
        <v>29223</v>
      </c>
      <c r="H12008" s="19" t="s">
        <v>31785</v>
      </c>
      <c r="I12008" s="20">
        <v>16.73</v>
      </c>
      <c r="J12008" s="44" t="s">
        <v>8</v>
      </c>
      <c r="K12008" s="23" t="s">
        <v>8</v>
      </c>
      <c r="L12008" s="23" t="s">
        <v>8</v>
      </c>
      <c r="M12008" s="23" t="s">
        <v>8</v>
      </c>
    </row>
    <row r="12009" spans="1:13" s="21" customFormat="1" x14ac:dyDescent="0.25">
      <c r="A12009" s="22" t="s">
        <v>8</v>
      </c>
      <c r="B12009" s="18" t="str">
        <f>"425288"</f>
        <v>425288</v>
      </c>
      <c r="C12009" s="19" t="s">
        <v>11812</v>
      </c>
      <c r="D12009" s="19" t="s">
        <v>27415</v>
      </c>
      <c r="E12009" s="19" t="s">
        <v>35073</v>
      </c>
      <c r="F12009" s="19" t="s">
        <v>36015</v>
      </c>
      <c r="G12009" s="18" t="str">
        <f>"29130"</f>
        <v>29130</v>
      </c>
      <c r="H12009" s="19" t="s">
        <v>31103</v>
      </c>
      <c r="I12009" s="20">
        <v>18.498999999999999</v>
      </c>
      <c r="J12009" s="44" t="s">
        <v>8</v>
      </c>
      <c r="K12009" s="23" t="s">
        <v>8</v>
      </c>
      <c r="L12009" s="23" t="s">
        <v>8</v>
      </c>
      <c r="M12009" s="23" t="s">
        <v>8</v>
      </c>
    </row>
    <row r="12010" spans="1:13" s="21" customFormat="1" x14ac:dyDescent="0.25">
      <c r="A12010" s="22" t="s">
        <v>8</v>
      </c>
      <c r="B12010" s="18" t="str">
        <f>"425289"</f>
        <v>425289</v>
      </c>
      <c r="C12010" s="19" t="s">
        <v>11813</v>
      </c>
      <c r="D12010" s="19" t="s">
        <v>27416</v>
      </c>
      <c r="E12010" s="19" t="s">
        <v>35079</v>
      </c>
      <c r="F12010" s="19" t="s">
        <v>36015</v>
      </c>
      <c r="G12010" s="18" t="str">
        <f>"29406"</f>
        <v>29406</v>
      </c>
      <c r="H12010" s="19" t="s">
        <v>31091</v>
      </c>
      <c r="I12010" s="20">
        <v>21.324000000000002</v>
      </c>
      <c r="J12010" s="44" t="s">
        <v>8</v>
      </c>
      <c r="K12010" s="23" t="s">
        <v>8</v>
      </c>
      <c r="L12010" s="23" t="s">
        <v>8</v>
      </c>
      <c r="M12010" s="23" t="s">
        <v>8</v>
      </c>
    </row>
    <row r="12011" spans="1:13" s="21" customFormat="1" x14ac:dyDescent="0.25">
      <c r="A12011" s="22" t="s">
        <v>8</v>
      </c>
      <c r="B12011" s="18" t="str">
        <f>"425290"</f>
        <v>425290</v>
      </c>
      <c r="C12011" s="19" t="s">
        <v>11814</v>
      </c>
      <c r="D12011" s="19" t="s">
        <v>27417</v>
      </c>
      <c r="E12011" s="19" t="s">
        <v>35052</v>
      </c>
      <c r="F12011" s="19" t="s">
        <v>36015</v>
      </c>
      <c r="G12011" s="18" t="str">
        <f>"29302"</f>
        <v>29302</v>
      </c>
      <c r="H12011" s="19" t="s">
        <v>35052</v>
      </c>
      <c r="I12011" s="20">
        <v>17.687999999999999</v>
      </c>
      <c r="J12011" s="44" t="s">
        <v>8</v>
      </c>
      <c r="K12011" s="23" t="s">
        <v>8</v>
      </c>
      <c r="L12011" s="23" t="s">
        <v>8</v>
      </c>
      <c r="M12011" s="23" t="s">
        <v>8</v>
      </c>
    </row>
    <row r="12012" spans="1:13" s="21" customFormat="1" x14ac:dyDescent="0.25">
      <c r="A12012" s="22" t="s">
        <v>8</v>
      </c>
      <c r="B12012" s="18" t="str">
        <f>"425291"</f>
        <v>425291</v>
      </c>
      <c r="C12012" s="19" t="s">
        <v>11815</v>
      </c>
      <c r="D12012" s="19" t="s">
        <v>27418</v>
      </c>
      <c r="E12012" s="19" t="s">
        <v>35060</v>
      </c>
      <c r="F12012" s="19" t="s">
        <v>36015</v>
      </c>
      <c r="G12012" s="18" t="str">
        <f>"29732"</f>
        <v>29732</v>
      </c>
      <c r="H12012" s="19" t="s">
        <v>30834</v>
      </c>
      <c r="I12012" s="20">
        <v>21.08</v>
      </c>
      <c r="J12012" s="44" t="s">
        <v>8</v>
      </c>
      <c r="K12012" s="23" t="s">
        <v>8</v>
      </c>
      <c r="L12012" s="23" t="s">
        <v>8</v>
      </c>
      <c r="M12012" s="23" t="s">
        <v>8</v>
      </c>
    </row>
    <row r="12013" spans="1:13" s="21" customFormat="1" x14ac:dyDescent="0.25">
      <c r="A12013" s="22" t="s">
        <v>8</v>
      </c>
      <c r="B12013" s="18" t="str">
        <f>"425293"</f>
        <v>425293</v>
      </c>
      <c r="C12013" s="19" t="s">
        <v>11816</v>
      </c>
      <c r="D12013" s="19" t="s">
        <v>27419</v>
      </c>
      <c r="E12013" s="19" t="s">
        <v>35080</v>
      </c>
      <c r="F12013" s="19" t="s">
        <v>36015</v>
      </c>
      <c r="G12013" s="18" t="str">
        <f>"29824"</f>
        <v>29824</v>
      </c>
      <c r="H12013" s="19" t="s">
        <v>35080</v>
      </c>
      <c r="I12013" s="20">
        <v>19.143000000000001</v>
      </c>
      <c r="J12013" s="44" t="s">
        <v>8</v>
      </c>
      <c r="K12013" s="23" t="s">
        <v>8</v>
      </c>
      <c r="L12013" s="23" t="s">
        <v>8</v>
      </c>
      <c r="M12013" s="23" t="s">
        <v>8</v>
      </c>
    </row>
    <row r="12014" spans="1:13" s="21" customFormat="1" x14ac:dyDescent="0.25">
      <c r="A12014" s="22" t="s">
        <v>8</v>
      </c>
      <c r="B12014" s="18" t="str">
        <f>"425294"</f>
        <v>425294</v>
      </c>
      <c r="C12014" s="19" t="s">
        <v>11817</v>
      </c>
      <c r="D12014" s="19" t="s">
        <v>27420</v>
      </c>
      <c r="E12014" s="19" t="s">
        <v>30817</v>
      </c>
      <c r="F12014" s="19" t="s">
        <v>36015</v>
      </c>
      <c r="G12014" s="18" t="str">
        <f>"29611"</f>
        <v>29611</v>
      </c>
      <c r="H12014" s="19" t="s">
        <v>30817</v>
      </c>
      <c r="I12014" s="20">
        <v>18.154</v>
      </c>
      <c r="J12014" s="44" t="s">
        <v>8</v>
      </c>
      <c r="K12014" s="23" t="s">
        <v>8</v>
      </c>
      <c r="L12014" s="23" t="s">
        <v>8</v>
      </c>
      <c r="M12014" s="23" t="s">
        <v>8</v>
      </c>
    </row>
    <row r="12015" spans="1:13" s="21" customFormat="1" x14ac:dyDescent="0.25">
      <c r="A12015" s="22" t="s">
        <v>8</v>
      </c>
      <c r="B12015" s="18" t="str">
        <f>"425295"</f>
        <v>425295</v>
      </c>
      <c r="C12015" s="19" t="s">
        <v>11818</v>
      </c>
      <c r="D12015" s="19" t="s">
        <v>27421</v>
      </c>
      <c r="E12015" s="19" t="s">
        <v>31495</v>
      </c>
      <c r="F12015" s="19" t="s">
        <v>36015</v>
      </c>
      <c r="G12015" s="18" t="str">
        <f>"29440"</f>
        <v>29440</v>
      </c>
      <c r="H12015" s="19" t="s">
        <v>31495</v>
      </c>
      <c r="I12015" s="20">
        <v>20.917000000000002</v>
      </c>
      <c r="J12015" s="44" t="s">
        <v>8</v>
      </c>
      <c r="K12015" s="23" t="s">
        <v>8</v>
      </c>
      <c r="L12015" s="23" t="s">
        <v>8</v>
      </c>
      <c r="M12015" s="23" t="s">
        <v>8</v>
      </c>
    </row>
    <row r="12016" spans="1:13" s="21" customFormat="1" x14ac:dyDescent="0.25">
      <c r="A12016" s="22" t="s">
        <v>8</v>
      </c>
      <c r="B12016" s="18" t="str">
        <f>"425296"</f>
        <v>425296</v>
      </c>
      <c r="C12016" s="19" t="s">
        <v>11819</v>
      </c>
      <c r="D12016" s="19" t="s">
        <v>27422</v>
      </c>
      <c r="E12016" s="19" t="s">
        <v>35081</v>
      </c>
      <c r="F12016" s="19" t="s">
        <v>36015</v>
      </c>
      <c r="G12016" s="18" t="str">
        <f>"29841"</f>
        <v>29841</v>
      </c>
      <c r="H12016" s="19" t="s">
        <v>35050</v>
      </c>
      <c r="I12016" s="20">
        <v>16.021999999999998</v>
      </c>
      <c r="J12016" s="44" t="s">
        <v>8</v>
      </c>
      <c r="K12016" s="23" t="s">
        <v>8</v>
      </c>
      <c r="L12016" s="23" t="s">
        <v>8</v>
      </c>
      <c r="M12016" s="23" t="s">
        <v>8</v>
      </c>
    </row>
    <row r="12017" spans="1:13" s="21" customFormat="1" x14ac:dyDescent="0.25">
      <c r="A12017" s="22" t="s">
        <v>8</v>
      </c>
      <c r="B12017" s="18" t="str">
        <f>"425297"</f>
        <v>425297</v>
      </c>
      <c r="C12017" s="19" t="s">
        <v>11820</v>
      </c>
      <c r="D12017" s="19" t="s">
        <v>27423</v>
      </c>
      <c r="E12017" s="19" t="s">
        <v>31610</v>
      </c>
      <c r="F12017" s="19" t="s">
        <v>36015</v>
      </c>
      <c r="G12017" s="18" t="str">
        <f>"29853"</f>
        <v>29853</v>
      </c>
      <c r="H12017" s="19" t="s">
        <v>35041</v>
      </c>
      <c r="I12017" s="20">
        <v>21.367000000000001</v>
      </c>
      <c r="J12017" s="44" t="s">
        <v>8</v>
      </c>
      <c r="K12017" s="23" t="s">
        <v>8</v>
      </c>
      <c r="L12017" s="23" t="s">
        <v>8</v>
      </c>
      <c r="M12017" s="23" t="s">
        <v>8</v>
      </c>
    </row>
    <row r="12018" spans="1:13" s="21" customFormat="1" x14ac:dyDescent="0.25">
      <c r="A12018" s="22" t="s">
        <v>8</v>
      </c>
      <c r="B12018" s="18" t="str">
        <f>"425298"</f>
        <v>425298</v>
      </c>
      <c r="C12018" s="19" t="s">
        <v>11821</v>
      </c>
      <c r="D12018" s="19" t="s">
        <v>27424</v>
      </c>
      <c r="E12018" s="19" t="s">
        <v>35051</v>
      </c>
      <c r="F12018" s="19" t="s">
        <v>36015</v>
      </c>
      <c r="G12018" s="18" t="str">
        <f>"29642"</f>
        <v>29642</v>
      </c>
      <c r="H12018" s="19" t="s">
        <v>35058</v>
      </c>
      <c r="I12018" s="20">
        <v>22.122</v>
      </c>
      <c r="J12018" s="44" t="s">
        <v>8</v>
      </c>
      <c r="K12018" s="23" t="s">
        <v>8</v>
      </c>
      <c r="L12018" s="23" t="s">
        <v>8</v>
      </c>
      <c r="M12018" s="23" t="s">
        <v>8</v>
      </c>
    </row>
    <row r="12019" spans="1:13" s="21" customFormat="1" x14ac:dyDescent="0.25">
      <c r="A12019" s="22" t="s">
        <v>8</v>
      </c>
      <c r="B12019" s="18" t="str">
        <f>"425300"</f>
        <v>425300</v>
      </c>
      <c r="C12019" s="19" t="s">
        <v>11822</v>
      </c>
      <c r="D12019" s="19" t="s">
        <v>27425</v>
      </c>
      <c r="E12019" s="19" t="s">
        <v>35082</v>
      </c>
      <c r="F12019" s="19" t="s">
        <v>36015</v>
      </c>
      <c r="G12019" s="18" t="str">
        <f>"29148"</f>
        <v>29148</v>
      </c>
      <c r="H12019" s="19" t="s">
        <v>35938</v>
      </c>
      <c r="I12019" s="20">
        <v>21.404</v>
      </c>
      <c r="J12019" s="44" t="s">
        <v>8</v>
      </c>
      <c r="K12019" s="23" t="s">
        <v>8</v>
      </c>
      <c r="L12019" s="23" t="s">
        <v>8</v>
      </c>
      <c r="M12019" s="23" t="s">
        <v>8</v>
      </c>
    </row>
    <row r="12020" spans="1:13" s="21" customFormat="1" x14ac:dyDescent="0.25">
      <c r="A12020" s="22" t="s">
        <v>8</v>
      </c>
      <c r="B12020" s="18" t="str">
        <f>"425301"</f>
        <v>425301</v>
      </c>
      <c r="C12020" s="19" t="s">
        <v>11823</v>
      </c>
      <c r="D12020" s="19" t="s">
        <v>27426</v>
      </c>
      <c r="E12020" s="19" t="s">
        <v>32202</v>
      </c>
      <c r="F12020" s="19" t="s">
        <v>36015</v>
      </c>
      <c r="G12020" s="18" t="str">
        <f>"29621"</f>
        <v>29621</v>
      </c>
      <c r="H12020" s="19" t="s">
        <v>32202</v>
      </c>
      <c r="I12020" s="20">
        <v>18.956</v>
      </c>
      <c r="J12020" s="44" t="s">
        <v>8</v>
      </c>
      <c r="K12020" s="23" t="s">
        <v>8</v>
      </c>
      <c r="L12020" s="23" t="s">
        <v>8</v>
      </c>
      <c r="M12020" s="23" t="s">
        <v>8</v>
      </c>
    </row>
    <row r="12021" spans="1:13" s="21" customFormat="1" x14ac:dyDescent="0.25">
      <c r="A12021" s="22" t="s">
        <v>8</v>
      </c>
      <c r="B12021" s="18" t="str">
        <f>"425302"</f>
        <v>425302</v>
      </c>
      <c r="C12021" s="19" t="s">
        <v>11824</v>
      </c>
      <c r="D12021" s="19" t="s">
        <v>27427</v>
      </c>
      <c r="E12021" s="19" t="s">
        <v>35046</v>
      </c>
      <c r="F12021" s="19" t="s">
        <v>36015</v>
      </c>
      <c r="G12021" s="18" t="str">
        <f>"29520"</f>
        <v>29520</v>
      </c>
      <c r="H12021" s="19" t="s">
        <v>32311</v>
      </c>
      <c r="I12021" s="20">
        <v>18.643999999999998</v>
      </c>
      <c r="J12021" s="44" t="s">
        <v>8</v>
      </c>
      <c r="K12021" s="23" t="s">
        <v>8</v>
      </c>
      <c r="L12021" s="23" t="s">
        <v>8</v>
      </c>
      <c r="M12021" s="23" t="s">
        <v>8</v>
      </c>
    </row>
    <row r="12022" spans="1:13" s="21" customFormat="1" x14ac:dyDescent="0.25">
      <c r="A12022" s="22" t="s">
        <v>8</v>
      </c>
      <c r="B12022" s="18" t="str">
        <f>"425303"</f>
        <v>425303</v>
      </c>
      <c r="C12022" s="19" t="s">
        <v>11825</v>
      </c>
      <c r="D12022" s="19" t="s">
        <v>27428</v>
      </c>
      <c r="E12022" s="19" t="s">
        <v>32636</v>
      </c>
      <c r="F12022" s="19" t="s">
        <v>36015</v>
      </c>
      <c r="G12022" s="18" t="str">
        <f>"29349"</f>
        <v>29349</v>
      </c>
      <c r="H12022" s="19" t="s">
        <v>35052</v>
      </c>
      <c r="I12022" s="20">
        <v>17.876000000000001</v>
      </c>
      <c r="J12022" s="44" t="s">
        <v>8</v>
      </c>
      <c r="K12022" s="23" t="s">
        <v>8</v>
      </c>
      <c r="L12022" s="23" t="s">
        <v>8</v>
      </c>
      <c r="M12022" s="23" t="s">
        <v>8</v>
      </c>
    </row>
    <row r="12023" spans="1:13" s="21" customFormat="1" x14ac:dyDescent="0.25">
      <c r="A12023" s="22" t="s">
        <v>8</v>
      </c>
      <c r="B12023" s="18" t="str">
        <f>"425305"</f>
        <v>425305</v>
      </c>
      <c r="C12023" s="19" t="s">
        <v>11826</v>
      </c>
      <c r="D12023" s="19" t="s">
        <v>27429</v>
      </c>
      <c r="E12023" s="19" t="s">
        <v>30817</v>
      </c>
      <c r="F12023" s="19" t="s">
        <v>36015</v>
      </c>
      <c r="G12023" s="18" t="str">
        <f>"29607"</f>
        <v>29607</v>
      </c>
      <c r="H12023" s="19" t="s">
        <v>30817</v>
      </c>
      <c r="I12023" s="20">
        <v>22.428999999999998</v>
      </c>
      <c r="J12023" s="44" t="s">
        <v>8</v>
      </c>
      <c r="K12023" s="23" t="s">
        <v>8</v>
      </c>
      <c r="L12023" s="23" t="s">
        <v>8</v>
      </c>
      <c r="M12023" s="23" t="s">
        <v>8</v>
      </c>
    </row>
    <row r="12024" spans="1:13" s="21" customFormat="1" x14ac:dyDescent="0.25">
      <c r="A12024" s="22" t="s">
        <v>8</v>
      </c>
      <c r="B12024" s="18" t="str">
        <f>"425306"</f>
        <v>425306</v>
      </c>
      <c r="C12024" s="19" t="s">
        <v>11827</v>
      </c>
      <c r="D12024" s="19" t="s">
        <v>27430</v>
      </c>
      <c r="E12024" s="19" t="s">
        <v>35083</v>
      </c>
      <c r="F12024" s="19" t="s">
        <v>36015</v>
      </c>
      <c r="G12024" s="18" t="str">
        <f>"29682"</f>
        <v>29682</v>
      </c>
      <c r="H12024" s="19" t="s">
        <v>35058</v>
      </c>
      <c r="I12024" s="20">
        <v>19.776</v>
      </c>
      <c r="J12024" s="44" t="s">
        <v>8</v>
      </c>
      <c r="K12024" s="23" t="s">
        <v>8</v>
      </c>
      <c r="L12024" s="23" t="s">
        <v>8</v>
      </c>
      <c r="M12024" s="23" t="s">
        <v>8</v>
      </c>
    </row>
    <row r="12025" spans="1:13" s="21" customFormat="1" x14ac:dyDescent="0.25">
      <c r="A12025" s="22" t="s">
        <v>8</v>
      </c>
      <c r="B12025" s="18" t="str">
        <f>"425307"</f>
        <v>425307</v>
      </c>
      <c r="C12025" s="19" t="s">
        <v>11828</v>
      </c>
      <c r="D12025" s="19" t="s">
        <v>27431</v>
      </c>
      <c r="E12025" s="19" t="s">
        <v>31718</v>
      </c>
      <c r="F12025" s="19" t="s">
        <v>36015</v>
      </c>
      <c r="G12025" s="18" t="str">
        <f>"29661"</f>
        <v>29661</v>
      </c>
      <c r="H12025" s="19" t="s">
        <v>30817</v>
      </c>
      <c r="I12025" s="20">
        <v>17.774000000000001</v>
      </c>
      <c r="J12025" s="44" t="s">
        <v>8</v>
      </c>
      <c r="K12025" s="23" t="s">
        <v>8</v>
      </c>
      <c r="L12025" s="23" t="s">
        <v>8</v>
      </c>
      <c r="M12025" s="23" t="s">
        <v>8</v>
      </c>
    </row>
    <row r="12026" spans="1:13" s="21" customFormat="1" x14ac:dyDescent="0.25">
      <c r="A12026" s="22" t="s">
        <v>8</v>
      </c>
      <c r="B12026" s="18" t="str">
        <f>"425308"</f>
        <v>425308</v>
      </c>
      <c r="C12026" s="19" t="s">
        <v>11829</v>
      </c>
      <c r="D12026" s="19" t="s">
        <v>27432</v>
      </c>
      <c r="E12026" s="19" t="s">
        <v>35050</v>
      </c>
      <c r="F12026" s="19" t="s">
        <v>36015</v>
      </c>
      <c r="G12026" s="18" t="str">
        <f>"29802"</f>
        <v>29802</v>
      </c>
      <c r="H12026" s="19" t="s">
        <v>35050</v>
      </c>
      <c r="I12026" s="20">
        <v>18.236999999999998</v>
      </c>
      <c r="J12026" s="44" t="s">
        <v>8</v>
      </c>
      <c r="K12026" s="23" t="s">
        <v>8</v>
      </c>
      <c r="L12026" s="23" t="s">
        <v>8</v>
      </c>
      <c r="M12026" s="23" t="s">
        <v>8</v>
      </c>
    </row>
    <row r="12027" spans="1:13" s="21" customFormat="1" x14ac:dyDescent="0.25">
      <c r="A12027" s="22" t="s">
        <v>8</v>
      </c>
      <c r="B12027" s="18" t="str">
        <f>"425309"</f>
        <v>425309</v>
      </c>
      <c r="C12027" s="19" t="s">
        <v>11830</v>
      </c>
      <c r="D12027" s="19" t="s">
        <v>27433</v>
      </c>
      <c r="E12027" s="19" t="s">
        <v>31055</v>
      </c>
      <c r="F12027" s="19" t="s">
        <v>36015</v>
      </c>
      <c r="G12027" s="18" t="str">
        <f>"29560"</f>
        <v>29560</v>
      </c>
      <c r="H12027" s="19" t="s">
        <v>30829</v>
      </c>
      <c r="I12027" s="20">
        <v>22.053999999999998</v>
      </c>
      <c r="J12027" s="44" t="s">
        <v>8</v>
      </c>
      <c r="K12027" s="23" t="s">
        <v>8</v>
      </c>
      <c r="L12027" s="23" t="s">
        <v>8</v>
      </c>
      <c r="M12027" s="23" t="s">
        <v>8</v>
      </c>
    </row>
    <row r="12028" spans="1:13" s="21" customFormat="1" x14ac:dyDescent="0.25">
      <c r="A12028" s="22" t="s">
        <v>8</v>
      </c>
      <c r="B12028" s="18" t="str">
        <f>"425310"</f>
        <v>425310</v>
      </c>
      <c r="C12028" s="19" t="s">
        <v>11831</v>
      </c>
      <c r="D12028" s="19" t="s">
        <v>27434</v>
      </c>
      <c r="E12028" s="19" t="s">
        <v>35065</v>
      </c>
      <c r="F12028" s="19" t="s">
        <v>36015</v>
      </c>
      <c r="G12028" s="18" t="str">
        <f>"29154"</f>
        <v>29154</v>
      </c>
      <c r="H12028" s="19" t="s">
        <v>35065</v>
      </c>
      <c r="I12028" s="20">
        <v>20.228000000000002</v>
      </c>
      <c r="J12028" s="44" t="s">
        <v>8</v>
      </c>
      <c r="K12028" s="23" t="s">
        <v>8</v>
      </c>
      <c r="L12028" s="23" t="s">
        <v>8</v>
      </c>
      <c r="M12028" s="23" t="s">
        <v>8</v>
      </c>
    </row>
    <row r="12029" spans="1:13" s="21" customFormat="1" x14ac:dyDescent="0.25">
      <c r="A12029" s="22" t="s">
        <v>8</v>
      </c>
      <c r="B12029" s="18" t="str">
        <f>"425311"</f>
        <v>425311</v>
      </c>
      <c r="C12029" s="19" t="s">
        <v>11832</v>
      </c>
      <c r="D12029" s="19" t="s">
        <v>27435</v>
      </c>
      <c r="E12029" s="19" t="s">
        <v>35050</v>
      </c>
      <c r="F12029" s="19" t="s">
        <v>36015</v>
      </c>
      <c r="G12029" s="18" t="str">
        <f>"29803"</f>
        <v>29803</v>
      </c>
      <c r="H12029" s="19" t="s">
        <v>35050</v>
      </c>
      <c r="I12029" s="20">
        <v>25.279</v>
      </c>
      <c r="J12029" s="44" t="s">
        <v>8</v>
      </c>
      <c r="K12029" s="23" t="s">
        <v>8</v>
      </c>
      <c r="L12029" s="23" t="s">
        <v>8</v>
      </c>
      <c r="M12029" s="23" t="s">
        <v>8</v>
      </c>
    </row>
    <row r="12030" spans="1:13" s="21" customFormat="1" x14ac:dyDescent="0.25">
      <c r="A12030" s="22" t="s">
        <v>8</v>
      </c>
      <c r="B12030" s="18" t="str">
        <f>"425312"</f>
        <v>425312</v>
      </c>
      <c r="C12030" s="19" t="s">
        <v>11833</v>
      </c>
      <c r="D12030" s="19" t="s">
        <v>27436</v>
      </c>
      <c r="E12030" s="19" t="s">
        <v>35044</v>
      </c>
      <c r="F12030" s="19" t="s">
        <v>36015</v>
      </c>
      <c r="G12030" s="18" t="str">
        <f>"29574"</f>
        <v>29574</v>
      </c>
      <c r="H12030" s="19" t="s">
        <v>30850</v>
      </c>
      <c r="I12030" s="20">
        <v>21.225000000000001</v>
      </c>
      <c r="J12030" s="44" t="s">
        <v>8</v>
      </c>
      <c r="K12030" s="23" t="s">
        <v>8</v>
      </c>
      <c r="L12030" s="23" t="s">
        <v>8</v>
      </c>
      <c r="M12030" s="23" t="s">
        <v>8</v>
      </c>
    </row>
    <row r="12031" spans="1:13" s="21" customFormat="1" x14ac:dyDescent="0.25">
      <c r="A12031" s="22" t="s">
        <v>8</v>
      </c>
      <c r="B12031" s="18" t="str">
        <f>"425314"</f>
        <v>425314</v>
      </c>
      <c r="C12031" s="19" t="s">
        <v>11834</v>
      </c>
      <c r="D12031" s="19" t="s">
        <v>27437</v>
      </c>
      <c r="E12031" s="19" t="s">
        <v>30890</v>
      </c>
      <c r="F12031" s="19" t="s">
        <v>36015</v>
      </c>
      <c r="G12031" s="18" t="str">
        <f>"29673"</f>
        <v>29673</v>
      </c>
      <c r="H12031" s="19" t="s">
        <v>30817</v>
      </c>
      <c r="I12031" s="20">
        <v>20.457000000000001</v>
      </c>
      <c r="J12031" s="44" t="s">
        <v>8</v>
      </c>
      <c r="K12031" s="23" t="s">
        <v>8</v>
      </c>
      <c r="L12031" s="23" t="s">
        <v>8</v>
      </c>
      <c r="M12031" s="23" t="s">
        <v>8</v>
      </c>
    </row>
    <row r="12032" spans="1:13" s="21" customFormat="1" x14ac:dyDescent="0.25">
      <c r="A12032" s="22" t="s">
        <v>8</v>
      </c>
      <c r="B12032" s="18" t="str">
        <f>"425315"</f>
        <v>425315</v>
      </c>
      <c r="C12032" s="19" t="s">
        <v>11835</v>
      </c>
      <c r="D12032" s="19" t="s">
        <v>27438</v>
      </c>
      <c r="E12032" s="19" t="s">
        <v>35084</v>
      </c>
      <c r="F12032" s="19" t="s">
        <v>36015</v>
      </c>
      <c r="G12032" s="18" t="str">
        <f>"29918"</f>
        <v>29918</v>
      </c>
      <c r="H12032" s="19" t="s">
        <v>32453</v>
      </c>
      <c r="I12032" s="20">
        <v>18.917999999999999</v>
      </c>
      <c r="J12032" s="44" t="s">
        <v>8</v>
      </c>
      <c r="K12032" s="23" t="s">
        <v>8</v>
      </c>
      <c r="L12032" s="23" t="s">
        <v>8</v>
      </c>
      <c r="M12032" s="23" t="s">
        <v>8</v>
      </c>
    </row>
    <row r="12033" spans="1:13" s="21" customFormat="1" x14ac:dyDescent="0.25">
      <c r="A12033" s="22" t="s">
        <v>8</v>
      </c>
      <c r="B12033" s="18" t="str">
        <f>"425316"</f>
        <v>425316</v>
      </c>
      <c r="C12033" s="19" t="s">
        <v>11836</v>
      </c>
      <c r="D12033" s="19" t="s">
        <v>27439</v>
      </c>
      <c r="E12033" s="19" t="s">
        <v>32636</v>
      </c>
      <c r="F12033" s="19" t="s">
        <v>36015</v>
      </c>
      <c r="G12033" s="18" t="str">
        <f>"29349"</f>
        <v>29349</v>
      </c>
      <c r="H12033" s="19" t="s">
        <v>35052</v>
      </c>
      <c r="I12033" s="20">
        <v>19.648</v>
      </c>
      <c r="J12033" s="44" t="s">
        <v>8</v>
      </c>
      <c r="K12033" s="23" t="s">
        <v>8</v>
      </c>
      <c r="L12033" s="23" t="s">
        <v>8</v>
      </c>
      <c r="M12033" s="23" t="s">
        <v>8</v>
      </c>
    </row>
    <row r="12034" spans="1:13" s="21" customFormat="1" x14ac:dyDescent="0.25">
      <c r="A12034" s="22" t="s">
        <v>8</v>
      </c>
      <c r="B12034" s="18" t="str">
        <f>"425317"</f>
        <v>425317</v>
      </c>
      <c r="C12034" s="19" t="s">
        <v>11837</v>
      </c>
      <c r="D12034" s="19" t="s">
        <v>27440</v>
      </c>
      <c r="E12034" s="19" t="s">
        <v>35085</v>
      </c>
      <c r="F12034" s="19" t="s">
        <v>36015</v>
      </c>
      <c r="G12034" s="18" t="str">
        <f>"29655"</f>
        <v>29655</v>
      </c>
      <c r="H12034" s="19" t="s">
        <v>32202</v>
      </c>
      <c r="I12034" s="20">
        <v>20.117000000000001</v>
      </c>
      <c r="J12034" s="44" t="s">
        <v>8</v>
      </c>
      <c r="K12034" s="23" t="s">
        <v>8</v>
      </c>
      <c r="L12034" s="23" t="s">
        <v>8</v>
      </c>
      <c r="M12034" s="23" t="s">
        <v>8</v>
      </c>
    </row>
    <row r="12035" spans="1:13" s="21" customFormat="1" x14ac:dyDescent="0.25">
      <c r="A12035" s="22" t="s">
        <v>8</v>
      </c>
      <c r="B12035" s="18" t="str">
        <f>"425319"</f>
        <v>425319</v>
      </c>
      <c r="C12035" s="19" t="s">
        <v>11838</v>
      </c>
      <c r="D12035" s="19" t="s">
        <v>27441</v>
      </c>
      <c r="E12035" s="19" t="s">
        <v>35086</v>
      </c>
      <c r="F12035" s="19" t="s">
        <v>36015</v>
      </c>
      <c r="G12035" s="18" t="str">
        <f>"29817"</f>
        <v>29817</v>
      </c>
      <c r="H12035" s="19" t="s">
        <v>35041</v>
      </c>
      <c r="I12035" s="20">
        <v>19.782</v>
      </c>
      <c r="J12035" s="44" t="s">
        <v>8</v>
      </c>
      <c r="K12035" s="23" t="s">
        <v>8</v>
      </c>
      <c r="L12035" s="23" t="s">
        <v>8</v>
      </c>
      <c r="M12035" s="23" t="s">
        <v>8</v>
      </c>
    </row>
    <row r="12036" spans="1:13" s="21" customFormat="1" x14ac:dyDescent="0.25">
      <c r="A12036" s="22" t="s">
        <v>8</v>
      </c>
      <c r="B12036" s="18" t="str">
        <f>"425320"</f>
        <v>425320</v>
      </c>
      <c r="C12036" s="19" t="s">
        <v>11839</v>
      </c>
      <c r="D12036" s="19" t="s">
        <v>27442</v>
      </c>
      <c r="E12036" s="19" t="s">
        <v>35081</v>
      </c>
      <c r="F12036" s="19" t="s">
        <v>36015</v>
      </c>
      <c r="G12036" s="18" t="str">
        <f>"29841"</f>
        <v>29841</v>
      </c>
      <c r="H12036" s="19" t="s">
        <v>35050</v>
      </c>
      <c r="I12036" s="20">
        <v>18.3</v>
      </c>
      <c r="J12036" s="44" t="s">
        <v>8</v>
      </c>
      <c r="K12036" s="23" t="s">
        <v>8</v>
      </c>
      <c r="L12036" s="23" t="s">
        <v>8</v>
      </c>
      <c r="M12036" s="23" t="s">
        <v>8</v>
      </c>
    </row>
    <row r="12037" spans="1:13" s="21" customFormat="1" x14ac:dyDescent="0.25">
      <c r="A12037" s="22" t="s">
        <v>8</v>
      </c>
      <c r="B12037" s="18" t="str">
        <f>"425321"</f>
        <v>425321</v>
      </c>
      <c r="C12037" s="19" t="s">
        <v>11840</v>
      </c>
      <c r="D12037" s="19" t="s">
        <v>27443</v>
      </c>
      <c r="E12037" s="19" t="s">
        <v>32692</v>
      </c>
      <c r="F12037" s="19" t="s">
        <v>36015</v>
      </c>
      <c r="G12037" s="18" t="str">
        <f>"29072"</f>
        <v>29072</v>
      </c>
      <c r="H12037" s="19" t="s">
        <v>32692</v>
      </c>
      <c r="I12037" s="20">
        <v>15.215999999999999</v>
      </c>
      <c r="J12037" s="44" t="s">
        <v>8</v>
      </c>
      <c r="K12037" s="23" t="s">
        <v>8</v>
      </c>
      <c r="L12037" s="23" t="s">
        <v>8</v>
      </c>
      <c r="M12037" s="23" t="s">
        <v>8</v>
      </c>
    </row>
    <row r="12038" spans="1:13" s="21" customFormat="1" x14ac:dyDescent="0.25">
      <c r="A12038" s="22" t="s">
        <v>8</v>
      </c>
      <c r="B12038" s="18" t="str">
        <f>"425322"</f>
        <v>425322</v>
      </c>
      <c r="C12038" s="19" t="s">
        <v>11841</v>
      </c>
      <c r="D12038" s="19" t="s">
        <v>27444</v>
      </c>
      <c r="E12038" s="19" t="s">
        <v>35049</v>
      </c>
      <c r="F12038" s="19" t="s">
        <v>36015</v>
      </c>
      <c r="G12038" s="18" t="str">
        <f>"29650"</f>
        <v>29650</v>
      </c>
      <c r="H12038" s="19" t="s">
        <v>30817</v>
      </c>
      <c r="I12038" s="20">
        <v>17.782</v>
      </c>
      <c r="J12038" s="44" t="s">
        <v>8</v>
      </c>
      <c r="K12038" s="23" t="s">
        <v>8</v>
      </c>
      <c r="L12038" s="23" t="s">
        <v>8</v>
      </c>
      <c r="M12038" s="23" t="s">
        <v>8</v>
      </c>
    </row>
    <row r="12039" spans="1:13" s="21" customFormat="1" x14ac:dyDescent="0.25">
      <c r="A12039" s="22" t="s">
        <v>8</v>
      </c>
      <c r="B12039" s="18" t="str">
        <f>"425323"</f>
        <v>425323</v>
      </c>
      <c r="C12039" s="19" t="s">
        <v>11842</v>
      </c>
      <c r="D12039" s="19" t="s">
        <v>27445</v>
      </c>
      <c r="E12039" s="19" t="s">
        <v>35057</v>
      </c>
      <c r="F12039" s="19" t="s">
        <v>36015</v>
      </c>
      <c r="G12039" s="18" t="str">
        <f>"29588"</f>
        <v>29588</v>
      </c>
      <c r="H12039" s="19" t="s">
        <v>36745</v>
      </c>
      <c r="I12039" s="20">
        <v>17.408999999999999</v>
      </c>
      <c r="J12039" s="44" t="s">
        <v>8</v>
      </c>
      <c r="K12039" s="23" t="s">
        <v>8</v>
      </c>
      <c r="L12039" s="23" t="s">
        <v>8</v>
      </c>
      <c r="M12039" s="23" t="s">
        <v>8</v>
      </c>
    </row>
    <row r="12040" spans="1:13" s="21" customFormat="1" x14ac:dyDescent="0.25">
      <c r="A12040" s="22" t="s">
        <v>8</v>
      </c>
      <c r="B12040" s="18" t="str">
        <f>"425324"</f>
        <v>425324</v>
      </c>
      <c r="C12040" s="19" t="s">
        <v>11843</v>
      </c>
      <c r="D12040" s="19" t="s">
        <v>27446</v>
      </c>
      <c r="E12040" s="19" t="s">
        <v>32574</v>
      </c>
      <c r="F12040" s="19" t="s">
        <v>36015</v>
      </c>
      <c r="G12040" s="18" t="str">
        <f>"29576"</f>
        <v>29576</v>
      </c>
      <c r="H12040" s="19" t="s">
        <v>36745</v>
      </c>
      <c r="I12040" s="20">
        <v>21.254999999999999</v>
      </c>
      <c r="J12040" s="44" t="s">
        <v>8</v>
      </c>
      <c r="K12040" s="23" t="s">
        <v>8</v>
      </c>
      <c r="L12040" s="23" t="s">
        <v>8</v>
      </c>
      <c r="M12040" s="23" t="s">
        <v>8</v>
      </c>
    </row>
    <row r="12041" spans="1:13" s="21" customFormat="1" x14ac:dyDescent="0.25">
      <c r="A12041" s="22" t="s">
        <v>8</v>
      </c>
      <c r="B12041" s="18" t="str">
        <f>"425325"</f>
        <v>425325</v>
      </c>
      <c r="C12041" s="19" t="s">
        <v>11844</v>
      </c>
      <c r="D12041" s="19" t="s">
        <v>27447</v>
      </c>
      <c r="E12041" s="19" t="s">
        <v>35072</v>
      </c>
      <c r="F12041" s="19" t="s">
        <v>36015</v>
      </c>
      <c r="G12041" s="18" t="str">
        <f>"29926"</f>
        <v>29926</v>
      </c>
      <c r="H12041" s="19" t="s">
        <v>35056</v>
      </c>
      <c r="I12041" s="20">
        <v>21.428999999999998</v>
      </c>
      <c r="J12041" s="44" t="s">
        <v>8</v>
      </c>
      <c r="K12041" s="23" t="s">
        <v>8</v>
      </c>
      <c r="L12041" s="23" t="s">
        <v>8</v>
      </c>
      <c r="M12041" s="23" t="s">
        <v>8</v>
      </c>
    </row>
    <row r="12042" spans="1:13" s="21" customFormat="1" x14ac:dyDescent="0.25">
      <c r="A12042" s="22" t="s">
        <v>8</v>
      </c>
      <c r="B12042" s="18" t="str">
        <f>"425326"</f>
        <v>425326</v>
      </c>
      <c r="C12042" s="19" t="s">
        <v>11845</v>
      </c>
      <c r="D12042" s="19" t="s">
        <v>27448</v>
      </c>
      <c r="E12042" s="19" t="s">
        <v>31770</v>
      </c>
      <c r="F12042" s="19" t="s">
        <v>36015</v>
      </c>
      <c r="G12042" s="18" t="str">
        <f>"29485"</f>
        <v>29485</v>
      </c>
      <c r="H12042" s="19" t="s">
        <v>33086</v>
      </c>
      <c r="I12042" s="20">
        <v>18.532</v>
      </c>
      <c r="J12042" s="44" t="s">
        <v>8</v>
      </c>
      <c r="K12042" s="23" t="s">
        <v>8</v>
      </c>
      <c r="L12042" s="23" t="s">
        <v>8</v>
      </c>
      <c r="M12042" s="23" t="s">
        <v>8</v>
      </c>
    </row>
    <row r="12043" spans="1:13" s="21" customFormat="1" x14ac:dyDescent="0.25">
      <c r="A12043" s="22" t="s">
        <v>8</v>
      </c>
      <c r="B12043" s="18" t="str">
        <f>"425332"</f>
        <v>425332</v>
      </c>
      <c r="C12043" s="19" t="s">
        <v>11846</v>
      </c>
      <c r="D12043" s="19" t="s">
        <v>27449</v>
      </c>
      <c r="E12043" s="19" t="s">
        <v>35087</v>
      </c>
      <c r="F12043" s="19" t="s">
        <v>36015</v>
      </c>
      <c r="G12043" s="18" t="str">
        <f>"29406"</f>
        <v>29406</v>
      </c>
      <c r="H12043" s="19" t="s">
        <v>31091</v>
      </c>
      <c r="I12043" s="20">
        <v>19.61</v>
      </c>
      <c r="J12043" s="44" t="s">
        <v>8</v>
      </c>
      <c r="K12043" s="23" t="s">
        <v>8</v>
      </c>
      <c r="L12043" s="23" t="s">
        <v>8</v>
      </c>
      <c r="M12043" s="23" t="s">
        <v>8</v>
      </c>
    </row>
    <row r="12044" spans="1:13" s="21" customFormat="1" x14ac:dyDescent="0.25">
      <c r="A12044" s="22" t="s">
        <v>8</v>
      </c>
      <c r="B12044" s="18" t="str">
        <f>"425333"</f>
        <v>425333</v>
      </c>
      <c r="C12044" s="19" t="s">
        <v>11847</v>
      </c>
      <c r="D12044" s="19" t="s">
        <v>27450</v>
      </c>
      <c r="E12044" s="19" t="s">
        <v>35064</v>
      </c>
      <c r="F12044" s="19" t="s">
        <v>36015</v>
      </c>
      <c r="G12044" s="18" t="str">
        <f>"29169"</f>
        <v>29169</v>
      </c>
      <c r="H12044" s="19" t="s">
        <v>32692</v>
      </c>
      <c r="I12044" s="20">
        <v>16.265999999999998</v>
      </c>
      <c r="J12044" s="44" t="s">
        <v>8</v>
      </c>
      <c r="K12044" s="23" t="s">
        <v>8</v>
      </c>
      <c r="L12044" s="23" t="s">
        <v>8</v>
      </c>
      <c r="M12044" s="23" t="s">
        <v>8</v>
      </c>
    </row>
    <row r="12045" spans="1:13" s="21" customFormat="1" x14ac:dyDescent="0.25">
      <c r="A12045" s="22" t="s">
        <v>8</v>
      </c>
      <c r="B12045" s="18" t="str">
        <f>"425334"</f>
        <v>425334</v>
      </c>
      <c r="C12045" s="19" t="s">
        <v>11848</v>
      </c>
      <c r="D12045" s="19" t="s">
        <v>27451</v>
      </c>
      <c r="E12045" s="19" t="s">
        <v>32386</v>
      </c>
      <c r="F12045" s="19" t="s">
        <v>36015</v>
      </c>
      <c r="G12045" s="18" t="str">
        <f>"29360"</f>
        <v>29360</v>
      </c>
      <c r="H12045" s="19" t="s">
        <v>32386</v>
      </c>
      <c r="I12045" s="20">
        <v>18.567</v>
      </c>
      <c r="J12045" s="44" t="s">
        <v>8</v>
      </c>
      <c r="K12045" s="23" t="s">
        <v>8</v>
      </c>
      <c r="L12045" s="23" t="s">
        <v>8</v>
      </c>
      <c r="M12045" s="23" t="s">
        <v>8</v>
      </c>
    </row>
    <row r="12046" spans="1:13" s="21" customFormat="1" x14ac:dyDescent="0.25">
      <c r="A12046" s="22" t="s">
        <v>8</v>
      </c>
      <c r="B12046" s="18" t="str">
        <f>"425337"</f>
        <v>425337</v>
      </c>
      <c r="C12046" s="19" t="s">
        <v>11849</v>
      </c>
      <c r="D12046" s="19" t="s">
        <v>27452</v>
      </c>
      <c r="E12046" s="19" t="s">
        <v>32076</v>
      </c>
      <c r="F12046" s="19" t="s">
        <v>36015</v>
      </c>
      <c r="G12046" s="18" t="str">
        <f>"29223"</f>
        <v>29223</v>
      </c>
      <c r="H12046" s="19" t="s">
        <v>31785</v>
      </c>
      <c r="I12046" s="20">
        <v>19.670000000000002</v>
      </c>
      <c r="J12046" s="44" t="s">
        <v>8</v>
      </c>
      <c r="K12046" s="23" t="s">
        <v>8</v>
      </c>
      <c r="L12046" s="23" t="s">
        <v>8</v>
      </c>
      <c r="M12046" s="23" t="s">
        <v>8</v>
      </c>
    </row>
    <row r="12047" spans="1:13" s="21" customFormat="1" x14ac:dyDescent="0.25">
      <c r="A12047" s="22" t="s">
        <v>8</v>
      </c>
      <c r="B12047" s="18" t="str">
        <f>"425340"</f>
        <v>425340</v>
      </c>
      <c r="C12047" s="19" t="s">
        <v>11850</v>
      </c>
      <c r="D12047" s="19" t="s">
        <v>27453</v>
      </c>
      <c r="E12047" s="19" t="s">
        <v>32076</v>
      </c>
      <c r="F12047" s="19" t="s">
        <v>36015</v>
      </c>
      <c r="G12047" s="18" t="str">
        <f>"29203"</f>
        <v>29203</v>
      </c>
      <c r="H12047" s="19" t="s">
        <v>31785</v>
      </c>
      <c r="I12047" s="20">
        <v>17.631</v>
      </c>
      <c r="J12047" s="44" t="s">
        <v>8</v>
      </c>
      <c r="K12047" s="23" t="s">
        <v>8</v>
      </c>
      <c r="L12047" s="23" t="s">
        <v>8</v>
      </c>
      <c r="M12047" s="23" t="s">
        <v>8</v>
      </c>
    </row>
    <row r="12048" spans="1:13" s="21" customFormat="1" x14ac:dyDescent="0.25">
      <c r="A12048" s="22" t="s">
        <v>8</v>
      </c>
      <c r="B12048" s="18" t="str">
        <f>"425341"</f>
        <v>425341</v>
      </c>
      <c r="C12048" s="19" t="s">
        <v>11851</v>
      </c>
      <c r="D12048" s="19" t="s">
        <v>27454</v>
      </c>
      <c r="E12048" s="19" t="s">
        <v>35088</v>
      </c>
      <c r="F12048" s="19" t="s">
        <v>36015</v>
      </c>
      <c r="G12048" s="18" t="str">
        <f>"29479"</f>
        <v>29479</v>
      </c>
      <c r="H12048" s="19" t="s">
        <v>31248</v>
      </c>
      <c r="I12048" s="20">
        <v>20.010000000000002</v>
      </c>
      <c r="J12048" s="44" t="s">
        <v>8</v>
      </c>
      <c r="K12048" s="23" t="s">
        <v>8</v>
      </c>
      <c r="L12048" s="23" t="s">
        <v>8</v>
      </c>
      <c r="M12048" s="23" t="s">
        <v>8</v>
      </c>
    </row>
    <row r="12049" spans="1:13" s="21" customFormat="1" x14ac:dyDescent="0.25">
      <c r="A12049" s="22" t="s">
        <v>8</v>
      </c>
      <c r="B12049" s="18" t="str">
        <f>"425346"</f>
        <v>425346</v>
      </c>
      <c r="C12049" s="19" t="s">
        <v>11852</v>
      </c>
      <c r="D12049" s="19" t="s">
        <v>27455</v>
      </c>
      <c r="E12049" s="19" t="s">
        <v>35065</v>
      </c>
      <c r="F12049" s="19" t="s">
        <v>36015</v>
      </c>
      <c r="G12049" s="18" t="str">
        <f>"29150"</f>
        <v>29150</v>
      </c>
      <c r="H12049" s="19" t="s">
        <v>35065</v>
      </c>
      <c r="I12049" s="20">
        <v>19.948</v>
      </c>
      <c r="J12049" s="44" t="s">
        <v>8</v>
      </c>
      <c r="K12049" s="23" t="s">
        <v>8</v>
      </c>
      <c r="L12049" s="23" t="s">
        <v>8</v>
      </c>
      <c r="M12049" s="23" t="s">
        <v>8</v>
      </c>
    </row>
    <row r="12050" spans="1:13" s="21" customFormat="1" x14ac:dyDescent="0.25">
      <c r="A12050" s="22" t="s">
        <v>8</v>
      </c>
      <c r="B12050" s="18" t="str">
        <f>"425351"</f>
        <v>425351</v>
      </c>
      <c r="C12050" s="19" t="s">
        <v>11853</v>
      </c>
      <c r="D12050" s="19" t="s">
        <v>27456</v>
      </c>
      <c r="E12050" s="19" t="s">
        <v>35072</v>
      </c>
      <c r="F12050" s="19" t="s">
        <v>36015</v>
      </c>
      <c r="G12050" s="18" t="str">
        <f>"29928"</f>
        <v>29928</v>
      </c>
      <c r="H12050" s="19" t="s">
        <v>35056</v>
      </c>
      <c r="I12050" s="20">
        <v>18.864999999999998</v>
      </c>
      <c r="J12050" s="44" t="s">
        <v>8</v>
      </c>
      <c r="K12050" s="23" t="s">
        <v>8</v>
      </c>
      <c r="L12050" s="23" t="s">
        <v>8</v>
      </c>
      <c r="M12050" s="23" t="s">
        <v>8</v>
      </c>
    </row>
    <row r="12051" spans="1:13" s="21" customFormat="1" x14ac:dyDescent="0.25">
      <c r="A12051" s="22" t="s">
        <v>8</v>
      </c>
      <c r="B12051" s="18" t="str">
        <f>"425352"</f>
        <v>425352</v>
      </c>
      <c r="C12051" s="19" t="s">
        <v>11854</v>
      </c>
      <c r="D12051" s="19" t="s">
        <v>27457</v>
      </c>
      <c r="E12051" s="19" t="s">
        <v>32076</v>
      </c>
      <c r="F12051" s="19" t="s">
        <v>36015</v>
      </c>
      <c r="G12051" s="18" t="str">
        <f>"29223"</f>
        <v>29223</v>
      </c>
      <c r="H12051" s="19" t="s">
        <v>31785</v>
      </c>
      <c r="I12051" s="20">
        <v>14.169</v>
      </c>
      <c r="J12051" s="44" t="s">
        <v>8</v>
      </c>
      <c r="K12051" s="23" t="s">
        <v>8</v>
      </c>
      <c r="L12051" s="23" t="s">
        <v>8</v>
      </c>
      <c r="M12051" s="23" t="s">
        <v>8</v>
      </c>
    </row>
    <row r="12052" spans="1:13" s="21" customFormat="1" x14ac:dyDescent="0.25">
      <c r="A12052" s="22" t="s">
        <v>8</v>
      </c>
      <c r="B12052" s="18" t="str">
        <f>"425353"</f>
        <v>425353</v>
      </c>
      <c r="C12052" s="19" t="s">
        <v>11855</v>
      </c>
      <c r="D12052" s="19" t="s">
        <v>27458</v>
      </c>
      <c r="E12052" s="19" t="s">
        <v>31184</v>
      </c>
      <c r="F12052" s="19" t="s">
        <v>36015</v>
      </c>
      <c r="G12052" s="18" t="str">
        <f>"29720"</f>
        <v>29720</v>
      </c>
      <c r="H12052" s="19" t="s">
        <v>31184</v>
      </c>
      <c r="I12052" s="20">
        <v>22.657</v>
      </c>
      <c r="J12052" s="44" t="s">
        <v>8</v>
      </c>
      <c r="K12052" s="23" t="s">
        <v>8</v>
      </c>
      <c r="L12052" s="23" t="s">
        <v>8</v>
      </c>
      <c r="M12052" s="23" t="s">
        <v>8</v>
      </c>
    </row>
    <row r="12053" spans="1:13" s="21" customFormat="1" x14ac:dyDescent="0.25">
      <c r="A12053" s="22" t="s">
        <v>8</v>
      </c>
      <c r="B12053" s="18" t="str">
        <f>"425359"</f>
        <v>425359</v>
      </c>
      <c r="C12053" s="19" t="s">
        <v>11856</v>
      </c>
      <c r="D12053" s="19" t="s">
        <v>27459</v>
      </c>
      <c r="E12053" s="19" t="s">
        <v>30817</v>
      </c>
      <c r="F12053" s="19" t="s">
        <v>36015</v>
      </c>
      <c r="G12053" s="18" t="str">
        <f>"29607"</f>
        <v>29607</v>
      </c>
      <c r="H12053" s="19" t="s">
        <v>30817</v>
      </c>
      <c r="I12053" s="20">
        <v>14.686</v>
      </c>
      <c r="J12053" s="44" t="s">
        <v>8</v>
      </c>
      <c r="K12053" s="23" t="s">
        <v>8</v>
      </c>
      <c r="L12053" s="23" t="s">
        <v>8</v>
      </c>
      <c r="M12053" s="23" t="s">
        <v>8</v>
      </c>
    </row>
    <row r="12054" spans="1:13" s="21" customFormat="1" x14ac:dyDescent="0.25">
      <c r="A12054" s="22" t="s">
        <v>8</v>
      </c>
      <c r="B12054" s="18" t="str">
        <f>"425360"</f>
        <v>425360</v>
      </c>
      <c r="C12054" s="19" t="s">
        <v>11857</v>
      </c>
      <c r="D12054" s="19" t="s">
        <v>27343</v>
      </c>
      <c r="E12054" s="19" t="s">
        <v>32076</v>
      </c>
      <c r="F12054" s="19" t="s">
        <v>36015</v>
      </c>
      <c r="G12054" s="18" t="str">
        <f>"29203"</f>
        <v>29203</v>
      </c>
      <c r="H12054" s="19" t="s">
        <v>31785</v>
      </c>
      <c r="I12054" s="20">
        <v>18.010000000000002</v>
      </c>
      <c r="J12054" s="44" t="s">
        <v>8</v>
      </c>
      <c r="K12054" s="23" t="s">
        <v>8</v>
      </c>
      <c r="L12054" s="23" t="s">
        <v>8</v>
      </c>
      <c r="M12054" s="23" t="s">
        <v>8</v>
      </c>
    </row>
    <row r="12055" spans="1:13" s="21" customFormat="1" x14ac:dyDescent="0.25">
      <c r="A12055" s="22" t="s">
        <v>8</v>
      </c>
      <c r="B12055" s="18" t="str">
        <f>"425361"</f>
        <v>425361</v>
      </c>
      <c r="C12055" s="19" t="s">
        <v>11858</v>
      </c>
      <c r="D12055" s="19" t="s">
        <v>27460</v>
      </c>
      <c r="E12055" s="19" t="s">
        <v>30817</v>
      </c>
      <c r="F12055" s="19" t="s">
        <v>36015</v>
      </c>
      <c r="G12055" s="18" t="str">
        <f>"29607"</f>
        <v>29607</v>
      </c>
      <c r="H12055" s="19" t="s">
        <v>30817</v>
      </c>
      <c r="I12055" s="20">
        <v>17.541</v>
      </c>
      <c r="J12055" s="44" t="s">
        <v>8</v>
      </c>
      <c r="K12055" s="23" t="s">
        <v>8</v>
      </c>
      <c r="L12055" s="23" t="s">
        <v>8</v>
      </c>
      <c r="M12055" s="23" t="s">
        <v>8</v>
      </c>
    </row>
    <row r="12056" spans="1:13" s="21" customFormat="1" x14ac:dyDescent="0.25">
      <c r="A12056" s="22" t="s">
        <v>8</v>
      </c>
      <c r="B12056" s="18" t="str">
        <f>"425362"</f>
        <v>425362</v>
      </c>
      <c r="C12056" s="19" t="s">
        <v>11859</v>
      </c>
      <c r="D12056" s="19" t="s">
        <v>27461</v>
      </c>
      <c r="E12056" s="19" t="s">
        <v>31091</v>
      </c>
      <c r="F12056" s="19" t="s">
        <v>36015</v>
      </c>
      <c r="G12056" s="18" t="str">
        <f>"29407"</f>
        <v>29407</v>
      </c>
      <c r="H12056" s="19" t="s">
        <v>31091</v>
      </c>
      <c r="I12056" s="20">
        <v>17.719000000000001</v>
      </c>
      <c r="J12056" s="44" t="s">
        <v>8</v>
      </c>
      <c r="K12056" s="23" t="s">
        <v>8</v>
      </c>
      <c r="L12056" s="23" t="s">
        <v>8</v>
      </c>
      <c r="M12056" s="23" t="s">
        <v>8</v>
      </c>
    </row>
    <row r="12057" spans="1:13" s="21" customFormat="1" x14ac:dyDescent="0.25">
      <c r="A12057" s="22" t="s">
        <v>8</v>
      </c>
      <c r="B12057" s="18" t="str">
        <f>"425368"</f>
        <v>425368</v>
      </c>
      <c r="C12057" s="19" t="s">
        <v>11860</v>
      </c>
      <c r="D12057" s="19" t="s">
        <v>27462</v>
      </c>
      <c r="E12057" s="19" t="s">
        <v>35089</v>
      </c>
      <c r="F12057" s="19" t="s">
        <v>36015</v>
      </c>
      <c r="G12057" s="18" t="str">
        <f>"29455"</f>
        <v>29455</v>
      </c>
      <c r="H12057" s="19" t="s">
        <v>31091</v>
      </c>
      <c r="I12057" s="20">
        <v>16.238</v>
      </c>
      <c r="J12057" s="44" t="s">
        <v>8</v>
      </c>
      <c r="K12057" s="23" t="s">
        <v>8</v>
      </c>
      <c r="L12057" s="23" t="s">
        <v>8</v>
      </c>
      <c r="M12057" s="23" t="s">
        <v>8</v>
      </c>
    </row>
    <row r="12058" spans="1:13" s="21" customFormat="1" x14ac:dyDescent="0.25">
      <c r="A12058" s="22" t="s">
        <v>8</v>
      </c>
      <c r="B12058" s="18" t="str">
        <f>"425369"</f>
        <v>425369</v>
      </c>
      <c r="C12058" s="19" t="s">
        <v>11861</v>
      </c>
      <c r="D12058" s="19" t="s">
        <v>27463</v>
      </c>
      <c r="E12058" s="19" t="s">
        <v>31081</v>
      </c>
      <c r="F12058" s="19" t="s">
        <v>36015</v>
      </c>
      <c r="G12058" s="18" t="str">
        <f>"29325"</f>
        <v>29325</v>
      </c>
      <c r="H12058" s="19" t="s">
        <v>32386</v>
      </c>
      <c r="I12058" s="20">
        <v>16.814</v>
      </c>
      <c r="J12058" s="44" t="s">
        <v>8</v>
      </c>
      <c r="K12058" s="23" t="s">
        <v>8</v>
      </c>
      <c r="L12058" s="23" t="s">
        <v>8</v>
      </c>
      <c r="M12058" s="23" t="s">
        <v>8</v>
      </c>
    </row>
    <row r="12059" spans="1:13" s="21" customFormat="1" x14ac:dyDescent="0.25">
      <c r="A12059" s="22" t="s">
        <v>8</v>
      </c>
      <c r="B12059" s="18" t="str">
        <f>"425370"</f>
        <v>425370</v>
      </c>
      <c r="C12059" s="19" t="s">
        <v>11862</v>
      </c>
      <c r="D12059" s="19" t="s">
        <v>27464</v>
      </c>
      <c r="E12059" s="19" t="s">
        <v>33374</v>
      </c>
      <c r="F12059" s="19" t="s">
        <v>36015</v>
      </c>
      <c r="G12059" s="18" t="str">
        <f>"29061"</f>
        <v>29061</v>
      </c>
      <c r="H12059" s="19" t="s">
        <v>31785</v>
      </c>
      <c r="I12059" s="20">
        <v>17.677</v>
      </c>
      <c r="J12059" s="44" t="s">
        <v>8</v>
      </c>
      <c r="K12059" s="23" t="s">
        <v>8</v>
      </c>
      <c r="L12059" s="23" t="s">
        <v>8</v>
      </c>
      <c r="M12059" s="23" t="s">
        <v>8</v>
      </c>
    </row>
    <row r="12060" spans="1:13" s="21" customFormat="1" x14ac:dyDescent="0.25">
      <c r="A12060" s="22" t="s">
        <v>8</v>
      </c>
      <c r="B12060" s="18" t="str">
        <f>"425372"</f>
        <v>425372</v>
      </c>
      <c r="C12060" s="19" t="s">
        <v>11863</v>
      </c>
      <c r="D12060" s="19" t="s">
        <v>27465</v>
      </c>
      <c r="E12060" s="19" t="s">
        <v>35045</v>
      </c>
      <c r="F12060" s="19" t="s">
        <v>36015</v>
      </c>
      <c r="G12060" s="18" t="str">
        <f>"29532"</f>
        <v>29532</v>
      </c>
      <c r="H12060" s="19" t="s">
        <v>35045</v>
      </c>
      <c r="I12060" s="20">
        <v>20.491</v>
      </c>
      <c r="J12060" s="44" t="s">
        <v>8</v>
      </c>
      <c r="K12060" s="23" t="s">
        <v>8</v>
      </c>
      <c r="L12060" s="23" t="s">
        <v>8</v>
      </c>
      <c r="M12060" s="23" t="s">
        <v>8</v>
      </c>
    </row>
    <row r="12061" spans="1:13" s="21" customFormat="1" x14ac:dyDescent="0.25">
      <c r="A12061" s="22" t="s">
        <v>8</v>
      </c>
      <c r="B12061" s="18" t="str">
        <f>"425373"</f>
        <v>425373</v>
      </c>
      <c r="C12061" s="19" t="s">
        <v>11864</v>
      </c>
      <c r="D12061" s="19" t="s">
        <v>27466</v>
      </c>
      <c r="E12061" s="19" t="s">
        <v>30817</v>
      </c>
      <c r="F12061" s="19" t="s">
        <v>36015</v>
      </c>
      <c r="G12061" s="18" t="str">
        <f>"29615"</f>
        <v>29615</v>
      </c>
      <c r="H12061" s="19" t="s">
        <v>30817</v>
      </c>
      <c r="I12061" s="20">
        <v>24.05</v>
      </c>
      <c r="J12061" s="44" t="s">
        <v>8</v>
      </c>
      <c r="K12061" s="23" t="s">
        <v>8</v>
      </c>
      <c r="L12061" s="23" t="s">
        <v>8</v>
      </c>
      <c r="M12061" s="23" t="s">
        <v>8</v>
      </c>
    </row>
    <row r="12062" spans="1:13" s="21" customFormat="1" x14ac:dyDescent="0.25">
      <c r="A12062" s="22" t="s">
        <v>8</v>
      </c>
      <c r="B12062" s="18" t="str">
        <f>"425374"</f>
        <v>425374</v>
      </c>
      <c r="C12062" s="19" t="s">
        <v>11865</v>
      </c>
      <c r="D12062" s="19" t="s">
        <v>27467</v>
      </c>
      <c r="E12062" s="19" t="s">
        <v>32348</v>
      </c>
      <c r="F12062" s="19" t="s">
        <v>36015</v>
      </c>
      <c r="G12062" s="18" t="str">
        <f>"29464"</f>
        <v>29464</v>
      </c>
      <c r="H12062" s="19" t="s">
        <v>31091</v>
      </c>
      <c r="I12062" s="20">
        <v>17.806999999999999</v>
      </c>
      <c r="J12062" s="44" t="s">
        <v>8</v>
      </c>
      <c r="K12062" s="23" t="s">
        <v>8</v>
      </c>
      <c r="L12062" s="23" t="s">
        <v>8</v>
      </c>
      <c r="M12062" s="23" t="s">
        <v>8</v>
      </c>
    </row>
    <row r="12063" spans="1:13" s="21" customFormat="1" x14ac:dyDescent="0.25">
      <c r="A12063" s="22" t="s">
        <v>8</v>
      </c>
      <c r="B12063" s="18" t="str">
        <f>"425375"</f>
        <v>425375</v>
      </c>
      <c r="C12063" s="19" t="s">
        <v>11866</v>
      </c>
      <c r="D12063" s="19" t="s">
        <v>27468</v>
      </c>
      <c r="E12063" s="19" t="s">
        <v>35060</v>
      </c>
      <c r="F12063" s="19" t="s">
        <v>36015</v>
      </c>
      <c r="G12063" s="18" t="str">
        <f>"29732"</f>
        <v>29732</v>
      </c>
      <c r="H12063" s="19" t="s">
        <v>30834</v>
      </c>
      <c r="I12063" s="20">
        <v>19.606000000000002</v>
      </c>
      <c r="J12063" s="44" t="s">
        <v>8</v>
      </c>
      <c r="K12063" s="23" t="s">
        <v>8</v>
      </c>
      <c r="L12063" s="23" t="s">
        <v>8</v>
      </c>
      <c r="M12063" s="23" t="s">
        <v>8</v>
      </c>
    </row>
    <row r="12064" spans="1:13" s="21" customFormat="1" x14ac:dyDescent="0.25">
      <c r="A12064" s="22" t="s">
        <v>8</v>
      </c>
      <c r="B12064" s="18" t="str">
        <f>"425376"</f>
        <v>425376</v>
      </c>
      <c r="C12064" s="19" t="s">
        <v>11867</v>
      </c>
      <c r="D12064" s="19" t="s">
        <v>27469</v>
      </c>
      <c r="E12064" s="19" t="s">
        <v>32636</v>
      </c>
      <c r="F12064" s="19" t="s">
        <v>36015</v>
      </c>
      <c r="G12064" s="18" t="str">
        <f>"29349"</f>
        <v>29349</v>
      </c>
      <c r="H12064" s="19" t="s">
        <v>35052</v>
      </c>
      <c r="I12064" s="20">
        <v>19.835999999999999</v>
      </c>
      <c r="J12064" s="44" t="s">
        <v>8</v>
      </c>
      <c r="K12064" s="23" t="s">
        <v>8</v>
      </c>
      <c r="L12064" s="23" t="s">
        <v>8</v>
      </c>
      <c r="M12064" s="23" t="s">
        <v>8</v>
      </c>
    </row>
    <row r="12065" spans="1:13" s="21" customFormat="1" x14ac:dyDescent="0.25">
      <c r="A12065" s="22" t="s">
        <v>8</v>
      </c>
      <c r="B12065" s="18" t="str">
        <f>"425379"</f>
        <v>425379</v>
      </c>
      <c r="C12065" s="19" t="s">
        <v>11868</v>
      </c>
      <c r="D12065" s="19" t="s">
        <v>27470</v>
      </c>
      <c r="E12065" s="19" t="s">
        <v>35064</v>
      </c>
      <c r="F12065" s="19" t="s">
        <v>36015</v>
      </c>
      <c r="G12065" s="18" t="str">
        <f>"29169"</f>
        <v>29169</v>
      </c>
      <c r="H12065" s="19" t="s">
        <v>32692</v>
      </c>
      <c r="I12065" s="20">
        <v>16.622</v>
      </c>
      <c r="J12065" s="44" t="s">
        <v>8</v>
      </c>
      <c r="K12065" s="23" t="s">
        <v>8</v>
      </c>
      <c r="L12065" s="23" t="s">
        <v>8</v>
      </c>
      <c r="M12065" s="23" t="s">
        <v>8</v>
      </c>
    </row>
    <row r="12066" spans="1:13" s="21" customFormat="1" x14ac:dyDescent="0.25">
      <c r="A12066" s="22" t="s">
        <v>8</v>
      </c>
      <c r="B12066" s="18" t="str">
        <f>"425380"</f>
        <v>425380</v>
      </c>
      <c r="C12066" s="19" t="s">
        <v>11869</v>
      </c>
      <c r="D12066" s="19" t="s">
        <v>27471</v>
      </c>
      <c r="E12066" s="19" t="s">
        <v>35090</v>
      </c>
      <c r="F12066" s="19" t="s">
        <v>36015</v>
      </c>
      <c r="G12066" s="18" t="str">
        <f>"29585"</f>
        <v>29585</v>
      </c>
      <c r="H12066" s="19" t="s">
        <v>31495</v>
      </c>
      <c r="I12066" s="20">
        <v>17.922000000000001</v>
      </c>
      <c r="J12066" s="44" t="s">
        <v>8</v>
      </c>
      <c r="K12066" s="23" t="s">
        <v>8</v>
      </c>
      <c r="L12066" s="23" t="s">
        <v>8</v>
      </c>
      <c r="M12066" s="23" t="s">
        <v>8</v>
      </c>
    </row>
    <row r="12067" spans="1:13" s="21" customFormat="1" x14ac:dyDescent="0.25">
      <c r="A12067" s="22" t="s">
        <v>8</v>
      </c>
      <c r="B12067" s="18" t="str">
        <f>"425381"</f>
        <v>425381</v>
      </c>
      <c r="C12067" s="19" t="s">
        <v>11870</v>
      </c>
      <c r="D12067" s="19" t="s">
        <v>27472</v>
      </c>
      <c r="E12067" s="19" t="s">
        <v>31091</v>
      </c>
      <c r="F12067" s="19" t="s">
        <v>36015</v>
      </c>
      <c r="G12067" s="18" t="str">
        <f>"29414"</f>
        <v>29414</v>
      </c>
      <c r="H12067" s="19" t="s">
        <v>31091</v>
      </c>
      <c r="I12067" s="20">
        <v>18.923999999999999</v>
      </c>
      <c r="J12067" s="44" t="s">
        <v>8</v>
      </c>
      <c r="K12067" s="23" t="s">
        <v>8</v>
      </c>
      <c r="L12067" s="23" t="s">
        <v>8</v>
      </c>
      <c r="M12067" s="23" t="s">
        <v>8</v>
      </c>
    </row>
    <row r="12068" spans="1:13" s="21" customFormat="1" x14ac:dyDescent="0.25">
      <c r="A12068" s="22" t="s">
        <v>8</v>
      </c>
      <c r="B12068" s="18" t="str">
        <f>"425382"</f>
        <v>425382</v>
      </c>
      <c r="C12068" s="19" t="s">
        <v>11871</v>
      </c>
      <c r="D12068" s="19" t="s">
        <v>27473</v>
      </c>
      <c r="E12068" s="19" t="s">
        <v>35057</v>
      </c>
      <c r="F12068" s="19" t="s">
        <v>36015</v>
      </c>
      <c r="G12068" s="18" t="str">
        <f>"29577"</f>
        <v>29577</v>
      </c>
      <c r="H12068" s="19" t="s">
        <v>36745</v>
      </c>
      <c r="I12068" s="20">
        <v>20.526</v>
      </c>
      <c r="J12068" s="44" t="s">
        <v>8</v>
      </c>
      <c r="K12068" s="23" t="s">
        <v>8</v>
      </c>
      <c r="L12068" s="23" t="s">
        <v>8</v>
      </c>
      <c r="M12068" s="23" t="s">
        <v>8</v>
      </c>
    </row>
    <row r="12069" spans="1:13" s="21" customFormat="1" x14ac:dyDescent="0.25">
      <c r="A12069" s="22" t="s">
        <v>8</v>
      </c>
      <c r="B12069" s="18" t="str">
        <f>"425383"</f>
        <v>425383</v>
      </c>
      <c r="C12069" s="19" t="s">
        <v>11872</v>
      </c>
      <c r="D12069" s="19" t="s">
        <v>27474</v>
      </c>
      <c r="E12069" s="19" t="s">
        <v>35091</v>
      </c>
      <c r="F12069" s="19" t="s">
        <v>36015</v>
      </c>
      <c r="G12069" s="18" t="str">
        <f>"29690"</f>
        <v>29690</v>
      </c>
      <c r="H12069" s="19" t="s">
        <v>30817</v>
      </c>
      <c r="I12069" s="20">
        <v>16.146999999999998</v>
      </c>
      <c r="J12069" s="44" t="s">
        <v>8</v>
      </c>
      <c r="K12069" s="23" t="s">
        <v>8</v>
      </c>
      <c r="L12069" s="23" t="s">
        <v>8</v>
      </c>
      <c r="M12069" s="23" t="s">
        <v>8</v>
      </c>
    </row>
    <row r="12070" spans="1:13" s="21" customFormat="1" x14ac:dyDescent="0.25">
      <c r="A12070" s="22" t="s">
        <v>8</v>
      </c>
      <c r="B12070" s="18" t="str">
        <f>"425384"</f>
        <v>425384</v>
      </c>
      <c r="C12070" s="19" t="s">
        <v>11873</v>
      </c>
      <c r="D12070" s="19" t="s">
        <v>27475</v>
      </c>
      <c r="E12070" s="19" t="s">
        <v>35052</v>
      </c>
      <c r="F12070" s="19" t="s">
        <v>36015</v>
      </c>
      <c r="G12070" s="18" t="str">
        <f>"29303"</f>
        <v>29303</v>
      </c>
      <c r="H12070" s="19" t="s">
        <v>35052</v>
      </c>
      <c r="I12070" s="20">
        <v>18.021000000000001</v>
      </c>
      <c r="J12070" s="44" t="s">
        <v>8</v>
      </c>
      <c r="K12070" s="23" t="s">
        <v>8</v>
      </c>
      <c r="L12070" s="23" t="s">
        <v>8</v>
      </c>
      <c r="M12070" s="23" t="s">
        <v>8</v>
      </c>
    </row>
    <row r="12071" spans="1:13" s="21" customFormat="1" x14ac:dyDescent="0.25">
      <c r="A12071" s="22" t="s">
        <v>8</v>
      </c>
      <c r="B12071" s="18" t="str">
        <f>"425385"</f>
        <v>425385</v>
      </c>
      <c r="C12071" s="19" t="s">
        <v>11874</v>
      </c>
      <c r="D12071" s="19" t="s">
        <v>27476</v>
      </c>
      <c r="E12071" s="19" t="s">
        <v>32076</v>
      </c>
      <c r="F12071" s="19" t="s">
        <v>36015</v>
      </c>
      <c r="G12071" s="18" t="str">
        <f>"29223"</f>
        <v>29223</v>
      </c>
      <c r="H12071" s="19" t="s">
        <v>31785</v>
      </c>
      <c r="I12071" s="20">
        <v>19.376999999999999</v>
      </c>
      <c r="J12071" s="44" t="s">
        <v>8</v>
      </c>
      <c r="K12071" s="23" t="s">
        <v>8</v>
      </c>
      <c r="L12071" s="23" t="s">
        <v>8</v>
      </c>
      <c r="M12071" s="23" t="s">
        <v>8</v>
      </c>
    </row>
    <row r="12072" spans="1:13" s="21" customFormat="1" x14ac:dyDescent="0.25">
      <c r="A12072" s="22" t="s">
        <v>8</v>
      </c>
      <c r="B12072" s="18" t="str">
        <f>"425386"</f>
        <v>425386</v>
      </c>
      <c r="C12072" s="19" t="s">
        <v>11875</v>
      </c>
      <c r="D12072" s="19" t="s">
        <v>27477</v>
      </c>
      <c r="E12072" s="19" t="s">
        <v>35053</v>
      </c>
      <c r="F12072" s="19" t="s">
        <v>36015</v>
      </c>
      <c r="G12072" s="18" t="str">
        <f>"29488"</f>
        <v>29488</v>
      </c>
      <c r="H12072" s="19" t="s">
        <v>36744</v>
      </c>
      <c r="I12072" s="20">
        <v>19.632000000000001</v>
      </c>
      <c r="J12072" s="44" t="s">
        <v>8</v>
      </c>
      <c r="K12072" s="23" t="s">
        <v>8</v>
      </c>
      <c r="L12072" s="23" t="s">
        <v>8</v>
      </c>
      <c r="M12072" s="23" t="s">
        <v>8</v>
      </c>
    </row>
    <row r="12073" spans="1:13" s="21" customFormat="1" x14ac:dyDescent="0.25">
      <c r="A12073" s="22" t="s">
        <v>8</v>
      </c>
      <c r="B12073" s="18" t="str">
        <f>"425387"</f>
        <v>425387</v>
      </c>
      <c r="C12073" s="19" t="s">
        <v>11876</v>
      </c>
      <c r="D12073" s="19" t="s">
        <v>27478</v>
      </c>
      <c r="E12073" s="19" t="s">
        <v>32076</v>
      </c>
      <c r="F12073" s="19" t="s">
        <v>36015</v>
      </c>
      <c r="G12073" s="18" t="str">
        <f>"29203"</f>
        <v>29203</v>
      </c>
      <c r="H12073" s="19" t="s">
        <v>31785</v>
      </c>
      <c r="I12073" s="20">
        <v>20.637</v>
      </c>
      <c r="J12073" s="44" t="s">
        <v>8</v>
      </c>
      <c r="K12073" s="23" t="s">
        <v>8</v>
      </c>
      <c r="L12073" s="23" t="s">
        <v>8</v>
      </c>
      <c r="M12073" s="23" t="s">
        <v>8</v>
      </c>
    </row>
    <row r="12074" spans="1:13" s="21" customFormat="1" x14ac:dyDescent="0.25">
      <c r="A12074" s="22" t="s">
        <v>8</v>
      </c>
      <c r="B12074" s="18" t="str">
        <f>"425388"</f>
        <v>425388</v>
      </c>
      <c r="C12074" s="19" t="s">
        <v>11877</v>
      </c>
      <c r="D12074" s="19" t="s">
        <v>27479</v>
      </c>
      <c r="E12074" s="19" t="s">
        <v>32204</v>
      </c>
      <c r="F12074" s="19" t="s">
        <v>36015</v>
      </c>
      <c r="G12074" s="18" t="str">
        <f>"29646"</f>
        <v>29646</v>
      </c>
      <c r="H12074" s="19" t="s">
        <v>32204</v>
      </c>
      <c r="I12074" s="20">
        <v>19.594999999999999</v>
      </c>
      <c r="J12074" s="44" t="s">
        <v>8</v>
      </c>
      <c r="K12074" s="23" t="s">
        <v>8</v>
      </c>
      <c r="L12074" s="23" t="s">
        <v>8</v>
      </c>
      <c r="M12074" s="23" t="s">
        <v>8</v>
      </c>
    </row>
    <row r="12075" spans="1:13" s="21" customFormat="1" x14ac:dyDescent="0.25">
      <c r="A12075" s="22" t="s">
        <v>8</v>
      </c>
      <c r="B12075" s="18" t="str">
        <f>"425389"</f>
        <v>425389</v>
      </c>
      <c r="C12075" s="19" t="s">
        <v>11878</v>
      </c>
      <c r="D12075" s="19" t="s">
        <v>27480</v>
      </c>
      <c r="E12075" s="19" t="s">
        <v>31770</v>
      </c>
      <c r="F12075" s="19" t="s">
        <v>36015</v>
      </c>
      <c r="G12075" s="18" t="str">
        <f>"29483"</f>
        <v>29483</v>
      </c>
      <c r="H12075" s="19" t="s">
        <v>33086</v>
      </c>
      <c r="I12075" s="20">
        <v>22.922999999999998</v>
      </c>
      <c r="J12075" s="44" t="s">
        <v>8</v>
      </c>
      <c r="K12075" s="23" t="s">
        <v>8</v>
      </c>
      <c r="L12075" s="23" t="s">
        <v>8</v>
      </c>
      <c r="M12075" s="23" t="s">
        <v>8</v>
      </c>
    </row>
    <row r="12076" spans="1:13" s="21" customFormat="1" x14ac:dyDescent="0.25">
      <c r="A12076" s="22" t="s">
        <v>8</v>
      </c>
      <c r="B12076" s="18" t="str">
        <f>"425390"</f>
        <v>425390</v>
      </c>
      <c r="C12076" s="19" t="s">
        <v>11879</v>
      </c>
      <c r="D12076" s="19" t="s">
        <v>27481</v>
      </c>
      <c r="E12076" s="19" t="s">
        <v>35052</v>
      </c>
      <c r="F12076" s="19" t="s">
        <v>36015</v>
      </c>
      <c r="G12076" s="18" t="str">
        <f>"29307"</f>
        <v>29307</v>
      </c>
      <c r="H12076" s="19" t="s">
        <v>35052</v>
      </c>
      <c r="I12076" s="20">
        <v>15.708</v>
      </c>
      <c r="J12076" s="44" t="s">
        <v>8</v>
      </c>
      <c r="K12076" s="23" t="s">
        <v>8</v>
      </c>
      <c r="L12076" s="23" t="s">
        <v>8</v>
      </c>
      <c r="M12076" s="23" t="s">
        <v>8</v>
      </c>
    </row>
    <row r="12077" spans="1:13" s="21" customFormat="1" x14ac:dyDescent="0.25">
      <c r="A12077" s="22" t="s">
        <v>8</v>
      </c>
      <c r="B12077" s="18" t="str">
        <f>"425391"</f>
        <v>425391</v>
      </c>
      <c r="C12077" s="19" t="s">
        <v>11880</v>
      </c>
      <c r="D12077" s="19" t="s">
        <v>27482</v>
      </c>
      <c r="E12077" s="19" t="s">
        <v>31016</v>
      </c>
      <c r="F12077" s="19" t="s">
        <v>36015</v>
      </c>
      <c r="G12077" s="18" t="str">
        <f>"29527"</f>
        <v>29527</v>
      </c>
      <c r="H12077" s="19" t="s">
        <v>36745</v>
      </c>
      <c r="I12077" s="20">
        <v>18.431000000000001</v>
      </c>
      <c r="J12077" s="44" t="s">
        <v>8</v>
      </c>
      <c r="K12077" s="23" t="s">
        <v>8</v>
      </c>
      <c r="L12077" s="23" t="s">
        <v>8</v>
      </c>
      <c r="M12077" s="23" t="s">
        <v>8</v>
      </c>
    </row>
    <row r="12078" spans="1:13" s="21" customFormat="1" x14ac:dyDescent="0.25">
      <c r="A12078" s="22" t="s">
        <v>8</v>
      </c>
      <c r="B12078" s="18" t="str">
        <f>"425392"</f>
        <v>425392</v>
      </c>
      <c r="C12078" s="19" t="s">
        <v>11881</v>
      </c>
      <c r="D12078" s="19" t="s">
        <v>27483</v>
      </c>
      <c r="E12078" s="19" t="s">
        <v>30817</v>
      </c>
      <c r="F12078" s="19" t="s">
        <v>36015</v>
      </c>
      <c r="G12078" s="18" t="str">
        <f>"29607"</f>
        <v>29607</v>
      </c>
      <c r="H12078" s="19" t="s">
        <v>30817</v>
      </c>
      <c r="I12078" s="20">
        <v>17.716999999999999</v>
      </c>
      <c r="J12078" s="44" t="s">
        <v>8</v>
      </c>
      <c r="K12078" s="23" t="s">
        <v>8</v>
      </c>
      <c r="L12078" s="23" t="s">
        <v>8</v>
      </c>
      <c r="M12078" s="23" t="s">
        <v>8</v>
      </c>
    </row>
    <row r="12079" spans="1:13" s="21" customFormat="1" x14ac:dyDescent="0.25">
      <c r="A12079" s="22" t="s">
        <v>8</v>
      </c>
      <c r="B12079" s="18" t="str">
        <f>"425393"</f>
        <v>425393</v>
      </c>
      <c r="C12079" s="19" t="s">
        <v>11882</v>
      </c>
      <c r="D12079" s="19" t="s">
        <v>27484</v>
      </c>
      <c r="E12079" s="19" t="s">
        <v>31081</v>
      </c>
      <c r="F12079" s="19" t="s">
        <v>36015</v>
      </c>
      <c r="G12079" s="18" t="str">
        <f>"29325"</f>
        <v>29325</v>
      </c>
      <c r="H12079" s="19" t="s">
        <v>32386</v>
      </c>
      <c r="I12079" s="20">
        <v>16.233000000000001</v>
      </c>
      <c r="J12079" s="44" t="s">
        <v>8</v>
      </c>
      <c r="K12079" s="23" t="s">
        <v>8</v>
      </c>
      <c r="L12079" s="23" t="s">
        <v>8</v>
      </c>
      <c r="M12079" s="23" t="s">
        <v>8</v>
      </c>
    </row>
    <row r="12080" spans="1:13" s="21" customFormat="1" x14ac:dyDescent="0.25">
      <c r="A12080" s="22" t="s">
        <v>8</v>
      </c>
      <c r="B12080" s="18" t="str">
        <f>"425394"</f>
        <v>425394</v>
      </c>
      <c r="C12080" s="19" t="s">
        <v>11883</v>
      </c>
      <c r="D12080" s="19" t="s">
        <v>27485</v>
      </c>
      <c r="E12080" s="19" t="s">
        <v>30817</v>
      </c>
      <c r="F12080" s="19" t="s">
        <v>36015</v>
      </c>
      <c r="G12080" s="18" t="str">
        <f>"29617"</f>
        <v>29617</v>
      </c>
      <c r="H12080" s="19" t="s">
        <v>30817</v>
      </c>
      <c r="I12080" s="20">
        <v>17.178999999999998</v>
      </c>
      <c r="J12080" s="44" t="s">
        <v>8</v>
      </c>
      <c r="K12080" s="23" t="s">
        <v>8</v>
      </c>
      <c r="L12080" s="23" t="s">
        <v>8</v>
      </c>
      <c r="M12080" s="23" t="s">
        <v>8</v>
      </c>
    </row>
    <row r="12081" spans="1:13" s="21" customFormat="1" x14ac:dyDescent="0.25">
      <c r="A12081" s="22" t="s">
        <v>8</v>
      </c>
      <c r="B12081" s="18" t="str">
        <f>"425395"</f>
        <v>425395</v>
      </c>
      <c r="C12081" s="19" t="s">
        <v>11884</v>
      </c>
      <c r="D12081" s="19" t="s">
        <v>27486</v>
      </c>
      <c r="E12081" s="19" t="s">
        <v>35057</v>
      </c>
      <c r="F12081" s="19" t="s">
        <v>36015</v>
      </c>
      <c r="G12081" s="18" t="str">
        <f>"29579"</f>
        <v>29579</v>
      </c>
      <c r="H12081" s="19" t="s">
        <v>36745</v>
      </c>
      <c r="I12081" s="20">
        <v>27.920999999999999</v>
      </c>
      <c r="J12081" s="44" t="s">
        <v>8</v>
      </c>
      <c r="K12081" s="23" t="s">
        <v>8</v>
      </c>
      <c r="L12081" s="23" t="s">
        <v>8</v>
      </c>
      <c r="M12081" s="23" t="s">
        <v>8</v>
      </c>
    </row>
    <row r="12082" spans="1:13" s="21" customFormat="1" x14ac:dyDescent="0.25">
      <c r="A12082" s="22" t="s">
        <v>8</v>
      </c>
      <c r="B12082" s="18" t="str">
        <f>"425396"</f>
        <v>425396</v>
      </c>
      <c r="C12082" s="19" t="s">
        <v>11885</v>
      </c>
      <c r="D12082" s="19" t="s">
        <v>27487</v>
      </c>
      <c r="E12082" s="19" t="s">
        <v>32692</v>
      </c>
      <c r="F12082" s="19" t="s">
        <v>36015</v>
      </c>
      <c r="G12082" s="18" t="str">
        <f>"29073"</f>
        <v>29073</v>
      </c>
      <c r="H12082" s="19" t="s">
        <v>32692</v>
      </c>
      <c r="I12082" s="20">
        <v>17.847999999999999</v>
      </c>
      <c r="J12082" s="44" t="s">
        <v>8</v>
      </c>
      <c r="K12082" s="23" t="s">
        <v>8</v>
      </c>
      <c r="L12082" s="23" t="s">
        <v>8</v>
      </c>
      <c r="M12082" s="23" t="s">
        <v>8</v>
      </c>
    </row>
    <row r="12083" spans="1:13" s="21" customFormat="1" x14ac:dyDescent="0.25">
      <c r="A12083" s="22" t="s">
        <v>8</v>
      </c>
      <c r="B12083" s="18" t="str">
        <f>"425397"</f>
        <v>425397</v>
      </c>
      <c r="C12083" s="19" t="s">
        <v>11886</v>
      </c>
      <c r="D12083" s="19" t="s">
        <v>27488</v>
      </c>
      <c r="E12083" s="19" t="s">
        <v>35092</v>
      </c>
      <c r="F12083" s="19" t="s">
        <v>36015</v>
      </c>
      <c r="G12083" s="18" t="str">
        <f>"29909"</f>
        <v>29909</v>
      </c>
      <c r="H12083" s="19" t="s">
        <v>35056</v>
      </c>
      <c r="I12083" s="20">
        <v>22.971</v>
      </c>
      <c r="J12083" s="44" t="s">
        <v>8</v>
      </c>
      <c r="K12083" s="23" t="s">
        <v>8</v>
      </c>
      <c r="L12083" s="23" t="s">
        <v>8</v>
      </c>
      <c r="M12083" s="23" t="s">
        <v>8</v>
      </c>
    </row>
    <row r="12084" spans="1:13" s="21" customFormat="1" x14ac:dyDescent="0.25">
      <c r="A12084" s="22" t="s">
        <v>8</v>
      </c>
      <c r="B12084" s="18" t="str">
        <f>"425398"</f>
        <v>425398</v>
      </c>
      <c r="C12084" s="19" t="s">
        <v>11887</v>
      </c>
      <c r="D12084" s="19" t="s">
        <v>27489</v>
      </c>
      <c r="E12084" s="19" t="s">
        <v>32202</v>
      </c>
      <c r="F12084" s="19" t="s">
        <v>36015</v>
      </c>
      <c r="G12084" s="18" t="str">
        <f>"29621"</f>
        <v>29621</v>
      </c>
      <c r="H12084" s="19" t="s">
        <v>32202</v>
      </c>
      <c r="I12084" s="20">
        <v>20.443999999999999</v>
      </c>
      <c r="J12084" s="44" t="s">
        <v>8</v>
      </c>
      <c r="K12084" s="23" t="s">
        <v>8</v>
      </c>
      <c r="L12084" s="23" t="s">
        <v>8</v>
      </c>
      <c r="M12084" s="23" t="s">
        <v>8</v>
      </c>
    </row>
    <row r="12085" spans="1:13" s="21" customFormat="1" x14ac:dyDescent="0.25">
      <c r="A12085" s="22" t="s">
        <v>8</v>
      </c>
      <c r="B12085" s="18" t="str">
        <f>"425400"</f>
        <v>425400</v>
      </c>
      <c r="C12085" s="19" t="s">
        <v>11888</v>
      </c>
      <c r="D12085" s="19" t="s">
        <v>27490</v>
      </c>
      <c r="E12085" s="19" t="s">
        <v>32076</v>
      </c>
      <c r="F12085" s="19" t="s">
        <v>36015</v>
      </c>
      <c r="G12085" s="18" t="str">
        <f>"29229"</f>
        <v>29229</v>
      </c>
      <c r="H12085" s="19" t="s">
        <v>31785</v>
      </c>
      <c r="I12085" s="20">
        <v>19.047999999999998</v>
      </c>
      <c r="J12085" s="44" t="s">
        <v>8</v>
      </c>
      <c r="K12085" s="23" t="s">
        <v>8</v>
      </c>
      <c r="L12085" s="23" t="s">
        <v>8</v>
      </c>
      <c r="M12085" s="23" t="s">
        <v>8</v>
      </c>
    </row>
    <row r="12086" spans="1:13" s="21" customFormat="1" x14ac:dyDescent="0.25">
      <c r="A12086" s="22" t="s">
        <v>8</v>
      </c>
      <c r="B12086" s="18" t="str">
        <f>"425401"</f>
        <v>425401</v>
      </c>
      <c r="C12086" s="19" t="s">
        <v>11889</v>
      </c>
      <c r="D12086" s="19" t="s">
        <v>27491</v>
      </c>
      <c r="E12086" s="19" t="s">
        <v>35064</v>
      </c>
      <c r="F12086" s="19" t="s">
        <v>36015</v>
      </c>
      <c r="G12086" s="18" t="str">
        <f>"29169"</f>
        <v>29169</v>
      </c>
      <c r="H12086" s="19" t="s">
        <v>32692</v>
      </c>
      <c r="I12086" s="20">
        <v>13.89</v>
      </c>
      <c r="J12086" s="44" t="s">
        <v>8</v>
      </c>
      <c r="K12086" s="23" t="s">
        <v>8</v>
      </c>
      <c r="L12086" s="23" t="s">
        <v>8</v>
      </c>
      <c r="M12086" s="23" t="s">
        <v>8</v>
      </c>
    </row>
    <row r="12087" spans="1:13" s="21" customFormat="1" x14ac:dyDescent="0.25">
      <c r="A12087" s="22" t="s">
        <v>8</v>
      </c>
      <c r="B12087" s="18" t="str">
        <f>"425402"</f>
        <v>425402</v>
      </c>
      <c r="C12087" s="19" t="s">
        <v>11890</v>
      </c>
      <c r="D12087" s="19" t="s">
        <v>27492</v>
      </c>
      <c r="E12087" s="19" t="s">
        <v>35065</v>
      </c>
      <c r="F12087" s="19" t="s">
        <v>36015</v>
      </c>
      <c r="G12087" s="18" t="str">
        <f>"29150"</f>
        <v>29150</v>
      </c>
      <c r="H12087" s="19" t="s">
        <v>35065</v>
      </c>
      <c r="I12087" s="20">
        <v>16.887</v>
      </c>
      <c r="J12087" s="44" t="s">
        <v>8</v>
      </c>
      <c r="K12087" s="23" t="s">
        <v>8</v>
      </c>
      <c r="L12087" s="23" t="s">
        <v>8</v>
      </c>
      <c r="M12087" s="23" t="s">
        <v>8</v>
      </c>
    </row>
    <row r="12088" spans="1:13" s="21" customFormat="1" x14ac:dyDescent="0.25">
      <c r="A12088" s="22" t="s">
        <v>8</v>
      </c>
      <c r="B12088" s="18" t="str">
        <f>"425403"</f>
        <v>425403</v>
      </c>
      <c r="C12088" s="19" t="s">
        <v>11891</v>
      </c>
      <c r="D12088" s="19" t="s">
        <v>27493</v>
      </c>
      <c r="E12088" s="19" t="s">
        <v>35051</v>
      </c>
      <c r="F12088" s="19" t="s">
        <v>36015</v>
      </c>
      <c r="G12088" s="18" t="str">
        <f>"29642"</f>
        <v>29642</v>
      </c>
      <c r="H12088" s="19" t="s">
        <v>35058</v>
      </c>
      <c r="I12088" s="20">
        <v>17.933</v>
      </c>
      <c r="J12088" s="44" t="s">
        <v>8</v>
      </c>
      <c r="K12088" s="23" t="s">
        <v>8</v>
      </c>
      <c r="L12088" s="23" t="s">
        <v>8</v>
      </c>
      <c r="M12088" s="23" t="s">
        <v>8</v>
      </c>
    </row>
    <row r="12089" spans="1:13" s="21" customFormat="1" x14ac:dyDescent="0.25">
      <c r="A12089" s="22" t="s">
        <v>8</v>
      </c>
      <c r="B12089" s="18" t="str">
        <f>"425404"</f>
        <v>425404</v>
      </c>
      <c r="C12089" s="19" t="s">
        <v>11892</v>
      </c>
      <c r="D12089" s="19" t="s">
        <v>27494</v>
      </c>
      <c r="E12089" s="19" t="s">
        <v>32348</v>
      </c>
      <c r="F12089" s="19" t="s">
        <v>36015</v>
      </c>
      <c r="G12089" s="18" t="str">
        <f>"29464"</f>
        <v>29464</v>
      </c>
      <c r="H12089" s="19" t="s">
        <v>31091</v>
      </c>
      <c r="I12089" s="20">
        <v>21.016999999999999</v>
      </c>
      <c r="J12089" s="44" t="s">
        <v>8</v>
      </c>
      <c r="K12089" s="23" t="s">
        <v>8</v>
      </c>
      <c r="L12089" s="23" t="s">
        <v>8</v>
      </c>
      <c r="M12089" s="23" t="s">
        <v>8</v>
      </c>
    </row>
    <row r="12090" spans="1:13" s="21" customFormat="1" x14ac:dyDescent="0.25">
      <c r="A12090" s="22" t="s">
        <v>8</v>
      </c>
      <c r="B12090" s="18" t="str">
        <f>"425405"</f>
        <v>425405</v>
      </c>
      <c r="C12090" s="19" t="s">
        <v>11893</v>
      </c>
      <c r="D12090" s="19" t="s">
        <v>27495</v>
      </c>
      <c r="E12090" s="19" t="s">
        <v>32348</v>
      </c>
      <c r="F12090" s="19" t="s">
        <v>36015</v>
      </c>
      <c r="G12090" s="18" t="str">
        <f>"29464"</f>
        <v>29464</v>
      </c>
      <c r="H12090" s="19" t="s">
        <v>31091</v>
      </c>
      <c r="I12090" s="20">
        <v>16.998000000000001</v>
      </c>
      <c r="J12090" s="44" t="s">
        <v>8</v>
      </c>
      <c r="K12090" s="23" t="s">
        <v>8</v>
      </c>
      <c r="L12090" s="23" t="s">
        <v>8</v>
      </c>
      <c r="M12090" s="23" t="s">
        <v>8</v>
      </c>
    </row>
    <row r="12091" spans="1:13" s="21" customFormat="1" x14ac:dyDescent="0.25">
      <c r="A12091" s="22" t="s">
        <v>8</v>
      </c>
      <c r="B12091" s="18" t="s">
        <v>15360</v>
      </c>
      <c r="C12091" s="19" t="s">
        <v>11894</v>
      </c>
      <c r="D12091" s="19" t="s">
        <v>27496</v>
      </c>
      <c r="E12091" s="19" t="s">
        <v>31419</v>
      </c>
      <c r="F12091" s="19" t="s">
        <v>36016</v>
      </c>
      <c r="G12091" s="18" t="str">
        <f>"57201"</f>
        <v>57201</v>
      </c>
      <c r="H12091" s="19" t="s">
        <v>36748</v>
      </c>
      <c r="I12091" s="20">
        <v>19.257000000000001</v>
      </c>
      <c r="J12091" s="44" t="s">
        <v>8</v>
      </c>
      <c r="K12091" s="23" t="s">
        <v>8</v>
      </c>
      <c r="L12091" s="23" t="s">
        <v>8</v>
      </c>
      <c r="M12091" s="23" t="s">
        <v>8</v>
      </c>
    </row>
    <row r="12092" spans="1:13" s="21" customFormat="1" x14ac:dyDescent="0.25">
      <c r="A12092" s="22" t="s">
        <v>8</v>
      </c>
      <c r="B12092" s="18" t="s">
        <v>15361</v>
      </c>
      <c r="C12092" s="19" t="s">
        <v>11895</v>
      </c>
      <c r="D12092" s="19" t="s">
        <v>27497</v>
      </c>
      <c r="E12092" s="19" t="s">
        <v>34761</v>
      </c>
      <c r="F12092" s="19" t="s">
        <v>36016</v>
      </c>
      <c r="G12092" s="18" t="str">
        <f>"57006"</f>
        <v>57006</v>
      </c>
      <c r="H12092" s="19" t="s">
        <v>34761</v>
      </c>
      <c r="I12092" s="20">
        <v>19.797999999999998</v>
      </c>
      <c r="J12092" s="44" t="s">
        <v>8</v>
      </c>
      <c r="K12092" s="23" t="s">
        <v>8</v>
      </c>
      <c r="L12092" s="23" t="s">
        <v>8</v>
      </c>
      <c r="M12092" s="23" t="s">
        <v>8</v>
      </c>
    </row>
    <row r="12093" spans="1:13" s="21" customFormat="1" x14ac:dyDescent="0.25">
      <c r="A12093" s="22" t="s">
        <v>8</v>
      </c>
      <c r="B12093" s="18" t="s">
        <v>15362</v>
      </c>
      <c r="C12093" s="19" t="s">
        <v>11896</v>
      </c>
      <c r="D12093" s="19" t="s">
        <v>27498</v>
      </c>
      <c r="E12093" s="19" t="s">
        <v>35093</v>
      </c>
      <c r="F12093" s="19" t="s">
        <v>36016</v>
      </c>
      <c r="G12093" s="18" t="str">
        <f>"57078"</f>
        <v>57078</v>
      </c>
      <c r="H12093" s="19" t="s">
        <v>35093</v>
      </c>
      <c r="I12093" s="20">
        <v>18.312000000000001</v>
      </c>
      <c r="J12093" s="44" t="s">
        <v>8</v>
      </c>
      <c r="K12093" s="23" t="s">
        <v>8</v>
      </c>
      <c r="L12093" s="23" t="s">
        <v>8</v>
      </c>
      <c r="M12093" s="23" t="s">
        <v>8</v>
      </c>
    </row>
    <row r="12094" spans="1:13" s="21" customFormat="1" x14ac:dyDescent="0.25">
      <c r="A12094" s="22" t="s">
        <v>8</v>
      </c>
      <c r="B12094" s="18" t="s">
        <v>15363</v>
      </c>
      <c r="C12094" s="19" t="s">
        <v>11897</v>
      </c>
      <c r="D12094" s="19" t="s">
        <v>27499</v>
      </c>
      <c r="E12094" s="19" t="s">
        <v>32259</v>
      </c>
      <c r="F12094" s="19" t="s">
        <v>36016</v>
      </c>
      <c r="G12094" s="18" t="str">
        <f>"57301"</f>
        <v>57301</v>
      </c>
      <c r="H12094" s="19" t="s">
        <v>36749</v>
      </c>
      <c r="I12094" s="20">
        <v>14.071999999999999</v>
      </c>
      <c r="J12094" s="44" t="s">
        <v>8</v>
      </c>
      <c r="K12094" s="23" t="s">
        <v>8</v>
      </c>
      <c r="L12094" s="23" t="s">
        <v>8</v>
      </c>
      <c r="M12094" s="23" t="s">
        <v>8</v>
      </c>
    </row>
    <row r="12095" spans="1:13" s="21" customFormat="1" x14ac:dyDescent="0.25">
      <c r="A12095" s="22" t="s">
        <v>8</v>
      </c>
      <c r="B12095" s="18" t="s">
        <v>15364</v>
      </c>
      <c r="C12095" s="19" t="s">
        <v>11898</v>
      </c>
      <c r="D12095" s="19" t="s">
        <v>27500</v>
      </c>
      <c r="E12095" s="19" t="s">
        <v>33521</v>
      </c>
      <c r="F12095" s="19" t="s">
        <v>36016</v>
      </c>
      <c r="G12095" s="18" t="str">
        <f>"57401"</f>
        <v>57401</v>
      </c>
      <c r="H12095" s="19" t="s">
        <v>36244</v>
      </c>
      <c r="I12095" s="20">
        <v>17.516999999999999</v>
      </c>
      <c r="J12095" s="44" t="s">
        <v>8</v>
      </c>
      <c r="K12095" s="23" t="s">
        <v>8</v>
      </c>
      <c r="L12095" s="23" t="s">
        <v>8</v>
      </c>
      <c r="M12095" s="23" t="s">
        <v>8</v>
      </c>
    </row>
    <row r="12096" spans="1:13" s="21" customFormat="1" x14ac:dyDescent="0.25">
      <c r="A12096" s="22" t="s">
        <v>8</v>
      </c>
      <c r="B12096" s="18" t="s">
        <v>15365</v>
      </c>
      <c r="C12096" s="19" t="s">
        <v>11899</v>
      </c>
      <c r="D12096" s="19" t="s">
        <v>27501</v>
      </c>
      <c r="E12096" s="19" t="s">
        <v>35094</v>
      </c>
      <c r="F12096" s="19" t="s">
        <v>36016</v>
      </c>
      <c r="G12096" s="18" t="str">
        <f>"57501"</f>
        <v>57501</v>
      </c>
      <c r="H12096" s="19" t="s">
        <v>36703</v>
      </c>
      <c r="I12096" s="20">
        <v>18.571000000000002</v>
      </c>
      <c r="J12096" s="44" t="s">
        <v>8</v>
      </c>
      <c r="K12096" s="23" t="s">
        <v>8</v>
      </c>
      <c r="L12096" s="23" t="s">
        <v>8</v>
      </c>
      <c r="M12096" s="23" t="s">
        <v>8</v>
      </c>
    </row>
    <row r="12097" spans="1:13" s="21" customFormat="1" x14ac:dyDescent="0.25">
      <c r="A12097" s="22" t="s">
        <v>8</v>
      </c>
      <c r="B12097" s="18" t="str">
        <f>"435004"</f>
        <v>435004</v>
      </c>
      <c r="C12097" s="19" t="s">
        <v>1990</v>
      </c>
      <c r="D12097" s="19" t="s">
        <v>27502</v>
      </c>
      <c r="E12097" s="19" t="s">
        <v>33521</v>
      </c>
      <c r="F12097" s="19" t="s">
        <v>36016</v>
      </c>
      <c r="G12097" s="18" t="str">
        <f>"57401"</f>
        <v>57401</v>
      </c>
      <c r="H12097" s="19" t="s">
        <v>36244</v>
      </c>
      <c r="I12097" s="20">
        <v>17.981999999999999</v>
      </c>
      <c r="J12097" s="44" t="s">
        <v>8</v>
      </c>
      <c r="K12097" s="23" t="s">
        <v>8</v>
      </c>
      <c r="L12097" s="23" t="s">
        <v>8</v>
      </c>
      <c r="M12097" s="23" t="s">
        <v>8</v>
      </c>
    </row>
    <row r="12098" spans="1:13" s="21" customFormat="1" x14ac:dyDescent="0.25">
      <c r="A12098" s="22" t="s">
        <v>8</v>
      </c>
      <c r="B12098" s="18" t="str">
        <f>"435009"</f>
        <v>435009</v>
      </c>
      <c r="C12098" s="19" t="s">
        <v>11900</v>
      </c>
      <c r="D12098" s="19" t="s">
        <v>27503</v>
      </c>
      <c r="E12098" s="19" t="s">
        <v>35095</v>
      </c>
      <c r="F12098" s="19" t="s">
        <v>36016</v>
      </c>
      <c r="G12098" s="18" t="str">
        <f>"57252"</f>
        <v>57252</v>
      </c>
      <c r="H12098" s="19" t="s">
        <v>36078</v>
      </c>
      <c r="I12098" s="20">
        <v>17.616</v>
      </c>
      <c r="J12098" s="44" t="s">
        <v>8</v>
      </c>
      <c r="K12098" s="23" t="s">
        <v>8</v>
      </c>
      <c r="L12098" s="23" t="s">
        <v>8</v>
      </c>
      <c r="M12098" s="23" t="s">
        <v>8</v>
      </c>
    </row>
    <row r="12099" spans="1:13" s="21" customFormat="1" x14ac:dyDescent="0.25">
      <c r="A12099" s="22" t="s">
        <v>8</v>
      </c>
      <c r="B12099" s="18" t="str">
        <f>"435020"</f>
        <v>435020</v>
      </c>
      <c r="C12099" s="19" t="s">
        <v>11901</v>
      </c>
      <c r="D12099" s="19" t="s">
        <v>27504</v>
      </c>
      <c r="E12099" s="19" t="s">
        <v>34559</v>
      </c>
      <c r="F12099" s="19" t="s">
        <v>36016</v>
      </c>
      <c r="G12099" s="18" t="str">
        <f>"57350"</f>
        <v>57350</v>
      </c>
      <c r="H12099" s="19" t="s">
        <v>36750</v>
      </c>
      <c r="I12099" s="20">
        <v>16.425999999999998</v>
      </c>
      <c r="J12099" s="44" t="s">
        <v>8</v>
      </c>
      <c r="K12099" s="23" t="s">
        <v>8</v>
      </c>
      <c r="L12099" s="23" t="s">
        <v>8</v>
      </c>
      <c r="M12099" s="23" t="s">
        <v>8</v>
      </c>
    </row>
    <row r="12100" spans="1:13" s="21" customFormat="1" x14ac:dyDescent="0.25">
      <c r="A12100" s="22" t="s">
        <v>8</v>
      </c>
      <c r="B12100" s="18" t="str">
        <f>"435029"</f>
        <v>435029</v>
      </c>
      <c r="C12100" s="19" t="s">
        <v>11902</v>
      </c>
      <c r="D12100" s="19" t="s">
        <v>27505</v>
      </c>
      <c r="E12100" s="19" t="s">
        <v>35096</v>
      </c>
      <c r="F12100" s="19" t="s">
        <v>36016</v>
      </c>
      <c r="G12100" s="18" t="str">
        <f>"57533"</f>
        <v>57533</v>
      </c>
      <c r="H12100" s="19" t="s">
        <v>35096</v>
      </c>
      <c r="I12100" s="20">
        <v>18.724</v>
      </c>
      <c r="J12100" s="44" t="s">
        <v>8</v>
      </c>
      <c r="K12100" s="23" t="s">
        <v>8</v>
      </c>
      <c r="L12100" s="23" t="s">
        <v>8</v>
      </c>
      <c r="M12100" s="23" t="s">
        <v>8</v>
      </c>
    </row>
    <row r="12101" spans="1:13" s="21" customFormat="1" x14ac:dyDescent="0.25">
      <c r="A12101" s="22" t="s">
        <v>8</v>
      </c>
      <c r="B12101" s="18" t="str">
        <f>"435031"</f>
        <v>435031</v>
      </c>
      <c r="C12101" s="19" t="s">
        <v>11903</v>
      </c>
      <c r="D12101" s="19" t="s">
        <v>27506</v>
      </c>
      <c r="E12101" s="19" t="s">
        <v>35097</v>
      </c>
      <c r="F12101" s="19" t="s">
        <v>36016</v>
      </c>
      <c r="G12101" s="18" t="str">
        <f>"57106"</f>
        <v>57106</v>
      </c>
      <c r="H12101" s="19" t="s">
        <v>36751</v>
      </c>
      <c r="I12101" s="20">
        <v>20.565000000000001</v>
      </c>
      <c r="J12101" s="44" t="s">
        <v>8</v>
      </c>
      <c r="K12101" s="23" t="s">
        <v>8</v>
      </c>
      <c r="L12101" s="23" t="s">
        <v>8</v>
      </c>
      <c r="M12101" s="23" t="s">
        <v>8</v>
      </c>
    </row>
    <row r="12102" spans="1:13" s="21" customFormat="1" x14ac:dyDescent="0.25">
      <c r="A12102" s="22" t="s">
        <v>8</v>
      </c>
      <c r="B12102" s="18" t="str">
        <f>"435032"</f>
        <v>435032</v>
      </c>
      <c r="C12102" s="19" t="s">
        <v>11904</v>
      </c>
      <c r="D12102" s="19" t="s">
        <v>27507</v>
      </c>
      <c r="E12102" s="19" t="s">
        <v>35098</v>
      </c>
      <c r="F12102" s="19" t="s">
        <v>36016</v>
      </c>
      <c r="G12102" s="18" t="str">
        <f>"57730"</f>
        <v>57730</v>
      </c>
      <c r="H12102" s="19" t="s">
        <v>35098</v>
      </c>
      <c r="I12102" s="20">
        <v>18.981000000000002</v>
      </c>
      <c r="J12102" s="44" t="s">
        <v>8</v>
      </c>
      <c r="K12102" s="23" t="s">
        <v>8</v>
      </c>
      <c r="L12102" s="23" t="s">
        <v>8</v>
      </c>
      <c r="M12102" s="23" t="s">
        <v>8</v>
      </c>
    </row>
    <row r="12103" spans="1:13" s="21" customFormat="1" x14ac:dyDescent="0.25">
      <c r="A12103" s="22" t="s">
        <v>8</v>
      </c>
      <c r="B12103" s="18" t="str">
        <f>"435033"</f>
        <v>435033</v>
      </c>
      <c r="C12103" s="19" t="s">
        <v>11905</v>
      </c>
      <c r="D12103" s="19" t="s">
        <v>27508</v>
      </c>
      <c r="E12103" s="19" t="s">
        <v>35099</v>
      </c>
      <c r="F12103" s="19" t="s">
        <v>36016</v>
      </c>
      <c r="G12103" s="18" t="str">
        <f>"57701"</f>
        <v>57701</v>
      </c>
      <c r="H12103" s="19" t="s">
        <v>36465</v>
      </c>
      <c r="I12103" s="20">
        <v>14.997999999999999</v>
      </c>
      <c r="J12103" s="44" t="s">
        <v>8</v>
      </c>
      <c r="K12103" s="23" t="s">
        <v>8</v>
      </c>
      <c r="L12103" s="23" t="s">
        <v>8</v>
      </c>
      <c r="M12103" s="23" t="s">
        <v>8</v>
      </c>
    </row>
    <row r="12104" spans="1:13" s="21" customFormat="1" x14ac:dyDescent="0.25">
      <c r="A12104" s="22" t="s">
        <v>8</v>
      </c>
      <c r="B12104" s="18" t="str">
        <f>"435034"</f>
        <v>435034</v>
      </c>
      <c r="C12104" s="19" t="s">
        <v>11906</v>
      </c>
      <c r="D12104" s="19" t="s">
        <v>27509</v>
      </c>
      <c r="E12104" s="19" t="s">
        <v>35094</v>
      </c>
      <c r="F12104" s="19" t="s">
        <v>36016</v>
      </c>
      <c r="G12104" s="18" t="str">
        <f>"57501"</f>
        <v>57501</v>
      </c>
      <c r="H12104" s="19" t="s">
        <v>36703</v>
      </c>
      <c r="I12104" s="20">
        <v>20.626000000000001</v>
      </c>
      <c r="J12104" s="44" t="s">
        <v>8</v>
      </c>
      <c r="K12104" s="23" t="s">
        <v>8</v>
      </c>
      <c r="L12104" s="23" t="s">
        <v>8</v>
      </c>
      <c r="M12104" s="23" t="s">
        <v>8</v>
      </c>
    </row>
    <row r="12105" spans="1:13" s="21" customFormat="1" x14ac:dyDescent="0.25">
      <c r="A12105" s="22" t="s">
        <v>8</v>
      </c>
      <c r="B12105" s="18" t="str">
        <f>"435035"</f>
        <v>435035</v>
      </c>
      <c r="C12105" s="19" t="s">
        <v>11907</v>
      </c>
      <c r="D12105" s="19" t="s">
        <v>27510</v>
      </c>
      <c r="E12105" s="19" t="s">
        <v>35100</v>
      </c>
      <c r="F12105" s="19" t="s">
        <v>36016</v>
      </c>
      <c r="G12105" s="18" t="str">
        <f>"57717"</f>
        <v>57717</v>
      </c>
      <c r="H12105" s="19" t="s">
        <v>33744</v>
      </c>
      <c r="I12105" s="20">
        <v>16.584</v>
      </c>
      <c r="J12105" s="44" t="s">
        <v>8</v>
      </c>
      <c r="K12105" s="23" t="s">
        <v>8</v>
      </c>
      <c r="L12105" s="23" t="s">
        <v>8</v>
      </c>
      <c r="M12105" s="23" t="s">
        <v>8</v>
      </c>
    </row>
    <row r="12106" spans="1:13" s="21" customFormat="1" x14ac:dyDescent="0.25">
      <c r="A12106" s="22" t="s">
        <v>8</v>
      </c>
      <c r="B12106" s="18" t="str">
        <f>"435036"</f>
        <v>435036</v>
      </c>
      <c r="C12106" s="19" t="s">
        <v>11908</v>
      </c>
      <c r="D12106" s="19" t="s">
        <v>27511</v>
      </c>
      <c r="E12106" s="19" t="s">
        <v>31419</v>
      </c>
      <c r="F12106" s="19" t="s">
        <v>36016</v>
      </c>
      <c r="G12106" s="18" t="str">
        <f>"57201"</f>
        <v>57201</v>
      </c>
      <c r="H12106" s="19" t="s">
        <v>36748</v>
      </c>
      <c r="I12106" s="20">
        <v>15.893000000000001</v>
      </c>
      <c r="J12106" s="44" t="s">
        <v>8</v>
      </c>
      <c r="K12106" s="23" t="s">
        <v>8</v>
      </c>
      <c r="L12106" s="23" t="s">
        <v>8</v>
      </c>
      <c r="M12106" s="23" t="s">
        <v>8</v>
      </c>
    </row>
    <row r="12107" spans="1:13" s="21" customFormat="1" x14ac:dyDescent="0.25">
      <c r="A12107" s="22" t="s">
        <v>8</v>
      </c>
      <c r="B12107" s="18" t="str">
        <f>"435037"</f>
        <v>435037</v>
      </c>
      <c r="C12107" s="19" t="s">
        <v>11909</v>
      </c>
      <c r="D12107" s="19" t="s">
        <v>27512</v>
      </c>
      <c r="E12107" s="19" t="s">
        <v>35099</v>
      </c>
      <c r="F12107" s="19" t="s">
        <v>36016</v>
      </c>
      <c r="G12107" s="18" t="str">
        <f>"57702"</f>
        <v>57702</v>
      </c>
      <c r="H12107" s="19" t="s">
        <v>36465</v>
      </c>
      <c r="I12107" s="20">
        <v>15.776999999999999</v>
      </c>
      <c r="J12107" s="44" t="s">
        <v>8</v>
      </c>
      <c r="K12107" s="23" t="s">
        <v>8</v>
      </c>
      <c r="L12107" s="23" t="s">
        <v>8</v>
      </c>
      <c r="M12107" s="23" t="s">
        <v>8</v>
      </c>
    </row>
    <row r="12108" spans="1:13" s="21" customFormat="1" x14ac:dyDescent="0.25">
      <c r="A12108" s="22" t="s">
        <v>8</v>
      </c>
      <c r="B12108" s="18" t="str">
        <f>"435038"</f>
        <v>435038</v>
      </c>
      <c r="C12108" s="19" t="s">
        <v>11910</v>
      </c>
      <c r="D12108" s="19" t="s">
        <v>27513</v>
      </c>
      <c r="E12108" s="19" t="s">
        <v>35101</v>
      </c>
      <c r="F12108" s="19" t="s">
        <v>36016</v>
      </c>
      <c r="G12108" s="18" t="str">
        <f>"57262"</f>
        <v>57262</v>
      </c>
      <c r="H12108" s="19" t="s">
        <v>36752</v>
      </c>
      <c r="I12108" s="20">
        <v>17.321999999999999</v>
      </c>
      <c r="J12108" s="44" t="s">
        <v>8</v>
      </c>
      <c r="K12108" s="23" t="s">
        <v>8</v>
      </c>
      <c r="L12108" s="23" t="s">
        <v>8</v>
      </c>
      <c r="M12108" s="23" t="s">
        <v>8</v>
      </c>
    </row>
    <row r="12109" spans="1:13" s="21" customFormat="1" x14ac:dyDescent="0.25">
      <c r="A12109" s="22" t="s">
        <v>8</v>
      </c>
      <c r="B12109" s="18" t="str">
        <f>"435039"</f>
        <v>435039</v>
      </c>
      <c r="C12109" s="19" t="s">
        <v>11911</v>
      </c>
      <c r="D12109" s="19" t="s">
        <v>27514</v>
      </c>
      <c r="E12109" s="19" t="s">
        <v>35097</v>
      </c>
      <c r="F12109" s="19" t="s">
        <v>36016</v>
      </c>
      <c r="G12109" s="18" t="str">
        <f>"57105"</f>
        <v>57105</v>
      </c>
      <c r="H12109" s="19" t="s">
        <v>36751</v>
      </c>
      <c r="I12109" s="20">
        <v>17.731000000000002</v>
      </c>
      <c r="J12109" s="44" t="s">
        <v>8</v>
      </c>
      <c r="K12109" s="23" t="s">
        <v>8</v>
      </c>
      <c r="L12109" s="23" t="s">
        <v>8</v>
      </c>
      <c r="M12109" s="23" t="s">
        <v>8</v>
      </c>
    </row>
    <row r="12110" spans="1:13" s="21" customFormat="1" x14ac:dyDescent="0.25">
      <c r="A12110" s="22" t="s">
        <v>8</v>
      </c>
      <c r="B12110" s="18" t="str">
        <f>"435040"</f>
        <v>435040</v>
      </c>
      <c r="C12110" s="19" t="s">
        <v>11912</v>
      </c>
      <c r="D12110" s="19" t="s">
        <v>27515</v>
      </c>
      <c r="E12110" s="19" t="s">
        <v>35099</v>
      </c>
      <c r="F12110" s="19" t="s">
        <v>36016</v>
      </c>
      <c r="G12110" s="18" t="str">
        <f>"57702"</f>
        <v>57702</v>
      </c>
      <c r="H12110" s="19" t="s">
        <v>36465</v>
      </c>
      <c r="I12110" s="20">
        <v>17.731999999999999</v>
      </c>
      <c r="J12110" s="44" t="s">
        <v>8</v>
      </c>
      <c r="K12110" s="23" t="s">
        <v>8</v>
      </c>
      <c r="L12110" s="23" t="s">
        <v>8</v>
      </c>
      <c r="M12110" s="23" t="s">
        <v>8</v>
      </c>
    </row>
    <row r="12111" spans="1:13" s="21" customFormat="1" x14ac:dyDescent="0.25">
      <c r="A12111" s="22" t="s">
        <v>8</v>
      </c>
      <c r="B12111" s="18" t="str">
        <f>"435041"</f>
        <v>435041</v>
      </c>
      <c r="C12111" s="19" t="s">
        <v>11913</v>
      </c>
      <c r="D12111" s="19" t="s">
        <v>27516</v>
      </c>
      <c r="E12111" s="19" t="s">
        <v>33521</v>
      </c>
      <c r="F12111" s="19" t="s">
        <v>36016</v>
      </c>
      <c r="G12111" s="18" t="str">
        <f>"57401"</f>
        <v>57401</v>
      </c>
      <c r="H12111" s="19" t="s">
        <v>36244</v>
      </c>
      <c r="I12111" s="20">
        <v>18.216999999999999</v>
      </c>
      <c r="J12111" s="44" t="s">
        <v>8</v>
      </c>
      <c r="K12111" s="23" t="s">
        <v>8</v>
      </c>
      <c r="L12111" s="23" t="s">
        <v>8</v>
      </c>
      <c r="M12111" s="23" t="s">
        <v>8</v>
      </c>
    </row>
    <row r="12112" spans="1:13" s="21" customFormat="1" x14ac:dyDescent="0.25">
      <c r="A12112" s="22" t="s">
        <v>8</v>
      </c>
      <c r="B12112" s="18" t="str">
        <f>"435042"</f>
        <v>435042</v>
      </c>
      <c r="C12112" s="19" t="s">
        <v>11914</v>
      </c>
      <c r="D12112" s="19" t="s">
        <v>27517</v>
      </c>
      <c r="E12112" s="19" t="s">
        <v>33521</v>
      </c>
      <c r="F12112" s="19" t="s">
        <v>36016</v>
      </c>
      <c r="G12112" s="18" t="str">
        <f>"57401"</f>
        <v>57401</v>
      </c>
      <c r="H12112" s="19" t="s">
        <v>36244</v>
      </c>
      <c r="I12112" s="20">
        <v>15.782999999999999</v>
      </c>
      <c r="J12112" s="44" t="s">
        <v>8</v>
      </c>
      <c r="K12112" s="23" t="s">
        <v>8</v>
      </c>
      <c r="L12112" s="23" t="s">
        <v>8</v>
      </c>
      <c r="M12112" s="23" t="s">
        <v>8</v>
      </c>
    </row>
    <row r="12113" spans="1:13" s="21" customFormat="1" x14ac:dyDescent="0.25">
      <c r="A12113" s="22" t="s">
        <v>8</v>
      </c>
      <c r="B12113" s="18" t="str">
        <f>"435043"</f>
        <v>435043</v>
      </c>
      <c r="C12113" s="19" t="s">
        <v>11915</v>
      </c>
      <c r="D12113" s="19" t="s">
        <v>27518</v>
      </c>
      <c r="E12113" s="19" t="s">
        <v>35102</v>
      </c>
      <c r="F12113" s="19" t="s">
        <v>36016</v>
      </c>
      <c r="G12113" s="18" t="str">
        <f>"57783"</f>
        <v>57783</v>
      </c>
      <c r="H12113" s="19" t="s">
        <v>32568</v>
      </c>
      <c r="I12113" s="20">
        <v>15.349</v>
      </c>
      <c r="J12113" s="44" t="s">
        <v>8</v>
      </c>
      <c r="K12113" s="23" t="s">
        <v>8</v>
      </c>
      <c r="L12113" s="23" t="s">
        <v>8</v>
      </c>
      <c r="M12113" s="23" t="s">
        <v>8</v>
      </c>
    </row>
    <row r="12114" spans="1:13" s="21" customFormat="1" x14ac:dyDescent="0.25">
      <c r="A12114" s="22" t="s">
        <v>8</v>
      </c>
      <c r="B12114" s="18" t="str">
        <f>"435044"</f>
        <v>435044</v>
      </c>
      <c r="C12114" s="19" t="s">
        <v>11916</v>
      </c>
      <c r="D12114" s="19" t="s">
        <v>27519</v>
      </c>
      <c r="E12114" s="19" t="s">
        <v>35097</v>
      </c>
      <c r="F12114" s="19" t="s">
        <v>36016</v>
      </c>
      <c r="G12114" s="18" t="str">
        <f>"57105"</f>
        <v>57105</v>
      </c>
      <c r="H12114" s="19" t="s">
        <v>36751</v>
      </c>
      <c r="I12114" s="20">
        <v>18.484999999999999</v>
      </c>
      <c r="J12114" s="44" t="s">
        <v>8</v>
      </c>
      <c r="K12114" s="23" t="s">
        <v>8</v>
      </c>
      <c r="L12114" s="23" t="s">
        <v>8</v>
      </c>
      <c r="M12114" s="23" t="s">
        <v>8</v>
      </c>
    </row>
    <row r="12115" spans="1:13" s="21" customFormat="1" x14ac:dyDescent="0.25">
      <c r="A12115" s="22" t="s">
        <v>8</v>
      </c>
      <c r="B12115" s="18" t="str">
        <f>"435045"</f>
        <v>435045</v>
      </c>
      <c r="C12115" s="19" t="s">
        <v>11917</v>
      </c>
      <c r="D12115" s="19" t="s">
        <v>27520</v>
      </c>
      <c r="E12115" s="19" t="s">
        <v>35097</v>
      </c>
      <c r="F12115" s="19" t="s">
        <v>36016</v>
      </c>
      <c r="G12115" s="18" t="str">
        <f>"57106"</f>
        <v>57106</v>
      </c>
      <c r="H12115" s="19" t="s">
        <v>36751</v>
      </c>
      <c r="I12115" s="20">
        <v>16.260999999999999</v>
      </c>
      <c r="J12115" s="44" t="s">
        <v>8</v>
      </c>
      <c r="K12115" s="23" t="s">
        <v>8</v>
      </c>
      <c r="L12115" s="23" t="s">
        <v>8</v>
      </c>
      <c r="M12115" s="23" t="s">
        <v>8</v>
      </c>
    </row>
    <row r="12116" spans="1:13" s="21" customFormat="1" x14ac:dyDescent="0.25">
      <c r="A12116" s="22" t="s">
        <v>8</v>
      </c>
      <c r="B12116" s="18" t="str">
        <f>"435046"</f>
        <v>435046</v>
      </c>
      <c r="C12116" s="19" t="s">
        <v>11918</v>
      </c>
      <c r="D12116" s="19" t="s">
        <v>27521</v>
      </c>
      <c r="E12116" s="19" t="s">
        <v>35097</v>
      </c>
      <c r="F12116" s="19" t="s">
        <v>36016</v>
      </c>
      <c r="G12116" s="18" t="str">
        <f>"57104"</f>
        <v>57104</v>
      </c>
      <c r="H12116" s="19" t="s">
        <v>36751</v>
      </c>
      <c r="I12116" s="20">
        <v>18.952000000000002</v>
      </c>
      <c r="J12116" s="44" t="s">
        <v>8</v>
      </c>
      <c r="K12116" s="23" t="s">
        <v>8</v>
      </c>
      <c r="L12116" s="23" t="s">
        <v>8</v>
      </c>
      <c r="M12116" s="23" t="s">
        <v>8</v>
      </c>
    </row>
    <row r="12117" spans="1:13" s="21" customFormat="1" x14ac:dyDescent="0.25">
      <c r="A12117" s="22" t="s">
        <v>8</v>
      </c>
      <c r="B12117" s="18" t="str">
        <f>"435047"</f>
        <v>435047</v>
      </c>
      <c r="C12117" s="19" t="s">
        <v>11919</v>
      </c>
      <c r="D12117" s="19" t="s">
        <v>27522</v>
      </c>
      <c r="E12117" s="19" t="s">
        <v>35094</v>
      </c>
      <c r="F12117" s="19" t="s">
        <v>36016</v>
      </c>
      <c r="G12117" s="18" t="str">
        <f>"57501"</f>
        <v>57501</v>
      </c>
      <c r="H12117" s="19" t="s">
        <v>36703</v>
      </c>
      <c r="I12117" s="20">
        <v>16.960999999999999</v>
      </c>
      <c r="J12117" s="44" t="s">
        <v>8</v>
      </c>
      <c r="K12117" s="23" t="s">
        <v>8</v>
      </c>
      <c r="L12117" s="23" t="s">
        <v>8</v>
      </c>
      <c r="M12117" s="23" t="s">
        <v>8</v>
      </c>
    </row>
    <row r="12118" spans="1:13" s="21" customFormat="1" x14ac:dyDescent="0.25">
      <c r="A12118" s="22" t="s">
        <v>8</v>
      </c>
      <c r="B12118" s="18" t="str">
        <f>"435048"</f>
        <v>435048</v>
      </c>
      <c r="C12118" s="19" t="s">
        <v>11920</v>
      </c>
      <c r="D12118" s="19" t="s">
        <v>27523</v>
      </c>
      <c r="E12118" s="19" t="s">
        <v>31448</v>
      </c>
      <c r="F12118" s="19" t="s">
        <v>36016</v>
      </c>
      <c r="G12118" s="18" t="str">
        <f>"57445"</f>
        <v>57445</v>
      </c>
      <c r="H12118" s="19" t="s">
        <v>36244</v>
      </c>
      <c r="I12118" s="20">
        <v>17.795000000000002</v>
      </c>
      <c r="J12118" s="44" t="s">
        <v>8</v>
      </c>
      <c r="K12118" s="23" t="s">
        <v>8</v>
      </c>
      <c r="L12118" s="23" t="s">
        <v>8</v>
      </c>
      <c r="M12118" s="23" t="s">
        <v>8</v>
      </c>
    </row>
    <row r="12119" spans="1:13" s="21" customFormat="1" x14ac:dyDescent="0.25">
      <c r="A12119" s="22" t="s">
        <v>8</v>
      </c>
      <c r="B12119" s="18" t="str">
        <f>"435049"</f>
        <v>435049</v>
      </c>
      <c r="C12119" s="19" t="s">
        <v>11921</v>
      </c>
      <c r="D12119" s="19" t="s">
        <v>27524</v>
      </c>
      <c r="E12119" s="19" t="s">
        <v>31038</v>
      </c>
      <c r="F12119" s="19" t="s">
        <v>36016</v>
      </c>
      <c r="G12119" s="18" t="str">
        <f>"57058"</f>
        <v>57058</v>
      </c>
      <c r="H12119" s="19" t="s">
        <v>33771</v>
      </c>
      <c r="I12119" s="20">
        <v>21.850999999999999</v>
      </c>
      <c r="J12119" s="44" t="s">
        <v>8</v>
      </c>
      <c r="K12119" s="23" t="s">
        <v>8</v>
      </c>
      <c r="L12119" s="23" t="s">
        <v>8</v>
      </c>
      <c r="M12119" s="23" t="s">
        <v>8</v>
      </c>
    </row>
    <row r="12120" spans="1:13" s="21" customFormat="1" x14ac:dyDescent="0.25">
      <c r="A12120" s="22" t="s">
        <v>8</v>
      </c>
      <c r="B12120" s="18" t="str">
        <f>"435050"</f>
        <v>435050</v>
      </c>
      <c r="C12120" s="19" t="s">
        <v>11922</v>
      </c>
      <c r="D12120" s="19" t="s">
        <v>27525</v>
      </c>
      <c r="E12120" s="19" t="s">
        <v>33116</v>
      </c>
      <c r="F12120" s="19" t="s">
        <v>36016</v>
      </c>
      <c r="G12120" s="18" t="str">
        <f>"57212"</f>
        <v>57212</v>
      </c>
      <c r="H12120" s="19" t="s">
        <v>36753</v>
      </c>
      <c r="I12120" s="20">
        <v>18.367000000000001</v>
      </c>
      <c r="J12120" s="44" t="s">
        <v>8</v>
      </c>
      <c r="K12120" s="23" t="s">
        <v>8</v>
      </c>
      <c r="L12120" s="23" t="s">
        <v>8</v>
      </c>
      <c r="M12120" s="23" t="s">
        <v>8</v>
      </c>
    </row>
    <row r="12121" spans="1:13" s="21" customFormat="1" x14ac:dyDescent="0.25">
      <c r="A12121" s="22" t="s">
        <v>8</v>
      </c>
      <c r="B12121" s="18" t="str">
        <f>"435051"</f>
        <v>435051</v>
      </c>
      <c r="C12121" s="19" t="s">
        <v>11923</v>
      </c>
      <c r="D12121" s="19" t="s">
        <v>27526</v>
      </c>
      <c r="E12121" s="19" t="s">
        <v>35099</v>
      </c>
      <c r="F12121" s="19" t="s">
        <v>36016</v>
      </c>
      <c r="G12121" s="18" t="str">
        <f>"57702"</f>
        <v>57702</v>
      </c>
      <c r="H12121" s="19" t="s">
        <v>36465</v>
      </c>
      <c r="I12121" s="20">
        <v>18.027999999999999</v>
      </c>
      <c r="J12121" s="44" t="s">
        <v>8</v>
      </c>
      <c r="K12121" s="23" t="s">
        <v>8</v>
      </c>
      <c r="L12121" s="23" t="s">
        <v>8</v>
      </c>
      <c r="M12121" s="23" t="s">
        <v>8</v>
      </c>
    </row>
    <row r="12122" spans="1:13" s="21" customFormat="1" x14ac:dyDescent="0.25">
      <c r="A12122" s="22" t="s">
        <v>8</v>
      </c>
      <c r="B12122" s="18" t="str">
        <f>"435052"</f>
        <v>435052</v>
      </c>
      <c r="C12122" s="19" t="s">
        <v>11924</v>
      </c>
      <c r="D12122" s="19" t="s">
        <v>27527</v>
      </c>
      <c r="E12122" s="19" t="s">
        <v>35103</v>
      </c>
      <c r="F12122" s="19" t="s">
        <v>36016</v>
      </c>
      <c r="G12122" s="18" t="str">
        <f>"57601"</f>
        <v>57601</v>
      </c>
      <c r="H12122" s="19" t="s">
        <v>35694</v>
      </c>
      <c r="I12122" s="20">
        <v>16.715</v>
      </c>
      <c r="J12122" s="44" t="s">
        <v>8</v>
      </c>
      <c r="K12122" s="23" t="s">
        <v>8</v>
      </c>
      <c r="L12122" s="23" t="s">
        <v>8</v>
      </c>
      <c r="M12122" s="23" t="s">
        <v>8</v>
      </c>
    </row>
    <row r="12123" spans="1:13" s="21" customFormat="1" x14ac:dyDescent="0.25">
      <c r="A12123" s="22" t="s">
        <v>8</v>
      </c>
      <c r="B12123" s="18" t="str">
        <f>"435053"</f>
        <v>435053</v>
      </c>
      <c r="C12123" s="19" t="s">
        <v>11925</v>
      </c>
      <c r="D12123" s="19" t="s">
        <v>27528</v>
      </c>
      <c r="E12123" s="19" t="s">
        <v>30899</v>
      </c>
      <c r="F12123" s="19" t="s">
        <v>36016</v>
      </c>
      <c r="G12123" s="18" t="str">
        <f>"57042"</f>
        <v>57042</v>
      </c>
      <c r="H12123" s="19" t="s">
        <v>36096</v>
      </c>
      <c r="I12123" s="20">
        <v>17.187999999999999</v>
      </c>
      <c r="J12123" s="44" t="s">
        <v>8</v>
      </c>
      <c r="K12123" s="23" t="s">
        <v>8</v>
      </c>
      <c r="L12123" s="23" t="s">
        <v>8</v>
      </c>
      <c r="M12123" s="23" t="s">
        <v>8</v>
      </c>
    </row>
    <row r="12124" spans="1:13" s="21" customFormat="1" x14ac:dyDescent="0.25">
      <c r="A12124" s="22" t="s">
        <v>8</v>
      </c>
      <c r="B12124" s="18" t="str">
        <f>"435054"</f>
        <v>435054</v>
      </c>
      <c r="C12124" s="19" t="s">
        <v>11926</v>
      </c>
      <c r="D12124" s="19" t="s">
        <v>27529</v>
      </c>
      <c r="E12124" s="19" t="s">
        <v>35104</v>
      </c>
      <c r="F12124" s="19" t="s">
        <v>36016</v>
      </c>
      <c r="G12124" s="18" t="str">
        <f>"57469"</f>
        <v>57469</v>
      </c>
      <c r="H12124" s="19" t="s">
        <v>36754</v>
      </c>
      <c r="I12124" s="20">
        <v>20.366</v>
      </c>
      <c r="J12124" s="44" t="s">
        <v>8</v>
      </c>
      <c r="K12124" s="23" t="s">
        <v>8</v>
      </c>
      <c r="L12124" s="23" t="s">
        <v>8</v>
      </c>
      <c r="M12124" s="23" t="s">
        <v>8</v>
      </c>
    </row>
    <row r="12125" spans="1:13" s="21" customFormat="1" x14ac:dyDescent="0.25">
      <c r="A12125" s="22" t="s">
        <v>8</v>
      </c>
      <c r="B12125" s="18" t="str">
        <f>"435055"</f>
        <v>435055</v>
      </c>
      <c r="C12125" s="19" t="s">
        <v>11927</v>
      </c>
      <c r="D12125" s="19" t="s">
        <v>27530</v>
      </c>
      <c r="E12125" s="19" t="s">
        <v>35105</v>
      </c>
      <c r="F12125" s="19" t="s">
        <v>36016</v>
      </c>
      <c r="G12125" s="18" t="str">
        <f>"57451"</f>
        <v>57451</v>
      </c>
      <c r="H12125" s="19" t="s">
        <v>36755</v>
      </c>
      <c r="I12125" s="20">
        <v>19.869</v>
      </c>
      <c r="J12125" s="44" t="s">
        <v>8</v>
      </c>
      <c r="K12125" s="23" t="s">
        <v>8</v>
      </c>
      <c r="L12125" s="23" t="s">
        <v>8</v>
      </c>
      <c r="M12125" s="23" t="s">
        <v>8</v>
      </c>
    </row>
    <row r="12126" spans="1:13" s="21" customFormat="1" x14ac:dyDescent="0.25">
      <c r="A12126" s="22" t="s">
        <v>8</v>
      </c>
      <c r="B12126" s="18" t="str">
        <f>"435056"</f>
        <v>435056</v>
      </c>
      <c r="C12126" s="19" t="s">
        <v>11928</v>
      </c>
      <c r="D12126" s="19" t="s">
        <v>27531</v>
      </c>
      <c r="E12126" s="19" t="s">
        <v>35106</v>
      </c>
      <c r="F12126" s="19" t="s">
        <v>36016</v>
      </c>
      <c r="G12126" s="18" t="str">
        <f>"57580"</f>
        <v>57580</v>
      </c>
      <c r="H12126" s="19" t="s">
        <v>35119</v>
      </c>
      <c r="I12126" s="20">
        <v>17.472999999999999</v>
      </c>
      <c r="J12126" s="44" t="s">
        <v>8</v>
      </c>
      <c r="K12126" s="23" t="s">
        <v>8</v>
      </c>
      <c r="L12126" s="23" t="s">
        <v>8</v>
      </c>
      <c r="M12126" s="23" t="s">
        <v>8</v>
      </c>
    </row>
    <row r="12127" spans="1:13" s="21" customFormat="1" x14ac:dyDescent="0.25">
      <c r="A12127" s="22" t="s">
        <v>8</v>
      </c>
      <c r="B12127" s="18" t="str">
        <f>"435057"</f>
        <v>435057</v>
      </c>
      <c r="C12127" s="19" t="s">
        <v>11929</v>
      </c>
      <c r="D12127" s="19" t="s">
        <v>27532</v>
      </c>
      <c r="E12127" s="19" t="s">
        <v>35107</v>
      </c>
      <c r="F12127" s="19" t="s">
        <v>36016</v>
      </c>
      <c r="G12127" s="18" t="str">
        <f>"57313"</f>
        <v>57313</v>
      </c>
      <c r="H12127" s="19" t="s">
        <v>30966</v>
      </c>
      <c r="I12127" s="20">
        <v>19.378</v>
      </c>
      <c r="J12127" s="44" t="s">
        <v>8</v>
      </c>
      <c r="K12127" s="23" t="s">
        <v>8</v>
      </c>
      <c r="L12127" s="23" t="s">
        <v>8</v>
      </c>
      <c r="M12127" s="23" t="s">
        <v>8</v>
      </c>
    </row>
    <row r="12128" spans="1:13" s="21" customFormat="1" x14ac:dyDescent="0.25">
      <c r="A12128" s="22" t="s">
        <v>8</v>
      </c>
      <c r="B12128" s="18" t="str">
        <f>"435058"</f>
        <v>435058</v>
      </c>
      <c r="C12128" s="19" t="s">
        <v>11930</v>
      </c>
      <c r="D12128" s="19" t="s">
        <v>27533</v>
      </c>
      <c r="E12128" s="19" t="s">
        <v>33967</v>
      </c>
      <c r="F12128" s="19" t="s">
        <v>36016</v>
      </c>
      <c r="G12128" s="18" t="str">
        <f>"57225"</f>
        <v>57225</v>
      </c>
      <c r="H12128" s="19" t="s">
        <v>33967</v>
      </c>
      <c r="I12128" s="20">
        <v>17.516999999999999</v>
      </c>
      <c r="J12128" s="44" t="s">
        <v>8</v>
      </c>
      <c r="K12128" s="23" t="s">
        <v>8</v>
      </c>
      <c r="L12128" s="23" t="s">
        <v>8</v>
      </c>
      <c r="M12128" s="23" t="s">
        <v>8</v>
      </c>
    </row>
    <row r="12129" spans="1:13" s="21" customFormat="1" x14ac:dyDescent="0.25">
      <c r="A12129" s="22" t="s">
        <v>8</v>
      </c>
      <c r="B12129" s="18" t="str">
        <f>"435059"</f>
        <v>435059</v>
      </c>
      <c r="C12129" s="19" t="s">
        <v>11931</v>
      </c>
      <c r="D12129" s="19" t="s">
        <v>27534</v>
      </c>
      <c r="E12129" s="19" t="s">
        <v>35108</v>
      </c>
      <c r="F12129" s="19" t="s">
        <v>36016</v>
      </c>
      <c r="G12129" s="18" t="str">
        <f>"57248"</f>
        <v>57248</v>
      </c>
      <c r="H12129" s="19" t="s">
        <v>35226</v>
      </c>
      <c r="I12129" s="20">
        <v>19.84</v>
      </c>
      <c r="J12129" s="44" t="s">
        <v>8</v>
      </c>
      <c r="K12129" s="23" t="s">
        <v>8</v>
      </c>
      <c r="L12129" s="23" t="s">
        <v>8</v>
      </c>
      <c r="M12129" s="23" t="s">
        <v>8</v>
      </c>
    </row>
    <row r="12130" spans="1:13" s="21" customFormat="1" x14ac:dyDescent="0.25">
      <c r="A12130" s="22" t="s">
        <v>8</v>
      </c>
      <c r="B12130" s="18" t="str">
        <f>"435060"</f>
        <v>435060</v>
      </c>
      <c r="C12130" s="19" t="s">
        <v>11932</v>
      </c>
      <c r="D12130" s="19" t="s">
        <v>27535</v>
      </c>
      <c r="E12130" s="19" t="s">
        <v>35099</v>
      </c>
      <c r="F12130" s="19" t="s">
        <v>36016</v>
      </c>
      <c r="G12130" s="18" t="str">
        <f>"57701"</f>
        <v>57701</v>
      </c>
      <c r="H12130" s="19" t="s">
        <v>36465</v>
      </c>
      <c r="I12130" s="20">
        <v>17.736999999999998</v>
      </c>
      <c r="J12130" s="44" t="s">
        <v>8</v>
      </c>
      <c r="K12130" s="23" t="s">
        <v>8</v>
      </c>
      <c r="L12130" s="23" t="s">
        <v>8</v>
      </c>
      <c r="M12130" s="23" t="s">
        <v>8</v>
      </c>
    </row>
    <row r="12131" spans="1:13" s="21" customFormat="1" x14ac:dyDescent="0.25">
      <c r="A12131" s="22" t="s">
        <v>8</v>
      </c>
      <c r="B12131" s="18" t="str">
        <f>"435061"</f>
        <v>435061</v>
      </c>
      <c r="C12131" s="19" t="s">
        <v>11933</v>
      </c>
      <c r="D12131" s="19" t="s">
        <v>27536</v>
      </c>
      <c r="E12131" s="19" t="s">
        <v>32259</v>
      </c>
      <c r="F12131" s="19" t="s">
        <v>36016</v>
      </c>
      <c r="G12131" s="18" t="str">
        <f>"57301"</f>
        <v>57301</v>
      </c>
      <c r="H12131" s="19" t="s">
        <v>36749</v>
      </c>
      <c r="I12131" s="20">
        <v>19.800999999999998</v>
      </c>
      <c r="J12131" s="44" t="s">
        <v>8</v>
      </c>
      <c r="K12131" s="23" t="s">
        <v>8</v>
      </c>
      <c r="L12131" s="23" t="s">
        <v>8</v>
      </c>
      <c r="M12131" s="23" t="s">
        <v>8</v>
      </c>
    </row>
    <row r="12132" spans="1:13" s="21" customFormat="1" x14ac:dyDescent="0.25">
      <c r="A12132" s="22" t="s">
        <v>8</v>
      </c>
      <c r="B12132" s="18" t="str">
        <f>"435062"</f>
        <v>435062</v>
      </c>
      <c r="C12132" s="19" t="s">
        <v>11934</v>
      </c>
      <c r="D12132" s="19" t="s">
        <v>27537</v>
      </c>
      <c r="E12132" s="19" t="s">
        <v>35109</v>
      </c>
      <c r="F12132" s="19" t="s">
        <v>36016</v>
      </c>
      <c r="G12132" s="18" t="str">
        <f>"57001"</f>
        <v>57001</v>
      </c>
      <c r="H12132" s="19" t="s">
        <v>33554</v>
      </c>
      <c r="I12132" s="20">
        <v>19.7</v>
      </c>
      <c r="J12132" s="44" t="s">
        <v>8</v>
      </c>
      <c r="K12132" s="23" t="s">
        <v>8</v>
      </c>
      <c r="L12132" s="23" t="s">
        <v>8</v>
      </c>
      <c r="M12132" s="23" t="s">
        <v>8</v>
      </c>
    </row>
    <row r="12133" spans="1:13" s="21" customFormat="1" x14ac:dyDescent="0.25">
      <c r="A12133" s="22" t="s">
        <v>8</v>
      </c>
      <c r="B12133" s="18" t="str">
        <f>"435064"</f>
        <v>435064</v>
      </c>
      <c r="C12133" s="19" t="s">
        <v>11935</v>
      </c>
      <c r="D12133" s="19" t="s">
        <v>27538</v>
      </c>
      <c r="E12133" s="19" t="s">
        <v>35099</v>
      </c>
      <c r="F12133" s="19" t="s">
        <v>36016</v>
      </c>
      <c r="G12133" s="18" t="str">
        <f>"57701"</f>
        <v>57701</v>
      </c>
      <c r="H12133" s="19" t="s">
        <v>36465</v>
      </c>
      <c r="I12133" s="20">
        <v>18.942</v>
      </c>
      <c r="J12133" s="44" t="s">
        <v>8</v>
      </c>
      <c r="K12133" s="23" t="s">
        <v>8</v>
      </c>
      <c r="L12133" s="23" t="s">
        <v>8</v>
      </c>
      <c r="M12133" s="23" t="s">
        <v>8</v>
      </c>
    </row>
    <row r="12134" spans="1:13" s="21" customFormat="1" x14ac:dyDescent="0.25">
      <c r="A12134" s="22" t="s">
        <v>8</v>
      </c>
      <c r="B12134" s="18" t="str">
        <f>"435065"</f>
        <v>435065</v>
      </c>
      <c r="C12134" s="19" t="s">
        <v>11936</v>
      </c>
      <c r="D12134" s="19" t="s">
        <v>27539</v>
      </c>
      <c r="E12134" s="19" t="s">
        <v>35110</v>
      </c>
      <c r="F12134" s="19" t="s">
        <v>36016</v>
      </c>
      <c r="G12134" s="18" t="str">
        <f>"57025"</f>
        <v>57025</v>
      </c>
      <c r="H12134" s="19" t="s">
        <v>33554</v>
      </c>
      <c r="I12134" s="20">
        <v>17.39</v>
      </c>
      <c r="J12134" s="44" t="s">
        <v>8</v>
      </c>
      <c r="K12134" s="23" t="s">
        <v>8</v>
      </c>
      <c r="L12134" s="23" t="s">
        <v>8</v>
      </c>
      <c r="M12134" s="23" t="s">
        <v>8</v>
      </c>
    </row>
    <row r="12135" spans="1:13" s="21" customFormat="1" x14ac:dyDescent="0.25">
      <c r="A12135" s="22" t="s">
        <v>8</v>
      </c>
      <c r="B12135" s="18" t="str">
        <f>"435066"</f>
        <v>435066</v>
      </c>
      <c r="C12135" s="19" t="s">
        <v>11937</v>
      </c>
      <c r="D12135" s="19" t="s">
        <v>27540</v>
      </c>
      <c r="E12135" s="19" t="s">
        <v>35097</v>
      </c>
      <c r="F12135" s="19" t="s">
        <v>36016</v>
      </c>
      <c r="G12135" s="18" t="str">
        <f>"57103"</f>
        <v>57103</v>
      </c>
      <c r="H12135" s="19" t="s">
        <v>36751</v>
      </c>
      <c r="I12135" s="20">
        <v>17.965</v>
      </c>
      <c r="J12135" s="44" t="s">
        <v>8</v>
      </c>
      <c r="K12135" s="23" t="s">
        <v>8</v>
      </c>
      <c r="L12135" s="23" t="s">
        <v>8</v>
      </c>
      <c r="M12135" s="23" t="s">
        <v>8</v>
      </c>
    </row>
    <row r="12136" spans="1:13" s="21" customFormat="1" x14ac:dyDescent="0.25">
      <c r="A12136" s="22" t="s">
        <v>8</v>
      </c>
      <c r="B12136" s="18" t="str">
        <f>"435068"</f>
        <v>435068</v>
      </c>
      <c r="C12136" s="19" t="s">
        <v>11938</v>
      </c>
      <c r="D12136" s="19" t="s">
        <v>27541</v>
      </c>
      <c r="E12136" s="19" t="s">
        <v>31419</v>
      </c>
      <c r="F12136" s="19" t="s">
        <v>36016</v>
      </c>
      <c r="G12136" s="18" t="str">
        <f>"57201"</f>
        <v>57201</v>
      </c>
      <c r="H12136" s="19" t="s">
        <v>36748</v>
      </c>
      <c r="I12136" s="20">
        <v>16.942</v>
      </c>
      <c r="J12136" s="44" t="s">
        <v>8</v>
      </c>
      <c r="K12136" s="23" t="s">
        <v>8</v>
      </c>
      <c r="L12136" s="23" t="s">
        <v>8</v>
      </c>
      <c r="M12136" s="23" t="s">
        <v>8</v>
      </c>
    </row>
    <row r="12137" spans="1:13" s="21" customFormat="1" x14ac:dyDescent="0.25">
      <c r="A12137" s="22" t="s">
        <v>8</v>
      </c>
      <c r="B12137" s="18" t="str">
        <f>"435069"</f>
        <v>435069</v>
      </c>
      <c r="C12137" s="19" t="s">
        <v>11939</v>
      </c>
      <c r="D12137" s="19" t="s">
        <v>27542</v>
      </c>
      <c r="E12137" s="19" t="s">
        <v>30850</v>
      </c>
      <c r="F12137" s="19" t="s">
        <v>36016</v>
      </c>
      <c r="G12137" s="18" t="str">
        <f>"57043"</f>
        <v>57043</v>
      </c>
      <c r="H12137" s="19" t="s">
        <v>36182</v>
      </c>
      <c r="I12137" s="20">
        <v>18.385000000000002</v>
      </c>
      <c r="J12137" s="44" t="s">
        <v>8</v>
      </c>
      <c r="K12137" s="23" t="s">
        <v>8</v>
      </c>
      <c r="L12137" s="23" t="s">
        <v>8</v>
      </c>
      <c r="M12137" s="23" t="s">
        <v>8</v>
      </c>
    </row>
    <row r="12138" spans="1:13" s="21" customFormat="1" x14ac:dyDescent="0.25">
      <c r="A12138" s="22" t="s">
        <v>8</v>
      </c>
      <c r="B12138" s="18" t="str">
        <f>"435070"</f>
        <v>435070</v>
      </c>
      <c r="C12138" s="19" t="s">
        <v>11940</v>
      </c>
      <c r="D12138" s="19" t="s">
        <v>27543</v>
      </c>
      <c r="E12138" s="19" t="s">
        <v>35093</v>
      </c>
      <c r="F12138" s="19" t="s">
        <v>36016</v>
      </c>
      <c r="G12138" s="18" t="str">
        <f>"57078"</f>
        <v>57078</v>
      </c>
      <c r="H12138" s="19" t="s">
        <v>35093</v>
      </c>
      <c r="I12138" s="20">
        <v>17.204999999999998</v>
      </c>
      <c r="J12138" s="44" t="s">
        <v>8</v>
      </c>
      <c r="K12138" s="23" t="s">
        <v>8</v>
      </c>
      <c r="L12138" s="23" t="s">
        <v>8</v>
      </c>
      <c r="M12138" s="23" t="s">
        <v>8</v>
      </c>
    </row>
    <row r="12139" spans="1:13" s="21" customFormat="1" x14ac:dyDescent="0.25">
      <c r="A12139" s="22" t="s">
        <v>8</v>
      </c>
      <c r="B12139" s="18" t="str">
        <f>"435071"</f>
        <v>435071</v>
      </c>
      <c r="C12139" s="19" t="s">
        <v>4729</v>
      </c>
      <c r="D12139" s="19" t="s">
        <v>27544</v>
      </c>
      <c r="E12139" s="19" t="s">
        <v>33048</v>
      </c>
      <c r="F12139" s="19" t="s">
        <v>36016</v>
      </c>
      <c r="G12139" s="18" t="str">
        <f>"57274"</f>
        <v>57274</v>
      </c>
      <c r="H12139" s="19" t="s">
        <v>36756</v>
      </c>
      <c r="I12139" s="20">
        <v>19.048999999999999</v>
      </c>
      <c r="J12139" s="44" t="s">
        <v>8</v>
      </c>
      <c r="K12139" s="23" t="s">
        <v>8</v>
      </c>
      <c r="L12139" s="23" t="s">
        <v>8</v>
      </c>
      <c r="M12139" s="23" t="s">
        <v>8</v>
      </c>
    </row>
    <row r="12140" spans="1:13" s="21" customFormat="1" x14ac:dyDescent="0.25">
      <c r="A12140" s="22" t="s">
        <v>8</v>
      </c>
      <c r="B12140" s="18" t="str">
        <f>"435072"</f>
        <v>435072</v>
      </c>
      <c r="C12140" s="19" t="s">
        <v>11941</v>
      </c>
      <c r="D12140" s="19" t="s">
        <v>27545</v>
      </c>
      <c r="E12140" s="19" t="s">
        <v>30990</v>
      </c>
      <c r="F12140" s="19" t="s">
        <v>36016</v>
      </c>
      <c r="G12140" s="18" t="str">
        <f>"57747"</f>
        <v>57747</v>
      </c>
      <c r="H12140" s="19" t="s">
        <v>33022</v>
      </c>
      <c r="I12140" s="20">
        <v>18.745999999999999</v>
      </c>
      <c r="J12140" s="44" t="s">
        <v>8</v>
      </c>
      <c r="K12140" s="23" t="s">
        <v>8</v>
      </c>
      <c r="L12140" s="23" t="s">
        <v>8</v>
      </c>
      <c r="M12140" s="23" t="s">
        <v>8</v>
      </c>
    </row>
    <row r="12141" spans="1:13" s="21" customFormat="1" x14ac:dyDescent="0.25">
      <c r="A12141" s="22" t="s">
        <v>8</v>
      </c>
      <c r="B12141" s="18" t="str">
        <f>"435073"</f>
        <v>435073</v>
      </c>
      <c r="C12141" s="19" t="s">
        <v>11942</v>
      </c>
      <c r="D12141" s="19" t="s">
        <v>27546</v>
      </c>
      <c r="E12141" s="19" t="s">
        <v>33521</v>
      </c>
      <c r="F12141" s="19" t="s">
        <v>36016</v>
      </c>
      <c r="G12141" s="18" t="str">
        <f>"57401"</f>
        <v>57401</v>
      </c>
      <c r="H12141" s="19" t="s">
        <v>36244</v>
      </c>
      <c r="I12141" s="20">
        <v>19.177</v>
      </c>
      <c r="J12141" s="44" t="s">
        <v>8</v>
      </c>
      <c r="K12141" s="23" t="s">
        <v>8</v>
      </c>
      <c r="L12141" s="23" t="s">
        <v>8</v>
      </c>
      <c r="M12141" s="23" t="s">
        <v>8</v>
      </c>
    </row>
    <row r="12142" spans="1:13" s="21" customFormat="1" x14ac:dyDescent="0.25">
      <c r="A12142" s="22" t="s">
        <v>8</v>
      </c>
      <c r="B12142" s="18" t="str">
        <f>"435074"</f>
        <v>435074</v>
      </c>
      <c r="C12142" s="19" t="s">
        <v>11943</v>
      </c>
      <c r="D12142" s="19" t="s">
        <v>27547</v>
      </c>
      <c r="E12142" s="19" t="s">
        <v>35111</v>
      </c>
      <c r="F12142" s="19" t="s">
        <v>36016</v>
      </c>
      <c r="G12142" s="18" t="str">
        <f>"57231"</f>
        <v>57231</v>
      </c>
      <c r="H12142" s="19" t="s">
        <v>36753</v>
      </c>
      <c r="I12142" s="20">
        <v>18.791</v>
      </c>
      <c r="J12142" s="44" t="s">
        <v>8</v>
      </c>
      <c r="K12142" s="23" t="s">
        <v>8</v>
      </c>
      <c r="L12142" s="23" t="s">
        <v>8</v>
      </c>
      <c r="M12142" s="23" t="s">
        <v>8</v>
      </c>
    </row>
    <row r="12143" spans="1:13" s="21" customFormat="1" x14ac:dyDescent="0.25">
      <c r="A12143" s="22" t="s">
        <v>8</v>
      </c>
      <c r="B12143" s="18" t="str">
        <f>"435075"</f>
        <v>435075</v>
      </c>
      <c r="C12143" s="19" t="s">
        <v>11944</v>
      </c>
      <c r="D12143" s="19" t="s">
        <v>27548</v>
      </c>
      <c r="E12143" s="19" t="s">
        <v>32644</v>
      </c>
      <c r="F12143" s="19" t="s">
        <v>36016</v>
      </c>
      <c r="G12143" s="18" t="str">
        <f>"57349"</f>
        <v>57349</v>
      </c>
      <c r="H12143" s="19" t="s">
        <v>36757</v>
      </c>
      <c r="I12143" s="20">
        <v>18.978999999999999</v>
      </c>
      <c r="J12143" s="44" t="s">
        <v>8</v>
      </c>
      <c r="K12143" s="23" t="s">
        <v>8</v>
      </c>
      <c r="L12143" s="23" t="s">
        <v>8</v>
      </c>
      <c r="M12143" s="23" t="s">
        <v>8</v>
      </c>
    </row>
    <row r="12144" spans="1:13" s="21" customFormat="1" x14ac:dyDescent="0.25">
      <c r="A12144" s="22" t="s">
        <v>8</v>
      </c>
      <c r="B12144" s="18" t="str">
        <f>"435076"</f>
        <v>435076</v>
      </c>
      <c r="C12144" s="19" t="s">
        <v>11945</v>
      </c>
      <c r="D12144" s="19" t="s">
        <v>27549</v>
      </c>
      <c r="E12144" s="19" t="s">
        <v>30899</v>
      </c>
      <c r="F12144" s="19" t="s">
        <v>36016</v>
      </c>
      <c r="G12144" s="18" t="str">
        <f>"57042"</f>
        <v>57042</v>
      </c>
      <c r="H12144" s="19" t="s">
        <v>36096</v>
      </c>
      <c r="I12144" s="20">
        <v>19.245999999999999</v>
      </c>
      <c r="J12144" s="44" t="s">
        <v>8</v>
      </c>
      <c r="K12144" s="23" t="s">
        <v>8</v>
      </c>
      <c r="L12144" s="23" t="s">
        <v>8</v>
      </c>
      <c r="M12144" s="23" t="s">
        <v>8</v>
      </c>
    </row>
    <row r="12145" spans="1:13" s="21" customFormat="1" x14ac:dyDescent="0.25">
      <c r="A12145" s="22" t="s">
        <v>8</v>
      </c>
      <c r="B12145" s="18" t="str">
        <f>"435077"</f>
        <v>435077</v>
      </c>
      <c r="C12145" s="19" t="s">
        <v>11946</v>
      </c>
      <c r="D12145" s="19" t="s">
        <v>27550</v>
      </c>
      <c r="E12145" s="19" t="s">
        <v>31053</v>
      </c>
      <c r="F12145" s="19" t="s">
        <v>36016</v>
      </c>
      <c r="G12145" s="18" t="str">
        <f>"57221"</f>
        <v>57221</v>
      </c>
      <c r="H12145" s="19" t="s">
        <v>35226</v>
      </c>
      <c r="I12145" s="20">
        <v>18.809999999999999</v>
      </c>
      <c r="J12145" s="44" t="s">
        <v>8</v>
      </c>
      <c r="K12145" s="23" t="s">
        <v>8</v>
      </c>
      <c r="L12145" s="23" t="s">
        <v>8</v>
      </c>
      <c r="M12145" s="23" t="s">
        <v>8</v>
      </c>
    </row>
    <row r="12146" spans="1:13" s="21" customFormat="1" x14ac:dyDescent="0.25">
      <c r="A12146" s="22" t="s">
        <v>8</v>
      </c>
      <c r="B12146" s="18" t="str">
        <f>"435078"</f>
        <v>435078</v>
      </c>
      <c r="C12146" s="19" t="s">
        <v>11947</v>
      </c>
      <c r="D12146" s="19" t="s">
        <v>27551</v>
      </c>
      <c r="E12146" s="19" t="s">
        <v>31100</v>
      </c>
      <c r="F12146" s="19" t="s">
        <v>36016</v>
      </c>
      <c r="G12146" s="18" t="str">
        <f>"57437"</f>
        <v>57437</v>
      </c>
      <c r="H12146" s="19" t="s">
        <v>32551</v>
      </c>
      <c r="I12146" s="20">
        <v>18.021000000000001</v>
      </c>
      <c r="J12146" s="44" t="s">
        <v>8</v>
      </c>
      <c r="K12146" s="23" t="s">
        <v>8</v>
      </c>
      <c r="L12146" s="23" t="s">
        <v>8</v>
      </c>
      <c r="M12146" s="23" t="s">
        <v>8</v>
      </c>
    </row>
    <row r="12147" spans="1:13" s="21" customFormat="1" x14ac:dyDescent="0.25">
      <c r="A12147" s="22" t="s">
        <v>8</v>
      </c>
      <c r="B12147" s="18" t="str">
        <f>"435079"</f>
        <v>435079</v>
      </c>
      <c r="C12147" s="19" t="s">
        <v>11948</v>
      </c>
      <c r="D12147" s="19" t="s">
        <v>27552</v>
      </c>
      <c r="E12147" s="19" t="s">
        <v>34761</v>
      </c>
      <c r="F12147" s="19" t="s">
        <v>36016</v>
      </c>
      <c r="G12147" s="18" t="str">
        <f>"57006"</f>
        <v>57006</v>
      </c>
      <c r="H12147" s="19" t="s">
        <v>34761</v>
      </c>
      <c r="I12147" s="20">
        <v>18.164999999999999</v>
      </c>
      <c r="J12147" s="44" t="s">
        <v>8</v>
      </c>
      <c r="K12147" s="23" t="s">
        <v>8</v>
      </c>
      <c r="L12147" s="23" t="s">
        <v>8</v>
      </c>
      <c r="M12147" s="23" t="s">
        <v>8</v>
      </c>
    </row>
    <row r="12148" spans="1:13" s="21" customFormat="1" x14ac:dyDescent="0.25">
      <c r="A12148" s="22" t="s">
        <v>8</v>
      </c>
      <c r="B12148" s="18" t="str">
        <f>"435080"</f>
        <v>435080</v>
      </c>
      <c r="C12148" s="19" t="s">
        <v>11949</v>
      </c>
      <c r="D12148" s="19" t="s">
        <v>27553</v>
      </c>
      <c r="E12148" s="19" t="s">
        <v>35112</v>
      </c>
      <c r="F12148" s="19" t="s">
        <v>36016</v>
      </c>
      <c r="G12148" s="18" t="str">
        <f>"57004"</f>
        <v>57004</v>
      </c>
      <c r="H12148" s="19" t="s">
        <v>33554</v>
      </c>
      <c r="I12148" s="20">
        <v>19.111000000000001</v>
      </c>
      <c r="J12148" s="44" t="s">
        <v>8</v>
      </c>
      <c r="K12148" s="23" t="s">
        <v>8</v>
      </c>
      <c r="L12148" s="23" t="s">
        <v>8</v>
      </c>
      <c r="M12148" s="23" t="s">
        <v>8</v>
      </c>
    </row>
    <row r="12149" spans="1:13" s="21" customFormat="1" x14ac:dyDescent="0.25">
      <c r="A12149" s="22" t="s">
        <v>8</v>
      </c>
      <c r="B12149" s="18" t="str">
        <f>"435082"</f>
        <v>435082</v>
      </c>
      <c r="C12149" s="19" t="s">
        <v>11950</v>
      </c>
      <c r="D12149" s="19" t="s">
        <v>27554</v>
      </c>
      <c r="E12149" s="19" t="s">
        <v>35113</v>
      </c>
      <c r="F12149" s="19" t="s">
        <v>36016</v>
      </c>
      <c r="G12149" s="18" t="str">
        <f>"57039"</f>
        <v>57039</v>
      </c>
      <c r="H12149" s="19" t="s">
        <v>31995</v>
      </c>
      <c r="I12149" s="20">
        <v>18.204999999999998</v>
      </c>
      <c r="J12149" s="44" t="s">
        <v>8</v>
      </c>
      <c r="K12149" s="23" t="s">
        <v>8</v>
      </c>
      <c r="L12149" s="23" t="s">
        <v>8</v>
      </c>
      <c r="M12149" s="23" t="s">
        <v>8</v>
      </c>
    </row>
    <row r="12150" spans="1:13" s="21" customFormat="1" x14ac:dyDescent="0.25">
      <c r="A12150" s="22" t="s">
        <v>8</v>
      </c>
      <c r="B12150" s="18" t="str">
        <f>"435083"</f>
        <v>435083</v>
      </c>
      <c r="C12150" s="19" t="s">
        <v>11951</v>
      </c>
      <c r="D12150" s="19" t="s">
        <v>27555</v>
      </c>
      <c r="E12150" s="19" t="s">
        <v>34761</v>
      </c>
      <c r="F12150" s="19" t="s">
        <v>36016</v>
      </c>
      <c r="G12150" s="18" t="str">
        <f>"57006"</f>
        <v>57006</v>
      </c>
      <c r="H12150" s="19" t="s">
        <v>34761</v>
      </c>
      <c r="I12150" s="20">
        <v>16.97</v>
      </c>
      <c r="J12150" s="44" t="s">
        <v>8</v>
      </c>
      <c r="K12150" s="23" t="s">
        <v>8</v>
      </c>
      <c r="L12150" s="23" t="s">
        <v>8</v>
      </c>
      <c r="M12150" s="23" t="s">
        <v>8</v>
      </c>
    </row>
    <row r="12151" spans="1:13" s="21" customFormat="1" x14ac:dyDescent="0.25">
      <c r="A12151" s="22" t="s">
        <v>8</v>
      </c>
      <c r="B12151" s="18" t="str">
        <f>"435084"</f>
        <v>435084</v>
      </c>
      <c r="C12151" s="19" t="s">
        <v>11952</v>
      </c>
      <c r="D12151" s="19" t="s">
        <v>27556</v>
      </c>
      <c r="E12151" s="19" t="s">
        <v>35114</v>
      </c>
      <c r="F12151" s="19" t="s">
        <v>36016</v>
      </c>
      <c r="G12151" s="18" t="str">
        <f>"57438"</f>
        <v>57438</v>
      </c>
      <c r="H12151" s="19" t="s">
        <v>36758</v>
      </c>
      <c r="I12151" s="20">
        <v>17.434000000000001</v>
      </c>
      <c r="J12151" s="44" t="s">
        <v>8</v>
      </c>
      <c r="K12151" s="23" t="s">
        <v>8</v>
      </c>
      <c r="L12151" s="23" t="s">
        <v>8</v>
      </c>
      <c r="M12151" s="23" t="s">
        <v>8</v>
      </c>
    </row>
    <row r="12152" spans="1:13" s="21" customFormat="1" x14ac:dyDescent="0.25">
      <c r="A12152" s="22" t="s">
        <v>8</v>
      </c>
      <c r="B12152" s="18" t="str">
        <f>"435086"</f>
        <v>435086</v>
      </c>
      <c r="C12152" s="19" t="s">
        <v>11676</v>
      </c>
      <c r="D12152" s="19" t="s">
        <v>27557</v>
      </c>
      <c r="E12152" s="19" t="s">
        <v>35115</v>
      </c>
      <c r="F12152" s="19" t="s">
        <v>36016</v>
      </c>
      <c r="G12152" s="18" t="str">
        <f>"57028"</f>
        <v>57028</v>
      </c>
      <c r="H12152" s="19" t="s">
        <v>36759</v>
      </c>
      <c r="I12152" s="20">
        <v>17.748000000000001</v>
      </c>
      <c r="J12152" s="44" t="s">
        <v>8</v>
      </c>
      <c r="K12152" s="23" t="s">
        <v>8</v>
      </c>
      <c r="L12152" s="23" t="s">
        <v>8</v>
      </c>
      <c r="M12152" s="23" t="s">
        <v>8</v>
      </c>
    </row>
    <row r="12153" spans="1:13" s="21" customFormat="1" x14ac:dyDescent="0.25">
      <c r="A12153" s="22" t="s">
        <v>8</v>
      </c>
      <c r="B12153" s="18" t="str">
        <f>"435087"</f>
        <v>435087</v>
      </c>
      <c r="C12153" s="19" t="s">
        <v>11953</v>
      </c>
      <c r="D12153" s="19" t="s">
        <v>27558</v>
      </c>
      <c r="E12153" s="19" t="s">
        <v>35116</v>
      </c>
      <c r="F12153" s="19" t="s">
        <v>36016</v>
      </c>
      <c r="G12153" s="18" t="str">
        <f>"57012"</f>
        <v>57012</v>
      </c>
      <c r="H12153" s="19" t="s">
        <v>33771</v>
      </c>
      <c r="I12153" s="20">
        <v>17.893999999999998</v>
      </c>
      <c r="J12153" s="44" t="s">
        <v>8</v>
      </c>
      <c r="K12153" s="23" t="s">
        <v>8</v>
      </c>
      <c r="L12153" s="23" t="s">
        <v>8</v>
      </c>
      <c r="M12153" s="23" t="s">
        <v>8</v>
      </c>
    </row>
    <row r="12154" spans="1:13" s="21" customFormat="1" x14ac:dyDescent="0.25">
      <c r="A12154" s="22" t="s">
        <v>8</v>
      </c>
      <c r="B12154" s="18" t="str">
        <f>"435088"</f>
        <v>435088</v>
      </c>
      <c r="C12154" s="19" t="s">
        <v>11954</v>
      </c>
      <c r="D12154" s="19" t="s">
        <v>27559</v>
      </c>
      <c r="E12154" s="19" t="s">
        <v>32280</v>
      </c>
      <c r="F12154" s="19" t="s">
        <v>36016</v>
      </c>
      <c r="G12154" s="18" t="str">
        <f>"57014"</f>
        <v>57014</v>
      </c>
      <c r="H12154" s="19" t="s">
        <v>36182</v>
      </c>
      <c r="I12154" s="20">
        <v>17.866</v>
      </c>
      <c r="J12154" s="44" t="s">
        <v>8</v>
      </c>
      <c r="K12154" s="23" t="s">
        <v>8</v>
      </c>
      <c r="L12154" s="23" t="s">
        <v>8</v>
      </c>
      <c r="M12154" s="23" t="s">
        <v>8</v>
      </c>
    </row>
    <row r="12155" spans="1:13" s="21" customFormat="1" x14ac:dyDescent="0.25">
      <c r="A12155" s="22" t="s">
        <v>8</v>
      </c>
      <c r="B12155" s="18" t="str">
        <f>"435089"</f>
        <v>435089</v>
      </c>
      <c r="C12155" s="19" t="s">
        <v>11955</v>
      </c>
      <c r="D12155" s="19" t="s">
        <v>27560</v>
      </c>
      <c r="E12155" s="19" t="s">
        <v>35117</v>
      </c>
      <c r="F12155" s="19" t="s">
        <v>36016</v>
      </c>
      <c r="G12155" s="18" t="str">
        <f>"57328"</f>
        <v>57328</v>
      </c>
      <c r="H12155" s="19" t="s">
        <v>30966</v>
      </c>
      <c r="I12155" s="20">
        <v>20.32</v>
      </c>
      <c r="J12155" s="44" t="s">
        <v>8</v>
      </c>
      <c r="K12155" s="23" t="s">
        <v>8</v>
      </c>
      <c r="L12155" s="23" t="s">
        <v>8</v>
      </c>
      <c r="M12155" s="23" t="s">
        <v>8</v>
      </c>
    </row>
    <row r="12156" spans="1:13" s="21" customFormat="1" x14ac:dyDescent="0.25">
      <c r="A12156" s="22" t="s">
        <v>8</v>
      </c>
      <c r="B12156" s="18" t="str">
        <f>"435090"</f>
        <v>435090</v>
      </c>
      <c r="C12156" s="19" t="s">
        <v>11956</v>
      </c>
      <c r="D12156" s="19" t="s">
        <v>27561</v>
      </c>
      <c r="E12156" s="19" t="s">
        <v>35118</v>
      </c>
      <c r="F12156" s="19" t="s">
        <v>36016</v>
      </c>
      <c r="G12156" s="18" t="str">
        <f>"57638"</f>
        <v>57638</v>
      </c>
      <c r="H12156" s="19" t="s">
        <v>36760</v>
      </c>
      <c r="I12156" s="20">
        <v>18.471</v>
      </c>
      <c r="J12156" s="44" t="s">
        <v>8</v>
      </c>
      <c r="K12156" s="23" t="s">
        <v>8</v>
      </c>
      <c r="L12156" s="23" t="s">
        <v>8</v>
      </c>
      <c r="M12156" s="23" t="s">
        <v>8</v>
      </c>
    </row>
    <row r="12157" spans="1:13" s="21" customFormat="1" x14ac:dyDescent="0.25">
      <c r="A12157" s="22" t="s">
        <v>8</v>
      </c>
      <c r="B12157" s="18" t="str">
        <f>"435091"</f>
        <v>435091</v>
      </c>
      <c r="C12157" s="19" t="s">
        <v>11957</v>
      </c>
      <c r="D12157" s="19" t="s">
        <v>27562</v>
      </c>
      <c r="E12157" s="19" t="s">
        <v>35119</v>
      </c>
      <c r="F12157" s="19" t="s">
        <v>36016</v>
      </c>
      <c r="G12157" s="18" t="str">
        <f>"57376"</f>
        <v>57376</v>
      </c>
      <c r="H12157" s="19" t="s">
        <v>32559</v>
      </c>
      <c r="I12157" s="20">
        <v>17.782</v>
      </c>
      <c r="J12157" s="44" t="s">
        <v>8</v>
      </c>
      <c r="K12157" s="23" t="s">
        <v>8</v>
      </c>
      <c r="L12157" s="23" t="s">
        <v>8</v>
      </c>
      <c r="M12157" s="23" t="s">
        <v>8</v>
      </c>
    </row>
    <row r="12158" spans="1:13" s="21" customFormat="1" x14ac:dyDescent="0.25">
      <c r="A12158" s="22" t="s">
        <v>8</v>
      </c>
      <c r="B12158" s="18" t="str">
        <f>"435092"</f>
        <v>435092</v>
      </c>
      <c r="C12158" s="19" t="s">
        <v>11958</v>
      </c>
      <c r="D12158" s="19" t="s">
        <v>27563</v>
      </c>
      <c r="E12158" s="19" t="s">
        <v>35120</v>
      </c>
      <c r="F12158" s="19" t="s">
        <v>36016</v>
      </c>
      <c r="G12158" s="18" t="str">
        <f>"57345"</f>
        <v>57345</v>
      </c>
      <c r="H12158" s="19" t="s">
        <v>36654</v>
      </c>
      <c r="I12158" s="20">
        <v>16.827000000000002</v>
      </c>
      <c r="J12158" s="44" t="s">
        <v>8</v>
      </c>
      <c r="K12158" s="23" t="s">
        <v>8</v>
      </c>
      <c r="L12158" s="23" t="s">
        <v>8</v>
      </c>
      <c r="M12158" s="23" t="s">
        <v>8</v>
      </c>
    </row>
    <row r="12159" spans="1:13" s="21" customFormat="1" x14ac:dyDescent="0.25">
      <c r="A12159" s="22" t="s">
        <v>8</v>
      </c>
      <c r="B12159" s="18" t="str">
        <f>"435093"</f>
        <v>435093</v>
      </c>
      <c r="C12159" s="19" t="s">
        <v>11959</v>
      </c>
      <c r="D12159" s="19" t="s">
        <v>27564</v>
      </c>
      <c r="E12159" s="19" t="s">
        <v>31434</v>
      </c>
      <c r="F12159" s="19" t="s">
        <v>36016</v>
      </c>
      <c r="G12159" s="18" t="str">
        <f>"57219"</f>
        <v>57219</v>
      </c>
      <c r="H12159" s="19" t="s">
        <v>36756</v>
      </c>
      <c r="I12159" s="20">
        <v>18.722000000000001</v>
      </c>
      <c r="J12159" s="44" t="s">
        <v>8</v>
      </c>
      <c r="K12159" s="23" t="s">
        <v>8</v>
      </c>
      <c r="L12159" s="23" t="s">
        <v>8</v>
      </c>
      <c r="M12159" s="23" t="s">
        <v>8</v>
      </c>
    </row>
    <row r="12160" spans="1:13" s="21" customFormat="1" x14ac:dyDescent="0.25">
      <c r="A12160" s="22" t="s">
        <v>8</v>
      </c>
      <c r="B12160" s="18" t="str">
        <f>"435094"</f>
        <v>435094</v>
      </c>
      <c r="C12160" s="19" t="s">
        <v>11960</v>
      </c>
      <c r="D12160" s="19" t="s">
        <v>27565</v>
      </c>
      <c r="E12160" s="19" t="s">
        <v>35121</v>
      </c>
      <c r="F12160" s="19" t="s">
        <v>36016</v>
      </c>
      <c r="G12160" s="18" t="str">
        <f>"57073"</f>
        <v>57073</v>
      </c>
      <c r="H12160" s="19" t="s">
        <v>36030</v>
      </c>
      <c r="I12160" s="20">
        <v>18.061</v>
      </c>
      <c r="J12160" s="44" t="s">
        <v>8</v>
      </c>
      <c r="K12160" s="23" t="s">
        <v>8</v>
      </c>
      <c r="L12160" s="23" t="s">
        <v>8</v>
      </c>
      <c r="M12160" s="23" t="s">
        <v>8</v>
      </c>
    </row>
    <row r="12161" spans="1:13" s="21" customFormat="1" x14ac:dyDescent="0.25">
      <c r="A12161" s="22" t="s">
        <v>8</v>
      </c>
      <c r="B12161" s="18" t="str">
        <f>"435095"</f>
        <v>435095</v>
      </c>
      <c r="C12161" s="19" t="s">
        <v>11961</v>
      </c>
      <c r="D12161" s="19" t="s">
        <v>27566</v>
      </c>
      <c r="E12161" s="19" t="s">
        <v>35122</v>
      </c>
      <c r="F12161" s="19" t="s">
        <v>36016</v>
      </c>
      <c r="G12161" s="18" t="str">
        <f>"57059"</f>
        <v>57059</v>
      </c>
      <c r="H12161" s="19" t="s">
        <v>36761</v>
      </c>
      <c r="I12161" s="20">
        <v>18.89</v>
      </c>
      <c r="J12161" s="44" t="s">
        <v>8</v>
      </c>
      <c r="K12161" s="23" t="s">
        <v>8</v>
      </c>
      <c r="L12161" s="23" t="s">
        <v>8</v>
      </c>
      <c r="M12161" s="23" t="s">
        <v>8</v>
      </c>
    </row>
    <row r="12162" spans="1:13" s="21" customFormat="1" x14ac:dyDescent="0.25">
      <c r="A12162" s="22" t="s">
        <v>8</v>
      </c>
      <c r="B12162" s="18" t="str">
        <f>"435096"</f>
        <v>435096</v>
      </c>
      <c r="C12162" s="19" t="s">
        <v>11962</v>
      </c>
      <c r="D12162" s="19" t="s">
        <v>27567</v>
      </c>
      <c r="E12162" s="19" t="s">
        <v>35097</v>
      </c>
      <c r="F12162" s="19" t="s">
        <v>36016</v>
      </c>
      <c r="G12162" s="18" t="str">
        <f>"57105"</f>
        <v>57105</v>
      </c>
      <c r="H12162" s="19" t="s">
        <v>36751</v>
      </c>
      <c r="I12162" s="20">
        <v>21.716999999999999</v>
      </c>
      <c r="J12162" s="44" t="s">
        <v>8</v>
      </c>
      <c r="K12162" s="23" t="s">
        <v>8</v>
      </c>
      <c r="L12162" s="23" t="s">
        <v>8</v>
      </c>
      <c r="M12162" s="23" t="s">
        <v>8</v>
      </c>
    </row>
    <row r="12163" spans="1:13" s="21" customFormat="1" x14ac:dyDescent="0.25">
      <c r="A12163" s="22" t="s">
        <v>8</v>
      </c>
      <c r="B12163" s="18" t="str">
        <f>"435097"</f>
        <v>435097</v>
      </c>
      <c r="C12163" s="19" t="s">
        <v>11963</v>
      </c>
      <c r="D12163" s="19" t="s">
        <v>27568</v>
      </c>
      <c r="E12163" s="19" t="s">
        <v>35123</v>
      </c>
      <c r="F12163" s="19" t="s">
        <v>36016</v>
      </c>
      <c r="G12163" s="18" t="str">
        <f>"57356"</f>
        <v>57356</v>
      </c>
      <c r="H12163" s="19" t="s">
        <v>36762</v>
      </c>
      <c r="I12163" s="20">
        <v>18.463999999999999</v>
      </c>
      <c r="J12163" s="44" t="s">
        <v>8</v>
      </c>
      <c r="K12163" s="23" t="s">
        <v>8</v>
      </c>
      <c r="L12163" s="23" t="s">
        <v>8</v>
      </c>
      <c r="M12163" s="23" t="s">
        <v>8</v>
      </c>
    </row>
    <row r="12164" spans="1:13" s="21" customFormat="1" x14ac:dyDescent="0.25">
      <c r="A12164" s="22" t="s">
        <v>8</v>
      </c>
      <c r="B12164" s="18" t="str">
        <f>"435098"</f>
        <v>435098</v>
      </c>
      <c r="C12164" s="19" t="s">
        <v>11964</v>
      </c>
      <c r="D12164" s="19" t="s">
        <v>27569</v>
      </c>
      <c r="E12164" s="19" t="s">
        <v>35124</v>
      </c>
      <c r="F12164" s="19" t="s">
        <v>36016</v>
      </c>
      <c r="G12164" s="18" t="str">
        <f>"57066"</f>
        <v>57066</v>
      </c>
      <c r="H12164" s="19" t="s">
        <v>36761</v>
      </c>
      <c r="I12164" s="20">
        <v>16.93</v>
      </c>
      <c r="J12164" s="44" t="s">
        <v>8</v>
      </c>
      <c r="K12164" s="23" t="s">
        <v>8</v>
      </c>
      <c r="L12164" s="23" t="s">
        <v>8</v>
      </c>
      <c r="M12164" s="23" t="s">
        <v>8</v>
      </c>
    </row>
    <row r="12165" spans="1:13" s="21" customFormat="1" x14ac:dyDescent="0.25">
      <c r="A12165" s="22" t="s">
        <v>8</v>
      </c>
      <c r="B12165" s="18" t="str">
        <f>"435099"</f>
        <v>435099</v>
      </c>
      <c r="C12165" s="19" t="s">
        <v>11965</v>
      </c>
      <c r="D12165" s="19" t="s">
        <v>27570</v>
      </c>
      <c r="E12165" s="19" t="s">
        <v>35125</v>
      </c>
      <c r="F12165" s="19" t="s">
        <v>36016</v>
      </c>
      <c r="G12165" s="18" t="str">
        <f>"57234"</f>
        <v>57234</v>
      </c>
      <c r="H12165" s="19" t="s">
        <v>35226</v>
      </c>
      <c r="I12165" s="20">
        <v>18.981999999999999</v>
      </c>
      <c r="J12165" s="44" t="s">
        <v>8</v>
      </c>
      <c r="K12165" s="23" t="s">
        <v>8</v>
      </c>
      <c r="L12165" s="23" t="s">
        <v>8</v>
      </c>
      <c r="M12165" s="23" t="s">
        <v>8</v>
      </c>
    </row>
    <row r="12166" spans="1:13" s="21" customFormat="1" x14ac:dyDescent="0.25">
      <c r="A12166" s="22" t="s">
        <v>8</v>
      </c>
      <c r="B12166" s="18" t="str">
        <f>"435100"</f>
        <v>435100</v>
      </c>
      <c r="C12166" s="19" t="s">
        <v>11966</v>
      </c>
      <c r="D12166" s="19" t="s">
        <v>27571</v>
      </c>
      <c r="E12166" s="19" t="s">
        <v>35126</v>
      </c>
      <c r="F12166" s="19" t="s">
        <v>36016</v>
      </c>
      <c r="G12166" s="18" t="str">
        <f>"57037"</f>
        <v>57037</v>
      </c>
      <c r="H12166" s="19" t="s">
        <v>36030</v>
      </c>
      <c r="I12166" s="20">
        <v>18.199000000000002</v>
      </c>
      <c r="J12166" s="44" t="s">
        <v>8</v>
      </c>
      <c r="K12166" s="23" t="s">
        <v>8</v>
      </c>
      <c r="L12166" s="23" t="s">
        <v>8</v>
      </c>
      <c r="M12166" s="23" t="s">
        <v>8</v>
      </c>
    </row>
    <row r="12167" spans="1:13" s="21" customFormat="1" x14ac:dyDescent="0.25">
      <c r="A12167" s="22" t="s">
        <v>8</v>
      </c>
      <c r="B12167" s="18" t="str">
        <f>"435101"</f>
        <v>435101</v>
      </c>
      <c r="C12167" s="19" t="s">
        <v>11967</v>
      </c>
      <c r="D12167" s="19" t="s">
        <v>27572</v>
      </c>
      <c r="E12167" s="19" t="s">
        <v>31791</v>
      </c>
      <c r="F12167" s="19" t="s">
        <v>36016</v>
      </c>
      <c r="G12167" s="18" t="str">
        <f>"57013"</f>
        <v>57013</v>
      </c>
      <c r="H12167" s="19" t="s">
        <v>31995</v>
      </c>
      <c r="I12167" s="20">
        <v>17.945</v>
      </c>
      <c r="J12167" s="44" t="s">
        <v>8</v>
      </c>
      <c r="K12167" s="23" t="s">
        <v>8</v>
      </c>
      <c r="L12167" s="23" t="s">
        <v>8</v>
      </c>
      <c r="M12167" s="23" t="s">
        <v>8</v>
      </c>
    </row>
    <row r="12168" spans="1:13" s="21" customFormat="1" x14ac:dyDescent="0.25">
      <c r="A12168" s="22" t="s">
        <v>8</v>
      </c>
      <c r="B12168" s="18" t="str">
        <f>"435102"</f>
        <v>435102</v>
      </c>
      <c r="C12168" s="19" t="s">
        <v>11968</v>
      </c>
      <c r="D12168" s="19" t="s">
        <v>27573</v>
      </c>
      <c r="E12168" s="19" t="s">
        <v>33232</v>
      </c>
      <c r="F12168" s="19" t="s">
        <v>36016</v>
      </c>
      <c r="G12168" s="18" t="str">
        <f>"57785"</f>
        <v>57785</v>
      </c>
      <c r="H12168" s="19" t="s">
        <v>36312</v>
      </c>
      <c r="I12168" s="20">
        <v>21.151</v>
      </c>
      <c r="J12168" s="44" t="s">
        <v>8</v>
      </c>
      <c r="K12168" s="23" t="s">
        <v>8</v>
      </c>
      <c r="L12168" s="23" t="s">
        <v>8</v>
      </c>
      <c r="M12168" s="23" t="s">
        <v>8</v>
      </c>
    </row>
    <row r="12169" spans="1:13" s="21" customFormat="1" x14ac:dyDescent="0.25">
      <c r="A12169" s="22" t="s">
        <v>8</v>
      </c>
      <c r="B12169" s="18" t="str">
        <f>"435104"</f>
        <v>435104</v>
      </c>
      <c r="C12169" s="19" t="s">
        <v>11969</v>
      </c>
      <c r="D12169" s="19" t="s">
        <v>27574</v>
      </c>
      <c r="E12169" s="19" t="s">
        <v>35127</v>
      </c>
      <c r="F12169" s="19" t="s">
        <v>36016</v>
      </c>
      <c r="G12169" s="18" t="str">
        <f>"57761"</f>
        <v>57761</v>
      </c>
      <c r="H12169" s="19" t="s">
        <v>36465</v>
      </c>
      <c r="I12169" s="20">
        <v>16.731000000000002</v>
      </c>
      <c r="J12169" s="44" t="s">
        <v>8</v>
      </c>
      <c r="K12169" s="23" t="s">
        <v>8</v>
      </c>
      <c r="L12169" s="23" t="s">
        <v>8</v>
      </c>
      <c r="M12169" s="23" t="s">
        <v>8</v>
      </c>
    </row>
    <row r="12170" spans="1:13" s="21" customFormat="1" x14ac:dyDescent="0.25">
      <c r="A12170" s="22" t="s">
        <v>8</v>
      </c>
      <c r="B12170" s="18" t="str">
        <f>"435105"</f>
        <v>435105</v>
      </c>
      <c r="C12170" s="19" t="s">
        <v>11970</v>
      </c>
      <c r="D12170" s="19" t="s">
        <v>27575</v>
      </c>
      <c r="E12170" s="19" t="s">
        <v>35128</v>
      </c>
      <c r="F12170" s="19" t="s">
        <v>36016</v>
      </c>
      <c r="G12170" s="18" t="str">
        <f>"57430"</f>
        <v>57430</v>
      </c>
      <c r="H12170" s="19" t="s">
        <v>31063</v>
      </c>
      <c r="I12170" s="20">
        <v>20.762</v>
      </c>
      <c r="J12170" s="44" t="s">
        <v>8</v>
      </c>
      <c r="K12170" s="23" t="s">
        <v>8</v>
      </c>
      <c r="L12170" s="23" t="s">
        <v>8</v>
      </c>
      <c r="M12170" s="23" t="s">
        <v>8</v>
      </c>
    </row>
    <row r="12171" spans="1:13" s="21" customFormat="1" x14ac:dyDescent="0.25">
      <c r="A12171" s="22" t="s">
        <v>8</v>
      </c>
      <c r="B12171" s="18" t="str">
        <f>"435106"</f>
        <v>435106</v>
      </c>
      <c r="C12171" s="19" t="s">
        <v>11971</v>
      </c>
      <c r="D12171" s="19" t="s">
        <v>27576</v>
      </c>
      <c r="E12171" s="19" t="s">
        <v>35129</v>
      </c>
      <c r="F12171" s="19" t="s">
        <v>36016</v>
      </c>
      <c r="G12171" s="18" t="str">
        <f>"57380"</f>
        <v>57380</v>
      </c>
      <c r="H12171" s="19" t="s">
        <v>36762</v>
      </c>
      <c r="I12171" s="20">
        <v>17.940000000000001</v>
      </c>
      <c r="J12171" s="44" t="s">
        <v>8</v>
      </c>
      <c r="K12171" s="23" t="s">
        <v>8</v>
      </c>
      <c r="L12171" s="23" t="s">
        <v>8</v>
      </c>
      <c r="M12171" s="23" t="s">
        <v>8</v>
      </c>
    </row>
    <row r="12172" spans="1:13" s="21" customFormat="1" x14ac:dyDescent="0.25">
      <c r="A12172" s="22" t="s">
        <v>8</v>
      </c>
      <c r="B12172" s="18" t="str">
        <f>"435107"</f>
        <v>435107</v>
      </c>
      <c r="C12172" s="19" t="s">
        <v>11972</v>
      </c>
      <c r="D12172" s="19" t="s">
        <v>27577</v>
      </c>
      <c r="E12172" s="19" t="s">
        <v>35130</v>
      </c>
      <c r="F12172" s="19" t="s">
        <v>36016</v>
      </c>
      <c r="G12172" s="18" t="str">
        <f>"57428"</f>
        <v>57428</v>
      </c>
      <c r="H12172" s="19" t="s">
        <v>36755</v>
      </c>
      <c r="I12172" s="20">
        <v>20.454999999999998</v>
      </c>
      <c r="J12172" s="44" t="s">
        <v>8</v>
      </c>
      <c r="K12172" s="23" t="s">
        <v>8</v>
      </c>
      <c r="L12172" s="23" t="s">
        <v>8</v>
      </c>
      <c r="M12172" s="23" t="s">
        <v>8</v>
      </c>
    </row>
    <row r="12173" spans="1:13" s="21" customFormat="1" x14ac:dyDescent="0.25">
      <c r="A12173" s="22" t="s">
        <v>8</v>
      </c>
      <c r="B12173" s="18" t="str">
        <f>"435109"</f>
        <v>435109</v>
      </c>
      <c r="C12173" s="19" t="s">
        <v>11973</v>
      </c>
      <c r="D12173" s="19" t="s">
        <v>27578</v>
      </c>
      <c r="E12173" s="19" t="s">
        <v>32259</v>
      </c>
      <c r="F12173" s="19" t="s">
        <v>36016</v>
      </c>
      <c r="G12173" s="18" t="str">
        <f>"57301"</f>
        <v>57301</v>
      </c>
      <c r="H12173" s="19" t="s">
        <v>36749</v>
      </c>
      <c r="I12173" s="20">
        <v>17.827000000000002</v>
      </c>
      <c r="J12173" s="44" t="s">
        <v>8</v>
      </c>
      <c r="K12173" s="23" t="s">
        <v>8</v>
      </c>
      <c r="L12173" s="23" t="s">
        <v>8</v>
      </c>
      <c r="M12173" s="23" t="s">
        <v>8</v>
      </c>
    </row>
    <row r="12174" spans="1:13" s="21" customFormat="1" x14ac:dyDescent="0.25">
      <c r="A12174" s="22" t="s">
        <v>8</v>
      </c>
      <c r="B12174" s="18" t="str">
        <f>"435110"</f>
        <v>435110</v>
      </c>
      <c r="C12174" s="19" t="s">
        <v>11974</v>
      </c>
      <c r="D12174" s="19" t="s">
        <v>27579</v>
      </c>
      <c r="E12174" s="19" t="s">
        <v>35099</v>
      </c>
      <c r="F12174" s="19" t="s">
        <v>36016</v>
      </c>
      <c r="G12174" s="18" t="str">
        <f>"57702"</f>
        <v>57702</v>
      </c>
      <c r="H12174" s="19" t="s">
        <v>36465</v>
      </c>
      <c r="I12174" s="20">
        <v>20.777000000000001</v>
      </c>
      <c r="J12174" s="44" t="s">
        <v>8</v>
      </c>
      <c r="K12174" s="23" t="s">
        <v>8</v>
      </c>
      <c r="L12174" s="23" t="s">
        <v>8</v>
      </c>
      <c r="M12174" s="23" t="s">
        <v>8</v>
      </c>
    </row>
    <row r="12175" spans="1:13" s="21" customFormat="1" x14ac:dyDescent="0.25">
      <c r="A12175" s="22" t="s">
        <v>8</v>
      </c>
      <c r="B12175" s="18" t="str">
        <f>"435111"</f>
        <v>435111</v>
      </c>
      <c r="C12175" s="19" t="s">
        <v>11975</v>
      </c>
      <c r="D12175" s="19" t="s">
        <v>27580</v>
      </c>
      <c r="E12175" s="19" t="s">
        <v>35131</v>
      </c>
      <c r="F12175" s="19" t="s">
        <v>36016</v>
      </c>
      <c r="G12175" s="18" t="str">
        <f>"57276"</f>
        <v>57276</v>
      </c>
      <c r="H12175" s="19" t="s">
        <v>34761</v>
      </c>
      <c r="I12175" s="20">
        <v>18.526</v>
      </c>
      <c r="J12175" s="44" t="s">
        <v>8</v>
      </c>
      <c r="K12175" s="23" t="s">
        <v>8</v>
      </c>
      <c r="L12175" s="23" t="s">
        <v>8</v>
      </c>
      <c r="M12175" s="23" t="s">
        <v>8</v>
      </c>
    </row>
    <row r="12176" spans="1:13" s="21" customFormat="1" x14ac:dyDescent="0.25">
      <c r="A12176" s="22" t="s">
        <v>8</v>
      </c>
      <c r="B12176" s="18" t="str">
        <f>"435112"</f>
        <v>435112</v>
      </c>
      <c r="C12176" s="19" t="s">
        <v>11976</v>
      </c>
      <c r="D12176" s="19" t="s">
        <v>27581</v>
      </c>
      <c r="E12176" s="19" t="s">
        <v>35132</v>
      </c>
      <c r="F12176" s="19" t="s">
        <v>36016</v>
      </c>
      <c r="G12176" s="18" t="str">
        <f>"57029"</f>
        <v>57029</v>
      </c>
      <c r="H12176" s="19" t="s">
        <v>32559</v>
      </c>
      <c r="I12176" s="20">
        <v>18.640999999999998</v>
      </c>
      <c r="J12176" s="44" t="s">
        <v>8</v>
      </c>
      <c r="K12176" s="23" t="s">
        <v>8</v>
      </c>
      <c r="L12176" s="23" t="s">
        <v>8</v>
      </c>
      <c r="M12176" s="23" t="s">
        <v>8</v>
      </c>
    </row>
    <row r="12177" spans="1:13" s="21" customFormat="1" x14ac:dyDescent="0.25">
      <c r="A12177" s="22" t="s">
        <v>8</v>
      </c>
      <c r="B12177" s="18" t="str">
        <f>"435113"</f>
        <v>435113</v>
      </c>
      <c r="C12177" s="19" t="s">
        <v>11977</v>
      </c>
      <c r="D12177" s="19" t="s">
        <v>27582</v>
      </c>
      <c r="E12177" s="19" t="s">
        <v>35133</v>
      </c>
      <c r="F12177" s="19" t="s">
        <v>36016</v>
      </c>
      <c r="G12177" s="18" t="str">
        <f>"57045"</f>
        <v>57045</v>
      </c>
      <c r="H12177" s="19" t="s">
        <v>32559</v>
      </c>
      <c r="I12177" s="20">
        <v>18.436</v>
      </c>
      <c r="J12177" s="44" t="s">
        <v>8</v>
      </c>
      <c r="K12177" s="23" t="s">
        <v>8</v>
      </c>
      <c r="L12177" s="23" t="s">
        <v>8</v>
      </c>
      <c r="M12177" s="23" t="s">
        <v>8</v>
      </c>
    </row>
    <row r="12178" spans="1:13" s="21" customFormat="1" x14ac:dyDescent="0.25">
      <c r="A12178" s="22" t="s">
        <v>8</v>
      </c>
      <c r="B12178" s="18" t="str">
        <f>"435114"</f>
        <v>435114</v>
      </c>
      <c r="C12178" s="19" t="s">
        <v>11978</v>
      </c>
      <c r="D12178" s="19" t="s">
        <v>27583</v>
      </c>
      <c r="E12178" s="19" t="s">
        <v>33120</v>
      </c>
      <c r="F12178" s="19" t="s">
        <v>36016</v>
      </c>
      <c r="G12178" s="18" t="str">
        <f>"57319"</f>
        <v>57319</v>
      </c>
      <c r="H12178" s="19" t="s">
        <v>33771</v>
      </c>
      <c r="I12178" s="20">
        <v>18.125</v>
      </c>
      <c r="J12178" s="44" t="s">
        <v>8</v>
      </c>
      <c r="K12178" s="23" t="s">
        <v>8</v>
      </c>
      <c r="L12178" s="23" t="s">
        <v>8</v>
      </c>
      <c r="M12178" s="23" t="s">
        <v>8</v>
      </c>
    </row>
    <row r="12179" spans="1:13" s="21" customFormat="1" x14ac:dyDescent="0.25">
      <c r="A12179" s="22" t="s">
        <v>8</v>
      </c>
      <c r="B12179" s="18" t="str">
        <f>"435115"</f>
        <v>435115</v>
      </c>
      <c r="C12179" s="19" t="s">
        <v>11979</v>
      </c>
      <c r="D12179" s="19" t="s">
        <v>27584</v>
      </c>
      <c r="E12179" s="19" t="s">
        <v>35134</v>
      </c>
      <c r="F12179" s="19" t="s">
        <v>36016</v>
      </c>
      <c r="G12179" s="18" t="str">
        <f>"57030"</f>
        <v>57030</v>
      </c>
      <c r="H12179" s="19" t="s">
        <v>36751</v>
      </c>
      <c r="I12179" s="20">
        <v>18.614999999999998</v>
      </c>
      <c r="J12179" s="44" t="s">
        <v>8</v>
      </c>
      <c r="K12179" s="23" t="s">
        <v>8</v>
      </c>
      <c r="L12179" s="23" t="s">
        <v>8</v>
      </c>
      <c r="M12179" s="23" t="s">
        <v>8</v>
      </c>
    </row>
    <row r="12180" spans="1:13" s="21" customFormat="1" x14ac:dyDescent="0.25">
      <c r="A12180" s="22" t="s">
        <v>8</v>
      </c>
      <c r="B12180" s="18" t="str">
        <f>"435117"</f>
        <v>435117</v>
      </c>
      <c r="C12180" s="19" t="s">
        <v>11980</v>
      </c>
      <c r="D12180" s="19" t="s">
        <v>27585</v>
      </c>
      <c r="E12180" s="19" t="s">
        <v>32463</v>
      </c>
      <c r="F12180" s="19" t="s">
        <v>36016</v>
      </c>
      <c r="G12180" s="18" t="str">
        <f>"57226"</f>
        <v>57226</v>
      </c>
      <c r="H12180" s="19" t="s">
        <v>36763</v>
      </c>
      <c r="I12180" s="20">
        <v>20.745999999999999</v>
      </c>
      <c r="J12180" s="44" t="s">
        <v>8</v>
      </c>
      <c r="K12180" s="23" t="s">
        <v>8</v>
      </c>
      <c r="L12180" s="23" t="s">
        <v>8</v>
      </c>
      <c r="M12180" s="23" t="s">
        <v>8</v>
      </c>
    </row>
    <row r="12181" spans="1:13" s="21" customFormat="1" x14ac:dyDescent="0.25">
      <c r="A12181" s="22" t="s">
        <v>8</v>
      </c>
      <c r="B12181" s="18" t="str">
        <f>"435118"</f>
        <v>435118</v>
      </c>
      <c r="C12181" s="19" t="s">
        <v>11981</v>
      </c>
      <c r="D12181" s="19" t="s">
        <v>27586</v>
      </c>
      <c r="E12181" s="19" t="s">
        <v>35030</v>
      </c>
      <c r="F12181" s="19" t="s">
        <v>36016</v>
      </c>
      <c r="G12181" s="18" t="str">
        <f>"57385"</f>
        <v>57385</v>
      </c>
      <c r="H12181" s="19" t="s">
        <v>32541</v>
      </c>
      <c r="I12181" s="20">
        <v>19.701000000000001</v>
      </c>
      <c r="J12181" s="44" t="s">
        <v>8</v>
      </c>
      <c r="K12181" s="23" t="s">
        <v>8</v>
      </c>
      <c r="L12181" s="23" t="s">
        <v>8</v>
      </c>
      <c r="M12181" s="23" t="s">
        <v>8</v>
      </c>
    </row>
    <row r="12182" spans="1:13" s="21" customFormat="1" x14ac:dyDescent="0.25">
      <c r="A12182" s="22" t="s">
        <v>8</v>
      </c>
      <c r="B12182" s="18" t="str">
        <f>"435119"</f>
        <v>435119</v>
      </c>
      <c r="C12182" s="19" t="s">
        <v>11982</v>
      </c>
      <c r="D12182" s="19" t="s">
        <v>27587</v>
      </c>
      <c r="E12182" s="19" t="s">
        <v>35135</v>
      </c>
      <c r="F12182" s="19" t="s">
        <v>36016</v>
      </c>
      <c r="G12182" s="18" t="str">
        <f>"57279"</f>
        <v>57279</v>
      </c>
      <c r="H12182" s="19" t="s">
        <v>36752</v>
      </c>
      <c r="I12182" s="20">
        <v>19.428000000000001</v>
      </c>
      <c r="J12182" s="44" t="s">
        <v>8</v>
      </c>
      <c r="K12182" s="23" t="s">
        <v>8</v>
      </c>
      <c r="L12182" s="23" t="s">
        <v>8</v>
      </c>
      <c r="M12182" s="23" t="s">
        <v>8</v>
      </c>
    </row>
    <row r="12183" spans="1:13" s="21" customFormat="1" x14ac:dyDescent="0.25">
      <c r="A12183" s="22" t="s">
        <v>8</v>
      </c>
      <c r="B12183" s="18" t="str">
        <f>"435120"</f>
        <v>435120</v>
      </c>
      <c r="C12183" s="19" t="s">
        <v>11983</v>
      </c>
      <c r="D12183" s="19" t="s">
        <v>27588</v>
      </c>
      <c r="E12183" s="19" t="s">
        <v>35136</v>
      </c>
      <c r="F12183" s="19" t="s">
        <v>36016</v>
      </c>
      <c r="G12183" s="18" t="str">
        <f>"57070"</f>
        <v>57070</v>
      </c>
      <c r="H12183" s="19" t="s">
        <v>36182</v>
      </c>
      <c r="I12183" s="20">
        <v>18.032</v>
      </c>
      <c r="J12183" s="44" t="s">
        <v>8</v>
      </c>
      <c r="K12183" s="23" t="s">
        <v>8</v>
      </c>
      <c r="L12183" s="23" t="s">
        <v>8</v>
      </c>
      <c r="M12183" s="23" t="s">
        <v>8</v>
      </c>
    </row>
    <row r="12184" spans="1:13" s="21" customFormat="1" x14ac:dyDescent="0.25">
      <c r="A12184" s="22" t="s">
        <v>8</v>
      </c>
      <c r="B12184" s="18" t="str">
        <f>"435121"</f>
        <v>435121</v>
      </c>
      <c r="C12184" s="19" t="s">
        <v>11984</v>
      </c>
      <c r="D12184" s="19" t="s">
        <v>27589</v>
      </c>
      <c r="E12184" s="19" t="s">
        <v>35137</v>
      </c>
      <c r="F12184" s="19" t="s">
        <v>36016</v>
      </c>
      <c r="G12184" s="18" t="str">
        <f>"57260"</f>
        <v>57260</v>
      </c>
      <c r="H12184" s="19" t="s">
        <v>36752</v>
      </c>
      <c r="I12184" s="20">
        <v>18.248999999999999</v>
      </c>
      <c r="J12184" s="44" t="s">
        <v>8</v>
      </c>
      <c r="K12184" s="23" t="s">
        <v>8</v>
      </c>
      <c r="L12184" s="23" t="s">
        <v>8</v>
      </c>
      <c r="M12184" s="23" t="s">
        <v>8</v>
      </c>
    </row>
    <row r="12185" spans="1:13" s="21" customFormat="1" x14ac:dyDescent="0.25">
      <c r="A12185" s="22" t="s">
        <v>8</v>
      </c>
      <c r="B12185" s="18" t="str">
        <f>"435122"</f>
        <v>435122</v>
      </c>
      <c r="C12185" s="19" t="s">
        <v>11985</v>
      </c>
      <c r="D12185" s="19" t="s">
        <v>27590</v>
      </c>
      <c r="E12185" s="19" t="s">
        <v>35095</v>
      </c>
      <c r="F12185" s="19" t="s">
        <v>36016</v>
      </c>
      <c r="G12185" s="18" t="str">
        <f>"57252"</f>
        <v>57252</v>
      </c>
      <c r="H12185" s="19" t="s">
        <v>36078</v>
      </c>
      <c r="I12185" s="20">
        <v>19.009</v>
      </c>
      <c r="J12185" s="44" t="s">
        <v>8</v>
      </c>
      <c r="K12185" s="23" t="s">
        <v>8</v>
      </c>
      <c r="L12185" s="23" t="s">
        <v>8</v>
      </c>
      <c r="M12185" s="23" t="s">
        <v>8</v>
      </c>
    </row>
    <row r="12186" spans="1:13" s="21" customFormat="1" x14ac:dyDescent="0.25">
      <c r="A12186" s="22" t="s">
        <v>8</v>
      </c>
      <c r="B12186" s="18" t="str">
        <f>"435123"</f>
        <v>435123</v>
      </c>
      <c r="C12186" s="19" t="s">
        <v>11986</v>
      </c>
      <c r="D12186" s="19" t="s">
        <v>27591</v>
      </c>
      <c r="E12186" s="19" t="s">
        <v>35138</v>
      </c>
      <c r="F12186" s="19" t="s">
        <v>36016</v>
      </c>
      <c r="G12186" s="18" t="str">
        <f>"57472"</f>
        <v>57472</v>
      </c>
      <c r="H12186" s="19" t="s">
        <v>35694</v>
      </c>
      <c r="I12186" s="20">
        <v>17.678999999999998</v>
      </c>
      <c r="J12186" s="44" t="s">
        <v>8</v>
      </c>
      <c r="K12186" s="23" t="s">
        <v>8</v>
      </c>
      <c r="L12186" s="23" t="s">
        <v>8</v>
      </c>
      <c r="M12186" s="23" t="s">
        <v>8</v>
      </c>
    </row>
    <row r="12187" spans="1:13" s="21" customFormat="1" x14ac:dyDescent="0.25">
      <c r="A12187" s="22" t="s">
        <v>8</v>
      </c>
      <c r="B12187" s="18" t="str">
        <f>"435124"</f>
        <v>435124</v>
      </c>
      <c r="C12187" s="19" t="s">
        <v>11987</v>
      </c>
      <c r="D12187" s="19" t="s">
        <v>27592</v>
      </c>
      <c r="E12187" s="19" t="s">
        <v>35139</v>
      </c>
      <c r="F12187" s="19" t="s">
        <v>36016</v>
      </c>
      <c r="G12187" s="18" t="str">
        <f>"57362"</f>
        <v>57362</v>
      </c>
      <c r="H12187" s="19" t="s">
        <v>36764</v>
      </c>
      <c r="I12187" s="20">
        <v>20.231000000000002</v>
      </c>
      <c r="J12187" s="44" t="s">
        <v>8</v>
      </c>
      <c r="K12187" s="23" t="s">
        <v>8</v>
      </c>
      <c r="L12187" s="23" t="s">
        <v>8</v>
      </c>
      <c r="M12187" s="23" t="s">
        <v>8</v>
      </c>
    </row>
    <row r="12188" spans="1:13" s="21" customFormat="1" x14ac:dyDescent="0.25">
      <c r="A12188" s="22" t="s">
        <v>8</v>
      </c>
      <c r="B12188" s="18" t="str">
        <f>"435125"</f>
        <v>435125</v>
      </c>
      <c r="C12188" s="19" t="s">
        <v>11988</v>
      </c>
      <c r="D12188" s="19" t="s">
        <v>27593</v>
      </c>
      <c r="E12188" s="19" t="s">
        <v>34838</v>
      </c>
      <c r="F12188" s="19" t="s">
        <v>36016</v>
      </c>
      <c r="G12188" s="18" t="str">
        <f>"57261"</f>
        <v>57261</v>
      </c>
      <c r="H12188" s="19" t="s">
        <v>36756</v>
      </c>
      <c r="I12188" s="20">
        <v>19.367999999999999</v>
      </c>
      <c r="J12188" s="44" t="s">
        <v>8</v>
      </c>
      <c r="K12188" s="23" t="s">
        <v>8</v>
      </c>
      <c r="L12188" s="23" t="s">
        <v>8</v>
      </c>
      <c r="M12188" s="23" t="s">
        <v>8</v>
      </c>
    </row>
    <row r="12189" spans="1:13" s="21" customFormat="1" x14ac:dyDescent="0.25">
      <c r="A12189" s="22" t="s">
        <v>8</v>
      </c>
      <c r="B12189" s="18" t="str">
        <f>"435126"</f>
        <v>435126</v>
      </c>
      <c r="C12189" s="19" t="s">
        <v>11989</v>
      </c>
      <c r="D12189" s="19" t="s">
        <v>27594</v>
      </c>
      <c r="E12189" s="19" t="s">
        <v>34559</v>
      </c>
      <c r="F12189" s="19" t="s">
        <v>36016</v>
      </c>
      <c r="G12189" s="18" t="str">
        <f>"57350"</f>
        <v>57350</v>
      </c>
      <c r="H12189" s="19" t="s">
        <v>36750</v>
      </c>
      <c r="I12189" s="20">
        <v>18.03</v>
      </c>
      <c r="J12189" s="44" t="s">
        <v>8</v>
      </c>
      <c r="K12189" s="23" t="s">
        <v>8</v>
      </c>
      <c r="L12189" s="23" t="s">
        <v>8</v>
      </c>
      <c r="M12189" s="23" t="s">
        <v>8</v>
      </c>
    </row>
    <row r="12190" spans="1:13" s="21" customFormat="1" x14ac:dyDescent="0.25">
      <c r="A12190" s="22" t="s">
        <v>8</v>
      </c>
      <c r="B12190" s="18" t="str">
        <f>"435127"</f>
        <v>435127</v>
      </c>
      <c r="C12190" s="19" t="s">
        <v>11990</v>
      </c>
      <c r="D12190" s="19" t="s">
        <v>27595</v>
      </c>
      <c r="E12190" s="19" t="s">
        <v>35097</v>
      </c>
      <c r="F12190" s="19" t="s">
        <v>36016</v>
      </c>
      <c r="G12190" s="18" t="str">
        <f>"57104"</f>
        <v>57104</v>
      </c>
      <c r="H12190" s="19" t="s">
        <v>36751</v>
      </c>
      <c r="I12190" s="20">
        <v>18.231999999999999</v>
      </c>
      <c r="J12190" s="44" t="s">
        <v>8</v>
      </c>
      <c r="K12190" s="23" t="s">
        <v>8</v>
      </c>
      <c r="L12190" s="23" t="s">
        <v>8</v>
      </c>
      <c r="M12190" s="23" t="s">
        <v>8</v>
      </c>
    </row>
    <row r="12191" spans="1:13" s="21" customFormat="1" x14ac:dyDescent="0.25">
      <c r="A12191" s="22" t="s">
        <v>8</v>
      </c>
      <c r="B12191" s="18" t="str">
        <f>"435129"</f>
        <v>435129</v>
      </c>
      <c r="C12191" s="19" t="s">
        <v>11991</v>
      </c>
      <c r="D12191" s="19" t="s">
        <v>27596</v>
      </c>
      <c r="E12191" s="19" t="s">
        <v>35140</v>
      </c>
      <c r="F12191" s="19" t="s">
        <v>36016</v>
      </c>
      <c r="G12191" s="18" t="str">
        <f>"57022"</f>
        <v>57022</v>
      </c>
      <c r="H12191" s="19" t="s">
        <v>36751</v>
      </c>
      <c r="I12191" s="20">
        <v>17.288</v>
      </c>
      <c r="J12191" s="44" t="s">
        <v>8</v>
      </c>
      <c r="K12191" s="23" t="s">
        <v>8</v>
      </c>
      <c r="L12191" s="23" t="s">
        <v>8</v>
      </c>
      <c r="M12191" s="23" t="s">
        <v>8</v>
      </c>
    </row>
    <row r="12192" spans="1:13" s="21" customFormat="1" x14ac:dyDescent="0.25">
      <c r="A12192" s="22" t="s">
        <v>8</v>
      </c>
      <c r="B12192" s="18" t="str">
        <f>"435130"</f>
        <v>435130</v>
      </c>
      <c r="C12192" s="19" t="s">
        <v>11992</v>
      </c>
      <c r="D12192" s="19" t="s">
        <v>27597</v>
      </c>
      <c r="E12192" s="19" t="s">
        <v>31623</v>
      </c>
      <c r="F12192" s="19" t="s">
        <v>36016</v>
      </c>
      <c r="G12192" s="18" t="str">
        <f>"57005"</f>
        <v>57005</v>
      </c>
      <c r="H12192" s="19" t="s">
        <v>36751</v>
      </c>
      <c r="I12192" s="20">
        <v>19.123999999999999</v>
      </c>
      <c r="J12192" s="44" t="s">
        <v>8</v>
      </c>
      <c r="K12192" s="23" t="s">
        <v>8</v>
      </c>
      <c r="L12192" s="23" t="s">
        <v>8</v>
      </c>
      <c r="M12192" s="23" t="s">
        <v>8</v>
      </c>
    </row>
    <row r="12193" spans="1:13" s="21" customFormat="1" x14ac:dyDescent="0.25">
      <c r="A12193" s="22" t="s">
        <v>8</v>
      </c>
      <c r="B12193" s="18" t="str">
        <f>"435131"</f>
        <v>435131</v>
      </c>
      <c r="C12193" s="19" t="s">
        <v>11993</v>
      </c>
      <c r="D12193" s="19" t="s">
        <v>27598</v>
      </c>
      <c r="E12193" s="19" t="s">
        <v>31588</v>
      </c>
      <c r="F12193" s="19" t="s">
        <v>36016</v>
      </c>
      <c r="G12193" s="18" t="str">
        <f>"57034"</f>
        <v>57034</v>
      </c>
      <c r="H12193" s="19" t="s">
        <v>31995</v>
      </c>
      <c r="I12193" s="20">
        <v>18.896999999999998</v>
      </c>
      <c r="J12193" s="44" t="s">
        <v>8</v>
      </c>
      <c r="K12193" s="23" t="s">
        <v>8</v>
      </c>
      <c r="L12193" s="23" t="s">
        <v>8</v>
      </c>
      <c r="M12193" s="23" t="s">
        <v>8</v>
      </c>
    </row>
    <row r="12194" spans="1:13" s="21" customFormat="1" x14ac:dyDescent="0.25">
      <c r="A12194" s="22" t="s">
        <v>8</v>
      </c>
      <c r="B12194" s="18" t="str">
        <f>"435132"</f>
        <v>435132</v>
      </c>
      <c r="C12194" s="19" t="s">
        <v>11994</v>
      </c>
      <c r="D12194" s="19" t="s">
        <v>27599</v>
      </c>
      <c r="E12194" s="19" t="s">
        <v>33256</v>
      </c>
      <c r="F12194" s="19" t="s">
        <v>36016</v>
      </c>
      <c r="G12194" s="18" t="str">
        <f>"57383"</f>
        <v>57383</v>
      </c>
      <c r="H12194" s="19" t="s">
        <v>31333</v>
      </c>
      <c r="I12194" s="20">
        <v>18.390999999999998</v>
      </c>
      <c r="J12194" s="44" t="s">
        <v>8</v>
      </c>
      <c r="K12194" s="23" t="s">
        <v>8</v>
      </c>
      <c r="L12194" s="23" t="s">
        <v>8</v>
      </c>
      <c r="M12194" s="23" t="s">
        <v>8</v>
      </c>
    </row>
    <row r="12195" spans="1:13" s="21" customFormat="1" x14ac:dyDescent="0.25">
      <c r="A12195" s="22" t="s">
        <v>8</v>
      </c>
      <c r="B12195" s="18" t="s">
        <v>15366</v>
      </c>
      <c r="C12195" s="19" t="s">
        <v>11995</v>
      </c>
      <c r="D12195" s="19" t="s">
        <v>27600</v>
      </c>
      <c r="E12195" s="19" t="s">
        <v>31394</v>
      </c>
      <c r="F12195" s="19" t="s">
        <v>36017</v>
      </c>
      <c r="G12195" s="18" t="str">
        <f>"37355"</f>
        <v>37355</v>
      </c>
      <c r="H12195" s="19" t="s">
        <v>36039</v>
      </c>
      <c r="I12195" s="20">
        <v>20.18</v>
      </c>
      <c r="J12195" s="44" t="s">
        <v>8</v>
      </c>
      <c r="K12195" s="23" t="s">
        <v>8</v>
      </c>
      <c r="L12195" s="23" t="s">
        <v>8</v>
      </c>
      <c r="M12195" s="23" t="s">
        <v>8</v>
      </c>
    </row>
    <row r="12196" spans="1:13" s="21" customFormat="1" x14ac:dyDescent="0.25">
      <c r="A12196" s="22" t="s">
        <v>8</v>
      </c>
      <c r="B12196" s="18" t="s">
        <v>15367</v>
      </c>
      <c r="C12196" s="19" t="s">
        <v>11996</v>
      </c>
      <c r="D12196" s="19" t="s">
        <v>27601</v>
      </c>
      <c r="E12196" s="19" t="s">
        <v>31701</v>
      </c>
      <c r="F12196" s="19" t="s">
        <v>36017</v>
      </c>
      <c r="G12196" s="18" t="str">
        <f>"38485"</f>
        <v>38485</v>
      </c>
      <c r="H12196" s="19" t="s">
        <v>33280</v>
      </c>
      <c r="I12196" s="20">
        <v>18.669</v>
      </c>
      <c r="J12196" s="44" t="s">
        <v>8</v>
      </c>
      <c r="K12196" s="23" t="s">
        <v>8</v>
      </c>
      <c r="L12196" s="23" t="s">
        <v>8</v>
      </c>
      <c r="M12196" s="23" t="s">
        <v>8</v>
      </c>
    </row>
    <row r="12197" spans="1:13" s="21" customFormat="1" x14ac:dyDescent="0.25">
      <c r="A12197" s="22" t="s">
        <v>8</v>
      </c>
      <c r="B12197" s="18" t="s">
        <v>15368</v>
      </c>
      <c r="C12197" s="19" t="s">
        <v>11997</v>
      </c>
      <c r="D12197" s="19" t="s">
        <v>27602</v>
      </c>
      <c r="E12197" s="19" t="s">
        <v>34786</v>
      </c>
      <c r="F12197" s="19" t="s">
        <v>36017</v>
      </c>
      <c r="G12197" s="18" t="str">
        <f>"38344"</f>
        <v>38344</v>
      </c>
      <c r="H12197" s="19" t="s">
        <v>32334</v>
      </c>
      <c r="I12197" s="20">
        <v>19.241</v>
      </c>
      <c r="J12197" s="44" t="s">
        <v>8</v>
      </c>
      <c r="K12197" s="23" t="s">
        <v>8</v>
      </c>
      <c r="L12197" s="23" t="s">
        <v>8</v>
      </c>
      <c r="M12197" s="23" t="s">
        <v>8</v>
      </c>
    </row>
    <row r="12198" spans="1:13" s="21" customFormat="1" x14ac:dyDescent="0.25">
      <c r="A12198" s="22" t="s">
        <v>8</v>
      </c>
      <c r="B12198" s="18" t="s">
        <v>15369</v>
      </c>
      <c r="C12198" s="19" t="s">
        <v>11998</v>
      </c>
      <c r="D12198" s="19" t="s">
        <v>27603</v>
      </c>
      <c r="E12198" s="19" t="s">
        <v>31795</v>
      </c>
      <c r="F12198" s="19" t="s">
        <v>36017</v>
      </c>
      <c r="G12198" s="18" t="str">
        <f>"38478"</f>
        <v>38478</v>
      </c>
      <c r="H12198" s="19" t="s">
        <v>36765</v>
      </c>
      <c r="I12198" s="20">
        <v>19.821999999999999</v>
      </c>
      <c r="J12198" s="44" t="s">
        <v>8</v>
      </c>
      <c r="K12198" s="23" t="s">
        <v>8</v>
      </c>
      <c r="L12198" s="23" t="s">
        <v>8</v>
      </c>
      <c r="M12198" s="23" t="s">
        <v>8</v>
      </c>
    </row>
    <row r="12199" spans="1:13" s="21" customFormat="1" x14ac:dyDescent="0.25">
      <c r="A12199" s="22" t="s">
        <v>8</v>
      </c>
      <c r="B12199" s="18" t="s">
        <v>15370</v>
      </c>
      <c r="C12199" s="19" t="s">
        <v>11999</v>
      </c>
      <c r="D12199" s="19" t="s">
        <v>27604</v>
      </c>
      <c r="E12199" s="19" t="s">
        <v>35141</v>
      </c>
      <c r="F12199" s="19" t="s">
        <v>36017</v>
      </c>
      <c r="G12199" s="18" t="str">
        <f>"37857"</f>
        <v>37857</v>
      </c>
      <c r="H12199" s="19" t="s">
        <v>36766</v>
      </c>
      <c r="I12199" s="20">
        <v>19.177</v>
      </c>
      <c r="J12199" s="44" t="s">
        <v>8</v>
      </c>
      <c r="K12199" s="23" t="s">
        <v>8</v>
      </c>
      <c r="L12199" s="23" t="s">
        <v>8</v>
      </c>
      <c r="M12199" s="23" t="s">
        <v>8</v>
      </c>
    </row>
    <row r="12200" spans="1:13" s="21" customFormat="1" x14ac:dyDescent="0.25">
      <c r="A12200" s="22" t="s">
        <v>8</v>
      </c>
      <c r="B12200" s="18" t="s">
        <v>15371</v>
      </c>
      <c r="C12200" s="19" t="s">
        <v>12000</v>
      </c>
      <c r="D12200" s="19" t="s">
        <v>27605</v>
      </c>
      <c r="E12200" s="19" t="s">
        <v>30906</v>
      </c>
      <c r="F12200" s="19" t="s">
        <v>36017</v>
      </c>
      <c r="G12200" s="18" t="str">
        <f>"37096"</f>
        <v>37096</v>
      </c>
      <c r="H12200" s="19" t="s">
        <v>31503</v>
      </c>
      <c r="I12200" s="20">
        <v>19.856999999999999</v>
      </c>
      <c r="J12200" s="44" t="s">
        <v>8</v>
      </c>
      <c r="K12200" s="23" t="s">
        <v>8</v>
      </c>
      <c r="L12200" s="23" t="s">
        <v>8</v>
      </c>
      <c r="M12200" s="23" t="s">
        <v>8</v>
      </c>
    </row>
    <row r="12201" spans="1:13" s="21" customFormat="1" x14ac:dyDescent="0.25">
      <c r="A12201" s="22" t="s">
        <v>8</v>
      </c>
      <c r="B12201" s="18" t="s">
        <v>15372</v>
      </c>
      <c r="C12201" s="19" t="s">
        <v>12001</v>
      </c>
      <c r="D12201" s="19" t="s">
        <v>27606</v>
      </c>
      <c r="E12201" s="19" t="s">
        <v>35142</v>
      </c>
      <c r="F12201" s="19" t="s">
        <v>36017</v>
      </c>
      <c r="G12201" s="18" t="str">
        <f>"38375"</f>
        <v>38375</v>
      </c>
      <c r="H12201" s="19" t="s">
        <v>36767</v>
      </c>
      <c r="I12201" s="20">
        <v>18.440999999999999</v>
      </c>
      <c r="J12201" s="44" t="s">
        <v>8</v>
      </c>
      <c r="K12201" s="23" t="s">
        <v>8</v>
      </c>
      <c r="L12201" s="23" t="s">
        <v>8</v>
      </c>
      <c r="M12201" s="23" t="s">
        <v>8</v>
      </c>
    </row>
    <row r="12202" spans="1:13" s="21" customFormat="1" x14ac:dyDescent="0.25">
      <c r="A12202" s="22" t="s">
        <v>8</v>
      </c>
      <c r="B12202" s="18" t="s">
        <v>15373</v>
      </c>
      <c r="C12202" s="19" t="s">
        <v>12002</v>
      </c>
      <c r="D12202" s="19" t="s">
        <v>27607</v>
      </c>
      <c r="E12202" s="19" t="s">
        <v>32326</v>
      </c>
      <c r="F12202" s="19" t="s">
        <v>36017</v>
      </c>
      <c r="G12202" s="18" t="str">
        <f>"38358"</f>
        <v>38358</v>
      </c>
      <c r="H12202" s="19" t="s">
        <v>31829</v>
      </c>
      <c r="I12202" s="20">
        <v>17.103999999999999</v>
      </c>
      <c r="J12202" s="44" t="s">
        <v>8</v>
      </c>
      <c r="K12202" s="23" t="s">
        <v>8</v>
      </c>
      <c r="L12202" s="23" t="s">
        <v>8</v>
      </c>
      <c r="M12202" s="23" t="s">
        <v>8</v>
      </c>
    </row>
    <row r="12203" spans="1:13" s="21" customFormat="1" x14ac:dyDescent="0.25">
      <c r="A12203" s="22" t="s">
        <v>8</v>
      </c>
      <c r="B12203" s="18" t="s">
        <v>15374</v>
      </c>
      <c r="C12203" s="19" t="s">
        <v>12003</v>
      </c>
      <c r="D12203" s="19" t="s">
        <v>27608</v>
      </c>
      <c r="E12203" s="19" t="s">
        <v>32321</v>
      </c>
      <c r="F12203" s="19" t="s">
        <v>36017</v>
      </c>
      <c r="G12203" s="18" t="str">
        <f>"37814"</f>
        <v>37814</v>
      </c>
      <c r="H12203" s="19" t="s">
        <v>36768</v>
      </c>
      <c r="I12203" s="20">
        <v>19.471</v>
      </c>
      <c r="J12203" s="44" t="s">
        <v>8</v>
      </c>
      <c r="K12203" s="23" t="s">
        <v>8</v>
      </c>
      <c r="L12203" s="23" t="s">
        <v>8</v>
      </c>
      <c r="M12203" s="23" t="s">
        <v>8</v>
      </c>
    </row>
    <row r="12204" spans="1:13" s="21" customFormat="1" x14ac:dyDescent="0.25">
      <c r="A12204" s="22" t="s">
        <v>8</v>
      </c>
      <c r="B12204" s="18" t="s">
        <v>15375</v>
      </c>
      <c r="C12204" s="19" t="s">
        <v>12004</v>
      </c>
      <c r="D12204" s="19" t="s">
        <v>27609</v>
      </c>
      <c r="E12204" s="19" t="s">
        <v>32578</v>
      </c>
      <c r="F12204" s="19" t="s">
        <v>36017</v>
      </c>
      <c r="G12204" s="18" t="str">
        <f>"38363"</f>
        <v>38363</v>
      </c>
      <c r="H12204" s="19" t="s">
        <v>30853</v>
      </c>
      <c r="I12204" s="20">
        <v>18.728000000000002</v>
      </c>
      <c r="J12204" s="44" t="s">
        <v>8</v>
      </c>
      <c r="K12204" s="23" t="s">
        <v>8</v>
      </c>
      <c r="L12204" s="23" t="s">
        <v>8</v>
      </c>
      <c r="M12204" s="23" t="s">
        <v>8</v>
      </c>
    </row>
    <row r="12205" spans="1:13" s="21" customFormat="1" x14ac:dyDescent="0.25">
      <c r="A12205" s="22" t="s">
        <v>8</v>
      </c>
      <c r="B12205" s="18" t="s">
        <v>15376</v>
      </c>
      <c r="C12205" s="19" t="s">
        <v>12005</v>
      </c>
      <c r="D12205" s="19" t="s">
        <v>27610</v>
      </c>
      <c r="E12205" s="19" t="s">
        <v>35143</v>
      </c>
      <c r="F12205" s="19" t="s">
        <v>36017</v>
      </c>
      <c r="G12205" s="18" t="str">
        <f>"38024"</f>
        <v>38024</v>
      </c>
      <c r="H12205" s="19" t="s">
        <v>32239</v>
      </c>
      <c r="I12205" s="20">
        <v>18.875</v>
      </c>
      <c r="J12205" s="44" t="s">
        <v>8</v>
      </c>
      <c r="K12205" s="23" t="s">
        <v>8</v>
      </c>
      <c r="L12205" s="23" t="s">
        <v>8</v>
      </c>
      <c r="M12205" s="23" t="s">
        <v>8</v>
      </c>
    </row>
    <row r="12206" spans="1:13" s="21" customFormat="1" x14ac:dyDescent="0.25">
      <c r="A12206" s="22" t="s">
        <v>8</v>
      </c>
      <c r="B12206" s="18" t="s">
        <v>15377</v>
      </c>
      <c r="C12206" s="19" t="s">
        <v>12006</v>
      </c>
      <c r="D12206" s="19" t="s">
        <v>27611</v>
      </c>
      <c r="E12206" s="19" t="s">
        <v>31719</v>
      </c>
      <c r="F12206" s="19" t="s">
        <v>36017</v>
      </c>
      <c r="G12206" s="18" t="str">
        <f>"38372"</f>
        <v>38372</v>
      </c>
      <c r="H12206" s="19" t="s">
        <v>32124</v>
      </c>
      <c r="I12206" s="20">
        <v>18.550999999999998</v>
      </c>
      <c r="J12206" s="44" t="s">
        <v>8</v>
      </c>
      <c r="K12206" s="23" t="s">
        <v>8</v>
      </c>
      <c r="L12206" s="23" t="s">
        <v>8</v>
      </c>
      <c r="M12206" s="23" t="s">
        <v>8</v>
      </c>
    </row>
    <row r="12207" spans="1:13" s="21" customFormat="1" x14ac:dyDescent="0.25">
      <c r="A12207" s="22" t="s">
        <v>8</v>
      </c>
      <c r="B12207" s="18" t="s">
        <v>15378</v>
      </c>
      <c r="C12207" s="19" t="s">
        <v>12007</v>
      </c>
      <c r="D12207" s="19" t="s">
        <v>27612</v>
      </c>
      <c r="E12207" s="19" t="s">
        <v>34455</v>
      </c>
      <c r="F12207" s="19" t="s">
        <v>36017</v>
      </c>
      <c r="G12207" s="18" t="str">
        <f>"38551"</f>
        <v>38551</v>
      </c>
      <c r="H12207" s="19" t="s">
        <v>36030</v>
      </c>
      <c r="I12207" s="20">
        <v>17.463000000000001</v>
      </c>
      <c r="J12207" s="44" t="s">
        <v>8</v>
      </c>
      <c r="K12207" s="23" t="s">
        <v>8</v>
      </c>
      <c r="L12207" s="23" t="s">
        <v>8</v>
      </c>
      <c r="M12207" s="23" t="s">
        <v>8</v>
      </c>
    </row>
    <row r="12208" spans="1:13" s="21" customFormat="1" x14ac:dyDescent="0.25">
      <c r="A12208" s="22" t="s">
        <v>8</v>
      </c>
      <c r="B12208" s="18" t="s">
        <v>15379</v>
      </c>
      <c r="C12208" s="19" t="s">
        <v>12008</v>
      </c>
      <c r="D12208" s="19" t="s">
        <v>27613</v>
      </c>
      <c r="E12208" s="19" t="s">
        <v>33653</v>
      </c>
      <c r="F12208" s="19" t="s">
        <v>36017</v>
      </c>
      <c r="G12208" s="18" t="str">
        <f>"37166"</f>
        <v>37166</v>
      </c>
      <c r="H12208" s="19" t="s">
        <v>31954</v>
      </c>
      <c r="I12208" s="20">
        <v>17.814</v>
      </c>
      <c r="J12208" s="44" t="s">
        <v>8</v>
      </c>
      <c r="K12208" s="23" t="s">
        <v>8</v>
      </c>
      <c r="L12208" s="23" t="s">
        <v>8</v>
      </c>
      <c r="M12208" s="23" t="s">
        <v>8</v>
      </c>
    </row>
    <row r="12209" spans="1:13" s="21" customFormat="1" x14ac:dyDescent="0.25">
      <c r="A12209" s="22" t="s">
        <v>8</v>
      </c>
      <c r="B12209" s="18" t="s">
        <v>15380</v>
      </c>
      <c r="C12209" s="19" t="s">
        <v>12009</v>
      </c>
      <c r="D12209" s="19" t="s">
        <v>27614</v>
      </c>
      <c r="E12209" s="19" t="s">
        <v>32208</v>
      </c>
      <c r="F12209" s="19" t="s">
        <v>36017</v>
      </c>
      <c r="G12209" s="18" t="str">
        <f>"38464"</f>
        <v>38464</v>
      </c>
      <c r="H12209" s="19" t="s">
        <v>32568</v>
      </c>
      <c r="I12209" s="20">
        <v>20.602</v>
      </c>
      <c r="J12209" s="44" t="s">
        <v>8</v>
      </c>
      <c r="K12209" s="23" t="s">
        <v>8</v>
      </c>
      <c r="L12209" s="23" t="s">
        <v>8</v>
      </c>
      <c r="M12209" s="23" t="s">
        <v>8</v>
      </c>
    </row>
    <row r="12210" spans="1:13" s="21" customFormat="1" x14ac:dyDescent="0.25">
      <c r="A12210" s="22" t="s">
        <v>8</v>
      </c>
      <c r="B12210" s="18" t="s">
        <v>15381</v>
      </c>
      <c r="C12210" s="19" t="s">
        <v>12010</v>
      </c>
      <c r="D12210" s="19" t="s">
        <v>27615</v>
      </c>
      <c r="E12210" s="19" t="s">
        <v>33582</v>
      </c>
      <c r="F12210" s="19" t="s">
        <v>36017</v>
      </c>
      <c r="G12210" s="18" t="str">
        <f>"38008"</f>
        <v>38008</v>
      </c>
      <c r="H12210" s="19" t="s">
        <v>36769</v>
      </c>
      <c r="I12210" s="20">
        <v>19.361999999999998</v>
      </c>
      <c r="J12210" s="44" t="s">
        <v>8</v>
      </c>
      <c r="K12210" s="23" t="s">
        <v>8</v>
      </c>
      <c r="L12210" s="23" t="s">
        <v>8</v>
      </c>
      <c r="M12210" s="23" t="s">
        <v>8</v>
      </c>
    </row>
    <row r="12211" spans="1:13" s="21" customFormat="1" x14ac:dyDescent="0.25">
      <c r="A12211" s="22" t="s">
        <v>8</v>
      </c>
      <c r="B12211" s="18" t="s">
        <v>15382</v>
      </c>
      <c r="C12211" s="19" t="s">
        <v>12011</v>
      </c>
      <c r="D12211" s="19" t="s">
        <v>27616</v>
      </c>
      <c r="E12211" s="19" t="s">
        <v>33740</v>
      </c>
      <c r="F12211" s="19" t="s">
        <v>36017</v>
      </c>
      <c r="G12211" s="18" t="str">
        <f>"38570"</f>
        <v>38570</v>
      </c>
      <c r="H12211" s="19" t="s">
        <v>35850</v>
      </c>
      <c r="I12211" s="20">
        <v>22.06</v>
      </c>
      <c r="J12211" s="44" t="s">
        <v>8</v>
      </c>
      <c r="K12211" s="23" t="s">
        <v>8</v>
      </c>
      <c r="L12211" s="23" t="s">
        <v>8</v>
      </c>
      <c r="M12211" s="23" t="s">
        <v>8</v>
      </c>
    </row>
    <row r="12212" spans="1:13" s="21" customFormat="1" x14ac:dyDescent="0.25">
      <c r="A12212" s="22" t="s">
        <v>8</v>
      </c>
      <c r="B12212" s="18" t="s">
        <v>15383</v>
      </c>
      <c r="C12212" s="19" t="s">
        <v>12012</v>
      </c>
      <c r="D12212" s="19" t="s">
        <v>27617</v>
      </c>
      <c r="E12212" s="19" t="s">
        <v>35144</v>
      </c>
      <c r="F12212" s="19" t="s">
        <v>36017</v>
      </c>
      <c r="G12212" s="18" t="str">
        <f>"37061"</f>
        <v>37061</v>
      </c>
      <c r="H12212" s="19" t="s">
        <v>33493</v>
      </c>
      <c r="I12212" s="20">
        <v>18.821000000000002</v>
      </c>
      <c r="J12212" s="44" t="s">
        <v>8</v>
      </c>
      <c r="K12212" s="23" t="s">
        <v>8</v>
      </c>
      <c r="L12212" s="23" t="s">
        <v>8</v>
      </c>
      <c r="M12212" s="23" t="s">
        <v>8</v>
      </c>
    </row>
    <row r="12213" spans="1:13" s="21" customFormat="1" x14ac:dyDescent="0.25">
      <c r="A12213" s="22" t="s">
        <v>8</v>
      </c>
      <c r="B12213" s="18" t="str">
        <f>"445002"</f>
        <v>445002</v>
      </c>
      <c r="C12213" s="19" t="s">
        <v>12013</v>
      </c>
      <c r="D12213" s="19" t="s">
        <v>27618</v>
      </c>
      <c r="E12213" s="19" t="s">
        <v>34847</v>
      </c>
      <c r="F12213" s="19" t="s">
        <v>36017</v>
      </c>
      <c r="G12213" s="18" t="str">
        <f>"37091"</f>
        <v>37091</v>
      </c>
      <c r="H12213" s="19" t="s">
        <v>31063</v>
      </c>
      <c r="I12213" s="20">
        <v>17.597999999999999</v>
      </c>
      <c r="J12213" s="44" t="s">
        <v>8</v>
      </c>
      <c r="K12213" s="23" t="s">
        <v>8</v>
      </c>
      <c r="L12213" s="23" t="s">
        <v>8</v>
      </c>
      <c r="M12213" s="23" t="s">
        <v>8</v>
      </c>
    </row>
    <row r="12214" spans="1:13" s="21" customFormat="1" x14ac:dyDescent="0.25">
      <c r="A12214" s="22" t="s">
        <v>8</v>
      </c>
      <c r="B12214" s="18" t="str">
        <f>"445004"</f>
        <v>445004</v>
      </c>
      <c r="C12214" s="19" t="s">
        <v>12014</v>
      </c>
      <c r="D12214" s="19" t="s">
        <v>27619</v>
      </c>
      <c r="E12214" s="19" t="s">
        <v>35145</v>
      </c>
      <c r="F12214" s="19" t="s">
        <v>36017</v>
      </c>
      <c r="G12214" s="18" t="str">
        <f>"37055"</f>
        <v>37055</v>
      </c>
      <c r="H12214" s="19" t="s">
        <v>35145</v>
      </c>
      <c r="I12214" s="20">
        <v>21.497</v>
      </c>
      <c r="J12214" s="44" t="s">
        <v>8</v>
      </c>
      <c r="K12214" s="23" t="s">
        <v>8</v>
      </c>
      <c r="L12214" s="23" t="s">
        <v>8</v>
      </c>
      <c r="M12214" s="23" t="s">
        <v>8</v>
      </c>
    </row>
    <row r="12215" spans="1:13" s="21" customFormat="1" x14ac:dyDescent="0.25">
      <c r="A12215" s="22" t="s">
        <v>8</v>
      </c>
      <c r="B12215" s="18" t="str">
        <f>"445008"</f>
        <v>445008</v>
      </c>
      <c r="C12215" s="19" t="s">
        <v>12015</v>
      </c>
      <c r="D12215" s="19" t="s">
        <v>27620</v>
      </c>
      <c r="E12215" s="19" t="s">
        <v>35146</v>
      </c>
      <c r="F12215" s="19" t="s">
        <v>36017</v>
      </c>
      <c r="G12215" s="18" t="str">
        <f>"37403"</f>
        <v>37403</v>
      </c>
      <c r="H12215" s="19" t="s">
        <v>30804</v>
      </c>
      <c r="I12215" s="20">
        <v>14.788</v>
      </c>
      <c r="J12215" s="44" t="s">
        <v>8</v>
      </c>
      <c r="K12215" s="23" t="s">
        <v>8</v>
      </c>
      <c r="L12215" s="23" t="s">
        <v>8</v>
      </c>
      <c r="M12215" s="23" t="s">
        <v>8</v>
      </c>
    </row>
    <row r="12216" spans="1:13" s="21" customFormat="1" x14ac:dyDescent="0.25">
      <c r="A12216" s="22" t="s">
        <v>8</v>
      </c>
      <c r="B12216" s="18" t="str">
        <f>"445013"</f>
        <v>445013</v>
      </c>
      <c r="C12216" s="19" t="s">
        <v>12016</v>
      </c>
      <c r="D12216" s="19" t="s">
        <v>27621</v>
      </c>
      <c r="E12216" s="19" t="s">
        <v>35146</v>
      </c>
      <c r="F12216" s="19" t="s">
        <v>36017</v>
      </c>
      <c r="G12216" s="18" t="str">
        <f>"37404"</f>
        <v>37404</v>
      </c>
      <c r="H12216" s="19" t="s">
        <v>30804</v>
      </c>
      <c r="I12216" s="20">
        <v>19.009</v>
      </c>
      <c r="J12216" s="44" t="s">
        <v>8</v>
      </c>
      <c r="K12216" s="23" t="s">
        <v>8</v>
      </c>
      <c r="L12216" s="23" t="s">
        <v>8</v>
      </c>
      <c r="M12216" s="23" t="s">
        <v>8</v>
      </c>
    </row>
    <row r="12217" spans="1:13" s="21" customFormat="1" x14ac:dyDescent="0.25">
      <c r="A12217" s="22" t="s">
        <v>8</v>
      </c>
      <c r="B12217" s="18" t="str">
        <f>"445017"</f>
        <v>445017</v>
      </c>
      <c r="C12217" s="19" t="s">
        <v>12017</v>
      </c>
      <c r="D12217" s="19" t="s">
        <v>27622</v>
      </c>
      <c r="E12217" s="19" t="s">
        <v>32082</v>
      </c>
      <c r="F12217" s="19" t="s">
        <v>36017</v>
      </c>
      <c r="G12217" s="18" t="str">
        <f>"37804"</f>
        <v>37804</v>
      </c>
      <c r="H12217" s="19" t="s">
        <v>36041</v>
      </c>
      <c r="I12217" s="20">
        <v>19.914000000000001</v>
      </c>
      <c r="J12217" s="44" t="s">
        <v>8</v>
      </c>
      <c r="K12217" s="23" t="s">
        <v>8</v>
      </c>
      <c r="L12217" s="23" t="s">
        <v>8</v>
      </c>
      <c r="M12217" s="23" t="s">
        <v>8</v>
      </c>
    </row>
    <row r="12218" spans="1:13" s="21" customFormat="1" x14ac:dyDescent="0.25">
      <c r="A12218" s="22" t="s">
        <v>8</v>
      </c>
      <c r="B12218" s="18" t="str">
        <f>"445024"</f>
        <v>445024</v>
      </c>
      <c r="C12218" s="19" t="s">
        <v>12018</v>
      </c>
      <c r="D12218" s="19" t="s">
        <v>27623</v>
      </c>
      <c r="E12218" s="19" t="s">
        <v>34126</v>
      </c>
      <c r="F12218" s="19" t="s">
        <v>36017</v>
      </c>
      <c r="G12218" s="18" t="str">
        <f>"37601"</f>
        <v>37601</v>
      </c>
      <c r="H12218" s="19" t="s">
        <v>31500</v>
      </c>
      <c r="I12218" s="20">
        <v>18.058</v>
      </c>
      <c r="J12218" s="44" t="s">
        <v>8</v>
      </c>
      <c r="K12218" s="23" t="s">
        <v>8</v>
      </c>
      <c r="L12218" s="23" t="s">
        <v>8</v>
      </c>
      <c r="M12218" s="23" t="s">
        <v>8</v>
      </c>
    </row>
    <row r="12219" spans="1:13" s="21" customFormat="1" x14ac:dyDescent="0.25">
      <c r="A12219" s="22" t="s">
        <v>8</v>
      </c>
      <c r="B12219" s="18" t="str">
        <f>"445030"</f>
        <v>445030</v>
      </c>
      <c r="C12219" s="19" t="s">
        <v>12019</v>
      </c>
      <c r="D12219" s="19" t="s">
        <v>27624</v>
      </c>
      <c r="E12219" s="19" t="s">
        <v>32076</v>
      </c>
      <c r="F12219" s="19" t="s">
        <v>36017</v>
      </c>
      <c r="G12219" s="18" t="str">
        <f>"38401"</f>
        <v>38401</v>
      </c>
      <c r="H12219" s="19" t="s">
        <v>36770</v>
      </c>
      <c r="I12219" s="20">
        <v>17.891999999999999</v>
      </c>
      <c r="J12219" s="44" t="s">
        <v>8</v>
      </c>
      <c r="K12219" s="23" t="s">
        <v>8</v>
      </c>
      <c r="L12219" s="23" t="s">
        <v>8</v>
      </c>
      <c r="M12219" s="23" t="s">
        <v>8</v>
      </c>
    </row>
    <row r="12220" spans="1:13" s="21" customFormat="1" x14ac:dyDescent="0.25">
      <c r="A12220" s="22" t="s">
        <v>8</v>
      </c>
      <c r="B12220" s="18" t="str">
        <f>"445033"</f>
        <v>445033</v>
      </c>
      <c r="C12220" s="19" t="s">
        <v>12020</v>
      </c>
      <c r="D12220" s="19" t="s">
        <v>27625</v>
      </c>
      <c r="E12220" s="19" t="s">
        <v>31014</v>
      </c>
      <c r="F12220" s="19" t="s">
        <v>36017</v>
      </c>
      <c r="G12220" s="18" t="str">
        <f>"37218"</f>
        <v>37218</v>
      </c>
      <c r="H12220" s="19" t="s">
        <v>36613</v>
      </c>
      <c r="I12220" s="20">
        <v>19.16</v>
      </c>
      <c r="J12220" s="44" t="s">
        <v>8</v>
      </c>
      <c r="K12220" s="23" t="s">
        <v>8</v>
      </c>
      <c r="L12220" s="23" t="s">
        <v>8</v>
      </c>
      <c r="M12220" s="23" t="s">
        <v>8</v>
      </c>
    </row>
    <row r="12221" spans="1:13" s="21" customFormat="1" x14ac:dyDescent="0.25">
      <c r="A12221" s="22" t="s">
        <v>8</v>
      </c>
      <c r="B12221" s="18" t="str">
        <f>"445069"</f>
        <v>445069</v>
      </c>
      <c r="C12221" s="19" t="s">
        <v>12021</v>
      </c>
      <c r="D12221" s="19" t="s">
        <v>27626</v>
      </c>
      <c r="E12221" s="19" t="s">
        <v>32326</v>
      </c>
      <c r="F12221" s="19" t="s">
        <v>36017</v>
      </c>
      <c r="G12221" s="18" t="str">
        <f>"38358"</f>
        <v>38358</v>
      </c>
      <c r="H12221" s="19" t="s">
        <v>31829</v>
      </c>
      <c r="I12221" s="20">
        <v>15.851000000000001</v>
      </c>
      <c r="J12221" s="44" t="s">
        <v>8</v>
      </c>
      <c r="K12221" s="23" t="s">
        <v>8</v>
      </c>
      <c r="L12221" s="23" t="s">
        <v>8</v>
      </c>
      <c r="M12221" s="23" t="s">
        <v>8</v>
      </c>
    </row>
    <row r="12222" spans="1:13" s="21" customFormat="1" x14ac:dyDescent="0.25">
      <c r="A12222" s="22" t="s">
        <v>8</v>
      </c>
      <c r="B12222" s="18" t="str">
        <f>"445071"</f>
        <v>445071</v>
      </c>
      <c r="C12222" s="19" t="s">
        <v>12022</v>
      </c>
      <c r="D12222" s="19" t="s">
        <v>27627</v>
      </c>
      <c r="E12222" s="19" t="s">
        <v>35147</v>
      </c>
      <c r="F12222" s="19" t="s">
        <v>36017</v>
      </c>
      <c r="G12222" s="18" t="str">
        <f>"37879"</f>
        <v>37879</v>
      </c>
      <c r="H12222" s="19" t="s">
        <v>36360</v>
      </c>
      <c r="I12222" s="20">
        <v>18.861999999999998</v>
      </c>
      <c r="J12222" s="44" t="s">
        <v>8</v>
      </c>
      <c r="K12222" s="23" t="s">
        <v>8</v>
      </c>
      <c r="L12222" s="23" t="s">
        <v>8</v>
      </c>
      <c r="M12222" s="23" t="s">
        <v>8</v>
      </c>
    </row>
    <row r="12223" spans="1:13" s="21" customFormat="1" x14ac:dyDescent="0.25">
      <c r="A12223" s="22" t="s">
        <v>8</v>
      </c>
      <c r="B12223" s="18" t="str">
        <f>"445075"</f>
        <v>445075</v>
      </c>
      <c r="C12223" s="19" t="s">
        <v>12023</v>
      </c>
      <c r="D12223" s="19" t="s">
        <v>27628</v>
      </c>
      <c r="E12223" s="19" t="s">
        <v>30899</v>
      </c>
      <c r="F12223" s="19" t="s">
        <v>36017</v>
      </c>
      <c r="G12223" s="18" t="str">
        <f>"37115"</f>
        <v>37115</v>
      </c>
      <c r="H12223" s="19" t="s">
        <v>36613</v>
      </c>
      <c r="I12223" s="20">
        <v>19.516999999999999</v>
      </c>
      <c r="J12223" s="44" t="s">
        <v>8</v>
      </c>
      <c r="K12223" s="23" t="s">
        <v>8</v>
      </c>
      <c r="L12223" s="23" t="s">
        <v>8</v>
      </c>
      <c r="M12223" s="23" t="s">
        <v>8</v>
      </c>
    </row>
    <row r="12224" spans="1:13" s="21" customFormat="1" x14ac:dyDescent="0.25">
      <c r="A12224" s="22" t="s">
        <v>8</v>
      </c>
      <c r="B12224" s="18" t="str">
        <f>"445076"</f>
        <v>445076</v>
      </c>
      <c r="C12224" s="19" t="s">
        <v>12024</v>
      </c>
      <c r="D12224" s="19" t="s">
        <v>27629</v>
      </c>
      <c r="E12224" s="19" t="s">
        <v>35148</v>
      </c>
      <c r="F12224" s="19" t="s">
        <v>36017</v>
      </c>
      <c r="G12224" s="18" t="str">
        <f>"37110"</f>
        <v>37110</v>
      </c>
      <c r="H12224" s="19" t="s">
        <v>31025</v>
      </c>
      <c r="I12224" s="20">
        <v>19.501000000000001</v>
      </c>
      <c r="J12224" s="44" t="s">
        <v>8</v>
      </c>
      <c r="K12224" s="23" t="s">
        <v>8</v>
      </c>
      <c r="L12224" s="23" t="s">
        <v>8</v>
      </c>
      <c r="M12224" s="23" t="s">
        <v>8</v>
      </c>
    </row>
    <row r="12225" spans="1:13" s="21" customFormat="1" x14ac:dyDescent="0.25">
      <c r="A12225" s="22" t="s">
        <v>8</v>
      </c>
      <c r="B12225" s="18" t="str">
        <f>"445077"</f>
        <v>445077</v>
      </c>
      <c r="C12225" s="19" t="s">
        <v>12025</v>
      </c>
      <c r="D12225" s="19" t="s">
        <v>27630</v>
      </c>
      <c r="E12225" s="19" t="s">
        <v>35149</v>
      </c>
      <c r="F12225" s="19" t="s">
        <v>36017</v>
      </c>
      <c r="G12225" s="18" t="str">
        <f>"37650"</f>
        <v>37650</v>
      </c>
      <c r="H12225" s="19" t="s">
        <v>36771</v>
      </c>
      <c r="I12225" s="20">
        <v>18.664000000000001</v>
      </c>
      <c r="J12225" s="44" t="s">
        <v>8</v>
      </c>
      <c r="K12225" s="23" t="s">
        <v>8</v>
      </c>
      <c r="L12225" s="23" t="s">
        <v>8</v>
      </c>
      <c r="M12225" s="23" t="s">
        <v>8</v>
      </c>
    </row>
    <row r="12226" spans="1:13" s="21" customFormat="1" x14ac:dyDescent="0.25">
      <c r="A12226" s="22" t="s">
        <v>8</v>
      </c>
      <c r="B12226" s="18" t="str">
        <f>"445088"</f>
        <v>445088</v>
      </c>
      <c r="C12226" s="19" t="s">
        <v>12026</v>
      </c>
      <c r="D12226" s="19" t="s">
        <v>27631</v>
      </c>
      <c r="E12226" s="19" t="s">
        <v>31717</v>
      </c>
      <c r="F12226" s="19" t="s">
        <v>36017</v>
      </c>
      <c r="G12226" s="18" t="str">
        <f>"37172"</f>
        <v>37172</v>
      </c>
      <c r="H12226" s="19" t="s">
        <v>36348</v>
      </c>
      <c r="I12226" s="20">
        <v>20.878</v>
      </c>
      <c r="J12226" s="44" t="s">
        <v>8</v>
      </c>
      <c r="K12226" s="23" t="s">
        <v>8</v>
      </c>
      <c r="L12226" s="23" t="s">
        <v>8</v>
      </c>
      <c r="M12226" s="23" t="s">
        <v>8</v>
      </c>
    </row>
    <row r="12227" spans="1:13" s="21" customFormat="1" x14ac:dyDescent="0.25">
      <c r="A12227" s="22" t="s">
        <v>8</v>
      </c>
      <c r="B12227" s="18" t="str">
        <f>"445094"</f>
        <v>445094</v>
      </c>
      <c r="C12227" s="19" t="s">
        <v>12027</v>
      </c>
      <c r="D12227" s="19" t="s">
        <v>27632</v>
      </c>
      <c r="E12227" s="19" t="s">
        <v>34847</v>
      </c>
      <c r="F12227" s="19" t="s">
        <v>36017</v>
      </c>
      <c r="G12227" s="18" t="str">
        <f>"37091"</f>
        <v>37091</v>
      </c>
      <c r="H12227" s="19" t="s">
        <v>31063</v>
      </c>
      <c r="I12227" s="20">
        <v>18.071999999999999</v>
      </c>
      <c r="J12227" s="44" t="s">
        <v>8</v>
      </c>
      <c r="K12227" s="23" t="s">
        <v>8</v>
      </c>
      <c r="L12227" s="23" t="s">
        <v>8</v>
      </c>
      <c r="M12227" s="23" t="s">
        <v>8</v>
      </c>
    </row>
    <row r="12228" spans="1:13" s="21" customFormat="1" x14ac:dyDescent="0.25">
      <c r="A12228" s="22" t="s">
        <v>8</v>
      </c>
      <c r="B12228" s="18" t="str">
        <f>"445098"</f>
        <v>445098</v>
      </c>
      <c r="C12228" s="19" t="s">
        <v>12028</v>
      </c>
      <c r="D12228" s="19" t="s">
        <v>27633</v>
      </c>
      <c r="E12228" s="19" t="s">
        <v>32067</v>
      </c>
      <c r="F12228" s="19" t="s">
        <v>36017</v>
      </c>
      <c r="G12228" s="18" t="str">
        <f>"37917"</f>
        <v>37917</v>
      </c>
      <c r="H12228" s="19" t="s">
        <v>32252</v>
      </c>
      <c r="I12228" s="20">
        <v>19.818000000000001</v>
      </c>
      <c r="J12228" s="44" t="s">
        <v>8</v>
      </c>
      <c r="K12228" s="23" t="s">
        <v>8</v>
      </c>
      <c r="L12228" s="23" t="s">
        <v>8</v>
      </c>
      <c r="M12228" s="23" t="s">
        <v>8</v>
      </c>
    </row>
    <row r="12229" spans="1:13" s="21" customFormat="1" x14ac:dyDescent="0.25">
      <c r="A12229" s="22" t="s">
        <v>8</v>
      </c>
      <c r="B12229" s="18" t="str">
        <f>"445099"</f>
        <v>445099</v>
      </c>
      <c r="C12229" s="19" t="s">
        <v>12029</v>
      </c>
      <c r="D12229" s="19" t="s">
        <v>27634</v>
      </c>
      <c r="E12229" s="19" t="s">
        <v>30824</v>
      </c>
      <c r="F12229" s="19" t="s">
        <v>36017</v>
      </c>
      <c r="G12229" s="18" t="str">
        <f>"37303"</f>
        <v>37303</v>
      </c>
      <c r="H12229" s="19" t="s">
        <v>36772</v>
      </c>
      <c r="I12229" s="20">
        <v>16.689</v>
      </c>
      <c r="J12229" s="44" t="s">
        <v>8</v>
      </c>
      <c r="K12229" s="23" t="s">
        <v>8</v>
      </c>
      <c r="L12229" s="23" t="s">
        <v>8</v>
      </c>
      <c r="M12229" s="23" t="s">
        <v>8</v>
      </c>
    </row>
    <row r="12230" spans="1:13" s="21" customFormat="1" x14ac:dyDescent="0.25">
      <c r="A12230" s="22" t="s">
        <v>8</v>
      </c>
      <c r="B12230" s="18" t="str">
        <f>"445101"</f>
        <v>445101</v>
      </c>
      <c r="C12230" s="19" t="s">
        <v>12030</v>
      </c>
      <c r="D12230" s="19" t="s">
        <v>27635</v>
      </c>
      <c r="E12230" s="19" t="s">
        <v>31795</v>
      </c>
      <c r="F12230" s="19" t="s">
        <v>36017</v>
      </c>
      <c r="G12230" s="18" t="str">
        <f>"38478"</f>
        <v>38478</v>
      </c>
      <c r="H12230" s="19" t="s">
        <v>36765</v>
      </c>
      <c r="I12230" s="20">
        <v>21.190999999999999</v>
      </c>
      <c r="J12230" s="44" t="s">
        <v>8</v>
      </c>
      <c r="K12230" s="23" t="s">
        <v>8</v>
      </c>
      <c r="L12230" s="23" t="s">
        <v>8</v>
      </c>
      <c r="M12230" s="23" t="s">
        <v>8</v>
      </c>
    </row>
    <row r="12231" spans="1:13" s="21" customFormat="1" x14ac:dyDescent="0.25">
      <c r="A12231" s="22" t="s">
        <v>8</v>
      </c>
      <c r="B12231" s="18" t="str">
        <f>"445105"</f>
        <v>445105</v>
      </c>
      <c r="C12231" s="19" t="s">
        <v>12031</v>
      </c>
      <c r="D12231" s="19" t="s">
        <v>27636</v>
      </c>
      <c r="E12231" s="19" t="s">
        <v>32067</v>
      </c>
      <c r="F12231" s="19" t="s">
        <v>36017</v>
      </c>
      <c r="G12231" s="18" t="str">
        <f>"37909"</f>
        <v>37909</v>
      </c>
      <c r="H12231" s="19" t="s">
        <v>32252</v>
      </c>
      <c r="I12231" s="20">
        <v>15.867000000000001</v>
      </c>
      <c r="J12231" s="44" t="s">
        <v>8</v>
      </c>
      <c r="K12231" s="23" t="s">
        <v>8</v>
      </c>
      <c r="L12231" s="23" t="s">
        <v>8</v>
      </c>
      <c r="M12231" s="23" t="s">
        <v>8</v>
      </c>
    </row>
    <row r="12232" spans="1:13" s="21" customFormat="1" x14ac:dyDescent="0.25">
      <c r="A12232" s="22" t="s">
        <v>8</v>
      </c>
      <c r="B12232" s="18" t="str">
        <f>"445107"</f>
        <v>445107</v>
      </c>
      <c r="C12232" s="19" t="s">
        <v>12032</v>
      </c>
      <c r="D12232" s="19" t="s">
        <v>27637</v>
      </c>
      <c r="E12232" s="19" t="s">
        <v>32067</v>
      </c>
      <c r="F12232" s="19" t="s">
        <v>36017</v>
      </c>
      <c r="G12232" s="18" t="str">
        <f>"37916"</f>
        <v>37916</v>
      </c>
      <c r="H12232" s="19" t="s">
        <v>32252</v>
      </c>
      <c r="I12232" s="20">
        <v>20.638000000000002</v>
      </c>
      <c r="J12232" s="44" t="s">
        <v>8</v>
      </c>
      <c r="K12232" s="23" t="s">
        <v>8</v>
      </c>
      <c r="L12232" s="23" t="s">
        <v>8</v>
      </c>
      <c r="M12232" s="23" t="s">
        <v>8</v>
      </c>
    </row>
    <row r="12233" spans="1:13" s="21" customFormat="1" x14ac:dyDescent="0.25">
      <c r="A12233" s="22" t="s">
        <v>8</v>
      </c>
      <c r="B12233" s="18" t="str">
        <f>"445108"</f>
        <v>445108</v>
      </c>
      <c r="C12233" s="19" t="s">
        <v>12033</v>
      </c>
      <c r="D12233" s="19" t="s">
        <v>27638</v>
      </c>
      <c r="E12233" s="19" t="s">
        <v>35150</v>
      </c>
      <c r="F12233" s="19" t="s">
        <v>36017</v>
      </c>
      <c r="G12233" s="18" t="str">
        <f>"37130"</f>
        <v>37130</v>
      </c>
      <c r="H12233" s="19" t="s">
        <v>36618</v>
      </c>
      <c r="I12233" s="20">
        <v>19.443000000000001</v>
      </c>
      <c r="J12233" s="44" t="s">
        <v>8</v>
      </c>
      <c r="K12233" s="23" t="s">
        <v>8</v>
      </c>
      <c r="L12233" s="23" t="s">
        <v>8</v>
      </c>
      <c r="M12233" s="23" t="s">
        <v>8</v>
      </c>
    </row>
    <row r="12234" spans="1:13" s="21" customFormat="1" x14ac:dyDescent="0.25">
      <c r="A12234" s="22" t="s">
        <v>8</v>
      </c>
      <c r="B12234" s="18" t="str">
        <f>"445109"</f>
        <v>445109</v>
      </c>
      <c r="C12234" s="19" t="s">
        <v>12034</v>
      </c>
      <c r="D12234" s="19" t="s">
        <v>27639</v>
      </c>
      <c r="E12234" s="19" t="s">
        <v>32076</v>
      </c>
      <c r="F12234" s="19" t="s">
        <v>36017</v>
      </c>
      <c r="G12234" s="18" t="str">
        <f>"38401"</f>
        <v>38401</v>
      </c>
      <c r="H12234" s="19" t="s">
        <v>36770</v>
      </c>
      <c r="I12234" s="20">
        <v>16.297999999999998</v>
      </c>
      <c r="J12234" s="44" t="s">
        <v>8</v>
      </c>
      <c r="K12234" s="23" t="s">
        <v>8</v>
      </c>
      <c r="L12234" s="23" t="s">
        <v>8</v>
      </c>
      <c r="M12234" s="23" t="s">
        <v>8</v>
      </c>
    </row>
    <row r="12235" spans="1:13" s="21" customFormat="1" x14ac:dyDescent="0.25">
      <c r="A12235" s="22" t="s">
        <v>8</v>
      </c>
      <c r="B12235" s="18" t="str">
        <f>"445110"</f>
        <v>445110</v>
      </c>
      <c r="C12235" s="19" t="s">
        <v>12035</v>
      </c>
      <c r="D12235" s="19" t="s">
        <v>27640</v>
      </c>
      <c r="E12235" s="19" t="s">
        <v>35151</v>
      </c>
      <c r="F12235" s="19" t="s">
        <v>36017</v>
      </c>
      <c r="G12235" s="18" t="str">
        <f>"38501"</f>
        <v>38501</v>
      </c>
      <c r="H12235" s="19" t="s">
        <v>31482</v>
      </c>
      <c r="I12235" s="20">
        <v>18.419</v>
      </c>
      <c r="J12235" s="44" t="s">
        <v>8</v>
      </c>
      <c r="K12235" s="23" t="s">
        <v>8</v>
      </c>
      <c r="L12235" s="23" t="s">
        <v>8</v>
      </c>
      <c r="M12235" s="23" t="s">
        <v>8</v>
      </c>
    </row>
    <row r="12236" spans="1:13" s="21" customFormat="1" x14ac:dyDescent="0.25">
      <c r="A12236" s="22" t="s">
        <v>8</v>
      </c>
      <c r="B12236" s="18" t="str">
        <f>"445111"</f>
        <v>445111</v>
      </c>
      <c r="C12236" s="19" t="s">
        <v>12036</v>
      </c>
      <c r="D12236" s="19" t="s">
        <v>27641</v>
      </c>
      <c r="E12236" s="19" t="s">
        <v>35146</v>
      </c>
      <c r="F12236" s="19" t="s">
        <v>36017</v>
      </c>
      <c r="G12236" s="18" t="str">
        <f>"37421"</f>
        <v>37421</v>
      </c>
      <c r="H12236" s="19" t="s">
        <v>30804</v>
      </c>
      <c r="I12236" s="20">
        <v>16.277000000000001</v>
      </c>
      <c r="J12236" s="44" t="s">
        <v>8</v>
      </c>
      <c r="K12236" s="23" t="s">
        <v>8</v>
      </c>
      <c r="L12236" s="23" t="s">
        <v>8</v>
      </c>
      <c r="M12236" s="23" t="s">
        <v>8</v>
      </c>
    </row>
    <row r="12237" spans="1:13" s="21" customFormat="1" x14ac:dyDescent="0.25">
      <c r="A12237" s="22" t="s">
        <v>8</v>
      </c>
      <c r="B12237" s="18" t="str">
        <f>"445112"</f>
        <v>445112</v>
      </c>
      <c r="C12237" s="19" t="s">
        <v>12037</v>
      </c>
      <c r="D12237" s="19" t="s">
        <v>27642</v>
      </c>
      <c r="E12237" s="19" t="s">
        <v>31014</v>
      </c>
      <c r="F12237" s="19" t="s">
        <v>36017</v>
      </c>
      <c r="G12237" s="18" t="str">
        <f>"37210"</f>
        <v>37210</v>
      </c>
      <c r="H12237" s="19" t="s">
        <v>36613</v>
      </c>
      <c r="I12237" s="20">
        <v>18.771999999999998</v>
      </c>
      <c r="J12237" s="44" t="s">
        <v>8</v>
      </c>
      <c r="K12237" s="23" t="s">
        <v>8</v>
      </c>
      <c r="L12237" s="23" t="s">
        <v>8</v>
      </c>
      <c r="M12237" s="23" t="s">
        <v>8</v>
      </c>
    </row>
    <row r="12238" spans="1:13" s="21" customFormat="1" x14ac:dyDescent="0.25">
      <c r="A12238" s="22" t="s">
        <v>8</v>
      </c>
      <c r="B12238" s="18" t="str">
        <f>"445114"</f>
        <v>445114</v>
      </c>
      <c r="C12238" s="19" t="s">
        <v>12038</v>
      </c>
      <c r="D12238" s="19" t="s">
        <v>27643</v>
      </c>
      <c r="E12238" s="19" t="s">
        <v>32067</v>
      </c>
      <c r="F12238" s="19" t="s">
        <v>36017</v>
      </c>
      <c r="G12238" s="18" t="str">
        <f>"37919"</f>
        <v>37919</v>
      </c>
      <c r="H12238" s="19" t="s">
        <v>32252</v>
      </c>
      <c r="I12238" s="20">
        <v>18.870999999999999</v>
      </c>
      <c r="J12238" s="44" t="s">
        <v>8</v>
      </c>
      <c r="K12238" s="23" t="s">
        <v>8</v>
      </c>
      <c r="L12238" s="23" t="s">
        <v>8</v>
      </c>
      <c r="M12238" s="23" t="s">
        <v>8</v>
      </c>
    </row>
    <row r="12239" spans="1:13" s="21" customFormat="1" x14ac:dyDescent="0.25">
      <c r="A12239" s="22" t="s">
        <v>8</v>
      </c>
      <c r="B12239" s="18" t="str">
        <f>"445115"</f>
        <v>445115</v>
      </c>
      <c r="C12239" s="19" t="s">
        <v>12039</v>
      </c>
      <c r="D12239" s="19" t="s">
        <v>27644</v>
      </c>
      <c r="E12239" s="19" t="s">
        <v>35152</v>
      </c>
      <c r="F12239" s="19" t="s">
        <v>36017</v>
      </c>
      <c r="G12239" s="18" t="str">
        <f>"37766"</f>
        <v>37766</v>
      </c>
      <c r="H12239" s="19" t="s">
        <v>33699</v>
      </c>
      <c r="I12239" s="20">
        <v>22.459</v>
      </c>
      <c r="J12239" s="44" t="s">
        <v>8</v>
      </c>
      <c r="K12239" s="23" t="s">
        <v>8</v>
      </c>
      <c r="L12239" s="23" t="s">
        <v>8</v>
      </c>
      <c r="M12239" s="23" t="s">
        <v>8</v>
      </c>
    </row>
    <row r="12240" spans="1:13" s="21" customFormat="1" x14ac:dyDescent="0.25">
      <c r="A12240" s="22" t="s">
        <v>8</v>
      </c>
      <c r="B12240" s="18" t="str">
        <f>"445116"</f>
        <v>445116</v>
      </c>
      <c r="C12240" s="19" t="s">
        <v>12040</v>
      </c>
      <c r="D12240" s="19" t="s">
        <v>27645</v>
      </c>
      <c r="E12240" s="19" t="s">
        <v>33653</v>
      </c>
      <c r="F12240" s="19" t="s">
        <v>36017</v>
      </c>
      <c r="G12240" s="18" t="str">
        <f>"37166"</f>
        <v>37166</v>
      </c>
      <c r="H12240" s="19" t="s">
        <v>31954</v>
      </c>
      <c r="I12240" s="20">
        <v>18.670000000000002</v>
      </c>
      <c r="J12240" s="44" t="s">
        <v>8</v>
      </c>
      <c r="K12240" s="23" t="s">
        <v>8</v>
      </c>
      <c r="L12240" s="23" t="s">
        <v>8</v>
      </c>
      <c r="M12240" s="23" t="s">
        <v>8</v>
      </c>
    </row>
    <row r="12241" spans="1:13" s="21" customFormat="1" x14ac:dyDescent="0.25">
      <c r="A12241" s="22" t="s">
        <v>8</v>
      </c>
      <c r="B12241" s="18" t="str">
        <f>"445117"</f>
        <v>445117</v>
      </c>
      <c r="C12241" s="19" t="s">
        <v>12041</v>
      </c>
      <c r="D12241" s="19" t="s">
        <v>27646</v>
      </c>
      <c r="E12241" s="19" t="s">
        <v>32208</v>
      </c>
      <c r="F12241" s="19" t="s">
        <v>36017</v>
      </c>
      <c r="G12241" s="18" t="str">
        <f>"38464"</f>
        <v>38464</v>
      </c>
      <c r="H12241" s="19" t="s">
        <v>32568</v>
      </c>
      <c r="I12241" s="20">
        <v>17.949000000000002</v>
      </c>
      <c r="J12241" s="44" t="s">
        <v>8</v>
      </c>
      <c r="K12241" s="23" t="s">
        <v>8</v>
      </c>
      <c r="L12241" s="23" t="s">
        <v>8</v>
      </c>
      <c r="M12241" s="23" t="s">
        <v>8</v>
      </c>
    </row>
    <row r="12242" spans="1:13" s="21" customFormat="1" x14ac:dyDescent="0.25">
      <c r="A12242" s="22" t="s">
        <v>8</v>
      </c>
      <c r="B12242" s="18" t="str">
        <f>"445118"</f>
        <v>445118</v>
      </c>
      <c r="C12242" s="19" t="s">
        <v>12042</v>
      </c>
      <c r="D12242" s="19" t="s">
        <v>27647</v>
      </c>
      <c r="E12242" s="19" t="s">
        <v>33722</v>
      </c>
      <c r="F12242" s="19" t="s">
        <v>36017</v>
      </c>
      <c r="G12242" s="18" t="str">
        <f>"38111"</f>
        <v>38111</v>
      </c>
      <c r="H12242" s="19" t="s">
        <v>33565</v>
      </c>
      <c r="I12242" s="20">
        <v>19.594000000000001</v>
      </c>
      <c r="J12242" s="44" t="s">
        <v>8</v>
      </c>
      <c r="K12242" s="23" t="s">
        <v>8</v>
      </c>
      <c r="L12242" s="23" t="s">
        <v>8</v>
      </c>
      <c r="M12242" s="23" t="s">
        <v>8</v>
      </c>
    </row>
    <row r="12243" spans="1:13" s="21" customFormat="1" x14ac:dyDescent="0.25">
      <c r="A12243" s="22" t="s">
        <v>8</v>
      </c>
      <c r="B12243" s="18" t="str">
        <f>"445119"</f>
        <v>445119</v>
      </c>
      <c r="C12243" s="19" t="s">
        <v>12043</v>
      </c>
      <c r="D12243" s="19" t="s">
        <v>27648</v>
      </c>
      <c r="E12243" s="19" t="s">
        <v>33090</v>
      </c>
      <c r="F12243" s="19" t="s">
        <v>36017</v>
      </c>
      <c r="G12243" s="18" t="str">
        <f>"38068"</f>
        <v>38068</v>
      </c>
      <c r="H12243" s="19" t="s">
        <v>30805</v>
      </c>
      <c r="I12243" s="20">
        <v>17.076000000000001</v>
      </c>
      <c r="J12243" s="44" t="s">
        <v>8</v>
      </c>
      <c r="K12243" s="23" t="s">
        <v>8</v>
      </c>
      <c r="L12243" s="23" t="s">
        <v>8</v>
      </c>
      <c r="M12243" s="23" t="s">
        <v>8</v>
      </c>
    </row>
    <row r="12244" spans="1:13" s="21" customFormat="1" x14ac:dyDescent="0.25">
      <c r="A12244" s="22" t="s">
        <v>8</v>
      </c>
      <c r="B12244" s="18" t="str">
        <f>"445123"</f>
        <v>445123</v>
      </c>
      <c r="C12244" s="19" t="s">
        <v>12044</v>
      </c>
      <c r="D12244" s="19" t="s">
        <v>27649</v>
      </c>
      <c r="E12244" s="19" t="s">
        <v>35153</v>
      </c>
      <c r="F12244" s="19" t="s">
        <v>36017</v>
      </c>
      <c r="G12244" s="18" t="str">
        <f>"37377"</f>
        <v>37377</v>
      </c>
      <c r="H12244" s="19" t="s">
        <v>30804</v>
      </c>
      <c r="I12244" s="20">
        <v>20.042999999999999</v>
      </c>
      <c r="J12244" s="44" t="s">
        <v>8</v>
      </c>
      <c r="K12244" s="23" t="s">
        <v>8</v>
      </c>
      <c r="L12244" s="23" t="s">
        <v>8</v>
      </c>
      <c r="M12244" s="23" t="s">
        <v>8</v>
      </c>
    </row>
    <row r="12245" spans="1:13" s="21" customFormat="1" x14ac:dyDescent="0.25">
      <c r="A12245" s="22" t="s">
        <v>8</v>
      </c>
      <c r="B12245" s="18" t="str">
        <f>"445124"</f>
        <v>445124</v>
      </c>
      <c r="C12245" s="19" t="s">
        <v>12045</v>
      </c>
      <c r="D12245" s="19" t="s">
        <v>27650</v>
      </c>
      <c r="E12245" s="19" t="s">
        <v>33708</v>
      </c>
      <c r="F12245" s="19" t="s">
        <v>36017</v>
      </c>
      <c r="G12245" s="18" t="str">
        <f>"37066"</f>
        <v>37066</v>
      </c>
      <c r="H12245" s="19" t="s">
        <v>32524</v>
      </c>
      <c r="I12245" s="20">
        <v>22.597999999999999</v>
      </c>
      <c r="J12245" s="44" t="s">
        <v>8</v>
      </c>
      <c r="K12245" s="23" t="s">
        <v>8</v>
      </c>
      <c r="L12245" s="23" t="s">
        <v>8</v>
      </c>
      <c r="M12245" s="23" t="s">
        <v>8</v>
      </c>
    </row>
    <row r="12246" spans="1:13" s="21" customFormat="1" x14ac:dyDescent="0.25">
      <c r="A12246" s="22" t="s">
        <v>8</v>
      </c>
      <c r="B12246" s="18" t="str">
        <f>"445126"</f>
        <v>445126</v>
      </c>
      <c r="C12246" s="19" t="s">
        <v>12046</v>
      </c>
      <c r="D12246" s="19" t="s">
        <v>27651</v>
      </c>
      <c r="E12246" s="19" t="s">
        <v>32368</v>
      </c>
      <c r="F12246" s="19" t="s">
        <v>36017</v>
      </c>
      <c r="G12246" s="18" t="str">
        <f>"37327"</f>
        <v>37327</v>
      </c>
      <c r="H12246" s="19" t="s">
        <v>36773</v>
      </c>
      <c r="I12246" s="20">
        <v>21.283999999999999</v>
      </c>
      <c r="J12246" s="44" t="s">
        <v>8</v>
      </c>
      <c r="K12246" s="23" t="s">
        <v>8</v>
      </c>
      <c r="L12246" s="23" t="s">
        <v>8</v>
      </c>
      <c r="M12246" s="23" t="s">
        <v>8</v>
      </c>
    </row>
    <row r="12247" spans="1:13" s="21" customFormat="1" x14ac:dyDescent="0.25">
      <c r="A12247" s="22" t="s">
        <v>8</v>
      </c>
      <c r="B12247" s="18" t="str">
        <f>"445127"</f>
        <v>445127</v>
      </c>
      <c r="C12247" s="19" t="s">
        <v>12047</v>
      </c>
      <c r="D12247" s="19" t="s">
        <v>27652</v>
      </c>
      <c r="E12247" s="19" t="s">
        <v>5</v>
      </c>
      <c r="F12247" s="19" t="s">
        <v>36017</v>
      </c>
      <c r="G12247" s="18" t="str">
        <f>"37064"</f>
        <v>37064</v>
      </c>
      <c r="H12247" s="19" t="s">
        <v>35514</v>
      </c>
      <c r="I12247" s="20">
        <v>19.596</v>
      </c>
      <c r="J12247" s="44" t="s">
        <v>8</v>
      </c>
      <c r="K12247" s="23" t="s">
        <v>8</v>
      </c>
      <c r="L12247" s="23" t="s">
        <v>8</v>
      </c>
      <c r="M12247" s="23" t="s">
        <v>8</v>
      </c>
    </row>
    <row r="12248" spans="1:13" s="21" customFormat="1" x14ac:dyDescent="0.25">
      <c r="A12248" s="22" t="s">
        <v>8</v>
      </c>
      <c r="B12248" s="18" t="str">
        <f>"445128"</f>
        <v>445128</v>
      </c>
      <c r="C12248" s="19" t="s">
        <v>12048</v>
      </c>
      <c r="D12248" s="19" t="s">
        <v>27653</v>
      </c>
      <c r="E12248" s="19" t="s">
        <v>35154</v>
      </c>
      <c r="F12248" s="19" t="s">
        <v>36017</v>
      </c>
      <c r="G12248" s="18" t="str">
        <f>"37831"</f>
        <v>37831</v>
      </c>
      <c r="H12248" s="19" t="s">
        <v>32202</v>
      </c>
      <c r="I12248" s="20">
        <v>16.39</v>
      </c>
      <c r="J12248" s="44" t="s">
        <v>8</v>
      </c>
      <c r="K12248" s="23" t="s">
        <v>8</v>
      </c>
      <c r="L12248" s="23" t="s">
        <v>8</v>
      </c>
      <c r="M12248" s="23" t="s">
        <v>8</v>
      </c>
    </row>
    <row r="12249" spans="1:13" s="21" customFormat="1" x14ac:dyDescent="0.25">
      <c r="A12249" s="22" t="s">
        <v>8</v>
      </c>
      <c r="B12249" s="18" t="str">
        <f>"445129"</f>
        <v>445129</v>
      </c>
      <c r="C12249" s="19" t="s">
        <v>12049</v>
      </c>
      <c r="D12249" s="19" t="s">
        <v>27654</v>
      </c>
      <c r="E12249" s="19" t="s">
        <v>35155</v>
      </c>
      <c r="F12249" s="19" t="s">
        <v>36017</v>
      </c>
      <c r="G12249" s="18" t="str">
        <f>"37862"</f>
        <v>37862</v>
      </c>
      <c r="H12249" s="19" t="s">
        <v>36080</v>
      </c>
      <c r="I12249" s="20">
        <v>19.846</v>
      </c>
      <c r="J12249" s="44" t="s">
        <v>8</v>
      </c>
      <c r="K12249" s="23" t="s">
        <v>8</v>
      </c>
      <c r="L12249" s="23" t="s">
        <v>8</v>
      </c>
      <c r="M12249" s="23" t="s">
        <v>8</v>
      </c>
    </row>
    <row r="12250" spans="1:13" s="21" customFormat="1" x14ac:dyDescent="0.25">
      <c r="A12250" s="22" t="s">
        <v>8</v>
      </c>
      <c r="B12250" s="18" t="str">
        <f>"445130"</f>
        <v>445130</v>
      </c>
      <c r="C12250" s="19" t="s">
        <v>12050</v>
      </c>
      <c r="D12250" s="19" t="s">
        <v>27655</v>
      </c>
      <c r="E12250" s="19" t="s">
        <v>31756</v>
      </c>
      <c r="F12250" s="19" t="s">
        <v>36017</v>
      </c>
      <c r="G12250" s="18" t="str">
        <f>"38583"</f>
        <v>38583</v>
      </c>
      <c r="H12250" s="19" t="s">
        <v>35131</v>
      </c>
      <c r="I12250" s="20">
        <v>17.170999999999999</v>
      </c>
      <c r="J12250" s="44" t="s">
        <v>8</v>
      </c>
      <c r="K12250" s="23" t="s">
        <v>8</v>
      </c>
      <c r="L12250" s="23" t="s">
        <v>8</v>
      </c>
      <c r="M12250" s="23" t="s">
        <v>8</v>
      </c>
    </row>
    <row r="12251" spans="1:13" s="21" customFormat="1" x14ac:dyDescent="0.25">
      <c r="A12251" s="22" t="s">
        <v>8</v>
      </c>
      <c r="B12251" s="18" t="str">
        <f>"445131"</f>
        <v>445131</v>
      </c>
      <c r="C12251" s="19" t="s">
        <v>12051</v>
      </c>
      <c r="D12251" s="19" t="s">
        <v>27656</v>
      </c>
      <c r="E12251" s="19" t="s">
        <v>32067</v>
      </c>
      <c r="F12251" s="19" t="s">
        <v>36017</v>
      </c>
      <c r="G12251" s="18" t="str">
        <f>"37918"</f>
        <v>37918</v>
      </c>
      <c r="H12251" s="19" t="s">
        <v>32252</v>
      </c>
      <c r="I12251" s="20">
        <v>15.082000000000001</v>
      </c>
      <c r="J12251" s="44" t="s">
        <v>8</v>
      </c>
      <c r="K12251" s="23" t="s">
        <v>8</v>
      </c>
      <c r="L12251" s="23" t="s">
        <v>8</v>
      </c>
      <c r="M12251" s="23" t="s">
        <v>8</v>
      </c>
    </row>
    <row r="12252" spans="1:13" s="21" customFormat="1" x14ac:dyDescent="0.25">
      <c r="A12252" s="22" t="s">
        <v>8</v>
      </c>
      <c r="B12252" s="18" t="str">
        <f>"445132"</f>
        <v>445132</v>
      </c>
      <c r="C12252" s="19" t="s">
        <v>12052</v>
      </c>
      <c r="D12252" s="19" t="s">
        <v>27657</v>
      </c>
      <c r="E12252" s="19" t="s">
        <v>35155</v>
      </c>
      <c r="F12252" s="19" t="s">
        <v>36017</v>
      </c>
      <c r="G12252" s="18" t="str">
        <f>"37862"</f>
        <v>37862</v>
      </c>
      <c r="H12252" s="19" t="s">
        <v>36080</v>
      </c>
      <c r="I12252" s="20">
        <v>20.692</v>
      </c>
      <c r="J12252" s="44" t="s">
        <v>8</v>
      </c>
      <c r="K12252" s="23" t="s">
        <v>8</v>
      </c>
      <c r="L12252" s="23" t="s">
        <v>8</v>
      </c>
      <c r="M12252" s="23" t="s">
        <v>8</v>
      </c>
    </row>
    <row r="12253" spans="1:13" s="21" customFormat="1" x14ac:dyDescent="0.25">
      <c r="A12253" s="22" t="s">
        <v>8</v>
      </c>
      <c r="B12253" s="18" t="str">
        <f>"445133"</f>
        <v>445133</v>
      </c>
      <c r="C12253" s="19" t="s">
        <v>12053</v>
      </c>
      <c r="D12253" s="19" t="s">
        <v>27658</v>
      </c>
      <c r="E12253" s="19" t="s">
        <v>33722</v>
      </c>
      <c r="F12253" s="19" t="s">
        <v>36017</v>
      </c>
      <c r="G12253" s="18" t="str">
        <f>"38111"</f>
        <v>38111</v>
      </c>
      <c r="H12253" s="19" t="s">
        <v>33565</v>
      </c>
      <c r="I12253" s="20">
        <v>17.826000000000001</v>
      </c>
      <c r="J12253" s="44" t="s">
        <v>8</v>
      </c>
      <c r="K12253" s="23" t="s">
        <v>8</v>
      </c>
      <c r="L12253" s="23" t="s">
        <v>8</v>
      </c>
      <c r="M12253" s="23" t="s">
        <v>8</v>
      </c>
    </row>
    <row r="12254" spans="1:13" s="21" customFormat="1" x14ac:dyDescent="0.25">
      <c r="A12254" s="22" t="s">
        <v>8</v>
      </c>
      <c r="B12254" s="18" t="str">
        <f>"445135"</f>
        <v>445135</v>
      </c>
      <c r="C12254" s="19" t="s">
        <v>12054</v>
      </c>
      <c r="D12254" s="19" t="s">
        <v>27659</v>
      </c>
      <c r="E12254" s="19" t="s">
        <v>31081</v>
      </c>
      <c r="F12254" s="19" t="s">
        <v>36017</v>
      </c>
      <c r="G12254" s="18" t="str">
        <f>"37716"</f>
        <v>37716</v>
      </c>
      <c r="H12254" s="19" t="s">
        <v>32202</v>
      </c>
      <c r="I12254" s="20">
        <v>19.872</v>
      </c>
      <c r="J12254" s="44" t="s">
        <v>8</v>
      </c>
      <c r="K12254" s="23" t="s">
        <v>8</v>
      </c>
      <c r="L12254" s="23" t="s">
        <v>8</v>
      </c>
      <c r="M12254" s="23" t="s">
        <v>8</v>
      </c>
    </row>
    <row r="12255" spans="1:13" s="21" customFormat="1" x14ac:dyDescent="0.25">
      <c r="A12255" s="22" t="s">
        <v>8</v>
      </c>
      <c r="B12255" s="18" t="str">
        <f>"445136"</f>
        <v>445136</v>
      </c>
      <c r="C12255" s="19" t="s">
        <v>12055</v>
      </c>
      <c r="D12255" s="19" t="s">
        <v>27660</v>
      </c>
      <c r="E12255" s="19" t="s">
        <v>35151</v>
      </c>
      <c r="F12255" s="19" t="s">
        <v>36017</v>
      </c>
      <c r="G12255" s="18" t="str">
        <f>"38506"</f>
        <v>38506</v>
      </c>
      <c r="H12255" s="19" t="s">
        <v>31482</v>
      </c>
      <c r="I12255" s="20">
        <v>16.565999999999999</v>
      </c>
      <c r="J12255" s="44" t="s">
        <v>8</v>
      </c>
      <c r="K12255" s="23" t="s">
        <v>8</v>
      </c>
      <c r="L12255" s="23" t="s">
        <v>8</v>
      </c>
      <c r="M12255" s="23" t="s">
        <v>8</v>
      </c>
    </row>
    <row r="12256" spans="1:13" s="21" customFormat="1" x14ac:dyDescent="0.25">
      <c r="A12256" s="22" t="s">
        <v>8</v>
      </c>
      <c r="B12256" s="18" t="str">
        <f>"445137"</f>
        <v>445137</v>
      </c>
      <c r="C12256" s="19" t="s">
        <v>12056</v>
      </c>
      <c r="D12256" s="19" t="s">
        <v>27661</v>
      </c>
      <c r="E12256" s="19" t="s">
        <v>31717</v>
      </c>
      <c r="F12256" s="19" t="s">
        <v>36017</v>
      </c>
      <c r="G12256" s="18" t="str">
        <f>"37172"</f>
        <v>37172</v>
      </c>
      <c r="H12256" s="19" t="s">
        <v>36348</v>
      </c>
      <c r="I12256" s="20">
        <v>21.396999999999998</v>
      </c>
      <c r="J12256" s="44" t="s">
        <v>8</v>
      </c>
      <c r="K12256" s="23" t="s">
        <v>8</v>
      </c>
      <c r="L12256" s="23" t="s">
        <v>8</v>
      </c>
      <c r="M12256" s="23" t="s">
        <v>8</v>
      </c>
    </row>
    <row r="12257" spans="1:13" s="21" customFormat="1" x14ac:dyDescent="0.25">
      <c r="A12257" s="22" t="s">
        <v>8</v>
      </c>
      <c r="B12257" s="18" t="str">
        <f>"445138"</f>
        <v>445138</v>
      </c>
      <c r="C12257" s="19" t="s">
        <v>12057</v>
      </c>
      <c r="D12257" s="19" t="s">
        <v>27662</v>
      </c>
      <c r="E12257" s="19" t="s">
        <v>31813</v>
      </c>
      <c r="F12257" s="19" t="s">
        <v>36017</v>
      </c>
      <c r="G12257" s="18" t="str">
        <f>"38261"</f>
        <v>38261</v>
      </c>
      <c r="H12257" s="19" t="s">
        <v>36774</v>
      </c>
      <c r="I12257" s="20">
        <v>23.460999999999999</v>
      </c>
      <c r="J12257" s="44" t="s">
        <v>8</v>
      </c>
      <c r="K12257" s="23" t="s">
        <v>8</v>
      </c>
      <c r="L12257" s="23" t="s">
        <v>8</v>
      </c>
      <c r="M12257" s="23" t="s">
        <v>8</v>
      </c>
    </row>
    <row r="12258" spans="1:13" s="21" customFormat="1" x14ac:dyDescent="0.25">
      <c r="A12258" s="22" t="s">
        <v>8</v>
      </c>
      <c r="B12258" s="18" t="str">
        <f>"445139"</f>
        <v>445139</v>
      </c>
      <c r="C12258" s="19" t="s">
        <v>12058</v>
      </c>
      <c r="D12258" s="19" t="s">
        <v>27663</v>
      </c>
      <c r="E12258" s="19" t="s">
        <v>33722</v>
      </c>
      <c r="F12258" s="19" t="s">
        <v>36017</v>
      </c>
      <c r="G12258" s="18" t="str">
        <f>"38104"</f>
        <v>38104</v>
      </c>
      <c r="H12258" s="19" t="s">
        <v>33565</v>
      </c>
      <c r="I12258" s="20">
        <v>17.536999999999999</v>
      </c>
      <c r="J12258" s="44" t="s">
        <v>8</v>
      </c>
      <c r="K12258" s="23" t="s">
        <v>8</v>
      </c>
      <c r="L12258" s="23" t="s">
        <v>8</v>
      </c>
      <c r="M12258" s="23" t="s">
        <v>8</v>
      </c>
    </row>
    <row r="12259" spans="1:13" s="21" customFormat="1" x14ac:dyDescent="0.25">
      <c r="A12259" s="22" t="s">
        <v>8</v>
      </c>
      <c r="B12259" s="18" t="str">
        <f>"445140"</f>
        <v>445140</v>
      </c>
      <c r="C12259" s="19" t="s">
        <v>12059</v>
      </c>
      <c r="D12259" s="19" t="s">
        <v>27664</v>
      </c>
      <c r="E12259" s="19" t="s">
        <v>33722</v>
      </c>
      <c r="F12259" s="19" t="s">
        <v>36017</v>
      </c>
      <c r="G12259" s="18" t="str">
        <f>"38119"</f>
        <v>38119</v>
      </c>
      <c r="H12259" s="19" t="s">
        <v>33565</v>
      </c>
      <c r="I12259" s="20">
        <v>21.048999999999999</v>
      </c>
      <c r="J12259" s="44" t="s">
        <v>8</v>
      </c>
      <c r="K12259" s="23" t="s">
        <v>8</v>
      </c>
      <c r="L12259" s="23" t="s">
        <v>8</v>
      </c>
      <c r="M12259" s="23" t="s">
        <v>8</v>
      </c>
    </row>
    <row r="12260" spans="1:13" s="21" customFormat="1" x14ac:dyDescent="0.25">
      <c r="A12260" s="22" t="s">
        <v>8</v>
      </c>
      <c r="B12260" s="18" t="str">
        <f>"445141"</f>
        <v>445141</v>
      </c>
      <c r="C12260" s="19" t="s">
        <v>12060</v>
      </c>
      <c r="D12260" s="19" t="s">
        <v>27665</v>
      </c>
      <c r="E12260" s="19" t="s">
        <v>31810</v>
      </c>
      <c r="F12260" s="19" t="s">
        <v>36017</v>
      </c>
      <c r="G12260" s="18" t="str">
        <f>"37312"</f>
        <v>37312</v>
      </c>
      <c r="H12260" s="19" t="s">
        <v>32178</v>
      </c>
      <c r="I12260" s="20">
        <v>17.771000000000001</v>
      </c>
      <c r="J12260" s="44" t="s">
        <v>8</v>
      </c>
      <c r="K12260" s="23" t="s">
        <v>8</v>
      </c>
      <c r="L12260" s="23" t="s">
        <v>8</v>
      </c>
      <c r="M12260" s="23" t="s">
        <v>8</v>
      </c>
    </row>
    <row r="12261" spans="1:13" s="21" customFormat="1" x14ac:dyDescent="0.25">
      <c r="A12261" s="22" t="s">
        <v>8</v>
      </c>
      <c r="B12261" s="18" t="str">
        <f>"445143"</f>
        <v>445143</v>
      </c>
      <c r="C12261" s="19" t="s">
        <v>12061</v>
      </c>
      <c r="D12261" s="19" t="s">
        <v>27666</v>
      </c>
      <c r="E12261" s="19" t="s">
        <v>35156</v>
      </c>
      <c r="F12261" s="19" t="s">
        <v>36017</v>
      </c>
      <c r="G12261" s="18" t="str">
        <f>"37854"</f>
        <v>37854</v>
      </c>
      <c r="H12261" s="19" t="s">
        <v>36775</v>
      </c>
      <c r="I12261" s="20">
        <v>20.702999999999999</v>
      </c>
      <c r="J12261" s="44" t="s">
        <v>8</v>
      </c>
      <c r="K12261" s="23" t="s">
        <v>8</v>
      </c>
      <c r="L12261" s="23" t="s">
        <v>8</v>
      </c>
      <c r="M12261" s="23" t="s">
        <v>8</v>
      </c>
    </row>
    <row r="12262" spans="1:13" s="21" customFormat="1" x14ac:dyDescent="0.25">
      <c r="A12262" s="22" t="s">
        <v>8</v>
      </c>
      <c r="B12262" s="18" t="str">
        <f>"445145"</f>
        <v>445145</v>
      </c>
      <c r="C12262" s="19" t="s">
        <v>12062</v>
      </c>
      <c r="D12262" s="19" t="s">
        <v>27667</v>
      </c>
      <c r="E12262" s="19" t="s">
        <v>32175</v>
      </c>
      <c r="F12262" s="19" t="s">
        <v>36017</v>
      </c>
      <c r="G12262" s="18" t="str">
        <f>"37398"</f>
        <v>37398</v>
      </c>
      <c r="H12262" s="19" t="s">
        <v>5</v>
      </c>
      <c r="I12262" s="20">
        <v>19.385999999999999</v>
      </c>
      <c r="J12262" s="44" t="s">
        <v>8</v>
      </c>
      <c r="K12262" s="23" t="s">
        <v>8</v>
      </c>
      <c r="L12262" s="23" t="s">
        <v>8</v>
      </c>
      <c r="M12262" s="23" t="s">
        <v>8</v>
      </c>
    </row>
    <row r="12263" spans="1:13" s="21" customFormat="1" x14ac:dyDescent="0.25">
      <c r="A12263" s="22" t="s">
        <v>8</v>
      </c>
      <c r="B12263" s="18" t="str">
        <f>"445146"</f>
        <v>445146</v>
      </c>
      <c r="C12263" s="19" t="s">
        <v>12063</v>
      </c>
      <c r="D12263" s="19" t="s">
        <v>27668</v>
      </c>
      <c r="E12263" s="19" t="s">
        <v>5</v>
      </c>
      <c r="F12263" s="19" t="s">
        <v>36017</v>
      </c>
      <c r="G12263" s="18" t="str">
        <f>"37064"</f>
        <v>37064</v>
      </c>
      <c r="H12263" s="19" t="s">
        <v>35514</v>
      </c>
      <c r="I12263" s="20">
        <v>17.84</v>
      </c>
      <c r="J12263" s="44" t="s">
        <v>8</v>
      </c>
      <c r="K12263" s="23" t="s">
        <v>8</v>
      </c>
      <c r="L12263" s="23" t="s">
        <v>8</v>
      </c>
      <c r="M12263" s="23" t="s">
        <v>8</v>
      </c>
    </row>
    <row r="12264" spans="1:13" s="21" customFormat="1" x14ac:dyDescent="0.25">
      <c r="A12264" s="22" t="s">
        <v>8</v>
      </c>
      <c r="B12264" s="18" t="str">
        <f>"445148"</f>
        <v>445148</v>
      </c>
      <c r="C12264" s="19" t="s">
        <v>12064</v>
      </c>
      <c r="D12264" s="19" t="s">
        <v>27669</v>
      </c>
      <c r="E12264" s="19" t="s">
        <v>31014</v>
      </c>
      <c r="F12264" s="19" t="s">
        <v>36017</v>
      </c>
      <c r="G12264" s="18" t="str">
        <f>"37214"</f>
        <v>37214</v>
      </c>
      <c r="H12264" s="19" t="s">
        <v>36613</v>
      </c>
      <c r="I12264" s="20">
        <v>18.837</v>
      </c>
      <c r="J12264" s="44" t="s">
        <v>8</v>
      </c>
      <c r="K12264" s="23" t="s">
        <v>8</v>
      </c>
      <c r="L12264" s="23" t="s">
        <v>8</v>
      </c>
      <c r="M12264" s="23" t="s">
        <v>8</v>
      </c>
    </row>
    <row r="12265" spans="1:13" s="21" customFormat="1" x14ac:dyDescent="0.25">
      <c r="A12265" s="22" t="s">
        <v>8</v>
      </c>
      <c r="B12265" s="18" t="str">
        <f>"445149"</f>
        <v>445149</v>
      </c>
      <c r="C12265" s="19" t="s">
        <v>12065</v>
      </c>
      <c r="D12265" s="19" t="s">
        <v>27670</v>
      </c>
      <c r="E12265" s="19" t="s">
        <v>33722</v>
      </c>
      <c r="F12265" s="19" t="s">
        <v>36017</v>
      </c>
      <c r="G12265" s="18" t="str">
        <f>"38119"</f>
        <v>38119</v>
      </c>
      <c r="H12265" s="19" t="s">
        <v>33565</v>
      </c>
      <c r="I12265" s="20">
        <v>20.992000000000001</v>
      </c>
      <c r="J12265" s="44" t="s">
        <v>8</v>
      </c>
      <c r="K12265" s="23" t="s">
        <v>8</v>
      </c>
      <c r="L12265" s="23" t="s">
        <v>8</v>
      </c>
      <c r="M12265" s="23" t="s">
        <v>8</v>
      </c>
    </row>
    <row r="12266" spans="1:13" s="21" customFormat="1" x14ac:dyDescent="0.25">
      <c r="A12266" s="22" t="s">
        <v>8</v>
      </c>
      <c r="B12266" s="18" t="str">
        <f>"445150"</f>
        <v>445150</v>
      </c>
      <c r="C12266" s="19" t="s">
        <v>12066</v>
      </c>
      <c r="D12266" s="19" t="s">
        <v>27671</v>
      </c>
      <c r="E12266" s="19" t="s">
        <v>33722</v>
      </c>
      <c r="F12266" s="19" t="s">
        <v>36017</v>
      </c>
      <c r="G12266" s="18" t="str">
        <f>"38104"</f>
        <v>38104</v>
      </c>
      <c r="H12266" s="19" t="s">
        <v>33565</v>
      </c>
      <c r="I12266" s="20">
        <v>20.427</v>
      </c>
      <c r="J12266" s="44" t="s">
        <v>8</v>
      </c>
      <c r="K12266" s="23" t="s">
        <v>8</v>
      </c>
      <c r="L12266" s="23" t="s">
        <v>8</v>
      </c>
      <c r="M12266" s="23" t="s">
        <v>8</v>
      </c>
    </row>
    <row r="12267" spans="1:13" s="21" customFormat="1" x14ac:dyDescent="0.25">
      <c r="A12267" s="22" t="s">
        <v>8</v>
      </c>
      <c r="B12267" s="18" t="str">
        <f>"445154"</f>
        <v>445154</v>
      </c>
      <c r="C12267" s="19" t="s">
        <v>12067</v>
      </c>
      <c r="D12267" s="19" t="s">
        <v>27672</v>
      </c>
      <c r="E12267" s="19" t="s">
        <v>32035</v>
      </c>
      <c r="F12267" s="19" t="s">
        <v>36017</v>
      </c>
      <c r="G12267" s="18" t="str">
        <f>"37087"</f>
        <v>37087</v>
      </c>
      <c r="H12267" s="19" t="s">
        <v>32577</v>
      </c>
      <c r="I12267" s="20">
        <v>14.537000000000001</v>
      </c>
      <c r="J12267" s="44" t="s">
        <v>8</v>
      </c>
      <c r="K12267" s="23" t="s">
        <v>8</v>
      </c>
      <c r="L12267" s="23" t="s">
        <v>8</v>
      </c>
      <c r="M12267" s="23" t="s">
        <v>8</v>
      </c>
    </row>
    <row r="12268" spans="1:13" s="21" customFormat="1" x14ac:dyDescent="0.25">
      <c r="A12268" s="22" t="s">
        <v>8</v>
      </c>
      <c r="B12268" s="18" t="str">
        <f>"445155"</f>
        <v>445155</v>
      </c>
      <c r="C12268" s="19" t="s">
        <v>12068</v>
      </c>
      <c r="D12268" s="19" t="s">
        <v>27673</v>
      </c>
      <c r="E12268" s="19" t="s">
        <v>31492</v>
      </c>
      <c r="F12268" s="19" t="s">
        <v>36017</v>
      </c>
      <c r="G12268" s="18" t="str">
        <f>"37058"</f>
        <v>37058</v>
      </c>
      <c r="H12268" s="19" t="s">
        <v>36181</v>
      </c>
      <c r="I12268" s="20">
        <v>21.03</v>
      </c>
      <c r="J12268" s="44" t="s">
        <v>8</v>
      </c>
      <c r="K12268" s="23" t="s">
        <v>8</v>
      </c>
      <c r="L12268" s="23" t="s">
        <v>8</v>
      </c>
      <c r="M12268" s="23" t="s">
        <v>8</v>
      </c>
    </row>
    <row r="12269" spans="1:13" s="21" customFormat="1" x14ac:dyDescent="0.25">
      <c r="A12269" s="22" t="s">
        <v>8</v>
      </c>
      <c r="B12269" s="18" t="str">
        <f>"445156"</f>
        <v>445156</v>
      </c>
      <c r="C12269" s="19" t="s">
        <v>12069</v>
      </c>
      <c r="D12269" s="19" t="s">
        <v>27674</v>
      </c>
      <c r="E12269" s="19" t="s">
        <v>35157</v>
      </c>
      <c r="F12269" s="19" t="s">
        <v>36017</v>
      </c>
      <c r="G12269" s="18" t="str">
        <f>"37825"</f>
        <v>37825</v>
      </c>
      <c r="H12269" s="19" t="s">
        <v>36360</v>
      </c>
      <c r="I12269" s="20">
        <v>16.972999999999999</v>
      </c>
      <c r="J12269" s="44" t="s">
        <v>8</v>
      </c>
      <c r="K12269" s="23" t="s">
        <v>8</v>
      </c>
      <c r="L12269" s="23" t="s">
        <v>8</v>
      </c>
      <c r="M12269" s="23" t="s">
        <v>8</v>
      </c>
    </row>
    <row r="12270" spans="1:13" s="21" customFormat="1" x14ac:dyDescent="0.25">
      <c r="A12270" s="22" t="s">
        <v>8</v>
      </c>
      <c r="B12270" s="18" t="str">
        <f>"445157"</f>
        <v>445157</v>
      </c>
      <c r="C12270" s="19" t="s">
        <v>12070</v>
      </c>
      <c r="D12270" s="19" t="s">
        <v>27675</v>
      </c>
      <c r="E12270" s="19" t="s">
        <v>5</v>
      </c>
      <c r="F12270" s="19" t="s">
        <v>36017</v>
      </c>
      <c r="G12270" s="18" t="str">
        <f>"37064"</f>
        <v>37064</v>
      </c>
      <c r="H12270" s="19" t="s">
        <v>35514</v>
      </c>
      <c r="I12270" s="20">
        <v>16.018000000000001</v>
      </c>
      <c r="J12270" s="44" t="s">
        <v>8</v>
      </c>
      <c r="K12270" s="23" t="s">
        <v>8</v>
      </c>
      <c r="L12270" s="23" t="s">
        <v>8</v>
      </c>
      <c r="M12270" s="23" t="s">
        <v>8</v>
      </c>
    </row>
    <row r="12271" spans="1:13" s="21" customFormat="1" x14ac:dyDescent="0.25">
      <c r="A12271" s="22" t="s">
        <v>8</v>
      </c>
      <c r="B12271" s="18" t="str">
        <f>"445159"</f>
        <v>445159</v>
      </c>
      <c r="C12271" s="19" t="s">
        <v>12071</v>
      </c>
      <c r="D12271" s="19" t="s">
        <v>27676</v>
      </c>
      <c r="E12271" s="19" t="s">
        <v>31014</v>
      </c>
      <c r="F12271" s="19" t="s">
        <v>36017</v>
      </c>
      <c r="G12271" s="18" t="str">
        <f>"37211"</f>
        <v>37211</v>
      </c>
      <c r="H12271" s="19" t="s">
        <v>36613</v>
      </c>
      <c r="I12271" s="20">
        <v>17.420999999999999</v>
      </c>
      <c r="J12271" s="44" t="s">
        <v>8</v>
      </c>
      <c r="K12271" s="23" t="s">
        <v>8</v>
      </c>
      <c r="L12271" s="23" t="s">
        <v>8</v>
      </c>
      <c r="M12271" s="23" t="s">
        <v>8</v>
      </c>
    </row>
    <row r="12272" spans="1:13" s="21" customFormat="1" x14ac:dyDescent="0.25">
      <c r="A12272" s="22" t="s">
        <v>8</v>
      </c>
      <c r="B12272" s="18" t="str">
        <f>"445160"</f>
        <v>445160</v>
      </c>
      <c r="C12272" s="19" t="s">
        <v>12072</v>
      </c>
      <c r="D12272" s="19" t="s">
        <v>27677</v>
      </c>
      <c r="E12272" s="19" t="s">
        <v>31493</v>
      </c>
      <c r="F12272" s="19" t="s">
        <v>36017</v>
      </c>
      <c r="G12272" s="18" t="str">
        <f>"37167"</f>
        <v>37167</v>
      </c>
      <c r="H12272" s="19" t="s">
        <v>36618</v>
      </c>
      <c r="I12272" s="20">
        <v>18.029</v>
      </c>
      <c r="J12272" s="44" t="s">
        <v>8</v>
      </c>
      <c r="K12272" s="23" t="s">
        <v>8</v>
      </c>
      <c r="L12272" s="23" t="s">
        <v>8</v>
      </c>
      <c r="M12272" s="23" t="s">
        <v>8</v>
      </c>
    </row>
    <row r="12273" spans="1:13" s="21" customFormat="1" x14ac:dyDescent="0.25">
      <c r="A12273" s="22" t="s">
        <v>8</v>
      </c>
      <c r="B12273" s="18" t="str">
        <f>"445162"</f>
        <v>445162</v>
      </c>
      <c r="C12273" s="19" t="s">
        <v>12073</v>
      </c>
      <c r="D12273" s="19" t="s">
        <v>27678</v>
      </c>
      <c r="E12273" s="19" t="s">
        <v>34126</v>
      </c>
      <c r="F12273" s="19" t="s">
        <v>36017</v>
      </c>
      <c r="G12273" s="18" t="str">
        <f>"37604"</f>
        <v>37604</v>
      </c>
      <c r="H12273" s="19" t="s">
        <v>31500</v>
      </c>
      <c r="I12273" s="20">
        <v>21.323</v>
      </c>
      <c r="J12273" s="44" t="s">
        <v>8</v>
      </c>
      <c r="K12273" s="23" t="s">
        <v>8</v>
      </c>
      <c r="L12273" s="23" t="s">
        <v>8</v>
      </c>
      <c r="M12273" s="23" t="s">
        <v>8</v>
      </c>
    </row>
    <row r="12274" spans="1:13" s="21" customFormat="1" x14ac:dyDescent="0.25">
      <c r="A12274" s="22" t="s">
        <v>8</v>
      </c>
      <c r="B12274" s="18" t="str">
        <f>"445165"</f>
        <v>445165</v>
      </c>
      <c r="C12274" s="19" t="s">
        <v>12074</v>
      </c>
      <c r="D12274" s="19" t="s">
        <v>27679</v>
      </c>
      <c r="E12274" s="19" t="s">
        <v>33722</v>
      </c>
      <c r="F12274" s="19" t="s">
        <v>36017</v>
      </c>
      <c r="G12274" s="18" t="str">
        <f>"38111"</f>
        <v>38111</v>
      </c>
      <c r="H12274" s="19" t="s">
        <v>33565</v>
      </c>
      <c r="I12274" s="20">
        <v>19.623000000000001</v>
      </c>
      <c r="J12274" s="44" t="s">
        <v>8</v>
      </c>
      <c r="K12274" s="23" t="s">
        <v>8</v>
      </c>
      <c r="L12274" s="23" t="s">
        <v>8</v>
      </c>
      <c r="M12274" s="23" t="s">
        <v>8</v>
      </c>
    </row>
    <row r="12275" spans="1:13" s="21" customFormat="1" x14ac:dyDescent="0.25">
      <c r="A12275" s="22" t="s">
        <v>8</v>
      </c>
      <c r="B12275" s="18" t="str">
        <f>"445166"</f>
        <v>445166</v>
      </c>
      <c r="C12275" s="19" t="s">
        <v>12075</v>
      </c>
      <c r="D12275" s="19" t="s">
        <v>27680</v>
      </c>
      <c r="E12275" s="19" t="s">
        <v>31014</v>
      </c>
      <c r="F12275" s="19" t="s">
        <v>36017</v>
      </c>
      <c r="G12275" s="18" t="str">
        <f>"37205"</f>
        <v>37205</v>
      </c>
      <c r="H12275" s="19" t="s">
        <v>36613</v>
      </c>
      <c r="I12275" s="20">
        <v>18.597999999999999</v>
      </c>
      <c r="J12275" s="44" t="s">
        <v>8</v>
      </c>
      <c r="K12275" s="23" t="s">
        <v>8</v>
      </c>
      <c r="L12275" s="23" t="s">
        <v>8</v>
      </c>
      <c r="M12275" s="23" t="s">
        <v>8</v>
      </c>
    </row>
    <row r="12276" spans="1:13" s="21" customFormat="1" x14ac:dyDescent="0.25">
      <c r="A12276" s="22" t="s">
        <v>8</v>
      </c>
      <c r="B12276" s="18" t="str">
        <f>"445167"</f>
        <v>445167</v>
      </c>
      <c r="C12276" s="19" t="s">
        <v>12076</v>
      </c>
      <c r="D12276" s="19" t="s">
        <v>27681</v>
      </c>
      <c r="E12276" s="19" t="s">
        <v>30880</v>
      </c>
      <c r="F12276" s="19" t="s">
        <v>36017</v>
      </c>
      <c r="G12276" s="18" t="str">
        <f>"38555"</f>
        <v>38555</v>
      </c>
      <c r="H12276" s="19" t="s">
        <v>32766</v>
      </c>
      <c r="I12276" s="20">
        <v>20.905999999999999</v>
      </c>
      <c r="J12276" s="44" t="s">
        <v>8</v>
      </c>
      <c r="K12276" s="23" t="s">
        <v>8</v>
      </c>
      <c r="L12276" s="23" t="s">
        <v>8</v>
      </c>
      <c r="M12276" s="23" t="s">
        <v>8</v>
      </c>
    </row>
    <row r="12277" spans="1:13" s="21" customFormat="1" x14ac:dyDescent="0.25">
      <c r="A12277" s="22" t="s">
        <v>8</v>
      </c>
      <c r="B12277" s="18" t="str">
        <f>"445170"</f>
        <v>445170</v>
      </c>
      <c r="C12277" s="19" t="s">
        <v>12077</v>
      </c>
      <c r="D12277" s="19" t="s">
        <v>27682</v>
      </c>
      <c r="E12277" s="19" t="s">
        <v>31279</v>
      </c>
      <c r="F12277" s="19" t="s">
        <v>36017</v>
      </c>
      <c r="G12277" s="18" t="str">
        <f>"37013"</f>
        <v>37013</v>
      </c>
      <c r="H12277" s="19" t="s">
        <v>36613</v>
      </c>
      <c r="I12277" s="20">
        <v>19.288</v>
      </c>
      <c r="J12277" s="44" t="s">
        <v>8</v>
      </c>
      <c r="K12277" s="23" t="s">
        <v>8</v>
      </c>
      <c r="L12277" s="23" t="s">
        <v>8</v>
      </c>
      <c r="M12277" s="23" t="s">
        <v>8</v>
      </c>
    </row>
    <row r="12278" spans="1:13" s="21" customFormat="1" x14ac:dyDescent="0.25">
      <c r="A12278" s="22" t="s">
        <v>8</v>
      </c>
      <c r="B12278" s="18" t="str">
        <f>"445171"</f>
        <v>445171</v>
      </c>
      <c r="C12278" s="19" t="s">
        <v>12078</v>
      </c>
      <c r="D12278" s="19" t="s">
        <v>27683</v>
      </c>
      <c r="E12278" s="19" t="s">
        <v>31910</v>
      </c>
      <c r="F12278" s="19" t="s">
        <v>36017</v>
      </c>
      <c r="G12278" s="18" t="str">
        <f>"37160"</f>
        <v>37160</v>
      </c>
      <c r="H12278" s="19" t="s">
        <v>32215</v>
      </c>
      <c r="I12278" s="20">
        <v>18.001000000000001</v>
      </c>
      <c r="J12278" s="44" t="s">
        <v>8</v>
      </c>
      <c r="K12278" s="23" t="s">
        <v>8</v>
      </c>
      <c r="L12278" s="23" t="s">
        <v>8</v>
      </c>
      <c r="M12278" s="23" t="s">
        <v>8</v>
      </c>
    </row>
    <row r="12279" spans="1:13" s="21" customFormat="1" x14ac:dyDescent="0.25">
      <c r="A12279" s="22" t="s">
        <v>8</v>
      </c>
      <c r="B12279" s="18" t="str">
        <f>"445172"</f>
        <v>445172</v>
      </c>
      <c r="C12279" s="19" t="s">
        <v>12079</v>
      </c>
      <c r="D12279" s="19" t="s">
        <v>27684</v>
      </c>
      <c r="E12279" s="19" t="s">
        <v>33527</v>
      </c>
      <c r="F12279" s="19" t="s">
        <v>36017</v>
      </c>
      <c r="G12279" s="18" t="str">
        <f>"37030"</f>
        <v>37030</v>
      </c>
      <c r="H12279" s="19" t="s">
        <v>36304</v>
      </c>
      <c r="I12279" s="20">
        <v>18.457999999999998</v>
      </c>
      <c r="J12279" s="44" t="s">
        <v>8</v>
      </c>
      <c r="K12279" s="23" t="s">
        <v>8</v>
      </c>
      <c r="L12279" s="23" t="s">
        <v>8</v>
      </c>
      <c r="M12279" s="23" t="s">
        <v>8</v>
      </c>
    </row>
    <row r="12280" spans="1:13" s="21" customFormat="1" x14ac:dyDescent="0.25">
      <c r="A12280" s="22" t="s">
        <v>8</v>
      </c>
      <c r="B12280" s="18" t="str">
        <f>"445173"</f>
        <v>445173</v>
      </c>
      <c r="C12280" s="19" t="s">
        <v>12080</v>
      </c>
      <c r="D12280" s="19" t="s">
        <v>27685</v>
      </c>
      <c r="E12280" s="19" t="s">
        <v>30991</v>
      </c>
      <c r="F12280" s="19" t="s">
        <v>36017</v>
      </c>
      <c r="G12280" s="18" t="str">
        <f>"37334"</f>
        <v>37334</v>
      </c>
      <c r="H12280" s="19" t="s">
        <v>31995</v>
      </c>
      <c r="I12280" s="20">
        <v>21.568000000000001</v>
      </c>
      <c r="J12280" s="44" t="s">
        <v>8</v>
      </c>
      <c r="K12280" s="23" t="s">
        <v>8</v>
      </c>
      <c r="L12280" s="23" t="s">
        <v>8</v>
      </c>
      <c r="M12280" s="23" t="s">
        <v>8</v>
      </c>
    </row>
    <row r="12281" spans="1:13" s="21" customFormat="1" x14ac:dyDescent="0.25">
      <c r="A12281" s="22" t="s">
        <v>8</v>
      </c>
      <c r="B12281" s="18" t="str">
        <f>"445174"</f>
        <v>445174</v>
      </c>
      <c r="C12281" s="19" t="s">
        <v>12081</v>
      </c>
      <c r="D12281" s="19" t="s">
        <v>27686</v>
      </c>
      <c r="E12281" s="19" t="s">
        <v>35158</v>
      </c>
      <c r="F12281" s="19" t="s">
        <v>36017</v>
      </c>
      <c r="G12281" s="18" t="str">
        <f>"37660"</f>
        <v>37660</v>
      </c>
      <c r="H12281" s="19" t="s">
        <v>31976</v>
      </c>
      <c r="I12281" s="20">
        <v>17.536999999999999</v>
      </c>
      <c r="J12281" s="44" t="s">
        <v>8</v>
      </c>
      <c r="K12281" s="23" t="s">
        <v>8</v>
      </c>
      <c r="L12281" s="23" t="s">
        <v>8</v>
      </c>
      <c r="M12281" s="23" t="s">
        <v>8</v>
      </c>
    </row>
    <row r="12282" spans="1:13" s="21" customFormat="1" x14ac:dyDescent="0.25">
      <c r="A12282" s="22" t="s">
        <v>8</v>
      </c>
      <c r="B12282" s="18" t="str">
        <f>"445180"</f>
        <v>445180</v>
      </c>
      <c r="C12282" s="19" t="s">
        <v>12082</v>
      </c>
      <c r="D12282" s="19" t="s">
        <v>27687</v>
      </c>
      <c r="E12282" s="19" t="s">
        <v>32208</v>
      </c>
      <c r="F12282" s="19" t="s">
        <v>36017</v>
      </c>
      <c r="G12282" s="18" t="str">
        <f>"38464"</f>
        <v>38464</v>
      </c>
      <c r="H12282" s="19" t="s">
        <v>32568</v>
      </c>
      <c r="I12282" s="20">
        <v>17.821000000000002</v>
      </c>
      <c r="J12282" s="44" t="s">
        <v>8</v>
      </c>
      <c r="K12282" s="23" t="s">
        <v>8</v>
      </c>
      <c r="L12282" s="23" t="s">
        <v>8</v>
      </c>
      <c r="M12282" s="23" t="s">
        <v>8</v>
      </c>
    </row>
    <row r="12283" spans="1:13" s="21" customFormat="1" x14ac:dyDescent="0.25">
      <c r="A12283" s="22" t="s">
        <v>8</v>
      </c>
      <c r="B12283" s="18" t="str">
        <f>"445183"</f>
        <v>445183</v>
      </c>
      <c r="C12283" s="19" t="s">
        <v>12083</v>
      </c>
      <c r="D12283" s="19" t="s">
        <v>27688</v>
      </c>
      <c r="E12283" s="19" t="s">
        <v>33708</v>
      </c>
      <c r="F12283" s="19" t="s">
        <v>36017</v>
      </c>
      <c r="G12283" s="18" t="str">
        <f>"37066"</f>
        <v>37066</v>
      </c>
      <c r="H12283" s="19" t="s">
        <v>32524</v>
      </c>
      <c r="I12283" s="20">
        <v>20.614000000000001</v>
      </c>
      <c r="J12283" s="44" t="s">
        <v>8</v>
      </c>
      <c r="K12283" s="23" t="s">
        <v>8</v>
      </c>
      <c r="L12283" s="23" t="s">
        <v>8</v>
      </c>
      <c r="M12283" s="23" t="s">
        <v>8</v>
      </c>
    </row>
    <row r="12284" spans="1:13" s="21" customFormat="1" x14ac:dyDescent="0.25">
      <c r="A12284" s="22" t="s">
        <v>8</v>
      </c>
      <c r="B12284" s="18" t="str">
        <f>"445184"</f>
        <v>445184</v>
      </c>
      <c r="C12284" s="19" t="s">
        <v>12084</v>
      </c>
      <c r="D12284" s="19" t="s">
        <v>27689</v>
      </c>
      <c r="E12284" s="19" t="s">
        <v>33610</v>
      </c>
      <c r="F12284" s="19" t="s">
        <v>36017</v>
      </c>
      <c r="G12284" s="18" t="str">
        <f>"37142"</f>
        <v>37142</v>
      </c>
      <c r="H12284" s="19" t="s">
        <v>30833</v>
      </c>
      <c r="I12284" s="20">
        <v>19.46</v>
      </c>
      <c r="J12284" s="44" t="s">
        <v>8</v>
      </c>
      <c r="K12284" s="23" t="s">
        <v>8</v>
      </c>
      <c r="L12284" s="23" t="s">
        <v>8</v>
      </c>
      <c r="M12284" s="23" t="s">
        <v>8</v>
      </c>
    </row>
    <row r="12285" spans="1:13" s="21" customFormat="1" x14ac:dyDescent="0.25">
      <c r="A12285" s="22" t="s">
        <v>8</v>
      </c>
      <c r="B12285" s="18" t="str">
        <f>"445187"</f>
        <v>445187</v>
      </c>
      <c r="C12285" s="19" t="s">
        <v>12085</v>
      </c>
      <c r="D12285" s="19" t="s">
        <v>27690</v>
      </c>
      <c r="E12285" s="19" t="s">
        <v>30816</v>
      </c>
      <c r="F12285" s="19" t="s">
        <v>36017</v>
      </c>
      <c r="G12285" s="18" t="str">
        <f>"38301"</f>
        <v>38301</v>
      </c>
      <c r="H12285" s="19" t="s">
        <v>30899</v>
      </c>
      <c r="I12285" s="20">
        <v>21.271999999999998</v>
      </c>
      <c r="J12285" s="44" t="s">
        <v>8</v>
      </c>
      <c r="K12285" s="23" t="s">
        <v>8</v>
      </c>
      <c r="L12285" s="23" t="s">
        <v>8</v>
      </c>
      <c r="M12285" s="23" t="s">
        <v>8</v>
      </c>
    </row>
    <row r="12286" spans="1:13" s="21" customFormat="1" x14ac:dyDescent="0.25">
      <c r="A12286" s="22" t="s">
        <v>8</v>
      </c>
      <c r="B12286" s="18" t="str">
        <f>"445189"</f>
        <v>445189</v>
      </c>
      <c r="C12286" s="19" t="s">
        <v>12086</v>
      </c>
      <c r="D12286" s="19" t="s">
        <v>27691</v>
      </c>
      <c r="E12286" s="19" t="s">
        <v>33722</v>
      </c>
      <c r="F12286" s="19" t="s">
        <v>36017</v>
      </c>
      <c r="G12286" s="18" t="str">
        <f>"38115"</f>
        <v>38115</v>
      </c>
      <c r="H12286" s="19" t="s">
        <v>33565</v>
      </c>
      <c r="I12286" s="20">
        <v>18.129000000000001</v>
      </c>
      <c r="J12286" s="44" t="s">
        <v>8</v>
      </c>
      <c r="K12286" s="23" t="s">
        <v>8</v>
      </c>
      <c r="L12286" s="23" t="s">
        <v>8</v>
      </c>
      <c r="M12286" s="23" t="s">
        <v>8</v>
      </c>
    </row>
    <row r="12287" spans="1:13" s="21" customFormat="1" x14ac:dyDescent="0.25">
      <c r="A12287" s="22" t="s">
        <v>8</v>
      </c>
      <c r="B12287" s="18" t="str">
        <f>"445190"</f>
        <v>445190</v>
      </c>
      <c r="C12287" s="19" t="s">
        <v>12087</v>
      </c>
      <c r="D12287" s="19" t="s">
        <v>27692</v>
      </c>
      <c r="E12287" s="19" t="s">
        <v>31434</v>
      </c>
      <c r="F12287" s="19" t="s">
        <v>36017</v>
      </c>
      <c r="G12287" s="18" t="str">
        <f>"37620"</f>
        <v>37620</v>
      </c>
      <c r="H12287" s="19" t="s">
        <v>31976</v>
      </c>
      <c r="I12287" s="20">
        <v>18.495000000000001</v>
      </c>
      <c r="J12287" s="44" t="s">
        <v>8</v>
      </c>
      <c r="K12287" s="23" t="s">
        <v>8</v>
      </c>
      <c r="L12287" s="23" t="s">
        <v>8</v>
      </c>
      <c r="M12287" s="23" t="s">
        <v>8</v>
      </c>
    </row>
    <row r="12288" spans="1:13" s="21" customFormat="1" x14ac:dyDescent="0.25">
      <c r="A12288" s="22" t="s">
        <v>8</v>
      </c>
      <c r="B12288" s="18" t="str">
        <f>"445191"</f>
        <v>445191</v>
      </c>
      <c r="C12288" s="19" t="s">
        <v>12088</v>
      </c>
      <c r="D12288" s="19" t="s">
        <v>27693</v>
      </c>
      <c r="E12288" s="19" t="s">
        <v>34258</v>
      </c>
      <c r="F12288" s="19" t="s">
        <v>36017</v>
      </c>
      <c r="G12288" s="18" t="str">
        <f>"37075"</f>
        <v>37075</v>
      </c>
      <c r="H12288" s="19" t="s">
        <v>32524</v>
      </c>
      <c r="I12288" s="20">
        <v>15.836</v>
      </c>
      <c r="J12288" s="44" t="s">
        <v>8</v>
      </c>
      <c r="K12288" s="23" t="s">
        <v>8</v>
      </c>
      <c r="L12288" s="23" t="s">
        <v>8</v>
      </c>
      <c r="M12288" s="23" t="s">
        <v>8</v>
      </c>
    </row>
    <row r="12289" spans="1:13" s="21" customFormat="1" x14ac:dyDescent="0.25">
      <c r="A12289" s="22" t="s">
        <v>8</v>
      </c>
      <c r="B12289" s="18" t="str">
        <f>"445197"</f>
        <v>445197</v>
      </c>
      <c r="C12289" s="19" t="s">
        <v>12089</v>
      </c>
      <c r="D12289" s="19" t="s">
        <v>27694</v>
      </c>
      <c r="E12289" s="19" t="s">
        <v>33722</v>
      </c>
      <c r="F12289" s="19" t="s">
        <v>36017</v>
      </c>
      <c r="G12289" s="18" t="str">
        <f>"38119"</f>
        <v>38119</v>
      </c>
      <c r="H12289" s="19" t="s">
        <v>33565</v>
      </c>
      <c r="I12289" s="20">
        <v>21.417999999999999</v>
      </c>
      <c r="J12289" s="44" t="s">
        <v>8</v>
      </c>
      <c r="K12289" s="23" t="s">
        <v>8</v>
      </c>
      <c r="L12289" s="23" t="s">
        <v>8</v>
      </c>
      <c r="M12289" s="23" t="s">
        <v>8</v>
      </c>
    </row>
    <row r="12290" spans="1:13" s="21" customFormat="1" x14ac:dyDescent="0.25">
      <c r="A12290" s="22" t="s">
        <v>8</v>
      </c>
      <c r="B12290" s="18" t="str">
        <f>"445203"</f>
        <v>445203</v>
      </c>
      <c r="C12290" s="19" t="s">
        <v>12090</v>
      </c>
      <c r="D12290" s="19" t="s">
        <v>27695</v>
      </c>
      <c r="E12290" s="19" t="s">
        <v>31014</v>
      </c>
      <c r="F12290" s="19" t="s">
        <v>36017</v>
      </c>
      <c r="G12290" s="18" t="str">
        <f>"37205"</f>
        <v>37205</v>
      </c>
      <c r="H12290" s="19" t="s">
        <v>36613</v>
      </c>
      <c r="I12290" s="20">
        <v>15.201000000000001</v>
      </c>
      <c r="J12290" s="44" t="s">
        <v>8</v>
      </c>
      <c r="K12290" s="23" t="s">
        <v>8</v>
      </c>
      <c r="L12290" s="23" t="s">
        <v>8</v>
      </c>
      <c r="M12290" s="23" t="s">
        <v>8</v>
      </c>
    </row>
    <row r="12291" spans="1:13" s="21" customFormat="1" x14ac:dyDescent="0.25">
      <c r="A12291" s="22" t="s">
        <v>8</v>
      </c>
      <c r="B12291" s="18" t="str">
        <f>"445205"</f>
        <v>445205</v>
      </c>
      <c r="C12291" s="19" t="s">
        <v>12091</v>
      </c>
      <c r="D12291" s="19" t="s">
        <v>27696</v>
      </c>
      <c r="E12291" s="19" t="s">
        <v>35146</v>
      </c>
      <c r="F12291" s="19" t="s">
        <v>36017</v>
      </c>
      <c r="G12291" s="18" t="str">
        <f>"37421"</f>
        <v>37421</v>
      </c>
      <c r="H12291" s="19" t="s">
        <v>30804</v>
      </c>
      <c r="I12291" s="20">
        <v>17.954000000000001</v>
      </c>
      <c r="J12291" s="44" t="s">
        <v>8</v>
      </c>
      <c r="K12291" s="23" t="s">
        <v>8</v>
      </c>
      <c r="L12291" s="23" t="s">
        <v>8</v>
      </c>
      <c r="M12291" s="23" t="s">
        <v>8</v>
      </c>
    </row>
    <row r="12292" spans="1:13" s="21" customFormat="1" x14ac:dyDescent="0.25">
      <c r="A12292" s="22" t="s">
        <v>8</v>
      </c>
      <c r="B12292" s="18" t="str">
        <f>"445207"</f>
        <v>445207</v>
      </c>
      <c r="C12292" s="19" t="s">
        <v>12092</v>
      </c>
      <c r="D12292" s="19" t="s">
        <v>27697</v>
      </c>
      <c r="E12292" s="19" t="s">
        <v>35158</v>
      </c>
      <c r="F12292" s="19" t="s">
        <v>36017</v>
      </c>
      <c r="G12292" s="18" t="str">
        <f>"37660"</f>
        <v>37660</v>
      </c>
      <c r="H12292" s="19" t="s">
        <v>31976</v>
      </c>
      <c r="I12292" s="20">
        <v>19.195</v>
      </c>
      <c r="J12292" s="44" t="s">
        <v>8</v>
      </c>
      <c r="K12292" s="23" t="s">
        <v>8</v>
      </c>
      <c r="L12292" s="23" t="s">
        <v>8</v>
      </c>
      <c r="M12292" s="23" t="s">
        <v>8</v>
      </c>
    </row>
    <row r="12293" spans="1:13" s="21" customFormat="1" x14ac:dyDescent="0.25">
      <c r="A12293" s="22" t="s">
        <v>8</v>
      </c>
      <c r="B12293" s="18" t="str">
        <f>"445209"</f>
        <v>445209</v>
      </c>
      <c r="C12293" s="19" t="s">
        <v>12093</v>
      </c>
      <c r="D12293" s="19" t="s">
        <v>27698</v>
      </c>
      <c r="E12293" s="19" t="s">
        <v>35159</v>
      </c>
      <c r="F12293" s="19" t="s">
        <v>36017</v>
      </c>
      <c r="G12293" s="18" t="str">
        <f>"37381"</f>
        <v>37381</v>
      </c>
      <c r="H12293" s="19" t="s">
        <v>36776</v>
      </c>
      <c r="I12293" s="20">
        <v>19.373999999999999</v>
      </c>
      <c r="J12293" s="44" t="s">
        <v>8</v>
      </c>
      <c r="K12293" s="23" t="s">
        <v>8</v>
      </c>
      <c r="L12293" s="23" t="s">
        <v>8</v>
      </c>
      <c r="M12293" s="23" t="s">
        <v>8</v>
      </c>
    </row>
    <row r="12294" spans="1:13" s="21" customFormat="1" x14ac:dyDescent="0.25">
      <c r="A12294" s="22" t="s">
        <v>8</v>
      </c>
      <c r="B12294" s="18" t="str">
        <f>"445210"</f>
        <v>445210</v>
      </c>
      <c r="C12294" s="19" t="s">
        <v>12094</v>
      </c>
      <c r="D12294" s="19" t="s">
        <v>27699</v>
      </c>
      <c r="E12294" s="19" t="s">
        <v>34786</v>
      </c>
      <c r="F12294" s="19" t="s">
        <v>36017</v>
      </c>
      <c r="G12294" s="18" t="str">
        <f>"38344"</f>
        <v>38344</v>
      </c>
      <c r="H12294" s="19" t="s">
        <v>32334</v>
      </c>
      <c r="I12294" s="20">
        <v>18.513000000000002</v>
      </c>
      <c r="J12294" s="44" t="s">
        <v>8</v>
      </c>
      <c r="K12294" s="23" t="s">
        <v>8</v>
      </c>
      <c r="L12294" s="23" t="s">
        <v>8</v>
      </c>
      <c r="M12294" s="23" t="s">
        <v>8</v>
      </c>
    </row>
    <row r="12295" spans="1:13" s="21" customFormat="1" x14ac:dyDescent="0.25">
      <c r="A12295" s="22" t="s">
        <v>8</v>
      </c>
      <c r="B12295" s="18" t="str">
        <f>"445214"</f>
        <v>445214</v>
      </c>
      <c r="C12295" s="19" t="s">
        <v>12095</v>
      </c>
      <c r="D12295" s="19" t="s">
        <v>27700</v>
      </c>
      <c r="E12295" s="19" t="s">
        <v>35160</v>
      </c>
      <c r="F12295" s="19" t="s">
        <v>36017</v>
      </c>
      <c r="G12295" s="18" t="str">
        <f>"37683"</f>
        <v>37683</v>
      </c>
      <c r="H12295" s="19" t="s">
        <v>36072</v>
      </c>
      <c r="I12295" s="20">
        <v>19.832000000000001</v>
      </c>
      <c r="J12295" s="44" t="s">
        <v>8</v>
      </c>
      <c r="K12295" s="23" t="s">
        <v>8</v>
      </c>
      <c r="L12295" s="23" t="s">
        <v>8</v>
      </c>
      <c r="M12295" s="23" t="s">
        <v>8</v>
      </c>
    </row>
    <row r="12296" spans="1:13" s="21" customFormat="1" x14ac:dyDescent="0.25">
      <c r="A12296" s="22" t="s">
        <v>8</v>
      </c>
      <c r="B12296" s="18" t="str">
        <f>"445215"</f>
        <v>445215</v>
      </c>
      <c r="C12296" s="19" t="s">
        <v>12096</v>
      </c>
      <c r="D12296" s="19" t="s">
        <v>27701</v>
      </c>
      <c r="E12296" s="19" t="s">
        <v>32321</v>
      </c>
      <c r="F12296" s="19" t="s">
        <v>36017</v>
      </c>
      <c r="G12296" s="18" t="str">
        <f>"37814"</f>
        <v>37814</v>
      </c>
      <c r="H12296" s="19" t="s">
        <v>36768</v>
      </c>
      <c r="I12296" s="20">
        <v>18.253</v>
      </c>
      <c r="J12296" s="44" t="s">
        <v>8</v>
      </c>
      <c r="K12296" s="23" t="s">
        <v>8</v>
      </c>
      <c r="L12296" s="23" t="s">
        <v>8</v>
      </c>
      <c r="M12296" s="23" t="s">
        <v>8</v>
      </c>
    </row>
    <row r="12297" spans="1:13" s="21" customFormat="1" x14ac:dyDescent="0.25">
      <c r="A12297" s="22" t="s">
        <v>8</v>
      </c>
      <c r="B12297" s="18" t="str">
        <f>"445216"</f>
        <v>445216</v>
      </c>
      <c r="C12297" s="19" t="s">
        <v>12097</v>
      </c>
      <c r="D12297" s="19" t="s">
        <v>27702</v>
      </c>
      <c r="E12297" s="19" t="s">
        <v>35148</v>
      </c>
      <c r="F12297" s="19" t="s">
        <v>36017</v>
      </c>
      <c r="G12297" s="18" t="str">
        <f>"37110"</f>
        <v>37110</v>
      </c>
      <c r="H12297" s="19" t="s">
        <v>31025</v>
      </c>
      <c r="I12297" s="20">
        <v>16.873000000000001</v>
      </c>
      <c r="J12297" s="44" t="s">
        <v>8</v>
      </c>
      <c r="K12297" s="23" t="s">
        <v>8</v>
      </c>
      <c r="L12297" s="23" t="s">
        <v>8</v>
      </c>
      <c r="M12297" s="23" t="s">
        <v>8</v>
      </c>
    </row>
    <row r="12298" spans="1:13" s="21" customFormat="1" x14ac:dyDescent="0.25">
      <c r="A12298" s="22" t="s">
        <v>8</v>
      </c>
      <c r="B12298" s="18" t="str">
        <f>"445217"</f>
        <v>445217</v>
      </c>
      <c r="C12298" s="19" t="s">
        <v>12098</v>
      </c>
      <c r="D12298" s="19" t="s">
        <v>27703</v>
      </c>
      <c r="E12298" s="19" t="s">
        <v>35161</v>
      </c>
      <c r="F12298" s="19" t="s">
        <v>36017</v>
      </c>
      <c r="G12298" s="18" t="str">
        <f>"37643"</f>
        <v>37643</v>
      </c>
      <c r="H12298" s="19" t="s">
        <v>36338</v>
      </c>
      <c r="I12298" s="20">
        <v>18.151</v>
      </c>
      <c r="J12298" s="44" t="s">
        <v>8</v>
      </c>
      <c r="K12298" s="23" t="s">
        <v>8</v>
      </c>
      <c r="L12298" s="23" t="s">
        <v>8</v>
      </c>
      <c r="M12298" s="23" t="s">
        <v>8</v>
      </c>
    </row>
    <row r="12299" spans="1:13" s="21" customFormat="1" x14ac:dyDescent="0.25">
      <c r="A12299" s="22" t="s">
        <v>8</v>
      </c>
      <c r="B12299" s="18" t="str">
        <f>"445218"</f>
        <v>445218</v>
      </c>
      <c r="C12299" s="19" t="s">
        <v>12099</v>
      </c>
      <c r="D12299" s="19" t="s">
        <v>27704</v>
      </c>
      <c r="E12299" s="19" t="s">
        <v>30855</v>
      </c>
      <c r="F12299" s="19" t="s">
        <v>36017</v>
      </c>
      <c r="G12299" s="18" t="str">
        <f>"38018"</f>
        <v>38018</v>
      </c>
      <c r="H12299" s="19" t="s">
        <v>33565</v>
      </c>
      <c r="I12299" s="20">
        <v>18.541</v>
      </c>
      <c r="J12299" s="44" t="s">
        <v>8</v>
      </c>
      <c r="K12299" s="23" t="s">
        <v>8</v>
      </c>
      <c r="L12299" s="23" t="s">
        <v>8</v>
      </c>
      <c r="M12299" s="23" t="s">
        <v>8</v>
      </c>
    </row>
    <row r="12300" spans="1:13" s="21" customFormat="1" x14ac:dyDescent="0.25">
      <c r="A12300" s="22" t="s">
        <v>8</v>
      </c>
      <c r="B12300" s="18" t="str">
        <f>"445220"</f>
        <v>445220</v>
      </c>
      <c r="C12300" s="19" t="s">
        <v>12100</v>
      </c>
      <c r="D12300" s="19" t="s">
        <v>27705</v>
      </c>
      <c r="E12300" s="19" t="s">
        <v>33722</v>
      </c>
      <c r="F12300" s="19" t="s">
        <v>36017</v>
      </c>
      <c r="G12300" s="18" t="str">
        <f>"38135"</f>
        <v>38135</v>
      </c>
      <c r="H12300" s="19" t="s">
        <v>33565</v>
      </c>
      <c r="I12300" s="20">
        <v>19.712</v>
      </c>
      <c r="J12300" s="44" t="s">
        <v>8</v>
      </c>
      <c r="K12300" s="23" t="s">
        <v>8</v>
      </c>
      <c r="L12300" s="23" t="s">
        <v>8</v>
      </c>
      <c r="M12300" s="23" t="s">
        <v>8</v>
      </c>
    </row>
    <row r="12301" spans="1:13" s="21" customFormat="1" x14ac:dyDescent="0.25">
      <c r="A12301" s="22" t="s">
        <v>8</v>
      </c>
      <c r="B12301" s="18" t="str">
        <f>"445221"</f>
        <v>445221</v>
      </c>
      <c r="C12301" s="19" t="s">
        <v>12101</v>
      </c>
      <c r="D12301" s="19" t="s">
        <v>27706</v>
      </c>
      <c r="E12301" s="19" t="s">
        <v>32185</v>
      </c>
      <c r="F12301" s="19" t="s">
        <v>36017</v>
      </c>
      <c r="G12301" s="18" t="str">
        <f>"38133"</f>
        <v>38133</v>
      </c>
      <c r="H12301" s="19" t="s">
        <v>33565</v>
      </c>
      <c r="I12301" s="20">
        <v>20.381</v>
      </c>
      <c r="J12301" s="44" t="s">
        <v>8</v>
      </c>
      <c r="K12301" s="23" t="s">
        <v>8</v>
      </c>
      <c r="L12301" s="23" t="s">
        <v>8</v>
      </c>
      <c r="M12301" s="23" t="s">
        <v>8</v>
      </c>
    </row>
    <row r="12302" spans="1:13" s="21" customFormat="1" x14ac:dyDescent="0.25">
      <c r="A12302" s="22" t="s">
        <v>8</v>
      </c>
      <c r="B12302" s="18" t="str">
        <f>"445222"</f>
        <v>445222</v>
      </c>
      <c r="C12302" s="19" t="s">
        <v>12102</v>
      </c>
      <c r="D12302" s="19" t="s">
        <v>27707</v>
      </c>
      <c r="E12302" s="19" t="s">
        <v>32175</v>
      </c>
      <c r="F12302" s="19" t="s">
        <v>36017</v>
      </c>
      <c r="G12302" s="18" t="str">
        <f>"37398"</f>
        <v>37398</v>
      </c>
      <c r="H12302" s="19" t="s">
        <v>5</v>
      </c>
      <c r="I12302" s="20">
        <v>19.766999999999999</v>
      </c>
      <c r="J12302" s="44" t="s">
        <v>8</v>
      </c>
      <c r="K12302" s="23" t="s">
        <v>8</v>
      </c>
      <c r="L12302" s="23" t="s">
        <v>8</v>
      </c>
      <c r="M12302" s="23" t="s">
        <v>8</v>
      </c>
    </row>
    <row r="12303" spans="1:13" s="21" customFormat="1" x14ac:dyDescent="0.25">
      <c r="A12303" s="22" t="s">
        <v>8</v>
      </c>
      <c r="B12303" s="18" t="str">
        <f>"445223"</f>
        <v>445223</v>
      </c>
      <c r="C12303" s="19" t="s">
        <v>12103</v>
      </c>
      <c r="D12303" s="19" t="s">
        <v>27708</v>
      </c>
      <c r="E12303" s="19" t="s">
        <v>35162</v>
      </c>
      <c r="F12303" s="19" t="s">
        <v>36017</v>
      </c>
      <c r="G12303" s="18" t="str">
        <f>"37748"</f>
        <v>37748</v>
      </c>
      <c r="H12303" s="19" t="s">
        <v>36775</v>
      </c>
      <c r="I12303" s="20">
        <v>17.754000000000001</v>
      </c>
      <c r="J12303" s="44" t="s">
        <v>8</v>
      </c>
      <c r="K12303" s="23" t="s">
        <v>8</v>
      </c>
      <c r="L12303" s="23" t="s">
        <v>8</v>
      </c>
      <c r="M12303" s="23" t="s">
        <v>8</v>
      </c>
    </row>
    <row r="12304" spans="1:13" s="21" customFormat="1" x14ac:dyDescent="0.25">
      <c r="A12304" s="22" t="s">
        <v>8</v>
      </c>
      <c r="B12304" s="18" t="str">
        <f>"445224"</f>
        <v>445224</v>
      </c>
      <c r="C12304" s="19" t="s">
        <v>12104</v>
      </c>
      <c r="D12304" s="19" t="s">
        <v>27709</v>
      </c>
      <c r="E12304" s="19" t="s">
        <v>31050</v>
      </c>
      <c r="F12304" s="19" t="s">
        <v>36017</v>
      </c>
      <c r="G12304" s="18" t="str">
        <f>"38242"</f>
        <v>38242</v>
      </c>
      <c r="H12304" s="19" t="s">
        <v>32041</v>
      </c>
      <c r="I12304" s="20">
        <v>17.041</v>
      </c>
      <c r="J12304" s="44" t="s">
        <v>8</v>
      </c>
      <c r="K12304" s="23" t="s">
        <v>8</v>
      </c>
      <c r="L12304" s="23" t="s">
        <v>8</v>
      </c>
      <c r="M12304" s="23" t="s">
        <v>8</v>
      </c>
    </row>
    <row r="12305" spans="1:13" s="21" customFormat="1" x14ac:dyDescent="0.25">
      <c r="A12305" s="22" t="s">
        <v>8</v>
      </c>
      <c r="B12305" s="18" t="str">
        <f>"445225"</f>
        <v>445225</v>
      </c>
      <c r="C12305" s="19" t="s">
        <v>12105</v>
      </c>
      <c r="D12305" s="19" t="s">
        <v>27710</v>
      </c>
      <c r="E12305" s="19" t="s">
        <v>33722</v>
      </c>
      <c r="F12305" s="19" t="s">
        <v>36017</v>
      </c>
      <c r="G12305" s="18" t="str">
        <f>"38104"</f>
        <v>38104</v>
      </c>
      <c r="H12305" s="19" t="s">
        <v>33565</v>
      </c>
      <c r="I12305" s="20">
        <v>20.962</v>
      </c>
      <c r="J12305" s="44" t="s">
        <v>8</v>
      </c>
      <c r="K12305" s="23" t="s">
        <v>8</v>
      </c>
      <c r="L12305" s="23" t="s">
        <v>8</v>
      </c>
      <c r="M12305" s="23" t="s">
        <v>8</v>
      </c>
    </row>
    <row r="12306" spans="1:13" s="21" customFormat="1" x14ac:dyDescent="0.25">
      <c r="A12306" s="22" t="s">
        <v>8</v>
      </c>
      <c r="B12306" s="18" t="str">
        <f>"445228"</f>
        <v>445228</v>
      </c>
      <c r="C12306" s="19" t="s">
        <v>12106</v>
      </c>
      <c r="D12306" s="19" t="s">
        <v>27711</v>
      </c>
      <c r="E12306" s="19" t="s">
        <v>35163</v>
      </c>
      <c r="F12306" s="19" t="s">
        <v>36017</v>
      </c>
      <c r="G12306" s="18" t="str">
        <f>"37743"</f>
        <v>37743</v>
      </c>
      <c r="H12306" s="19" t="s">
        <v>32455</v>
      </c>
      <c r="I12306" s="20">
        <v>19.327000000000002</v>
      </c>
      <c r="J12306" s="44" t="s">
        <v>8</v>
      </c>
      <c r="K12306" s="23" t="s">
        <v>8</v>
      </c>
      <c r="L12306" s="23" t="s">
        <v>8</v>
      </c>
      <c r="M12306" s="23" t="s">
        <v>8</v>
      </c>
    </row>
    <row r="12307" spans="1:13" s="21" customFormat="1" x14ac:dyDescent="0.25">
      <c r="A12307" s="22" t="s">
        <v>8</v>
      </c>
      <c r="B12307" s="18" t="str">
        <f>"445232"</f>
        <v>445232</v>
      </c>
      <c r="C12307" s="19" t="s">
        <v>12107</v>
      </c>
      <c r="D12307" s="19" t="s">
        <v>27712</v>
      </c>
      <c r="E12307" s="19" t="s">
        <v>33582</v>
      </c>
      <c r="F12307" s="19" t="s">
        <v>36017</v>
      </c>
      <c r="G12307" s="18" t="str">
        <f>"38008"</f>
        <v>38008</v>
      </c>
      <c r="H12307" s="19" t="s">
        <v>36769</v>
      </c>
      <c r="I12307" s="20">
        <v>20.106999999999999</v>
      </c>
      <c r="J12307" s="44" t="s">
        <v>8</v>
      </c>
      <c r="K12307" s="23" t="s">
        <v>8</v>
      </c>
      <c r="L12307" s="23" t="s">
        <v>8</v>
      </c>
      <c r="M12307" s="23" t="s">
        <v>8</v>
      </c>
    </row>
    <row r="12308" spans="1:13" s="21" customFormat="1" x14ac:dyDescent="0.25">
      <c r="A12308" s="22" t="s">
        <v>8</v>
      </c>
      <c r="B12308" s="18" t="str">
        <f>"445233"</f>
        <v>445233</v>
      </c>
      <c r="C12308" s="19" t="s">
        <v>12108</v>
      </c>
      <c r="D12308" s="19" t="s">
        <v>27713</v>
      </c>
      <c r="E12308" s="19" t="s">
        <v>33722</v>
      </c>
      <c r="F12308" s="19" t="s">
        <v>36017</v>
      </c>
      <c r="G12308" s="18" t="str">
        <f>"38116"</f>
        <v>38116</v>
      </c>
      <c r="H12308" s="19" t="s">
        <v>33565</v>
      </c>
      <c r="I12308" s="20">
        <v>18.239000000000001</v>
      </c>
      <c r="J12308" s="44" t="s">
        <v>8</v>
      </c>
      <c r="K12308" s="23" t="s">
        <v>8</v>
      </c>
      <c r="L12308" s="23" t="s">
        <v>8</v>
      </c>
      <c r="M12308" s="23" t="s">
        <v>8</v>
      </c>
    </row>
    <row r="12309" spans="1:13" s="21" customFormat="1" x14ac:dyDescent="0.25">
      <c r="A12309" s="22" t="s">
        <v>8</v>
      </c>
      <c r="B12309" s="18" t="str">
        <f>"445234"</f>
        <v>445234</v>
      </c>
      <c r="C12309" s="19" t="s">
        <v>12109</v>
      </c>
      <c r="D12309" s="19" t="s">
        <v>27714</v>
      </c>
      <c r="E12309" s="19" t="s">
        <v>31910</v>
      </c>
      <c r="F12309" s="19" t="s">
        <v>36017</v>
      </c>
      <c r="G12309" s="18" t="str">
        <f>"37160"</f>
        <v>37160</v>
      </c>
      <c r="H12309" s="19" t="s">
        <v>32215</v>
      </c>
      <c r="I12309" s="20">
        <v>15.86</v>
      </c>
      <c r="J12309" s="44" t="s">
        <v>8</v>
      </c>
      <c r="K12309" s="23" t="s">
        <v>8</v>
      </c>
      <c r="L12309" s="23" t="s">
        <v>8</v>
      </c>
      <c r="M12309" s="23" t="s">
        <v>8</v>
      </c>
    </row>
    <row r="12310" spans="1:13" s="21" customFormat="1" x14ac:dyDescent="0.25">
      <c r="A12310" s="22" t="s">
        <v>8</v>
      </c>
      <c r="B12310" s="18" t="str">
        <f>"445235"</f>
        <v>445235</v>
      </c>
      <c r="C12310" s="19" t="s">
        <v>12110</v>
      </c>
      <c r="D12310" s="19" t="s">
        <v>27715</v>
      </c>
      <c r="E12310" s="19" t="s">
        <v>35150</v>
      </c>
      <c r="F12310" s="19" t="s">
        <v>36017</v>
      </c>
      <c r="G12310" s="18" t="str">
        <f>"37130"</f>
        <v>37130</v>
      </c>
      <c r="H12310" s="19" t="s">
        <v>36618</v>
      </c>
      <c r="I12310" s="20">
        <v>17.452000000000002</v>
      </c>
      <c r="J12310" s="44" t="s">
        <v>8</v>
      </c>
      <c r="K12310" s="23" t="s">
        <v>8</v>
      </c>
      <c r="L12310" s="23" t="s">
        <v>8</v>
      </c>
      <c r="M12310" s="23" t="s">
        <v>8</v>
      </c>
    </row>
    <row r="12311" spans="1:13" s="21" customFormat="1" x14ac:dyDescent="0.25">
      <c r="A12311" s="22" t="s">
        <v>8</v>
      </c>
      <c r="B12311" s="18" t="str">
        <f>"445236"</f>
        <v>445236</v>
      </c>
      <c r="C12311" s="19" t="s">
        <v>11849</v>
      </c>
      <c r="D12311" s="19" t="s">
        <v>27716</v>
      </c>
      <c r="E12311" s="19" t="s">
        <v>32076</v>
      </c>
      <c r="F12311" s="19" t="s">
        <v>36017</v>
      </c>
      <c r="G12311" s="18" t="str">
        <f>"38401"</f>
        <v>38401</v>
      </c>
      <c r="H12311" s="19" t="s">
        <v>36770</v>
      </c>
      <c r="I12311" s="20">
        <v>20.254000000000001</v>
      </c>
      <c r="J12311" s="44" t="s">
        <v>8</v>
      </c>
      <c r="K12311" s="23" t="s">
        <v>8</v>
      </c>
      <c r="L12311" s="23" t="s">
        <v>8</v>
      </c>
      <c r="M12311" s="23" t="s">
        <v>8</v>
      </c>
    </row>
    <row r="12312" spans="1:13" s="21" customFormat="1" x14ac:dyDescent="0.25">
      <c r="A12312" s="22" t="s">
        <v>8</v>
      </c>
      <c r="B12312" s="18" t="str">
        <f>"445237"</f>
        <v>445237</v>
      </c>
      <c r="C12312" s="19" t="s">
        <v>12111</v>
      </c>
      <c r="D12312" s="19" t="s">
        <v>27717</v>
      </c>
      <c r="E12312" s="19" t="s">
        <v>35164</v>
      </c>
      <c r="F12312" s="19" t="s">
        <v>36017</v>
      </c>
      <c r="G12312" s="18" t="str">
        <f>"37642"</f>
        <v>37642</v>
      </c>
      <c r="H12312" s="19" t="s">
        <v>36766</v>
      </c>
      <c r="I12312" s="20">
        <v>21.227</v>
      </c>
      <c r="J12312" s="44" t="s">
        <v>8</v>
      </c>
      <c r="K12312" s="23" t="s">
        <v>8</v>
      </c>
      <c r="L12312" s="23" t="s">
        <v>8</v>
      </c>
      <c r="M12312" s="23" t="s">
        <v>8</v>
      </c>
    </row>
    <row r="12313" spans="1:13" s="21" customFormat="1" x14ac:dyDescent="0.25">
      <c r="A12313" s="22" t="s">
        <v>8</v>
      </c>
      <c r="B12313" s="18" t="str">
        <f>"445238"</f>
        <v>445238</v>
      </c>
      <c r="C12313" s="19" t="s">
        <v>12112</v>
      </c>
      <c r="D12313" s="19" t="s">
        <v>27718</v>
      </c>
      <c r="E12313" s="19" t="s">
        <v>35165</v>
      </c>
      <c r="F12313" s="19" t="s">
        <v>36017</v>
      </c>
      <c r="G12313" s="18" t="str">
        <f>"37388"</f>
        <v>37388</v>
      </c>
      <c r="H12313" s="19" t="s">
        <v>36039</v>
      </c>
      <c r="I12313" s="20">
        <v>14.635999999999999</v>
      </c>
      <c r="J12313" s="44" t="s">
        <v>8</v>
      </c>
      <c r="K12313" s="23" t="s">
        <v>8</v>
      </c>
      <c r="L12313" s="23" t="s">
        <v>8</v>
      </c>
      <c r="M12313" s="23" t="s">
        <v>8</v>
      </c>
    </row>
    <row r="12314" spans="1:13" s="21" customFormat="1" x14ac:dyDescent="0.25">
      <c r="A12314" s="22" t="s">
        <v>8</v>
      </c>
      <c r="B12314" s="18" t="str">
        <f>"445239"</f>
        <v>445239</v>
      </c>
      <c r="C12314" s="19" t="s">
        <v>12113</v>
      </c>
      <c r="D12314" s="19" t="s">
        <v>27719</v>
      </c>
      <c r="E12314" s="19" t="s">
        <v>35166</v>
      </c>
      <c r="F12314" s="19" t="s">
        <v>36017</v>
      </c>
      <c r="G12314" s="18" t="str">
        <f>"37887"</f>
        <v>37887</v>
      </c>
      <c r="H12314" s="19" t="s">
        <v>33505</v>
      </c>
      <c r="I12314" s="20">
        <v>19.542000000000002</v>
      </c>
      <c r="J12314" s="44" t="s">
        <v>8</v>
      </c>
      <c r="K12314" s="23" t="s">
        <v>8</v>
      </c>
      <c r="L12314" s="23" t="s">
        <v>8</v>
      </c>
      <c r="M12314" s="23" t="s">
        <v>8</v>
      </c>
    </row>
    <row r="12315" spans="1:13" s="21" customFormat="1" x14ac:dyDescent="0.25">
      <c r="A12315" s="22" t="s">
        <v>8</v>
      </c>
      <c r="B12315" s="18" t="str">
        <f>"445240"</f>
        <v>445240</v>
      </c>
      <c r="C12315" s="19" t="s">
        <v>12114</v>
      </c>
      <c r="D12315" s="19" t="s">
        <v>27720</v>
      </c>
      <c r="E12315" s="19" t="s">
        <v>35146</v>
      </c>
      <c r="F12315" s="19" t="s">
        <v>36017</v>
      </c>
      <c r="G12315" s="18" t="str">
        <f>"37405"</f>
        <v>37405</v>
      </c>
      <c r="H12315" s="19" t="s">
        <v>30804</v>
      </c>
      <c r="I12315" s="20">
        <v>19.923999999999999</v>
      </c>
      <c r="J12315" s="44" t="s">
        <v>8</v>
      </c>
      <c r="K12315" s="23" t="s">
        <v>8</v>
      </c>
      <c r="L12315" s="23" t="s">
        <v>8</v>
      </c>
      <c r="M12315" s="23" t="s">
        <v>8</v>
      </c>
    </row>
    <row r="12316" spans="1:13" s="21" customFormat="1" x14ac:dyDescent="0.25">
      <c r="A12316" s="22" t="s">
        <v>8</v>
      </c>
      <c r="B12316" s="18" t="str">
        <f>"445241"</f>
        <v>445241</v>
      </c>
      <c r="C12316" s="19" t="s">
        <v>12115</v>
      </c>
      <c r="D12316" s="19" t="s">
        <v>27721</v>
      </c>
      <c r="E12316" s="19" t="s">
        <v>33722</v>
      </c>
      <c r="F12316" s="19" t="s">
        <v>36017</v>
      </c>
      <c r="G12316" s="18" t="str">
        <f>"38134"</f>
        <v>38134</v>
      </c>
      <c r="H12316" s="19" t="s">
        <v>33565</v>
      </c>
      <c r="I12316" s="20">
        <v>20.158999999999999</v>
      </c>
      <c r="J12316" s="44" t="s">
        <v>8</v>
      </c>
      <c r="K12316" s="23" t="s">
        <v>8</v>
      </c>
      <c r="L12316" s="23" t="s">
        <v>8</v>
      </c>
      <c r="M12316" s="23" t="s">
        <v>8</v>
      </c>
    </row>
    <row r="12317" spans="1:13" s="21" customFormat="1" x14ac:dyDescent="0.25">
      <c r="A12317" s="22" t="s">
        <v>8</v>
      </c>
      <c r="B12317" s="18" t="str">
        <f>"445242"</f>
        <v>445242</v>
      </c>
      <c r="C12317" s="19" t="s">
        <v>12116</v>
      </c>
      <c r="D12317" s="19" t="s">
        <v>27722</v>
      </c>
      <c r="E12317" s="19" t="s">
        <v>35167</v>
      </c>
      <c r="F12317" s="19" t="s">
        <v>36017</v>
      </c>
      <c r="G12317" s="18" t="str">
        <f>"37617"</f>
        <v>37617</v>
      </c>
      <c r="H12317" s="19" t="s">
        <v>31976</v>
      </c>
      <c r="I12317" s="20">
        <v>18.411000000000001</v>
      </c>
      <c r="J12317" s="44" t="s">
        <v>8</v>
      </c>
      <c r="K12317" s="23" t="s">
        <v>8</v>
      </c>
      <c r="L12317" s="23" t="s">
        <v>8</v>
      </c>
      <c r="M12317" s="23" t="s">
        <v>8</v>
      </c>
    </row>
    <row r="12318" spans="1:13" s="21" customFormat="1" x14ac:dyDescent="0.25">
      <c r="A12318" s="22" t="s">
        <v>8</v>
      </c>
      <c r="B12318" s="18" t="str">
        <f>"445244"</f>
        <v>445244</v>
      </c>
      <c r="C12318" s="19" t="s">
        <v>12117</v>
      </c>
      <c r="D12318" s="19" t="s">
        <v>27723</v>
      </c>
      <c r="E12318" s="19" t="s">
        <v>31810</v>
      </c>
      <c r="F12318" s="19" t="s">
        <v>36017</v>
      </c>
      <c r="G12318" s="18" t="str">
        <f>"37311"</f>
        <v>37311</v>
      </c>
      <c r="H12318" s="19" t="s">
        <v>32178</v>
      </c>
      <c r="I12318" s="20">
        <v>19.780999999999999</v>
      </c>
      <c r="J12318" s="44" t="s">
        <v>8</v>
      </c>
      <c r="K12318" s="23" t="s">
        <v>8</v>
      </c>
      <c r="L12318" s="23" t="s">
        <v>8</v>
      </c>
      <c r="M12318" s="23" t="s">
        <v>8</v>
      </c>
    </row>
    <row r="12319" spans="1:13" s="21" customFormat="1" x14ac:dyDescent="0.25">
      <c r="A12319" s="22" t="s">
        <v>8</v>
      </c>
      <c r="B12319" s="18" t="str">
        <f>"445245"</f>
        <v>445245</v>
      </c>
      <c r="C12319" s="19" t="s">
        <v>12118</v>
      </c>
      <c r="D12319" s="19" t="s">
        <v>27724</v>
      </c>
      <c r="E12319" s="19" t="s">
        <v>32082</v>
      </c>
      <c r="F12319" s="19" t="s">
        <v>36017</v>
      </c>
      <c r="G12319" s="18" t="str">
        <f>"37803"</f>
        <v>37803</v>
      </c>
      <c r="H12319" s="19" t="s">
        <v>36041</v>
      </c>
      <c r="I12319" s="20">
        <v>19.268999999999998</v>
      </c>
      <c r="J12319" s="44" t="s">
        <v>8</v>
      </c>
      <c r="K12319" s="23" t="s">
        <v>8</v>
      </c>
      <c r="L12319" s="23" t="s">
        <v>8</v>
      </c>
      <c r="M12319" s="23" t="s">
        <v>8</v>
      </c>
    </row>
    <row r="12320" spans="1:13" s="21" customFormat="1" x14ac:dyDescent="0.25">
      <c r="A12320" s="22" t="s">
        <v>8</v>
      </c>
      <c r="B12320" s="18" t="str">
        <f>"445246"</f>
        <v>445246</v>
      </c>
      <c r="C12320" s="19" t="s">
        <v>12119</v>
      </c>
      <c r="D12320" s="19" t="s">
        <v>27725</v>
      </c>
      <c r="E12320" s="19" t="s">
        <v>33603</v>
      </c>
      <c r="F12320" s="19" t="s">
        <v>36017</v>
      </c>
      <c r="G12320" s="18" t="str">
        <f>"37760"</f>
        <v>37760</v>
      </c>
      <c r="H12320" s="19" t="s">
        <v>32391</v>
      </c>
      <c r="I12320" s="20">
        <v>18.231000000000002</v>
      </c>
      <c r="J12320" s="44" t="s">
        <v>8</v>
      </c>
      <c r="K12320" s="23" t="s">
        <v>8</v>
      </c>
      <c r="L12320" s="23" t="s">
        <v>8</v>
      </c>
      <c r="M12320" s="23" t="s">
        <v>8</v>
      </c>
    </row>
    <row r="12321" spans="1:13" s="21" customFormat="1" x14ac:dyDescent="0.25">
      <c r="A12321" s="22" t="s">
        <v>8</v>
      </c>
      <c r="B12321" s="18" t="str">
        <f>"445249"</f>
        <v>445249</v>
      </c>
      <c r="C12321" s="19" t="s">
        <v>12120</v>
      </c>
      <c r="D12321" s="19" t="s">
        <v>27726</v>
      </c>
      <c r="E12321" s="19" t="s">
        <v>35168</v>
      </c>
      <c r="F12321" s="19" t="s">
        <v>36017</v>
      </c>
      <c r="G12321" s="18" t="str">
        <f>"38237"</f>
        <v>38237</v>
      </c>
      <c r="H12321" s="19" t="s">
        <v>36777</v>
      </c>
      <c r="I12321" s="20">
        <v>20.065000000000001</v>
      </c>
      <c r="J12321" s="44" t="s">
        <v>8</v>
      </c>
      <c r="K12321" s="23" t="s">
        <v>8</v>
      </c>
      <c r="L12321" s="23" t="s">
        <v>8</v>
      </c>
      <c r="M12321" s="23" t="s">
        <v>8</v>
      </c>
    </row>
    <row r="12322" spans="1:13" s="21" customFormat="1" x14ac:dyDescent="0.25">
      <c r="A12322" s="22" t="s">
        <v>8</v>
      </c>
      <c r="B12322" s="18" t="str">
        <f>"445251"</f>
        <v>445251</v>
      </c>
      <c r="C12322" s="19" t="s">
        <v>12121</v>
      </c>
      <c r="D12322" s="19" t="s">
        <v>27727</v>
      </c>
      <c r="E12322" s="19" t="s">
        <v>32500</v>
      </c>
      <c r="F12322" s="19" t="s">
        <v>36017</v>
      </c>
      <c r="G12322" s="18" t="str">
        <f>"37185"</f>
        <v>37185</v>
      </c>
      <c r="H12322" s="19" t="s">
        <v>36504</v>
      </c>
      <c r="I12322" s="20">
        <v>19.849</v>
      </c>
      <c r="J12322" s="44" t="s">
        <v>8</v>
      </c>
      <c r="K12322" s="23" t="s">
        <v>8</v>
      </c>
      <c r="L12322" s="23" t="s">
        <v>8</v>
      </c>
      <c r="M12322" s="23" t="s">
        <v>8</v>
      </c>
    </row>
    <row r="12323" spans="1:13" s="21" customFormat="1" x14ac:dyDescent="0.25">
      <c r="A12323" s="22" t="s">
        <v>8</v>
      </c>
      <c r="B12323" s="18" t="str">
        <f>"445252"</f>
        <v>445252</v>
      </c>
      <c r="C12323" s="19" t="s">
        <v>12122</v>
      </c>
      <c r="D12323" s="19" t="s">
        <v>27728</v>
      </c>
      <c r="E12323" s="19" t="s">
        <v>32280</v>
      </c>
      <c r="F12323" s="19" t="s">
        <v>36017</v>
      </c>
      <c r="G12323" s="18" t="str">
        <f>"37033"</f>
        <v>37033</v>
      </c>
      <c r="H12323" s="19" t="s">
        <v>36343</v>
      </c>
      <c r="I12323" s="20">
        <v>16.113</v>
      </c>
      <c r="J12323" s="44" t="s">
        <v>8</v>
      </c>
      <c r="K12323" s="23" t="s">
        <v>8</v>
      </c>
      <c r="L12323" s="23" t="s">
        <v>8</v>
      </c>
      <c r="M12323" s="23" t="s">
        <v>8</v>
      </c>
    </row>
    <row r="12324" spans="1:13" s="21" customFormat="1" x14ac:dyDescent="0.25">
      <c r="A12324" s="22" t="s">
        <v>8</v>
      </c>
      <c r="B12324" s="18" t="str">
        <f>"445253"</f>
        <v>445253</v>
      </c>
      <c r="C12324" s="19" t="s">
        <v>12123</v>
      </c>
      <c r="D12324" s="19" t="s">
        <v>27729</v>
      </c>
      <c r="E12324" s="19" t="s">
        <v>35169</v>
      </c>
      <c r="F12324" s="19" t="s">
        <v>36017</v>
      </c>
      <c r="G12324" s="18" t="str">
        <f>"37774"</f>
        <v>37774</v>
      </c>
      <c r="H12324" s="19" t="s">
        <v>35169</v>
      </c>
      <c r="I12324" s="20">
        <v>18.067</v>
      </c>
      <c r="J12324" s="44" t="s">
        <v>8</v>
      </c>
      <c r="K12324" s="23" t="s">
        <v>8</v>
      </c>
      <c r="L12324" s="23" t="s">
        <v>8</v>
      </c>
      <c r="M12324" s="23" t="s">
        <v>8</v>
      </c>
    </row>
    <row r="12325" spans="1:13" s="21" customFormat="1" x14ac:dyDescent="0.25">
      <c r="A12325" s="22" t="s">
        <v>8</v>
      </c>
      <c r="B12325" s="18" t="str">
        <f>"445254"</f>
        <v>445254</v>
      </c>
      <c r="C12325" s="19" t="s">
        <v>12124</v>
      </c>
      <c r="D12325" s="19" t="s">
        <v>27730</v>
      </c>
      <c r="E12325" s="19" t="s">
        <v>34140</v>
      </c>
      <c r="F12325" s="19" t="s">
        <v>36017</v>
      </c>
      <c r="G12325" s="18" t="str">
        <f>"37841"</f>
        <v>37841</v>
      </c>
      <c r="H12325" s="19" t="s">
        <v>36083</v>
      </c>
      <c r="I12325" s="20">
        <v>20.835000000000001</v>
      </c>
      <c r="J12325" s="44" t="s">
        <v>8</v>
      </c>
      <c r="K12325" s="23" t="s">
        <v>8</v>
      </c>
      <c r="L12325" s="23" t="s">
        <v>8</v>
      </c>
      <c r="M12325" s="23" t="s">
        <v>8</v>
      </c>
    </row>
    <row r="12326" spans="1:13" s="21" customFormat="1" x14ac:dyDescent="0.25">
      <c r="A12326" s="22" t="s">
        <v>8</v>
      </c>
      <c r="B12326" s="18" t="str">
        <f>"445256"</f>
        <v>445256</v>
      </c>
      <c r="C12326" s="19" t="s">
        <v>12125</v>
      </c>
      <c r="D12326" s="19" t="s">
        <v>27731</v>
      </c>
      <c r="E12326" s="19" t="s">
        <v>35067</v>
      </c>
      <c r="F12326" s="19" t="s">
        <v>36017</v>
      </c>
      <c r="G12326" s="18" t="str">
        <f>"37074"</f>
        <v>37074</v>
      </c>
      <c r="H12326" s="19" t="s">
        <v>36778</v>
      </c>
      <c r="I12326" s="20">
        <v>20.39</v>
      </c>
      <c r="J12326" s="44" t="s">
        <v>8</v>
      </c>
      <c r="K12326" s="23" t="s">
        <v>8</v>
      </c>
      <c r="L12326" s="23" t="s">
        <v>8</v>
      </c>
      <c r="M12326" s="23" t="s">
        <v>8</v>
      </c>
    </row>
    <row r="12327" spans="1:13" s="21" customFormat="1" x14ac:dyDescent="0.25">
      <c r="A12327" s="22" t="s">
        <v>8</v>
      </c>
      <c r="B12327" s="18" t="str">
        <f>"445258"</f>
        <v>445258</v>
      </c>
      <c r="C12327" s="19" t="s">
        <v>12126</v>
      </c>
      <c r="D12327" s="19" t="s">
        <v>27732</v>
      </c>
      <c r="E12327" s="19" t="s">
        <v>32067</v>
      </c>
      <c r="F12327" s="19" t="s">
        <v>36017</v>
      </c>
      <c r="G12327" s="18" t="str">
        <f>"37923"</f>
        <v>37923</v>
      </c>
      <c r="H12327" s="19" t="s">
        <v>32252</v>
      </c>
      <c r="I12327" s="20">
        <v>18.997</v>
      </c>
      <c r="J12327" s="44" t="s">
        <v>8</v>
      </c>
      <c r="K12327" s="23" t="s">
        <v>8</v>
      </c>
      <c r="L12327" s="23" t="s">
        <v>8</v>
      </c>
      <c r="M12327" s="23" t="s">
        <v>8</v>
      </c>
    </row>
    <row r="12328" spans="1:13" s="21" customFormat="1" x14ac:dyDescent="0.25">
      <c r="A12328" s="22" t="s">
        <v>8</v>
      </c>
      <c r="B12328" s="18" t="str">
        <f>"445259"</f>
        <v>445259</v>
      </c>
      <c r="C12328" s="19" t="s">
        <v>12127</v>
      </c>
      <c r="D12328" s="19" t="s">
        <v>27733</v>
      </c>
      <c r="E12328" s="19" t="s">
        <v>35170</v>
      </c>
      <c r="F12328" s="19" t="s">
        <v>36017</v>
      </c>
      <c r="G12328" s="18" t="str">
        <f>"37769"</f>
        <v>37769</v>
      </c>
      <c r="H12328" s="19" t="s">
        <v>32202</v>
      </c>
      <c r="I12328" s="20">
        <v>20.62</v>
      </c>
      <c r="J12328" s="44" t="s">
        <v>8</v>
      </c>
      <c r="K12328" s="23" t="s">
        <v>8</v>
      </c>
      <c r="L12328" s="23" t="s">
        <v>8</v>
      </c>
      <c r="M12328" s="23" t="s">
        <v>8</v>
      </c>
    </row>
    <row r="12329" spans="1:13" s="21" customFormat="1" x14ac:dyDescent="0.25">
      <c r="A12329" s="22" t="s">
        <v>8</v>
      </c>
      <c r="B12329" s="18" t="str">
        <f>"445260"</f>
        <v>445260</v>
      </c>
      <c r="C12329" s="19" t="s">
        <v>12128</v>
      </c>
      <c r="D12329" s="19" t="s">
        <v>27734</v>
      </c>
      <c r="E12329" s="19" t="s">
        <v>35154</v>
      </c>
      <c r="F12329" s="19" t="s">
        <v>36017</v>
      </c>
      <c r="G12329" s="18" t="str">
        <f>"37830"</f>
        <v>37830</v>
      </c>
      <c r="H12329" s="19" t="s">
        <v>32202</v>
      </c>
      <c r="I12329" s="20">
        <v>18.239000000000001</v>
      </c>
      <c r="J12329" s="44" t="s">
        <v>8</v>
      </c>
      <c r="K12329" s="23" t="s">
        <v>8</v>
      </c>
      <c r="L12329" s="23" t="s">
        <v>8</v>
      </c>
      <c r="M12329" s="23" t="s">
        <v>8</v>
      </c>
    </row>
    <row r="12330" spans="1:13" s="21" customFormat="1" x14ac:dyDescent="0.25">
      <c r="A12330" s="22" t="s">
        <v>8</v>
      </c>
      <c r="B12330" s="18" t="str">
        <f>"445262"</f>
        <v>445262</v>
      </c>
      <c r="C12330" s="19" t="s">
        <v>12129</v>
      </c>
      <c r="D12330" s="19" t="s">
        <v>27735</v>
      </c>
      <c r="E12330" s="19" t="s">
        <v>31014</v>
      </c>
      <c r="F12330" s="19" t="s">
        <v>36017</v>
      </c>
      <c r="G12330" s="18" t="str">
        <f>"37218"</f>
        <v>37218</v>
      </c>
      <c r="H12330" s="19" t="s">
        <v>36613</v>
      </c>
      <c r="I12330" s="20">
        <v>21.452000000000002</v>
      </c>
      <c r="J12330" s="44" t="s">
        <v>8</v>
      </c>
      <c r="K12330" s="23" t="s">
        <v>8</v>
      </c>
      <c r="L12330" s="23" t="s">
        <v>8</v>
      </c>
      <c r="M12330" s="23" t="s">
        <v>8</v>
      </c>
    </row>
    <row r="12331" spans="1:13" s="21" customFormat="1" x14ac:dyDescent="0.25">
      <c r="A12331" s="22" t="s">
        <v>8</v>
      </c>
      <c r="B12331" s="18" t="str">
        <f>"445263"</f>
        <v>445263</v>
      </c>
      <c r="C12331" s="19" t="s">
        <v>12130</v>
      </c>
      <c r="D12331" s="19" t="s">
        <v>27736</v>
      </c>
      <c r="E12331" s="19" t="s">
        <v>8173</v>
      </c>
      <c r="F12331" s="19" t="s">
        <v>36017</v>
      </c>
      <c r="G12331" s="18" t="str">
        <f>"37752"</f>
        <v>37752</v>
      </c>
      <c r="H12331" s="19" t="s">
        <v>36360</v>
      </c>
      <c r="I12331" s="20">
        <v>21.31</v>
      </c>
      <c r="J12331" s="44" t="s">
        <v>8</v>
      </c>
      <c r="K12331" s="23" t="s">
        <v>8</v>
      </c>
      <c r="L12331" s="23" t="s">
        <v>8</v>
      </c>
      <c r="M12331" s="23" t="s">
        <v>8</v>
      </c>
    </row>
    <row r="12332" spans="1:13" s="21" customFormat="1" x14ac:dyDescent="0.25">
      <c r="A12332" s="22" t="s">
        <v>8</v>
      </c>
      <c r="B12332" s="18" t="str">
        <f>"445264"</f>
        <v>445264</v>
      </c>
      <c r="C12332" s="19" t="s">
        <v>12131</v>
      </c>
      <c r="D12332" s="19" t="s">
        <v>27737</v>
      </c>
      <c r="E12332" s="19" t="s">
        <v>35163</v>
      </c>
      <c r="F12332" s="19" t="s">
        <v>36017</v>
      </c>
      <c r="G12332" s="18" t="str">
        <f>"37743"</f>
        <v>37743</v>
      </c>
      <c r="H12332" s="19" t="s">
        <v>32455</v>
      </c>
      <c r="I12332" s="20">
        <v>20.818999999999999</v>
      </c>
      <c r="J12332" s="44" t="s">
        <v>8</v>
      </c>
      <c r="K12332" s="23" t="s">
        <v>8</v>
      </c>
      <c r="L12332" s="23" t="s">
        <v>8</v>
      </c>
      <c r="M12332" s="23" t="s">
        <v>8</v>
      </c>
    </row>
    <row r="12333" spans="1:13" s="21" customFormat="1" x14ac:dyDescent="0.25">
      <c r="A12333" s="22" t="s">
        <v>8</v>
      </c>
      <c r="B12333" s="18" t="str">
        <f>"445267"</f>
        <v>445267</v>
      </c>
      <c r="C12333" s="19" t="s">
        <v>12132</v>
      </c>
      <c r="D12333" s="19" t="s">
        <v>27738</v>
      </c>
      <c r="E12333" s="19" t="s">
        <v>31014</v>
      </c>
      <c r="F12333" s="19" t="s">
        <v>36017</v>
      </c>
      <c r="G12333" s="18" t="str">
        <f>"37215"</f>
        <v>37215</v>
      </c>
      <c r="H12333" s="19" t="s">
        <v>36613</v>
      </c>
      <c r="I12333" s="20">
        <v>17.895</v>
      </c>
      <c r="J12333" s="44" t="s">
        <v>8</v>
      </c>
      <c r="K12333" s="23" t="s">
        <v>8</v>
      </c>
      <c r="L12333" s="23" t="s">
        <v>8</v>
      </c>
      <c r="M12333" s="23" t="s">
        <v>8</v>
      </c>
    </row>
    <row r="12334" spans="1:13" s="21" customFormat="1" x14ac:dyDescent="0.25">
      <c r="A12334" s="22" t="s">
        <v>8</v>
      </c>
      <c r="B12334" s="18" t="str">
        <f>"445268"</f>
        <v>445268</v>
      </c>
      <c r="C12334" s="19" t="s">
        <v>12133</v>
      </c>
      <c r="D12334" s="19" t="s">
        <v>27739</v>
      </c>
      <c r="E12334" s="19" t="s">
        <v>32035</v>
      </c>
      <c r="F12334" s="19" t="s">
        <v>36017</v>
      </c>
      <c r="G12334" s="18" t="str">
        <f>"37087"</f>
        <v>37087</v>
      </c>
      <c r="H12334" s="19" t="s">
        <v>32577</v>
      </c>
      <c r="I12334" s="20">
        <v>19.774000000000001</v>
      </c>
      <c r="J12334" s="44" t="s">
        <v>8</v>
      </c>
      <c r="K12334" s="23" t="s">
        <v>8</v>
      </c>
      <c r="L12334" s="23" t="s">
        <v>8</v>
      </c>
      <c r="M12334" s="23" t="s">
        <v>8</v>
      </c>
    </row>
    <row r="12335" spans="1:13" s="21" customFormat="1" x14ac:dyDescent="0.25">
      <c r="A12335" s="22" t="s">
        <v>8</v>
      </c>
      <c r="B12335" s="18" t="str">
        <f>"445270"</f>
        <v>445270</v>
      </c>
      <c r="C12335" s="19" t="s">
        <v>12134</v>
      </c>
      <c r="D12335" s="19" t="s">
        <v>27740</v>
      </c>
      <c r="E12335" s="19" t="s">
        <v>35150</v>
      </c>
      <c r="F12335" s="19" t="s">
        <v>36017</v>
      </c>
      <c r="G12335" s="18" t="str">
        <f>"37129"</f>
        <v>37129</v>
      </c>
      <c r="H12335" s="19" t="s">
        <v>36618</v>
      </c>
      <c r="I12335" s="20">
        <v>21.797000000000001</v>
      </c>
      <c r="J12335" s="44" t="s">
        <v>8</v>
      </c>
      <c r="K12335" s="23" t="s">
        <v>8</v>
      </c>
      <c r="L12335" s="23" t="s">
        <v>8</v>
      </c>
      <c r="M12335" s="23" t="s">
        <v>8</v>
      </c>
    </row>
    <row r="12336" spans="1:13" s="21" customFormat="1" x14ac:dyDescent="0.25">
      <c r="A12336" s="22" t="s">
        <v>8</v>
      </c>
      <c r="B12336" s="18" t="str">
        <f>"445272"</f>
        <v>445272</v>
      </c>
      <c r="C12336" s="19" t="s">
        <v>12135</v>
      </c>
      <c r="D12336" s="19" t="s">
        <v>27741</v>
      </c>
      <c r="E12336" s="19" t="s">
        <v>35171</v>
      </c>
      <c r="F12336" s="19" t="s">
        <v>36017</v>
      </c>
      <c r="G12336" s="18" t="str">
        <f>"38562"</f>
        <v>38562</v>
      </c>
      <c r="H12336" s="19" t="s">
        <v>30816</v>
      </c>
      <c r="I12336" s="20">
        <v>17.283000000000001</v>
      </c>
      <c r="J12336" s="44" t="s">
        <v>8</v>
      </c>
      <c r="K12336" s="23" t="s">
        <v>8</v>
      </c>
      <c r="L12336" s="23" t="s">
        <v>8</v>
      </c>
      <c r="M12336" s="23" t="s">
        <v>8</v>
      </c>
    </row>
    <row r="12337" spans="1:13" s="21" customFormat="1" x14ac:dyDescent="0.25">
      <c r="A12337" s="22" t="s">
        <v>8</v>
      </c>
      <c r="B12337" s="18" t="str">
        <f>"445273"</f>
        <v>445273</v>
      </c>
      <c r="C12337" s="19" t="s">
        <v>12136</v>
      </c>
      <c r="D12337" s="19" t="s">
        <v>27742</v>
      </c>
      <c r="E12337" s="19" t="s">
        <v>31014</v>
      </c>
      <c r="F12337" s="19" t="s">
        <v>36017</v>
      </c>
      <c r="G12337" s="18" t="str">
        <f>"37212"</f>
        <v>37212</v>
      </c>
      <c r="H12337" s="19" t="s">
        <v>36613</v>
      </c>
      <c r="I12337" s="20">
        <v>18.335000000000001</v>
      </c>
      <c r="J12337" s="44" t="s">
        <v>8</v>
      </c>
      <c r="K12337" s="23" t="s">
        <v>8</v>
      </c>
      <c r="L12337" s="23" t="s">
        <v>8</v>
      </c>
      <c r="M12337" s="23" t="s">
        <v>8</v>
      </c>
    </row>
    <row r="12338" spans="1:13" s="21" customFormat="1" x14ac:dyDescent="0.25">
      <c r="A12338" s="22" t="s">
        <v>8</v>
      </c>
      <c r="B12338" s="18" t="str">
        <f>"445274"</f>
        <v>445274</v>
      </c>
      <c r="C12338" s="19" t="s">
        <v>12137</v>
      </c>
      <c r="D12338" s="19" t="s">
        <v>27743</v>
      </c>
      <c r="E12338" s="19" t="s">
        <v>30910</v>
      </c>
      <c r="F12338" s="19" t="s">
        <v>36017</v>
      </c>
      <c r="G12338" s="18" t="str">
        <f>"38320"</f>
        <v>38320</v>
      </c>
      <c r="H12338" s="19" t="s">
        <v>31024</v>
      </c>
      <c r="I12338" s="20">
        <v>22.152999999999999</v>
      </c>
      <c r="J12338" s="44" t="s">
        <v>8</v>
      </c>
      <c r="K12338" s="23" t="s">
        <v>8</v>
      </c>
      <c r="L12338" s="23" t="s">
        <v>8</v>
      </c>
      <c r="M12338" s="23" t="s">
        <v>8</v>
      </c>
    </row>
    <row r="12339" spans="1:13" s="21" customFormat="1" x14ac:dyDescent="0.25">
      <c r="A12339" s="22" t="s">
        <v>8</v>
      </c>
      <c r="B12339" s="18" t="str">
        <f>"445275"</f>
        <v>445275</v>
      </c>
      <c r="C12339" s="19" t="s">
        <v>12138</v>
      </c>
      <c r="D12339" s="19" t="s">
        <v>27744</v>
      </c>
      <c r="E12339" s="19" t="s">
        <v>33603</v>
      </c>
      <c r="F12339" s="19" t="s">
        <v>36017</v>
      </c>
      <c r="G12339" s="18" t="str">
        <f>"37760"</f>
        <v>37760</v>
      </c>
      <c r="H12339" s="19" t="s">
        <v>32391</v>
      </c>
      <c r="I12339" s="20">
        <v>18.821999999999999</v>
      </c>
      <c r="J12339" s="44" t="s">
        <v>8</v>
      </c>
      <c r="K12339" s="23" t="s">
        <v>8</v>
      </c>
      <c r="L12339" s="23" t="s">
        <v>8</v>
      </c>
      <c r="M12339" s="23" t="s">
        <v>8</v>
      </c>
    </row>
    <row r="12340" spans="1:13" s="21" customFormat="1" x14ac:dyDescent="0.25">
      <c r="A12340" s="22" t="s">
        <v>8</v>
      </c>
      <c r="B12340" s="18" t="str">
        <f>"445276"</f>
        <v>445276</v>
      </c>
      <c r="C12340" s="19" t="s">
        <v>12139</v>
      </c>
      <c r="D12340" s="19" t="s">
        <v>27745</v>
      </c>
      <c r="E12340" s="19" t="s">
        <v>35152</v>
      </c>
      <c r="F12340" s="19" t="s">
        <v>36017</v>
      </c>
      <c r="G12340" s="18" t="str">
        <f>"37766"</f>
        <v>37766</v>
      </c>
      <c r="H12340" s="19" t="s">
        <v>33699</v>
      </c>
      <c r="I12340" s="20">
        <v>20.004000000000001</v>
      </c>
      <c r="J12340" s="44" t="s">
        <v>8</v>
      </c>
      <c r="K12340" s="23" t="s">
        <v>8</v>
      </c>
      <c r="L12340" s="23" t="s">
        <v>8</v>
      </c>
      <c r="M12340" s="23" t="s">
        <v>8</v>
      </c>
    </row>
    <row r="12341" spans="1:13" s="21" customFormat="1" x14ac:dyDescent="0.25">
      <c r="A12341" s="22" t="s">
        <v>8</v>
      </c>
      <c r="B12341" s="18" t="str">
        <f>"445277"</f>
        <v>445277</v>
      </c>
      <c r="C12341" s="19" t="s">
        <v>12140</v>
      </c>
      <c r="D12341" s="19" t="s">
        <v>27746</v>
      </c>
      <c r="E12341" s="19" t="s">
        <v>35172</v>
      </c>
      <c r="F12341" s="19" t="s">
        <v>36017</v>
      </c>
      <c r="G12341" s="18" t="str">
        <f>"37331"</f>
        <v>37331</v>
      </c>
      <c r="H12341" s="19" t="s">
        <v>36772</v>
      </c>
      <c r="I12341" s="20">
        <v>16.84</v>
      </c>
      <c r="J12341" s="44" t="s">
        <v>8</v>
      </c>
      <c r="K12341" s="23" t="s">
        <v>8</v>
      </c>
      <c r="L12341" s="23" t="s">
        <v>8</v>
      </c>
      <c r="M12341" s="23" t="s">
        <v>8</v>
      </c>
    </row>
    <row r="12342" spans="1:13" s="21" customFormat="1" x14ac:dyDescent="0.25">
      <c r="A12342" s="22" t="s">
        <v>8</v>
      </c>
      <c r="B12342" s="18" t="str">
        <f>"445278"</f>
        <v>445278</v>
      </c>
      <c r="C12342" s="19" t="s">
        <v>12141</v>
      </c>
      <c r="D12342" s="19" t="s">
        <v>27747</v>
      </c>
      <c r="E12342" s="19" t="s">
        <v>30853</v>
      </c>
      <c r="F12342" s="19" t="s">
        <v>36017</v>
      </c>
      <c r="G12342" s="18" t="str">
        <f>"37322"</f>
        <v>37322</v>
      </c>
      <c r="H12342" s="19" t="s">
        <v>36682</v>
      </c>
      <c r="I12342" s="20">
        <v>17.638999999999999</v>
      </c>
      <c r="J12342" s="44" t="s">
        <v>8</v>
      </c>
      <c r="K12342" s="23" t="s">
        <v>8</v>
      </c>
      <c r="L12342" s="23" t="s">
        <v>8</v>
      </c>
      <c r="M12342" s="23" t="s">
        <v>8</v>
      </c>
    </row>
    <row r="12343" spans="1:13" s="21" customFormat="1" x14ac:dyDescent="0.25">
      <c r="A12343" s="22" t="s">
        <v>8</v>
      </c>
      <c r="B12343" s="18" t="str">
        <f>"445279"</f>
        <v>445279</v>
      </c>
      <c r="C12343" s="19" t="s">
        <v>12142</v>
      </c>
      <c r="D12343" s="19" t="s">
        <v>27748</v>
      </c>
      <c r="E12343" s="19" t="s">
        <v>35173</v>
      </c>
      <c r="F12343" s="19" t="s">
        <v>36017</v>
      </c>
      <c r="G12343" s="18" t="str">
        <f>"37352"</f>
        <v>37352</v>
      </c>
      <c r="H12343" s="19" t="s">
        <v>34689</v>
      </c>
      <c r="I12343" s="20">
        <v>20.242000000000001</v>
      </c>
      <c r="J12343" s="44" t="s">
        <v>8</v>
      </c>
      <c r="K12343" s="23" t="s">
        <v>8</v>
      </c>
      <c r="L12343" s="23" t="s">
        <v>8</v>
      </c>
      <c r="M12343" s="23" t="s">
        <v>8</v>
      </c>
    </row>
    <row r="12344" spans="1:13" s="21" customFormat="1" x14ac:dyDescent="0.25">
      <c r="A12344" s="22" t="s">
        <v>8</v>
      </c>
      <c r="B12344" s="18" t="str">
        <f>"445280"</f>
        <v>445280</v>
      </c>
      <c r="C12344" s="19" t="s">
        <v>12143</v>
      </c>
      <c r="D12344" s="19" t="s">
        <v>27749</v>
      </c>
      <c r="E12344" s="19" t="s">
        <v>32208</v>
      </c>
      <c r="F12344" s="19" t="s">
        <v>36017</v>
      </c>
      <c r="G12344" s="18" t="str">
        <f>"38464"</f>
        <v>38464</v>
      </c>
      <c r="H12344" s="19" t="s">
        <v>32568</v>
      </c>
      <c r="I12344" s="20">
        <v>20.283999999999999</v>
      </c>
      <c r="J12344" s="44" t="s">
        <v>8</v>
      </c>
      <c r="K12344" s="23" t="s">
        <v>8</v>
      </c>
      <c r="L12344" s="23" t="s">
        <v>8</v>
      </c>
      <c r="M12344" s="23" t="s">
        <v>8</v>
      </c>
    </row>
    <row r="12345" spans="1:13" s="21" customFormat="1" x14ac:dyDescent="0.25">
      <c r="A12345" s="22" t="s">
        <v>8</v>
      </c>
      <c r="B12345" s="18" t="str">
        <f>"445281"</f>
        <v>445281</v>
      </c>
      <c r="C12345" s="19" t="s">
        <v>12144</v>
      </c>
      <c r="D12345" s="19" t="s">
        <v>27750</v>
      </c>
      <c r="E12345" s="19" t="s">
        <v>35174</v>
      </c>
      <c r="F12345" s="19" t="s">
        <v>36017</v>
      </c>
      <c r="G12345" s="18" t="str">
        <f>"37189"</f>
        <v>37189</v>
      </c>
      <c r="H12345" s="19" t="s">
        <v>36613</v>
      </c>
      <c r="I12345" s="20">
        <v>18.3</v>
      </c>
      <c r="J12345" s="44" t="s">
        <v>8</v>
      </c>
      <c r="K12345" s="23" t="s">
        <v>8</v>
      </c>
      <c r="L12345" s="23" t="s">
        <v>8</v>
      </c>
      <c r="M12345" s="23" t="s">
        <v>8</v>
      </c>
    </row>
    <row r="12346" spans="1:13" s="21" customFormat="1" x14ac:dyDescent="0.25">
      <c r="A12346" s="22" t="s">
        <v>8</v>
      </c>
      <c r="B12346" s="18" t="str">
        <f>"445283"</f>
        <v>445283</v>
      </c>
      <c r="C12346" s="19" t="s">
        <v>12145</v>
      </c>
      <c r="D12346" s="19" t="s">
        <v>27751</v>
      </c>
      <c r="E12346" s="19" t="s">
        <v>32185</v>
      </c>
      <c r="F12346" s="19" t="s">
        <v>36017</v>
      </c>
      <c r="G12346" s="18" t="str">
        <f>"38133"</f>
        <v>38133</v>
      </c>
      <c r="H12346" s="19" t="s">
        <v>33565</v>
      </c>
      <c r="I12346" s="20">
        <v>19.826000000000001</v>
      </c>
      <c r="J12346" s="44" t="s">
        <v>8</v>
      </c>
      <c r="K12346" s="23" t="s">
        <v>8</v>
      </c>
      <c r="L12346" s="23" t="s">
        <v>8</v>
      </c>
      <c r="M12346" s="23" t="s">
        <v>8</v>
      </c>
    </row>
    <row r="12347" spans="1:13" s="21" customFormat="1" x14ac:dyDescent="0.25">
      <c r="A12347" s="22" t="s">
        <v>8</v>
      </c>
      <c r="B12347" s="18" t="str">
        <f>"445284"</f>
        <v>445284</v>
      </c>
      <c r="C12347" s="19" t="s">
        <v>12146</v>
      </c>
      <c r="D12347" s="19" t="s">
        <v>27752</v>
      </c>
      <c r="E12347" s="19" t="s">
        <v>35175</v>
      </c>
      <c r="F12347" s="19" t="s">
        <v>36017</v>
      </c>
      <c r="G12347" s="18" t="str">
        <f>"37807"</f>
        <v>37807</v>
      </c>
      <c r="H12347" s="19" t="s">
        <v>33554</v>
      </c>
      <c r="I12347" s="20">
        <v>17.024000000000001</v>
      </c>
      <c r="J12347" s="44" t="s">
        <v>8</v>
      </c>
      <c r="K12347" s="23" t="s">
        <v>8</v>
      </c>
      <c r="L12347" s="23" t="s">
        <v>8</v>
      </c>
      <c r="M12347" s="23" t="s">
        <v>8</v>
      </c>
    </row>
    <row r="12348" spans="1:13" s="21" customFormat="1" x14ac:dyDescent="0.25">
      <c r="A12348" s="22" t="s">
        <v>8</v>
      </c>
      <c r="B12348" s="18" t="str">
        <f>"445285"</f>
        <v>445285</v>
      </c>
      <c r="C12348" s="19" t="s">
        <v>12147</v>
      </c>
      <c r="D12348" s="19" t="s">
        <v>27753</v>
      </c>
      <c r="E12348" s="19" t="s">
        <v>35176</v>
      </c>
      <c r="F12348" s="19" t="s">
        <v>36017</v>
      </c>
      <c r="G12348" s="18" t="str">
        <f>"38079"</f>
        <v>38079</v>
      </c>
      <c r="H12348" s="19" t="s">
        <v>36096</v>
      </c>
      <c r="I12348" s="20">
        <v>18.251999999999999</v>
      </c>
      <c r="J12348" s="44" t="s">
        <v>8</v>
      </c>
      <c r="K12348" s="23" t="s">
        <v>8</v>
      </c>
      <c r="L12348" s="23" t="s">
        <v>8</v>
      </c>
      <c r="M12348" s="23" t="s">
        <v>8</v>
      </c>
    </row>
    <row r="12349" spans="1:13" s="21" customFormat="1" x14ac:dyDescent="0.25">
      <c r="A12349" s="22" t="s">
        <v>8</v>
      </c>
      <c r="B12349" s="18" t="str">
        <f>"445286"</f>
        <v>445286</v>
      </c>
      <c r="C12349" s="19" t="s">
        <v>12148</v>
      </c>
      <c r="D12349" s="19" t="s">
        <v>27754</v>
      </c>
      <c r="E12349" s="19" t="s">
        <v>32082</v>
      </c>
      <c r="F12349" s="19" t="s">
        <v>36017</v>
      </c>
      <c r="G12349" s="18" t="str">
        <f>"37801"</f>
        <v>37801</v>
      </c>
      <c r="H12349" s="19" t="s">
        <v>36041</v>
      </c>
      <c r="I12349" s="20">
        <v>17.847999999999999</v>
      </c>
      <c r="J12349" s="44" t="s">
        <v>8</v>
      </c>
      <c r="K12349" s="23" t="s">
        <v>8</v>
      </c>
      <c r="L12349" s="23" t="s">
        <v>8</v>
      </c>
      <c r="M12349" s="23" t="s">
        <v>8</v>
      </c>
    </row>
    <row r="12350" spans="1:13" s="21" customFormat="1" x14ac:dyDescent="0.25">
      <c r="A12350" s="22" t="s">
        <v>8</v>
      </c>
      <c r="B12350" s="18" t="str">
        <f>"445288"</f>
        <v>445288</v>
      </c>
      <c r="C12350" s="19" t="s">
        <v>12149</v>
      </c>
      <c r="D12350" s="19" t="s">
        <v>27755</v>
      </c>
      <c r="E12350" s="19" t="s">
        <v>30851</v>
      </c>
      <c r="F12350" s="19" t="s">
        <v>36017</v>
      </c>
      <c r="G12350" s="18" t="str">
        <f>"37756"</f>
        <v>37756</v>
      </c>
      <c r="H12350" s="19" t="s">
        <v>36083</v>
      </c>
      <c r="I12350" s="20">
        <v>18.640999999999998</v>
      </c>
      <c r="J12350" s="44" t="s">
        <v>8</v>
      </c>
      <c r="K12350" s="23" t="s">
        <v>8</v>
      </c>
      <c r="L12350" s="23" t="s">
        <v>8</v>
      </c>
      <c r="M12350" s="23" t="s">
        <v>8</v>
      </c>
    </row>
    <row r="12351" spans="1:13" s="21" customFormat="1" x14ac:dyDescent="0.25">
      <c r="A12351" s="22" t="s">
        <v>8</v>
      </c>
      <c r="B12351" s="18" t="str">
        <f>"445291"</f>
        <v>445291</v>
      </c>
      <c r="C12351" s="19" t="s">
        <v>12150</v>
      </c>
      <c r="D12351" s="19" t="s">
        <v>27756</v>
      </c>
      <c r="E12351" s="19" t="s">
        <v>35149</v>
      </c>
      <c r="F12351" s="19" t="s">
        <v>36017</v>
      </c>
      <c r="G12351" s="18" t="str">
        <f>"37650"</f>
        <v>37650</v>
      </c>
      <c r="H12351" s="19" t="s">
        <v>36771</v>
      </c>
      <c r="I12351" s="20">
        <v>20.251000000000001</v>
      </c>
      <c r="J12351" s="44" t="s">
        <v>8</v>
      </c>
      <c r="K12351" s="23" t="s">
        <v>8</v>
      </c>
      <c r="L12351" s="23" t="s">
        <v>8</v>
      </c>
      <c r="M12351" s="23" t="s">
        <v>8</v>
      </c>
    </row>
    <row r="12352" spans="1:13" s="21" customFormat="1" x14ac:dyDescent="0.25">
      <c r="A12352" s="22" t="s">
        <v>8</v>
      </c>
      <c r="B12352" s="18" t="str">
        <f>"445292"</f>
        <v>445292</v>
      </c>
      <c r="C12352" s="19" t="s">
        <v>12151</v>
      </c>
      <c r="D12352" s="19" t="s">
        <v>27757</v>
      </c>
      <c r="E12352" s="19" t="s">
        <v>35177</v>
      </c>
      <c r="F12352" s="19" t="s">
        <v>36017</v>
      </c>
      <c r="G12352" s="18" t="str">
        <f>"37762"</f>
        <v>37762</v>
      </c>
      <c r="H12352" s="19" t="s">
        <v>33699</v>
      </c>
      <c r="I12352" s="20">
        <v>24.102</v>
      </c>
      <c r="J12352" s="44" t="s">
        <v>8</v>
      </c>
      <c r="K12352" s="23" t="s">
        <v>8</v>
      </c>
      <c r="L12352" s="23" t="s">
        <v>8</v>
      </c>
      <c r="M12352" s="23" t="s">
        <v>8</v>
      </c>
    </row>
    <row r="12353" spans="1:13" s="21" customFormat="1" x14ac:dyDescent="0.25">
      <c r="A12353" s="22" t="s">
        <v>8</v>
      </c>
      <c r="B12353" s="18" t="str">
        <f>"445293"</f>
        <v>445293</v>
      </c>
      <c r="C12353" s="19" t="s">
        <v>12152</v>
      </c>
      <c r="D12353" s="19" t="s">
        <v>27758</v>
      </c>
      <c r="E12353" s="19" t="s">
        <v>30855</v>
      </c>
      <c r="F12353" s="19" t="s">
        <v>36017</v>
      </c>
      <c r="G12353" s="18" t="str">
        <f>"38018"</f>
        <v>38018</v>
      </c>
      <c r="H12353" s="19" t="s">
        <v>33565</v>
      </c>
      <c r="I12353" s="20">
        <v>18.824999999999999</v>
      </c>
      <c r="J12353" s="44" t="s">
        <v>8</v>
      </c>
      <c r="K12353" s="23" t="s">
        <v>8</v>
      </c>
      <c r="L12353" s="23" t="s">
        <v>8</v>
      </c>
      <c r="M12353" s="23" t="s">
        <v>8</v>
      </c>
    </row>
    <row r="12354" spans="1:13" s="21" customFormat="1" x14ac:dyDescent="0.25">
      <c r="A12354" s="22" t="s">
        <v>8</v>
      </c>
      <c r="B12354" s="18" t="str">
        <f>"445294"</f>
        <v>445294</v>
      </c>
      <c r="C12354" s="19" t="s">
        <v>12153</v>
      </c>
      <c r="D12354" s="19" t="s">
        <v>27759</v>
      </c>
      <c r="E12354" s="19" t="s">
        <v>35178</v>
      </c>
      <c r="F12354" s="19" t="s">
        <v>36017</v>
      </c>
      <c r="G12354" s="18" t="str">
        <f>"37315"</f>
        <v>37315</v>
      </c>
      <c r="H12354" s="19" t="s">
        <v>30804</v>
      </c>
      <c r="I12354" s="20">
        <v>19.347999999999999</v>
      </c>
      <c r="J12354" s="44" t="s">
        <v>8</v>
      </c>
      <c r="K12354" s="23" t="s">
        <v>8</v>
      </c>
      <c r="L12354" s="23" t="s">
        <v>8</v>
      </c>
      <c r="M12354" s="23" t="s">
        <v>8</v>
      </c>
    </row>
    <row r="12355" spans="1:13" s="21" customFormat="1" x14ac:dyDescent="0.25">
      <c r="A12355" s="22" t="s">
        <v>8</v>
      </c>
      <c r="B12355" s="18" t="str">
        <f>"445295"</f>
        <v>445295</v>
      </c>
      <c r="C12355" s="19" t="s">
        <v>12154</v>
      </c>
      <c r="D12355" s="19" t="s">
        <v>27760</v>
      </c>
      <c r="E12355" s="19" t="s">
        <v>35158</v>
      </c>
      <c r="F12355" s="19" t="s">
        <v>36017</v>
      </c>
      <c r="G12355" s="18" t="str">
        <f>"37664"</f>
        <v>37664</v>
      </c>
      <c r="H12355" s="19" t="s">
        <v>31976</v>
      </c>
      <c r="I12355" s="20">
        <v>20.288</v>
      </c>
      <c r="J12355" s="44" t="s">
        <v>8</v>
      </c>
      <c r="K12355" s="23" t="s">
        <v>8</v>
      </c>
      <c r="L12355" s="23" t="s">
        <v>8</v>
      </c>
      <c r="M12355" s="23" t="s">
        <v>8</v>
      </c>
    </row>
    <row r="12356" spans="1:13" s="21" customFormat="1" x14ac:dyDescent="0.25">
      <c r="A12356" s="22" t="s">
        <v>8</v>
      </c>
      <c r="B12356" s="18" t="str">
        <f>"445296"</f>
        <v>445296</v>
      </c>
      <c r="C12356" s="19" t="s">
        <v>12155</v>
      </c>
      <c r="D12356" s="19" t="s">
        <v>27761</v>
      </c>
      <c r="E12356" s="19" t="s">
        <v>35179</v>
      </c>
      <c r="F12356" s="19" t="s">
        <v>36017</v>
      </c>
      <c r="G12356" s="18" t="str">
        <f>"37412"</f>
        <v>37412</v>
      </c>
      <c r="H12356" s="19" t="s">
        <v>30804</v>
      </c>
      <c r="I12356" s="20">
        <v>18.164999999999999</v>
      </c>
      <c r="J12356" s="44" t="s">
        <v>8</v>
      </c>
      <c r="K12356" s="23" t="s">
        <v>8</v>
      </c>
      <c r="L12356" s="23" t="s">
        <v>8</v>
      </c>
      <c r="M12356" s="23" t="s">
        <v>8</v>
      </c>
    </row>
    <row r="12357" spans="1:13" s="21" customFormat="1" x14ac:dyDescent="0.25">
      <c r="A12357" s="22" t="s">
        <v>8</v>
      </c>
      <c r="B12357" s="18" t="str">
        <f>"445297"</f>
        <v>445297</v>
      </c>
      <c r="C12357" s="19" t="s">
        <v>12156</v>
      </c>
      <c r="D12357" s="19" t="s">
        <v>27762</v>
      </c>
      <c r="E12357" s="19" t="s">
        <v>32067</v>
      </c>
      <c r="F12357" s="19" t="s">
        <v>36017</v>
      </c>
      <c r="G12357" s="18" t="str">
        <f>"37917"</f>
        <v>37917</v>
      </c>
      <c r="H12357" s="19" t="s">
        <v>32252</v>
      </c>
      <c r="I12357" s="20">
        <v>19.556999999999999</v>
      </c>
      <c r="J12357" s="44" t="s">
        <v>8</v>
      </c>
      <c r="K12357" s="23" t="s">
        <v>8</v>
      </c>
      <c r="L12357" s="23" t="s">
        <v>8</v>
      </c>
      <c r="M12357" s="23" t="s">
        <v>8</v>
      </c>
    </row>
    <row r="12358" spans="1:13" s="21" customFormat="1" x14ac:dyDescent="0.25">
      <c r="A12358" s="22" t="s">
        <v>8</v>
      </c>
      <c r="B12358" s="18" t="str">
        <f>"445298"</f>
        <v>445298</v>
      </c>
      <c r="C12358" s="19" t="s">
        <v>12157</v>
      </c>
      <c r="D12358" s="19" t="s">
        <v>27763</v>
      </c>
      <c r="E12358" s="19" t="s">
        <v>30824</v>
      </c>
      <c r="F12358" s="19" t="s">
        <v>36017</v>
      </c>
      <c r="G12358" s="18" t="str">
        <f>"37371"</f>
        <v>37371</v>
      </c>
      <c r="H12358" s="19" t="s">
        <v>36772</v>
      </c>
      <c r="I12358" s="20">
        <v>15.34</v>
      </c>
      <c r="J12358" s="44" t="s">
        <v>8</v>
      </c>
      <c r="K12358" s="23" t="s">
        <v>8</v>
      </c>
      <c r="L12358" s="23" t="s">
        <v>8</v>
      </c>
      <c r="M12358" s="23" t="s">
        <v>8</v>
      </c>
    </row>
    <row r="12359" spans="1:13" s="21" customFormat="1" x14ac:dyDescent="0.25">
      <c r="A12359" s="22" t="s">
        <v>8</v>
      </c>
      <c r="B12359" s="18" t="str">
        <f>"445300"</f>
        <v>445300</v>
      </c>
      <c r="C12359" s="19" t="s">
        <v>12158</v>
      </c>
      <c r="D12359" s="19" t="s">
        <v>27764</v>
      </c>
      <c r="E12359" s="19" t="s">
        <v>35180</v>
      </c>
      <c r="F12359" s="19" t="s">
        <v>36017</v>
      </c>
      <c r="G12359" s="18" t="str">
        <f>"37861"</f>
        <v>37861</v>
      </c>
      <c r="H12359" s="19" t="s">
        <v>36779</v>
      </c>
      <c r="I12359" s="20">
        <v>18.28</v>
      </c>
      <c r="J12359" s="44" t="s">
        <v>8</v>
      </c>
      <c r="K12359" s="23" t="s">
        <v>8</v>
      </c>
      <c r="L12359" s="23" t="s">
        <v>8</v>
      </c>
      <c r="M12359" s="23" t="s">
        <v>8</v>
      </c>
    </row>
    <row r="12360" spans="1:13" s="21" customFormat="1" x14ac:dyDescent="0.25">
      <c r="A12360" s="22" t="s">
        <v>8</v>
      </c>
      <c r="B12360" s="18" t="str">
        <f>"445302"</f>
        <v>445302</v>
      </c>
      <c r="C12360" s="19" t="s">
        <v>12159</v>
      </c>
      <c r="D12360" s="19" t="s">
        <v>27765</v>
      </c>
      <c r="E12360" s="19" t="s">
        <v>35161</v>
      </c>
      <c r="F12360" s="19" t="s">
        <v>36017</v>
      </c>
      <c r="G12360" s="18" t="str">
        <f>"37643"</f>
        <v>37643</v>
      </c>
      <c r="H12360" s="19" t="s">
        <v>36338</v>
      </c>
      <c r="I12360" s="20">
        <v>22.957000000000001</v>
      </c>
      <c r="J12360" s="44" t="s">
        <v>8</v>
      </c>
      <c r="K12360" s="23" t="s">
        <v>8</v>
      </c>
      <c r="L12360" s="23" t="s">
        <v>8</v>
      </c>
      <c r="M12360" s="23" t="s">
        <v>8</v>
      </c>
    </row>
    <row r="12361" spans="1:13" s="21" customFormat="1" x14ac:dyDescent="0.25">
      <c r="A12361" s="22" t="s">
        <v>8</v>
      </c>
      <c r="B12361" s="18" t="str">
        <f>"445303"</f>
        <v>445303</v>
      </c>
      <c r="C12361" s="19" t="s">
        <v>12160</v>
      </c>
      <c r="D12361" s="19" t="s">
        <v>27766</v>
      </c>
      <c r="E12361" s="19" t="s">
        <v>35181</v>
      </c>
      <c r="F12361" s="19" t="s">
        <v>36017</v>
      </c>
      <c r="G12361" s="18" t="str">
        <f>"37705"</f>
        <v>37705</v>
      </c>
      <c r="H12361" s="19" t="s">
        <v>32202</v>
      </c>
      <c r="I12361" s="20">
        <v>18.238</v>
      </c>
      <c r="J12361" s="44" t="s">
        <v>8</v>
      </c>
      <c r="K12361" s="23" t="s">
        <v>8</v>
      </c>
      <c r="L12361" s="23" t="s">
        <v>8</v>
      </c>
      <c r="M12361" s="23" t="s">
        <v>8</v>
      </c>
    </row>
    <row r="12362" spans="1:13" s="21" customFormat="1" x14ac:dyDescent="0.25">
      <c r="A12362" s="22" t="s">
        <v>8</v>
      </c>
      <c r="B12362" s="18" t="str">
        <f>"445304"</f>
        <v>445304</v>
      </c>
      <c r="C12362" s="19" t="s">
        <v>12161</v>
      </c>
      <c r="D12362" s="19" t="s">
        <v>27767</v>
      </c>
      <c r="E12362" s="19" t="s">
        <v>30880</v>
      </c>
      <c r="F12362" s="19" t="s">
        <v>36017</v>
      </c>
      <c r="G12362" s="18" t="str">
        <f>"38555"</f>
        <v>38555</v>
      </c>
      <c r="H12362" s="19" t="s">
        <v>32766</v>
      </c>
      <c r="I12362" s="20">
        <v>20.408999999999999</v>
      </c>
      <c r="J12362" s="44" t="s">
        <v>8</v>
      </c>
      <c r="K12362" s="23" t="s">
        <v>8</v>
      </c>
      <c r="L12362" s="23" t="s">
        <v>8</v>
      </c>
      <c r="M12362" s="23" t="s">
        <v>8</v>
      </c>
    </row>
    <row r="12363" spans="1:13" s="21" customFormat="1" x14ac:dyDescent="0.25">
      <c r="A12363" s="22" t="s">
        <v>8</v>
      </c>
      <c r="B12363" s="18" t="str">
        <f>"445306"</f>
        <v>445306</v>
      </c>
      <c r="C12363" s="19" t="s">
        <v>12162</v>
      </c>
      <c r="D12363" s="19" t="s">
        <v>27768</v>
      </c>
      <c r="E12363" s="19" t="s">
        <v>31432</v>
      </c>
      <c r="F12363" s="19" t="s">
        <v>36017</v>
      </c>
      <c r="G12363" s="18" t="str">
        <f>"37148"</f>
        <v>37148</v>
      </c>
      <c r="H12363" s="19" t="s">
        <v>32524</v>
      </c>
      <c r="I12363" s="20">
        <v>18.960999999999999</v>
      </c>
      <c r="J12363" s="44" t="s">
        <v>8</v>
      </c>
      <c r="K12363" s="23" t="s">
        <v>8</v>
      </c>
      <c r="L12363" s="23" t="s">
        <v>8</v>
      </c>
      <c r="M12363" s="23" t="s">
        <v>8</v>
      </c>
    </row>
    <row r="12364" spans="1:13" s="21" customFormat="1" x14ac:dyDescent="0.25">
      <c r="A12364" s="22" t="s">
        <v>8</v>
      </c>
      <c r="B12364" s="18" t="str">
        <f>"445308"</f>
        <v>445308</v>
      </c>
      <c r="C12364" s="19" t="s">
        <v>12163</v>
      </c>
      <c r="D12364" s="19" t="s">
        <v>27769</v>
      </c>
      <c r="E12364" s="19" t="s">
        <v>31591</v>
      </c>
      <c r="F12364" s="19" t="s">
        <v>36017</v>
      </c>
      <c r="G12364" s="18" t="str">
        <f>"38382"</f>
        <v>38382</v>
      </c>
      <c r="H12364" s="19" t="s">
        <v>31829</v>
      </c>
      <c r="I12364" s="20">
        <v>21.483000000000001</v>
      </c>
      <c r="J12364" s="44" t="s">
        <v>8</v>
      </c>
      <c r="K12364" s="23" t="s">
        <v>8</v>
      </c>
      <c r="L12364" s="23" t="s">
        <v>8</v>
      </c>
      <c r="M12364" s="23" t="s">
        <v>8</v>
      </c>
    </row>
    <row r="12365" spans="1:13" s="21" customFormat="1" x14ac:dyDescent="0.25">
      <c r="A12365" s="22" t="s">
        <v>8</v>
      </c>
      <c r="B12365" s="18" t="str">
        <f>"445310"</f>
        <v>445310</v>
      </c>
      <c r="C12365" s="19" t="s">
        <v>12164</v>
      </c>
      <c r="D12365" s="19" t="s">
        <v>27770</v>
      </c>
      <c r="E12365" s="19" t="s">
        <v>35182</v>
      </c>
      <c r="F12365" s="19" t="s">
        <v>36017</v>
      </c>
      <c r="G12365" s="18" t="str">
        <f>"37326"</f>
        <v>37326</v>
      </c>
      <c r="H12365" s="19" t="s">
        <v>36062</v>
      </c>
      <c r="I12365" s="20">
        <v>17.744</v>
      </c>
      <c r="J12365" s="44" t="s">
        <v>8</v>
      </c>
      <c r="K12365" s="23" t="s">
        <v>8</v>
      </c>
      <c r="L12365" s="23" t="s">
        <v>8</v>
      </c>
      <c r="M12365" s="23" t="s">
        <v>8</v>
      </c>
    </row>
    <row r="12366" spans="1:13" s="21" customFormat="1" x14ac:dyDescent="0.25">
      <c r="A12366" s="22" t="s">
        <v>8</v>
      </c>
      <c r="B12366" s="18" t="str">
        <f>"445314"</f>
        <v>445314</v>
      </c>
      <c r="C12366" s="19" t="s">
        <v>12165</v>
      </c>
      <c r="D12366" s="19" t="s">
        <v>27771</v>
      </c>
      <c r="E12366" s="19" t="s">
        <v>32321</v>
      </c>
      <c r="F12366" s="19" t="s">
        <v>36017</v>
      </c>
      <c r="G12366" s="18" t="str">
        <f>"37814"</f>
        <v>37814</v>
      </c>
      <c r="H12366" s="19" t="s">
        <v>36768</v>
      </c>
      <c r="I12366" s="20">
        <v>23.192</v>
      </c>
      <c r="J12366" s="44" t="s">
        <v>8</v>
      </c>
      <c r="K12366" s="23" t="s">
        <v>8</v>
      </c>
      <c r="L12366" s="23" t="s">
        <v>8</v>
      </c>
      <c r="M12366" s="23" t="s">
        <v>8</v>
      </c>
    </row>
    <row r="12367" spans="1:13" s="21" customFormat="1" x14ac:dyDescent="0.25">
      <c r="A12367" s="22" t="s">
        <v>8</v>
      </c>
      <c r="B12367" s="18" t="str">
        <f>"445316"</f>
        <v>445316</v>
      </c>
      <c r="C12367" s="19" t="s">
        <v>12166</v>
      </c>
      <c r="D12367" s="19" t="s">
        <v>27772</v>
      </c>
      <c r="E12367" s="19" t="s">
        <v>35183</v>
      </c>
      <c r="F12367" s="19" t="s">
        <v>36017</v>
      </c>
      <c r="G12367" s="18" t="str">
        <f>"37015"</f>
        <v>37015</v>
      </c>
      <c r="H12367" s="19" t="s">
        <v>36780</v>
      </c>
      <c r="I12367" s="20">
        <v>20.821000000000002</v>
      </c>
      <c r="J12367" s="44" t="s">
        <v>8</v>
      </c>
      <c r="K12367" s="23" t="s">
        <v>8</v>
      </c>
      <c r="L12367" s="23" t="s">
        <v>8</v>
      </c>
      <c r="M12367" s="23" t="s">
        <v>8</v>
      </c>
    </row>
    <row r="12368" spans="1:13" s="21" customFormat="1" x14ac:dyDescent="0.25">
      <c r="A12368" s="22" t="s">
        <v>8</v>
      </c>
      <c r="B12368" s="18" t="str">
        <f>"445318"</f>
        <v>445318</v>
      </c>
      <c r="C12368" s="19" t="s">
        <v>12167</v>
      </c>
      <c r="D12368" s="19" t="s">
        <v>27773</v>
      </c>
      <c r="E12368" s="19" t="s">
        <v>35183</v>
      </c>
      <c r="F12368" s="19" t="s">
        <v>36017</v>
      </c>
      <c r="G12368" s="18" t="str">
        <f>"37015"</f>
        <v>37015</v>
      </c>
      <c r="H12368" s="19" t="s">
        <v>36780</v>
      </c>
      <c r="I12368" s="20">
        <v>20.898</v>
      </c>
      <c r="J12368" s="44" t="s">
        <v>8</v>
      </c>
      <c r="K12368" s="23" t="s">
        <v>8</v>
      </c>
      <c r="L12368" s="23" t="s">
        <v>8</v>
      </c>
      <c r="M12368" s="23" t="s">
        <v>8</v>
      </c>
    </row>
    <row r="12369" spans="1:13" s="21" customFormat="1" x14ac:dyDescent="0.25">
      <c r="A12369" s="22" t="s">
        <v>8</v>
      </c>
      <c r="B12369" s="18" t="str">
        <f>"445319"</f>
        <v>445319</v>
      </c>
      <c r="C12369" s="19" t="s">
        <v>12168</v>
      </c>
      <c r="D12369" s="19" t="s">
        <v>27774</v>
      </c>
      <c r="E12369" s="19" t="s">
        <v>32175</v>
      </c>
      <c r="F12369" s="19" t="s">
        <v>36017</v>
      </c>
      <c r="G12369" s="18" t="str">
        <f>"37398"</f>
        <v>37398</v>
      </c>
      <c r="H12369" s="19" t="s">
        <v>5</v>
      </c>
      <c r="I12369" s="20">
        <v>18.603000000000002</v>
      </c>
      <c r="J12369" s="44" t="s">
        <v>8</v>
      </c>
      <c r="K12369" s="23" t="s">
        <v>8</v>
      </c>
      <c r="L12369" s="23" t="s">
        <v>8</v>
      </c>
      <c r="M12369" s="23" t="s">
        <v>8</v>
      </c>
    </row>
    <row r="12370" spans="1:13" s="21" customFormat="1" x14ac:dyDescent="0.25">
      <c r="A12370" s="22" t="s">
        <v>8</v>
      </c>
      <c r="B12370" s="18" t="str">
        <f>"445320"</f>
        <v>445320</v>
      </c>
      <c r="C12370" s="19" t="s">
        <v>475</v>
      </c>
      <c r="D12370" s="19" t="s">
        <v>27775</v>
      </c>
      <c r="E12370" s="19" t="s">
        <v>30991</v>
      </c>
      <c r="F12370" s="19" t="s">
        <v>36017</v>
      </c>
      <c r="G12370" s="18" t="str">
        <f>"37334"</f>
        <v>37334</v>
      </c>
      <c r="H12370" s="19" t="s">
        <v>31995</v>
      </c>
      <c r="I12370" s="20">
        <v>20.686</v>
      </c>
      <c r="J12370" s="44" t="s">
        <v>8</v>
      </c>
      <c r="K12370" s="23" t="s">
        <v>8</v>
      </c>
      <c r="L12370" s="23" t="s">
        <v>8</v>
      </c>
      <c r="M12370" s="23" t="s">
        <v>8</v>
      </c>
    </row>
    <row r="12371" spans="1:13" s="21" customFormat="1" x14ac:dyDescent="0.25">
      <c r="A12371" s="22" t="s">
        <v>8</v>
      </c>
      <c r="B12371" s="18" t="str">
        <f>"445321"</f>
        <v>445321</v>
      </c>
      <c r="C12371" s="19" t="s">
        <v>12169</v>
      </c>
      <c r="D12371" s="19" t="s">
        <v>27776</v>
      </c>
      <c r="E12371" s="19" t="s">
        <v>34660</v>
      </c>
      <c r="F12371" s="19" t="s">
        <v>36017</v>
      </c>
      <c r="G12371" s="18" t="str">
        <f>"38449"</f>
        <v>38449</v>
      </c>
      <c r="H12371" s="19" t="s">
        <v>36765</v>
      </c>
      <c r="I12371" s="20">
        <v>19.510999999999999</v>
      </c>
      <c r="J12371" s="44" t="s">
        <v>8</v>
      </c>
      <c r="K12371" s="23" t="s">
        <v>8</v>
      </c>
      <c r="L12371" s="23" t="s">
        <v>8</v>
      </c>
      <c r="M12371" s="23" t="s">
        <v>8</v>
      </c>
    </row>
    <row r="12372" spans="1:13" s="21" customFormat="1" x14ac:dyDescent="0.25">
      <c r="A12372" s="22" t="s">
        <v>8</v>
      </c>
      <c r="B12372" s="18" t="str">
        <f>"445322"</f>
        <v>445322</v>
      </c>
      <c r="C12372" s="19" t="s">
        <v>12170</v>
      </c>
      <c r="D12372" s="19" t="s">
        <v>27777</v>
      </c>
      <c r="E12372" s="19" t="s">
        <v>35184</v>
      </c>
      <c r="F12372" s="19" t="s">
        <v>36017</v>
      </c>
      <c r="G12372" s="18" t="str">
        <f>"37874"</f>
        <v>37874</v>
      </c>
      <c r="H12372" s="19" t="s">
        <v>31711</v>
      </c>
      <c r="I12372" s="20">
        <v>17.227</v>
      </c>
      <c r="J12372" s="44" t="s">
        <v>8</v>
      </c>
      <c r="K12372" s="23" t="s">
        <v>8</v>
      </c>
      <c r="L12372" s="23" t="s">
        <v>8</v>
      </c>
      <c r="M12372" s="23" t="s">
        <v>8</v>
      </c>
    </row>
    <row r="12373" spans="1:13" s="21" customFormat="1" x14ac:dyDescent="0.25">
      <c r="A12373" s="22" t="s">
        <v>8</v>
      </c>
      <c r="B12373" s="18" t="str">
        <f>"445326"</f>
        <v>445326</v>
      </c>
      <c r="C12373" s="19" t="s">
        <v>12171</v>
      </c>
      <c r="D12373" s="19" t="s">
        <v>27778</v>
      </c>
      <c r="E12373" s="19" t="s">
        <v>35185</v>
      </c>
      <c r="F12373" s="19" t="s">
        <v>36017</v>
      </c>
      <c r="G12373" s="18" t="str">
        <f>"38317"</f>
        <v>38317</v>
      </c>
      <c r="H12373" s="19" t="s">
        <v>32334</v>
      </c>
      <c r="I12373" s="20">
        <v>18.172000000000001</v>
      </c>
      <c r="J12373" s="44" t="s">
        <v>8</v>
      </c>
      <c r="K12373" s="23" t="s">
        <v>8</v>
      </c>
      <c r="L12373" s="23" t="s">
        <v>8</v>
      </c>
      <c r="M12373" s="23" t="s">
        <v>8</v>
      </c>
    </row>
    <row r="12374" spans="1:13" s="21" customFormat="1" x14ac:dyDescent="0.25">
      <c r="A12374" s="22" t="s">
        <v>8</v>
      </c>
      <c r="B12374" s="18" t="str">
        <f>"445327"</f>
        <v>445327</v>
      </c>
      <c r="C12374" s="19" t="s">
        <v>12172</v>
      </c>
      <c r="D12374" s="19" t="s">
        <v>27779</v>
      </c>
      <c r="E12374" s="19" t="s">
        <v>35186</v>
      </c>
      <c r="F12374" s="19" t="s">
        <v>36017</v>
      </c>
      <c r="G12374" s="18" t="str">
        <f>"38080"</f>
        <v>38080</v>
      </c>
      <c r="H12374" s="19" t="s">
        <v>36096</v>
      </c>
      <c r="I12374" s="20">
        <v>19.965</v>
      </c>
      <c r="J12374" s="44" t="s">
        <v>8</v>
      </c>
      <c r="K12374" s="23" t="s">
        <v>8</v>
      </c>
      <c r="L12374" s="23" t="s">
        <v>8</v>
      </c>
      <c r="M12374" s="23" t="s">
        <v>8</v>
      </c>
    </row>
    <row r="12375" spans="1:13" s="21" customFormat="1" x14ac:dyDescent="0.25">
      <c r="A12375" s="22" t="s">
        <v>8</v>
      </c>
      <c r="B12375" s="18" t="str">
        <f>"445328"</f>
        <v>445328</v>
      </c>
      <c r="C12375" s="19" t="s">
        <v>12173</v>
      </c>
      <c r="D12375" s="19" t="s">
        <v>27780</v>
      </c>
      <c r="E12375" s="19" t="s">
        <v>32067</v>
      </c>
      <c r="F12375" s="19" t="s">
        <v>36017</v>
      </c>
      <c r="G12375" s="18" t="str">
        <f>"37916"</f>
        <v>37916</v>
      </c>
      <c r="H12375" s="19" t="s">
        <v>32252</v>
      </c>
      <c r="I12375" s="20">
        <v>16.632999999999999</v>
      </c>
      <c r="J12375" s="44" t="s">
        <v>8</v>
      </c>
      <c r="K12375" s="23" t="s">
        <v>8</v>
      </c>
      <c r="L12375" s="23" t="s">
        <v>8</v>
      </c>
      <c r="M12375" s="23" t="s">
        <v>8</v>
      </c>
    </row>
    <row r="12376" spans="1:13" s="21" customFormat="1" x14ac:dyDescent="0.25">
      <c r="A12376" s="22" t="s">
        <v>8</v>
      </c>
      <c r="B12376" s="18" t="str">
        <f>"445329"</f>
        <v>445329</v>
      </c>
      <c r="C12376" s="19" t="s">
        <v>12174</v>
      </c>
      <c r="D12376" s="19" t="s">
        <v>27781</v>
      </c>
      <c r="E12376" s="19" t="s">
        <v>35187</v>
      </c>
      <c r="F12376" s="19" t="s">
        <v>36017</v>
      </c>
      <c r="G12376" s="18" t="str">
        <f>"37150"</f>
        <v>37150</v>
      </c>
      <c r="H12376" s="19" t="s">
        <v>31733</v>
      </c>
      <c r="I12376" s="20">
        <v>19.260000000000002</v>
      </c>
      <c r="J12376" s="44" t="s">
        <v>8</v>
      </c>
      <c r="K12376" s="23" t="s">
        <v>8</v>
      </c>
      <c r="L12376" s="23" t="s">
        <v>8</v>
      </c>
      <c r="M12376" s="23" t="s">
        <v>8</v>
      </c>
    </row>
    <row r="12377" spans="1:13" s="21" customFormat="1" x14ac:dyDescent="0.25">
      <c r="A12377" s="22" t="s">
        <v>8</v>
      </c>
      <c r="B12377" s="18" t="str">
        <f>"445330"</f>
        <v>445330</v>
      </c>
      <c r="C12377" s="19" t="s">
        <v>12175</v>
      </c>
      <c r="D12377" s="19" t="s">
        <v>27782</v>
      </c>
      <c r="E12377" s="19" t="s">
        <v>31753</v>
      </c>
      <c r="F12377" s="19" t="s">
        <v>36017</v>
      </c>
      <c r="G12377" s="18" t="str">
        <f>"38019"</f>
        <v>38019</v>
      </c>
      <c r="H12377" s="19" t="s">
        <v>32295</v>
      </c>
      <c r="I12377" s="20">
        <v>19.245000000000001</v>
      </c>
      <c r="J12377" s="44" t="s">
        <v>8</v>
      </c>
      <c r="K12377" s="23" t="s">
        <v>8</v>
      </c>
      <c r="L12377" s="23" t="s">
        <v>8</v>
      </c>
      <c r="M12377" s="23" t="s">
        <v>8</v>
      </c>
    </row>
    <row r="12378" spans="1:13" s="21" customFormat="1" x14ac:dyDescent="0.25">
      <c r="A12378" s="22" t="s">
        <v>8</v>
      </c>
      <c r="B12378" s="18" t="str">
        <f>"445331"</f>
        <v>445331</v>
      </c>
      <c r="C12378" s="19" t="s">
        <v>12176</v>
      </c>
      <c r="D12378" s="19" t="s">
        <v>27783</v>
      </c>
      <c r="E12378" s="19" t="s">
        <v>33722</v>
      </c>
      <c r="F12378" s="19" t="s">
        <v>36017</v>
      </c>
      <c r="G12378" s="18" t="str">
        <f>"38116"</f>
        <v>38116</v>
      </c>
      <c r="H12378" s="19" t="s">
        <v>33565</v>
      </c>
      <c r="I12378" s="20">
        <v>18.922999999999998</v>
      </c>
      <c r="J12378" s="44" t="s">
        <v>8</v>
      </c>
      <c r="K12378" s="23" t="s">
        <v>8</v>
      </c>
      <c r="L12378" s="23" t="s">
        <v>8</v>
      </c>
      <c r="M12378" s="23" t="s">
        <v>8</v>
      </c>
    </row>
    <row r="12379" spans="1:13" s="21" customFormat="1" x14ac:dyDescent="0.25">
      <c r="A12379" s="22" t="s">
        <v>8</v>
      </c>
      <c r="B12379" s="18" t="str">
        <f>"445333"</f>
        <v>445333</v>
      </c>
      <c r="C12379" s="19" t="s">
        <v>12177</v>
      </c>
      <c r="D12379" s="19" t="s">
        <v>27784</v>
      </c>
      <c r="E12379" s="19" t="s">
        <v>32692</v>
      </c>
      <c r="F12379" s="19" t="s">
        <v>36017</v>
      </c>
      <c r="G12379" s="18" t="str">
        <f>"38351"</f>
        <v>38351</v>
      </c>
      <c r="H12379" s="19" t="s">
        <v>32699</v>
      </c>
      <c r="I12379" s="20">
        <v>18.760000000000002</v>
      </c>
      <c r="J12379" s="44" t="s">
        <v>8</v>
      </c>
      <c r="K12379" s="23" t="s">
        <v>8</v>
      </c>
      <c r="L12379" s="23" t="s">
        <v>8</v>
      </c>
      <c r="M12379" s="23" t="s">
        <v>8</v>
      </c>
    </row>
    <row r="12380" spans="1:13" s="21" customFormat="1" x14ac:dyDescent="0.25">
      <c r="A12380" s="22" t="s">
        <v>8</v>
      </c>
      <c r="B12380" s="18" t="str">
        <f>"445335"</f>
        <v>445335</v>
      </c>
      <c r="C12380" s="19" t="s">
        <v>12178</v>
      </c>
      <c r="D12380" s="19" t="s">
        <v>27785</v>
      </c>
      <c r="E12380" s="19" t="s">
        <v>35143</v>
      </c>
      <c r="F12380" s="19" t="s">
        <v>36017</v>
      </c>
      <c r="G12380" s="18" t="str">
        <f>"38024"</f>
        <v>38024</v>
      </c>
      <c r="H12380" s="19" t="s">
        <v>32239</v>
      </c>
      <c r="I12380" s="20">
        <v>20.911000000000001</v>
      </c>
      <c r="J12380" s="44" t="s">
        <v>8</v>
      </c>
      <c r="K12380" s="23" t="s">
        <v>8</v>
      </c>
      <c r="L12380" s="23" t="s">
        <v>8</v>
      </c>
      <c r="M12380" s="23" t="s">
        <v>8</v>
      </c>
    </row>
    <row r="12381" spans="1:13" s="21" customFormat="1" x14ac:dyDescent="0.25">
      <c r="A12381" s="22" t="s">
        <v>8</v>
      </c>
      <c r="B12381" s="18" t="str">
        <f>"445339"</f>
        <v>445339</v>
      </c>
      <c r="C12381" s="19" t="s">
        <v>12179</v>
      </c>
      <c r="D12381" s="19" t="s">
        <v>27786</v>
      </c>
      <c r="E12381" s="19" t="s">
        <v>32530</v>
      </c>
      <c r="F12381" s="19" t="s">
        <v>36017</v>
      </c>
      <c r="G12381" s="18" t="str">
        <f>"38343"</f>
        <v>38343</v>
      </c>
      <c r="H12381" s="19" t="s">
        <v>31829</v>
      </c>
      <c r="I12381" s="20">
        <v>16.306999999999999</v>
      </c>
      <c r="J12381" s="44" t="s">
        <v>8</v>
      </c>
      <c r="K12381" s="23" t="s">
        <v>8</v>
      </c>
      <c r="L12381" s="23" t="s">
        <v>8</v>
      </c>
      <c r="M12381" s="23" t="s">
        <v>8</v>
      </c>
    </row>
    <row r="12382" spans="1:13" s="21" customFormat="1" x14ac:dyDescent="0.25">
      <c r="A12382" s="22" t="s">
        <v>8</v>
      </c>
      <c r="B12382" s="18" t="str">
        <f>"445342"</f>
        <v>445342</v>
      </c>
      <c r="C12382" s="19" t="s">
        <v>12180</v>
      </c>
      <c r="D12382" s="19" t="s">
        <v>27787</v>
      </c>
      <c r="E12382" s="19" t="s">
        <v>32652</v>
      </c>
      <c r="F12382" s="19" t="s">
        <v>36017</v>
      </c>
      <c r="G12382" s="18" t="str">
        <f>"37186"</f>
        <v>37186</v>
      </c>
      <c r="H12382" s="19" t="s">
        <v>32524</v>
      </c>
      <c r="I12382" s="20">
        <v>20.021000000000001</v>
      </c>
      <c r="J12382" s="44" t="s">
        <v>8</v>
      </c>
      <c r="K12382" s="23" t="s">
        <v>8</v>
      </c>
      <c r="L12382" s="23" t="s">
        <v>8</v>
      </c>
      <c r="M12382" s="23" t="s">
        <v>8</v>
      </c>
    </row>
    <row r="12383" spans="1:13" s="21" customFormat="1" x14ac:dyDescent="0.25">
      <c r="A12383" s="22" t="s">
        <v>8</v>
      </c>
      <c r="B12383" s="18" t="str">
        <f>"445343"</f>
        <v>445343</v>
      </c>
      <c r="C12383" s="19" t="s">
        <v>12181</v>
      </c>
      <c r="D12383" s="19" t="s">
        <v>27788</v>
      </c>
      <c r="E12383" s="19" t="s">
        <v>35188</v>
      </c>
      <c r="F12383" s="19" t="s">
        <v>36017</v>
      </c>
      <c r="G12383" s="18" t="str">
        <f>"37380"</f>
        <v>37380</v>
      </c>
      <c r="H12383" s="19" t="s">
        <v>30850</v>
      </c>
      <c r="I12383" s="20">
        <v>16.826000000000001</v>
      </c>
      <c r="J12383" s="44" t="s">
        <v>8</v>
      </c>
      <c r="K12383" s="23" t="s">
        <v>8</v>
      </c>
      <c r="L12383" s="23" t="s">
        <v>8</v>
      </c>
      <c r="M12383" s="23" t="s">
        <v>8</v>
      </c>
    </row>
    <row r="12384" spans="1:13" s="21" customFormat="1" x14ac:dyDescent="0.25">
      <c r="A12384" s="22" t="s">
        <v>8</v>
      </c>
      <c r="B12384" s="18" t="str">
        <f>"445344"</f>
        <v>445344</v>
      </c>
      <c r="C12384" s="19" t="s">
        <v>12182</v>
      </c>
      <c r="D12384" s="19" t="s">
        <v>27789</v>
      </c>
      <c r="E12384" s="19" t="s">
        <v>32067</v>
      </c>
      <c r="F12384" s="19" t="s">
        <v>36017</v>
      </c>
      <c r="G12384" s="18" t="str">
        <f>"37914"</f>
        <v>37914</v>
      </c>
      <c r="H12384" s="19" t="s">
        <v>32252</v>
      </c>
      <c r="I12384" s="20">
        <v>18.585000000000001</v>
      </c>
      <c r="J12384" s="44" t="s">
        <v>8</v>
      </c>
      <c r="K12384" s="23" t="s">
        <v>8</v>
      </c>
      <c r="L12384" s="23" t="s">
        <v>8</v>
      </c>
      <c r="M12384" s="23" t="s">
        <v>8</v>
      </c>
    </row>
    <row r="12385" spans="1:13" s="21" customFormat="1" x14ac:dyDescent="0.25">
      <c r="A12385" s="22" t="s">
        <v>8</v>
      </c>
      <c r="B12385" s="18" t="str">
        <f>"445349"</f>
        <v>445349</v>
      </c>
      <c r="C12385" s="19" t="s">
        <v>7212</v>
      </c>
      <c r="D12385" s="19" t="s">
        <v>27790</v>
      </c>
      <c r="E12385" s="19" t="s">
        <v>32326</v>
      </c>
      <c r="F12385" s="19" t="s">
        <v>36017</v>
      </c>
      <c r="G12385" s="18" t="str">
        <f>"38358"</f>
        <v>38358</v>
      </c>
      <c r="H12385" s="19" t="s">
        <v>31829</v>
      </c>
      <c r="I12385" s="20">
        <v>20.006</v>
      </c>
      <c r="J12385" s="44" t="s">
        <v>8</v>
      </c>
      <c r="K12385" s="23" t="s">
        <v>8</v>
      </c>
      <c r="L12385" s="23" t="s">
        <v>8</v>
      </c>
      <c r="M12385" s="23" t="s">
        <v>8</v>
      </c>
    </row>
    <row r="12386" spans="1:13" s="21" customFormat="1" x14ac:dyDescent="0.25">
      <c r="A12386" s="22" t="s">
        <v>8</v>
      </c>
      <c r="B12386" s="18" t="str">
        <f>"445351"</f>
        <v>445351</v>
      </c>
      <c r="C12386" s="19" t="s">
        <v>12183</v>
      </c>
      <c r="D12386" s="19" t="s">
        <v>27791</v>
      </c>
      <c r="E12386" s="19" t="s">
        <v>35163</v>
      </c>
      <c r="F12386" s="19" t="s">
        <v>36017</v>
      </c>
      <c r="G12386" s="18" t="str">
        <f>"37743"</f>
        <v>37743</v>
      </c>
      <c r="H12386" s="19" t="s">
        <v>32455</v>
      </c>
      <c r="I12386" s="20">
        <v>19.989000000000001</v>
      </c>
      <c r="J12386" s="44" t="s">
        <v>8</v>
      </c>
      <c r="K12386" s="23" t="s">
        <v>8</v>
      </c>
      <c r="L12386" s="23" t="s">
        <v>8</v>
      </c>
      <c r="M12386" s="23" t="s">
        <v>8</v>
      </c>
    </row>
    <row r="12387" spans="1:13" s="21" customFormat="1" x14ac:dyDescent="0.25">
      <c r="A12387" s="22" t="s">
        <v>8</v>
      </c>
      <c r="B12387" s="18" t="str">
        <f>"445352"</f>
        <v>445352</v>
      </c>
      <c r="C12387" s="19" t="s">
        <v>9712</v>
      </c>
      <c r="D12387" s="19" t="s">
        <v>27792</v>
      </c>
      <c r="E12387" s="19" t="s">
        <v>33582</v>
      </c>
      <c r="F12387" s="19" t="s">
        <v>36017</v>
      </c>
      <c r="G12387" s="18" t="str">
        <f>"38008"</f>
        <v>38008</v>
      </c>
      <c r="H12387" s="19" t="s">
        <v>36769</v>
      </c>
      <c r="I12387" s="20">
        <v>22.782</v>
      </c>
      <c r="J12387" s="44" t="s">
        <v>8</v>
      </c>
      <c r="K12387" s="23" t="s">
        <v>8</v>
      </c>
      <c r="L12387" s="23" t="s">
        <v>8</v>
      </c>
      <c r="M12387" s="23" t="s">
        <v>8</v>
      </c>
    </row>
    <row r="12388" spans="1:13" s="21" customFormat="1" x14ac:dyDescent="0.25">
      <c r="A12388" s="22" t="s">
        <v>8</v>
      </c>
      <c r="B12388" s="18" t="str">
        <f>"445354"</f>
        <v>445354</v>
      </c>
      <c r="C12388" s="19" t="s">
        <v>12184</v>
      </c>
      <c r="D12388" s="19" t="s">
        <v>27793</v>
      </c>
      <c r="E12388" s="19" t="s">
        <v>33524</v>
      </c>
      <c r="F12388" s="19" t="s">
        <v>36017</v>
      </c>
      <c r="G12388" s="18" t="str">
        <f>"38063"</f>
        <v>38063</v>
      </c>
      <c r="H12388" s="19" t="s">
        <v>36036</v>
      </c>
      <c r="I12388" s="20">
        <v>20.035</v>
      </c>
      <c r="J12388" s="44" t="s">
        <v>8</v>
      </c>
      <c r="K12388" s="23" t="s">
        <v>8</v>
      </c>
      <c r="L12388" s="23" t="s">
        <v>8</v>
      </c>
      <c r="M12388" s="23" t="s">
        <v>8</v>
      </c>
    </row>
    <row r="12389" spans="1:13" s="21" customFormat="1" x14ac:dyDescent="0.25">
      <c r="A12389" s="22" t="s">
        <v>8</v>
      </c>
      <c r="B12389" s="18" t="str">
        <f>"445356"</f>
        <v>445356</v>
      </c>
      <c r="C12389" s="19" t="s">
        <v>12185</v>
      </c>
      <c r="D12389" s="19" t="s">
        <v>27794</v>
      </c>
      <c r="E12389" s="19" t="s">
        <v>34126</v>
      </c>
      <c r="F12389" s="19" t="s">
        <v>36017</v>
      </c>
      <c r="G12389" s="18" t="str">
        <f>"37601"</f>
        <v>37601</v>
      </c>
      <c r="H12389" s="19" t="s">
        <v>31500</v>
      </c>
      <c r="I12389" s="20">
        <v>19.202999999999999</v>
      </c>
      <c r="J12389" s="44" t="s">
        <v>8</v>
      </c>
      <c r="K12389" s="23" t="s">
        <v>8</v>
      </c>
      <c r="L12389" s="23" t="s">
        <v>8</v>
      </c>
      <c r="M12389" s="23" t="s">
        <v>8</v>
      </c>
    </row>
    <row r="12390" spans="1:13" s="21" customFormat="1" x14ac:dyDescent="0.25">
      <c r="A12390" s="22" t="s">
        <v>8</v>
      </c>
      <c r="B12390" s="18" t="str">
        <f>"445357"</f>
        <v>445357</v>
      </c>
      <c r="C12390" s="19" t="s">
        <v>12186</v>
      </c>
      <c r="D12390" s="19" t="s">
        <v>27795</v>
      </c>
      <c r="E12390" s="19" t="s">
        <v>35189</v>
      </c>
      <c r="F12390" s="19" t="s">
        <v>36017</v>
      </c>
      <c r="G12390" s="18" t="str">
        <f>"38201"</f>
        <v>38201</v>
      </c>
      <c r="H12390" s="19" t="s">
        <v>32334</v>
      </c>
      <c r="I12390" s="20">
        <v>18.469000000000001</v>
      </c>
      <c r="J12390" s="44" t="s">
        <v>8</v>
      </c>
      <c r="K12390" s="23" t="s">
        <v>8</v>
      </c>
      <c r="L12390" s="23" t="s">
        <v>8</v>
      </c>
      <c r="M12390" s="23" t="s">
        <v>8</v>
      </c>
    </row>
    <row r="12391" spans="1:13" s="21" customFormat="1" x14ac:dyDescent="0.25">
      <c r="A12391" s="22" t="s">
        <v>8</v>
      </c>
      <c r="B12391" s="18" t="str">
        <f>"445358"</f>
        <v>445358</v>
      </c>
      <c r="C12391" s="19" t="s">
        <v>12187</v>
      </c>
      <c r="D12391" s="19" t="s">
        <v>27796</v>
      </c>
      <c r="E12391" s="19" t="s">
        <v>34126</v>
      </c>
      <c r="F12391" s="19" t="s">
        <v>36017</v>
      </c>
      <c r="G12391" s="18" t="str">
        <f>"37604"</f>
        <v>37604</v>
      </c>
      <c r="H12391" s="19" t="s">
        <v>31500</v>
      </c>
      <c r="I12391" s="20">
        <v>18.446000000000002</v>
      </c>
      <c r="J12391" s="44" t="s">
        <v>8</v>
      </c>
      <c r="K12391" s="23" t="s">
        <v>8</v>
      </c>
      <c r="L12391" s="23" t="s">
        <v>8</v>
      </c>
      <c r="M12391" s="23" t="s">
        <v>8</v>
      </c>
    </row>
    <row r="12392" spans="1:13" s="21" customFormat="1" x14ac:dyDescent="0.25">
      <c r="A12392" s="22" t="s">
        <v>8</v>
      </c>
      <c r="B12392" s="18" t="str">
        <f>"445359"</f>
        <v>445359</v>
      </c>
      <c r="C12392" s="19" t="s">
        <v>12188</v>
      </c>
      <c r="D12392" s="19" t="s">
        <v>27797</v>
      </c>
      <c r="E12392" s="19" t="s">
        <v>35141</v>
      </c>
      <c r="F12392" s="19" t="s">
        <v>36017</v>
      </c>
      <c r="G12392" s="18" t="str">
        <f>"37857"</f>
        <v>37857</v>
      </c>
      <c r="H12392" s="19" t="s">
        <v>36766</v>
      </c>
      <c r="I12392" s="20">
        <v>17.579000000000001</v>
      </c>
      <c r="J12392" s="44" t="s">
        <v>8</v>
      </c>
      <c r="K12392" s="23" t="s">
        <v>8</v>
      </c>
      <c r="L12392" s="23" t="s">
        <v>8</v>
      </c>
      <c r="M12392" s="23" t="s">
        <v>8</v>
      </c>
    </row>
    <row r="12393" spans="1:13" s="21" customFormat="1" x14ac:dyDescent="0.25">
      <c r="A12393" s="22" t="s">
        <v>8</v>
      </c>
      <c r="B12393" s="18" t="str">
        <f>"445360"</f>
        <v>445360</v>
      </c>
      <c r="C12393" s="19" t="s">
        <v>12189</v>
      </c>
      <c r="D12393" s="19" t="s">
        <v>27798</v>
      </c>
      <c r="E12393" s="19" t="s">
        <v>32067</v>
      </c>
      <c r="F12393" s="19" t="s">
        <v>36017</v>
      </c>
      <c r="G12393" s="18" t="str">
        <f>"37917"</f>
        <v>37917</v>
      </c>
      <c r="H12393" s="19" t="s">
        <v>32252</v>
      </c>
      <c r="I12393" s="20">
        <v>20.157</v>
      </c>
      <c r="J12393" s="44" t="s">
        <v>8</v>
      </c>
      <c r="K12393" s="23" t="s">
        <v>8</v>
      </c>
      <c r="L12393" s="23" t="s">
        <v>8</v>
      </c>
      <c r="M12393" s="23" t="s">
        <v>8</v>
      </c>
    </row>
    <row r="12394" spans="1:13" s="21" customFormat="1" x14ac:dyDescent="0.25">
      <c r="A12394" s="22" t="s">
        <v>8</v>
      </c>
      <c r="B12394" s="18" t="str">
        <f>"445362"</f>
        <v>445362</v>
      </c>
      <c r="C12394" s="19" t="s">
        <v>12190</v>
      </c>
      <c r="D12394" s="19" t="s">
        <v>27799</v>
      </c>
      <c r="E12394" s="19" t="s">
        <v>32741</v>
      </c>
      <c r="F12394" s="19" t="s">
        <v>36017</v>
      </c>
      <c r="G12394" s="18" t="str">
        <f>"38556"</f>
        <v>38556</v>
      </c>
      <c r="H12394" s="19" t="s">
        <v>36781</v>
      </c>
      <c r="I12394" s="20">
        <v>18.864999999999998</v>
      </c>
      <c r="J12394" s="44" t="s">
        <v>8</v>
      </c>
      <c r="K12394" s="23" t="s">
        <v>8</v>
      </c>
      <c r="L12394" s="23" t="s">
        <v>8</v>
      </c>
      <c r="M12394" s="23" t="s">
        <v>8</v>
      </c>
    </row>
    <row r="12395" spans="1:13" s="21" customFormat="1" x14ac:dyDescent="0.25">
      <c r="A12395" s="22" t="s">
        <v>8</v>
      </c>
      <c r="B12395" s="18" t="str">
        <f>"445363"</f>
        <v>445363</v>
      </c>
      <c r="C12395" s="19" t="s">
        <v>12191</v>
      </c>
      <c r="D12395" s="19" t="s">
        <v>27800</v>
      </c>
      <c r="E12395" s="19" t="s">
        <v>31274</v>
      </c>
      <c r="F12395" s="19" t="s">
        <v>36017</v>
      </c>
      <c r="G12395" s="18" t="str">
        <f>"38574"</f>
        <v>38574</v>
      </c>
      <c r="H12395" s="19" t="s">
        <v>31482</v>
      </c>
      <c r="I12395" s="20">
        <v>21.295999999999999</v>
      </c>
      <c r="J12395" s="44" t="s">
        <v>8</v>
      </c>
      <c r="K12395" s="23" t="s">
        <v>8</v>
      </c>
      <c r="L12395" s="23" t="s">
        <v>8</v>
      </c>
      <c r="M12395" s="23" t="s">
        <v>8</v>
      </c>
    </row>
    <row r="12396" spans="1:13" s="21" customFormat="1" x14ac:dyDescent="0.25">
      <c r="A12396" s="22" t="s">
        <v>8</v>
      </c>
      <c r="B12396" s="18" t="str">
        <f>"445366"</f>
        <v>445366</v>
      </c>
      <c r="C12396" s="19" t="s">
        <v>12192</v>
      </c>
      <c r="D12396" s="19" t="s">
        <v>27801</v>
      </c>
      <c r="E12396" s="19" t="s">
        <v>32530</v>
      </c>
      <c r="F12396" s="19" t="s">
        <v>36017</v>
      </c>
      <c r="G12396" s="18" t="str">
        <f>"38343"</f>
        <v>38343</v>
      </c>
      <c r="H12396" s="19" t="s">
        <v>31829</v>
      </c>
      <c r="I12396" s="20">
        <v>22.486999999999998</v>
      </c>
      <c r="J12396" s="44" t="s">
        <v>8</v>
      </c>
      <c r="K12396" s="23" t="s">
        <v>8</v>
      </c>
      <c r="L12396" s="23" t="s">
        <v>8</v>
      </c>
      <c r="M12396" s="23" t="s">
        <v>8</v>
      </c>
    </row>
    <row r="12397" spans="1:13" s="21" customFormat="1" x14ac:dyDescent="0.25">
      <c r="A12397" s="22" t="s">
        <v>8</v>
      </c>
      <c r="B12397" s="18" t="str">
        <f>"445367"</f>
        <v>445367</v>
      </c>
      <c r="C12397" s="19" t="s">
        <v>12193</v>
      </c>
      <c r="D12397" s="19" t="s">
        <v>27802</v>
      </c>
      <c r="E12397" s="19" t="s">
        <v>35190</v>
      </c>
      <c r="F12397" s="19" t="s">
        <v>36017</v>
      </c>
      <c r="G12397" s="18" t="str">
        <f>"38225"</f>
        <v>38225</v>
      </c>
      <c r="H12397" s="19" t="s">
        <v>36777</v>
      </c>
      <c r="I12397" s="20">
        <v>17.63</v>
      </c>
      <c r="J12397" s="44" t="s">
        <v>8</v>
      </c>
      <c r="K12397" s="23" t="s">
        <v>8</v>
      </c>
      <c r="L12397" s="23" t="s">
        <v>8</v>
      </c>
      <c r="M12397" s="23" t="s">
        <v>8</v>
      </c>
    </row>
    <row r="12398" spans="1:13" s="21" customFormat="1" x14ac:dyDescent="0.25">
      <c r="A12398" s="22" t="s">
        <v>8</v>
      </c>
      <c r="B12398" s="18" t="str">
        <f>"445368"</f>
        <v>445368</v>
      </c>
      <c r="C12398" s="19" t="s">
        <v>12194</v>
      </c>
      <c r="D12398" s="19" t="s">
        <v>27803</v>
      </c>
      <c r="E12398" s="19" t="s">
        <v>35162</v>
      </c>
      <c r="F12398" s="19" t="s">
        <v>36017</v>
      </c>
      <c r="G12398" s="18" t="str">
        <f>"37748"</f>
        <v>37748</v>
      </c>
      <c r="H12398" s="19" t="s">
        <v>36775</v>
      </c>
      <c r="I12398" s="20">
        <v>15.99</v>
      </c>
      <c r="J12398" s="44" t="s">
        <v>8</v>
      </c>
      <c r="K12398" s="23" t="s">
        <v>8</v>
      </c>
      <c r="L12398" s="23" t="s">
        <v>8</v>
      </c>
      <c r="M12398" s="23" t="s">
        <v>8</v>
      </c>
    </row>
    <row r="12399" spans="1:13" s="21" customFormat="1" x14ac:dyDescent="0.25">
      <c r="A12399" s="22" t="s">
        <v>8</v>
      </c>
      <c r="B12399" s="18" t="str">
        <f>"445369"</f>
        <v>445369</v>
      </c>
      <c r="C12399" s="19" t="s">
        <v>12195</v>
      </c>
      <c r="D12399" s="19" t="s">
        <v>27804</v>
      </c>
      <c r="E12399" s="19" t="s">
        <v>31810</v>
      </c>
      <c r="F12399" s="19" t="s">
        <v>36017</v>
      </c>
      <c r="G12399" s="18" t="str">
        <f>"37312"</f>
        <v>37312</v>
      </c>
      <c r="H12399" s="19" t="s">
        <v>32178</v>
      </c>
      <c r="I12399" s="20">
        <v>15.672000000000001</v>
      </c>
      <c r="J12399" s="44" t="s">
        <v>8</v>
      </c>
      <c r="K12399" s="23" t="s">
        <v>8</v>
      </c>
      <c r="L12399" s="23" t="s">
        <v>8</v>
      </c>
      <c r="M12399" s="23" t="s">
        <v>8</v>
      </c>
    </row>
    <row r="12400" spans="1:13" s="21" customFormat="1" x14ac:dyDescent="0.25">
      <c r="A12400" s="22" t="s">
        <v>8</v>
      </c>
      <c r="B12400" s="18" t="str">
        <f>"445372"</f>
        <v>445372</v>
      </c>
      <c r="C12400" s="19" t="s">
        <v>12196</v>
      </c>
      <c r="D12400" s="19" t="s">
        <v>27611</v>
      </c>
      <c r="E12400" s="19" t="s">
        <v>31719</v>
      </c>
      <c r="F12400" s="19" t="s">
        <v>36017</v>
      </c>
      <c r="G12400" s="18" t="str">
        <f>"38372"</f>
        <v>38372</v>
      </c>
      <c r="H12400" s="19" t="s">
        <v>32124</v>
      </c>
      <c r="I12400" s="20">
        <v>19.789000000000001</v>
      </c>
      <c r="J12400" s="44" t="s">
        <v>8</v>
      </c>
      <c r="K12400" s="23" t="s">
        <v>8</v>
      </c>
      <c r="L12400" s="23" t="s">
        <v>8</v>
      </c>
      <c r="M12400" s="23" t="s">
        <v>8</v>
      </c>
    </row>
    <row r="12401" spans="1:13" s="21" customFormat="1" x14ac:dyDescent="0.25">
      <c r="A12401" s="22" t="s">
        <v>8</v>
      </c>
      <c r="B12401" s="18" t="str">
        <f>"445373"</f>
        <v>445373</v>
      </c>
      <c r="C12401" s="19" t="s">
        <v>12197</v>
      </c>
      <c r="D12401" s="19" t="s">
        <v>27805</v>
      </c>
      <c r="E12401" s="19" t="s">
        <v>35150</v>
      </c>
      <c r="F12401" s="19" t="s">
        <v>36017</v>
      </c>
      <c r="G12401" s="18" t="str">
        <f>"37130"</f>
        <v>37130</v>
      </c>
      <c r="H12401" s="19" t="s">
        <v>36618</v>
      </c>
      <c r="I12401" s="20">
        <v>22.678000000000001</v>
      </c>
      <c r="J12401" s="44" t="s">
        <v>8</v>
      </c>
      <c r="K12401" s="23" t="s">
        <v>8</v>
      </c>
      <c r="L12401" s="23" t="s">
        <v>8</v>
      </c>
      <c r="M12401" s="23" t="s">
        <v>8</v>
      </c>
    </row>
    <row r="12402" spans="1:13" s="21" customFormat="1" x14ac:dyDescent="0.25">
      <c r="A12402" s="22" t="s">
        <v>8</v>
      </c>
      <c r="B12402" s="18" t="str">
        <f>"445374"</f>
        <v>445374</v>
      </c>
      <c r="C12402" s="19" t="s">
        <v>12198</v>
      </c>
      <c r="D12402" s="19" t="s">
        <v>27806</v>
      </c>
      <c r="E12402" s="19" t="s">
        <v>32348</v>
      </c>
      <c r="F12402" s="19" t="s">
        <v>36017</v>
      </c>
      <c r="G12402" s="18" t="str">
        <f>"38474"</f>
        <v>38474</v>
      </c>
      <c r="H12402" s="19" t="s">
        <v>36770</v>
      </c>
      <c r="I12402" s="20">
        <v>18.454999999999998</v>
      </c>
      <c r="J12402" s="44" t="s">
        <v>8</v>
      </c>
      <c r="K12402" s="23" t="s">
        <v>8</v>
      </c>
      <c r="L12402" s="23" t="s">
        <v>8</v>
      </c>
      <c r="M12402" s="23" t="s">
        <v>8</v>
      </c>
    </row>
    <row r="12403" spans="1:13" s="21" customFormat="1" x14ac:dyDescent="0.25">
      <c r="A12403" s="22" t="s">
        <v>8</v>
      </c>
      <c r="B12403" s="18" t="str">
        <f>"445377"</f>
        <v>445377</v>
      </c>
      <c r="C12403" s="19" t="s">
        <v>12199</v>
      </c>
      <c r="D12403" s="19" t="s">
        <v>27807</v>
      </c>
      <c r="E12403" s="19" t="s">
        <v>35144</v>
      </c>
      <c r="F12403" s="19" t="s">
        <v>36017</v>
      </c>
      <c r="G12403" s="18" t="str">
        <f>"37061"</f>
        <v>37061</v>
      </c>
      <c r="H12403" s="19" t="s">
        <v>33493</v>
      </c>
      <c r="I12403" s="20">
        <v>18.866</v>
      </c>
      <c r="J12403" s="44" t="s">
        <v>8</v>
      </c>
      <c r="K12403" s="23" t="s">
        <v>8</v>
      </c>
      <c r="L12403" s="23" t="s">
        <v>8</v>
      </c>
      <c r="M12403" s="23" t="s">
        <v>8</v>
      </c>
    </row>
    <row r="12404" spans="1:13" s="21" customFormat="1" x14ac:dyDescent="0.25">
      <c r="A12404" s="22" t="s">
        <v>8</v>
      </c>
      <c r="B12404" s="18" t="str">
        <f>"445378"</f>
        <v>445378</v>
      </c>
      <c r="C12404" s="19" t="s">
        <v>12200</v>
      </c>
      <c r="D12404" s="19" t="s">
        <v>27808</v>
      </c>
      <c r="E12404" s="19" t="s">
        <v>31014</v>
      </c>
      <c r="F12404" s="19" t="s">
        <v>36017</v>
      </c>
      <c r="G12404" s="18" t="str">
        <f>"37215"</f>
        <v>37215</v>
      </c>
      <c r="H12404" s="19" t="s">
        <v>36613</v>
      </c>
      <c r="I12404" s="20">
        <v>15.295999999999999</v>
      </c>
      <c r="J12404" s="44" t="s">
        <v>8</v>
      </c>
      <c r="K12404" s="23" t="s">
        <v>8</v>
      </c>
      <c r="L12404" s="23" t="s">
        <v>8</v>
      </c>
      <c r="M12404" s="23" t="s">
        <v>8</v>
      </c>
    </row>
    <row r="12405" spans="1:13" s="21" customFormat="1" x14ac:dyDescent="0.25">
      <c r="A12405" s="22" t="s">
        <v>8</v>
      </c>
      <c r="B12405" s="18" t="str">
        <f>"445380"</f>
        <v>445380</v>
      </c>
      <c r="C12405" s="19" t="s">
        <v>12201</v>
      </c>
      <c r="D12405" s="19" t="s">
        <v>27809</v>
      </c>
      <c r="E12405" s="19" t="s">
        <v>35191</v>
      </c>
      <c r="F12405" s="19" t="s">
        <v>36017</v>
      </c>
      <c r="G12405" s="18" t="str">
        <f>"37343"</f>
        <v>37343</v>
      </c>
      <c r="H12405" s="19" t="s">
        <v>30804</v>
      </c>
      <c r="I12405" s="20">
        <v>18.266999999999999</v>
      </c>
      <c r="J12405" s="44" t="s">
        <v>8</v>
      </c>
      <c r="K12405" s="23" t="s">
        <v>8</v>
      </c>
      <c r="L12405" s="23" t="s">
        <v>8</v>
      </c>
      <c r="M12405" s="23" t="s">
        <v>8</v>
      </c>
    </row>
    <row r="12406" spans="1:13" s="21" customFormat="1" x14ac:dyDescent="0.25">
      <c r="A12406" s="22" t="s">
        <v>8</v>
      </c>
      <c r="B12406" s="18" t="str">
        <f>"445381"</f>
        <v>445381</v>
      </c>
      <c r="C12406" s="19" t="s">
        <v>12202</v>
      </c>
      <c r="D12406" s="19" t="s">
        <v>27810</v>
      </c>
      <c r="E12406" s="19" t="s">
        <v>31813</v>
      </c>
      <c r="F12406" s="19" t="s">
        <v>36017</v>
      </c>
      <c r="G12406" s="18" t="str">
        <f>"38261"</f>
        <v>38261</v>
      </c>
      <c r="H12406" s="19" t="s">
        <v>36774</v>
      </c>
      <c r="I12406" s="20">
        <v>19.806000000000001</v>
      </c>
      <c r="J12406" s="44" t="s">
        <v>8</v>
      </c>
      <c r="K12406" s="23" t="s">
        <v>8</v>
      </c>
      <c r="L12406" s="23" t="s">
        <v>8</v>
      </c>
      <c r="M12406" s="23" t="s">
        <v>8</v>
      </c>
    </row>
    <row r="12407" spans="1:13" s="21" customFormat="1" x14ac:dyDescent="0.25">
      <c r="A12407" s="22" t="s">
        <v>8</v>
      </c>
      <c r="B12407" s="18" t="str">
        <f>"445382"</f>
        <v>445382</v>
      </c>
      <c r="C12407" s="19" t="s">
        <v>12203</v>
      </c>
      <c r="D12407" s="19" t="s">
        <v>27811</v>
      </c>
      <c r="E12407" s="19" t="s">
        <v>35192</v>
      </c>
      <c r="F12407" s="19" t="s">
        <v>36017</v>
      </c>
      <c r="G12407" s="18" t="str">
        <f>"37863"</f>
        <v>37863</v>
      </c>
      <c r="H12407" s="19" t="s">
        <v>36080</v>
      </c>
      <c r="I12407" s="20">
        <v>20.056000000000001</v>
      </c>
      <c r="J12407" s="44" t="s">
        <v>8</v>
      </c>
      <c r="K12407" s="23" t="s">
        <v>8</v>
      </c>
      <c r="L12407" s="23" t="s">
        <v>8</v>
      </c>
      <c r="M12407" s="23" t="s">
        <v>8</v>
      </c>
    </row>
    <row r="12408" spans="1:13" s="21" customFormat="1" x14ac:dyDescent="0.25">
      <c r="A12408" s="22" t="s">
        <v>8</v>
      </c>
      <c r="B12408" s="18" t="str">
        <f>"445383"</f>
        <v>445383</v>
      </c>
      <c r="C12408" s="19" t="s">
        <v>12204</v>
      </c>
      <c r="D12408" s="19" t="s">
        <v>27812</v>
      </c>
      <c r="E12408" s="19" t="s">
        <v>31394</v>
      </c>
      <c r="F12408" s="19" t="s">
        <v>36017</v>
      </c>
      <c r="G12408" s="18" t="str">
        <f>"37355"</f>
        <v>37355</v>
      </c>
      <c r="H12408" s="19" t="s">
        <v>36039</v>
      </c>
      <c r="I12408" s="20">
        <v>18.696000000000002</v>
      </c>
      <c r="J12408" s="44" t="s">
        <v>8</v>
      </c>
      <c r="K12408" s="23" t="s">
        <v>8</v>
      </c>
      <c r="L12408" s="23" t="s">
        <v>8</v>
      </c>
      <c r="M12408" s="23" t="s">
        <v>8</v>
      </c>
    </row>
    <row r="12409" spans="1:13" s="21" customFormat="1" x14ac:dyDescent="0.25">
      <c r="A12409" s="22" t="s">
        <v>8</v>
      </c>
      <c r="B12409" s="18" t="str">
        <f>"445387"</f>
        <v>445387</v>
      </c>
      <c r="C12409" s="19" t="s">
        <v>12205</v>
      </c>
      <c r="D12409" s="19" t="s">
        <v>27813</v>
      </c>
      <c r="E12409" s="19" t="s">
        <v>33722</v>
      </c>
      <c r="F12409" s="19" t="s">
        <v>36017</v>
      </c>
      <c r="G12409" s="18" t="str">
        <f>"38109"</f>
        <v>38109</v>
      </c>
      <c r="H12409" s="19" t="s">
        <v>33565</v>
      </c>
      <c r="I12409" s="20">
        <v>17.257000000000001</v>
      </c>
      <c r="J12409" s="44" t="s">
        <v>8</v>
      </c>
      <c r="K12409" s="23" t="s">
        <v>8</v>
      </c>
      <c r="L12409" s="23" t="s">
        <v>8</v>
      </c>
      <c r="M12409" s="23" t="s">
        <v>8</v>
      </c>
    </row>
    <row r="12410" spans="1:13" s="21" customFormat="1" x14ac:dyDescent="0.25">
      <c r="A12410" s="22" t="s">
        <v>8</v>
      </c>
      <c r="B12410" s="18" t="str">
        <f>"445390"</f>
        <v>445390</v>
      </c>
      <c r="C12410" s="19" t="s">
        <v>12206</v>
      </c>
      <c r="D12410" s="19" t="s">
        <v>27814</v>
      </c>
      <c r="E12410" s="19" t="s">
        <v>35193</v>
      </c>
      <c r="F12410" s="19" t="s">
        <v>36017</v>
      </c>
      <c r="G12410" s="18" t="str">
        <f>"38549"</f>
        <v>38549</v>
      </c>
      <c r="H12410" s="19" t="s">
        <v>36782</v>
      </c>
      <c r="I12410" s="20">
        <v>18.852</v>
      </c>
      <c r="J12410" s="44" t="s">
        <v>8</v>
      </c>
      <c r="K12410" s="23" t="s">
        <v>8</v>
      </c>
      <c r="L12410" s="23" t="s">
        <v>8</v>
      </c>
      <c r="M12410" s="23" t="s">
        <v>8</v>
      </c>
    </row>
    <row r="12411" spans="1:13" s="21" customFormat="1" x14ac:dyDescent="0.25">
      <c r="A12411" s="22" t="s">
        <v>8</v>
      </c>
      <c r="B12411" s="18" t="str">
        <f>"445391"</f>
        <v>445391</v>
      </c>
      <c r="C12411" s="19" t="s">
        <v>12207</v>
      </c>
      <c r="D12411" s="19" t="s">
        <v>27815</v>
      </c>
      <c r="E12411" s="19" t="s">
        <v>31394</v>
      </c>
      <c r="F12411" s="19" t="s">
        <v>36017</v>
      </c>
      <c r="G12411" s="18" t="str">
        <f>"37355"</f>
        <v>37355</v>
      </c>
      <c r="H12411" s="19" t="s">
        <v>36039</v>
      </c>
      <c r="I12411" s="20">
        <v>19.882000000000001</v>
      </c>
      <c r="J12411" s="44" t="s">
        <v>8</v>
      </c>
      <c r="K12411" s="23" t="s">
        <v>8</v>
      </c>
      <c r="L12411" s="23" t="s">
        <v>8</v>
      </c>
      <c r="M12411" s="23" t="s">
        <v>8</v>
      </c>
    </row>
    <row r="12412" spans="1:13" s="21" customFormat="1" x14ac:dyDescent="0.25">
      <c r="A12412" s="22" t="s">
        <v>8</v>
      </c>
      <c r="B12412" s="18" t="str">
        <f>"445392"</f>
        <v>445392</v>
      </c>
      <c r="C12412" s="19" t="s">
        <v>12208</v>
      </c>
      <c r="D12412" s="19" t="s">
        <v>27816</v>
      </c>
      <c r="E12412" s="19" t="s">
        <v>35150</v>
      </c>
      <c r="F12412" s="19" t="s">
        <v>36017</v>
      </c>
      <c r="G12412" s="18" t="str">
        <f>"37129"</f>
        <v>37129</v>
      </c>
      <c r="H12412" s="19" t="s">
        <v>36618</v>
      </c>
      <c r="I12412" s="20">
        <v>16.45</v>
      </c>
      <c r="J12412" s="44" t="s">
        <v>8</v>
      </c>
      <c r="K12412" s="23" t="s">
        <v>8</v>
      </c>
      <c r="L12412" s="23" t="s">
        <v>8</v>
      </c>
      <c r="M12412" s="23" t="s">
        <v>8</v>
      </c>
    </row>
    <row r="12413" spans="1:13" s="21" customFormat="1" x14ac:dyDescent="0.25">
      <c r="A12413" s="22" t="s">
        <v>8</v>
      </c>
      <c r="B12413" s="18" t="str">
        <f>"445393"</f>
        <v>445393</v>
      </c>
      <c r="C12413" s="19" t="s">
        <v>12209</v>
      </c>
      <c r="D12413" s="19" t="s">
        <v>27817</v>
      </c>
      <c r="E12413" s="19" t="s">
        <v>35194</v>
      </c>
      <c r="F12413" s="19" t="s">
        <v>36017</v>
      </c>
      <c r="G12413" s="18" t="str">
        <f>"37356"</f>
        <v>37356</v>
      </c>
      <c r="H12413" s="19" t="s">
        <v>35400</v>
      </c>
      <c r="I12413" s="20">
        <v>18.443999999999999</v>
      </c>
      <c r="J12413" s="44" t="s">
        <v>8</v>
      </c>
      <c r="K12413" s="23" t="s">
        <v>8</v>
      </c>
      <c r="L12413" s="23" t="s">
        <v>8</v>
      </c>
      <c r="M12413" s="23" t="s">
        <v>8</v>
      </c>
    </row>
    <row r="12414" spans="1:13" s="21" customFormat="1" x14ac:dyDescent="0.25">
      <c r="A12414" s="22" t="s">
        <v>8</v>
      </c>
      <c r="B12414" s="18" t="str">
        <f>"445396"</f>
        <v>445396</v>
      </c>
      <c r="C12414" s="19" t="s">
        <v>12210</v>
      </c>
      <c r="D12414" s="19" t="s">
        <v>27818</v>
      </c>
      <c r="E12414" s="19" t="s">
        <v>35195</v>
      </c>
      <c r="F12414" s="19" t="s">
        <v>36017</v>
      </c>
      <c r="G12414" s="18" t="str">
        <f>"37687"</f>
        <v>37687</v>
      </c>
      <c r="H12414" s="19" t="s">
        <v>36338</v>
      </c>
      <c r="I12414" s="20">
        <v>18.995000000000001</v>
      </c>
      <c r="J12414" s="44" t="s">
        <v>8</v>
      </c>
      <c r="K12414" s="23" t="s">
        <v>8</v>
      </c>
      <c r="L12414" s="23" t="s">
        <v>8</v>
      </c>
      <c r="M12414" s="23" t="s">
        <v>8</v>
      </c>
    </row>
    <row r="12415" spans="1:13" s="21" customFormat="1" x14ac:dyDescent="0.25">
      <c r="A12415" s="22" t="s">
        <v>8</v>
      </c>
      <c r="B12415" s="18" t="str">
        <f>"445397"</f>
        <v>445397</v>
      </c>
      <c r="C12415" s="19" t="s">
        <v>12211</v>
      </c>
      <c r="D12415" s="19" t="s">
        <v>27819</v>
      </c>
      <c r="E12415" s="19" t="s">
        <v>35196</v>
      </c>
      <c r="F12415" s="19" t="s">
        <v>36017</v>
      </c>
      <c r="G12415" s="18" t="str">
        <f>"38310"</f>
        <v>38310</v>
      </c>
      <c r="H12415" s="19" t="s">
        <v>36767</v>
      </c>
      <c r="I12415" s="20">
        <v>20.652999999999999</v>
      </c>
      <c r="J12415" s="44" t="s">
        <v>8</v>
      </c>
      <c r="K12415" s="23" t="s">
        <v>8</v>
      </c>
      <c r="L12415" s="23" t="s">
        <v>8</v>
      </c>
      <c r="M12415" s="23" t="s">
        <v>8</v>
      </c>
    </row>
    <row r="12416" spans="1:13" s="21" customFormat="1" x14ac:dyDescent="0.25">
      <c r="A12416" s="22" t="s">
        <v>8</v>
      </c>
      <c r="B12416" s="18" t="str">
        <f>"445398"</f>
        <v>445398</v>
      </c>
      <c r="C12416" s="19" t="s">
        <v>12212</v>
      </c>
      <c r="D12416" s="19" t="s">
        <v>27820</v>
      </c>
      <c r="E12416" s="19" t="s">
        <v>32076</v>
      </c>
      <c r="F12416" s="19" t="s">
        <v>36017</v>
      </c>
      <c r="G12416" s="18" t="str">
        <f>"38401"</f>
        <v>38401</v>
      </c>
      <c r="H12416" s="19" t="s">
        <v>36770</v>
      </c>
      <c r="I12416" s="20">
        <v>20.471</v>
      </c>
      <c r="J12416" s="44" t="s">
        <v>8</v>
      </c>
      <c r="K12416" s="23" t="s">
        <v>8</v>
      </c>
      <c r="L12416" s="23" t="s">
        <v>8</v>
      </c>
      <c r="M12416" s="23" t="s">
        <v>8</v>
      </c>
    </row>
    <row r="12417" spans="1:13" s="21" customFormat="1" x14ac:dyDescent="0.25">
      <c r="A12417" s="22" t="s">
        <v>8</v>
      </c>
      <c r="B12417" s="18" t="str">
        <f>"445401"</f>
        <v>445401</v>
      </c>
      <c r="C12417" s="19" t="s">
        <v>12213</v>
      </c>
      <c r="D12417" s="19" t="s">
        <v>27821</v>
      </c>
      <c r="E12417" s="19" t="s">
        <v>30816</v>
      </c>
      <c r="F12417" s="19" t="s">
        <v>36017</v>
      </c>
      <c r="G12417" s="18" t="str">
        <f>"38305"</f>
        <v>38305</v>
      </c>
      <c r="H12417" s="19" t="s">
        <v>30899</v>
      </c>
      <c r="I12417" s="20">
        <v>19.306000000000001</v>
      </c>
      <c r="J12417" s="44" t="s">
        <v>8</v>
      </c>
      <c r="K12417" s="23" t="s">
        <v>8</v>
      </c>
      <c r="L12417" s="23" t="s">
        <v>8</v>
      </c>
      <c r="M12417" s="23" t="s">
        <v>8</v>
      </c>
    </row>
    <row r="12418" spans="1:13" s="21" customFormat="1" x14ac:dyDescent="0.25">
      <c r="A12418" s="22" t="s">
        <v>8</v>
      </c>
      <c r="B12418" s="18" t="str">
        <f>"445402"</f>
        <v>445402</v>
      </c>
      <c r="C12418" s="19" t="s">
        <v>12214</v>
      </c>
      <c r="D12418" s="19" t="s">
        <v>27822</v>
      </c>
      <c r="E12418" s="19" t="s">
        <v>31010</v>
      </c>
      <c r="F12418" s="19" t="s">
        <v>36017</v>
      </c>
      <c r="G12418" s="18" t="str">
        <f>"37043"</f>
        <v>37043</v>
      </c>
      <c r="H12418" s="19" t="s">
        <v>30833</v>
      </c>
      <c r="I12418" s="20">
        <v>20.81</v>
      </c>
      <c r="J12418" s="44" t="s">
        <v>8</v>
      </c>
      <c r="K12418" s="23" t="s">
        <v>8</v>
      </c>
      <c r="L12418" s="23" t="s">
        <v>8</v>
      </c>
      <c r="M12418" s="23" t="s">
        <v>8</v>
      </c>
    </row>
    <row r="12419" spans="1:13" s="21" customFormat="1" x14ac:dyDescent="0.25">
      <c r="A12419" s="22" t="s">
        <v>8</v>
      </c>
      <c r="B12419" s="18" t="str">
        <f>"445404"</f>
        <v>445404</v>
      </c>
      <c r="C12419" s="19" t="s">
        <v>12215</v>
      </c>
      <c r="D12419" s="19" t="s">
        <v>27823</v>
      </c>
      <c r="E12419" s="19" t="s">
        <v>32082</v>
      </c>
      <c r="F12419" s="19" t="s">
        <v>36017</v>
      </c>
      <c r="G12419" s="18" t="str">
        <f>"37804"</f>
        <v>37804</v>
      </c>
      <c r="H12419" s="19" t="s">
        <v>36041</v>
      </c>
      <c r="I12419" s="20">
        <v>19.292999999999999</v>
      </c>
      <c r="J12419" s="44" t="s">
        <v>8</v>
      </c>
      <c r="K12419" s="23" t="s">
        <v>8</v>
      </c>
      <c r="L12419" s="23" t="s">
        <v>8</v>
      </c>
      <c r="M12419" s="23" t="s">
        <v>8</v>
      </c>
    </row>
    <row r="12420" spans="1:13" s="21" customFormat="1" x14ac:dyDescent="0.25">
      <c r="A12420" s="22" t="s">
        <v>8</v>
      </c>
      <c r="B12420" s="18" t="str">
        <f>"445406"</f>
        <v>445406</v>
      </c>
      <c r="C12420" s="19" t="s">
        <v>12216</v>
      </c>
      <c r="D12420" s="19" t="s">
        <v>27824</v>
      </c>
      <c r="E12420" s="19" t="s">
        <v>35150</v>
      </c>
      <c r="F12420" s="19" t="s">
        <v>36017</v>
      </c>
      <c r="G12420" s="18" t="str">
        <f>"37127"</f>
        <v>37127</v>
      </c>
      <c r="H12420" s="19" t="s">
        <v>36618</v>
      </c>
      <c r="I12420" s="20">
        <v>19.202000000000002</v>
      </c>
      <c r="J12420" s="44" t="s">
        <v>8</v>
      </c>
      <c r="K12420" s="23" t="s">
        <v>8</v>
      </c>
      <c r="L12420" s="23" t="s">
        <v>8</v>
      </c>
      <c r="M12420" s="23" t="s">
        <v>8</v>
      </c>
    </row>
    <row r="12421" spans="1:13" s="21" customFormat="1" x14ac:dyDescent="0.25">
      <c r="A12421" s="22" t="s">
        <v>8</v>
      </c>
      <c r="B12421" s="18" t="str">
        <f>"445408"</f>
        <v>445408</v>
      </c>
      <c r="C12421" s="19" t="s">
        <v>12217</v>
      </c>
      <c r="D12421" s="19" t="s">
        <v>27825</v>
      </c>
      <c r="E12421" s="19" t="s">
        <v>35197</v>
      </c>
      <c r="F12421" s="19" t="s">
        <v>36017</v>
      </c>
      <c r="G12421" s="18" t="str">
        <f>"37379"</f>
        <v>37379</v>
      </c>
      <c r="H12421" s="19" t="s">
        <v>30804</v>
      </c>
      <c r="I12421" s="20">
        <v>19.597999999999999</v>
      </c>
      <c r="J12421" s="44" t="s">
        <v>8</v>
      </c>
      <c r="K12421" s="23" t="s">
        <v>8</v>
      </c>
      <c r="L12421" s="23" t="s">
        <v>8</v>
      </c>
      <c r="M12421" s="23" t="s">
        <v>8</v>
      </c>
    </row>
    <row r="12422" spans="1:13" s="21" customFormat="1" x14ac:dyDescent="0.25">
      <c r="A12422" s="22" t="s">
        <v>8</v>
      </c>
      <c r="B12422" s="18" t="str">
        <f>"445409"</f>
        <v>445409</v>
      </c>
      <c r="C12422" s="19" t="s">
        <v>12218</v>
      </c>
      <c r="D12422" s="19" t="s">
        <v>27826</v>
      </c>
      <c r="E12422" s="19" t="s">
        <v>31014</v>
      </c>
      <c r="F12422" s="19" t="s">
        <v>36017</v>
      </c>
      <c r="G12422" s="18" t="str">
        <f>"37208"</f>
        <v>37208</v>
      </c>
      <c r="H12422" s="19" t="s">
        <v>36613</v>
      </c>
      <c r="I12422" s="20">
        <v>20.385000000000002</v>
      </c>
      <c r="J12422" s="44" t="s">
        <v>8</v>
      </c>
      <c r="K12422" s="23" t="s">
        <v>8</v>
      </c>
      <c r="L12422" s="23" t="s">
        <v>8</v>
      </c>
      <c r="M12422" s="23" t="s">
        <v>8</v>
      </c>
    </row>
    <row r="12423" spans="1:13" s="21" customFormat="1" x14ac:dyDescent="0.25">
      <c r="A12423" s="22" t="s">
        <v>8</v>
      </c>
      <c r="B12423" s="18" t="str">
        <f>"445410"</f>
        <v>445410</v>
      </c>
      <c r="C12423" s="19" t="s">
        <v>12219</v>
      </c>
      <c r="D12423" s="19" t="s">
        <v>27827</v>
      </c>
      <c r="E12423" s="19" t="s">
        <v>30892</v>
      </c>
      <c r="F12423" s="19" t="s">
        <v>36017</v>
      </c>
      <c r="G12423" s="18" t="str">
        <f>"37083"</f>
        <v>37083</v>
      </c>
      <c r="H12423" s="19" t="s">
        <v>31733</v>
      </c>
      <c r="I12423" s="20">
        <v>19.402999999999999</v>
      </c>
      <c r="J12423" s="44" t="s">
        <v>8</v>
      </c>
      <c r="K12423" s="23" t="s">
        <v>8</v>
      </c>
      <c r="L12423" s="23" t="s">
        <v>8</v>
      </c>
      <c r="M12423" s="23" t="s">
        <v>8</v>
      </c>
    </row>
    <row r="12424" spans="1:13" s="21" customFormat="1" x14ac:dyDescent="0.25">
      <c r="A12424" s="22" t="s">
        <v>8</v>
      </c>
      <c r="B12424" s="18" t="str">
        <f>"445411"</f>
        <v>445411</v>
      </c>
      <c r="C12424" s="19" t="s">
        <v>12220</v>
      </c>
      <c r="D12424" s="19" t="s">
        <v>27828</v>
      </c>
      <c r="E12424" s="19" t="s">
        <v>30855</v>
      </c>
      <c r="F12424" s="19" t="s">
        <v>36017</v>
      </c>
      <c r="G12424" s="18" t="str">
        <f>"38018"</f>
        <v>38018</v>
      </c>
      <c r="H12424" s="19" t="s">
        <v>33565</v>
      </c>
      <c r="I12424" s="20">
        <v>21.425999999999998</v>
      </c>
      <c r="J12424" s="44" t="s">
        <v>8</v>
      </c>
      <c r="K12424" s="23" t="s">
        <v>8</v>
      </c>
      <c r="L12424" s="23" t="s">
        <v>8</v>
      </c>
      <c r="M12424" s="23" t="s">
        <v>8</v>
      </c>
    </row>
    <row r="12425" spans="1:13" s="21" customFormat="1" x14ac:dyDescent="0.25">
      <c r="A12425" s="22" t="s">
        <v>8</v>
      </c>
      <c r="B12425" s="18" t="str">
        <f>"445412"</f>
        <v>445412</v>
      </c>
      <c r="C12425" s="19" t="s">
        <v>12221</v>
      </c>
      <c r="D12425" s="19" t="s">
        <v>27829</v>
      </c>
      <c r="E12425" s="19" t="s">
        <v>30816</v>
      </c>
      <c r="F12425" s="19" t="s">
        <v>36017</v>
      </c>
      <c r="G12425" s="18" t="str">
        <f>"38305"</f>
        <v>38305</v>
      </c>
      <c r="H12425" s="19" t="s">
        <v>30899</v>
      </c>
      <c r="I12425" s="20">
        <v>17.484000000000002</v>
      </c>
      <c r="J12425" s="44" t="s">
        <v>8</v>
      </c>
      <c r="K12425" s="23" t="s">
        <v>8</v>
      </c>
      <c r="L12425" s="23" t="s">
        <v>8</v>
      </c>
      <c r="M12425" s="23" t="s">
        <v>8</v>
      </c>
    </row>
    <row r="12426" spans="1:13" s="21" customFormat="1" x14ac:dyDescent="0.25">
      <c r="A12426" s="22" t="s">
        <v>8</v>
      </c>
      <c r="B12426" s="18" t="str">
        <f>"445413"</f>
        <v>445413</v>
      </c>
      <c r="C12426" s="19" t="s">
        <v>12222</v>
      </c>
      <c r="D12426" s="19" t="s">
        <v>27830</v>
      </c>
      <c r="E12426" s="19" t="s">
        <v>30816</v>
      </c>
      <c r="F12426" s="19" t="s">
        <v>36017</v>
      </c>
      <c r="G12426" s="18" t="str">
        <f>"38301"</f>
        <v>38301</v>
      </c>
      <c r="H12426" s="19" t="s">
        <v>30899</v>
      </c>
      <c r="I12426" s="20">
        <v>19.337</v>
      </c>
      <c r="J12426" s="44" t="s">
        <v>8</v>
      </c>
      <c r="K12426" s="23" t="s">
        <v>8</v>
      </c>
      <c r="L12426" s="23" t="s">
        <v>8</v>
      </c>
      <c r="M12426" s="23" t="s">
        <v>8</v>
      </c>
    </row>
    <row r="12427" spans="1:13" s="21" customFormat="1" x14ac:dyDescent="0.25">
      <c r="A12427" s="22" t="s">
        <v>8</v>
      </c>
      <c r="B12427" s="18" t="str">
        <f>"445415"</f>
        <v>445415</v>
      </c>
      <c r="C12427" s="19" t="s">
        <v>12223</v>
      </c>
      <c r="D12427" s="19" t="s">
        <v>27831</v>
      </c>
      <c r="E12427" s="19" t="s">
        <v>32067</v>
      </c>
      <c r="F12427" s="19" t="s">
        <v>36017</v>
      </c>
      <c r="G12427" s="18" t="str">
        <f>"37922"</f>
        <v>37922</v>
      </c>
      <c r="H12427" s="19" t="s">
        <v>32252</v>
      </c>
      <c r="I12427" s="20">
        <v>19.885000000000002</v>
      </c>
      <c r="J12427" s="44" t="s">
        <v>8</v>
      </c>
      <c r="K12427" s="23" t="s">
        <v>8</v>
      </c>
      <c r="L12427" s="23" t="s">
        <v>8</v>
      </c>
      <c r="M12427" s="23" t="s">
        <v>8</v>
      </c>
    </row>
    <row r="12428" spans="1:13" s="21" customFormat="1" x14ac:dyDescent="0.25">
      <c r="A12428" s="22" t="s">
        <v>8</v>
      </c>
      <c r="B12428" s="18" t="str">
        <f>"445419"</f>
        <v>445419</v>
      </c>
      <c r="C12428" s="19" t="s">
        <v>12224</v>
      </c>
      <c r="D12428" s="19" t="s">
        <v>27832</v>
      </c>
      <c r="E12428" s="19" t="s">
        <v>33740</v>
      </c>
      <c r="F12428" s="19" t="s">
        <v>36017</v>
      </c>
      <c r="G12428" s="18" t="str">
        <f>"38570"</f>
        <v>38570</v>
      </c>
      <c r="H12428" s="19" t="s">
        <v>35850</v>
      </c>
      <c r="I12428" s="20">
        <v>19.338000000000001</v>
      </c>
      <c r="J12428" s="44" t="s">
        <v>8</v>
      </c>
      <c r="K12428" s="23" t="s">
        <v>8</v>
      </c>
      <c r="L12428" s="23" t="s">
        <v>8</v>
      </c>
      <c r="M12428" s="23" t="s">
        <v>8</v>
      </c>
    </row>
    <row r="12429" spans="1:13" s="21" customFormat="1" x14ac:dyDescent="0.25">
      <c r="A12429" s="22" t="s">
        <v>8</v>
      </c>
      <c r="B12429" s="18" t="str">
        <f>"445420"</f>
        <v>445420</v>
      </c>
      <c r="C12429" s="19" t="s">
        <v>12225</v>
      </c>
      <c r="D12429" s="19" t="s">
        <v>27833</v>
      </c>
      <c r="E12429" s="19" t="s">
        <v>35146</v>
      </c>
      <c r="F12429" s="19" t="s">
        <v>36017</v>
      </c>
      <c r="G12429" s="18" t="str">
        <f>"37403"</f>
        <v>37403</v>
      </c>
      <c r="H12429" s="19" t="s">
        <v>30804</v>
      </c>
      <c r="I12429" s="20">
        <v>18.449000000000002</v>
      </c>
      <c r="J12429" s="44" t="s">
        <v>8</v>
      </c>
      <c r="K12429" s="23" t="s">
        <v>8</v>
      </c>
      <c r="L12429" s="23" t="s">
        <v>8</v>
      </c>
      <c r="M12429" s="23" t="s">
        <v>8</v>
      </c>
    </row>
    <row r="12430" spans="1:13" s="21" customFormat="1" x14ac:dyDescent="0.25">
      <c r="A12430" s="22" t="s">
        <v>8</v>
      </c>
      <c r="B12430" s="18" t="str">
        <f>"445421"</f>
        <v>445421</v>
      </c>
      <c r="C12430" s="19" t="s">
        <v>12226</v>
      </c>
      <c r="D12430" s="19" t="s">
        <v>27834</v>
      </c>
      <c r="E12430" s="19" t="s">
        <v>31756</v>
      </c>
      <c r="F12430" s="19" t="s">
        <v>36017</v>
      </c>
      <c r="G12430" s="18" t="str">
        <f>"38583"</f>
        <v>38583</v>
      </c>
      <c r="H12430" s="19" t="s">
        <v>35131</v>
      </c>
      <c r="I12430" s="20">
        <v>16.446000000000002</v>
      </c>
      <c r="J12430" s="44" t="s">
        <v>8</v>
      </c>
      <c r="K12430" s="23" t="s">
        <v>8</v>
      </c>
      <c r="L12430" s="23" t="s">
        <v>8</v>
      </c>
      <c r="M12430" s="23" t="s">
        <v>8</v>
      </c>
    </row>
    <row r="12431" spans="1:13" s="21" customFormat="1" x14ac:dyDescent="0.25">
      <c r="A12431" s="22" t="s">
        <v>8</v>
      </c>
      <c r="B12431" s="18" t="str">
        <f>"445422"</f>
        <v>445422</v>
      </c>
      <c r="C12431" s="19" t="s">
        <v>12227</v>
      </c>
      <c r="D12431" s="19" t="s">
        <v>27835</v>
      </c>
      <c r="E12431" s="19" t="s">
        <v>35172</v>
      </c>
      <c r="F12431" s="19" t="s">
        <v>36017</v>
      </c>
      <c r="G12431" s="18" t="str">
        <f>"37331"</f>
        <v>37331</v>
      </c>
      <c r="H12431" s="19" t="s">
        <v>36772</v>
      </c>
      <c r="I12431" s="20">
        <v>17.39</v>
      </c>
      <c r="J12431" s="44" t="s">
        <v>8</v>
      </c>
      <c r="K12431" s="23" t="s">
        <v>8</v>
      </c>
      <c r="L12431" s="23" t="s">
        <v>8</v>
      </c>
      <c r="M12431" s="23" t="s">
        <v>8</v>
      </c>
    </row>
    <row r="12432" spans="1:13" s="21" customFormat="1" x14ac:dyDescent="0.25">
      <c r="A12432" s="22" t="s">
        <v>8</v>
      </c>
      <c r="B12432" s="18" t="str">
        <f>"445423"</f>
        <v>445423</v>
      </c>
      <c r="C12432" s="19" t="s">
        <v>12228</v>
      </c>
      <c r="D12432" s="19" t="s">
        <v>27836</v>
      </c>
      <c r="E12432" s="19" t="s">
        <v>35168</v>
      </c>
      <c r="F12432" s="19" t="s">
        <v>36017</v>
      </c>
      <c r="G12432" s="18" t="str">
        <f>"38237"</f>
        <v>38237</v>
      </c>
      <c r="H12432" s="19" t="s">
        <v>36777</v>
      </c>
      <c r="I12432" s="20">
        <v>19.018000000000001</v>
      </c>
      <c r="J12432" s="44" t="s">
        <v>8</v>
      </c>
      <c r="K12432" s="23" t="s">
        <v>8</v>
      </c>
      <c r="L12432" s="23" t="s">
        <v>8</v>
      </c>
      <c r="M12432" s="23" t="s">
        <v>8</v>
      </c>
    </row>
    <row r="12433" spans="1:13" s="21" customFormat="1" x14ac:dyDescent="0.25">
      <c r="A12433" s="22" t="s">
        <v>8</v>
      </c>
      <c r="B12433" s="18" t="str">
        <f>"445424"</f>
        <v>445424</v>
      </c>
      <c r="C12433" s="19" t="s">
        <v>12229</v>
      </c>
      <c r="D12433" s="19" t="s">
        <v>27837</v>
      </c>
      <c r="E12433" s="19" t="s">
        <v>35149</v>
      </c>
      <c r="F12433" s="19" t="s">
        <v>36017</v>
      </c>
      <c r="G12433" s="18" t="str">
        <f>"37650"</f>
        <v>37650</v>
      </c>
      <c r="H12433" s="19" t="s">
        <v>36771</v>
      </c>
      <c r="I12433" s="20">
        <v>23.891999999999999</v>
      </c>
      <c r="J12433" s="44" t="s">
        <v>8</v>
      </c>
      <c r="K12433" s="23" t="s">
        <v>8</v>
      </c>
      <c r="L12433" s="23" t="s">
        <v>8</v>
      </c>
      <c r="M12433" s="23" t="s">
        <v>8</v>
      </c>
    </row>
    <row r="12434" spans="1:13" s="21" customFormat="1" x14ac:dyDescent="0.25">
      <c r="A12434" s="22" t="s">
        <v>8</v>
      </c>
      <c r="B12434" s="18" t="str">
        <f>"445425"</f>
        <v>445425</v>
      </c>
      <c r="C12434" s="19" t="s">
        <v>12230</v>
      </c>
      <c r="D12434" s="19" t="s">
        <v>27838</v>
      </c>
      <c r="E12434" s="19" t="s">
        <v>35198</v>
      </c>
      <c r="F12434" s="19" t="s">
        <v>36017</v>
      </c>
      <c r="G12434" s="18" t="str">
        <f>"38053"</f>
        <v>38053</v>
      </c>
      <c r="H12434" s="19" t="s">
        <v>33565</v>
      </c>
      <c r="I12434" s="20">
        <v>16.620999999999999</v>
      </c>
      <c r="J12434" s="44" t="s">
        <v>8</v>
      </c>
      <c r="K12434" s="23" t="s">
        <v>8</v>
      </c>
      <c r="L12434" s="23" t="s">
        <v>8</v>
      </c>
      <c r="M12434" s="23" t="s">
        <v>8</v>
      </c>
    </row>
    <row r="12435" spans="1:13" s="21" customFormat="1" x14ac:dyDescent="0.25">
      <c r="A12435" s="22" t="s">
        <v>8</v>
      </c>
      <c r="B12435" s="18" t="str">
        <f>"445426"</f>
        <v>445426</v>
      </c>
      <c r="C12435" s="19" t="s">
        <v>12231</v>
      </c>
      <c r="D12435" s="19" t="s">
        <v>27839</v>
      </c>
      <c r="E12435" s="19" t="s">
        <v>33722</v>
      </c>
      <c r="F12435" s="19" t="s">
        <v>36017</v>
      </c>
      <c r="G12435" s="18" t="str">
        <f>"38117"</f>
        <v>38117</v>
      </c>
      <c r="H12435" s="19" t="s">
        <v>33565</v>
      </c>
      <c r="I12435" s="20">
        <v>19.408000000000001</v>
      </c>
      <c r="J12435" s="44" t="s">
        <v>8</v>
      </c>
      <c r="K12435" s="23" t="s">
        <v>8</v>
      </c>
      <c r="L12435" s="23" t="s">
        <v>8</v>
      </c>
      <c r="M12435" s="23" t="s">
        <v>8</v>
      </c>
    </row>
    <row r="12436" spans="1:13" s="21" customFormat="1" x14ac:dyDescent="0.25">
      <c r="A12436" s="22" t="s">
        <v>8</v>
      </c>
      <c r="B12436" s="18" t="str">
        <f>"445427"</f>
        <v>445427</v>
      </c>
      <c r="C12436" s="19" t="s">
        <v>12232</v>
      </c>
      <c r="D12436" s="19" t="s">
        <v>27840</v>
      </c>
      <c r="E12436" s="19" t="s">
        <v>35151</v>
      </c>
      <c r="F12436" s="19" t="s">
        <v>36017</v>
      </c>
      <c r="G12436" s="18" t="str">
        <f>"38501"</f>
        <v>38501</v>
      </c>
      <c r="H12436" s="19" t="s">
        <v>31482</v>
      </c>
      <c r="I12436" s="20">
        <v>17.414000000000001</v>
      </c>
      <c r="J12436" s="44" t="s">
        <v>8</v>
      </c>
      <c r="K12436" s="23" t="s">
        <v>8</v>
      </c>
      <c r="L12436" s="23" t="s">
        <v>8</v>
      </c>
      <c r="M12436" s="23" t="s">
        <v>8</v>
      </c>
    </row>
    <row r="12437" spans="1:13" s="21" customFormat="1" x14ac:dyDescent="0.25">
      <c r="A12437" s="22" t="s">
        <v>8</v>
      </c>
      <c r="B12437" s="18" t="str">
        <f>"445428"</f>
        <v>445428</v>
      </c>
      <c r="C12437" s="19" t="s">
        <v>12233</v>
      </c>
      <c r="D12437" s="19" t="s">
        <v>27841</v>
      </c>
      <c r="E12437" s="19" t="s">
        <v>33722</v>
      </c>
      <c r="F12437" s="19" t="s">
        <v>36017</v>
      </c>
      <c r="G12437" s="18" t="str">
        <f>"38107"</f>
        <v>38107</v>
      </c>
      <c r="H12437" s="19" t="s">
        <v>33565</v>
      </c>
      <c r="I12437" s="20">
        <v>21.116</v>
      </c>
      <c r="J12437" s="44" t="s">
        <v>8</v>
      </c>
      <c r="K12437" s="23" t="s">
        <v>8</v>
      </c>
      <c r="L12437" s="23" t="s">
        <v>8</v>
      </c>
      <c r="M12437" s="23" t="s">
        <v>8</v>
      </c>
    </row>
    <row r="12438" spans="1:13" s="21" customFormat="1" x14ac:dyDescent="0.25">
      <c r="A12438" s="22" t="s">
        <v>8</v>
      </c>
      <c r="B12438" s="18" t="str">
        <f>"445429"</f>
        <v>445429</v>
      </c>
      <c r="C12438" s="19" t="s">
        <v>12234</v>
      </c>
      <c r="D12438" s="19" t="s">
        <v>20603</v>
      </c>
      <c r="E12438" s="19" t="s">
        <v>35189</v>
      </c>
      <c r="F12438" s="19" t="s">
        <v>36017</v>
      </c>
      <c r="G12438" s="18" t="str">
        <f>"38201"</f>
        <v>38201</v>
      </c>
      <c r="H12438" s="19" t="s">
        <v>32334</v>
      </c>
      <c r="I12438" s="20">
        <v>16.617999999999999</v>
      </c>
      <c r="J12438" s="44" t="s">
        <v>8</v>
      </c>
      <c r="K12438" s="23" t="s">
        <v>8</v>
      </c>
      <c r="L12438" s="23" t="s">
        <v>8</v>
      </c>
      <c r="M12438" s="23" t="s">
        <v>8</v>
      </c>
    </row>
    <row r="12439" spans="1:13" s="21" customFormat="1" x14ac:dyDescent="0.25">
      <c r="A12439" s="22" t="s">
        <v>8</v>
      </c>
      <c r="B12439" s="18" t="str">
        <f>"445430"</f>
        <v>445430</v>
      </c>
      <c r="C12439" s="19" t="s">
        <v>12235</v>
      </c>
      <c r="D12439" s="19" t="s">
        <v>27842</v>
      </c>
      <c r="E12439" s="19" t="s">
        <v>35199</v>
      </c>
      <c r="F12439" s="19" t="s">
        <v>36017</v>
      </c>
      <c r="G12439" s="18" t="str">
        <f>"38462"</f>
        <v>38462</v>
      </c>
      <c r="H12439" s="19" t="s">
        <v>36336</v>
      </c>
      <c r="I12439" s="20">
        <v>17.266999999999999</v>
      </c>
      <c r="J12439" s="44" t="s">
        <v>8</v>
      </c>
      <c r="K12439" s="23" t="s">
        <v>8</v>
      </c>
      <c r="L12439" s="23" t="s">
        <v>8</v>
      </c>
      <c r="M12439" s="23" t="s">
        <v>8</v>
      </c>
    </row>
    <row r="12440" spans="1:13" s="21" customFormat="1" x14ac:dyDescent="0.25">
      <c r="A12440" s="22" t="s">
        <v>8</v>
      </c>
      <c r="B12440" s="18" t="str">
        <f>"445431"</f>
        <v>445431</v>
      </c>
      <c r="C12440" s="19" t="s">
        <v>12236</v>
      </c>
      <c r="D12440" s="19" t="s">
        <v>27843</v>
      </c>
      <c r="E12440" s="19" t="s">
        <v>32692</v>
      </c>
      <c r="F12440" s="19" t="s">
        <v>36017</v>
      </c>
      <c r="G12440" s="18" t="str">
        <f>"38351"</f>
        <v>38351</v>
      </c>
      <c r="H12440" s="19" t="s">
        <v>32699</v>
      </c>
      <c r="I12440" s="20">
        <v>18.914000000000001</v>
      </c>
      <c r="J12440" s="44" t="s">
        <v>8</v>
      </c>
      <c r="K12440" s="23" t="s">
        <v>8</v>
      </c>
      <c r="L12440" s="23" t="s">
        <v>8</v>
      </c>
      <c r="M12440" s="23" t="s">
        <v>8</v>
      </c>
    </row>
    <row r="12441" spans="1:13" s="21" customFormat="1" x14ac:dyDescent="0.25">
      <c r="A12441" s="22" t="s">
        <v>8</v>
      </c>
      <c r="B12441" s="18" t="str">
        <f>"445433"</f>
        <v>445433</v>
      </c>
      <c r="C12441" s="19" t="s">
        <v>12237</v>
      </c>
      <c r="D12441" s="19" t="s">
        <v>27844</v>
      </c>
      <c r="E12441" s="19" t="s">
        <v>31010</v>
      </c>
      <c r="F12441" s="19" t="s">
        <v>36017</v>
      </c>
      <c r="G12441" s="18" t="str">
        <f>"37043"</f>
        <v>37043</v>
      </c>
      <c r="H12441" s="19" t="s">
        <v>30833</v>
      </c>
      <c r="I12441" s="20">
        <v>19.3</v>
      </c>
      <c r="J12441" s="44" t="s">
        <v>8</v>
      </c>
      <c r="K12441" s="23" t="s">
        <v>8</v>
      </c>
      <c r="L12441" s="23" t="s">
        <v>8</v>
      </c>
      <c r="M12441" s="23" t="s">
        <v>8</v>
      </c>
    </row>
    <row r="12442" spans="1:13" s="21" customFormat="1" x14ac:dyDescent="0.25">
      <c r="A12442" s="22" t="s">
        <v>8</v>
      </c>
      <c r="B12442" s="18" t="str">
        <f>"445434"</f>
        <v>445434</v>
      </c>
      <c r="C12442" s="19" t="s">
        <v>12238</v>
      </c>
      <c r="D12442" s="19" t="s">
        <v>27845</v>
      </c>
      <c r="E12442" s="19" t="s">
        <v>32326</v>
      </c>
      <c r="F12442" s="19" t="s">
        <v>36017</v>
      </c>
      <c r="G12442" s="18" t="str">
        <f>"38358"</f>
        <v>38358</v>
      </c>
      <c r="H12442" s="19" t="s">
        <v>31829</v>
      </c>
      <c r="I12442" s="20">
        <v>19.768000000000001</v>
      </c>
      <c r="J12442" s="44" t="s">
        <v>8</v>
      </c>
      <c r="K12442" s="23" t="s">
        <v>8</v>
      </c>
      <c r="L12442" s="23" t="s">
        <v>8</v>
      </c>
      <c r="M12442" s="23" t="s">
        <v>8</v>
      </c>
    </row>
    <row r="12443" spans="1:13" s="21" customFormat="1" x14ac:dyDescent="0.25">
      <c r="A12443" s="22" t="s">
        <v>8</v>
      </c>
      <c r="B12443" s="18" t="str">
        <f>"445435"</f>
        <v>445435</v>
      </c>
      <c r="C12443" s="19" t="s">
        <v>12239</v>
      </c>
      <c r="D12443" s="19" t="s">
        <v>25994</v>
      </c>
      <c r="E12443" s="19" t="s">
        <v>33348</v>
      </c>
      <c r="F12443" s="19" t="s">
        <v>36017</v>
      </c>
      <c r="G12443" s="18" t="str">
        <f>"37190"</f>
        <v>37190</v>
      </c>
      <c r="H12443" s="19" t="s">
        <v>36783</v>
      </c>
      <c r="I12443" s="20">
        <v>15.42</v>
      </c>
      <c r="J12443" s="44" t="s">
        <v>8</v>
      </c>
      <c r="K12443" s="23" t="s">
        <v>8</v>
      </c>
      <c r="L12443" s="23" t="s">
        <v>8</v>
      </c>
      <c r="M12443" s="23" t="s">
        <v>8</v>
      </c>
    </row>
    <row r="12444" spans="1:13" s="21" customFormat="1" x14ac:dyDescent="0.25">
      <c r="A12444" s="22" t="s">
        <v>8</v>
      </c>
      <c r="B12444" s="18" t="str">
        <f>"445436"</f>
        <v>445436</v>
      </c>
      <c r="C12444" s="19" t="s">
        <v>12240</v>
      </c>
      <c r="D12444" s="19" t="s">
        <v>27846</v>
      </c>
      <c r="E12444" s="19" t="s">
        <v>33722</v>
      </c>
      <c r="F12444" s="19" t="s">
        <v>36017</v>
      </c>
      <c r="G12444" s="18" t="str">
        <f>"38127"</f>
        <v>38127</v>
      </c>
      <c r="H12444" s="19" t="s">
        <v>33565</v>
      </c>
      <c r="I12444" s="20">
        <v>19.003</v>
      </c>
      <c r="J12444" s="44" t="s">
        <v>8</v>
      </c>
      <c r="K12444" s="23" t="s">
        <v>8</v>
      </c>
      <c r="L12444" s="23" t="s">
        <v>8</v>
      </c>
      <c r="M12444" s="23" t="s">
        <v>8</v>
      </c>
    </row>
    <row r="12445" spans="1:13" s="21" customFormat="1" x14ac:dyDescent="0.25">
      <c r="A12445" s="22" t="s">
        <v>8</v>
      </c>
      <c r="B12445" s="18" t="str">
        <f>"445437"</f>
        <v>445437</v>
      </c>
      <c r="C12445" s="19" t="s">
        <v>12241</v>
      </c>
      <c r="D12445" s="19" t="s">
        <v>27847</v>
      </c>
      <c r="E12445" s="19" t="s">
        <v>35190</v>
      </c>
      <c r="F12445" s="19" t="s">
        <v>36017</v>
      </c>
      <c r="G12445" s="18" t="str">
        <f>"38225"</f>
        <v>38225</v>
      </c>
      <c r="H12445" s="19" t="s">
        <v>36777</v>
      </c>
      <c r="I12445" s="20">
        <v>19.457000000000001</v>
      </c>
      <c r="J12445" s="44" t="s">
        <v>8</v>
      </c>
      <c r="K12445" s="23" t="s">
        <v>8</v>
      </c>
      <c r="L12445" s="23" t="s">
        <v>8</v>
      </c>
      <c r="M12445" s="23" t="s">
        <v>8</v>
      </c>
    </row>
    <row r="12446" spans="1:13" s="21" customFormat="1" x14ac:dyDescent="0.25">
      <c r="A12446" s="22" t="s">
        <v>8</v>
      </c>
      <c r="B12446" s="18" t="str">
        <f>"445439"</f>
        <v>445439</v>
      </c>
      <c r="C12446" s="19" t="s">
        <v>12242</v>
      </c>
      <c r="D12446" s="19" t="s">
        <v>27848</v>
      </c>
      <c r="E12446" s="19" t="s">
        <v>35200</v>
      </c>
      <c r="F12446" s="19" t="s">
        <v>36017</v>
      </c>
      <c r="G12446" s="18" t="str">
        <f>"37122"</f>
        <v>37122</v>
      </c>
      <c r="H12446" s="19" t="s">
        <v>32577</v>
      </c>
      <c r="I12446" s="20">
        <v>19.14</v>
      </c>
      <c r="J12446" s="44" t="s">
        <v>8</v>
      </c>
      <c r="K12446" s="23" t="s">
        <v>8</v>
      </c>
      <c r="L12446" s="23" t="s">
        <v>8</v>
      </c>
      <c r="M12446" s="23" t="s">
        <v>8</v>
      </c>
    </row>
    <row r="12447" spans="1:13" s="21" customFormat="1" x14ac:dyDescent="0.25">
      <c r="A12447" s="22" t="s">
        <v>8</v>
      </c>
      <c r="B12447" s="18" t="str">
        <f>"445440"</f>
        <v>445440</v>
      </c>
      <c r="C12447" s="19" t="s">
        <v>12243</v>
      </c>
      <c r="D12447" s="19" t="s">
        <v>27849</v>
      </c>
      <c r="E12447" s="19" t="s">
        <v>35201</v>
      </c>
      <c r="F12447" s="19" t="s">
        <v>36017</v>
      </c>
      <c r="G12447" s="18" t="str">
        <f>"38036"</f>
        <v>38036</v>
      </c>
      <c r="H12447" s="19" t="s">
        <v>30805</v>
      </c>
      <c r="I12447" s="20">
        <v>18.805</v>
      </c>
      <c r="J12447" s="44" t="s">
        <v>8</v>
      </c>
      <c r="K12447" s="23" t="s">
        <v>8</v>
      </c>
      <c r="L12447" s="23" t="s">
        <v>8</v>
      </c>
      <c r="M12447" s="23" t="s">
        <v>8</v>
      </c>
    </row>
    <row r="12448" spans="1:13" s="21" customFormat="1" x14ac:dyDescent="0.25">
      <c r="A12448" s="22" t="s">
        <v>8</v>
      </c>
      <c r="B12448" s="18" t="str">
        <f>"445441"</f>
        <v>445441</v>
      </c>
      <c r="C12448" s="19" t="s">
        <v>12244</v>
      </c>
      <c r="D12448" s="19" t="s">
        <v>27850</v>
      </c>
      <c r="E12448" s="19" t="s">
        <v>32530</v>
      </c>
      <c r="F12448" s="19" t="s">
        <v>36017</v>
      </c>
      <c r="G12448" s="18" t="str">
        <f>"38343"</f>
        <v>38343</v>
      </c>
      <c r="H12448" s="19" t="s">
        <v>31829</v>
      </c>
      <c r="I12448" s="20">
        <v>20.867000000000001</v>
      </c>
      <c r="J12448" s="44" t="s">
        <v>8</v>
      </c>
      <c r="K12448" s="23" t="s">
        <v>8</v>
      </c>
      <c r="L12448" s="23" t="s">
        <v>8</v>
      </c>
      <c r="M12448" s="23" t="s">
        <v>8</v>
      </c>
    </row>
    <row r="12449" spans="1:13" s="21" customFormat="1" x14ac:dyDescent="0.25">
      <c r="A12449" s="22" t="s">
        <v>8</v>
      </c>
      <c r="B12449" s="18" t="str">
        <f>"445442"</f>
        <v>445442</v>
      </c>
      <c r="C12449" s="19" t="s">
        <v>12245</v>
      </c>
      <c r="D12449" s="19" t="s">
        <v>27851</v>
      </c>
      <c r="E12449" s="19" t="s">
        <v>32762</v>
      </c>
      <c r="F12449" s="19" t="s">
        <v>36017</v>
      </c>
      <c r="G12449" s="18" t="str">
        <f>"38012"</f>
        <v>38012</v>
      </c>
      <c r="H12449" s="19" t="s">
        <v>36623</v>
      </c>
      <c r="I12449" s="20">
        <v>17.106000000000002</v>
      </c>
      <c r="J12449" s="44" t="s">
        <v>8</v>
      </c>
      <c r="K12449" s="23" t="s">
        <v>8</v>
      </c>
      <c r="L12449" s="23" t="s">
        <v>8</v>
      </c>
      <c r="M12449" s="23" t="s">
        <v>8</v>
      </c>
    </row>
    <row r="12450" spans="1:13" s="21" customFormat="1" x14ac:dyDescent="0.25">
      <c r="A12450" s="22" t="s">
        <v>8</v>
      </c>
      <c r="B12450" s="18" t="str">
        <f>"445443"</f>
        <v>445443</v>
      </c>
      <c r="C12450" s="19" t="s">
        <v>10593</v>
      </c>
      <c r="D12450" s="19" t="s">
        <v>27852</v>
      </c>
      <c r="E12450" s="19" t="s">
        <v>31795</v>
      </c>
      <c r="F12450" s="19" t="s">
        <v>36017</v>
      </c>
      <c r="G12450" s="18" t="str">
        <f>"38478"</f>
        <v>38478</v>
      </c>
      <c r="H12450" s="19" t="s">
        <v>36765</v>
      </c>
      <c r="I12450" s="20">
        <v>22.338999999999999</v>
      </c>
      <c r="J12450" s="44" t="s">
        <v>8</v>
      </c>
      <c r="K12450" s="23" t="s">
        <v>8</v>
      </c>
      <c r="L12450" s="23" t="s">
        <v>8</v>
      </c>
      <c r="M12450" s="23" t="s">
        <v>8</v>
      </c>
    </row>
    <row r="12451" spans="1:13" s="21" customFormat="1" x14ac:dyDescent="0.25">
      <c r="A12451" s="22" t="s">
        <v>8</v>
      </c>
      <c r="B12451" s="18" t="str">
        <f>"445444"</f>
        <v>445444</v>
      </c>
      <c r="C12451" s="19" t="s">
        <v>12246</v>
      </c>
      <c r="D12451" s="19" t="s">
        <v>27853</v>
      </c>
      <c r="E12451" s="19" t="s">
        <v>31719</v>
      </c>
      <c r="F12451" s="19" t="s">
        <v>36017</v>
      </c>
      <c r="G12451" s="18" t="str">
        <f>"38372"</f>
        <v>38372</v>
      </c>
      <c r="H12451" s="19" t="s">
        <v>32124</v>
      </c>
      <c r="I12451" s="20">
        <v>19.863</v>
      </c>
      <c r="J12451" s="44" t="s">
        <v>8</v>
      </c>
      <c r="K12451" s="23" t="s">
        <v>8</v>
      </c>
      <c r="L12451" s="23" t="s">
        <v>8</v>
      </c>
      <c r="M12451" s="23" t="s">
        <v>8</v>
      </c>
    </row>
    <row r="12452" spans="1:13" s="21" customFormat="1" x14ac:dyDescent="0.25">
      <c r="A12452" s="22" t="s">
        <v>8</v>
      </c>
      <c r="B12452" s="18" t="str">
        <f>"445445"</f>
        <v>445445</v>
      </c>
      <c r="C12452" s="19" t="s">
        <v>12247</v>
      </c>
      <c r="D12452" s="19" t="s">
        <v>27854</v>
      </c>
      <c r="E12452" s="19" t="s">
        <v>34455</v>
      </c>
      <c r="F12452" s="19" t="s">
        <v>36017</v>
      </c>
      <c r="G12452" s="18" t="str">
        <f>"38551"</f>
        <v>38551</v>
      </c>
      <c r="H12452" s="19" t="s">
        <v>36030</v>
      </c>
      <c r="I12452" s="20">
        <v>17.193999999999999</v>
      </c>
      <c r="J12452" s="44" t="s">
        <v>8</v>
      </c>
      <c r="K12452" s="23" t="s">
        <v>8</v>
      </c>
      <c r="L12452" s="23" t="s">
        <v>8</v>
      </c>
      <c r="M12452" s="23" t="s">
        <v>8</v>
      </c>
    </row>
    <row r="12453" spans="1:13" s="21" customFormat="1" x14ac:dyDescent="0.25">
      <c r="A12453" s="22" t="s">
        <v>8</v>
      </c>
      <c r="B12453" s="18" t="str">
        <f>"445446"</f>
        <v>445446</v>
      </c>
      <c r="C12453" s="19" t="s">
        <v>12248</v>
      </c>
      <c r="D12453" s="19" t="s">
        <v>27855</v>
      </c>
      <c r="E12453" s="19" t="s">
        <v>35143</v>
      </c>
      <c r="F12453" s="19" t="s">
        <v>36017</v>
      </c>
      <c r="G12453" s="18" t="str">
        <f>"38024"</f>
        <v>38024</v>
      </c>
      <c r="H12453" s="19" t="s">
        <v>32239</v>
      </c>
      <c r="I12453" s="20">
        <v>22.088000000000001</v>
      </c>
      <c r="J12453" s="44" t="s">
        <v>8</v>
      </c>
      <c r="K12453" s="23" t="s">
        <v>8</v>
      </c>
      <c r="L12453" s="23" t="s">
        <v>8</v>
      </c>
      <c r="M12453" s="23" t="s">
        <v>8</v>
      </c>
    </row>
    <row r="12454" spans="1:13" s="21" customFormat="1" x14ac:dyDescent="0.25">
      <c r="A12454" s="22" t="s">
        <v>8</v>
      </c>
      <c r="B12454" s="18" t="str">
        <f>"445447"</f>
        <v>445447</v>
      </c>
      <c r="C12454" s="19" t="s">
        <v>12249</v>
      </c>
      <c r="D12454" s="19" t="s">
        <v>27856</v>
      </c>
      <c r="E12454" s="19" t="s">
        <v>30816</v>
      </c>
      <c r="F12454" s="19" t="s">
        <v>36017</v>
      </c>
      <c r="G12454" s="18" t="str">
        <f>"38301"</f>
        <v>38301</v>
      </c>
      <c r="H12454" s="19" t="s">
        <v>30899</v>
      </c>
      <c r="I12454" s="20">
        <v>18.887</v>
      </c>
      <c r="J12454" s="44" t="s">
        <v>8</v>
      </c>
      <c r="K12454" s="23" t="s">
        <v>8</v>
      </c>
      <c r="L12454" s="23" t="s">
        <v>8</v>
      </c>
      <c r="M12454" s="23" t="s">
        <v>8</v>
      </c>
    </row>
    <row r="12455" spans="1:13" s="21" customFormat="1" x14ac:dyDescent="0.25">
      <c r="A12455" s="22" t="s">
        <v>8</v>
      </c>
      <c r="B12455" s="18" t="str">
        <f>"445448"</f>
        <v>445448</v>
      </c>
      <c r="C12455" s="19" t="s">
        <v>12250</v>
      </c>
      <c r="D12455" s="19" t="s">
        <v>27857</v>
      </c>
      <c r="E12455" s="19" t="s">
        <v>31010</v>
      </c>
      <c r="F12455" s="19" t="s">
        <v>36017</v>
      </c>
      <c r="G12455" s="18" t="str">
        <f>"37043"</f>
        <v>37043</v>
      </c>
      <c r="H12455" s="19" t="s">
        <v>30833</v>
      </c>
      <c r="I12455" s="20">
        <v>17.439</v>
      </c>
      <c r="J12455" s="44" t="s">
        <v>8</v>
      </c>
      <c r="K12455" s="23" t="s">
        <v>8</v>
      </c>
      <c r="L12455" s="23" t="s">
        <v>8</v>
      </c>
      <c r="M12455" s="23" t="s">
        <v>8</v>
      </c>
    </row>
    <row r="12456" spans="1:13" s="21" customFormat="1" x14ac:dyDescent="0.25">
      <c r="A12456" s="22" t="s">
        <v>8</v>
      </c>
      <c r="B12456" s="18" t="str">
        <f>"445449"</f>
        <v>445449</v>
      </c>
      <c r="C12456" s="19" t="s">
        <v>12251</v>
      </c>
      <c r="D12456" s="19" t="s">
        <v>27858</v>
      </c>
      <c r="E12456" s="19" t="s">
        <v>35202</v>
      </c>
      <c r="F12456" s="19" t="s">
        <v>36017</v>
      </c>
      <c r="G12456" s="18" t="str">
        <f>"38329"</f>
        <v>38329</v>
      </c>
      <c r="H12456" s="19" t="s">
        <v>30853</v>
      </c>
      <c r="I12456" s="20">
        <v>21.582000000000001</v>
      </c>
      <c r="J12456" s="44" t="s">
        <v>8</v>
      </c>
      <c r="K12456" s="23" t="s">
        <v>8</v>
      </c>
      <c r="L12456" s="23" t="s">
        <v>8</v>
      </c>
      <c r="M12456" s="23" t="s">
        <v>8</v>
      </c>
    </row>
    <row r="12457" spans="1:13" s="21" customFormat="1" x14ac:dyDescent="0.25">
      <c r="A12457" s="22" t="s">
        <v>8</v>
      </c>
      <c r="B12457" s="18" t="str">
        <f>"445451"</f>
        <v>445451</v>
      </c>
      <c r="C12457" s="19" t="s">
        <v>12252</v>
      </c>
      <c r="D12457" s="19" t="s">
        <v>27859</v>
      </c>
      <c r="E12457" s="19" t="s">
        <v>32578</v>
      </c>
      <c r="F12457" s="19" t="s">
        <v>36017</v>
      </c>
      <c r="G12457" s="18" t="str">
        <f>"38363"</f>
        <v>38363</v>
      </c>
      <c r="H12457" s="19" t="s">
        <v>30853</v>
      </c>
      <c r="I12457" s="20">
        <v>20.712</v>
      </c>
      <c r="J12457" s="44" t="s">
        <v>8</v>
      </c>
      <c r="K12457" s="23" t="s">
        <v>8</v>
      </c>
      <c r="L12457" s="23" t="s">
        <v>8</v>
      </c>
      <c r="M12457" s="23" t="s">
        <v>8</v>
      </c>
    </row>
    <row r="12458" spans="1:13" s="21" customFormat="1" x14ac:dyDescent="0.25">
      <c r="A12458" s="22" t="s">
        <v>8</v>
      </c>
      <c r="B12458" s="18" t="str">
        <f>"445452"</f>
        <v>445452</v>
      </c>
      <c r="C12458" s="19" t="s">
        <v>12253</v>
      </c>
      <c r="D12458" s="19" t="s">
        <v>27860</v>
      </c>
      <c r="E12458" s="19" t="s">
        <v>35142</v>
      </c>
      <c r="F12458" s="19" t="s">
        <v>36017</v>
      </c>
      <c r="G12458" s="18" t="str">
        <f>"38375"</f>
        <v>38375</v>
      </c>
      <c r="H12458" s="19" t="s">
        <v>36767</v>
      </c>
      <c r="I12458" s="20">
        <v>18.855</v>
      </c>
      <c r="J12458" s="44" t="s">
        <v>8</v>
      </c>
      <c r="K12458" s="23" t="s">
        <v>8</v>
      </c>
      <c r="L12458" s="23" t="s">
        <v>8</v>
      </c>
      <c r="M12458" s="23" t="s">
        <v>8</v>
      </c>
    </row>
    <row r="12459" spans="1:13" s="21" customFormat="1" x14ac:dyDescent="0.25">
      <c r="A12459" s="22" t="s">
        <v>8</v>
      </c>
      <c r="B12459" s="18" t="str">
        <f>"445453"</f>
        <v>445453</v>
      </c>
      <c r="C12459" s="19" t="s">
        <v>12254</v>
      </c>
      <c r="D12459" s="19" t="s">
        <v>27861</v>
      </c>
      <c r="E12459" s="19" t="s">
        <v>30816</v>
      </c>
      <c r="F12459" s="19" t="s">
        <v>36017</v>
      </c>
      <c r="G12459" s="18" t="str">
        <f>"38301"</f>
        <v>38301</v>
      </c>
      <c r="H12459" s="19" t="s">
        <v>30899</v>
      </c>
      <c r="I12459" s="20">
        <v>19.434999999999999</v>
      </c>
      <c r="J12459" s="44" t="s">
        <v>8</v>
      </c>
      <c r="K12459" s="23" t="s">
        <v>8</v>
      </c>
      <c r="L12459" s="23" t="s">
        <v>8</v>
      </c>
      <c r="M12459" s="23" t="s">
        <v>8</v>
      </c>
    </row>
    <row r="12460" spans="1:13" s="21" customFormat="1" x14ac:dyDescent="0.25">
      <c r="A12460" s="22" t="s">
        <v>8</v>
      </c>
      <c r="B12460" s="18" t="str">
        <f>"445454"</f>
        <v>445454</v>
      </c>
      <c r="C12460" s="19" t="s">
        <v>12255</v>
      </c>
      <c r="D12460" s="19" t="s">
        <v>27862</v>
      </c>
      <c r="E12460" s="19" t="s">
        <v>32530</v>
      </c>
      <c r="F12460" s="19" t="s">
        <v>36017</v>
      </c>
      <c r="G12460" s="18" t="str">
        <f>"38343"</f>
        <v>38343</v>
      </c>
      <c r="H12460" s="19" t="s">
        <v>31829</v>
      </c>
      <c r="I12460" s="20">
        <v>18.513000000000002</v>
      </c>
      <c r="J12460" s="44" t="s">
        <v>8</v>
      </c>
      <c r="K12460" s="23" t="s">
        <v>8</v>
      </c>
      <c r="L12460" s="23" t="s">
        <v>8</v>
      </c>
      <c r="M12460" s="23" t="s">
        <v>8</v>
      </c>
    </row>
    <row r="12461" spans="1:13" s="21" customFormat="1" x14ac:dyDescent="0.25">
      <c r="A12461" s="22" t="s">
        <v>8</v>
      </c>
      <c r="B12461" s="18" t="str">
        <f>"445455"</f>
        <v>445455</v>
      </c>
      <c r="C12461" s="19" t="s">
        <v>12256</v>
      </c>
      <c r="D12461" s="19" t="s">
        <v>27863</v>
      </c>
      <c r="E12461" s="19" t="s">
        <v>31010</v>
      </c>
      <c r="F12461" s="19" t="s">
        <v>36017</v>
      </c>
      <c r="G12461" s="18" t="str">
        <f>"37040"</f>
        <v>37040</v>
      </c>
      <c r="H12461" s="19" t="s">
        <v>30833</v>
      </c>
      <c r="I12461" s="20">
        <v>18.254000000000001</v>
      </c>
      <c r="J12461" s="44" t="s">
        <v>8</v>
      </c>
      <c r="K12461" s="23" t="s">
        <v>8</v>
      </c>
      <c r="L12461" s="23" t="s">
        <v>8</v>
      </c>
      <c r="M12461" s="23" t="s">
        <v>8</v>
      </c>
    </row>
    <row r="12462" spans="1:13" s="21" customFormat="1" x14ac:dyDescent="0.25">
      <c r="A12462" s="22" t="s">
        <v>8</v>
      </c>
      <c r="B12462" s="18" t="str">
        <f>"445456"</f>
        <v>445456</v>
      </c>
      <c r="C12462" s="19" t="s">
        <v>12257</v>
      </c>
      <c r="D12462" s="19" t="s">
        <v>27864</v>
      </c>
      <c r="E12462" s="19" t="s">
        <v>35184</v>
      </c>
      <c r="F12462" s="19" t="s">
        <v>36017</v>
      </c>
      <c r="G12462" s="18" t="str">
        <f>"37874"</f>
        <v>37874</v>
      </c>
      <c r="H12462" s="19" t="s">
        <v>31711</v>
      </c>
      <c r="I12462" s="20">
        <v>17.888999999999999</v>
      </c>
      <c r="J12462" s="44" t="s">
        <v>8</v>
      </c>
      <c r="K12462" s="23" t="s">
        <v>8</v>
      </c>
      <c r="L12462" s="23" t="s">
        <v>8</v>
      </c>
      <c r="M12462" s="23" t="s">
        <v>8</v>
      </c>
    </row>
    <row r="12463" spans="1:13" s="21" customFormat="1" x14ac:dyDescent="0.25">
      <c r="A12463" s="22" t="s">
        <v>8</v>
      </c>
      <c r="B12463" s="18" t="str">
        <f>"445457"</f>
        <v>445457</v>
      </c>
      <c r="C12463" s="19" t="s">
        <v>12258</v>
      </c>
      <c r="D12463" s="19" t="s">
        <v>27865</v>
      </c>
      <c r="E12463" s="19" t="s">
        <v>32689</v>
      </c>
      <c r="F12463" s="19" t="s">
        <v>36017</v>
      </c>
      <c r="G12463" s="18" t="str">
        <f>"37354"</f>
        <v>37354</v>
      </c>
      <c r="H12463" s="19" t="s">
        <v>31711</v>
      </c>
      <c r="I12463" s="20">
        <v>18.474</v>
      </c>
      <c r="J12463" s="44" t="s">
        <v>8</v>
      </c>
      <c r="K12463" s="23" t="s">
        <v>8</v>
      </c>
      <c r="L12463" s="23" t="s">
        <v>8</v>
      </c>
      <c r="M12463" s="23" t="s">
        <v>8</v>
      </c>
    </row>
    <row r="12464" spans="1:13" s="21" customFormat="1" x14ac:dyDescent="0.25">
      <c r="A12464" s="22" t="s">
        <v>8</v>
      </c>
      <c r="B12464" s="18" t="str">
        <f>"445458"</f>
        <v>445458</v>
      </c>
      <c r="C12464" s="19" t="s">
        <v>12259</v>
      </c>
      <c r="D12464" s="19" t="s">
        <v>27866</v>
      </c>
      <c r="E12464" s="19" t="s">
        <v>35203</v>
      </c>
      <c r="F12464" s="19" t="s">
        <v>36017</v>
      </c>
      <c r="G12464" s="18" t="str">
        <f>"37659"</f>
        <v>37659</v>
      </c>
      <c r="H12464" s="19" t="s">
        <v>31500</v>
      </c>
      <c r="I12464" s="20">
        <v>19.126000000000001</v>
      </c>
      <c r="J12464" s="44" t="s">
        <v>8</v>
      </c>
      <c r="K12464" s="23" t="s">
        <v>8</v>
      </c>
      <c r="L12464" s="23" t="s">
        <v>8</v>
      </c>
      <c r="M12464" s="23" t="s">
        <v>8</v>
      </c>
    </row>
    <row r="12465" spans="1:13" s="21" customFormat="1" x14ac:dyDescent="0.25">
      <c r="A12465" s="22" t="s">
        <v>8</v>
      </c>
      <c r="B12465" s="18" t="str">
        <f>"445459"</f>
        <v>445459</v>
      </c>
      <c r="C12465" s="19" t="s">
        <v>12260</v>
      </c>
      <c r="D12465" s="19" t="s">
        <v>27867</v>
      </c>
      <c r="E12465" s="19" t="s">
        <v>35204</v>
      </c>
      <c r="F12465" s="19" t="s">
        <v>36017</v>
      </c>
      <c r="G12465" s="18" t="str">
        <f>"37869"</f>
        <v>37869</v>
      </c>
      <c r="H12465" s="19" t="s">
        <v>33144</v>
      </c>
      <c r="I12465" s="20">
        <v>21.411999999999999</v>
      </c>
      <c r="J12465" s="44" t="s">
        <v>8</v>
      </c>
      <c r="K12465" s="23" t="s">
        <v>8</v>
      </c>
      <c r="L12465" s="23" t="s">
        <v>8</v>
      </c>
      <c r="M12465" s="23" t="s">
        <v>8</v>
      </c>
    </row>
    <row r="12466" spans="1:13" s="21" customFormat="1" x14ac:dyDescent="0.25">
      <c r="A12466" s="22" t="s">
        <v>8</v>
      </c>
      <c r="B12466" s="18" t="str">
        <f>"445460"</f>
        <v>445460</v>
      </c>
      <c r="C12466" s="19" t="s">
        <v>12261</v>
      </c>
      <c r="D12466" s="19" t="s">
        <v>27868</v>
      </c>
      <c r="E12466" s="19" t="s">
        <v>35205</v>
      </c>
      <c r="F12466" s="19" t="s">
        <v>36017</v>
      </c>
      <c r="G12466" s="18" t="str">
        <f>"37072"</f>
        <v>37072</v>
      </c>
      <c r="H12466" s="19" t="s">
        <v>36613</v>
      </c>
      <c r="I12466" s="20">
        <v>21.291</v>
      </c>
      <c r="J12466" s="44" t="s">
        <v>8</v>
      </c>
      <c r="K12466" s="23" t="s">
        <v>8</v>
      </c>
      <c r="L12466" s="23" t="s">
        <v>8</v>
      </c>
      <c r="M12466" s="23" t="s">
        <v>8</v>
      </c>
    </row>
    <row r="12467" spans="1:13" s="21" customFormat="1" x14ac:dyDescent="0.25">
      <c r="A12467" s="22" t="s">
        <v>8</v>
      </c>
      <c r="B12467" s="18" t="str">
        <f>"445461"</f>
        <v>445461</v>
      </c>
      <c r="C12467" s="19" t="s">
        <v>12262</v>
      </c>
      <c r="D12467" s="19" t="s">
        <v>27869</v>
      </c>
      <c r="E12467" s="19" t="s">
        <v>31753</v>
      </c>
      <c r="F12467" s="19" t="s">
        <v>36017</v>
      </c>
      <c r="G12467" s="18" t="str">
        <f>"38019"</f>
        <v>38019</v>
      </c>
      <c r="H12467" s="19" t="s">
        <v>32295</v>
      </c>
      <c r="I12467" s="20">
        <v>16.190999999999999</v>
      </c>
      <c r="J12467" s="44" t="s">
        <v>8</v>
      </c>
      <c r="K12467" s="23" t="s">
        <v>8</v>
      </c>
      <c r="L12467" s="23" t="s">
        <v>8</v>
      </c>
      <c r="M12467" s="23" t="s">
        <v>8</v>
      </c>
    </row>
    <row r="12468" spans="1:13" s="21" customFormat="1" x14ac:dyDescent="0.25">
      <c r="A12468" s="22" t="s">
        <v>8</v>
      </c>
      <c r="B12468" s="18" t="str">
        <f>"445462"</f>
        <v>445462</v>
      </c>
      <c r="C12468" s="19" t="s">
        <v>12263</v>
      </c>
      <c r="D12468" s="19" t="s">
        <v>27870</v>
      </c>
      <c r="E12468" s="19" t="s">
        <v>31050</v>
      </c>
      <c r="F12468" s="19" t="s">
        <v>36017</v>
      </c>
      <c r="G12468" s="18" t="str">
        <f>"38242"</f>
        <v>38242</v>
      </c>
      <c r="H12468" s="19" t="s">
        <v>32041</v>
      </c>
      <c r="I12468" s="20">
        <v>17.09</v>
      </c>
      <c r="J12468" s="44" t="s">
        <v>8</v>
      </c>
      <c r="K12468" s="23" t="s">
        <v>8</v>
      </c>
      <c r="L12468" s="23" t="s">
        <v>8</v>
      </c>
      <c r="M12468" s="23" t="s">
        <v>8</v>
      </c>
    </row>
    <row r="12469" spans="1:13" s="21" customFormat="1" x14ac:dyDescent="0.25">
      <c r="A12469" s="22" t="s">
        <v>8</v>
      </c>
      <c r="B12469" s="18" t="str">
        <f>"445463"</f>
        <v>445463</v>
      </c>
      <c r="C12469" s="19" t="s">
        <v>12264</v>
      </c>
      <c r="D12469" s="19" t="s">
        <v>27871</v>
      </c>
      <c r="E12469" s="19" t="s">
        <v>35206</v>
      </c>
      <c r="F12469" s="19" t="s">
        <v>36017</v>
      </c>
      <c r="G12469" s="18" t="str">
        <f>"38006"</f>
        <v>38006</v>
      </c>
      <c r="H12469" s="19" t="s">
        <v>35265</v>
      </c>
      <c r="I12469" s="20">
        <v>20.219000000000001</v>
      </c>
      <c r="J12469" s="44" t="s">
        <v>8</v>
      </c>
      <c r="K12469" s="23" t="s">
        <v>8</v>
      </c>
      <c r="L12469" s="23" t="s">
        <v>8</v>
      </c>
      <c r="M12469" s="23" t="s">
        <v>8</v>
      </c>
    </row>
    <row r="12470" spans="1:13" s="21" customFormat="1" x14ac:dyDescent="0.25">
      <c r="A12470" s="22" t="s">
        <v>8</v>
      </c>
      <c r="B12470" s="18" t="str">
        <f>"445464"</f>
        <v>445464</v>
      </c>
      <c r="C12470" s="19" t="s">
        <v>12265</v>
      </c>
      <c r="D12470" s="19" t="s">
        <v>27872</v>
      </c>
      <c r="E12470" s="19" t="s">
        <v>35161</v>
      </c>
      <c r="F12470" s="19" t="s">
        <v>36017</v>
      </c>
      <c r="G12470" s="18" t="str">
        <f>"37643"</f>
        <v>37643</v>
      </c>
      <c r="H12470" s="19" t="s">
        <v>36338</v>
      </c>
      <c r="I12470" s="20">
        <v>17.57</v>
      </c>
      <c r="J12470" s="44" t="s">
        <v>8</v>
      </c>
      <c r="K12470" s="23" t="s">
        <v>8</v>
      </c>
      <c r="L12470" s="23" t="s">
        <v>8</v>
      </c>
      <c r="M12470" s="23" t="s">
        <v>8</v>
      </c>
    </row>
    <row r="12471" spans="1:13" s="21" customFormat="1" x14ac:dyDescent="0.25">
      <c r="A12471" s="22" t="s">
        <v>8</v>
      </c>
      <c r="B12471" s="18" t="str">
        <f>"445465"</f>
        <v>445465</v>
      </c>
      <c r="C12471" s="19" t="s">
        <v>12266</v>
      </c>
      <c r="D12471" s="19" t="s">
        <v>27873</v>
      </c>
      <c r="E12471" s="19" t="s">
        <v>32076</v>
      </c>
      <c r="F12471" s="19" t="s">
        <v>36017</v>
      </c>
      <c r="G12471" s="18" t="str">
        <f>"38401"</f>
        <v>38401</v>
      </c>
      <c r="H12471" s="19" t="s">
        <v>36770</v>
      </c>
      <c r="I12471" s="20">
        <v>17.157</v>
      </c>
      <c r="J12471" s="44" t="s">
        <v>8</v>
      </c>
      <c r="K12471" s="23" t="s">
        <v>8</v>
      </c>
      <c r="L12471" s="23" t="s">
        <v>8</v>
      </c>
      <c r="M12471" s="23" t="s">
        <v>8</v>
      </c>
    </row>
    <row r="12472" spans="1:13" s="21" customFormat="1" x14ac:dyDescent="0.25">
      <c r="A12472" s="22" t="s">
        <v>8</v>
      </c>
      <c r="B12472" s="18" t="str">
        <f>"445467"</f>
        <v>445467</v>
      </c>
      <c r="C12472" s="19" t="s">
        <v>12267</v>
      </c>
      <c r="D12472" s="19" t="s">
        <v>27874</v>
      </c>
      <c r="E12472" s="19" t="s">
        <v>35207</v>
      </c>
      <c r="F12472" s="19" t="s">
        <v>36017</v>
      </c>
      <c r="G12472" s="18" t="str">
        <f>"38001"</f>
        <v>38001</v>
      </c>
      <c r="H12472" s="19" t="s">
        <v>35265</v>
      </c>
      <c r="I12472" s="20">
        <v>23.974</v>
      </c>
      <c r="J12472" s="44" t="s">
        <v>8</v>
      </c>
      <c r="K12472" s="23" t="s">
        <v>8</v>
      </c>
      <c r="L12472" s="23" t="s">
        <v>8</v>
      </c>
      <c r="M12472" s="23" t="s">
        <v>8</v>
      </c>
    </row>
    <row r="12473" spans="1:13" s="21" customFormat="1" x14ac:dyDescent="0.25">
      <c r="A12473" s="22" t="s">
        <v>8</v>
      </c>
      <c r="B12473" s="18" t="str">
        <f>"445468"</f>
        <v>445468</v>
      </c>
      <c r="C12473" s="19" t="s">
        <v>3730</v>
      </c>
      <c r="D12473" s="19" t="s">
        <v>27875</v>
      </c>
      <c r="E12473" s="19" t="s">
        <v>32239</v>
      </c>
      <c r="F12473" s="19" t="s">
        <v>36017</v>
      </c>
      <c r="G12473" s="18" t="str">
        <f>"38330"</f>
        <v>38330</v>
      </c>
      <c r="H12473" s="19" t="s">
        <v>31829</v>
      </c>
      <c r="I12473" s="20">
        <v>18.978000000000002</v>
      </c>
      <c r="J12473" s="44" t="s">
        <v>8</v>
      </c>
      <c r="K12473" s="23" t="s">
        <v>8</v>
      </c>
      <c r="L12473" s="23" t="s">
        <v>8</v>
      </c>
      <c r="M12473" s="23" t="s">
        <v>8</v>
      </c>
    </row>
    <row r="12474" spans="1:13" s="21" customFormat="1" x14ac:dyDescent="0.25">
      <c r="A12474" s="22" t="s">
        <v>8</v>
      </c>
      <c r="B12474" s="18" t="str">
        <f>"445469"</f>
        <v>445469</v>
      </c>
      <c r="C12474" s="19" t="s">
        <v>12268</v>
      </c>
      <c r="D12474" s="19" t="s">
        <v>27876</v>
      </c>
      <c r="E12474" s="19" t="s">
        <v>35161</v>
      </c>
      <c r="F12474" s="19" t="s">
        <v>36017</v>
      </c>
      <c r="G12474" s="18" t="str">
        <f>"37643"</f>
        <v>37643</v>
      </c>
      <c r="H12474" s="19" t="s">
        <v>36338</v>
      </c>
      <c r="I12474" s="20">
        <v>18.922999999999998</v>
      </c>
      <c r="J12474" s="44" t="s">
        <v>8</v>
      </c>
      <c r="K12474" s="23" t="s">
        <v>8</v>
      </c>
      <c r="L12474" s="23" t="s">
        <v>8</v>
      </c>
      <c r="M12474" s="23" t="s">
        <v>8</v>
      </c>
    </row>
    <row r="12475" spans="1:13" s="21" customFormat="1" x14ac:dyDescent="0.25">
      <c r="A12475" s="22" t="s">
        <v>8</v>
      </c>
      <c r="B12475" s="18" t="str">
        <f>"445470"</f>
        <v>445470</v>
      </c>
      <c r="C12475" s="19" t="s">
        <v>12269</v>
      </c>
      <c r="D12475" s="19" t="s">
        <v>27877</v>
      </c>
      <c r="E12475" s="19" t="s">
        <v>35208</v>
      </c>
      <c r="F12475" s="19" t="s">
        <v>36017</v>
      </c>
      <c r="G12475" s="18" t="str">
        <f>"38251"</f>
        <v>38251</v>
      </c>
      <c r="H12475" s="19" t="s">
        <v>32041</v>
      </c>
      <c r="I12475" s="20">
        <v>18.800999999999998</v>
      </c>
      <c r="J12475" s="44" t="s">
        <v>8</v>
      </c>
      <c r="K12475" s="23" t="s">
        <v>8</v>
      </c>
      <c r="L12475" s="23" t="s">
        <v>8</v>
      </c>
      <c r="M12475" s="23" t="s">
        <v>8</v>
      </c>
    </row>
    <row r="12476" spans="1:13" s="21" customFormat="1" x14ac:dyDescent="0.25">
      <c r="A12476" s="22" t="s">
        <v>8</v>
      </c>
      <c r="B12476" s="18" t="str">
        <f>"445471"</f>
        <v>445471</v>
      </c>
      <c r="C12476" s="19" t="s">
        <v>12270</v>
      </c>
      <c r="D12476" s="19" t="s">
        <v>27878</v>
      </c>
      <c r="E12476" s="19" t="s">
        <v>32699</v>
      </c>
      <c r="F12476" s="19" t="s">
        <v>36017</v>
      </c>
      <c r="G12476" s="18" t="str">
        <f>"38340"</f>
        <v>38340</v>
      </c>
      <c r="H12476" s="19" t="s">
        <v>31396</v>
      </c>
      <c r="I12476" s="20">
        <v>18.715</v>
      </c>
      <c r="J12476" s="44" t="s">
        <v>8</v>
      </c>
      <c r="K12476" s="23" t="s">
        <v>8</v>
      </c>
      <c r="L12476" s="23" t="s">
        <v>8</v>
      </c>
      <c r="M12476" s="23" t="s">
        <v>8</v>
      </c>
    </row>
    <row r="12477" spans="1:13" s="21" customFormat="1" x14ac:dyDescent="0.25">
      <c r="A12477" s="22" t="s">
        <v>8</v>
      </c>
      <c r="B12477" s="18" t="str">
        <f>"445472"</f>
        <v>445472</v>
      </c>
      <c r="C12477" s="19" t="s">
        <v>12271</v>
      </c>
      <c r="D12477" s="19" t="s">
        <v>27879</v>
      </c>
      <c r="E12477" s="19" t="s">
        <v>32082</v>
      </c>
      <c r="F12477" s="19" t="s">
        <v>36017</v>
      </c>
      <c r="G12477" s="18" t="str">
        <f>"37803"</f>
        <v>37803</v>
      </c>
      <c r="H12477" s="19" t="s">
        <v>36041</v>
      </c>
      <c r="I12477" s="20">
        <v>17.068000000000001</v>
      </c>
      <c r="J12477" s="44" t="s">
        <v>8</v>
      </c>
      <c r="K12477" s="23" t="s">
        <v>8</v>
      </c>
      <c r="L12477" s="23" t="s">
        <v>8</v>
      </c>
      <c r="M12477" s="23" t="s">
        <v>8</v>
      </c>
    </row>
    <row r="12478" spans="1:13" s="21" customFormat="1" x14ac:dyDescent="0.25">
      <c r="A12478" s="22" t="s">
        <v>8</v>
      </c>
      <c r="B12478" s="18" t="str">
        <f>"445473"</f>
        <v>445473</v>
      </c>
      <c r="C12478" s="19" t="s">
        <v>7016</v>
      </c>
      <c r="D12478" s="19" t="s">
        <v>27880</v>
      </c>
      <c r="E12478" s="19" t="s">
        <v>35209</v>
      </c>
      <c r="F12478" s="19" t="s">
        <v>36017</v>
      </c>
      <c r="G12478" s="18" t="str">
        <f>"37725"</f>
        <v>37725</v>
      </c>
      <c r="H12478" s="19" t="s">
        <v>32391</v>
      </c>
      <c r="I12478" s="20">
        <v>22.556999999999999</v>
      </c>
      <c r="J12478" s="44" t="s">
        <v>8</v>
      </c>
      <c r="K12478" s="23" t="s">
        <v>8</v>
      </c>
      <c r="L12478" s="23" t="s">
        <v>8</v>
      </c>
      <c r="M12478" s="23" t="s">
        <v>8</v>
      </c>
    </row>
    <row r="12479" spans="1:13" s="21" customFormat="1" x14ac:dyDescent="0.25">
      <c r="A12479" s="22" t="s">
        <v>8</v>
      </c>
      <c r="B12479" s="18" t="str">
        <f>"445474"</f>
        <v>445474</v>
      </c>
      <c r="C12479" s="19" t="s">
        <v>12272</v>
      </c>
      <c r="D12479" s="19" t="s">
        <v>27881</v>
      </c>
      <c r="E12479" s="19" t="s">
        <v>35161</v>
      </c>
      <c r="F12479" s="19" t="s">
        <v>36017</v>
      </c>
      <c r="G12479" s="18" t="str">
        <f>"37643"</f>
        <v>37643</v>
      </c>
      <c r="H12479" s="19" t="s">
        <v>36338</v>
      </c>
      <c r="I12479" s="20">
        <v>17.268999999999998</v>
      </c>
      <c r="J12479" s="44" t="s">
        <v>8</v>
      </c>
      <c r="K12479" s="23" t="s">
        <v>8</v>
      </c>
      <c r="L12479" s="23" t="s">
        <v>8</v>
      </c>
      <c r="M12479" s="23" t="s">
        <v>8</v>
      </c>
    </row>
    <row r="12480" spans="1:13" s="21" customFormat="1" x14ac:dyDescent="0.25">
      <c r="A12480" s="22" t="s">
        <v>8</v>
      </c>
      <c r="B12480" s="18" t="str">
        <f>"445475"</f>
        <v>445475</v>
      </c>
      <c r="C12480" s="19" t="s">
        <v>12273</v>
      </c>
      <c r="D12480" s="19" t="s">
        <v>27882</v>
      </c>
      <c r="E12480" s="19" t="s">
        <v>5</v>
      </c>
      <c r="F12480" s="19" t="s">
        <v>36017</v>
      </c>
      <c r="G12480" s="18" t="str">
        <f>"37067"</f>
        <v>37067</v>
      </c>
      <c r="H12480" s="19" t="s">
        <v>35514</v>
      </c>
      <c r="I12480" s="20">
        <v>17.768000000000001</v>
      </c>
      <c r="J12480" s="44" t="s">
        <v>8</v>
      </c>
      <c r="K12480" s="23" t="s">
        <v>8</v>
      </c>
      <c r="L12480" s="23" t="s">
        <v>8</v>
      </c>
      <c r="M12480" s="23" t="s">
        <v>8</v>
      </c>
    </row>
    <row r="12481" spans="1:13" s="21" customFormat="1" x14ac:dyDescent="0.25">
      <c r="A12481" s="22" t="s">
        <v>8</v>
      </c>
      <c r="B12481" s="18" t="str">
        <f>"445476"</f>
        <v>445476</v>
      </c>
      <c r="C12481" s="19" t="s">
        <v>12274</v>
      </c>
      <c r="D12481" s="19" t="s">
        <v>27883</v>
      </c>
      <c r="E12481" s="19" t="s">
        <v>32067</v>
      </c>
      <c r="F12481" s="19" t="s">
        <v>36017</v>
      </c>
      <c r="G12481" s="18" t="str">
        <f>"37920"</f>
        <v>37920</v>
      </c>
      <c r="H12481" s="19" t="s">
        <v>32252</v>
      </c>
      <c r="I12481" s="20">
        <v>19.016999999999999</v>
      </c>
      <c r="J12481" s="44" t="s">
        <v>8</v>
      </c>
      <c r="K12481" s="23" t="s">
        <v>8</v>
      </c>
      <c r="L12481" s="23" t="s">
        <v>8</v>
      </c>
      <c r="M12481" s="23" t="s">
        <v>8</v>
      </c>
    </row>
    <row r="12482" spans="1:13" s="21" customFormat="1" x14ac:dyDescent="0.25">
      <c r="A12482" s="22" t="s">
        <v>8</v>
      </c>
      <c r="B12482" s="18" t="str">
        <f>"445477"</f>
        <v>445477</v>
      </c>
      <c r="C12482" s="19" t="s">
        <v>12275</v>
      </c>
      <c r="D12482" s="19" t="s">
        <v>27884</v>
      </c>
      <c r="E12482" s="19" t="s">
        <v>35145</v>
      </c>
      <c r="F12482" s="19" t="s">
        <v>36017</v>
      </c>
      <c r="G12482" s="18" t="str">
        <f>"37055"</f>
        <v>37055</v>
      </c>
      <c r="H12482" s="19" t="s">
        <v>35145</v>
      </c>
      <c r="I12482" s="20">
        <v>19.545999999999999</v>
      </c>
      <c r="J12482" s="44" t="s">
        <v>8</v>
      </c>
      <c r="K12482" s="23" t="s">
        <v>8</v>
      </c>
      <c r="L12482" s="23" t="s">
        <v>8</v>
      </c>
      <c r="M12482" s="23" t="s">
        <v>8</v>
      </c>
    </row>
    <row r="12483" spans="1:13" s="21" customFormat="1" x14ac:dyDescent="0.25">
      <c r="A12483" s="22" t="s">
        <v>8</v>
      </c>
      <c r="B12483" s="18" t="str">
        <f>"445478"</f>
        <v>445478</v>
      </c>
      <c r="C12483" s="19" t="s">
        <v>12276</v>
      </c>
      <c r="D12483" s="19" t="s">
        <v>27885</v>
      </c>
      <c r="E12483" s="19" t="s">
        <v>35210</v>
      </c>
      <c r="F12483" s="19" t="s">
        <v>36017</v>
      </c>
      <c r="G12483" s="18" t="str">
        <f>"37641"</f>
        <v>37641</v>
      </c>
      <c r="H12483" s="19" t="s">
        <v>32455</v>
      </c>
      <c r="I12483" s="20">
        <v>18.37</v>
      </c>
      <c r="J12483" s="44" t="s">
        <v>8</v>
      </c>
      <c r="K12483" s="23" t="s">
        <v>8</v>
      </c>
      <c r="L12483" s="23" t="s">
        <v>8</v>
      </c>
      <c r="M12483" s="23" t="s">
        <v>8</v>
      </c>
    </row>
    <row r="12484" spans="1:13" s="21" customFormat="1" x14ac:dyDescent="0.25">
      <c r="A12484" s="22" t="s">
        <v>8</v>
      </c>
      <c r="B12484" s="18" t="str">
        <f>"445479"</f>
        <v>445479</v>
      </c>
      <c r="C12484" s="19" t="s">
        <v>12277</v>
      </c>
      <c r="D12484" s="19" t="s">
        <v>27886</v>
      </c>
      <c r="E12484" s="19" t="s">
        <v>31780</v>
      </c>
      <c r="F12484" s="19" t="s">
        <v>36017</v>
      </c>
      <c r="G12484" s="18" t="str">
        <f>"37615"</f>
        <v>37615</v>
      </c>
      <c r="H12484" s="19" t="s">
        <v>31500</v>
      </c>
      <c r="I12484" s="20">
        <v>20.995000000000001</v>
      </c>
      <c r="J12484" s="44" t="s">
        <v>8</v>
      </c>
      <c r="K12484" s="23" t="s">
        <v>8</v>
      </c>
      <c r="L12484" s="23" t="s">
        <v>8</v>
      </c>
      <c r="M12484" s="23" t="s">
        <v>8</v>
      </c>
    </row>
    <row r="12485" spans="1:13" s="21" customFormat="1" x14ac:dyDescent="0.25">
      <c r="A12485" s="22" t="s">
        <v>8</v>
      </c>
      <c r="B12485" s="18" t="str">
        <f>"445480"</f>
        <v>445480</v>
      </c>
      <c r="C12485" s="19" t="s">
        <v>12278</v>
      </c>
      <c r="D12485" s="19" t="s">
        <v>27887</v>
      </c>
      <c r="E12485" s="19" t="s">
        <v>31717</v>
      </c>
      <c r="F12485" s="19" t="s">
        <v>36017</v>
      </c>
      <c r="G12485" s="18" t="str">
        <f>"37172"</f>
        <v>37172</v>
      </c>
      <c r="H12485" s="19" t="s">
        <v>36348</v>
      </c>
      <c r="I12485" s="20">
        <v>18.582999999999998</v>
      </c>
      <c r="J12485" s="44" t="s">
        <v>8</v>
      </c>
      <c r="K12485" s="23" t="s">
        <v>8</v>
      </c>
      <c r="L12485" s="23" t="s">
        <v>8</v>
      </c>
      <c r="M12485" s="23" t="s">
        <v>8</v>
      </c>
    </row>
    <row r="12486" spans="1:13" s="21" customFormat="1" x14ac:dyDescent="0.25">
      <c r="A12486" s="22" t="s">
        <v>8</v>
      </c>
      <c r="B12486" s="18" t="str">
        <f>"445481"</f>
        <v>445481</v>
      </c>
      <c r="C12486" s="19" t="s">
        <v>12279</v>
      </c>
      <c r="D12486" s="19" t="s">
        <v>27888</v>
      </c>
      <c r="E12486" s="19" t="s">
        <v>35158</v>
      </c>
      <c r="F12486" s="19" t="s">
        <v>36017</v>
      </c>
      <c r="G12486" s="18" t="str">
        <f>"37660"</f>
        <v>37660</v>
      </c>
      <c r="H12486" s="19" t="s">
        <v>31976</v>
      </c>
      <c r="I12486" s="20">
        <v>19.751999999999999</v>
      </c>
      <c r="J12486" s="44" t="s">
        <v>8</v>
      </c>
      <c r="K12486" s="23" t="s">
        <v>8</v>
      </c>
      <c r="L12486" s="23" t="s">
        <v>8</v>
      </c>
      <c r="M12486" s="23" t="s">
        <v>8</v>
      </c>
    </row>
    <row r="12487" spans="1:13" s="21" customFormat="1" x14ac:dyDescent="0.25">
      <c r="A12487" s="22" t="s">
        <v>8</v>
      </c>
      <c r="B12487" s="18" t="str">
        <f>"445482"</f>
        <v>445482</v>
      </c>
      <c r="C12487" s="19" t="s">
        <v>12280</v>
      </c>
      <c r="D12487" s="19" t="s">
        <v>27889</v>
      </c>
      <c r="E12487" s="19" t="s">
        <v>34604</v>
      </c>
      <c r="F12487" s="19" t="s">
        <v>36017</v>
      </c>
      <c r="G12487" s="18" t="str">
        <f>"38138"</f>
        <v>38138</v>
      </c>
      <c r="H12487" s="19" t="s">
        <v>33565</v>
      </c>
      <c r="I12487" s="20">
        <v>22.015000000000001</v>
      </c>
      <c r="J12487" s="44" t="s">
        <v>8</v>
      </c>
      <c r="K12487" s="23" t="s">
        <v>8</v>
      </c>
      <c r="L12487" s="23" t="s">
        <v>8</v>
      </c>
      <c r="M12487" s="23" t="s">
        <v>8</v>
      </c>
    </row>
    <row r="12488" spans="1:13" s="21" customFormat="1" x14ac:dyDescent="0.25">
      <c r="A12488" s="22" t="s">
        <v>8</v>
      </c>
      <c r="B12488" s="18" t="str">
        <f>"445483"</f>
        <v>445483</v>
      </c>
      <c r="C12488" s="19" t="s">
        <v>12281</v>
      </c>
      <c r="D12488" s="19" t="s">
        <v>27890</v>
      </c>
      <c r="E12488" s="19" t="s">
        <v>34126</v>
      </c>
      <c r="F12488" s="19" t="s">
        <v>36017</v>
      </c>
      <c r="G12488" s="18" t="str">
        <f>"37601"</f>
        <v>37601</v>
      </c>
      <c r="H12488" s="19" t="s">
        <v>31500</v>
      </c>
      <c r="I12488" s="20">
        <v>16.829000000000001</v>
      </c>
      <c r="J12488" s="44" t="s">
        <v>8</v>
      </c>
      <c r="K12488" s="23" t="s">
        <v>8</v>
      </c>
      <c r="L12488" s="23" t="s">
        <v>8</v>
      </c>
      <c r="M12488" s="23" t="s">
        <v>8</v>
      </c>
    </row>
    <row r="12489" spans="1:13" s="21" customFormat="1" x14ac:dyDescent="0.25">
      <c r="A12489" s="22" t="s">
        <v>8</v>
      </c>
      <c r="B12489" s="18" t="str">
        <f>"445484"</f>
        <v>445484</v>
      </c>
      <c r="C12489" s="19" t="s">
        <v>12282</v>
      </c>
      <c r="D12489" s="19" t="s">
        <v>27891</v>
      </c>
      <c r="E12489" s="19" t="s">
        <v>32067</v>
      </c>
      <c r="F12489" s="19" t="s">
        <v>36017</v>
      </c>
      <c r="G12489" s="18" t="str">
        <f>"37931"</f>
        <v>37931</v>
      </c>
      <c r="H12489" s="19" t="s">
        <v>32252</v>
      </c>
      <c r="I12489" s="20">
        <v>17.558</v>
      </c>
      <c r="J12489" s="44" t="s">
        <v>8</v>
      </c>
      <c r="K12489" s="23" t="s">
        <v>8</v>
      </c>
      <c r="L12489" s="23" t="s">
        <v>8</v>
      </c>
      <c r="M12489" s="23" t="s">
        <v>8</v>
      </c>
    </row>
    <row r="12490" spans="1:13" s="21" customFormat="1" x14ac:dyDescent="0.25">
      <c r="A12490" s="22" t="s">
        <v>8</v>
      </c>
      <c r="B12490" s="18" t="str">
        <f>"445485"</f>
        <v>445485</v>
      </c>
      <c r="C12490" s="19" t="s">
        <v>12283</v>
      </c>
      <c r="D12490" s="19" t="s">
        <v>27892</v>
      </c>
      <c r="E12490" s="19" t="s">
        <v>33722</v>
      </c>
      <c r="F12490" s="19" t="s">
        <v>36017</v>
      </c>
      <c r="G12490" s="18" t="str">
        <f>"38118"</f>
        <v>38118</v>
      </c>
      <c r="H12490" s="19" t="s">
        <v>33565</v>
      </c>
      <c r="I12490" s="20">
        <v>21.861000000000001</v>
      </c>
      <c r="J12490" s="44" t="s">
        <v>8</v>
      </c>
      <c r="K12490" s="23" t="s">
        <v>8</v>
      </c>
      <c r="L12490" s="23" t="s">
        <v>8</v>
      </c>
      <c r="M12490" s="23" t="s">
        <v>8</v>
      </c>
    </row>
    <row r="12491" spans="1:13" s="21" customFormat="1" x14ac:dyDescent="0.25">
      <c r="A12491" s="22" t="s">
        <v>8</v>
      </c>
      <c r="B12491" s="18" t="str">
        <f>"445486"</f>
        <v>445486</v>
      </c>
      <c r="C12491" s="19" t="s">
        <v>12284</v>
      </c>
      <c r="D12491" s="19" t="s">
        <v>27893</v>
      </c>
      <c r="E12491" s="19" t="s">
        <v>35211</v>
      </c>
      <c r="F12491" s="19" t="s">
        <v>36017</v>
      </c>
      <c r="G12491" s="18" t="str">
        <f>"37152"</f>
        <v>37152</v>
      </c>
      <c r="H12491" s="19" t="s">
        <v>36348</v>
      </c>
      <c r="I12491" s="20">
        <v>18.510000000000002</v>
      </c>
      <c r="J12491" s="44" t="s">
        <v>8</v>
      </c>
      <c r="K12491" s="23" t="s">
        <v>8</v>
      </c>
      <c r="L12491" s="23" t="s">
        <v>8</v>
      </c>
      <c r="M12491" s="23" t="s">
        <v>8</v>
      </c>
    </row>
    <row r="12492" spans="1:13" s="21" customFormat="1" x14ac:dyDescent="0.25">
      <c r="A12492" s="22" t="s">
        <v>8</v>
      </c>
      <c r="B12492" s="18" t="str">
        <f>"445487"</f>
        <v>445487</v>
      </c>
      <c r="C12492" s="19" t="s">
        <v>12285</v>
      </c>
      <c r="D12492" s="19" t="s">
        <v>27894</v>
      </c>
      <c r="E12492" s="19" t="s">
        <v>34126</v>
      </c>
      <c r="F12492" s="19" t="s">
        <v>36017</v>
      </c>
      <c r="G12492" s="18" t="str">
        <f>"37604"</f>
        <v>37604</v>
      </c>
      <c r="H12492" s="19" t="s">
        <v>31500</v>
      </c>
      <c r="I12492" s="20">
        <v>21.285</v>
      </c>
      <c r="J12492" s="44" t="s">
        <v>8</v>
      </c>
      <c r="K12492" s="23" t="s">
        <v>8</v>
      </c>
      <c r="L12492" s="23" t="s">
        <v>8</v>
      </c>
      <c r="M12492" s="23" t="s">
        <v>8</v>
      </c>
    </row>
    <row r="12493" spans="1:13" s="21" customFormat="1" x14ac:dyDescent="0.25">
      <c r="A12493" s="22" t="s">
        <v>8</v>
      </c>
      <c r="B12493" s="18" t="str">
        <f>"445488"</f>
        <v>445488</v>
      </c>
      <c r="C12493" s="19" t="s">
        <v>12286</v>
      </c>
      <c r="D12493" s="19" t="s">
        <v>27895</v>
      </c>
      <c r="E12493" s="19" t="s">
        <v>33855</v>
      </c>
      <c r="F12493" s="19" t="s">
        <v>36017</v>
      </c>
      <c r="G12493" s="18" t="str">
        <f>"37027"</f>
        <v>37027</v>
      </c>
      <c r="H12493" s="19" t="s">
        <v>35514</v>
      </c>
      <c r="I12493" s="20">
        <v>17.175999999999998</v>
      </c>
      <c r="J12493" s="44" t="s">
        <v>8</v>
      </c>
      <c r="K12493" s="23" t="s">
        <v>8</v>
      </c>
      <c r="L12493" s="23" t="s">
        <v>8</v>
      </c>
      <c r="M12493" s="23" t="s">
        <v>8</v>
      </c>
    </row>
    <row r="12494" spans="1:13" s="21" customFormat="1" x14ac:dyDescent="0.25">
      <c r="A12494" s="22" t="s">
        <v>8</v>
      </c>
      <c r="B12494" s="18" t="str">
        <f>"445489"</f>
        <v>445489</v>
      </c>
      <c r="C12494" s="19" t="s">
        <v>12287</v>
      </c>
      <c r="D12494" s="19" t="s">
        <v>27896</v>
      </c>
      <c r="E12494" s="19" t="s">
        <v>32500</v>
      </c>
      <c r="F12494" s="19" t="s">
        <v>36017</v>
      </c>
      <c r="G12494" s="18" t="str">
        <f>"37185"</f>
        <v>37185</v>
      </c>
      <c r="H12494" s="19" t="s">
        <v>36504</v>
      </c>
      <c r="I12494" s="20">
        <v>18.295999999999999</v>
      </c>
      <c r="J12494" s="44" t="s">
        <v>8</v>
      </c>
      <c r="K12494" s="23" t="s">
        <v>8</v>
      </c>
      <c r="L12494" s="23" t="s">
        <v>8</v>
      </c>
      <c r="M12494" s="23" t="s">
        <v>8</v>
      </c>
    </row>
    <row r="12495" spans="1:13" s="21" customFormat="1" x14ac:dyDescent="0.25">
      <c r="A12495" s="22" t="s">
        <v>8</v>
      </c>
      <c r="B12495" s="18" t="str">
        <f>"445490"</f>
        <v>445490</v>
      </c>
      <c r="C12495" s="19" t="s">
        <v>12288</v>
      </c>
      <c r="D12495" s="19" t="s">
        <v>27897</v>
      </c>
      <c r="E12495" s="19" t="s">
        <v>32185</v>
      </c>
      <c r="F12495" s="19" t="s">
        <v>36017</v>
      </c>
      <c r="G12495" s="18" t="str">
        <f>"38134"</f>
        <v>38134</v>
      </c>
      <c r="H12495" s="19" t="s">
        <v>33565</v>
      </c>
      <c r="I12495" s="20">
        <v>20.056999999999999</v>
      </c>
      <c r="J12495" s="44" t="s">
        <v>8</v>
      </c>
      <c r="K12495" s="23" t="s">
        <v>8</v>
      </c>
      <c r="L12495" s="23" t="s">
        <v>8</v>
      </c>
      <c r="M12495" s="23" t="s">
        <v>8</v>
      </c>
    </row>
    <row r="12496" spans="1:13" s="21" customFormat="1" x14ac:dyDescent="0.25">
      <c r="A12496" s="22" t="s">
        <v>8</v>
      </c>
      <c r="B12496" s="18" t="str">
        <f>"445491"</f>
        <v>445491</v>
      </c>
      <c r="C12496" s="19" t="s">
        <v>12289</v>
      </c>
      <c r="D12496" s="19" t="s">
        <v>27898</v>
      </c>
      <c r="E12496" s="19" t="s">
        <v>33611</v>
      </c>
      <c r="F12496" s="19" t="s">
        <v>36017</v>
      </c>
      <c r="G12496" s="18" t="str">
        <f>"37076"</f>
        <v>37076</v>
      </c>
      <c r="H12496" s="19" t="s">
        <v>36613</v>
      </c>
      <c r="I12496" s="20">
        <v>21.146999999999998</v>
      </c>
      <c r="J12496" s="44" t="s">
        <v>8</v>
      </c>
      <c r="K12496" s="23" t="s">
        <v>8</v>
      </c>
      <c r="L12496" s="23" t="s">
        <v>8</v>
      </c>
      <c r="M12496" s="23" t="s">
        <v>8</v>
      </c>
    </row>
    <row r="12497" spans="1:13" s="21" customFormat="1" x14ac:dyDescent="0.25">
      <c r="A12497" s="22" t="s">
        <v>8</v>
      </c>
      <c r="B12497" s="18" t="str">
        <f>"445492"</f>
        <v>445492</v>
      </c>
      <c r="C12497" s="19" t="s">
        <v>12290</v>
      </c>
      <c r="D12497" s="19" t="s">
        <v>27899</v>
      </c>
      <c r="E12497" s="19" t="s">
        <v>33524</v>
      </c>
      <c r="F12497" s="19" t="s">
        <v>36017</v>
      </c>
      <c r="G12497" s="18" t="str">
        <f>"38063"</f>
        <v>38063</v>
      </c>
      <c r="H12497" s="19" t="s">
        <v>36036</v>
      </c>
      <c r="I12497" s="20">
        <v>18.646999999999998</v>
      </c>
      <c r="J12497" s="44" t="s">
        <v>8</v>
      </c>
      <c r="K12497" s="23" t="s">
        <v>8</v>
      </c>
      <c r="L12497" s="23" t="s">
        <v>8</v>
      </c>
      <c r="M12497" s="23" t="s">
        <v>8</v>
      </c>
    </row>
    <row r="12498" spans="1:13" s="21" customFormat="1" x14ac:dyDescent="0.25">
      <c r="A12498" s="22" t="s">
        <v>8</v>
      </c>
      <c r="B12498" s="18" t="str">
        <f>"445493"</f>
        <v>445493</v>
      </c>
      <c r="C12498" s="19" t="s">
        <v>12291</v>
      </c>
      <c r="D12498" s="19" t="s">
        <v>27900</v>
      </c>
      <c r="E12498" s="19" t="s">
        <v>33722</v>
      </c>
      <c r="F12498" s="19" t="s">
        <v>36017</v>
      </c>
      <c r="G12498" s="18" t="str">
        <f>"38108"</f>
        <v>38108</v>
      </c>
      <c r="H12498" s="19" t="s">
        <v>33565</v>
      </c>
      <c r="I12498" s="20">
        <v>18.817</v>
      </c>
      <c r="J12498" s="44" t="s">
        <v>8</v>
      </c>
      <c r="K12498" s="23" t="s">
        <v>8</v>
      </c>
      <c r="L12498" s="23" t="s">
        <v>8</v>
      </c>
      <c r="M12498" s="23" t="s">
        <v>8</v>
      </c>
    </row>
    <row r="12499" spans="1:13" s="21" customFormat="1" x14ac:dyDescent="0.25">
      <c r="A12499" s="22" t="s">
        <v>8</v>
      </c>
      <c r="B12499" s="18" t="str">
        <f>"445494"</f>
        <v>445494</v>
      </c>
      <c r="C12499" s="19" t="s">
        <v>12292</v>
      </c>
      <c r="D12499" s="19" t="s">
        <v>27901</v>
      </c>
      <c r="E12499" s="19" t="s">
        <v>32369</v>
      </c>
      <c r="F12499" s="19" t="s">
        <v>36017</v>
      </c>
      <c r="G12499" s="18" t="str">
        <f>"37321"</f>
        <v>37321</v>
      </c>
      <c r="H12499" s="19" t="s">
        <v>36776</v>
      </c>
      <c r="I12499" s="20">
        <v>19.068999999999999</v>
      </c>
      <c r="J12499" s="44" t="s">
        <v>8</v>
      </c>
      <c r="K12499" s="23" t="s">
        <v>8</v>
      </c>
      <c r="L12499" s="23" t="s">
        <v>8</v>
      </c>
      <c r="M12499" s="23" t="s">
        <v>8</v>
      </c>
    </row>
    <row r="12500" spans="1:13" s="21" customFormat="1" x14ac:dyDescent="0.25">
      <c r="A12500" s="22" t="s">
        <v>8</v>
      </c>
      <c r="B12500" s="18" t="str">
        <f>"445495"</f>
        <v>445495</v>
      </c>
      <c r="C12500" s="19" t="s">
        <v>12293</v>
      </c>
      <c r="D12500" s="19" t="s">
        <v>27902</v>
      </c>
      <c r="E12500" s="19" t="s">
        <v>35212</v>
      </c>
      <c r="F12500" s="19" t="s">
        <v>36017</v>
      </c>
      <c r="G12500" s="18" t="str">
        <f>"38017"</f>
        <v>38017</v>
      </c>
      <c r="H12500" s="19" t="s">
        <v>33565</v>
      </c>
      <c r="I12500" s="20">
        <v>20.812000000000001</v>
      </c>
      <c r="J12500" s="44" t="s">
        <v>8</v>
      </c>
      <c r="K12500" s="23" t="s">
        <v>8</v>
      </c>
      <c r="L12500" s="23" t="s">
        <v>8</v>
      </c>
      <c r="M12500" s="23" t="s">
        <v>8</v>
      </c>
    </row>
    <row r="12501" spans="1:13" s="21" customFormat="1" x14ac:dyDescent="0.25">
      <c r="A12501" s="22" t="s">
        <v>8</v>
      </c>
      <c r="B12501" s="18" t="str">
        <f>"445496"</f>
        <v>445496</v>
      </c>
      <c r="C12501" s="19" t="s">
        <v>12294</v>
      </c>
      <c r="D12501" s="19" t="s">
        <v>27903</v>
      </c>
      <c r="E12501" s="19" t="s">
        <v>31014</v>
      </c>
      <c r="F12501" s="19" t="s">
        <v>36017</v>
      </c>
      <c r="G12501" s="18" t="str">
        <f>"37221"</f>
        <v>37221</v>
      </c>
      <c r="H12501" s="19" t="s">
        <v>36613</v>
      </c>
      <c r="I12501" s="20">
        <v>21.256</v>
      </c>
      <c r="J12501" s="44" t="s">
        <v>8</v>
      </c>
      <c r="K12501" s="23" t="s">
        <v>8</v>
      </c>
      <c r="L12501" s="23" t="s">
        <v>8</v>
      </c>
      <c r="M12501" s="23" t="s">
        <v>8</v>
      </c>
    </row>
    <row r="12502" spans="1:13" s="21" customFormat="1" x14ac:dyDescent="0.25">
      <c r="A12502" s="22" t="s">
        <v>8</v>
      </c>
      <c r="B12502" s="18" t="str">
        <f>"445497"</f>
        <v>445497</v>
      </c>
      <c r="C12502" s="19" t="s">
        <v>12295</v>
      </c>
      <c r="D12502" s="19" t="s">
        <v>27904</v>
      </c>
      <c r="E12502" s="19" t="s">
        <v>35143</v>
      </c>
      <c r="F12502" s="19" t="s">
        <v>36017</v>
      </c>
      <c r="G12502" s="18" t="str">
        <f>"38024"</f>
        <v>38024</v>
      </c>
      <c r="H12502" s="19" t="s">
        <v>32239</v>
      </c>
      <c r="I12502" s="20">
        <v>21.359000000000002</v>
      </c>
      <c r="J12502" s="44" t="s">
        <v>8</v>
      </c>
      <c r="K12502" s="23" t="s">
        <v>8</v>
      </c>
      <c r="L12502" s="23" t="s">
        <v>8</v>
      </c>
      <c r="M12502" s="23" t="s">
        <v>8</v>
      </c>
    </row>
    <row r="12503" spans="1:13" s="21" customFormat="1" x14ac:dyDescent="0.25">
      <c r="A12503" s="22" t="s">
        <v>8</v>
      </c>
      <c r="B12503" s="18" t="str">
        <f>"445500"</f>
        <v>445500</v>
      </c>
      <c r="C12503" s="19" t="s">
        <v>12296</v>
      </c>
      <c r="D12503" s="19" t="s">
        <v>27905</v>
      </c>
      <c r="E12503" s="19" t="s">
        <v>32035</v>
      </c>
      <c r="F12503" s="19" t="s">
        <v>36017</v>
      </c>
      <c r="G12503" s="18" t="str">
        <f>"37087"</f>
        <v>37087</v>
      </c>
      <c r="H12503" s="19" t="s">
        <v>32577</v>
      </c>
      <c r="I12503" s="20">
        <v>17.379000000000001</v>
      </c>
      <c r="J12503" s="44" t="s">
        <v>8</v>
      </c>
      <c r="K12503" s="23" t="s">
        <v>8</v>
      </c>
      <c r="L12503" s="23" t="s">
        <v>8</v>
      </c>
      <c r="M12503" s="23" t="s">
        <v>8</v>
      </c>
    </row>
    <row r="12504" spans="1:13" s="21" customFormat="1" x14ac:dyDescent="0.25">
      <c r="A12504" s="22" t="s">
        <v>8</v>
      </c>
      <c r="B12504" s="18" t="str">
        <f>"445501"</f>
        <v>445501</v>
      </c>
      <c r="C12504" s="19" t="s">
        <v>12297</v>
      </c>
      <c r="D12504" s="19" t="s">
        <v>27906</v>
      </c>
      <c r="E12504" s="19" t="s">
        <v>32067</v>
      </c>
      <c r="F12504" s="19" t="s">
        <v>36017</v>
      </c>
      <c r="G12504" s="18" t="str">
        <f>"37919"</f>
        <v>37919</v>
      </c>
      <c r="H12504" s="19" t="s">
        <v>32252</v>
      </c>
      <c r="I12504" s="20">
        <v>19.707000000000001</v>
      </c>
      <c r="J12504" s="44" t="s">
        <v>8</v>
      </c>
      <c r="K12504" s="23" t="s">
        <v>8</v>
      </c>
      <c r="L12504" s="23" t="s">
        <v>8</v>
      </c>
      <c r="M12504" s="23" t="s">
        <v>8</v>
      </c>
    </row>
    <row r="12505" spans="1:13" s="21" customFormat="1" x14ac:dyDescent="0.25">
      <c r="A12505" s="22" t="s">
        <v>8</v>
      </c>
      <c r="B12505" s="18" t="str">
        <f>"445502"</f>
        <v>445502</v>
      </c>
      <c r="C12505" s="19" t="s">
        <v>12298</v>
      </c>
      <c r="D12505" s="19" t="s">
        <v>27907</v>
      </c>
      <c r="E12505" s="19" t="s">
        <v>31493</v>
      </c>
      <c r="F12505" s="19" t="s">
        <v>36017</v>
      </c>
      <c r="G12505" s="18" t="str">
        <f>"37167"</f>
        <v>37167</v>
      </c>
      <c r="H12505" s="19" t="s">
        <v>36618</v>
      </c>
      <c r="I12505" s="20">
        <v>19.620999999999999</v>
      </c>
      <c r="J12505" s="44" t="s">
        <v>8</v>
      </c>
      <c r="K12505" s="23" t="s">
        <v>8</v>
      </c>
      <c r="L12505" s="23" t="s">
        <v>8</v>
      </c>
      <c r="M12505" s="23" t="s">
        <v>8</v>
      </c>
    </row>
    <row r="12506" spans="1:13" s="21" customFormat="1" x14ac:dyDescent="0.25">
      <c r="A12506" s="22" t="s">
        <v>8</v>
      </c>
      <c r="B12506" s="18" t="str">
        <f>"445503"</f>
        <v>445503</v>
      </c>
      <c r="C12506" s="19" t="s">
        <v>118</v>
      </c>
      <c r="D12506" s="19" t="s">
        <v>27908</v>
      </c>
      <c r="E12506" s="19" t="s">
        <v>30906</v>
      </c>
      <c r="F12506" s="19" t="s">
        <v>36017</v>
      </c>
      <c r="G12506" s="18" t="str">
        <f>"37096"</f>
        <v>37096</v>
      </c>
      <c r="H12506" s="19" t="s">
        <v>31503</v>
      </c>
      <c r="I12506" s="20">
        <v>28.082999999999998</v>
      </c>
      <c r="J12506" s="44" t="s">
        <v>8</v>
      </c>
      <c r="K12506" s="23" t="s">
        <v>8</v>
      </c>
      <c r="L12506" s="23" t="s">
        <v>8</v>
      </c>
      <c r="M12506" s="23" t="s">
        <v>8</v>
      </c>
    </row>
    <row r="12507" spans="1:13" s="21" customFormat="1" x14ac:dyDescent="0.25">
      <c r="A12507" s="22" t="s">
        <v>8</v>
      </c>
      <c r="B12507" s="18" t="str">
        <f>"445504"</f>
        <v>445504</v>
      </c>
      <c r="C12507" s="19" t="s">
        <v>12299</v>
      </c>
      <c r="D12507" s="19" t="s">
        <v>27909</v>
      </c>
      <c r="E12507" s="19" t="s">
        <v>31058</v>
      </c>
      <c r="F12507" s="19" t="s">
        <v>36017</v>
      </c>
      <c r="G12507" s="18" t="str">
        <f>"37821"</f>
        <v>37821</v>
      </c>
      <c r="H12507" s="19" t="s">
        <v>36784</v>
      </c>
      <c r="I12507" s="20">
        <v>21.358000000000001</v>
      </c>
      <c r="J12507" s="44" t="s">
        <v>8</v>
      </c>
      <c r="K12507" s="23" t="s">
        <v>8</v>
      </c>
      <c r="L12507" s="23" t="s">
        <v>8</v>
      </c>
      <c r="M12507" s="23" t="s">
        <v>8</v>
      </c>
    </row>
    <row r="12508" spans="1:13" s="21" customFormat="1" x14ac:dyDescent="0.25">
      <c r="A12508" s="22" t="s">
        <v>8</v>
      </c>
      <c r="B12508" s="18" t="str">
        <f>"445506"</f>
        <v>445506</v>
      </c>
      <c r="C12508" s="19" t="s">
        <v>12300</v>
      </c>
      <c r="D12508" s="19" t="s">
        <v>27910</v>
      </c>
      <c r="E12508" s="19" t="s">
        <v>30880</v>
      </c>
      <c r="F12508" s="19" t="s">
        <v>36017</v>
      </c>
      <c r="G12508" s="18" t="str">
        <f>"38558"</f>
        <v>38558</v>
      </c>
      <c r="H12508" s="19" t="s">
        <v>32766</v>
      </c>
      <c r="I12508" s="20">
        <v>18.164000000000001</v>
      </c>
      <c r="J12508" s="44" t="s">
        <v>8</v>
      </c>
      <c r="K12508" s="23" t="s">
        <v>8</v>
      </c>
      <c r="L12508" s="23" t="s">
        <v>8</v>
      </c>
      <c r="M12508" s="23" t="s">
        <v>8</v>
      </c>
    </row>
    <row r="12509" spans="1:13" s="21" customFormat="1" x14ac:dyDescent="0.25">
      <c r="A12509" s="22" t="s">
        <v>8</v>
      </c>
      <c r="B12509" s="18" t="str">
        <f>"445507"</f>
        <v>445507</v>
      </c>
      <c r="C12509" s="19" t="s">
        <v>12301</v>
      </c>
      <c r="D12509" s="19" t="s">
        <v>27911</v>
      </c>
      <c r="E12509" s="19" t="s">
        <v>31279</v>
      </c>
      <c r="F12509" s="19" t="s">
        <v>36017</v>
      </c>
      <c r="G12509" s="18" t="str">
        <f>"37013"</f>
        <v>37013</v>
      </c>
      <c r="H12509" s="19" t="s">
        <v>36613</v>
      </c>
      <c r="I12509" s="20">
        <v>18.629000000000001</v>
      </c>
      <c r="J12509" s="44" t="s">
        <v>8</v>
      </c>
      <c r="K12509" s="23" t="s">
        <v>8</v>
      </c>
      <c r="L12509" s="23" t="s">
        <v>8</v>
      </c>
      <c r="M12509" s="23" t="s">
        <v>8</v>
      </c>
    </row>
    <row r="12510" spans="1:13" s="21" customFormat="1" x14ac:dyDescent="0.25">
      <c r="A12510" s="22" t="s">
        <v>8</v>
      </c>
      <c r="B12510" s="18" t="str">
        <f>"445508"</f>
        <v>445508</v>
      </c>
      <c r="C12510" s="19" t="s">
        <v>12302</v>
      </c>
      <c r="D12510" s="19" t="s">
        <v>27912</v>
      </c>
      <c r="E12510" s="19" t="s">
        <v>31813</v>
      </c>
      <c r="F12510" s="19" t="s">
        <v>36017</v>
      </c>
      <c r="G12510" s="18" t="str">
        <f>"38261"</f>
        <v>38261</v>
      </c>
      <c r="H12510" s="19" t="s">
        <v>36774</v>
      </c>
      <c r="I12510" s="20">
        <v>19.128</v>
      </c>
      <c r="J12510" s="44" t="s">
        <v>8</v>
      </c>
      <c r="K12510" s="23" t="s">
        <v>8</v>
      </c>
      <c r="L12510" s="23" t="s">
        <v>8</v>
      </c>
      <c r="M12510" s="23" t="s">
        <v>8</v>
      </c>
    </row>
    <row r="12511" spans="1:13" s="21" customFormat="1" x14ac:dyDescent="0.25">
      <c r="A12511" s="22" t="s">
        <v>8</v>
      </c>
      <c r="B12511" s="18" t="str">
        <f>"445509"</f>
        <v>445509</v>
      </c>
      <c r="C12511" s="19" t="s">
        <v>12303</v>
      </c>
      <c r="D12511" s="19" t="s">
        <v>27913</v>
      </c>
      <c r="E12511" s="19" t="s">
        <v>35213</v>
      </c>
      <c r="F12511" s="19" t="s">
        <v>36017</v>
      </c>
      <c r="G12511" s="18" t="str">
        <f>"37138"</f>
        <v>37138</v>
      </c>
      <c r="H12511" s="19" t="s">
        <v>36613</v>
      </c>
      <c r="I12511" s="20">
        <v>22.125</v>
      </c>
      <c r="J12511" s="44" t="s">
        <v>8</v>
      </c>
      <c r="K12511" s="23" t="s">
        <v>8</v>
      </c>
      <c r="L12511" s="23" t="s">
        <v>8</v>
      </c>
      <c r="M12511" s="23" t="s">
        <v>8</v>
      </c>
    </row>
    <row r="12512" spans="1:13" s="21" customFormat="1" x14ac:dyDescent="0.25">
      <c r="A12512" s="22" t="s">
        <v>8</v>
      </c>
      <c r="B12512" s="18" t="str">
        <f>"445510"</f>
        <v>445510</v>
      </c>
      <c r="C12512" s="19" t="s">
        <v>12304</v>
      </c>
      <c r="D12512" s="19" t="s">
        <v>27914</v>
      </c>
      <c r="E12512" s="19" t="s">
        <v>31115</v>
      </c>
      <c r="F12512" s="19" t="s">
        <v>36017</v>
      </c>
      <c r="G12512" s="18" t="str">
        <f>"38578"</f>
        <v>38578</v>
      </c>
      <c r="H12512" s="19" t="s">
        <v>32766</v>
      </c>
      <c r="I12512" s="20">
        <v>16.97</v>
      </c>
      <c r="J12512" s="44" t="s">
        <v>8</v>
      </c>
      <c r="K12512" s="23" t="s">
        <v>8</v>
      </c>
      <c r="L12512" s="23" t="s">
        <v>8</v>
      </c>
      <c r="M12512" s="23" t="s">
        <v>8</v>
      </c>
    </row>
    <row r="12513" spans="1:13" s="21" customFormat="1" x14ac:dyDescent="0.25">
      <c r="A12513" s="22" t="s">
        <v>8</v>
      </c>
      <c r="B12513" s="18" t="str">
        <f>"445511"</f>
        <v>445511</v>
      </c>
      <c r="C12513" s="19" t="s">
        <v>12305</v>
      </c>
      <c r="D12513" s="19" t="s">
        <v>27915</v>
      </c>
      <c r="E12513" s="19" t="s">
        <v>35214</v>
      </c>
      <c r="F12513" s="19" t="s">
        <v>36017</v>
      </c>
      <c r="G12513" s="18" t="str">
        <f>"37363"</f>
        <v>37363</v>
      </c>
      <c r="H12513" s="19" t="s">
        <v>30804</v>
      </c>
      <c r="I12513" s="20">
        <v>17.936</v>
      </c>
      <c r="J12513" s="44" t="s">
        <v>8</v>
      </c>
      <c r="K12513" s="23" t="s">
        <v>8</v>
      </c>
      <c r="L12513" s="23" t="s">
        <v>8</v>
      </c>
      <c r="M12513" s="23" t="s">
        <v>8</v>
      </c>
    </row>
    <row r="12514" spans="1:13" s="21" customFormat="1" x14ac:dyDescent="0.25">
      <c r="A12514" s="22" t="s">
        <v>8</v>
      </c>
      <c r="B12514" s="18" t="str">
        <f>"445512"</f>
        <v>445512</v>
      </c>
      <c r="C12514" s="19" t="s">
        <v>12306</v>
      </c>
      <c r="D12514" s="19" t="s">
        <v>27916</v>
      </c>
      <c r="E12514" s="19" t="s">
        <v>31014</v>
      </c>
      <c r="F12514" s="19" t="s">
        <v>36017</v>
      </c>
      <c r="G12514" s="18" t="str">
        <f>"37203"</f>
        <v>37203</v>
      </c>
      <c r="H12514" s="19" t="s">
        <v>36613</v>
      </c>
      <c r="I12514" s="20">
        <v>18.481999999999999</v>
      </c>
      <c r="J12514" s="44" t="s">
        <v>8</v>
      </c>
      <c r="K12514" s="23" t="s">
        <v>8</v>
      </c>
      <c r="L12514" s="23" t="s">
        <v>8</v>
      </c>
      <c r="M12514" s="23" t="s">
        <v>8</v>
      </c>
    </row>
    <row r="12515" spans="1:13" s="21" customFormat="1" x14ac:dyDescent="0.25">
      <c r="A12515" s="22" t="s">
        <v>8</v>
      </c>
      <c r="B12515" s="18" t="str">
        <f>"445513"</f>
        <v>445513</v>
      </c>
      <c r="C12515" s="19" t="s">
        <v>12307</v>
      </c>
      <c r="D12515" s="19" t="s">
        <v>27917</v>
      </c>
      <c r="E12515" s="19" t="s">
        <v>35215</v>
      </c>
      <c r="F12515" s="19" t="s">
        <v>36017</v>
      </c>
      <c r="G12515" s="18" t="str">
        <f>"37188"</f>
        <v>37188</v>
      </c>
      <c r="H12515" s="19" t="s">
        <v>36348</v>
      </c>
      <c r="I12515" s="20">
        <v>20.206</v>
      </c>
      <c r="J12515" s="44" t="s">
        <v>8</v>
      </c>
      <c r="K12515" s="23" t="s">
        <v>8</v>
      </c>
      <c r="L12515" s="23" t="s">
        <v>8</v>
      </c>
      <c r="M12515" s="23" t="s">
        <v>8</v>
      </c>
    </row>
    <row r="12516" spans="1:13" s="21" customFormat="1" x14ac:dyDescent="0.25">
      <c r="A12516" s="22" t="s">
        <v>8</v>
      </c>
      <c r="B12516" s="18" t="str">
        <f>"445514"</f>
        <v>445514</v>
      </c>
      <c r="C12516" s="19" t="s">
        <v>12308</v>
      </c>
      <c r="D12516" s="19" t="s">
        <v>27918</v>
      </c>
      <c r="E12516" s="19" t="s">
        <v>35216</v>
      </c>
      <c r="F12516" s="19" t="s">
        <v>36017</v>
      </c>
      <c r="G12516" s="18" t="str">
        <f>"37681"</f>
        <v>37681</v>
      </c>
      <c r="H12516" s="19" t="s">
        <v>31500</v>
      </c>
      <c r="I12516" s="20">
        <v>17.318000000000001</v>
      </c>
      <c r="J12516" s="44" t="s">
        <v>8</v>
      </c>
      <c r="K12516" s="23" t="s">
        <v>8</v>
      </c>
      <c r="L12516" s="23" t="s">
        <v>8</v>
      </c>
      <c r="M12516" s="23" t="s">
        <v>8</v>
      </c>
    </row>
    <row r="12517" spans="1:13" s="21" customFormat="1" x14ac:dyDescent="0.25">
      <c r="A12517" s="22" t="s">
        <v>8</v>
      </c>
      <c r="B12517" s="18" t="str">
        <f>"445515"</f>
        <v>445515</v>
      </c>
      <c r="C12517" s="19" t="s">
        <v>12309</v>
      </c>
      <c r="D12517" s="19" t="s">
        <v>27919</v>
      </c>
      <c r="E12517" s="19" t="s">
        <v>35165</v>
      </c>
      <c r="F12517" s="19" t="s">
        <v>36017</v>
      </c>
      <c r="G12517" s="18" t="str">
        <f>"37388"</f>
        <v>37388</v>
      </c>
      <c r="H12517" s="19" t="s">
        <v>36039</v>
      </c>
      <c r="I12517" s="20">
        <v>20.879000000000001</v>
      </c>
      <c r="J12517" s="44" t="s">
        <v>8</v>
      </c>
      <c r="K12517" s="23" t="s">
        <v>8</v>
      </c>
      <c r="L12517" s="23" t="s">
        <v>8</v>
      </c>
      <c r="M12517" s="23" t="s">
        <v>8</v>
      </c>
    </row>
    <row r="12518" spans="1:13" s="21" customFormat="1" x14ac:dyDescent="0.25">
      <c r="A12518" s="22" t="s">
        <v>8</v>
      </c>
      <c r="B12518" s="18" t="str">
        <f>"445516"</f>
        <v>445516</v>
      </c>
      <c r="C12518" s="19" t="s">
        <v>11525</v>
      </c>
      <c r="D12518" s="19" t="s">
        <v>27920</v>
      </c>
      <c r="E12518" s="19" t="s">
        <v>30899</v>
      </c>
      <c r="F12518" s="19" t="s">
        <v>36017</v>
      </c>
      <c r="G12518" s="18" t="str">
        <f>"37115"</f>
        <v>37115</v>
      </c>
      <c r="H12518" s="19" t="s">
        <v>36613</v>
      </c>
      <c r="I12518" s="20">
        <v>21.227</v>
      </c>
      <c r="J12518" s="44" t="s">
        <v>8</v>
      </c>
      <c r="K12518" s="23" t="s">
        <v>8</v>
      </c>
      <c r="L12518" s="23" t="s">
        <v>8</v>
      </c>
      <c r="M12518" s="23" t="s">
        <v>8</v>
      </c>
    </row>
    <row r="12519" spans="1:13" s="21" customFormat="1" x14ac:dyDescent="0.25">
      <c r="A12519" s="22" t="s">
        <v>8</v>
      </c>
      <c r="B12519" s="18" t="str">
        <f>"445517"</f>
        <v>445517</v>
      </c>
      <c r="C12519" s="19" t="s">
        <v>12310</v>
      </c>
      <c r="D12519" s="19" t="s">
        <v>27921</v>
      </c>
      <c r="E12519" s="19" t="s">
        <v>35158</v>
      </c>
      <c r="F12519" s="19" t="s">
        <v>36017</v>
      </c>
      <c r="G12519" s="18" t="str">
        <f>"37660"</f>
        <v>37660</v>
      </c>
      <c r="H12519" s="19" t="s">
        <v>31976</v>
      </c>
      <c r="I12519" s="20">
        <v>20.45</v>
      </c>
      <c r="J12519" s="44" t="s">
        <v>8</v>
      </c>
      <c r="K12519" s="23" t="s">
        <v>8</v>
      </c>
      <c r="L12519" s="23" t="s">
        <v>8</v>
      </c>
      <c r="M12519" s="23" t="s">
        <v>8</v>
      </c>
    </row>
    <row r="12520" spans="1:13" s="21" customFormat="1" x14ac:dyDescent="0.25">
      <c r="A12520" s="22" t="s">
        <v>8</v>
      </c>
      <c r="B12520" s="18" t="str">
        <f>"445518"</f>
        <v>445518</v>
      </c>
      <c r="C12520" s="19" t="s">
        <v>12311</v>
      </c>
      <c r="D12520" s="19" t="s">
        <v>27922</v>
      </c>
      <c r="E12520" s="19" t="s">
        <v>31701</v>
      </c>
      <c r="F12520" s="19" t="s">
        <v>36017</v>
      </c>
      <c r="G12520" s="18" t="str">
        <f>"38485"</f>
        <v>38485</v>
      </c>
      <c r="H12520" s="19" t="s">
        <v>33280</v>
      </c>
      <c r="I12520" s="20">
        <v>17.776</v>
      </c>
      <c r="J12520" s="44" t="s">
        <v>8</v>
      </c>
      <c r="K12520" s="23" t="s">
        <v>8</v>
      </c>
      <c r="L12520" s="23" t="s">
        <v>8</v>
      </c>
      <c r="M12520" s="23" t="s">
        <v>8</v>
      </c>
    </row>
    <row r="12521" spans="1:13" s="21" customFormat="1" x14ac:dyDescent="0.25">
      <c r="A12521" s="22" t="s">
        <v>8</v>
      </c>
      <c r="B12521" s="18" t="str">
        <f>"445519"</f>
        <v>445519</v>
      </c>
      <c r="C12521" s="19" t="s">
        <v>12312</v>
      </c>
      <c r="D12521" s="19" t="s">
        <v>27923</v>
      </c>
      <c r="E12521" s="19" t="s">
        <v>33708</v>
      </c>
      <c r="F12521" s="19" t="s">
        <v>36017</v>
      </c>
      <c r="G12521" s="18" t="str">
        <f>"37066"</f>
        <v>37066</v>
      </c>
      <c r="H12521" s="19" t="s">
        <v>32524</v>
      </c>
      <c r="I12521" s="20">
        <v>18.641999999999999</v>
      </c>
      <c r="J12521" s="44" t="s">
        <v>8</v>
      </c>
      <c r="K12521" s="23" t="s">
        <v>8</v>
      </c>
      <c r="L12521" s="23" t="s">
        <v>8</v>
      </c>
      <c r="M12521" s="23" t="s">
        <v>8</v>
      </c>
    </row>
    <row r="12522" spans="1:13" s="21" customFormat="1" x14ac:dyDescent="0.25">
      <c r="A12522" s="22" t="s">
        <v>8</v>
      </c>
      <c r="B12522" s="18" t="s">
        <v>15384</v>
      </c>
      <c r="C12522" s="19" t="s">
        <v>12313</v>
      </c>
      <c r="D12522" s="19" t="s">
        <v>27924</v>
      </c>
      <c r="E12522" s="19" t="s">
        <v>32168</v>
      </c>
      <c r="F12522" s="19" t="s">
        <v>36018</v>
      </c>
      <c r="G12522" s="18" t="str">
        <f>"76634"</f>
        <v>76634</v>
      </c>
      <c r="H12522" s="19" t="s">
        <v>36785</v>
      </c>
      <c r="I12522" s="20">
        <v>18.422000000000001</v>
      </c>
      <c r="J12522" s="44" t="s">
        <v>8</v>
      </c>
      <c r="K12522" s="23" t="s">
        <v>8</v>
      </c>
      <c r="L12522" s="23" t="s">
        <v>8</v>
      </c>
      <c r="M12522" s="23" t="s">
        <v>8</v>
      </c>
    </row>
    <row r="12523" spans="1:13" s="21" customFormat="1" x14ac:dyDescent="0.25">
      <c r="A12523" s="22" t="s">
        <v>8</v>
      </c>
      <c r="B12523" s="18" t="s">
        <v>15385</v>
      </c>
      <c r="C12523" s="19" t="s">
        <v>12314</v>
      </c>
      <c r="D12523" s="19" t="s">
        <v>27925</v>
      </c>
      <c r="E12523" s="19" t="s">
        <v>35184</v>
      </c>
      <c r="F12523" s="19" t="s">
        <v>36018</v>
      </c>
      <c r="G12523" s="18" t="str">
        <f>"79556"</f>
        <v>79556</v>
      </c>
      <c r="H12523" s="19" t="s">
        <v>36786</v>
      </c>
      <c r="I12523" s="20">
        <v>19.082000000000001</v>
      </c>
      <c r="J12523" s="44" t="s">
        <v>8</v>
      </c>
      <c r="K12523" s="23" t="s">
        <v>8</v>
      </c>
      <c r="L12523" s="23" t="s">
        <v>8</v>
      </c>
      <c r="M12523" s="23" t="s">
        <v>8</v>
      </c>
    </row>
    <row r="12524" spans="1:13" s="21" customFormat="1" x14ac:dyDescent="0.25">
      <c r="A12524" s="22" t="s">
        <v>8</v>
      </c>
      <c r="B12524" s="18" t="s">
        <v>15386</v>
      </c>
      <c r="C12524" s="19" t="s">
        <v>12315</v>
      </c>
      <c r="D12524" s="19" t="s">
        <v>27926</v>
      </c>
      <c r="E12524" s="19" t="s">
        <v>35217</v>
      </c>
      <c r="F12524" s="19" t="s">
        <v>36018</v>
      </c>
      <c r="G12524" s="18" t="str">
        <f>"79501"</f>
        <v>79501</v>
      </c>
      <c r="H12524" s="19" t="s">
        <v>34651</v>
      </c>
      <c r="I12524" s="20">
        <v>18.613</v>
      </c>
      <c r="J12524" s="44" t="s">
        <v>8</v>
      </c>
      <c r="K12524" s="23" t="s">
        <v>8</v>
      </c>
      <c r="L12524" s="23" t="s">
        <v>8</v>
      </c>
      <c r="M12524" s="23" t="s">
        <v>8</v>
      </c>
    </row>
    <row r="12525" spans="1:13" s="21" customFormat="1" x14ac:dyDescent="0.25">
      <c r="A12525" s="22" t="s">
        <v>8</v>
      </c>
      <c r="B12525" s="18" t="s">
        <v>15387</v>
      </c>
      <c r="C12525" s="19" t="s">
        <v>12316</v>
      </c>
      <c r="D12525" s="19" t="s">
        <v>27927</v>
      </c>
      <c r="E12525" s="19" t="s">
        <v>34316</v>
      </c>
      <c r="F12525" s="19" t="s">
        <v>36018</v>
      </c>
      <c r="G12525" s="18" t="str">
        <f>"76450"</f>
        <v>76450</v>
      </c>
      <c r="H12525" s="19" t="s">
        <v>36787</v>
      </c>
      <c r="I12525" s="20">
        <v>19.084</v>
      </c>
      <c r="J12525" s="44" t="s">
        <v>8</v>
      </c>
      <c r="K12525" s="23" t="s">
        <v>8</v>
      </c>
      <c r="L12525" s="23" t="s">
        <v>8</v>
      </c>
      <c r="M12525" s="23" t="s">
        <v>8</v>
      </c>
    </row>
    <row r="12526" spans="1:13" s="21" customFormat="1" x14ac:dyDescent="0.25">
      <c r="A12526" s="22" t="s">
        <v>8</v>
      </c>
      <c r="B12526" s="18" t="s">
        <v>15388</v>
      </c>
      <c r="C12526" s="19" t="s">
        <v>12317</v>
      </c>
      <c r="D12526" s="19" t="s">
        <v>27928</v>
      </c>
      <c r="E12526" s="19" t="s">
        <v>31537</v>
      </c>
      <c r="F12526" s="19" t="s">
        <v>36018</v>
      </c>
      <c r="G12526" s="18" t="str">
        <f>"76240"</f>
        <v>76240</v>
      </c>
      <c r="H12526" s="19" t="s">
        <v>36788</v>
      </c>
      <c r="I12526" s="20">
        <v>17.527000000000001</v>
      </c>
      <c r="J12526" s="44" t="s">
        <v>8</v>
      </c>
      <c r="K12526" s="23" t="s">
        <v>8</v>
      </c>
      <c r="L12526" s="23" t="s">
        <v>8</v>
      </c>
      <c r="M12526" s="23" t="s">
        <v>8</v>
      </c>
    </row>
    <row r="12527" spans="1:13" s="21" customFormat="1" x14ac:dyDescent="0.25">
      <c r="A12527" s="22" t="s">
        <v>8</v>
      </c>
      <c r="B12527" s="18" t="s">
        <v>15389</v>
      </c>
      <c r="C12527" s="19" t="s">
        <v>12318</v>
      </c>
      <c r="D12527" s="19" t="s">
        <v>27929</v>
      </c>
      <c r="E12527" s="19" t="s">
        <v>35218</v>
      </c>
      <c r="F12527" s="19" t="s">
        <v>36018</v>
      </c>
      <c r="G12527" s="18" t="str">
        <f>"78114"</f>
        <v>78114</v>
      </c>
      <c r="H12527" s="19" t="s">
        <v>32577</v>
      </c>
      <c r="I12527" s="20">
        <v>18.683</v>
      </c>
      <c r="J12527" s="44" t="s">
        <v>8</v>
      </c>
      <c r="K12527" s="23" t="s">
        <v>8</v>
      </c>
      <c r="L12527" s="23" t="s">
        <v>8</v>
      </c>
      <c r="M12527" s="23" t="s">
        <v>8</v>
      </c>
    </row>
    <row r="12528" spans="1:13" s="21" customFormat="1" x14ac:dyDescent="0.25">
      <c r="A12528" s="22" t="s">
        <v>8</v>
      </c>
      <c r="B12528" s="18" t="s">
        <v>15390</v>
      </c>
      <c r="C12528" s="19" t="s">
        <v>12319</v>
      </c>
      <c r="D12528" s="19" t="s">
        <v>27930</v>
      </c>
      <c r="E12528" s="19" t="s">
        <v>34341</v>
      </c>
      <c r="F12528" s="19" t="s">
        <v>36018</v>
      </c>
      <c r="G12528" s="18" t="str">
        <f>"79714"</f>
        <v>79714</v>
      </c>
      <c r="H12528" s="19" t="s">
        <v>34341</v>
      </c>
      <c r="I12528" s="20">
        <v>19.649999999999999</v>
      </c>
      <c r="J12528" s="44" t="s">
        <v>8</v>
      </c>
      <c r="K12528" s="23" t="s">
        <v>8</v>
      </c>
      <c r="L12528" s="23" t="s">
        <v>8</v>
      </c>
      <c r="M12528" s="23" t="s">
        <v>8</v>
      </c>
    </row>
    <row r="12529" spans="1:13" s="21" customFormat="1" x14ac:dyDescent="0.25">
      <c r="A12529" s="22" t="s">
        <v>8</v>
      </c>
      <c r="B12529" s="18" t="s">
        <v>15391</v>
      </c>
      <c r="C12529" s="19" t="s">
        <v>12320</v>
      </c>
      <c r="D12529" s="19" t="s">
        <v>27931</v>
      </c>
      <c r="E12529" s="19" t="s">
        <v>35219</v>
      </c>
      <c r="F12529" s="19" t="s">
        <v>36018</v>
      </c>
      <c r="G12529" s="18" t="str">
        <f>"78840"</f>
        <v>78840</v>
      </c>
      <c r="H12529" s="19" t="s">
        <v>36789</v>
      </c>
      <c r="I12529" s="20">
        <v>19.978999999999999</v>
      </c>
      <c r="J12529" s="44" t="s">
        <v>8</v>
      </c>
      <c r="K12529" s="23" t="s">
        <v>8</v>
      </c>
      <c r="L12529" s="23" t="s">
        <v>8</v>
      </c>
      <c r="M12529" s="23" t="s">
        <v>8</v>
      </c>
    </row>
    <row r="12530" spans="1:13" s="21" customFormat="1" x14ac:dyDescent="0.25">
      <c r="A12530" s="22" t="s">
        <v>8</v>
      </c>
      <c r="B12530" s="18" t="s">
        <v>15392</v>
      </c>
      <c r="C12530" s="19" t="s">
        <v>12321</v>
      </c>
      <c r="D12530" s="19" t="s">
        <v>27932</v>
      </c>
      <c r="E12530" s="19" t="s">
        <v>35220</v>
      </c>
      <c r="F12530" s="19" t="s">
        <v>36018</v>
      </c>
      <c r="G12530" s="18" t="str">
        <f>"79045"</f>
        <v>79045</v>
      </c>
      <c r="H12530" s="19" t="s">
        <v>36790</v>
      </c>
      <c r="I12530" s="20">
        <v>19.658000000000001</v>
      </c>
      <c r="J12530" s="44" t="s">
        <v>8</v>
      </c>
      <c r="K12530" s="23" t="s">
        <v>8</v>
      </c>
      <c r="L12530" s="23" t="s">
        <v>8</v>
      </c>
      <c r="M12530" s="23" t="s">
        <v>8</v>
      </c>
    </row>
    <row r="12531" spans="1:13" s="21" customFormat="1" x14ac:dyDescent="0.25">
      <c r="A12531" s="22" t="s">
        <v>8</v>
      </c>
      <c r="B12531" s="18" t="s">
        <v>15393</v>
      </c>
      <c r="C12531" s="19" t="s">
        <v>12322</v>
      </c>
      <c r="D12531" s="19" t="s">
        <v>27933</v>
      </c>
      <c r="E12531" s="19" t="s">
        <v>35221</v>
      </c>
      <c r="F12531" s="19" t="s">
        <v>36018</v>
      </c>
      <c r="G12531" s="18" t="str">
        <f>"78026"</f>
        <v>78026</v>
      </c>
      <c r="H12531" s="19" t="s">
        <v>36791</v>
      </c>
      <c r="I12531" s="20">
        <v>19.623999999999999</v>
      </c>
      <c r="J12531" s="44" t="s">
        <v>8</v>
      </c>
      <c r="K12531" s="23" t="s">
        <v>8</v>
      </c>
      <c r="L12531" s="23" t="s">
        <v>8</v>
      </c>
      <c r="M12531" s="23" t="s">
        <v>8</v>
      </c>
    </row>
    <row r="12532" spans="1:13" s="21" customFormat="1" x14ac:dyDescent="0.25">
      <c r="A12532" s="22" t="s">
        <v>8</v>
      </c>
      <c r="B12532" s="18" t="s">
        <v>15394</v>
      </c>
      <c r="C12532" s="19" t="s">
        <v>12323</v>
      </c>
      <c r="D12532" s="19" t="s">
        <v>27934</v>
      </c>
      <c r="E12532" s="19" t="s">
        <v>35222</v>
      </c>
      <c r="F12532" s="19" t="s">
        <v>36018</v>
      </c>
      <c r="G12532" s="18" t="str">
        <f>"78801"</f>
        <v>78801</v>
      </c>
      <c r="H12532" s="19" t="s">
        <v>35222</v>
      </c>
      <c r="I12532" s="20">
        <v>19.861999999999998</v>
      </c>
      <c r="J12532" s="44" t="s">
        <v>8</v>
      </c>
      <c r="K12532" s="23" t="s">
        <v>8</v>
      </c>
      <c r="L12532" s="23" t="s">
        <v>8</v>
      </c>
      <c r="M12532" s="23" t="s">
        <v>8</v>
      </c>
    </row>
    <row r="12533" spans="1:13" s="21" customFormat="1" x14ac:dyDescent="0.25">
      <c r="A12533" s="22" t="s">
        <v>8</v>
      </c>
      <c r="B12533" s="18" t="s">
        <v>15395</v>
      </c>
      <c r="C12533" s="19" t="s">
        <v>12324</v>
      </c>
      <c r="D12533" s="19" t="s">
        <v>27935</v>
      </c>
      <c r="E12533" s="19" t="s">
        <v>35223</v>
      </c>
      <c r="F12533" s="19" t="s">
        <v>36018</v>
      </c>
      <c r="G12533" s="18" t="str">
        <f>"77833"</f>
        <v>77833</v>
      </c>
      <c r="H12533" s="19" t="s">
        <v>31500</v>
      </c>
      <c r="I12533" s="20">
        <v>21.268000000000001</v>
      </c>
      <c r="J12533" s="44" t="s">
        <v>8</v>
      </c>
      <c r="K12533" s="23" t="s">
        <v>8</v>
      </c>
      <c r="L12533" s="23" t="s">
        <v>8</v>
      </c>
      <c r="M12533" s="23" t="s">
        <v>8</v>
      </c>
    </row>
    <row r="12534" spans="1:13" s="21" customFormat="1" x14ac:dyDescent="0.25">
      <c r="A12534" s="22" t="s">
        <v>8</v>
      </c>
      <c r="B12534" s="18" t="s">
        <v>15396</v>
      </c>
      <c r="C12534" s="19" t="s">
        <v>12325</v>
      </c>
      <c r="D12534" s="19" t="s">
        <v>27936</v>
      </c>
      <c r="E12534" s="19" t="s">
        <v>32016</v>
      </c>
      <c r="F12534" s="19" t="s">
        <v>36018</v>
      </c>
      <c r="G12534" s="18" t="str">
        <f>"76645"</f>
        <v>76645</v>
      </c>
      <c r="H12534" s="19" t="s">
        <v>36533</v>
      </c>
      <c r="I12534" s="20">
        <v>20.449000000000002</v>
      </c>
      <c r="J12534" s="44" t="s">
        <v>8</v>
      </c>
      <c r="K12534" s="23" t="s">
        <v>8</v>
      </c>
      <c r="L12534" s="23" t="s">
        <v>8</v>
      </c>
      <c r="M12534" s="23" t="s">
        <v>8</v>
      </c>
    </row>
    <row r="12535" spans="1:13" s="21" customFormat="1" x14ac:dyDescent="0.25">
      <c r="A12535" s="22" t="s">
        <v>8</v>
      </c>
      <c r="B12535" s="18" t="s">
        <v>15397</v>
      </c>
      <c r="C12535" s="19" t="s">
        <v>10518</v>
      </c>
      <c r="D12535" s="19" t="s">
        <v>27937</v>
      </c>
      <c r="E12535" s="19" t="s">
        <v>35224</v>
      </c>
      <c r="F12535" s="19" t="s">
        <v>36018</v>
      </c>
      <c r="G12535" s="18" t="str">
        <f>"79029"</f>
        <v>79029</v>
      </c>
      <c r="H12535" s="19" t="s">
        <v>34689</v>
      </c>
      <c r="I12535" s="20">
        <v>18.946999999999999</v>
      </c>
      <c r="J12535" s="44" t="s">
        <v>8</v>
      </c>
      <c r="K12535" s="23" t="s">
        <v>8</v>
      </c>
      <c r="L12535" s="23" t="s">
        <v>8</v>
      </c>
      <c r="M12535" s="23" t="s">
        <v>8</v>
      </c>
    </row>
    <row r="12536" spans="1:13" s="21" customFormat="1" x14ac:dyDescent="0.25">
      <c r="A12536" s="22" t="s">
        <v>8</v>
      </c>
      <c r="B12536" s="18" t="s">
        <v>15398</v>
      </c>
      <c r="C12536" s="19" t="s">
        <v>12326</v>
      </c>
      <c r="D12536" s="19" t="s">
        <v>27938</v>
      </c>
      <c r="E12536" s="19" t="s">
        <v>35225</v>
      </c>
      <c r="F12536" s="19" t="s">
        <v>36018</v>
      </c>
      <c r="G12536" s="18" t="str">
        <f>"76458"</f>
        <v>76458</v>
      </c>
      <c r="H12536" s="19" t="s">
        <v>36792</v>
      </c>
      <c r="I12536" s="20">
        <v>18.422999999999998</v>
      </c>
      <c r="J12536" s="44" t="s">
        <v>8</v>
      </c>
      <c r="K12536" s="23" t="s">
        <v>8</v>
      </c>
      <c r="L12536" s="23" t="s">
        <v>8</v>
      </c>
      <c r="M12536" s="23" t="s">
        <v>8</v>
      </c>
    </row>
    <row r="12537" spans="1:13" s="21" customFormat="1" x14ac:dyDescent="0.25">
      <c r="A12537" s="22" t="s">
        <v>8</v>
      </c>
      <c r="B12537" s="18" t="s">
        <v>15399</v>
      </c>
      <c r="C12537" s="19" t="s">
        <v>12327</v>
      </c>
      <c r="D12537" s="19" t="s">
        <v>27939</v>
      </c>
      <c r="E12537" s="19" t="s">
        <v>35226</v>
      </c>
      <c r="F12537" s="19" t="s">
        <v>36018</v>
      </c>
      <c r="G12537" s="18" t="str">
        <f>"79520"</f>
        <v>79520</v>
      </c>
      <c r="H12537" s="19" t="s">
        <v>34651</v>
      </c>
      <c r="I12537" s="20">
        <v>18.093</v>
      </c>
      <c r="J12537" s="44" t="s">
        <v>8</v>
      </c>
      <c r="K12537" s="23" t="s">
        <v>8</v>
      </c>
      <c r="L12537" s="23" t="s">
        <v>8</v>
      </c>
      <c r="M12537" s="23" t="s">
        <v>8</v>
      </c>
    </row>
    <row r="12538" spans="1:13" s="21" customFormat="1" x14ac:dyDescent="0.25">
      <c r="A12538" s="22" t="s">
        <v>8</v>
      </c>
      <c r="B12538" s="18" t="s">
        <v>15400</v>
      </c>
      <c r="C12538" s="19" t="s">
        <v>12328</v>
      </c>
      <c r="D12538" s="19" t="s">
        <v>27940</v>
      </c>
      <c r="E12538" s="19" t="s">
        <v>34565</v>
      </c>
      <c r="F12538" s="19" t="s">
        <v>36018</v>
      </c>
      <c r="G12538" s="18" t="str">
        <f>"77418"</f>
        <v>77418</v>
      </c>
      <c r="H12538" s="19" t="s">
        <v>33383</v>
      </c>
      <c r="I12538" s="20">
        <v>18.341000000000001</v>
      </c>
      <c r="J12538" s="44" t="s">
        <v>8</v>
      </c>
      <c r="K12538" s="23" t="s">
        <v>8</v>
      </c>
      <c r="L12538" s="23" t="s">
        <v>8</v>
      </c>
      <c r="M12538" s="23" t="s">
        <v>8</v>
      </c>
    </row>
    <row r="12539" spans="1:13" s="21" customFormat="1" x14ac:dyDescent="0.25">
      <c r="A12539" s="22" t="s">
        <v>8</v>
      </c>
      <c r="B12539" s="18" t="s">
        <v>15401</v>
      </c>
      <c r="C12539" s="19" t="s">
        <v>12329</v>
      </c>
      <c r="D12539" s="19" t="s">
        <v>27941</v>
      </c>
      <c r="E12539" s="19" t="s">
        <v>35227</v>
      </c>
      <c r="F12539" s="19" t="s">
        <v>36018</v>
      </c>
      <c r="G12539" s="18" t="str">
        <f>"78061"</f>
        <v>78061</v>
      </c>
      <c r="H12539" s="19" t="s">
        <v>36793</v>
      </c>
      <c r="I12539" s="20">
        <v>18.475000000000001</v>
      </c>
      <c r="J12539" s="44" t="s">
        <v>8</v>
      </c>
      <c r="K12539" s="23" t="s">
        <v>8</v>
      </c>
      <c r="L12539" s="23" t="s">
        <v>8</v>
      </c>
      <c r="M12539" s="23" t="s">
        <v>8</v>
      </c>
    </row>
    <row r="12540" spans="1:13" s="21" customFormat="1" x14ac:dyDescent="0.25">
      <c r="A12540" s="22" t="s">
        <v>8</v>
      </c>
      <c r="B12540" s="18" t="s">
        <v>15402</v>
      </c>
      <c r="C12540" s="19" t="s">
        <v>12330</v>
      </c>
      <c r="D12540" s="19" t="s">
        <v>27942</v>
      </c>
      <c r="E12540" s="19" t="s">
        <v>31404</v>
      </c>
      <c r="F12540" s="19" t="s">
        <v>36018</v>
      </c>
      <c r="G12540" s="18" t="str">
        <f>"79553"</f>
        <v>79553</v>
      </c>
      <c r="H12540" s="19" t="s">
        <v>34651</v>
      </c>
      <c r="I12540" s="20">
        <v>20.366</v>
      </c>
      <c r="J12540" s="44" t="s">
        <v>8</v>
      </c>
      <c r="K12540" s="23" t="s">
        <v>8</v>
      </c>
      <c r="L12540" s="23" t="s">
        <v>8</v>
      </c>
      <c r="M12540" s="23" t="s">
        <v>8</v>
      </c>
    </row>
    <row r="12541" spans="1:13" s="21" customFormat="1" x14ac:dyDescent="0.25">
      <c r="A12541" s="22" t="s">
        <v>8</v>
      </c>
      <c r="B12541" s="18" t="s">
        <v>15403</v>
      </c>
      <c r="C12541" s="19" t="s">
        <v>12331</v>
      </c>
      <c r="D12541" s="19" t="s">
        <v>27943</v>
      </c>
      <c r="E12541" s="19" t="s">
        <v>35228</v>
      </c>
      <c r="F12541" s="19" t="s">
        <v>36018</v>
      </c>
      <c r="G12541" s="18" t="str">
        <f>"79201"</f>
        <v>79201</v>
      </c>
      <c r="H12541" s="19" t="s">
        <v>35228</v>
      </c>
      <c r="I12541" s="20">
        <v>18.683</v>
      </c>
      <c r="J12541" s="44" t="s">
        <v>8</v>
      </c>
      <c r="K12541" s="23" t="s">
        <v>8</v>
      </c>
      <c r="L12541" s="23" t="s">
        <v>8</v>
      </c>
      <c r="M12541" s="23" t="s">
        <v>8</v>
      </c>
    </row>
    <row r="12542" spans="1:13" s="21" customFormat="1" x14ac:dyDescent="0.25">
      <c r="A12542" s="22" t="s">
        <v>8</v>
      </c>
      <c r="B12542" s="18" t="s">
        <v>15404</v>
      </c>
      <c r="C12542" s="19" t="s">
        <v>7705</v>
      </c>
      <c r="D12542" s="19" t="s">
        <v>27944</v>
      </c>
      <c r="E12542" s="19" t="s">
        <v>31715</v>
      </c>
      <c r="F12542" s="19" t="s">
        <v>36018</v>
      </c>
      <c r="G12542" s="18" t="str">
        <f>"78934"</f>
        <v>78934</v>
      </c>
      <c r="H12542" s="19" t="s">
        <v>36794</v>
      </c>
      <c r="I12542" s="20">
        <v>20.989000000000001</v>
      </c>
      <c r="J12542" s="44" t="s">
        <v>8</v>
      </c>
      <c r="K12542" s="23" t="s">
        <v>8</v>
      </c>
      <c r="L12542" s="23" t="s">
        <v>8</v>
      </c>
      <c r="M12542" s="23" t="s">
        <v>8</v>
      </c>
    </row>
    <row r="12543" spans="1:13" s="21" customFormat="1" x14ac:dyDescent="0.25">
      <c r="A12543" s="22" t="s">
        <v>8</v>
      </c>
      <c r="B12543" s="18" t="s">
        <v>15405</v>
      </c>
      <c r="C12543" s="19" t="s">
        <v>12332</v>
      </c>
      <c r="D12543" s="19" t="s">
        <v>27945</v>
      </c>
      <c r="E12543" s="19" t="s">
        <v>35229</v>
      </c>
      <c r="F12543" s="19" t="s">
        <v>36018</v>
      </c>
      <c r="G12543" s="18" t="str">
        <f>"76667"</f>
        <v>76667</v>
      </c>
      <c r="H12543" s="19" t="s">
        <v>35216</v>
      </c>
      <c r="I12543" s="20">
        <v>17.835000000000001</v>
      </c>
      <c r="J12543" s="44" t="s">
        <v>8</v>
      </c>
      <c r="K12543" s="23" t="s">
        <v>8</v>
      </c>
      <c r="L12543" s="23" t="s">
        <v>8</v>
      </c>
      <c r="M12543" s="23" t="s">
        <v>8</v>
      </c>
    </row>
    <row r="12544" spans="1:13" s="21" customFormat="1" x14ac:dyDescent="0.25">
      <c r="A12544" s="22" t="s">
        <v>8</v>
      </c>
      <c r="B12544" s="18" t="s">
        <v>15406</v>
      </c>
      <c r="C12544" s="19" t="s">
        <v>12333</v>
      </c>
      <c r="D12544" s="19" t="s">
        <v>27946</v>
      </c>
      <c r="E12544" s="19" t="s">
        <v>35230</v>
      </c>
      <c r="F12544" s="19" t="s">
        <v>36018</v>
      </c>
      <c r="G12544" s="18" t="str">
        <f>"76448"</f>
        <v>76448</v>
      </c>
      <c r="H12544" s="19" t="s">
        <v>35230</v>
      </c>
      <c r="I12544" s="20">
        <v>18.111999999999998</v>
      </c>
      <c r="J12544" s="44" t="s">
        <v>8</v>
      </c>
      <c r="K12544" s="23" t="s">
        <v>8</v>
      </c>
      <c r="L12544" s="23" t="s">
        <v>8</v>
      </c>
      <c r="M12544" s="23" t="s">
        <v>8</v>
      </c>
    </row>
    <row r="12545" spans="1:13" s="21" customFormat="1" x14ac:dyDescent="0.25">
      <c r="A12545" s="22" t="s">
        <v>8</v>
      </c>
      <c r="B12545" s="18" t="s">
        <v>15407</v>
      </c>
      <c r="C12545" s="19" t="s">
        <v>12334</v>
      </c>
      <c r="D12545" s="19" t="s">
        <v>27947</v>
      </c>
      <c r="E12545" s="19" t="s">
        <v>35231</v>
      </c>
      <c r="F12545" s="19" t="s">
        <v>36018</v>
      </c>
      <c r="G12545" s="18" t="str">
        <f>"76043"</f>
        <v>76043</v>
      </c>
      <c r="H12545" s="19" t="s">
        <v>36795</v>
      </c>
      <c r="I12545" s="20">
        <v>18.562999999999999</v>
      </c>
      <c r="J12545" s="44" t="s">
        <v>8</v>
      </c>
      <c r="K12545" s="23" t="s">
        <v>8</v>
      </c>
      <c r="L12545" s="23" t="s">
        <v>8</v>
      </c>
      <c r="M12545" s="23" t="s">
        <v>8</v>
      </c>
    </row>
    <row r="12546" spans="1:13" s="21" customFormat="1" x14ac:dyDescent="0.25">
      <c r="A12546" s="22" t="s">
        <v>8</v>
      </c>
      <c r="B12546" s="18" t="s">
        <v>15408</v>
      </c>
      <c r="C12546" s="19" t="s">
        <v>12335</v>
      </c>
      <c r="D12546" s="19" t="s">
        <v>27948</v>
      </c>
      <c r="E12546" s="19" t="s">
        <v>32699</v>
      </c>
      <c r="F12546" s="19" t="s">
        <v>36018</v>
      </c>
      <c r="G12546" s="18" t="str">
        <f>"75652"</f>
        <v>75652</v>
      </c>
      <c r="H12546" s="19" t="s">
        <v>35296</v>
      </c>
      <c r="I12546" s="20">
        <v>18.515000000000001</v>
      </c>
      <c r="J12546" s="44" t="s">
        <v>8</v>
      </c>
      <c r="K12546" s="23" t="s">
        <v>8</v>
      </c>
      <c r="L12546" s="23" t="s">
        <v>8</v>
      </c>
      <c r="M12546" s="23" t="s">
        <v>8</v>
      </c>
    </row>
    <row r="12547" spans="1:13" s="21" customFormat="1" x14ac:dyDescent="0.25">
      <c r="A12547" s="22" t="s">
        <v>8</v>
      </c>
      <c r="B12547" s="18" t="s">
        <v>15409</v>
      </c>
      <c r="C12547" s="19" t="s">
        <v>12336</v>
      </c>
      <c r="D12547" s="19" t="s">
        <v>27949</v>
      </c>
      <c r="E12547" s="19" t="s">
        <v>35232</v>
      </c>
      <c r="F12547" s="19" t="s">
        <v>36018</v>
      </c>
      <c r="G12547" s="18" t="str">
        <f>"79331"</f>
        <v>79331</v>
      </c>
      <c r="H12547" s="19" t="s">
        <v>31786</v>
      </c>
      <c r="I12547" s="20">
        <v>18.288</v>
      </c>
      <c r="J12547" s="44" t="s">
        <v>8</v>
      </c>
      <c r="K12547" s="23" t="s">
        <v>8</v>
      </c>
      <c r="L12547" s="23" t="s">
        <v>8</v>
      </c>
      <c r="M12547" s="23" t="s">
        <v>8</v>
      </c>
    </row>
    <row r="12548" spans="1:13" s="21" customFormat="1" x14ac:dyDescent="0.25">
      <c r="A12548" s="22" t="s">
        <v>8</v>
      </c>
      <c r="B12548" s="18" t="s">
        <v>15410</v>
      </c>
      <c r="C12548" s="19" t="s">
        <v>12337</v>
      </c>
      <c r="D12548" s="19" t="s">
        <v>27950</v>
      </c>
      <c r="E12548" s="19" t="s">
        <v>32980</v>
      </c>
      <c r="F12548" s="19" t="s">
        <v>36018</v>
      </c>
      <c r="G12548" s="18" t="str">
        <f>"76230"</f>
        <v>76230</v>
      </c>
      <c r="H12548" s="19" t="s">
        <v>36796</v>
      </c>
      <c r="I12548" s="20">
        <v>18.036999999999999</v>
      </c>
      <c r="J12548" s="44" t="s">
        <v>8</v>
      </c>
      <c r="K12548" s="23" t="s">
        <v>8</v>
      </c>
      <c r="L12548" s="23" t="s">
        <v>8</v>
      </c>
      <c r="M12548" s="23" t="s">
        <v>8</v>
      </c>
    </row>
    <row r="12549" spans="1:13" s="21" customFormat="1" x14ac:dyDescent="0.25">
      <c r="A12549" s="22" t="s">
        <v>8</v>
      </c>
      <c r="B12549" s="18" t="s">
        <v>15411</v>
      </c>
      <c r="C12549" s="19" t="s">
        <v>12338</v>
      </c>
      <c r="D12549" s="19" t="s">
        <v>27951</v>
      </c>
      <c r="E12549" s="19" t="s">
        <v>33363</v>
      </c>
      <c r="F12549" s="19" t="s">
        <v>36018</v>
      </c>
      <c r="G12549" s="18" t="str">
        <f>"76424"</f>
        <v>76424</v>
      </c>
      <c r="H12549" s="19" t="s">
        <v>36167</v>
      </c>
      <c r="I12549" s="20">
        <v>18.698</v>
      </c>
      <c r="J12549" s="44" t="s">
        <v>8</v>
      </c>
      <c r="K12549" s="23" t="s">
        <v>8</v>
      </c>
      <c r="L12549" s="23" t="s">
        <v>8</v>
      </c>
      <c r="M12549" s="23" t="s">
        <v>8</v>
      </c>
    </row>
    <row r="12550" spans="1:13" s="21" customFormat="1" x14ac:dyDescent="0.25">
      <c r="A12550" s="22" t="s">
        <v>8</v>
      </c>
      <c r="B12550" s="18" t="s">
        <v>15412</v>
      </c>
      <c r="C12550" s="19" t="s">
        <v>12339</v>
      </c>
      <c r="D12550" s="19" t="s">
        <v>27952</v>
      </c>
      <c r="E12550" s="19" t="s">
        <v>35233</v>
      </c>
      <c r="F12550" s="19" t="s">
        <v>36018</v>
      </c>
      <c r="G12550" s="18" t="str">
        <f>"79014"</f>
        <v>79014</v>
      </c>
      <c r="H12550" s="19" t="s">
        <v>35920</v>
      </c>
      <c r="I12550" s="20">
        <v>18.202000000000002</v>
      </c>
      <c r="J12550" s="44" t="s">
        <v>8</v>
      </c>
      <c r="K12550" s="23" t="s">
        <v>8</v>
      </c>
      <c r="L12550" s="23" t="s">
        <v>8</v>
      </c>
      <c r="M12550" s="23" t="s">
        <v>8</v>
      </c>
    </row>
    <row r="12551" spans="1:13" s="21" customFormat="1" x14ac:dyDescent="0.25">
      <c r="A12551" s="22" t="s">
        <v>8</v>
      </c>
      <c r="B12551" s="18" t="s">
        <v>15413</v>
      </c>
      <c r="C12551" s="19" t="s">
        <v>12340</v>
      </c>
      <c r="D12551" s="19" t="s">
        <v>27953</v>
      </c>
      <c r="E12551" s="19" t="s">
        <v>30903</v>
      </c>
      <c r="F12551" s="19" t="s">
        <v>36018</v>
      </c>
      <c r="G12551" s="18" t="str">
        <f>"76384"</f>
        <v>76384</v>
      </c>
      <c r="H12551" s="19" t="s">
        <v>36797</v>
      </c>
      <c r="I12551" s="20">
        <v>19.728000000000002</v>
      </c>
      <c r="J12551" s="44" t="s">
        <v>8</v>
      </c>
      <c r="K12551" s="23" t="s">
        <v>8</v>
      </c>
      <c r="L12551" s="23" t="s">
        <v>8</v>
      </c>
      <c r="M12551" s="23" t="s">
        <v>8</v>
      </c>
    </row>
    <row r="12552" spans="1:13" s="21" customFormat="1" x14ac:dyDescent="0.25">
      <c r="A12552" s="22" t="s">
        <v>8</v>
      </c>
      <c r="B12552" s="18" t="s">
        <v>15414</v>
      </c>
      <c r="C12552" s="19" t="s">
        <v>12341</v>
      </c>
      <c r="D12552" s="19" t="s">
        <v>27954</v>
      </c>
      <c r="E12552" s="19" t="s">
        <v>31477</v>
      </c>
      <c r="F12552" s="19" t="s">
        <v>36018</v>
      </c>
      <c r="G12552" s="18" t="str">
        <f>"76380"</f>
        <v>76380</v>
      </c>
      <c r="H12552" s="19" t="s">
        <v>36798</v>
      </c>
      <c r="I12552" s="20">
        <v>19.372</v>
      </c>
      <c r="J12552" s="44" t="s">
        <v>8</v>
      </c>
      <c r="K12552" s="23" t="s">
        <v>8</v>
      </c>
      <c r="L12552" s="23" t="s">
        <v>8</v>
      </c>
      <c r="M12552" s="23" t="s">
        <v>8</v>
      </c>
    </row>
    <row r="12553" spans="1:13" s="21" customFormat="1" x14ac:dyDescent="0.25">
      <c r="A12553" s="22" t="s">
        <v>8</v>
      </c>
      <c r="B12553" s="18" t="s">
        <v>15415</v>
      </c>
      <c r="C12553" s="19" t="s">
        <v>12342</v>
      </c>
      <c r="D12553" s="19" t="s">
        <v>27955</v>
      </c>
      <c r="E12553" s="19" t="s">
        <v>35234</v>
      </c>
      <c r="F12553" s="19" t="s">
        <v>36018</v>
      </c>
      <c r="G12553" s="18" t="str">
        <f>"76255"</f>
        <v>76255</v>
      </c>
      <c r="H12553" s="19" t="s">
        <v>36796</v>
      </c>
      <c r="I12553" s="20">
        <v>17.858000000000001</v>
      </c>
      <c r="J12553" s="44" t="s">
        <v>8</v>
      </c>
      <c r="K12553" s="23" t="s">
        <v>8</v>
      </c>
      <c r="L12553" s="23" t="s">
        <v>8</v>
      </c>
      <c r="M12553" s="23" t="s">
        <v>8</v>
      </c>
    </row>
    <row r="12554" spans="1:13" s="21" customFormat="1" x14ac:dyDescent="0.25">
      <c r="A12554" s="22" t="s">
        <v>8</v>
      </c>
      <c r="B12554" s="18" t="s">
        <v>15416</v>
      </c>
      <c r="C12554" s="19" t="s">
        <v>12343</v>
      </c>
      <c r="D12554" s="19" t="s">
        <v>27956</v>
      </c>
      <c r="E12554" s="19" t="s">
        <v>35235</v>
      </c>
      <c r="F12554" s="19" t="s">
        <v>36018</v>
      </c>
      <c r="G12554" s="18" t="str">
        <f>"77437"</f>
        <v>77437</v>
      </c>
      <c r="H12554" s="19" t="s">
        <v>35278</v>
      </c>
      <c r="I12554" s="20">
        <v>19.657</v>
      </c>
      <c r="J12554" s="44" t="s">
        <v>8</v>
      </c>
      <c r="K12554" s="23" t="s">
        <v>8</v>
      </c>
      <c r="L12554" s="23" t="s">
        <v>8</v>
      </c>
      <c r="M12554" s="23" t="s">
        <v>8</v>
      </c>
    </row>
    <row r="12555" spans="1:13" s="21" customFormat="1" x14ac:dyDescent="0.25">
      <c r="A12555" s="22" t="s">
        <v>8</v>
      </c>
      <c r="B12555" s="18" t="s">
        <v>15417</v>
      </c>
      <c r="C12555" s="19" t="s">
        <v>12344</v>
      </c>
      <c r="D12555" s="19" t="s">
        <v>27957</v>
      </c>
      <c r="E12555" s="19" t="s">
        <v>35236</v>
      </c>
      <c r="F12555" s="19" t="s">
        <v>36018</v>
      </c>
      <c r="G12555" s="18" t="str">
        <f>"79339"</f>
        <v>79339</v>
      </c>
      <c r="H12555" s="19" t="s">
        <v>36799</v>
      </c>
      <c r="I12555" s="20">
        <v>19.108000000000001</v>
      </c>
      <c r="J12555" s="44" t="s">
        <v>8</v>
      </c>
      <c r="K12555" s="23" t="s">
        <v>8</v>
      </c>
      <c r="L12555" s="23" t="s">
        <v>8</v>
      </c>
      <c r="M12555" s="23" t="s">
        <v>8</v>
      </c>
    </row>
    <row r="12556" spans="1:13" s="21" customFormat="1" x14ac:dyDescent="0.25">
      <c r="A12556" s="22" t="s">
        <v>8</v>
      </c>
      <c r="B12556" s="18" t="s">
        <v>15418</v>
      </c>
      <c r="C12556" s="19" t="s">
        <v>12345</v>
      </c>
      <c r="D12556" s="19" t="s">
        <v>27958</v>
      </c>
      <c r="E12556" s="19" t="s">
        <v>35237</v>
      </c>
      <c r="F12556" s="19" t="s">
        <v>36018</v>
      </c>
      <c r="G12556" s="18" t="str">
        <f>"79529"</f>
        <v>79529</v>
      </c>
      <c r="H12556" s="19" t="s">
        <v>32252</v>
      </c>
      <c r="I12556" s="20">
        <v>18.844999999999999</v>
      </c>
      <c r="J12556" s="44" t="s">
        <v>8</v>
      </c>
      <c r="K12556" s="23" t="s">
        <v>8</v>
      </c>
      <c r="L12556" s="23" t="s">
        <v>8</v>
      </c>
      <c r="M12556" s="23" t="s">
        <v>8</v>
      </c>
    </row>
    <row r="12557" spans="1:13" s="21" customFormat="1" x14ac:dyDescent="0.25">
      <c r="A12557" s="22" t="s">
        <v>8</v>
      </c>
      <c r="B12557" s="18" t="s">
        <v>15419</v>
      </c>
      <c r="C12557" s="19" t="s">
        <v>12346</v>
      </c>
      <c r="D12557" s="19" t="s">
        <v>19474</v>
      </c>
      <c r="E12557" s="19" t="s">
        <v>35238</v>
      </c>
      <c r="F12557" s="19" t="s">
        <v>36018</v>
      </c>
      <c r="G12557" s="18" t="str">
        <f>"79336"</f>
        <v>79336</v>
      </c>
      <c r="H12557" s="19" t="s">
        <v>36800</v>
      </c>
      <c r="I12557" s="20">
        <v>18.536999999999999</v>
      </c>
      <c r="J12557" s="44" t="s">
        <v>8</v>
      </c>
      <c r="K12557" s="23" t="s">
        <v>8</v>
      </c>
      <c r="L12557" s="23" t="s">
        <v>8</v>
      </c>
      <c r="M12557" s="23" t="s">
        <v>8</v>
      </c>
    </row>
    <row r="12558" spans="1:13" s="21" customFormat="1" x14ac:dyDescent="0.25">
      <c r="A12558" s="22" t="s">
        <v>8</v>
      </c>
      <c r="B12558" s="18" t="s">
        <v>36985</v>
      </c>
      <c r="C12558" s="19" t="s">
        <v>12347</v>
      </c>
      <c r="D12558" s="19" t="s">
        <v>27959</v>
      </c>
      <c r="E12558" s="19" t="s">
        <v>32821</v>
      </c>
      <c r="F12558" s="19" t="s">
        <v>36018</v>
      </c>
      <c r="G12558" s="18" t="str">
        <f>"78648"</f>
        <v>78648</v>
      </c>
      <c r="H12558" s="19" t="s">
        <v>31876</v>
      </c>
      <c r="I12558" s="20">
        <v>18.352</v>
      </c>
      <c r="J12558" s="44" t="s">
        <v>8</v>
      </c>
      <c r="K12558" s="23" t="s">
        <v>8</v>
      </c>
      <c r="L12558" s="23" t="s">
        <v>8</v>
      </c>
      <c r="M12558" s="23" t="s">
        <v>8</v>
      </c>
    </row>
    <row r="12559" spans="1:13" s="21" customFormat="1" x14ac:dyDescent="0.25">
      <c r="A12559" s="22" t="s">
        <v>8</v>
      </c>
      <c r="B12559" s="18" t="str">
        <f>"455001"</f>
        <v>455001</v>
      </c>
      <c r="C12559" s="19" t="s">
        <v>12348</v>
      </c>
      <c r="D12559" s="19" t="s">
        <v>27960</v>
      </c>
      <c r="E12559" s="19" t="s">
        <v>35239</v>
      </c>
      <c r="F12559" s="19" t="s">
        <v>36018</v>
      </c>
      <c r="G12559" s="18" t="str">
        <f>"77707"</f>
        <v>77707</v>
      </c>
      <c r="H12559" s="19" t="s">
        <v>32391</v>
      </c>
      <c r="I12559" s="20">
        <v>22.477</v>
      </c>
      <c r="J12559" s="44" t="s">
        <v>8</v>
      </c>
      <c r="K12559" s="23" t="s">
        <v>8</v>
      </c>
      <c r="L12559" s="23" t="s">
        <v>8</v>
      </c>
      <c r="M12559" s="23" t="s">
        <v>8</v>
      </c>
    </row>
    <row r="12560" spans="1:13" s="21" customFormat="1" x14ac:dyDescent="0.25">
      <c r="A12560" s="22" t="s">
        <v>8</v>
      </c>
      <c r="B12560" s="18" t="str">
        <f>"455020"</f>
        <v>455020</v>
      </c>
      <c r="C12560" s="19" t="s">
        <v>12349</v>
      </c>
      <c r="D12560" s="19" t="s">
        <v>27961</v>
      </c>
      <c r="E12560" s="19" t="s">
        <v>35240</v>
      </c>
      <c r="F12560" s="19" t="s">
        <v>36018</v>
      </c>
      <c r="G12560" s="18" t="str">
        <f>"78130"</f>
        <v>78130</v>
      </c>
      <c r="H12560" s="19" t="s">
        <v>36801</v>
      </c>
      <c r="I12560" s="20">
        <v>19.071999999999999</v>
      </c>
      <c r="J12560" s="44" t="s">
        <v>8</v>
      </c>
      <c r="K12560" s="23" t="s">
        <v>8</v>
      </c>
      <c r="L12560" s="23" t="s">
        <v>8</v>
      </c>
      <c r="M12560" s="23" t="s">
        <v>8</v>
      </c>
    </row>
    <row r="12561" spans="1:13" s="21" customFormat="1" x14ac:dyDescent="0.25">
      <c r="A12561" s="22" t="s">
        <v>8</v>
      </c>
      <c r="B12561" s="18" t="str">
        <f>"455061"</f>
        <v>455061</v>
      </c>
      <c r="C12561" s="19" t="s">
        <v>12350</v>
      </c>
      <c r="D12561" s="19" t="s">
        <v>27962</v>
      </c>
      <c r="E12561" s="19" t="s">
        <v>35241</v>
      </c>
      <c r="F12561" s="19" t="s">
        <v>36018</v>
      </c>
      <c r="G12561" s="18" t="str">
        <f>"76903"</f>
        <v>76903</v>
      </c>
      <c r="H12561" s="19" t="s">
        <v>36802</v>
      </c>
      <c r="I12561" s="20">
        <v>16.526</v>
      </c>
      <c r="J12561" s="44" t="s">
        <v>8</v>
      </c>
      <c r="K12561" s="23" t="s">
        <v>8</v>
      </c>
      <c r="L12561" s="23" t="s">
        <v>8</v>
      </c>
      <c r="M12561" s="23" t="s">
        <v>8</v>
      </c>
    </row>
    <row r="12562" spans="1:13" s="21" customFormat="1" x14ac:dyDescent="0.25">
      <c r="A12562" s="22" t="s">
        <v>8</v>
      </c>
      <c r="B12562" s="18" t="str">
        <f>"455069"</f>
        <v>455069</v>
      </c>
      <c r="C12562" s="19" t="s">
        <v>12351</v>
      </c>
      <c r="D12562" s="19" t="s">
        <v>27963</v>
      </c>
      <c r="E12562" s="19" t="s">
        <v>34717</v>
      </c>
      <c r="F12562" s="19" t="s">
        <v>36018</v>
      </c>
      <c r="G12562" s="18" t="str">
        <f>"76504"</f>
        <v>76504</v>
      </c>
      <c r="H12562" s="19" t="s">
        <v>31306</v>
      </c>
      <c r="I12562" s="20">
        <v>19.225999999999999</v>
      </c>
      <c r="J12562" s="44" t="s">
        <v>8</v>
      </c>
      <c r="K12562" s="23" t="s">
        <v>8</v>
      </c>
      <c r="L12562" s="23" t="s">
        <v>8</v>
      </c>
      <c r="M12562" s="23" t="s">
        <v>8</v>
      </c>
    </row>
    <row r="12563" spans="1:13" s="21" customFormat="1" x14ac:dyDescent="0.25">
      <c r="A12563" s="22" t="s">
        <v>8</v>
      </c>
      <c r="B12563" s="18" t="str">
        <f>"455278"</f>
        <v>455278</v>
      </c>
      <c r="C12563" s="19" t="s">
        <v>12352</v>
      </c>
      <c r="D12563" s="19" t="s">
        <v>27964</v>
      </c>
      <c r="E12563" s="19" t="s">
        <v>35242</v>
      </c>
      <c r="F12563" s="19" t="s">
        <v>36018</v>
      </c>
      <c r="G12563" s="18" t="str">
        <f>"78624"</f>
        <v>78624</v>
      </c>
      <c r="H12563" s="19" t="s">
        <v>31975</v>
      </c>
      <c r="I12563" s="20">
        <v>18.349</v>
      </c>
      <c r="J12563" s="44" t="s">
        <v>8</v>
      </c>
      <c r="K12563" s="23" t="s">
        <v>8</v>
      </c>
      <c r="L12563" s="23" t="s">
        <v>8</v>
      </c>
      <c r="M12563" s="23" t="s">
        <v>8</v>
      </c>
    </row>
    <row r="12564" spans="1:13" s="21" customFormat="1" x14ac:dyDescent="0.25">
      <c r="A12564" s="22" t="s">
        <v>8</v>
      </c>
      <c r="B12564" s="18" t="str">
        <f>"455333"</f>
        <v>455333</v>
      </c>
      <c r="C12564" s="19" t="s">
        <v>12353</v>
      </c>
      <c r="D12564" s="19" t="s">
        <v>27965</v>
      </c>
      <c r="E12564" s="19" t="s">
        <v>33493</v>
      </c>
      <c r="F12564" s="19" t="s">
        <v>36018</v>
      </c>
      <c r="G12564" s="18" t="str">
        <f>"77036"</f>
        <v>77036</v>
      </c>
      <c r="H12564" s="19" t="s">
        <v>34183</v>
      </c>
      <c r="I12564" s="20">
        <v>21.219000000000001</v>
      </c>
      <c r="J12564" s="44" t="s">
        <v>8</v>
      </c>
      <c r="K12564" s="23" t="s">
        <v>8</v>
      </c>
      <c r="L12564" s="23" t="s">
        <v>8</v>
      </c>
      <c r="M12564" s="23" t="s">
        <v>8</v>
      </c>
    </row>
    <row r="12565" spans="1:13" s="21" customFormat="1" x14ac:dyDescent="0.25">
      <c r="A12565" s="22" t="s">
        <v>8</v>
      </c>
      <c r="B12565" s="18" t="str">
        <f>"455351"</f>
        <v>455351</v>
      </c>
      <c r="C12565" s="19" t="s">
        <v>12354</v>
      </c>
      <c r="D12565" s="19" t="s">
        <v>27966</v>
      </c>
      <c r="E12565" s="19" t="s">
        <v>34543</v>
      </c>
      <c r="F12565" s="19" t="s">
        <v>36018</v>
      </c>
      <c r="G12565" s="18" t="str">
        <f>"77802"</f>
        <v>77802</v>
      </c>
      <c r="H12565" s="19" t="s">
        <v>36803</v>
      </c>
      <c r="I12565" s="20">
        <v>20.22</v>
      </c>
      <c r="J12565" s="44" t="s">
        <v>8</v>
      </c>
      <c r="K12565" s="23" t="s">
        <v>8</v>
      </c>
      <c r="L12565" s="23" t="s">
        <v>8</v>
      </c>
      <c r="M12565" s="23" t="s">
        <v>8</v>
      </c>
    </row>
    <row r="12566" spans="1:13" s="21" customFormat="1" x14ac:dyDescent="0.25">
      <c r="A12566" s="22" t="s">
        <v>8</v>
      </c>
      <c r="B12566" s="18" t="str">
        <f>"455359"</f>
        <v>455359</v>
      </c>
      <c r="C12566" s="19" t="s">
        <v>12355</v>
      </c>
      <c r="D12566" s="19" t="s">
        <v>27967</v>
      </c>
      <c r="E12566" s="19" t="s">
        <v>35243</v>
      </c>
      <c r="F12566" s="19" t="s">
        <v>36018</v>
      </c>
      <c r="G12566" s="18" t="str">
        <f>"78401"</f>
        <v>78401</v>
      </c>
      <c r="H12566" s="19" t="s">
        <v>36804</v>
      </c>
      <c r="I12566" s="20">
        <v>17.821000000000002</v>
      </c>
      <c r="J12566" s="44" t="s">
        <v>8</v>
      </c>
      <c r="K12566" s="23" t="s">
        <v>8</v>
      </c>
      <c r="L12566" s="23" t="s">
        <v>8</v>
      </c>
      <c r="M12566" s="23" t="s">
        <v>8</v>
      </c>
    </row>
    <row r="12567" spans="1:13" s="21" customFormat="1" x14ac:dyDescent="0.25">
      <c r="A12567" s="22" t="s">
        <v>8</v>
      </c>
      <c r="B12567" s="18" t="str">
        <f>"455390"</f>
        <v>455390</v>
      </c>
      <c r="C12567" s="19" t="s">
        <v>12356</v>
      </c>
      <c r="D12567" s="19" t="s">
        <v>27968</v>
      </c>
      <c r="E12567" s="19" t="s">
        <v>35244</v>
      </c>
      <c r="F12567" s="19" t="s">
        <v>36018</v>
      </c>
      <c r="G12567" s="18" t="str">
        <f>"78222"</f>
        <v>78222</v>
      </c>
      <c r="H12567" s="19" t="s">
        <v>36805</v>
      </c>
      <c r="I12567" s="20">
        <v>17.207000000000001</v>
      </c>
      <c r="J12567" s="44" t="s">
        <v>8</v>
      </c>
      <c r="K12567" s="23" t="s">
        <v>8</v>
      </c>
      <c r="L12567" s="23" t="s">
        <v>8</v>
      </c>
      <c r="M12567" s="23" t="s">
        <v>8</v>
      </c>
    </row>
    <row r="12568" spans="1:13" s="21" customFormat="1" x14ac:dyDescent="0.25">
      <c r="A12568" s="22" t="s">
        <v>8</v>
      </c>
      <c r="B12568" s="18" t="str">
        <f>"455412"</f>
        <v>455412</v>
      </c>
      <c r="C12568" s="19" t="s">
        <v>12357</v>
      </c>
      <c r="D12568" s="19" t="s">
        <v>27969</v>
      </c>
      <c r="E12568" s="19" t="s">
        <v>30812</v>
      </c>
      <c r="F12568" s="19" t="s">
        <v>36018</v>
      </c>
      <c r="G12568" s="18" t="str">
        <f>"75010"</f>
        <v>75010</v>
      </c>
      <c r="H12568" s="19" t="s">
        <v>32938</v>
      </c>
      <c r="I12568" s="20">
        <v>17.338999999999999</v>
      </c>
      <c r="J12568" s="44" t="s">
        <v>8</v>
      </c>
      <c r="K12568" s="23" t="s">
        <v>8</v>
      </c>
      <c r="L12568" s="23" t="s">
        <v>8</v>
      </c>
      <c r="M12568" s="23" t="s">
        <v>8</v>
      </c>
    </row>
    <row r="12569" spans="1:13" s="21" customFormat="1" x14ac:dyDescent="0.25">
      <c r="A12569" s="22" t="s">
        <v>8</v>
      </c>
      <c r="B12569" s="18" t="str">
        <f>"455416"</f>
        <v>455416</v>
      </c>
      <c r="C12569" s="19" t="s">
        <v>12358</v>
      </c>
      <c r="D12569" s="19" t="s">
        <v>27970</v>
      </c>
      <c r="E12569" s="19" t="s">
        <v>35245</v>
      </c>
      <c r="F12569" s="19" t="s">
        <v>36018</v>
      </c>
      <c r="G12569" s="18" t="str">
        <f>"76108"</f>
        <v>76108</v>
      </c>
      <c r="H12569" s="19" t="s">
        <v>36806</v>
      </c>
      <c r="I12569" s="20">
        <v>21.651</v>
      </c>
      <c r="J12569" s="44" t="s">
        <v>8</v>
      </c>
      <c r="K12569" s="23" t="s">
        <v>8</v>
      </c>
      <c r="L12569" s="23" t="s">
        <v>8</v>
      </c>
      <c r="M12569" s="23" t="s">
        <v>8</v>
      </c>
    </row>
    <row r="12570" spans="1:13" s="21" customFormat="1" x14ac:dyDescent="0.25">
      <c r="A12570" s="22" t="s">
        <v>8</v>
      </c>
      <c r="B12570" s="18" t="str">
        <f>"455423"</f>
        <v>455423</v>
      </c>
      <c r="C12570" s="19" t="s">
        <v>12359</v>
      </c>
      <c r="D12570" s="19" t="s">
        <v>27971</v>
      </c>
      <c r="E12570" s="19" t="s">
        <v>32762</v>
      </c>
      <c r="F12570" s="19" t="s">
        <v>36018</v>
      </c>
      <c r="G12570" s="18" t="str">
        <f>"78520"</f>
        <v>78520</v>
      </c>
      <c r="H12570" s="19" t="s">
        <v>33578</v>
      </c>
      <c r="I12570" s="20">
        <v>20.102</v>
      </c>
      <c r="J12570" s="44" t="s">
        <v>8</v>
      </c>
      <c r="K12570" s="23" t="s">
        <v>8</v>
      </c>
      <c r="L12570" s="23" t="s">
        <v>8</v>
      </c>
      <c r="M12570" s="23" t="s">
        <v>8</v>
      </c>
    </row>
    <row r="12571" spans="1:13" s="21" customFormat="1" x14ac:dyDescent="0.25">
      <c r="A12571" s="22" t="s">
        <v>8</v>
      </c>
      <c r="B12571" s="18" t="str">
        <f>"455429"</f>
        <v>455429</v>
      </c>
      <c r="C12571" s="19" t="s">
        <v>12360</v>
      </c>
      <c r="D12571" s="19" t="s">
        <v>27972</v>
      </c>
      <c r="E12571" s="19" t="s">
        <v>33401</v>
      </c>
      <c r="F12571" s="19" t="s">
        <v>36018</v>
      </c>
      <c r="G12571" s="18" t="str">
        <f>"75701"</f>
        <v>75701</v>
      </c>
      <c r="H12571" s="19" t="s">
        <v>36304</v>
      </c>
      <c r="I12571" s="20">
        <v>20.11</v>
      </c>
      <c r="J12571" s="44" t="s">
        <v>8</v>
      </c>
      <c r="K12571" s="23" t="s">
        <v>8</v>
      </c>
      <c r="L12571" s="23" t="s">
        <v>8</v>
      </c>
      <c r="M12571" s="23" t="s">
        <v>8</v>
      </c>
    </row>
    <row r="12572" spans="1:13" s="21" customFormat="1" x14ac:dyDescent="0.25">
      <c r="A12572" s="22" t="s">
        <v>8</v>
      </c>
      <c r="B12572" s="18" t="str">
        <f>"455444"</f>
        <v>455444</v>
      </c>
      <c r="C12572" s="19" t="s">
        <v>12361</v>
      </c>
      <c r="D12572" s="19" t="s">
        <v>27973</v>
      </c>
      <c r="E12572" s="19" t="s">
        <v>35244</v>
      </c>
      <c r="F12572" s="19" t="s">
        <v>36018</v>
      </c>
      <c r="G12572" s="18" t="str">
        <f>"78240"</f>
        <v>78240</v>
      </c>
      <c r="H12572" s="19" t="s">
        <v>36805</v>
      </c>
      <c r="I12572" s="20">
        <v>17.706</v>
      </c>
      <c r="J12572" s="44" t="s">
        <v>8</v>
      </c>
      <c r="K12572" s="23" t="s">
        <v>8</v>
      </c>
      <c r="L12572" s="23" t="s">
        <v>8</v>
      </c>
      <c r="M12572" s="23" t="s">
        <v>8</v>
      </c>
    </row>
    <row r="12573" spans="1:13" s="21" customFormat="1" x14ac:dyDescent="0.25">
      <c r="A12573" s="22" t="s">
        <v>8</v>
      </c>
      <c r="B12573" s="18" t="str">
        <f>"455450"</f>
        <v>455450</v>
      </c>
      <c r="C12573" s="19" t="s">
        <v>12362</v>
      </c>
      <c r="D12573" s="19" t="s">
        <v>27974</v>
      </c>
      <c r="E12573" s="19" t="s">
        <v>35244</v>
      </c>
      <c r="F12573" s="19" t="s">
        <v>36018</v>
      </c>
      <c r="G12573" s="18" t="str">
        <f>"78212"</f>
        <v>78212</v>
      </c>
      <c r="H12573" s="19" t="s">
        <v>36805</v>
      </c>
      <c r="I12573" s="20">
        <v>17.989999999999998</v>
      </c>
      <c r="J12573" s="44" t="s">
        <v>8</v>
      </c>
      <c r="K12573" s="23" t="s">
        <v>8</v>
      </c>
      <c r="L12573" s="23" t="s">
        <v>8</v>
      </c>
      <c r="M12573" s="23" t="s">
        <v>8</v>
      </c>
    </row>
    <row r="12574" spans="1:13" s="21" customFormat="1" x14ac:dyDescent="0.25">
      <c r="A12574" s="22" t="s">
        <v>8</v>
      </c>
      <c r="B12574" s="18" t="str">
        <f>"455455"</f>
        <v>455455</v>
      </c>
      <c r="C12574" s="19" t="s">
        <v>12363</v>
      </c>
      <c r="D12574" s="19" t="s">
        <v>27975</v>
      </c>
      <c r="E12574" s="19" t="s">
        <v>35246</v>
      </c>
      <c r="F12574" s="19" t="s">
        <v>36018</v>
      </c>
      <c r="G12574" s="18" t="str">
        <f>"78332"</f>
        <v>78332</v>
      </c>
      <c r="H12574" s="19" t="s">
        <v>36807</v>
      </c>
      <c r="I12574" s="20">
        <v>22.440999999999999</v>
      </c>
      <c r="J12574" s="44" t="s">
        <v>8</v>
      </c>
      <c r="K12574" s="23" t="s">
        <v>8</v>
      </c>
      <c r="L12574" s="23" t="s">
        <v>8</v>
      </c>
      <c r="M12574" s="23" t="s">
        <v>8</v>
      </c>
    </row>
    <row r="12575" spans="1:13" s="21" customFormat="1" x14ac:dyDescent="0.25">
      <c r="A12575" s="22" t="s">
        <v>8</v>
      </c>
      <c r="B12575" s="18" t="str">
        <f>"455456"</f>
        <v>455456</v>
      </c>
      <c r="C12575" s="19" t="s">
        <v>12364</v>
      </c>
      <c r="D12575" s="19" t="s">
        <v>27976</v>
      </c>
      <c r="E12575" s="19" t="s">
        <v>35247</v>
      </c>
      <c r="F12575" s="19" t="s">
        <v>36018</v>
      </c>
      <c r="G12575" s="18" t="str">
        <f>"79106"</f>
        <v>79106</v>
      </c>
      <c r="H12575" s="19" t="s">
        <v>36736</v>
      </c>
      <c r="I12575" s="20">
        <v>19.763999999999999</v>
      </c>
      <c r="J12575" s="44" t="s">
        <v>8</v>
      </c>
      <c r="K12575" s="23" t="s">
        <v>8</v>
      </c>
      <c r="L12575" s="23" t="s">
        <v>8</v>
      </c>
      <c r="M12575" s="23" t="s">
        <v>8</v>
      </c>
    </row>
    <row r="12576" spans="1:13" s="21" customFormat="1" x14ac:dyDescent="0.25">
      <c r="A12576" s="22" t="s">
        <v>8</v>
      </c>
      <c r="B12576" s="18" t="str">
        <f>"455457"</f>
        <v>455457</v>
      </c>
      <c r="C12576" s="19" t="s">
        <v>1990</v>
      </c>
      <c r="D12576" s="19" t="s">
        <v>27977</v>
      </c>
      <c r="E12576" s="19" t="s">
        <v>35245</v>
      </c>
      <c r="F12576" s="19" t="s">
        <v>36018</v>
      </c>
      <c r="G12576" s="18" t="str">
        <f>"76114"</f>
        <v>76114</v>
      </c>
      <c r="H12576" s="19" t="s">
        <v>36806</v>
      </c>
      <c r="I12576" s="20">
        <v>18.439</v>
      </c>
      <c r="J12576" s="44" t="s">
        <v>8</v>
      </c>
      <c r="K12576" s="23" t="s">
        <v>8</v>
      </c>
      <c r="L12576" s="23" t="s">
        <v>8</v>
      </c>
      <c r="M12576" s="23" t="s">
        <v>8</v>
      </c>
    </row>
    <row r="12577" spans="1:13" s="21" customFormat="1" x14ac:dyDescent="0.25">
      <c r="A12577" s="22" t="s">
        <v>8</v>
      </c>
      <c r="B12577" s="18" t="str">
        <f>"455463"</f>
        <v>455463</v>
      </c>
      <c r="C12577" s="19" t="s">
        <v>12365</v>
      </c>
      <c r="D12577" s="19" t="s">
        <v>27978</v>
      </c>
      <c r="E12577" s="19" t="s">
        <v>31723</v>
      </c>
      <c r="F12577" s="19" t="s">
        <v>36018</v>
      </c>
      <c r="G12577" s="18" t="str">
        <f>"75231"</f>
        <v>75231</v>
      </c>
      <c r="H12577" s="19" t="s">
        <v>31723</v>
      </c>
      <c r="I12577" s="20">
        <v>17.984999999999999</v>
      </c>
      <c r="J12577" s="44" t="s">
        <v>8</v>
      </c>
      <c r="K12577" s="23" t="s">
        <v>8</v>
      </c>
      <c r="L12577" s="23" t="s">
        <v>8</v>
      </c>
      <c r="M12577" s="23" t="s">
        <v>8</v>
      </c>
    </row>
    <row r="12578" spans="1:13" s="21" customFormat="1" x14ac:dyDescent="0.25">
      <c r="A12578" s="22" t="s">
        <v>8</v>
      </c>
      <c r="B12578" s="18" t="str">
        <f>"455467"</f>
        <v>455467</v>
      </c>
      <c r="C12578" s="19" t="s">
        <v>12366</v>
      </c>
      <c r="D12578" s="19" t="s">
        <v>27979</v>
      </c>
      <c r="E12578" s="19" t="s">
        <v>35244</v>
      </c>
      <c r="F12578" s="19" t="s">
        <v>36018</v>
      </c>
      <c r="G12578" s="18" t="str">
        <f>"78209"</f>
        <v>78209</v>
      </c>
      <c r="H12578" s="19" t="s">
        <v>36805</v>
      </c>
      <c r="I12578" s="20">
        <v>16.713999999999999</v>
      </c>
      <c r="J12578" s="44" t="s">
        <v>8</v>
      </c>
      <c r="K12578" s="23" t="s">
        <v>8</v>
      </c>
      <c r="L12578" s="23" t="s">
        <v>8</v>
      </c>
      <c r="M12578" s="23" t="s">
        <v>8</v>
      </c>
    </row>
    <row r="12579" spans="1:13" s="21" customFormat="1" x14ac:dyDescent="0.25">
      <c r="A12579" s="22" t="s">
        <v>8</v>
      </c>
      <c r="B12579" s="18" t="str">
        <f>"455471"</f>
        <v>455471</v>
      </c>
      <c r="C12579" s="19" t="s">
        <v>12367</v>
      </c>
      <c r="D12579" s="19" t="s">
        <v>27980</v>
      </c>
      <c r="E12579" s="19" t="s">
        <v>31965</v>
      </c>
      <c r="F12579" s="19" t="s">
        <v>36018</v>
      </c>
      <c r="G12579" s="18" t="str">
        <f>"79902"</f>
        <v>79902</v>
      </c>
      <c r="H12579" s="19" t="s">
        <v>31965</v>
      </c>
      <c r="I12579" s="20">
        <v>19.367999999999999</v>
      </c>
      <c r="J12579" s="44" t="s">
        <v>8</v>
      </c>
      <c r="K12579" s="23" t="s">
        <v>8</v>
      </c>
      <c r="L12579" s="23" t="s">
        <v>8</v>
      </c>
      <c r="M12579" s="23" t="s">
        <v>8</v>
      </c>
    </row>
    <row r="12580" spans="1:13" s="21" customFormat="1" x14ac:dyDescent="0.25">
      <c r="A12580" s="22" t="s">
        <v>8</v>
      </c>
      <c r="B12580" s="18" t="str">
        <f>"455472"</f>
        <v>455472</v>
      </c>
      <c r="C12580" s="19" t="s">
        <v>12368</v>
      </c>
      <c r="D12580" s="19" t="s">
        <v>27981</v>
      </c>
      <c r="E12580" s="19" t="s">
        <v>33048</v>
      </c>
      <c r="F12580" s="19" t="s">
        <v>36018</v>
      </c>
      <c r="G12580" s="18" t="str">
        <f>"77598"</f>
        <v>77598</v>
      </c>
      <c r="H12580" s="19" t="s">
        <v>34183</v>
      </c>
      <c r="I12580" s="20">
        <v>19.369</v>
      </c>
      <c r="J12580" s="44" t="s">
        <v>8</v>
      </c>
      <c r="K12580" s="23" t="s">
        <v>8</v>
      </c>
      <c r="L12580" s="23" t="s">
        <v>8</v>
      </c>
      <c r="M12580" s="23" t="s">
        <v>8</v>
      </c>
    </row>
    <row r="12581" spans="1:13" s="21" customFormat="1" x14ac:dyDescent="0.25">
      <c r="A12581" s="22" t="s">
        <v>8</v>
      </c>
      <c r="B12581" s="18" t="str">
        <f>"455475"</f>
        <v>455475</v>
      </c>
      <c r="C12581" s="19" t="s">
        <v>12369</v>
      </c>
      <c r="D12581" s="19" t="s">
        <v>27982</v>
      </c>
      <c r="E12581" s="19" t="s">
        <v>35248</v>
      </c>
      <c r="F12581" s="19" t="s">
        <v>36018</v>
      </c>
      <c r="G12581" s="18" t="str">
        <f>"76108"</f>
        <v>76108</v>
      </c>
      <c r="H12581" s="19" t="s">
        <v>36806</v>
      </c>
      <c r="I12581" s="20">
        <v>19.559000000000001</v>
      </c>
      <c r="J12581" s="44" t="s">
        <v>8</v>
      </c>
      <c r="K12581" s="23" t="s">
        <v>8</v>
      </c>
      <c r="L12581" s="23" t="s">
        <v>8</v>
      </c>
      <c r="M12581" s="23" t="s">
        <v>8</v>
      </c>
    </row>
    <row r="12582" spans="1:13" s="21" customFormat="1" x14ac:dyDescent="0.25">
      <c r="A12582" s="22" t="s">
        <v>8</v>
      </c>
      <c r="B12582" s="18" t="str">
        <f>"455477"</f>
        <v>455477</v>
      </c>
      <c r="C12582" s="19" t="s">
        <v>12370</v>
      </c>
      <c r="D12582" s="19" t="s">
        <v>27983</v>
      </c>
      <c r="E12582" s="19" t="s">
        <v>35249</v>
      </c>
      <c r="F12582" s="19" t="s">
        <v>36018</v>
      </c>
      <c r="G12582" s="18" t="str">
        <f>"77566"</f>
        <v>77566</v>
      </c>
      <c r="H12582" s="19" t="s">
        <v>36808</v>
      </c>
      <c r="I12582" s="20">
        <v>17.058</v>
      </c>
      <c r="J12582" s="44" t="s">
        <v>8</v>
      </c>
      <c r="K12582" s="23" t="s">
        <v>8</v>
      </c>
      <c r="L12582" s="23" t="s">
        <v>8</v>
      </c>
      <c r="M12582" s="23" t="s">
        <v>8</v>
      </c>
    </row>
    <row r="12583" spans="1:13" s="21" customFormat="1" x14ac:dyDescent="0.25">
      <c r="A12583" s="22" t="s">
        <v>8</v>
      </c>
      <c r="B12583" s="18" t="str">
        <f>"455478"</f>
        <v>455478</v>
      </c>
      <c r="C12583" s="19" t="s">
        <v>12371</v>
      </c>
      <c r="D12583" s="19" t="s">
        <v>27984</v>
      </c>
      <c r="E12583" s="19" t="s">
        <v>35250</v>
      </c>
      <c r="F12583" s="19" t="s">
        <v>36018</v>
      </c>
      <c r="G12583" s="18" t="str">
        <f>"76707"</f>
        <v>76707</v>
      </c>
      <c r="H12583" s="19" t="s">
        <v>36809</v>
      </c>
      <c r="I12583" s="20">
        <v>18.942</v>
      </c>
      <c r="J12583" s="44" t="s">
        <v>8</v>
      </c>
      <c r="K12583" s="23" t="s">
        <v>8</v>
      </c>
      <c r="L12583" s="23" t="s">
        <v>8</v>
      </c>
      <c r="M12583" s="23" t="s">
        <v>8</v>
      </c>
    </row>
    <row r="12584" spans="1:13" s="21" customFormat="1" x14ac:dyDescent="0.25">
      <c r="A12584" s="22" t="s">
        <v>8</v>
      </c>
      <c r="B12584" s="18" t="str">
        <f>"455480"</f>
        <v>455480</v>
      </c>
      <c r="C12584" s="19" t="s">
        <v>12372</v>
      </c>
      <c r="D12584" s="19" t="s">
        <v>27985</v>
      </c>
      <c r="E12584" s="19" t="s">
        <v>35247</v>
      </c>
      <c r="F12584" s="19" t="s">
        <v>36018</v>
      </c>
      <c r="G12584" s="18" t="str">
        <f>"79106"</f>
        <v>79106</v>
      </c>
      <c r="H12584" s="19" t="s">
        <v>36736</v>
      </c>
      <c r="I12584" s="20">
        <v>18.117999999999999</v>
      </c>
      <c r="J12584" s="44" t="s">
        <v>8</v>
      </c>
      <c r="K12584" s="23" t="s">
        <v>8</v>
      </c>
      <c r="L12584" s="23" t="s">
        <v>8</v>
      </c>
      <c r="M12584" s="23" t="s">
        <v>8</v>
      </c>
    </row>
    <row r="12585" spans="1:13" s="21" customFormat="1" x14ac:dyDescent="0.25">
      <c r="A12585" s="22" t="s">
        <v>8</v>
      </c>
      <c r="B12585" s="18" t="str">
        <f>"455484"</f>
        <v>455484</v>
      </c>
      <c r="C12585" s="19" t="s">
        <v>12373</v>
      </c>
      <c r="D12585" s="19" t="s">
        <v>27986</v>
      </c>
      <c r="E12585" s="19" t="s">
        <v>35251</v>
      </c>
      <c r="F12585" s="19" t="s">
        <v>36018</v>
      </c>
      <c r="G12585" s="18" t="str">
        <f>"78589"</f>
        <v>78589</v>
      </c>
      <c r="H12585" s="19" t="s">
        <v>36592</v>
      </c>
      <c r="I12585" s="20">
        <v>17.920999999999999</v>
      </c>
      <c r="J12585" s="44" t="s">
        <v>8</v>
      </c>
      <c r="K12585" s="23" t="s">
        <v>8</v>
      </c>
      <c r="L12585" s="23" t="s">
        <v>8</v>
      </c>
      <c r="M12585" s="23" t="s">
        <v>8</v>
      </c>
    </row>
    <row r="12586" spans="1:13" s="21" customFormat="1" x14ac:dyDescent="0.25">
      <c r="A12586" s="22" t="s">
        <v>8</v>
      </c>
      <c r="B12586" s="18" t="str">
        <f>"455485"</f>
        <v>455485</v>
      </c>
      <c r="C12586" s="19" t="s">
        <v>12374</v>
      </c>
      <c r="D12586" s="19" t="s">
        <v>27987</v>
      </c>
      <c r="E12586" s="19" t="s">
        <v>33401</v>
      </c>
      <c r="F12586" s="19" t="s">
        <v>36018</v>
      </c>
      <c r="G12586" s="18" t="str">
        <f>"75701"</f>
        <v>75701</v>
      </c>
      <c r="H12586" s="19" t="s">
        <v>36304</v>
      </c>
      <c r="I12586" s="20">
        <v>20.66</v>
      </c>
      <c r="J12586" s="44" t="s">
        <v>8</v>
      </c>
      <c r="K12586" s="23" t="s">
        <v>8</v>
      </c>
      <c r="L12586" s="23" t="s">
        <v>8</v>
      </c>
      <c r="M12586" s="23" t="s">
        <v>8</v>
      </c>
    </row>
    <row r="12587" spans="1:13" s="21" customFormat="1" x14ac:dyDescent="0.25">
      <c r="A12587" s="22" t="s">
        <v>8</v>
      </c>
      <c r="B12587" s="18" t="str">
        <f>"455486"</f>
        <v>455486</v>
      </c>
      <c r="C12587" s="19" t="s">
        <v>12375</v>
      </c>
      <c r="D12587" s="19" t="s">
        <v>27988</v>
      </c>
      <c r="E12587" s="19" t="s">
        <v>33761</v>
      </c>
      <c r="F12587" s="19" t="s">
        <v>36018</v>
      </c>
      <c r="G12587" s="18" t="str">
        <f>"75119"</f>
        <v>75119</v>
      </c>
      <c r="H12587" s="19" t="s">
        <v>32612</v>
      </c>
      <c r="I12587" s="20">
        <v>18.619</v>
      </c>
      <c r="J12587" s="44" t="s">
        <v>8</v>
      </c>
      <c r="K12587" s="23" t="s">
        <v>8</v>
      </c>
      <c r="L12587" s="23" t="s">
        <v>8</v>
      </c>
      <c r="M12587" s="23" t="s">
        <v>8</v>
      </c>
    </row>
    <row r="12588" spans="1:13" s="21" customFormat="1" x14ac:dyDescent="0.25">
      <c r="A12588" s="22" t="s">
        <v>8</v>
      </c>
      <c r="B12588" s="18" t="str">
        <f>"455489"</f>
        <v>455489</v>
      </c>
      <c r="C12588" s="19" t="s">
        <v>12376</v>
      </c>
      <c r="D12588" s="19" t="s">
        <v>27989</v>
      </c>
      <c r="E12588" s="19" t="s">
        <v>35250</v>
      </c>
      <c r="F12588" s="19" t="s">
        <v>36018</v>
      </c>
      <c r="G12588" s="18" t="str">
        <f>"76710"</f>
        <v>76710</v>
      </c>
      <c r="H12588" s="19" t="s">
        <v>36809</v>
      </c>
      <c r="I12588" s="20">
        <v>21.728999999999999</v>
      </c>
      <c r="J12588" s="44" t="s">
        <v>8</v>
      </c>
      <c r="K12588" s="23" t="s">
        <v>8</v>
      </c>
      <c r="L12588" s="23" t="s">
        <v>8</v>
      </c>
      <c r="M12588" s="23" t="s">
        <v>8</v>
      </c>
    </row>
    <row r="12589" spans="1:13" s="21" customFormat="1" x14ac:dyDescent="0.25">
      <c r="A12589" s="22" t="s">
        <v>8</v>
      </c>
      <c r="B12589" s="18" t="str">
        <f>"455490"</f>
        <v>455490</v>
      </c>
      <c r="C12589" s="19" t="s">
        <v>12377</v>
      </c>
      <c r="D12589" s="19" t="s">
        <v>27990</v>
      </c>
      <c r="E12589" s="19" t="s">
        <v>35252</v>
      </c>
      <c r="F12589" s="19" t="s">
        <v>36018</v>
      </c>
      <c r="G12589" s="18" t="str">
        <f>"77591"</f>
        <v>77591</v>
      </c>
      <c r="H12589" s="19" t="s">
        <v>35824</v>
      </c>
      <c r="I12589" s="20">
        <v>20.308</v>
      </c>
      <c r="J12589" s="44" t="s">
        <v>8</v>
      </c>
      <c r="K12589" s="23" t="s">
        <v>8</v>
      </c>
      <c r="L12589" s="23" t="s">
        <v>8</v>
      </c>
      <c r="M12589" s="23" t="s">
        <v>8</v>
      </c>
    </row>
    <row r="12590" spans="1:13" s="21" customFormat="1" x14ac:dyDescent="0.25">
      <c r="A12590" s="22" t="s">
        <v>8</v>
      </c>
      <c r="B12590" s="18" t="str">
        <f>"455493"</f>
        <v>455493</v>
      </c>
      <c r="C12590" s="19" t="s">
        <v>12378</v>
      </c>
      <c r="D12590" s="19" t="s">
        <v>27991</v>
      </c>
      <c r="E12590" s="19" t="s">
        <v>31965</v>
      </c>
      <c r="F12590" s="19" t="s">
        <v>36018</v>
      </c>
      <c r="G12590" s="18" t="str">
        <f>"79935"</f>
        <v>79935</v>
      </c>
      <c r="H12590" s="19" t="s">
        <v>31965</v>
      </c>
      <c r="I12590" s="20">
        <v>17.696000000000002</v>
      </c>
      <c r="J12590" s="44" t="s">
        <v>8</v>
      </c>
      <c r="K12590" s="23" t="s">
        <v>8</v>
      </c>
      <c r="L12590" s="23" t="s">
        <v>8</v>
      </c>
      <c r="M12590" s="23" t="s">
        <v>8</v>
      </c>
    </row>
    <row r="12591" spans="1:13" s="21" customFormat="1" x14ac:dyDescent="0.25">
      <c r="A12591" s="22" t="s">
        <v>8</v>
      </c>
      <c r="B12591" s="18" t="str">
        <f>"455494"</f>
        <v>455494</v>
      </c>
      <c r="C12591" s="19" t="s">
        <v>1990</v>
      </c>
      <c r="D12591" s="19" t="s">
        <v>27992</v>
      </c>
      <c r="E12591" s="19" t="s">
        <v>35253</v>
      </c>
      <c r="F12591" s="19" t="s">
        <v>36018</v>
      </c>
      <c r="G12591" s="18" t="str">
        <f>"76180"</f>
        <v>76180</v>
      </c>
      <c r="H12591" s="19" t="s">
        <v>36806</v>
      </c>
      <c r="I12591" s="20">
        <v>18.18</v>
      </c>
      <c r="J12591" s="44" t="s">
        <v>8</v>
      </c>
      <c r="K12591" s="23" t="s">
        <v>8</v>
      </c>
      <c r="L12591" s="23" t="s">
        <v>8</v>
      </c>
      <c r="M12591" s="23" t="s">
        <v>8</v>
      </c>
    </row>
    <row r="12592" spans="1:13" s="21" customFormat="1" x14ac:dyDescent="0.25">
      <c r="A12592" s="22" t="s">
        <v>8</v>
      </c>
      <c r="B12592" s="18" t="str">
        <f>"455497"</f>
        <v>455497</v>
      </c>
      <c r="C12592" s="19" t="s">
        <v>12379</v>
      </c>
      <c r="D12592" s="19" t="s">
        <v>27993</v>
      </c>
      <c r="E12592" s="19" t="s">
        <v>33721</v>
      </c>
      <c r="F12592" s="19" t="s">
        <v>36018</v>
      </c>
      <c r="G12592" s="18" t="str">
        <f>"76513"</f>
        <v>76513</v>
      </c>
      <c r="H12592" s="19" t="s">
        <v>31306</v>
      </c>
      <c r="I12592" s="20">
        <v>23.509</v>
      </c>
      <c r="J12592" s="44" t="s">
        <v>8</v>
      </c>
      <c r="K12592" s="23" t="s">
        <v>8</v>
      </c>
      <c r="L12592" s="23" t="s">
        <v>8</v>
      </c>
      <c r="M12592" s="23" t="s">
        <v>8</v>
      </c>
    </row>
    <row r="12593" spans="1:13" s="21" customFormat="1" x14ac:dyDescent="0.25">
      <c r="A12593" s="22" t="s">
        <v>8</v>
      </c>
      <c r="B12593" s="18" t="str">
        <f>"455503"</f>
        <v>455503</v>
      </c>
      <c r="C12593" s="19" t="s">
        <v>12380</v>
      </c>
      <c r="D12593" s="19" t="s">
        <v>27994</v>
      </c>
      <c r="E12593" s="19" t="s">
        <v>35254</v>
      </c>
      <c r="F12593" s="19" t="s">
        <v>36018</v>
      </c>
      <c r="G12593" s="18" t="str">
        <f>"76543"</f>
        <v>76543</v>
      </c>
      <c r="H12593" s="19" t="s">
        <v>31306</v>
      </c>
      <c r="I12593" s="20">
        <v>20.013999999999999</v>
      </c>
      <c r="J12593" s="44" t="s">
        <v>8</v>
      </c>
      <c r="K12593" s="23" t="s">
        <v>8</v>
      </c>
      <c r="L12593" s="23" t="s">
        <v>8</v>
      </c>
      <c r="M12593" s="23" t="s">
        <v>8</v>
      </c>
    </row>
    <row r="12594" spans="1:13" s="21" customFormat="1" x14ac:dyDescent="0.25">
      <c r="A12594" s="22" t="s">
        <v>8</v>
      </c>
      <c r="B12594" s="18" t="str">
        <f>"455504"</f>
        <v>455504</v>
      </c>
      <c r="C12594" s="19" t="s">
        <v>12381</v>
      </c>
      <c r="D12594" s="19" t="s">
        <v>27995</v>
      </c>
      <c r="E12594" s="19" t="s">
        <v>31169</v>
      </c>
      <c r="F12594" s="19" t="s">
        <v>36018</v>
      </c>
      <c r="G12594" s="18" t="str">
        <f>"77630"</f>
        <v>77630</v>
      </c>
      <c r="H12594" s="19" t="s">
        <v>31169</v>
      </c>
      <c r="I12594" s="20">
        <v>18.295999999999999</v>
      </c>
      <c r="J12594" s="44" t="s">
        <v>8</v>
      </c>
      <c r="K12594" s="23" t="s">
        <v>8</v>
      </c>
      <c r="L12594" s="23" t="s">
        <v>8</v>
      </c>
      <c r="M12594" s="23" t="s">
        <v>8</v>
      </c>
    </row>
    <row r="12595" spans="1:13" s="21" customFormat="1" x14ac:dyDescent="0.25">
      <c r="A12595" s="22" t="s">
        <v>8</v>
      </c>
      <c r="B12595" s="18" t="str">
        <f>"455507"</f>
        <v>455507</v>
      </c>
      <c r="C12595" s="19" t="s">
        <v>12382</v>
      </c>
      <c r="D12595" s="19" t="s">
        <v>27996</v>
      </c>
      <c r="E12595" s="19" t="s">
        <v>31523</v>
      </c>
      <c r="F12595" s="19" t="s">
        <v>36018</v>
      </c>
      <c r="G12595" s="18" t="str">
        <f>"76135"</f>
        <v>76135</v>
      </c>
      <c r="H12595" s="19" t="s">
        <v>36806</v>
      </c>
      <c r="I12595" s="20">
        <v>18.600000000000001</v>
      </c>
      <c r="J12595" s="44" t="s">
        <v>8</v>
      </c>
      <c r="K12595" s="23" t="s">
        <v>8</v>
      </c>
      <c r="L12595" s="23" t="s">
        <v>8</v>
      </c>
      <c r="M12595" s="23" t="s">
        <v>8</v>
      </c>
    </row>
    <row r="12596" spans="1:13" s="21" customFormat="1" x14ac:dyDescent="0.25">
      <c r="A12596" s="22" t="s">
        <v>8</v>
      </c>
      <c r="B12596" s="18" t="str">
        <f>"455509"</f>
        <v>455509</v>
      </c>
      <c r="C12596" s="19" t="s">
        <v>12383</v>
      </c>
      <c r="D12596" s="19" t="s">
        <v>27997</v>
      </c>
      <c r="E12596" s="19" t="s">
        <v>35184</v>
      </c>
      <c r="F12596" s="19" t="s">
        <v>36018</v>
      </c>
      <c r="G12596" s="18" t="str">
        <f>"79556"</f>
        <v>79556</v>
      </c>
      <c r="H12596" s="19" t="s">
        <v>36786</v>
      </c>
      <c r="I12596" s="20">
        <v>17.128</v>
      </c>
      <c r="J12596" s="44" t="s">
        <v>8</v>
      </c>
      <c r="K12596" s="23" t="s">
        <v>8</v>
      </c>
      <c r="L12596" s="23" t="s">
        <v>8</v>
      </c>
      <c r="M12596" s="23" t="s">
        <v>8</v>
      </c>
    </row>
    <row r="12597" spans="1:13" s="21" customFormat="1" x14ac:dyDescent="0.25">
      <c r="A12597" s="22" t="s">
        <v>8</v>
      </c>
      <c r="B12597" s="18" t="str">
        <f>"455510"</f>
        <v>455510</v>
      </c>
      <c r="C12597" s="19" t="s">
        <v>12384</v>
      </c>
      <c r="D12597" s="19" t="s">
        <v>27998</v>
      </c>
      <c r="E12597" s="19" t="s">
        <v>35244</v>
      </c>
      <c r="F12597" s="19" t="s">
        <v>36018</v>
      </c>
      <c r="G12597" s="18" t="str">
        <f>"78216"</f>
        <v>78216</v>
      </c>
      <c r="H12597" s="19" t="s">
        <v>36805</v>
      </c>
      <c r="I12597" s="20">
        <v>18.178000000000001</v>
      </c>
      <c r="J12597" s="44" t="s">
        <v>8</v>
      </c>
      <c r="K12597" s="23" t="s">
        <v>8</v>
      </c>
      <c r="L12597" s="23" t="s">
        <v>8</v>
      </c>
      <c r="M12597" s="23" t="s">
        <v>8</v>
      </c>
    </row>
    <row r="12598" spans="1:13" s="21" customFormat="1" x14ac:dyDescent="0.25">
      <c r="A12598" s="22" t="s">
        <v>8</v>
      </c>
      <c r="B12598" s="18" t="str">
        <f>"455513"</f>
        <v>455513</v>
      </c>
      <c r="C12598" s="19" t="s">
        <v>12385</v>
      </c>
      <c r="D12598" s="19" t="s">
        <v>27999</v>
      </c>
      <c r="E12598" s="19" t="s">
        <v>35255</v>
      </c>
      <c r="F12598" s="19" t="s">
        <v>36018</v>
      </c>
      <c r="G12598" s="18" t="str">
        <f>"76550"</f>
        <v>76550</v>
      </c>
      <c r="H12598" s="19" t="s">
        <v>35255</v>
      </c>
      <c r="I12598" s="20">
        <v>18.632000000000001</v>
      </c>
      <c r="J12598" s="44" t="s">
        <v>8</v>
      </c>
      <c r="K12598" s="23" t="s">
        <v>8</v>
      </c>
      <c r="L12598" s="23" t="s">
        <v>8</v>
      </c>
      <c r="M12598" s="23" t="s">
        <v>8</v>
      </c>
    </row>
    <row r="12599" spans="1:13" s="21" customFormat="1" x14ac:dyDescent="0.25">
      <c r="A12599" s="22" t="s">
        <v>8</v>
      </c>
      <c r="B12599" s="18" t="str">
        <f>"455515"</f>
        <v>455515</v>
      </c>
      <c r="C12599" s="19" t="s">
        <v>12386</v>
      </c>
      <c r="D12599" s="19" t="s">
        <v>28000</v>
      </c>
      <c r="E12599" s="19" t="s">
        <v>35256</v>
      </c>
      <c r="F12599" s="19" t="s">
        <v>36018</v>
      </c>
      <c r="G12599" s="18" t="str">
        <f>"76522"</f>
        <v>76522</v>
      </c>
      <c r="H12599" s="19" t="s">
        <v>36810</v>
      </c>
      <c r="I12599" s="20">
        <v>19.812999999999999</v>
      </c>
      <c r="J12599" s="44" t="s">
        <v>8</v>
      </c>
      <c r="K12599" s="23" t="s">
        <v>8</v>
      </c>
      <c r="L12599" s="23" t="s">
        <v>8</v>
      </c>
      <c r="M12599" s="23" t="s">
        <v>8</v>
      </c>
    </row>
    <row r="12600" spans="1:13" s="21" customFormat="1" x14ac:dyDescent="0.25">
      <c r="A12600" s="22" t="s">
        <v>8</v>
      </c>
      <c r="B12600" s="18" t="str">
        <f>"455516"</f>
        <v>455516</v>
      </c>
      <c r="C12600" s="19" t="s">
        <v>12387</v>
      </c>
      <c r="D12600" s="19" t="s">
        <v>28001</v>
      </c>
      <c r="E12600" s="19" t="s">
        <v>35245</v>
      </c>
      <c r="F12600" s="19" t="s">
        <v>36018</v>
      </c>
      <c r="G12600" s="18" t="str">
        <f>"76112"</f>
        <v>76112</v>
      </c>
      <c r="H12600" s="19" t="s">
        <v>36806</v>
      </c>
      <c r="I12600" s="20">
        <v>19.408999999999999</v>
      </c>
      <c r="J12600" s="44" t="s">
        <v>8</v>
      </c>
      <c r="K12600" s="23" t="s">
        <v>8</v>
      </c>
      <c r="L12600" s="23" t="s">
        <v>8</v>
      </c>
      <c r="M12600" s="23" t="s">
        <v>8</v>
      </c>
    </row>
    <row r="12601" spans="1:13" s="21" customFormat="1" x14ac:dyDescent="0.25">
      <c r="A12601" s="22" t="s">
        <v>8</v>
      </c>
      <c r="B12601" s="18" t="str">
        <f>"455517"</f>
        <v>455517</v>
      </c>
      <c r="C12601" s="19" t="s">
        <v>12388</v>
      </c>
      <c r="D12601" s="19" t="s">
        <v>28002</v>
      </c>
      <c r="E12601" s="19" t="s">
        <v>30912</v>
      </c>
      <c r="F12601" s="19" t="s">
        <v>36018</v>
      </c>
      <c r="G12601" s="18" t="str">
        <f>"75766"</f>
        <v>75766</v>
      </c>
      <c r="H12601" s="19" t="s">
        <v>32436</v>
      </c>
      <c r="I12601" s="20">
        <v>19.759</v>
      </c>
      <c r="J12601" s="44" t="s">
        <v>8</v>
      </c>
      <c r="K12601" s="23" t="s">
        <v>8</v>
      </c>
      <c r="L12601" s="23" t="s">
        <v>8</v>
      </c>
      <c r="M12601" s="23" t="s">
        <v>8</v>
      </c>
    </row>
    <row r="12602" spans="1:13" s="21" customFormat="1" x14ac:dyDescent="0.25">
      <c r="A12602" s="22" t="s">
        <v>8</v>
      </c>
      <c r="B12602" s="18" t="str">
        <f>"455522"</f>
        <v>455522</v>
      </c>
      <c r="C12602" s="19" t="s">
        <v>12389</v>
      </c>
      <c r="D12602" s="19" t="s">
        <v>28003</v>
      </c>
      <c r="E12602" s="19" t="s">
        <v>34717</v>
      </c>
      <c r="F12602" s="19" t="s">
        <v>36018</v>
      </c>
      <c r="G12602" s="18" t="str">
        <f>"76502"</f>
        <v>76502</v>
      </c>
      <c r="H12602" s="19" t="s">
        <v>31306</v>
      </c>
      <c r="I12602" s="20">
        <v>19.405999999999999</v>
      </c>
      <c r="J12602" s="44" t="s">
        <v>8</v>
      </c>
      <c r="K12602" s="23" t="s">
        <v>8</v>
      </c>
      <c r="L12602" s="23" t="s">
        <v>8</v>
      </c>
      <c r="M12602" s="23" t="s">
        <v>8</v>
      </c>
    </row>
    <row r="12603" spans="1:13" s="21" customFormat="1" x14ac:dyDescent="0.25">
      <c r="A12603" s="22" t="s">
        <v>8</v>
      </c>
      <c r="B12603" s="18" t="str">
        <f>"455523"</f>
        <v>455523</v>
      </c>
      <c r="C12603" s="19" t="s">
        <v>12390</v>
      </c>
      <c r="D12603" s="19" t="s">
        <v>28004</v>
      </c>
      <c r="E12603" s="19" t="s">
        <v>35244</v>
      </c>
      <c r="F12603" s="19" t="s">
        <v>36018</v>
      </c>
      <c r="G12603" s="18" t="str">
        <f>"78201"</f>
        <v>78201</v>
      </c>
      <c r="H12603" s="19" t="s">
        <v>36805</v>
      </c>
      <c r="I12603" s="20">
        <v>16.675000000000001</v>
      </c>
      <c r="J12603" s="44" t="s">
        <v>8</v>
      </c>
      <c r="K12603" s="23" t="s">
        <v>8</v>
      </c>
      <c r="L12603" s="23" t="s">
        <v>8</v>
      </c>
      <c r="M12603" s="23" t="s">
        <v>8</v>
      </c>
    </row>
    <row r="12604" spans="1:13" s="21" customFormat="1" x14ac:dyDescent="0.25">
      <c r="A12604" s="22" t="s">
        <v>8</v>
      </c>
      <c r="B12604" s="18" t="str">
        <f>"455528"</f>
        <v>455528</v>
      </c>
      <c r="C12604" s="19" t="s">
        <v>12391</v>
      </c>
      <c r="D12604" s="19" t="s">
        <v>28005</v>
      </c>
      <c r="E12604" s="19" t="s">
        <v>35257</v>
      </c>
      <c r="F12604" s="19" t="s">
        <v>36018</v>
      </c>
      <c r="G12604" s="18" t="str">
        <f>"78043"</f>
        <v>78043</v>
      </c>
      <c r="H12604" s="19" t="s">
        <v>36811</v>
      </c>
      <c r="I12604" s="20">
        <v>18.076000000000001</v>
      </c>
      <c r="J12604" s="44" t="s">
        <v>8</v>
      </c>
      <c r="K12604" s="23" t="s">
        <v>8</v>
      </c>
      <c r="L12604" s="23" t="s">
        <v>8</v>
      </c>
      <c r="M12604" s="23" t="s">
        <v>8</v>
      </c>
    </row>
    <row r="12605" spans="1:13" s="21" customFormat="1" x14ac:dyDescent="0.25">
      <c r="A12605" s="22" t="s">
        <v>8</v>
      </c>
      <c r="B12605" s="18" t="str">
        <f>"455532"</f>
        <v>455532</v>
      </c>
      <c r="C12605" s="19" t="s">
        <v>12392</v>
      </c>
      <c r="D12605" s="19" t="s">
        <v>28006</v>
      </c>
      <c r="E12605" s="19" t="s">
        <v>32348</v>
      </c>
      <c r="F12605" s="19" t="s">
        <v>36018</v>
      </c>
      <c r="G12605" s="18" t="str">
        <f>"75455"</f>
        <v>75455</v>
      </c>
      <c r="H12605" s="19" t="s">
        <v>36812</v>
      </c>
      <c r="I12605" s="20">
        <v>20.736999999999998</v>
      </c>
      <c r="J12605" s="44" t="s">
        <v>8</v>
      </c>
      <c r="K12605" s="23" t="s">
        <v>8</v>
      </c>
      <c r="L12605" s="23" t="s">
        <v>8</v>
      </c>
      <c r="M12605" s="23" t="s">
        <v>8</v>
      </c>
    </row>
    <row r="12606" spans="1:13" s="21" customFormat="1" x14ac:dyDescent="0.25">
      <c r="A12606" s="22" t="s">
        <v>8</v>
      </c>
      <c r="B12606" s="18" t="str">
        <f>"455533"</f>
        <v>455533</v>
      </c>
      <c r="C12606" s="19" t="s">
        <v>12393</v>
      </c>
      <c r="D12606" s="19" t="s">
        <v>28007</v>
      </c>
      <c r="E12606" s="19" t="s">
        <v>35244</v>
      </c>
      <c r="F12606" s="19" t="s">
        <v>36018</v>
      </c>
      <c r="G12606" s="18" t="str">
        <f>"78239"</f>
        <v>78239</v>
      </c>
      <c r="H12606" s="19" t="s">
        <v>36805</v>
      </c>
      <c r="I12606" s="20">
        <v>19.120999999999999</v>
      </c>
      <c r="J12606" s="44" t="s">
        <v>8</v>
      </c>
      <c r="K12606" s="23" t="s">
        <v>8</v>
      </c>
      <c r="L12606" s="23" t="s">
        <v>8</v>
      </c>
      <c r="M12606" s="23" t="s">
        <v>8</v>
      </c>
    </row>
    <row r="12607" spans="1:13" s="21" customFormat="1" x14ac:dyDescent="0.25">
      <c r="A12607" s="22" t="s">
        <v>8</v>
      </c>
      <c r="B12607" s="18" t="str">
        <f>"455534"</f>
        <v>455534</v>
      </c>
      <c r="C12607" s="19" t="s">
        <v>12394</v>
      </c>
      <c r="D12607" s="19" t="s">
        <v>28008</v>
      </c>
      <c r="E12607" s="19" t="s">
        <v>35258</v>
      </c>
      <c r="F12607" s="19" t="s">
        <v>36018</v>
      </c>
      <c r="G12607" s="18" t="str">
        <f>"78861"</f>
        <v>78861</v>
      </c>
      <c r="H12607" s="19" t="s">
        <v>34102</v>
      </c>
      <c r="I12607" s="20">
        <v>21.271999999999998</v>
      </c>
      <c r="J12607" s="44" t="s">
        <v>8</v>
      </c>
      <c r="K12607" s="23" t="s">
        <v>8</v>
      </c>
      <c r="L12607" s="23" t="s">
        <v>8</v>
      </c>
      <c r="M12607" s="23" t="s">
        <v>8</v>
      </c>
    </row>
    <row r="12608" spans="1:13" s="21" customFormat="1" x14ac:dyDescent="0.25">
      <c r="A12608" s="22" t="s">
        <v>8</v>
      </c>
      <c r="B12608" s="18" t="str">
        <f>"455536"</f>
        <v>455536</v>
      </c>
      <c r="C12608" s="19" t="s">
        <v>12395</v>
      </c>
      <c r="D12608" s="19" t="s">
        <v>28009</v>
      </c>
      <c r="E12608" s="19" t="s">
        <v>35222</v>
      </c>
      <c r="F12608" s="19" t="s">
        <v>36018</v>
      </c>
      <c r="G12608" s="18" t="str">
        <f>"78801"</f>
        <v>78801</v>
      </c>
      <c r="H12608" s="19" t="s">
        <v>35222</v>
      </c>
      <c r="I12608" s="20">
        <v>18.036000000000001</v>
      </c>
      <c r="J12608" s="44" t="s">
        <v>8</v>
      </c>
      <c r="K12608" s="23" t="s">
        <v>8</v>
      </c>
      <c r="L12608" s="23" t="s">
        <v>8</v>
      </c>
      <c r="M12608" s="23" t="s">
        <v>8</v>
      </c>
    </row>
    <row r="12609" spans="1:13" s="21" customFormat="1" x14ac:dyDescent="0.25">
      <c r="A12609" s="22" t="s">
        <v>8</v>
      </c>
      <c r="B12609" s="18" t="str">
        <f>"455538"</f>
        <v>455538</v>
      </c>
      <c r="C12609" s="19" t="s">
        <v>12396</v>
      </c>
      <c r="D12609" s="19" t="s">
        <v>28010</v>
      </c>
      <c r="E12609" s="19" t="s">
        <v>35259</v>
      </c>
      <c r="F12609" s="19" t="s">
        <v>36018</v>
      </c>
      <c r="G12609" s="18" t="str">
        <f>"77619"</f>
        <v>77619</v>
      </c>
      <c r="H12609" s="19" t="s">
        <v>32391</v>
      </c>
      <c r="I12609" s="20">
        <v>21.998999999999999</v>
      </c>
      <c r="J12609" s="44" t="s">
        <v>8</v>
      </c>
      <c r="K12609" s="23" t="s">
        <v>8</v>
      </c>
      <c r="L12609" s="23" t="s">
        <v>8</v>
      </c>
      <c r="M12609" s="23" t="s">
        <v>8</v>
      </c>
    </row>
    <row r="12610" spans="1:13" s="21" customFormat="1" x14ac:dyDescent="0.25">
      <c r="A12610" s="22" t="s">
        <v>8</v>
      </c>
      <c r="B12610" s="18" t="str">
        <f>"455544"</f>
        <v>455544</v>
      </c>
      <c r="C12610" s="19" t="s">
        <v>12397</v>
      </c>
      <c r="D12610" s="19" t="s">
        <v>28011</v>
      </c>
      <c r="E12610" s="19" t="s">
        <v>35260</v>
      </c>
      <c r="F12610" s="19" t="s">
        <v>36018</v>
      </c>
      <c r="G12610" s="18" t="str">
        <f>"77995"</f>
        <v>77995</v>
      </c>
      <c r="H12610" s="19" t="s">
        <v>36813</v>
      </c>
      <c r="I12610" s="20">
        <v>21.727</v>
      </c>
      <c r="J12610" s="44" t="s">
        <v>8</v>
      </c>
      <c r="K12610" s="23" t="s">
        <v>8</v>
      </c>
      <c r="L12610" s="23" t="s">
        <v>8</v>
      </c>
      <c r="M12610" s="23" t="s">
        <v>8</v>
      </c>
    </row>
    <row r="12611" spans="1:13" s="21" customFormat="1" x14ac:dyDescent="0.25">
      <c r="A12611" s="22" t="s">
        <v>8</v>
      </c>
      <c r="B12611" s="18" t="str">
        <f>"455549"</f>
        <v>455549</v>
      </c>
      <c r="C12611" s="19" t="s">
        <v>12398</v>
      </c>
      <c r="D12611" s="19" t="s">
        <v>28012</v>
      </c>
      <c r="E12611" s="19" t="s">
        <v>35221</v>
      </c>
      <c r="F12611" s="19" t="s">
        <v>36018</v>
      </c>
      <c r="G12611" s="18" t="str">
        <f>"78026"</f>
        <v>78026</v>
      </c>
      <c r="H12611" s="19" t="s">
        <v>36791</v>
      </c>
      <c r="I12611" s="20">
        <v>17.66</v>
      </c>
      <c r="J12611" s="44" t="s">
        <v>8</v>
      </c>
      <c r="K12611" s="23" t="s">
        <v>8</v>
      </c>
      <c r="L12611" s="23" t="s">
        <v>8</v>
      </c>
      <c r="M12611" s="23" t="s">
        <v>8</v>
      </c>
    </row>
    <row r="12612" spans="1:13" s="21" customFormat="1" x14ac:dyDescent="0.25">
      <c r="A12612" s="22" t="s">
        <v>8</v>
      </c>
      <c r="B12612" s="18" t="str">
        <f>"455550"</f>
        <v>455550</v>
      </c>
      <c r="C12612" s="19" t="s">
        <v>12399</v>
      </c>
      <c r="D12612" s="19" t="s">
        <v>28013</v>
      </c>
      <c r="E12612" s="19" t="s">
        <v>33646</v>
      </c>
      <c r="F12612" s="19" t="s">
        <v>36018</v>
      </c>
      <c r="G12612" s="18" t="str">
        <f>"75935"</f>
        <v>75935</v>
      </c>
      <c r="H12612" s="19" t="s">
        <v>33565</v>
      </c>
      <c r="I12612" s="20">
        <v>18.305</v>
      </c>
      <c r="J12612" s="44" t="s">
        <v>8</v>
      </c>
      <c r="K12612" s="23" t="s">
        <v>8</v>
      </c>
      <c r="L12612" s="23" t="s">
        <v>8</v>
      </c>
      <c r="M12612" s="23" t="s">
        <v>8</v>
      </c>
    </row>
    <row r="12613" spans="1:13" s="21" customFormat="1" x14ac:dyDescent="0.25">
      <c r="A12613" s="22" t="s">
        <v>8</v>
      </c>
      <c r="B12613" s="18" t="str">
        <f>"455551"</f>
        <v>455551</v>
      </c>
      <c r="C12613" s="19" t="s">
        <v>12400</v>
      </c>
      <c r="D12613" s="19" t="s">
        <v>28014</v>
      </c>
      <c r="E12613" s="19" t="s">
        <v>33396</v>
      </c>
      <c r="F12613" s="19" t="s">
        <v>36018</v>
      </c>
      <c r="G12613" s="18" t="str">
        <f>"79072"</f>
        <v>79072</v>
      </c>
      <c r="H12613" s="19" t="s">
        <v>36031</v>
      </c>
      <c r="I12613" s="20">
        <v>21.238</v>
      </c>
      <c r="J12613" s="44" t="s">
        <v>8</v>
      </c>
      <c r="K12613" s="23" t="s">
        <v>8</v>
      </c>
      <c r="L12613" s="23" t="s">
        <v>8</v>
      </c>
      <c r="M12613" s="23" t="s">
        <v>8</v>
      </c>
    </row>
    <row r="12614" spans="1:13" s="21" customFormat="1" x14ac:dyDescent="0.25">
      <c r="A12614" s="22" t="s">
        <v>8</v>
      </c>
      <c r="B12614" s="18" t="str">
        <f>"455554"</f>
        <v>455554</v>
      </c>
      <c r="C12614" s="19" t="s">
        <v>12401</v>
      </c>
      <c r="D12614" s="19" t="s">
        <v>28015</v>
      </c>
      <c r="E12614" s="19" t="s">
        <v>32423</v>
      </c>
      <c r="F12614" s="19" t="s">
        <v>36018</v>
      </c>
      <c r="G12614" s="18" t="str">
        <f>"76657"</f>
        <v>76657</v>
      </c>
      <c r="H12614" s="19" t="s">
        <v>36809</v>
      </c>
      <c r="I12614" s="20">
        <v>15.37</v>
      </c>
      <c r="J12614" s="44" t="s">
        <v>8</v>
      </c>
      <c r="K12614" s="23" t="s">
        <v>8</v>
      </c>
      <c r="L12614" s="23" t="s">
        <v>8</v>
      </c>
      <c r="M12614" s="23" t="s">
        <v>8</v>
      </c>
    </row>
    <row r="12615" spans="1:13" s="21" customFormat="1" x14ac:dyDescent="0.25">
      <c r="A12615" s="22" t="s">
        <v>8</v>
      </c>
      <c r="B12615" s="18" t="str">
        <f>"455555"</f>
        <v>455555</v>
      </c>
      <c r="C12615" s="19" t="s">
        <v>12402</v>
      </c>
      <c r="D12615" s="19" t="s">
        <v>28016</v>
      </c>
      <c r="E12615" s="19" t="s">
        <v>34316</v>
      </c>
      <c r="F12615" s="19" t="s">
        <v>36018</v>
      </c>
      <c r="G12615" s="18" t="str">
        <f>"76450"</f>
        <v>76450</v>
      </c>
      <c r="H12615" s="19" t="s">
        <v>36787</v>
      </c>
      <c r="I12615" s="20">
        <v>18.277999999999999</v>
      </c>
      <c r="J12615" s="44" t="s">
        <v>8</v>
      </c>
      <c r="K12615" s="23" t="s">
        <v>8</v>
      </c>
      <c r="L12615" s="23" t="s">
        <v>8</v>
      </c>
      <c r="M12615" s="23" t="s">
        <v>8</v>
      </c>
    </row>
    <row r="12616" spans="1:13" s="21" customFormat="1" x14ac:dyDescent="0.25">
      <c r="A12616" s="22" t="s">
        <v>8</v>
      </c>
      <c r="B12616" s="18" t="str">
        <f>"455557"</f>
        <v>455557</v>
      </c>
      <c r="C12616" s="19" t="s">
        <v>12403</v>
      </c>
      <c r="D12616" s="19" t="s">
        <v>28017</v>
      </c>
      <c r="E12616" s="19" t="s">
        <v>35243</v>
      </c>
      <c r="F12616" s="19" t="s">
        <v>36018</v>
      </c>
      <c r="G12616" s="18" t="str">
        <f>"78411"</f>
        <v>78411</v>
      </c>
      <c r="H12616" s="19" t="s">
        <v>36804</v>
      </c>
      <c r="I12616" s="20">
        <v>18.411999999999999</v>
      </c>
      <c r="J12616" s="44" t="s">
        <v>8</v>
      </c>
      <c r="K12616" s="23" t="s">
        <v>8</v>
      </c>
      <c r="L12616" s="23" t="s">
        <v>8</v>
      </c>
      <c r="M12616" s="23" t="s">
        <v>8</v>
      </c>
    </row>
    <row r="12617" spans="1:13" s="21" customFormat="1" x14ac:dyDescent="0.25">
      <c r="A12617" s="22" t="s">
        <v>8</v>
      </c>
      <c r="B12617" s="18" t="str">
        <f>"455560"</f>
        <v>455560</v>
      </c>
      <c r="C12617" s="19" t="s">
        <v>12404</v>
      </c>
      <c r="D12617" s="19" t="s">
        <v>28018</v>
      </c>
      <c r="E12617" s="19" t="s">
        <v>35261</v>
      </c>
      <c r="F12617" s="19" t="s">
        <v>36018</v>
      </c>
      <c r="G12617" s="18" t="str">
        <f>"78501"</f>
        <v>78501</v>
      </c>
      <c r="H12617" s="19" t="s">
        <v>36592</v>
      </c>
      <c r="I12617" s="20">
        <v>18.111000000000001</v>
      </c>
      <c r="J12617" s="44" t="s">
        <v>8</v>
      </c>
      <c r="K12617" s="23" t="s">
        <v>8</v>
      </c>
      <c r="L12617" s="23" t="s">
        <v>8</v>
      </c>
      <c r="M12617" s="23" t="s">
        <v>8</v>
      </c>
    </row>
    <row r="12618" spans="1:13" s="21" customFormat="1" x14ac:dyDescent="0.25">
      <c r="A12618" s="22" t="s">
        <v>8</v>
      </c>
      <c r="B12618" s="18" t="str">
        <f>"455561"</f>
        <v>455561</v>
      </c>
      <c r="C12618" s="19" t="s">
        <v>12405</v>
      </c>
      <c r="D12618" s="19" t="s">
        <v>28019</v>
      </c>
      <c r="E12618" s="19" t="s">
        <v>35239</v>
      </c>
      <c r="F12618" s="19" t="s">
        <v>36018</v>
      </c>
      <c r="G12618" s="18" t="str">
        <f>"77707"</f>
        <v>77707</v>
      </c>
      <c r="H12618" s="19" t="s">
        <v>32391</v>
      </c>
      <c r="I12618" s="20">
        <v>19.314</v>
      </c>
      <c r="J12618" s="44" t="s">
        <v>8</v>
      </c>
      <c r="K12618" s="23" t="s">
        <v>8</v>
      </c>
      <c r="L12618" s="23" t="s">
        <v>8</v>
      </c>
      <c r="M12618" s="23" t="s">
        <v>8</v>
      </c>
    </row>
    <row r="12619" spans="1:13" s="21" customFormat="1" x14ac:dyDescent="0.25">
      <c r="A12619" s="22" t="s">
        <v>8</v>
      </c>
      <c r="B12619" s="18" t="str">
        <f>"455563"</f>
        <v>455563</v>
      </c>
      <c r="C12619" s="19" t="s">
        <v>12406</v>
      </c>
      <c r="D12619" s="19" t="s">
        <v>28020</v>
      </c>
      <c r="E12619" s="19" t="s">
        <v>32396</v>
      </c>
      <c r="F12619" s="19" t="s">
        <v>36018</v>
      </c>
      <c r="G12619" s="18" t="str">
        <f>"75021"</f>
        <v>75021</v>
      </c>
      <c r="H12619" s="19" t="s">
        <v>32731</v>
      </c>
      <c r="I12619" s="20">
        <v>18.068999999999999</v>
      </c>
      <c r="J12619" s="44" t="s">
        <v>8</v>
      </c>
      <c r="K12619" s="23" t="s">
        <v>8</v>
      </c>
      <c r="L12619" s="23" t="s">
        <v>8</v>
      </c>
      <c r="M12619" s="23" t="s">
        <v>8</v>
      </c>
    </row>
    <row r="12620" spans="1:13" s="21" customFormat="1" x14ac:dyDescent="0.25">
      <c r="A12620" s="22" t="s">
        <v>8</v>
      </c>
      <c r="B12620" s="18" t="str">
        <f>"455565"</f>
        <v>455565</v>
      </c>
      <c r="C12620" s="19" t="s">
        <v>12407</v>
      </c>
      <c r="D12620" s="19" t="s">
        <v>28021</v>
      </c>
      <c r="E12620" s="19" t="s">
        <v>35262</v>
      </c>
      <c r="F12620" s="19" t="s">
        <v>36018</v>
      </c>
      <c r="G12620" s="18" t="str">
        <f>"75801"</f>
        <v>75801</v>
      </c>
      <c r="H12620" s="19" t="s">
        <v>32202</v>
      </c>
      <c r="I12620" s="20">
        <v>17.797999999999998</v>
      </c>
      <c r="J12620" s="44" t="s">
        <v>8</v>
      </c>
      <c r="K12620" s="23" t="s">
        <v>8</v>
      </c>
      <c r="L12620" s="23" t="s">
        <v>8</v>
      </c>
      <c r="M12620" s="23" t="s">
        <v>8</v>
      </c>
    </row>
    <row r="12621" spans="1:13" s="21" customFormat="1" x14ac:dyDescent="0.25">
      <c r="A12621" s="22" t="s">
        <v>8</v>
      </c>
      <c r="B12621" s="18" t="str">
        <f>"455569"</f>
        <v>455569</v>
      </c>
      <c r="C12621" s="19" t="s">
        <v>12408</v>
      </c>
      <c r="D12621" s="19" t="s">
        <v>28022</v>
      </c>
      <c r="E12621" s="19" t="s">
        <v>35263</v>
      </c>
      <c r="F12621" s="19" t="s">
        <v>36018</v>
      </c>
      <c r="G12621" s="18" t="str">
        <f>"75605"</f>
        <v>75605</v>
      </c>
      <c r="H12621" s="19" t="s">
        <v>36814</v>
      </c>
      <c r="I12621" s="20">
        <v>21.29</v>
      </c>
      <c r="J12621" s="44" t="s">
        <v>8</v>
      </c>
      <c r="K12621" s="23" t="s">
        <v>8</v>
      </c>
      <c r="L12621" s="23" t="s">
        <v>8</v>
      </c>
      <c r="M12621" s="23" t="s">
        <v>8</v>
      </c>
    </row>
    <row r="12622" spans="1:13" s="21" customFormat="1" x14ac:dyDescent="0.25">
      <c r="A12622" s="22" t="s">
        <v>8</v>
      </c>
      <c r="B12622" s="18" t="str">
        <f>"455570"</f>
        <v>455570</v>
      </c>
      <c r="C12622" s="19" t="s">
        <v>12409</v>
      </c>
      <c r="D12622" s="19" t="s">
        <v>28023</v>
      </c>
      <c r="E12622" s="19" t="s">
        <v>35264</v>
      </c>
      <c r="F12622" s="19" t="s">
        <v>36018</v>
      </c>
      <c r="G12622" s="18" t="str">
        <f>"76067"</f>
        <v>76067</v>
      </c>
      <c r="H12622" s="19" t="s">
        <v>36815</v>
      </c>
      <c r="I12622" s="20">
        <v>23.094000000000001</v>
      </c>
      <c r="J12622" s="44" t="s">
        <v>8</v>
      </c>
      <c r="K12622" s="23" t="s">
        <v>8</v>
      </c>
      <c r="L12622" s="23" t="s">
        <v>8</v>
      </c>
      <c r="M12622" s="23" t="s">
        <v>8</v>
      </c>
    </row>
    <row r="12623" spans="1:13" s="21" customFormat="1" x14ac:dyDescent="0.25">
      <c r="A12623" s="22" t="s">
        <v>8</v>
      </c>
      <c r="B12623" s="18" t="str">
        <f>"455572"</f>
        <v>455572</v>
      </c>
      <c r="C12623" s="19" t="s">
        <v>8698</v>
      </c>
      <c r="D12623" s="19" t="s">
        <v>28024</v>
      </c>
      <c r="E12623" s="19" t="s">
        <v>35245</v>
      </c>
      <c r="F12623" s="19" t="s">
        <v>36018</v>
      </c>
      <c r="G12623" s="18" t="str">
        <f>"76133"</f>
        <v>76133</v>
      </c>
      <c r="H12623" s="19" t="s">
        <v>36806</v>
      </c>
      <c r="I12623" s="20">
        <v>20.436</v>
      </c>
      <c r="J12623" s="44" t="s">
        <v>8</v>
      </c>
      <c r="K12623" s="23" t="s">
        <v>8</v>
      </c>
      <c r="L12623" s="23" t="s">
        <v>8</v>
      </c>
      <c r="M12623" s="23" t="s">
        <v>8</v>
      </c>
    </row>
    <row r="12624" spans="1:13" s="21" customFormat="1" x14ac:dyDescent="0.25">
      <c r="A12624" s="22" t="s">
        <v>8</v>
      </c>
      <c r="B12624" s="18" t="str">
        <f>"455573"</f>
        <v>455573</v>
      </c>
      <c r="C12624" s="19" t="s">
        <v>12410</v>
      </c>
      <c r="D12624" s="19" t="s">
        <v>28025</v>
      </c>
      <c r="E12624" s="19" t="s">
        <v>32078</v>
      </c>
      <c r="F12624" s="19" t="s">
        <v>36018</v>
      </c>
      <c r="G12624" s="18" t="str">
        <f>"75090"</f>
        <v>75090</v>
      </c>
      <c r="H12624" s="19" t="s">
        <v>32731</v>
      </c>
      <c r="I12624" s="20">
        <v>19.658000000000001</v>
      </c>
      <c r="J12624" s="44" t="s">
        <v>8</v>
      </c>
      <c r="K12624" s="23" t="s">
        <v>8</v>
      </c>
      <c r="L12624" s="23" t="s">
        <v>8</v>
      </c>
      <c r="M12624" s="23" t="s">
        <v>8</v>
      </c>
    </row>
    <row r="12625" spans="1:13" s="21" customFormat="1" x14ac:dyDescent="0.25">
      <c r="A12625" s="22" t="s">
        <v>8</v>
      </c>
      <c r="B12625" s="18" t="str">
        <f>"455574"</f>
        <v>455574</v>
      </c>
      <c r="C12625" s="19" t="s">
        <v>12411</v>
      </c>
      <c r="D12625" s="19" t="s">
        <v>28026</v>
      </c>
      <c r="E12625" s="19" t="s">
        <v>34690</v>
      </c>
      <c r="F12625" s="19" t="s">
        <v>36018</v>
      </c>
      <c r="G12625" s="18" t="str">
        <f>"76086"</f>
        <v>76086</v>
      </c>
      <c r="H12625" s="19" t="s">
        <v>31392</v>
      </c>
      <c r="I12625" s="20">
        <v>18.75</v>
      </c>
      <c r="J12625" s="44" t="s">
        <v>8</v>
      </c>
      <c r="K12625" s="23" t="s">
        <v>8</v>
      </c>
      <c r="L12625" s="23" t="s">
        <v>8</v>
      </c>
      <c r="M12625" s="23" t="s">
        <v>8</v>
      </c>
    </row>
    <row r="12626" spans="1:13" s="21" customFormat="1" x14ac:dyDescent="0.25">
      <c r="A12626" s="22" t="s">
        <v>8</v>
      </c>
      <c r="B12626" s="18" t="str">
        <f>"455575"</f>
        <v>455575</v>
      </c>
      <c r="C12626" s="19" t="s">
        <v>12412</v>
      </c>
      <c r="D12626" s="19" t="s">
        <v>28027</v>
      </c>
      <c r="E12626" s="19" t="s">
        <v>35243</v>
      </c>
      <c r="F12626" s="19" t="s">
        <v>36018</v>
      </c>
      <c r="G12626" s="18" t="str">
        <f>"78405"</f>
        <v>78405</v>
      </c>
      <c r="H12626" s="19" t="s">
        <v>36804</v>
      </c>
      <c r="I12626" s="20">
        <v>19.425999999999998</v>
      </c>
      <c r="J12626" s="44" t="s">
        <v>8</v>
      </c>
      <c r="K12626" s="23" t="s">
        <v>8</v>
      </c>
      <c r="L12626" s="23" t="s">
        <v>8</v>
      </c>
      <c r="M12626" s="23" t="s">
        <v>8</v>
      </c>
    </row>
    <row r="12627" spans="1:13" s="21" customFormat="1" x14ac:dyDescent="0.25">
      <c r="A12627" s="22" t="s">
        <v>8</v>
      </c>
      <c r="B12627" s="18" t="str">
        <f>"455576"</f>
        <v>455576</v>
      </c>
      <c r="C12627" s="19" t="s">
        <v>12413</v>
      </c>
      <c r="D12627" s="19" t="s">
        <v>28028</v>
      </c>
      <c r="E12627" s="19" t="s">
        <v>35245</v>
      </c>
      <c r="F12627" s="19" t="s">
        <v>36018</v>
      </c>
      <c r="G12627" s="18" t="str">
        <f>"76118"</f>
        <v>76118</v>
      </c>
      <c r="H12627" s="19" t="s">
        <v>36806</v>
      </c>
      <c r="I12627" s="20">
        <v>19.260000000000002</v>
      </c>
      <c r="J12627" s="44" t="s">
        <v>8</v>
      </c>
      <c r="K12627" s="23" t="s">
        <v>8</v>
      </c>
      <c r="L12627" s="23" t="s">
        <v>8</v>
      </c>
      <c r="M12627" s="23" t="s">
        <v>8</v>
      </c>
    </row>
    <row r="12628" spans="1:13" s="21" customFormat="1" x14ac:dyDescent="0.25">
      <c r="A12628" s="22" t="s">
        <v>8</v>
      </c>
      <c r="B12628" s="18" t="str">
        <f>"455577"</f>
        <v>455577</v>
      </c>
      <c r="C12628" s="19" t="s">
        <v>12414</v>
      </c>
      <c r="D12628" s="19" t="s">
        <v>28029</v>
      </c>
      <c r="E12628" s="19" t="s">
        <v>35265</v>
      </c>
      <c r="F12628" s="19" t="s">
        <v>36018</v>
      </c>
      <c r="G12628" s="18" t="str">
        <f>"75835"</f>
        <v>75835</v>
      </c>
      <c r="H12628" s="19" t="s">
        <v>33493</v>
      </c>
      <c r="I12628" s="20">
        <v>18.629000000000001</v>
      </c>
      <c r="J12628" s="44" t="s">
        <v>8</v>
      </c>
      <c r="K12628" s="23" t="s">
        <v>8</v>
      </c>
      <c r="L12628" s="23" t="s">
        <v>8</v>
      </c>
      <c r="M12628" s="23" t="s">
        <v>8</v>
      </c>
    </row>
    <row r="12629" spans="1:13" s="21" customFormat="1" x14ac:dyDescent="0.25">
      <c r="A12629" s="22" t="s">
        <v>8</v>
      </c>
      <c r="B12629" s="18" t="str">
        <f>"455579"</f>
        <v>455579</v>
      </c>
      <c r="C12629" s="19" t="s">
        <v>12415</v>
      </c>
      <c r="D12629" s="19" t="s">
        <v>28030</v>
      </c>
      <c r="E12629" s="19" t="s">
        <v>35266</v>
      </c>
      <c r="F12629" s="19" t="s">
        <v>36018</v>
      </c>
      <c r="G12629" s="18" t="str">
        <f>"75482"</f>
        <v>75482</v>
      </c>
      <c r="H12629" s="19" t="s">
        <v>33374</v>
      </c>
      <c r="I12629" s="20">
        <v>18.792999999999999</v>
      </c>
      <c r="J12629" s="44" t="s">
        <v>8</v>
      </c>
      <c r="K12629" s="23" t="s">
        <v>8</v>
      </c>
      <c r="L12629" s="23" t="s">
        <v>8</v>
      </c>
      <c r="M12629" s="23" t="s">
        <v>8</v>
      </c>
    </row>
    <row r="12630" spans="1:13" s="21" customFormat="1" x14ac:dyDescent="0.25">
      <c r="A12630" s="22" t="s">
        <v>8</v>
      </c>
      <c r="B12630" s="18" t="str">
        <f>"455582"</f>
        <v>455582</v>
      </c>
      <c r="C12630" s="19" t="s">
        <v>12416</v>
      </c>
      <c r="D12630" s="19" t="s">
        <v>28031</v>
      </c>
      <c r="E12630" s="19" t="s">
        <v>33247</v>
      </c>
      <c r="F12630" s="19" t="s">
        <v>36018</v>
      </c>
      <c r="G12630" s="18" t="str">
        <f>"77414"</f>
        <v>77414</v>
      </c>
      <c r="H12630" s="19" t="s">
        <v>36816</v>
      </c>
      <c r="I12630" s="20">
        <v>17.641999999999999</v>
      </c>
      <c r="J12630" s="44" t="s">
        <v>8</v>
      </c>
      <c r="K12630" s="23" t="s">
        <v>8</v>
      </c>
      <c r="L12630" s="23" t="s">
        <v>8</v>
      </c>
      <c r="M12630" s="23" t="s">
        <v>8</v>
      </c>
    </row>
    <row r="12631" spans="1:13" s="21" customFormat="1" x14ac:dyDescent="0.25">
      <c r="A12631" s="22" t="s">
        <v>8</v>
      </c>
      <c r="B12631" s="18" t="str">
        <f>"455586"</f>
        <v>455586</v>
      </c>
      <c r="C12631" s="19" t="s">
        <v>12417</v>
      </c>
      <c r="D12631" s="19" t="s">
        <v>28032</v>
      </c>
      <c r="E12631" s="19" t="s">
        <v>35261</v>
      </c>
      <c r="F12631" s="19" t="s">
        <v>36018</v>
      </c>
      <c r="G12631" s="18" t="str">
        <f>"78501"</f>
        <v>78501</v>
      </c>
      <c r="H12631" s="19" t="s">
        <v>36592</v>
      </c>
      <c r="I12631" s="20">
        <v>17.471</v>
      </c>
      <c r="J12631" s="44" t="s">
        <v>8</v>
      </c>
      <c r="K12631" s="23" t="s">
        <v>8</v>
      </c>
      <c r="L12631" s="23" t="s">
        <v>8</v>
      </c>
      <c r="M12631" s="23" t="s">
        <v>8</v>
      </c>
    </row>
    <row r="12632" spans="1:13" s="21" customFormat="1" x14ac:dyDescent="0.25">
      <c r="A12632" s="22" t="s">
        <v>8</v>
      </c>
      <c r="B12632" s="18" t="str">
        <f>"455589"</f>
        <v>455589</v>
      </c>
      <c r="C12632" s="19" t="s">
        <v>12418</v>
      </c>
      <c r="D12632" s="19" t="s">
        <v>28033</v>
      </c>
      <c r="E12632" s="19" t="s">
        <v>31085</v>
      </c>
      <c r="F12632" s="19" t="s">
        <v>36018</v>
      </c>
      <c r="G12632" s="18" t="str">
        <f>"77845"</f>
        <v>77845</v>
      </c>
      <c r="H12632" s="19" t="s">
        <v>36803</v>
      </c>
      <c r="I12632" s="20">
        <v>19.550999999999998</v>
      </c>
      <c r="J12632" s="44" t="s">
        <v>8</v>
      </c>
      <c r="K12632" s="23" t="s">
        <v>8</v>
      </c>
      <c r="L12632" s="23" t="s">
        <v>8</v>
      </c>
      <c r="M12632" s="23" t="s">
        <v>8</v>
      </c>
    </row>
    <row r="12633" spans="1:13" s="21" customFormat="1" x14ac:dyDescent="0.25">
      <c r="A12633" s="22" t="s">
        <v>8</v>
      </c>
      <c r="B12633" s="18" t="str">
        <f>"455591"</f>
        <v>455591</v>
      </c>
      <c r="C12633" s="19" t="s">
        <v>12419</v>
      </c>
      <c r="D12633" s="19" t="s">
        <v>28034</v>
      </c>
      <c r="E12633" s="19" t="s">
        <v>35267</v>
      </c>
      <c r="F12633" s="19" t="s">
        <v>36018</v>
      </c>
      <c r="G12633" s="18" t="str">
        <f>"75165"</f>
        <v>75165</v>
      </c>
      <c r="H12633" s="19" t="s">
        <v>32612</v>
      </c>
      <c r="I12633" s="20">
        <v>18.038</v>
      </c>
      <c r="J12633" s="44" t="s">
        <v>8</v>
      </c>
      <c r="K12633" s="23" t="s">
        <v>8</v>
      </c>
      <c r="L12633" s="23" t="s">
        <v>8</v>
      </c>
      <c r="M12633" s="23" t="s">
        <v>8</v>
      </c>
    </row>
    <row r="12634" spans="1:13" s="21" customFormat="1" x14ac:dyDescent="0.25">
      <c r="A12634" s="22" t="s">
        <v>8</v>
      </c>
      <c r="B12634" s="18" t="str">
        <f>"455592"</f>
        <v>455592</v>
      </c>
      <c r="C12634" s="19" t="s">
        <v>12420</v>
      </c>
      <c r="D12634" s="19" t="s">
        <v>28035</v>
      </c>
      <c r="E12634" s="19" t="s">
        <v>35248</v>
      </c>
      <c r="F12634" s="19" t="s">
        <v>36018</v>
      </c>
      <c r="G12634" s="18" t="str">
        <f>"76108"</f>
        <v>76108</v>
      </c>
      <c r="H12634" s="19" t="s">
        <v>36806</v>
      </c>
      <c r="I12634" s="20">
        <v>19.367999999999999</v>
      </c>
      <c r="J12634" s="44" t="s">
        <v>8</v>
      </c>
      <c r="K12634" s="23" t="s">
        <v>8</v>
      </c>
      <c r="L12634" s="23" t="s">
        <v>8</v>
      </c>
      <c r="M12634" s="23" t="s">
        <v>8</v>
      </c>
    </row>
    <row r="12635" spans="1:13" s="21" customFormat="1" x14ac:dyDescent="0.25">
      <c r="A12635" s="22" t="s">
        <v>8</v>
      </c>
      <c r="B12635" s="18" t="str">
        <f>"455594"</f>
        <v>455594</v>
      </c>
      <c r="C12635" s="19" t="s">
        <v>12421</v>
      </c>
      <c r="D12635" s="19" t="s">
        <v>28036</v>
      </c>
      <c r="E12635" s="19" t="s">
        <v>35268</v>
      </c>
      <c r="F12635" s="19" t="s">
        <v>36018</v>
      </c>
      <c r="G12635" s="18" t="str">
        <f>"77625"</f>
        <v>77625</v>
      </c>
      <c r="H12635" s="19" t="s">
        <v>32124</v>
      </c>
      <c r="I12635" s="20">
        <v>21.036000000000001</v>
      </c>
      <c r="J12635" s="44" t="s">
        <v>8</v>
      </c>
      <c r="K12635" s="23" t="s">
        <v>8</v>
      </c>
      <c r="L12635" s="23" t="s">
        <v>8</v>
      </c>
      <c r="M12635" s="23" t="s">
        <v>8</v>
      </c>
    </row>
    <row r="12636" spans="1:13" s="21" customFormat="1" x14ac:dyDescent="0.25">
      <c r="A12636" s="22" t="s">
        <v>8</v>
      </c>
      <c r="B12636" s="18" t="str">
        <f>"455597"</f>
        <v>455597</v>
      </c>
      <c r="C12636" s="19" t="s">
        <v>12422</v>
      </c>
      <c r="D12636" s="19" t="s">
        <v>28037</v>
      </c>
      <c r="E12636" s="19" t="s">
        <v>35244</v>
      </c>
      <c r="F12636" s="19" t="s">
        <v>36018</v>
      </c>
      <c r="G12636" s="18" t="str">
        <f>"78212"</f>
        <v>78212</v>
      </c>
      <c r="H12636" s="19" t="s">
        <v>36805</v>
      </c>
      <c r="I12636" s="20">
        <v>20.675000000000001</v>
      </c>
      <c r="J12636" s="44" t="s">
        <v>8</v>
      </c>
      <c r="K12636" s="23" t="s">
        <v>8</v>
      </c>
      <c r="L12636" s="23" t="s">
        <v>8</v>
      </c>
      <c r="M12636" s="23" t="s">
        <v>8</v>
      </c>
    </row>
    <row r="12637" spans="1:13" s="21" customFormat="1" x14ac:dyDescent="0.25">
      <c r="A12637" s="22" t="s">
        <v>8</v>
      </c>
      <c r="B12637" s="18" t="str">
        <f>"455599"</f>
        <v>455599</v>
      </c>
      <c r="C12637" s="19" t="s">
        <v>12423</v>
      </c>
      <c r="D12637" s="19" t="s">
        <v>28038</v>
      </c>
      <c r="E12637" s="19" t="s">
        <v>33383</v>
      </c>
      <c r="F12637" s="19" t="s">
        <v>36018</v>
      </c>
      <c r="G12637" s="18" t="str">
        <f>"78722"</f>
        <v>78722</v>
      </c>
      <c r="H12637" s="19" t="s">
        <v>36817</v>
      </c>
      <c r="I12637" s="20">
        <v>17.93</v>
      </c>
      <c r="J12637" s="44" t="s">
        <v>8</v>
      </c>
      <c r="K12637" s="23" t="s">
        <v>8</v>
      </c>
      <c r="L12637" s="23" t="s">
        <v>8</v>
      </c>
      <c r="M12637" s="23" t="s">
        <v>8</v>
      </c>
    </row>
    <row r="12638" spans="1:13" s="21" customFormat="1" x14ac:dyDescent="0.25">
      <c r="A12638" s="22" t="s">
        <v>8</v>
      </c>
      <c r="B12638" s="18" t="str">
        <f>"455601"</f>
        <v>455601</v>
      </c>
      <c r="C12638" s="19" t="s">
        <v>12424</v>
      </c>
      <c r="D12638" s="19" t="s">
        <v>28039</v>
      </c>
      <c r="E12638" s="19" t="s">
        <v>35269</v>
      </c>
      <c r="F12638" s="19" t="s">
        <v>36018</v>
      </c>
      <c r="G12638" s="18" t="str">
        <f>"76009"</f>
        <v>76009</v>
      </c>
      <c r="H12638" s="19" t="s">
        <v>36072</v>
      </c>
      <c r="I12638" s="20">
        <v>18.876000000000001</v>
      </c>
      <c r="J12638" s="44" t="s">
        <v>8</v>
      </c>
      <c r="K12638" s="23" t="s">
        <v>8</v>
      </c>
      <c r="L12638" s="23" t="s">
        <v>8</v>
      </c>
      <c r="M12638" s="23" t="s">
        <v>8</v>
      </c>
    </row>
    <row r="12639" spans="1:13" s="21" customFormat="1" x14ac:dyDescent="0.25">
      <c r="A12639" s="22" t="s">
        <v>8</v>
      </c>
      <c r="B12639" s="18" t="str">
        <f>"455602"</f>
        <v>455602</v>
      </c>
      <c r="C12639" s="19" t="s">
        <v>12425</v>
      </c>
      <c r="D12639" s="19" t="s">
        <v>28040</v>
      </c>
      <c r="E12639" s="19" t="s">
        <v>34715</v>
      </c>
      <c r="F12639" s="19" t="s">
        <v>36018</v>
      </c>
      <c r="G12639" s="18" t="str">
        <f>"76442"</f>
        <v>76442</v>
      </c>
      <c r="H12639" s="19" t="s">
        <v>34715</v>
      </c>
      <c r="I12639" s="20">
        <v>18.573</v>
      </c>
      <c r="J12639" s="44" t="s">
        <v>8</v>
      </c>
      <c r="K12639" s="23" t="s">
        <v>8</v>
      </c>
      <c r="L12639" s="23" t="s">
        <v>8</v>
      </c>
      <c r="M12639" s="23" t="s">
        <v>8</v>
      </c>
    </row>
    <row r="12640" spans="1:13" s="21" customFormat="1" x14ac:dyDescent="0.25">
      <c r="A12640" s="22" t="s">
        <v>8</v>
      </c>
      <c r="B12640" s="18" t="str">
        <f>"455606"</f>
        <v>455606</v>
      </c>
      <c r="C12640" s="19" t="s">
        <v>6831</v>
      </c>
      <c r="D12640" s="19" t="s">
        <v>28041</v>
      </c>
      <c r="E12640" s="19" t="s">
        <v>35245</v>
      </c>
      <c r="F12640" s="19" t="s">
        <v>36018</v>
      </c>
      <c r="G12640" s="18" t="str">
        <f>"76103"</f>
        <v>76103</v>
      </c>
      <c r="H12640" s="19" t="s">
        <v>36806</v>
      </c>
      <c r="I12640" s="20">
        <v>20.189</v>
      </c>
      <c r="J12640" s="44" t="s">
        <v>8</v>
      </c>
      <c r="K12640" s="23" t="s">
        <v>8</v>
      </c>
      <c r="L12640" s="23" t="s">
        <v>8</v>
      </c>
      <c r="M12640" s="23" t="s">
        <v>8</v>
      </c>
    </row>
    <row r="12641" spans="1:13" s="21" customFormat="1" x14ac:dyDescent="0.25">
      <c r="A12641" s="22" t="s">
        <v>8</v>
      </c>
      <c r="B12641" s="18" t="str">
        <f>"455608"</f>
        <v>455608</v>
      </c>
      <c r="C12641" s="19" t="s">
        <v>12426</v>
      </c>
      <c r="D12641" s="19" t="s">
        <v>28042</v>
      </c>
      <c r="E12641" s="19" t="s">
        <v>35270</v>
      </c>
      <c r="F12641" s="19" t="s">
        <v>36018</v>
      </c>
      <c r="G12641" s="18" t="str">
        <f>"78102"</f>
        <v>78102</v>
      </c>
      <c r="H12641" s="19" t="s">
        <v>36818</v>
      </c>
      <c r="I12641" s="20">
        <v>20.79</v>
      </c>
      <c r="J12641" s="44" t="s">
        <v>8</v>
      </c>
      <c r="K12641" s="23" t="s">
        <v>8</v>
      </c>
      <c r="L12641" s="23" t="s">
        <v>8</v>
      </c>
      <c r="M12641" s="23" t="s">
        <v>8</v>
      </c>
    </row>
    <row r="12642" spans="1:13" s="21" customFormat="1" x14ac:dyDescent="0.25">
      <c r="A12642" s="22" t="s">
        <v>8</v>
      </c>
      <c r="B12642" s="18" t="str">
        <f>"455611"</f>
        <v>455611</v>
      </c>
      <c r="C12642" s="19" t="s">
        <v>12427</v>
      </c>
      <c r="D12642" s="19" t="s">
        <v>28043</v>
      </c>
      <c r="E12642" s="19" t="s">
        <v>31912</v>
      </c>
      <c r="F12642" s="19" t="s">
        <v>36018</v>
      </c>
      <c r="G12642" s="18" t="str">
        <f>"76374"</f>
        <v>76374</v>
      </c>
      <c r="H12642" s="19" t="s">
        <v>36787</v>
      </c>
      <c r="I12642" s="20">
        <v>21.016999999999999</v>
      </c>
      <c r="J12642" s="44" t="s">
        <v>8</v>
      </c>
      <c r="K12642" s="23" t="s">
        <v>8</v>
      </c>
      <c r="L12642" s="23" t="s">
        <v>8</v>
      </c>
      <c r="M12642" s="23" t="s">
        <v>8</v>
      </c>
    </row>
    <row r="12643" spans="1:13" s="21" customFormat="1" x14ac:dyDescent="0.25">
      <c r="A12643" s="22" t="s">
        <v>8</v>
      </c>
      <c r="B12643" s="18" t="str">
        <f>"455613"</f>
        <v>455613</v>
      </c>
      <c r="C12643" s="19" t="s">
        <v>12428</v>
      </c>
      <c r="D12643" s="19" t="s">
        <v>28044</v>
      </c>
      <c r="E12643" s="19" t="s">
        <v>33493</v>
      </c>
      <c r="F12643" s="19" t="s">
        <v>36018</v>
      </c>
      <c r="G12643" s="18" t="str">
        <f>"77087"</f>
        <v>77087</v>
      </c>
      <c r="H12643" s="19" t="s">
        <v>34183</v>
      </c>
      <c r="I12643" s="20">
        <v>19.475999999999999</v>
      </c>
      <c r="J12643" s="44" t="s">
        <v>8</v>
      </c>
      <c r="K12643" s="23" t="s">
        <v>8</v>
      </c>
      <c r="L12643" s="23" t="s">
        <v>8</v>
      </c>
      <c r="M12643" s="23" t="s">
        <v>8</v>
      </c>
    </row>
    <row r="12644" spans="1:13" s="21" customFormat="1" x14ac:dyDescent="0.25">
      <c r="A12644" s="22" t="s">
        <v>8</v>
      </c>
      <c r="B12644" s="18" t="str">
        <f>"455617"</f>
        <v>455617</v>
      </c>
      <c r="C12644" s="19" t="s">
        <v>12429</v>
      </c>
      <c r="D12644" s="19" t="s">
        <v>28045</v>
      </c>
      <c r="E12644" s="19" t="s">
        <v>33844</v>
      </c>
      <c r="F12644" s="19" t="s">
        <v>36018</v>
      </c>
      <c r="G12644" s="18" t="str">
        <f>"75150"</f>
        <v>75150</v>
      </c>
      <c r="H12644" s="19" t="s">
        <v>31723</v>
      </c>
      <c r="I12644" s="20">
        <v>18.777000000000001</v>
      </c>
      <c r="J12644" s="44" t="s">
        <v>8</v>
      </c>
      <c r="K12644" s="23" t="s">
        <v>8</v>
      </c>
      <c r="L12644" s="23" t="s">
        <v>8</v>
      </c>
      <c r="M12644" s="23" t="s">
        <v>8</v>
      </c>
    </row>
    <row r="12645" spans="1:13" s="21" customFormat="1" x14ac:dyDescent="0.25">
      <c r="A12645" s="22" t="s">
        <v>8</v>
      </c>
      <c r="B12645" s="18" t="str">
        <f>"455618"</f>
        <v>455618</v>
      </c>
      <c r="C12645" s="19" t="s">
        <v>12430</v>
      </c>
      <c r="D12645" s="19" t="s">
        <v>28046</v>
      </c>
      <c r="E12645" s="19" t="s">
        <v>35240</v>
      </c>
      <c r="F12645" s="19" t="s">
        <v>36018</v>
      </c>
      <c r="G12645" s="18" t="str">
        <f>"78130"</f>
        <v>78130</v>
      </c>
      <c r="H12645" s="19" t="s">
        <v>36801</v>
      </c>
      <c r="I12645" s="20">
        <v>17.312999999999999</v>
      </c>
      <c r="J12645" s="44" t="s">
        <v>8</v>
      </c>
      <c r="K12645" s="23" t="s">
        <v>8</v>
      </c>
      <c r="L12645" s="23" t="s">
        <v>8</v>
      </c>
      <c r="M12645" s="23" t="s">
        <v>8</v>
      </c>
    </row>
    <row r="12646" spans="1:13" s="21" customFormat="1" x14ac:dyDescent="0.25">
      <c r="A12646" s="22" t="s">
        <v>8</v>
      </c>
      <c r="B12646" s="18" t="str">
        <f>"455621"</f>
        <v>455621</v>
      </c>
      <c r="C12646" s="19" t="s">
        <v>12431</v>
      </c>
      <c r="D12646" s="19" t="s">
        <v>28047</v>
      </c>
      <c r="E12646" s="19" t="s">
        <v>35271</v>
      </c>
      <c r="F12646" s="19" t="s">
        <v>36018</v>
      </c>
      <c r="G12646" s="18" t="str">
        <f>"78596"</f>
        <v>78596</v>
      </c>
      <c r="H12646" s="19" t="s">
        <v>36592</v>
      </c>
      <c r="I12646" s="20">
        <v>16.875</v>
      </c>
      <c r="J12646" s="44" t="s">
        <v>8</v>
      </c>
      <c r="K12646" s="23" t="s">
        <v>8</v>
      </c>
      <c r="L12646" s="23" t="s">
        <v>8</v>
      </c>
      <c r="M12646" s="23" t="s">
        <v>8</v>
      </c>
    </row>
    <row r="12647" spans="1:13" s="21" customFormat="1" x14ac:dyDescent="0.25">
      <c r="A12647" s="22" t="s">
        <v>8</v>
      </c>
      <c r="B12647" s="18" t="str">
        <f>"455625"</f>
        <v>455625</v>
      </c>
      <c r="C12647" s="19" t="s">
        <v>12432</v>
      </c>
      <c r="D12647" s="19" t="s">
        <v>28048</v>
      </c>
      <c r="E12647" s="19" t="s">
        <v>32762</v>
      </c>
      <c r="F12647" s="19" t="s">
        <v>36018</v>
      </c>
      <c r="G12647" s="18" t="str">
        <f>"78521"</f>
        <v>78521</v>
      </c>
      <c r="H12647" s="19" t="s">
        <v>33578</v>
      </c>
      <c r="I12647" s="20">
        <v>17.178999999999998</v>
      </c>
      <c r="J12647" s="44" t="s">
        <v>8</v>
      </c>
      <c r="K12647" s="23" t="s">
        <v>8</v>
      </c>
      <c r="L12647" s="23" t="s">
        <v>8</v>
      </c>
      <c r="M12647" s="23" t="s">
        <v>8</v>
      </c>
    </row>
    <row r="12648" spans="1:13" s="21" customFormat="1" x14ac:dyDescent="0.25">
      <c r="A12648" s="22" t="s">
        <v>8</v>
      </c>
      <c r="B12648" s="18" t="str">
        <f>"455626"</f>
        <v>455626</v>
      </c>
      <c r="C12648" s="19" t="s">
        <v>12433</v>
      </c>
      <c r="D12648" s="19" t="s">
        <v>28049</v>
      </c>
      <c r="E12648" s="19" t="s">
        <v>35272</v>
      </c>
      <c r="F12648" s="19" t="s">
        <v>36018</v>
      </c>
      <c r="G12648" s="18" t="str">
        <f>"76054"</f>
        <v>76054</v>
      </c>
      <c r="H12648" s="19" t="s">
        <v>36806</v>
      </c>
      <c r="I12648" s="20">
        <v>23.684999999999999</v>
      </c>
      <c r="J12648" s="44" t="s">
        <v>8</v>
      </c>
      <c r="K12648" s="23" t="s">
        <v>8</v>
      </c>
      <c r="L12648" s="23" t="s">
        <v>8</v>
      </c>
      <c r="M12648" s="23" t="s">
        <v>8</v>
      </c>
    </row>
    <row r="12649" spans="1:13" s="21" customFormat="1" x14ac:dyDescent="0.25">
      <c r="A12649" s="22" t="s">
        <v>8</v>
      </c>
      <c r="B12649" s="18" t="str">
        <f>"455627"</f>
        <v>455627</v>
      </c>
      <c r="C12649" s="19" t="s">
        <v>12434</v>
      </c>
      <c r="D12649" s="19" t="s">
        <v>28050</v>
      </c>
      <c r="E12649" s="19" t="s">
        <v>32938</v>
      </c>
      <c r="F12649" s="19" t="s">
        <v>36018</v>
      </c>
      <c r="G12649" s="18" t="str">
        <f>"76201"</f>
        <v>76201</v>
      </c>
      <c r="H12649" s="19" t="s">
        <v>32938</v>
      </c>
      <c r="I12649" s="20">
        <v>17.911999999999999</v>
      </c>
      <c r="J12649" s="44" t="s">
        <v>8</v>
      </c>
      <c r="K12649" s="23" t="s">
        <v>8</v>
      </c>
      <c r="L12649" s="23" t="s">
        <v>8</v>
      </c>
      <c r="M12649" s="23" t="s">
        <v>8</v>
      </c>
    </row>
    <row r="12650" spans="1:13" s="21" customFormat="1" x14ac:dyDescent="0.25">
      <c r="A12650" s="22" t="s">
        <v>8</v>
      </c>
      <c r="B12650" s="18" t="str">
        <f>"455628"</f>
        <v>455628</v>
      </c>
      <c r="C12650" s="19" t="s">
        <v>12435</v>
      </c>
      <c r="D12650" s="19" t="s">
        <v>28051</v>
      </c>
      <c r="E12650" s="19" t="s">
        <v>35273</v>
      </c>
      <c r="F12650" s="19" t="s">
        <v>36018</v>
      </c>
      <c r="G12650" s="18" t="str">
        <f>"78028"</f>
        <v>78028</v>
      </c>
      <c r="H12650" s="19" t="s">
        <v>36819</v>
      </c>
      <c r="I12650" s="20">
        <v>17.033999999999999</v>
      </c>
      <c r="J12650" s="44" t="s">
        <v>8</v>
      </c>
      <c r="K12650" s="23" t="s">
        <v>8</v>
      </c>
      <c r="L12650" s="23" t="s">
        <v>8</v>
      </c>
      <c r="M12650" s="23" t="s">
        <v>8</v>
      </c>
    </row>
    <row r="12651" spans="1:13" s="21" customFormat="1" x14ac:dyDescent="0.25">
      <c r="A12651" s="22" t="s">
        <v>8</v>
      </c>
      <c r="B12651" s="18" t="str">
        <f>"455631"</f>
        <v>455631</v>
      </c>
      <c r="C12651" s="19" t="s">
        <v>12436</v>
      </c>
      <c r="D12651" s="19" t="s">
        <v>28052</v>
      </c>
      <c r="E12651" s="19" t="s">
        <v>35274</v>
      </c>
      <c r="F12651" s="19" t="s">
        <v>36018</v>
      </c>
      <c r="G12651" s="18" t="str">
        <f>"76031"</f>
        <v>76031</v>
      </c>
      <c r="H12651" s="19" t="s">
        <v>36072</v>
      </c>
      <c r="I12651" s="20">
        <v>18.718</v>
      </c>
      <c r="J12651" s="44" t="s">
        <v>8</v>
      </c>
      <c r="K12651" s="23" t="s">
        <v>8</v>
      </c>
      <c r="L12651" s="23" t="s">
        <v>8</v>
      </c>
      <c r="M12651" s="23" t="s">
        <v>8</v>
      </c>
    </row>
    <row r="12652" spans="1:13" s="21" customFormat="1" x14ac:dyDescent="0.25">
      <c r="A12652" s="22" t="s">
        <v>8</v>
      </c>
      <c r="B12652" s="18" t="str">
        <f>"455637"</f>
        <v>455637</v>
      </c>
      <c r="C12652" s="19" t="s">
        <v>9370</v>
      </c>
      <c r="D12652" s="19" t="s">
        <v>28053</v>
      </c>
      <c r="E12652" s="19" t="s">
        <v>34717</v>
      </c>
      <c r="F12652" s="19" t="s">
        <v>36018</v>
      </c>
      <c r="G12652" s="18" t="str">
        <f>"76504"</f>
        <v>76504</v>
      </c>
      <c r="H12652" s="19" t="s">
        <v>31306</v>
      </c>
      <c r="I12652" s="20">
        <v>20.524000000000001</v>
      </c>
      <c r="J12652" s="44" t="s">
        <v>8</v>
      </c>
      <c r="K12652" s="23" t="s">
        <v>8</v>
      </c>
      <c r="L12652" s="23" t="s">
        <v>8</v>
      </c>
      <c r="M12652" s="23" t="s">
        <v>8</v>
      </c>
    </row>
    <row r="12653" spans="1:13" s="21" customFormat="1" x14ac:dyDescent="0.25">
      <c r="A12653" s="22" t="s">
        <v>8</v>
      </c>
      <c r="B12653" s="18" t="str">
        <f>"455638"</f>
        <v>455638</v>
      </c>
      <c r="C12653" s="19" t="s">
        <v>12437</v>
      </c>
      <c r="D12653" s="19" t="s">
        <v>28054</v>
      </c>
      <c r="E12653" s="19" t="s">
        <v>35250</v>
      </c>
      <c r="F12653" s="19" t="s">
        <v>36018</v>
      </c>
      <c r="G12653" s="18" t="str">
        <f>"76710"</f>
        <v>76710</v>
      </c>
      <c r="H12653" s="19" t="s">
        <v>36809</v>
      </c>
      <c r="I12653" s="20">
        <v>19.033000000000001</v>
      </c>
      <c r="J12653" s="44" t="s">
        <v>8</v>
      </c>
      <c r="K12653" s="23" t="s">
        <v>8</v>
      </c>
      <c r="L12653" s="23" t="s">
        <v>8</v>
      </c>
      <c r="M12653" s="23" t="s">
        <v>8</v>
      </c>
    </row>
    <row r="12654" spans="1:13" s="21" customFormat="1" x14ac:dyDescent="0.25">
      <c r="A12654" s="22" t="s">
        <v>8</v>
      </c>
      <c r="B12654" s="18" t="str">
        <f>"455641"</f>
        <v>455641</v>
      </c>
      <c r="C12654" s="19" t="s">
        <v>12438</v>
      </c>
      <c r="D12654" s="19" t="s">
        <v>28055</v>
      </c>
      <c r="E12654" s="19" t="s">
        <v>35275</v>
      </c>
      <c r="F12654" s="19" t="s">
        <v>36018</v>
      </c>
      <c r="G12654" s="18" t="str">
        <f>"79019"</f>
        <v>79019</v>
      </c>
      <c r="H12654" s="19" t="s">
        <v>32452</v>
      </c>
      <c r="I12654" s="20">
        <v>18.510000000000002</v>
      </c>
      <c r="J12654" s="44" t="s">
        <v>8</v>
      </c>
      <c r="K12654" s="23" t="s">
        <v>8</v>
      </c>
      <c r="L12654" s="23" t="s">
        <v>8</v>
      </c>
      <c r="M12654" s="23" t="s">
        <v>8</v>
      </c>
    </row>
    <row r="12655" spans="1:13" s="21" customFormat="1" x14ac:dyDescent="0.25">
      <c r="A12655" s="22" t="s">
        <v>8</v>
      </c>
      <c r="B12655" s="18" t="str">
        <f>"455642"</f>
        <v>455642</v>
      </c>
      <c r="C12655" s="19" t="s">
        <v>12439</v>
      </c>
      <c r="D12655" s="19" t="s">
        <v>28056</v>
      </c>
      <c r="E12655" s="19" t="s">
        <v>32369</v>
      </c>
      <c r="F12655" s="19" t="s">
        <v>36018</v>
      </c>
      <c r="G12655" s="18" t="str">
        <f>"77535"</f>
        <v>77535</v>
      </c>
      <c r="H12655" s="19" t="s">
        <v>32284</v>
      </c>
      <c r="I12655" s="20">
        <v>20.149999999999999</v>
      </c>
      <c r="J12655" s="44" t="s">
        <v>8</v>
      </c>
      <c r="K12655" s="23" t="s">
        <v>8</v>
      </c>
      <c r="L12655" s="23" t="s">
        <v>8</v>
      </c>
      <c r="M12655" s="23" t="s">
        <v>8</v>
      </c>
    </row>
    <row r="12656" spans="1:13" s="21" customFormat="1" x14ac:dyDescent="0.25">
      <c r="A12656" s="22" t="s">
        <v>8</v>
      </c>
      <c r="B12656" s="18" t="str">
        <f>"455643"</f>
        <v>455643</v>
      </c>
      <c r="C12656" s="19" t="s">
        <v>12440</v>
      </c>
      <c r="D12656" s="19" t="s">
        <v>28057</v>
      </c>
      <c r="E12656" s="19" t="s">
        <v>33247</v>
      </c>
      <c r="F12656" s="19" t="s">
        <v>36018</v>
      </c>
      <c r="G12656" s="18" t="str">
        <f>"77414"</f>
        <v>77414</v>
      </c>
      <c r="H12656" s="19" t="s">
        <v>36816</v>
      </c>
      <c r="I12656" s="20">
        <v>17.734000000000002</v>
      </c>
      <c r="J12656" s="44" t="s">
        <v>8</v>
      </c>
      <c r="K12656" s="23" t="s">
        <v>8</v>
      </c>
      <c r="L12656" s="23" t="s">
        <v>8</v>
      </c>
      <c r="M12656" s="23" t="s">
        <v>8</v>
      </c>
    </row>
    <row r="12657" spans="1:13" s="21" customFormat="1" x14ac:dyDescent="0.25">
      <c r="A12657" s="22" t="s">
        <v>8</v>
      </c>
      <c r="B12657" s="18" t="str">
        <f>"455646"</f>
        <v>455646</v>
      </c>
      <c r="C12657" s="19" t="s">
        <v>12441</v>
      </c>
      <c r="D12657" s="19" t="s">
        <v>28058</v>
      </c>
      <c r="E12657" s="19" t="s">
        <v>31063</v>
      </c>
      <c r="F12657" s="19" t="s">
        <v>36018</v>
      </c>
      <c r="G12657" s="18" t="str">
        <f>"75670"</f>
        <v>75670</v>
      </c>
      <c r="H12657" s="19" t="s">
        <v>31020</v>
      </c>
      <c r="I12657" s="20">
        <v>18.273</v>
      </c>
      <c r="J12657" s="44" t="s">
        <v>8</v>
      </c>
      <c r="K12657" s="23" t="s">
        <v>8</v>
      </c>
      <c r="L12657" s="23" t="s">
        <v>8</v>
      </c>
      <c r="M12657" s="23" t="s">
        <v>8</v>
      </c>
    </row>
    <row r="12658" spans="1:13" s="21" customFormat="1" x14ac:dyDescent="0.25">
      <c r="A12658" s="22" t="s">
        <v>8</v>
      </c>
      <c r="B12658" s="18" t="str">
        <f>"455651"</f>
        <v>455651</v>
      </c>
      <c r="C12658" s="19" t="s">
        <v>12442</v>
      </c>
      <c r="D12658" s="19" t="s">
        <v>28059</v>
      </c>
      <c r="E12658" s="19" t="s">
        <v>35245</v>
      </c>
      <c r="F12658" s="19" t="s">
        <v>36018</v>
      </c>
      <c r="G12658" s="18" t="str">
        <f>"76104"</f>
        <v>76104</v>
      </c>
      <c r="H12658" s="19" t="s">
        <v>36806</v>
      </c>
      <c r="I12658" s="20">
        <v>17.829999999999998</v>
      </c>
      <c r="J12658" s="44" t="s">
        <v>8</v>
      </c>
      <c r="K12658" s="23" t="s">
        <v>8</v>
      </c>
      <c r="L12658" s="23" t="s">
        <v>8</v>
      </c>
      <c r="M12658" s="23" t="s">
        <v>8</v>
      </c>
    </row>
    <row r="12659" spans="1:13" s="21" customFormat="1" x14ac:dyDescent="0.25">
      <c r="A12659" s="22" t="s">
        <v>8</v>
      </c>
      <c r="B12659" s="18" t="str">
        <f>"455652"</f>
        <v>455652</v>
      </c>
      <c r="C12659" s="19" t="s">
        <v>11635</v>
      </c>
      <c r="D12659" s="19" t="s">
        <v>28060</v>
      </c>
      <c r="E12659" s="19" t="s">
        <v>35244</v>
      </c>
      <c r="F12659" s="19" t="s">
        <v>36018</v>
      </c>
      <c r="G12659" s="18" t="str">
        <f>"78250"</f>
        <v>78250</v>
      </c>
      <c r="H12659" s="19" t="s">
        <v>36805</v>
      </c>
      <c r="I12659" s="20">
        <v>18.559000000000001</v>
      </c>
      <c r="J12659" s="44" t="s">
        <v>8</v>
      </c>
      <c r="K12659" s="23" t="s">
        <v>8</v>
      </c>
      <c r="L12659" s="23" t="s">
        <v>8</v>
      </c>
      <c r="M12659" s="23" t="s">
        <v>8</v>
      </c>
    </row>
    <row r="12660" spans="1:13" s="21" customFormat="1" x14ac:dyDescent="0.25">
      <c r="A12660" s="22" t="s">
        <v>8</v>
      </c>
      <c r="B12660" s="18" t="str">
        <f>"455653"</f>
        <v>455653</v>
      </c>
      <c r="C12660" s="19" t="s">
        <v>12443</v>
      </c>
      <c r="D12660" s="19" t="s">
        <v>28061</v>
      </c>
      <c r="E12660" s="19" t="s">
        <v>31723</v>
      </c>
      <c r="F12660" s="19" t="s">
        <v>36018</v>
      </c>
      <c r="G12660" s="18" t="str">
        <f>"75233"</f>
        <v>75233</v>
      </c>
      <c r="H12660" s="19" t="s">
        <v>31723</v>
      </c>
      <c r="I12660" s="20">
        <v>22.46</v>
      </c>
      <c r="J12660" s="44" t="s">
        <v>8</v>
      </c>
      <c r="K12660" s="23" t="s">
        <v>8</v>
      </c>
      <c r="L12660" s="23" t="s">
        <v>8</v>
      </c>
      <c r="M12660" s="23" t="s">
        <v>8</v>
      </c>
    </row>
    <row r="12661" spans="1:13" s="21" customFormat="1" x14ac:dyDescent="0.25">
      <c r="A12661" s="22" t="s">
        <v>8</v>
      </c>
      <c r="B12661" s="18" t="str">
        <f>"455662"</f>
        <v>455662</v>
      </c>
      <c r="C12661" s="19" t="s">
        <v>12444</v>
      </c>
      <c r="D12661" s="19" t="s">
        <v>28062</v>
      </c>
      <c r="E12661" s="19" t="s">
        <v>35261</v>
      </c>
      <c r="F12661" s="19" t="s">
        <v>36018</v>
      </c>
      <c r="G12661" s="18" t="str">
        <f>"78501"</f>
        <v>78501</v>
      </c>
      <c r="H12661" s="19" t="s">
        <v>36592</v>
      </c>
      <c r="I12661" s="20">
        <v>21.157</v>
      </c>
      <c r="J12661" s="44" t="s">
        <v>8</v>
      </c>
      <c r="K12661" s="23" t="s">
        <v>8</v>
      </c>
      <c r="L12661" s="23" t="s">
        <v>8</v>
      </c>
      <c r="M12661" s="23" t="s">
        <v>8</v>
      </c>
    </row>
    <row r="12662" spans="1:13" s="21" customFormat="1" x14ac:dyDescent="0.25">
      <c r="A12662" s="22" t="s">
        <v>8</v>
      </c>
      <c r="B12662" s="18" t="str">
        <f>"455664"</f>
        <v>455664</v>
      </c>
      <c r="C12662" s="19" t="s">
        <v>12445</v>
      </c>
      <c r="D12662" s="19" t="s">
        <v>28063</v>
      </c>
      <c r="E12662" s="19" t="s">
        <v>35263</v>
      </c>
      <c r="F12662" s="19" t="s">
        <v>36018</v>
      </c>
      <c r="G12662" s="18" t="str">
        <f>"75605"</f>
        <v>75605</v>
      </c>
      <c r="H12662" s="19" t="s">
        <v>36814</v>
      </c>
      <c r="I12662" s="20">
        <v>18.218</v>
      </c>
      <c r="J12662" s="44" t="s">
        <v>8</v>
      </c>
      <c r="K12662" s="23" t="s">
        <v>8</v>
      </c>
      <c r="L12662" s="23" t="s">
        <v>8</v>
      </c>
      <c r="M12662" s="23" t="s">
        <v>8</v>
      </c>
    </row>
    <row r="12663" spans="1:13" s="21" customFormat="1" x14ac:dyDescent="0.25">
      <c r="A12663" s="22" t="s">
        <v>8</v>
      </c>
      <c r="B12663" s="18" t="str">
        <f>"455670"</f>
        <v>455670</v>
      </c>
      <c r="C12663" s="19" t="s">
        <v>12446</v>
      </c>
      <c r="D12663" s="19" t="s">
        <v>28064</v>
      </c>
      <c r="E12663" s="19" t="s">
        <v>35250</v>
      </c>
      <c r="F12663" s="19" t="s">
        <v>36018</v>
      </c>
      <c r="G12663" s="18" t="str">
        <f>"76712"</f>
        <v>76712</v>
      </c>
      <c r="H12663" s="19" t="s">
        <v>36809</v>
      </c>
      <c r="I12663" s="20">
        <v>19.419</v>
      </c>
      <c r="J12663" s="44" t="s">
        <v>8</v>
      </c>
      <c r="K12663" s="23" t="s">
        <v>8</v>
      </c>
      <c r="L12663" s="23" t="s">
        <v>8</v>
      </c>
      <c r="M12663" s="23" t="s">
        <v>8</v>
      </c>
    </row>
    <row r="12664" spans="1:13" s="21" customFormat="1" x14ac:dyDescent="0.25">
      <c r="A12664" s="22" t="s">
        <v>8</v>
      </c>
      <c r="B12664" s="18" t="str">
        <f>"455672"</f>
        <v>455672</v>
      </c>
      <c r="C12664" s="19" t="s">
        <v>12447</v>
      </c>
      <c r="D12664" s="19" t="s">
        <v>28065</v>
      </c>
      <c r="E12664" s="19" t="s">
        <v>35276</v>
      </c>
      <c r="F12664" s="19" t="s">
        <v>36018</v>
      </c>
      <c r="G12664" s="18" t="str">
        <f>"78550"</f>
        <v>78550</v>
      </c>
      <c r="H12664" s="19" t="s">
        <v>33578</v>
      </c>
      <c r="I12664" s="20">
        <v>18.670000000000002</v>
      </c>
      <c r="J12664" s="44" t="s">
        <v>8</v>
      </c>
      <c r="K12664" s="23" t="s">
        <v>8</v>
      </c>
      <c r="L12664" s="23" t="s">
        <v>8</v>
      </c>
      <c r="M12664" s="23" t="s">
        <v>8</v>
      </c>
    </row>
    <row r="12665" spans="1:13" s="21" customFormat="1" x14ac:dyDescent="0.25">
      <c r="A12665" s="22" t="s">
        <v>8</v>
      </c>
      <c r="B12665" s="18" t="str">
        <f>"455673"</f>
        <v>455673</v>
      </c>
      <c r="C12665" s="19" t="s">
        <v>12448</v>
      </c>
      <c r="D12665" s="19" t="s">
        <v>28066</v>
      </c>
      <c r="E12665" s="19" t="s">
        <v>35277</v>
      </c>
      <c r="F12665" s="19" t="s">
        <v>36018</v>
      </c>
      <c r="G12665" s="18" t="str">
        <f>"75904"</f>
        <v>75904</v>
      </c>
      <c r="H12665" s="19" t="s">
        <v>36820</v>
      </c>
      <c r="I12665" s="20">
        <v>18.027000000000001</v>
      </c>
      <c r="J12665" s="44" t="s">
        <v>8</v>
      </c>
      <c r="K12665" s="23" t="s">
        <v>8</v>
      </c>
      <c r="L12665" s="23" t="s">
        <v>8</v>
      </c>
      <c r="M12665" s="23" t="s">
        <v>8</v>
      </c>
    </row>
    <row r="12666" spans="1:13" s="21" customFormat="1" x14ac:dyDescent="0.25">
      <c r="A12666" s="22" t="s">
        <v>8</v>
      </c>
      <c r="B12666" s="18" t="str">
        <f>"455674"</f>
        <v>455674</v>
      </c>
      <c r="C12666" s="19" t="s">
        <v>12449</v>
      </c>
      <c r="D12666" s="19" t="s">
        <v>28067</v>
      </c>
      <c r="E12666" s="19" t="s">
        <v>35245</v>
      </c>
      <c r="F12666" s="19" t="s">
        <v>36018</v>
      </c>
      <c r="G12666" s="18" t="str">
        <f>"76104"</f>
        <v>76104</v>
      </c>
      <c r="H12666" s="19" t="s">
        <v>36806</v>
      </c>
      <c r="I12666" s="20">
        <v>17.692</v>
      </c>
      <c r="J12666" s="44" t="s">
        <v>8</v>
      </c>
      <c r="K12666" s="23" t="s">
        <v>8</v>
      </c>
      <c r="L12666" s="23" t="s">
        <v>8</v>
      </c>
      <c r="M12666" s="23" t="s">
        <v>8</v>
      </c>
    </row>
    <row r="12667" spans="1:13" s="21" customFormat="1" x14ac:dyDescent="0.25">
      <c r="A12667" s="22" t="s">
        <v>8</v>
      </c>
      <c r="B12667" s="18" t="str">
        <f>"455675"</f>
        <v>455675</v>
      </c>
      <c r="C12667" s="19" t="s">
        <v>12450</v>
      </c>
      <c r="D12667" s="19" t="s">
        <v>28068</v>
      </c>
      <c r="E12667" s="19" t="s">
        <v>35247</v>
      </c>
      <c r="F12667" s="19" t="s">
        <v>36018</v>
      </c>
      <c r="G12667" s="18" t="str">
        <f>"79124"</f>
        <v>79124</v>
      </c>
      <c r="H12667" s="19" t="s">
        <v>36736</v>
      </c>
      <c r="I12667" s="20">
        <v>19.268999999999998</v>
      </c>
      <c r="J12667" s="44" t="s">
        <v>8</v>
      </c>
      <c r="K12667" s="23" t="s">
        <v>8</v>
      </c>
      <c r="L12667" s="23" t="s">
        <v>8</v>
      </c>
      <c r="M12667" s="23" t="s">
        <v>8</v>
      </c>
    </row>
    <row r="12668" spans="1:13" s="21" customFormat="1" x14ac:dyDescent="0.25">
      <c r="A12668" s="22" t="s">
        <v>8</v>
      </c>
      <c r="B12668" s="18" t="str">
        <f>"455676"</f>
        <v>455676</v>
      </c>
      <c r="C12668" s="19" t="s">
        <v>966</v>
      </c>
      <c r="D12668" s="19" t="s">
        <v>28069</v>
      </c>
      <c r="E12668" s="19" t="s">
        <v>35258</v>
      </c>
      <c r="F12668" s="19" t="s">
        <v>36018</v>
      </c>
      <c r="G12668" s="18" t="str">
        <f>"78861"</f>
        <v>78861</v>
      </c>
      <c r="H12668" s="19" t="s">
        <v>34102</v>
      </c>
      <c r="I12668" s="20">
        <v>17.678000000000001</v>
      </c>
      <c r="J12668" s="44" t="s">
        <v>8</v>
      </c>
      <c r="K12668" s="23" t="s">
        <v>8</v>
      </c>
      <c r="L12668" s="23" t="s">
        <v>8</v>
      </c>
      <c r="M12668" s="23" t="s">
        <v>8</v>
      </c>
    </row>
    <row r="12669" spans="1:13" s="21" customFormat="1" x14ac:dyDescent="0.25">
      <c r="A12669" s="22" t="s">
        <v>8</v>
      </c>
      <c r="B12669" s="18" t="str">
        <f>"455678"</f>
        <v>455678</v>
      </c>
      <c r="C12669" s="19" t="s">
        <v>12451</v>
      </c>
      <c r="D12669" s="19" t="s">
        <v>28070</v>
      </c>
      <c r="E12669" s="19" t="s">
        <v>35263</v>
      </c>
      <c r="F12669" s="19" t="s">
        <v>36018</v>
      </c>
      <c r="G12669" s="18" t="str">
        <f>"75605"</f>
        <v>75605</v>
      </c>
      <c r="H12669" s="19" t="s">
        <v>36814</v>
      </c>
      <c r="I12669" s="20">
        <v>18.863</v>
      </c>
      <c r="J12669" s="44" t="s">
        <v>8</v>
      </c>
      <c r="K12669" s="23" t="s">
        <v>8</v>
      </c>
      <c r="L12669" s="23" t="s">
        <v>8</v>
      </c>
      <c r="M12669" s="23" t="s">
        <v>8</v>
      </c>
    </row>
    <row r="12670" spans="1:13" s="21" customFormat="1" x14ac:dyDescent="0.25">
      <c r="A12670" s="22" t="s">
        <v>8</v>
      </c>
      <c r="B12670" s="18" t="str">
        <f>"455682"</f>
        <v>455682</v>
      </c>
      <c r="C12670" s="19" t="s">
        <v>12452</v>
      </c>
      <c r="D12670" s="19" t="s">
        <v>28071</v>
      </c>
      <c r="E12670" s="19" t="s">
        <v>33493</v>
      </c>
      <c r="F12670" s="19" t="s">
        <v>36018</v>
      </c>
      <c r="G12670" s="18" t="str">
        <f>"77087"</f>
        <v>77087</v>
      </c>
      <c r="H12670" s="19" t="s">
        <v>34183</v>
      </c>
      <c r="I12670" s="20">
        <v>20.102</v>
      </c>
      <c r="J12670" s="44" t="s">
        <v>8</v>
      </c>
      <c r="K12670" s="23" t="s">
        <v>8</v>
      </c>
      <c r="L12670" s="23" t="s">
        <v>8</v>
      </c>
      <c r="M12670" s="23" t="s">
        <v>8</v>
      </c>
    </row>
    <row r="12671" spans="1:13" s="21" customFormat="1" x14ac:dyDescent="0.25">
      <c r="A12671" s="22" t="s">
        <v>8</v>
      </c>
      <c r="B12671" s="18" t="str">
        <f>"455683"</f>
        <v>455683</v>
      </c>
      <c r="C12671" s="19" t="s">
        <v>12453</v>
      </c>
      <c r="D12671" s="19" t="s">
        <v>28072</v>
      </c>
      <c r="E12671" s="19" t="s">
        <v>32593</v>
      </c>
      <c r="F12671" s="19" t="s">
        <v>36018</v>
      </c>
      <c r="G12671" s="18" t="str">
        <f>"79601"</f>
        <v>79601</v>
      </c>
      <c r="H12671" s="19" t="s">
        <v>31080</v>
      </c>
      <c r="I12671" s="20">
        <v>17.238</v>
      </c>
      <c r="J12671" s="44" t="s">
        <v>8</v>
      </c>
      <c r="K12671" s="23" t="s">
        <v>8</v>
      </c>
      <c r="L12671" s="23" t="s">
        <v>8</v>
      </c>
      <c r="M12671" s="23" t="s">
        <v>8</v>
      </c>
    </row>
    <row r="12672" spans="1:13" s="21" customFormat="1" x14ac:dyDescent="0.25">
      <c r="A12672" s="22" t="s">
        <v>8</v>
      </c>
      <c r="B12672" s="18" t="str">
        <f>"455684"</f>
        <v>455684</v>
      </c>
      <c r="C12672" s="19" t="s">
        <v>12454</v>
      </c>
      <c r="D12672" s="19" t="s">
        <v>28073</v>
      </c>
      <c r="E12672" s="19" t="s">
        <v>35263</v>
      </c>
      <c r="F12672" s="19" t="s">
        <v>36018</v>
      </c>
      <c r="G12672" s="18" t="str">
        <f>"75605"</f>
        <v>75605</v>
      </c>
      <c r="H12672" s="19" t="s">
        <v>36814</v>
      </c>
      <c r="I12672" s="20">
        <v>18.338999999999999</v>
      </c>
      <c r="J12672" s="44" t="s">
        <v>8</v>
      </c>
      <c r="K12672" s="23" t="s">
        <v>8</v>
      </c>
      <c r="L12672" s="23" t="s">
        <v>8</v>
      </c>
      <c r="M12672" s="23" t="s">
        <v>8</v>
      </c>
    </row>
    <row r="12673" spans="1:13" s="21" customFormat="1" x14ac:dyDescent="0.25">
      <c r="A12673" s="22" t="s">
        <v>8</v>
      </c>
      <c r="B12673" s="18" t="str">
        <f>"455685"</f>
        <v>455685</v>
      </c>
      <c r="C12673" s="19" t="s">
        <v>12455</v>
      </c>
      <c r="D12673" s="19" t="s">
        <v>28074</v>
      </c>
      <c r="E12673" s="19" t="s">
        <v>32938</v>
      </c>
      <c r="F12673" s="19" t="s">
        <v>36018</v>
      </c>
      <c r="G12673" s="18" t="str">
        <f>"76210"</f>
        <v>76210</v>
      </c>
      <c r="H12673" s="19" t="s">
        <v>32938</v>
      </c>
      <c r="I12673" s="20">
        <v>20.446000000000002</v>
      </c>
      <c r="J12673" s="44" t="s">
        <v>8</v>
      </c>
      <c r="K12673" s="23" t="s">
        <v>8</v>
      </c>
      <c r="L12673" s="23" t="s">
        <v>8</v>
      </c>
      <c r="M12673" s="23" t="s">
        <v>8</v>
      </c>
    </row>
    <row r="12674" spans="1:13" s="21" customFormat="1" x14ac:dyDescent="0.25">
      <c r="A12674" s="22" t="s">
        <v>8</v>
      </c>
      <c r="B12674" s="18" t="str">
        <f>"455687"</f>
        <v>455687</v>
      </c>
      <c r="C12674" s="19" t="s">
        <v>12456</v>
      </c>
      <c r="D12674" s="19" t="s">
        <v>28075</v>
      </c>
      <c r="E12674" s="19" t="s">
        <v>35243</v>
      </c>
      <c r="F12674" s="19" t="s">
        <v>36018</v>
      </c>
      <c r="G12674" s="18" t="str">
        <f>"78404"</f>
        <v>78404</v>
      </c>
      <c r="H12674" s="19" t="s">
        <v>36804</v>
      </c>
      <c r="I12674" s="20">
        <v>18.562000000000001</v>
      </c>
      <c r="J12674" s="44" t="s">
        <v>8</v>
      </c>
      <c r="K12674" s="23" t="s">
        <v>8</v>
      </c>
      <c r="L12674" s="23" t="s">
        <v>8</v>
      </c>
      <c r="M12674" s="23" t="s">
        <v>8</v>
      </c>
    </row>
    <row r="12675" spans="1:13" s="21" customFormat="1" x14ac:dyDescent="0.25">
      <c r="A12675" s="22" t="s">
        <v>8</v>
      </c>
      <c r="B12675" s="18" t="str">
        <f>"455689"</f>
        <v>455689</v>
      </c>
      <c r="C12675" s="19" t="s">
        <v>12457</v>
      </c>
      <c r="D12675" s="19" t="s">
        <v>28076</v>
      </c>
      <c r="E12675" s="19" t="s">
        <v>35244</v>
      </c>
      <c r="F12675" s="19" t="s">
        <v>36018</v>
      </c>
      <c r="G12675" s="18" t="str">
        <f>"78212"</f>
        <v>78212</v>
      </c>
      <c r="H12675" s="19" t="s">
        <v>36805</v>
      </c>
      <c r="I12675" s="20">
        <v>16.890999999999998</v>
      </c>
      <c r="J12675" s="44" t="s">
        <v>8</v>
      </c>
      <c r="K12675" s="23" t="s">
        <v>8</v>
      </c>
      <c r="L12675" s="23" t="s">
        <v>8</v>
      </c>
      <c r="M12675" s="23" t="s">
        <v>8</v>
      </c>
    </row>
    <row r="12676" spans="1:13" s="21" customFormat="1" x14ac:dyDescent="0.25">
      <c r="A12676" s="22" t="s">
        <v>8</v>
      </c>
      <c r="B12676" s="18" t="str">
        <f>"455690"</f>
        <v>455690</v>
      </c>
      <c r="C12676" s="19" t="s">
        <v>12458</v>
      </c>
      <c r="D12676" s="19" t="s">
        <v>28077</v>
      </c>
      <c r="E12676" s="19" t="s">
        <v>33664</v>
      </c>
      <c r="F12676" s="19" t="s">
        <v>36018</v>
      </c>
      <c r="G12676" s="18" t="str">
        <f>"79765"</f>
        <v>79765</v>
      </c>
      <c r="H12676" s="19" t="s">
        <v>36821</v>
      </c>
      <c r="I12676" s="20">
        <v>18.748000000000001</v>
      </c>
      <c r="J12676" s="44" t="s">
        <v>8</v>
      </c>
      <c r="K12676" s="23" t="s">
        <v>8</v>
      </c>
      <c r="L12676" s="23" t="s">
        <v>8</v>
      </c>
      <c r="M12676" s="23" t="s">
        <v>8</v>
      </c>
    </row>
    <row r="12677" spans="1:13" s="21" customFormat="1" x14ac:dyDescent="0.25">
      <c r="A12677" s="22" t="s">
        <v>8</v>
      </c>
      <c r="B12677" s="18" t="str">
        <f>"455691"</f>
        <v>455691</v>
      </c>
      <c r="C12677" s="19" t="s">
        <v>12459</v>
      </c>
      <c r="D12677" s="19" t="s">
        <v>28078</v>
      </c>
      <c r="E12677" s="19" t="s">
        <v>35241</v>
      </c>
      <c r="F12677" s="19" t="s">
        <v>36018</v>
      </c>
      <c r="G12677" s="18" t="str">
        <f>"76903"</f>
        <v>76903</v>
      </c>
      <c r="H12677" s="19" t="s">
        <v>36802</v>
      </c>
      <c r="I12677" s="20">
        <v>16.074999999999999</v>
      </c>
      <c r="J12677" s="44" t="s">
        <v>8</v>
      </c>
      <c r="K12677" s="23" t="s">
        <v>8</v>
      </c>
      <c r="L12677" s="23" t="s">
        <v>8</v>
      </c>
      <c r="M12677" s="23" t="s">
        <v>8</v>
      </c>
    </row>
    <row r="12678" spans="1:13" s="21" customFormat="1" x14ac:dyDescent="0.25">
      <c r="A12678" s="22" t="s">
        <v>8</v>
      </c>
      <c r="B12678" s="18" t="str">
        <f>"455697"</f>
        <v>455697</v>
      </c>
      <c r="C12678" s="19" t="s">
        <v>12460</v>
      </c>
      <c r="D12678" s="19" t="s">
        <v>28079</v>
      </c>
      <c r="E12678" s="19" t="s">
        <v>35243</v>
      </c>
      <c r="F12678" s="19" t="s">
        <v>36018</v>
      </c>
      <c r="G12678" s="18" t="str">
        <f>"78405"</f>
        <v>78405</v>
      </c>
      <c r="H12678" s="19" t="s">
        <v>36804</v>
      </c>
      <c r="I12678" s="20">
        <v>21.073</v>
      </c>
      <c r="J12678" s="44" t="s">
        <v>8</v>
      </c>
      <c r="K12678" s="23" t="s">
        <v>8</v>
      </c>
      <c r="L12678" s="23" t="s">
        <v>8</v>
      </c>
      <c r="M12678" s="23" t="s">
        <v>8</v>
      </c>
    </row>
    <row r="12679" spans="1:13" s="21" customFormat="1" x14ac:dyDescent="0.25">
      <c r="A12679" s="22" t="s">
        <v>8</v>
      </c>
      <c r="B12679" s="18" t="str">
        <f>"455699"</f>
        <v>455699</v>
      </c>
      <c r="C12679" s="19" t="s">
        <v>12461</v>
      </c>
      <c r="D12679" s="19" t="s">
        <v>28080</v>
      </c>
      <c r="E12679" s="19" t="s">
        <v>35278</v>
      </c>
      <c r="F12679" s="19" t="s">
        <v>36018</v>
      </c>
      <c r="G12679" s="18" t="str">
        <f>"77488"</f>
        <v>77488</v>
      </c>
      <c r="H12679" s="19" t="s">
        <v>35278</v>
      </c>
      <c r="I12679" s="20">
        <v>20.138000000000002</v>
      </c>
      <c r="J12679" s="44" t="s">
        <v>8</v>
      </c>
      <c r="K12679" s="23" t="s">
        <v>8</v>
      </c>
      <c r="L12679" s="23" t="s">
        <v>8</v>
      </c>
      <c r="M12679" s="23" t="s">
        <v>8</v>
      </c>
    </row>
    <row r="12680" spans="1:13" s="21" customFormat="1" x14ac:dyDescent="0.25">
      <c r="A12680" s="22" t="s">
        <v>8</v>
      </c>
      <c r="B12680" s="18" t="str">
        <f>"455700"</f>
        <v>455700</v>
      </c>
      <c r="C12680" s="19" t="s">
        <v>12462</v>
      </c>
      <c r="D12680" s="19" t="s">
        <v>28081</v>
      </c>
      <c r="E12680" s="19" t="s">
        <v>35279</v>
      </c>
      <c r="F12680" s="19" t="s">
        <v>36018</v>
      </c>
      <c r="G12680" s="18" t="str">
        <f>"75965"</f>
        <v>75965</v>
      </c>
      <c r="H12680" s="19" t="s">
        <v>35279</v>
      </c>
      <c r="I12680" s="20">
        <v>18.190000000000001</v>
      </c>
      <c r="J12680" s="44" t="s">
        <v>8</v>
      </c>
      <c r="K12680" s="23" t="s">
        <v>8</v>
      </c>
      <c r="L12680" s="23" t="s">
        <v>8</v>
      </c>
      <c r="M12680" s="23" t="s">
        <v>8</v>
      </c>
    </row>
    <row r="12681" spans="1:13" s="21" customFormat="1" x14ac:dyDescent="0.25">
      <c r="A12681" s="22" t="s">
        <v>8</v>
      </c>
      <c r="B12681" s="18" t="str">
        <f>"455702"</f>
        <v>455702</v>
      </c>
      <c r="C12681" s="19" t="s">
        <v>12463</v>
      </c>
      <c r="D12681" s="19" t="s">
        <v>28082</v>
      </c>
      <c r="E12681" s="19" t="s">
        <v>35280</v>
      </c>
      <c r="F12681" s="19" t="s">
        <v>36018</v>
      </c>
      <c r="G12681" s="18" t="str">
        <f>"78118"</f>
        <v>78118</v>
      </c>
      <c r="H12681" s="19" t="s">
        <v>36822</v>
      </c>
      <c r="I12681" s="20">
        <v>18.515000000000001</v>
      </c>
      <c r="J12681" s="44" t="s">
        <v>8</v>
      </c>
      <c r="K12681" s="23" t="s">
        <v>8</v>
      </c>
      <c r="L12681" s="23" t="s">
        <v>8</v>
      </c>
      <c r="M12681" s="23" t="s">
        <v>8</v>
      </c>
    </row>
    <row r="12682" spans="1:13" s="21" customFormat="1" x14ac:dyDescent="0.25">
      <c r="A12682" s="22" t="s">
        <v>8</v>
      </c>
      <c r="B12682" s="18" t="str">
        <f>"455703"</f>
        <v>455703</v>
      </c>
      <c r="C12682" s="19" t="s">
        <v>12464</v>
      </c>
      <c r="D12682" s="19" t="s">
        <v>28083</v>
      </c>
      <c r="E12682" s="19" t="s">
        <v>35281</v>
      </c>
      <c r="F12682" s="19" t="s">
        <v>36018</v>
      </c>
      <c r="G12682" s="18" t="str">
        <f>"77449"</f>
        <v>77449</v>
      </c>
      <c r="H12682" s="19" t="s">
        <v>34183</v>
      </c>
      <c r="I12682" s="20">
        <v>18.600000000000001</v>
      </c>
      <c r="J12682" s="44" t="s">
        <v>8</v>
      </c>
      <c r="K12682" s="23" t="s">
        <v>8</v>
      </c>
      <c r="L12682" s="23" t="s">
        <v>8</v>
      </c>
      <c r="M12682" s="23" t="s">
        <v>8</v>
      </c>
    </row>
    <row r="12683" spans="1:13" s="21" customFormat="1" x14ac:dyDescent="0.25">
      <c r="A12683" s="22" t="s">
        <v>8</v>
      </c>
      <c r="B12683" s="18" t="str">
        <f>"455705"</f>
        <v>455705</v>
      </c>
      <c r="C12683" s="19" t="s">
        <v>12465</v>
      </c>
      <c r="D12683" s="19" t="s">
        <v>28084</v>
      </c>
      <c r="E12683" s="19" t="s">
        <v>31965</v>
      </c>
      <c r="F12683" s="19" t="s">
        <v>36018</v>
      </c>
      <c r="G12683" s="18" t="str">
        <f>"79912"</f>
        <v>79912</v>
      </c>
      <c r="H12683" s="19" t="s">
        <v>31965</v>
      </c>
      <c r="I12683" s="20">
        <v>22.47</v>
      </c>
      <c r="J12683" s="44" t="s">
        <v>8</v>
      </c>
      <c r="K12683" s="23" t="s">
        <v>8</v>
      </c>
      <c r="L12683" s="23" t="s">
        <v>8</v>
      </c>
      <c r="M12683" s="23" t="s">
        <v>8</v>
      </c>
    </row>
    <row r="12684" spans="1:13" s="21" customFormat="1" x14ac:dyDescent="0.25">
      <c r="A12684" s="22" t="s">
        <v>8</v>
      </c>
      <c r="B12684" s="18" t="str">
        <f>"455709"</f>
        <v>455709</v>
      </c>
      <c r="C12684" s="19" t="s">
        <v>12466</v>
      </c>
      <c r="D12684" s="19" t="s">
        <v>28085</v>
      </c>
      <c r="E12684" s="19" t="s">
        <v>35282</v>
      </c>
      <c r="F12684" s="19" t="s">
        <v>36018</v>
      </c>
      <c r="G12684" s="18" t="str">
        <f>"78065"</f>
        <v>78065</v>
      </c>
      <c r="H12684" s="19" t="s">
        <v>36791</v>
      </c>
      <c r="I12684" s="20">
        <v>19.081</v>
      </c>
      <c r="J12684" s="44" t="s">
        <v>8</v>
      </c>
      <c r="K12684" s="23" t="s">
        <v>8</v>
      </c>
      <c r="L12684" s="23" t="s">
        <v>8</v>
      </c>
      <c r="M12684" s="23" t="s">
        <v>8</v>
      </c>
    </row>
    <row r="12685" spans="1:13" s="21" customFormat="1" x14ac:dyDescent="0.25">
      <c r="A12685" s="22" t="s">
        <v>8</v>
      </c>
      <c r="B12685" s="18" t="str">
        <f>"455712"</f>
        <v>455712</v>
      </c>
      <c r="C12685" s="19" t="s">
        <v>12467</v>
      </c>
      <c r="D12685" s="19" t="s">
        <v>28086</v>
      </c>
      <c r="E12685" s="19" t="s">
        <v>31747</v>
      </c>
      <c r="F12685" s="19" t="s">
        <v>36018</v>
      </c>
      <c r="G12685" s="18" t="str">
        <f>"76446"</f>
        <v>76446</v>
      </c>
      <c r="H12685" s="19" t="s">
        <v>36823</v>
      </c>
      <c r="I12685" s="20">
        <v>19.175999999999998</v>
      </c>
      <c r="J12685" s="44" t="s">
        <v>8</v>
      </c>
      <c r="K12685" s="23" t="s">
        <v>8</v>
      </c>
      <c r="L12685" s="23" t="s">
        <v>8</v>
      </c>
      <c r="M12685" s="23" t="s">
        <v>8</v>
      </c>
    </row>
    <row r="12686" spans="1:13" s="21" customFormat="1" x14ac:dyDescent="0.25">
      <c r="A12686" s="22" t="s">
        <v>8</v>
      </c>
      <c r="B12686" s="18" t="str">
        <f>"455713"</f>
        <v>455713</v>
      </c>
      <c r="C12686" s="19" t="s">
        <v>12468</v>
      </c>
      <c r="D12686" s="19" t="s">
        <v>28087</v>
      </c>
      <c r="E12686" s="19" t="s">
        <v>35244</v>
      </c>
      <c r="F12686" s="19" t="s">
        <v>36018</v>
      </c>
      <c r="G12686" s="18" t="str">
        <f>"78224"</f>
        <v>78224</v>
      </c>
      <c r="H12686" s="19" t="s">
        <v>36805</v>
      </c>
      <c r="I12686" s="20">
        <v>20.747</v>
      </c>
      <c r="J12686" s="44" t="s">
        <v>8</v>
      </c>
      <c r="K12686" s="23" t="s">
        <v>8</v>
      </c>
      <c r="L12686" s="23" t="s">
        <v>8</v>
      </c>
      <c r="M12686" s="23" t="s">
        <v>8</v>
      </c>
    </row>
    <row r="12687" spans="1:13" s="21" customFormat="1" x14ac:dyDescent="0.25">
      <c r="A12687" s="22" t="s">
        <v>8</v>
      </c>
      <c r="B12687" s="18" t="str">
        <f>"455714"</f>
        <v>455714</v>
      </c>
      <c r="C12687" s="19" t="s">
        <v>12469</v>
      </c>
      <c r="D12687" s="19" t="s">
        <v>28088</v>
      </c>
      <c r="E12687" s="19" t="s">
        <v>33493</v>
      </c>
      <c r="F12687" s="19" t="s">
        <v>36018</v>
      </c>
      <c r="G12687" s="18" t="str">
        <f>"77090"</f>
        <v>77090</v>
      </c>
      <c r="H12687" s="19" t="s">
        <v>34183</v>
      </c>
      <c r="I12687" s="20">
        <v>18.574999999999999</v>
      </c>
      <c r="J12687" s="44" t="s">
        <v>8</v>
      </c>
      <c r="K12687" s="23" t="s">
        <v>8</v>
      </c>
      <c r="L12687" s="23" t="s">
        <v>8</v>
      </c>
      <c r="M12687" s="23" t="s">
        <v>8</v>
      </c>
    </row>
    <row r="12688" spans="1:13" s="21" customFormat="1" x14ac:dyDescent="0.25">
      <c r="A12688" s="22" t="s">
        <v>8</v>
      </c>
      <c r="B12688" s="18" t="str">
        <f>"455715"</f>
        <v>455715</v>
      </c>
      <c r="C12688" s="19" t="s">
        <v>12470</v>
      </c>
      <c r="D12688" s="19" t="s">
        <v>28089</v>
      </c>
      <c r="E12688" s="19" t="s">
        <v>32087</v>
      </c>
      <c r="F12688" s="19" t="s">
        <v>36018</v>
      </c>
      <c r="G12688" s="18" t="str">
        <f>"78945"</f>
        <v>78945</v>
      </c>
      <c r="H12688" s="19" t="s">
        <v>30805</v>
      </c>
      <c r="I12688" s="20">
        <v>17.091999999999999</v>
      </c>
      <c r="J12688" s="44" t="s">
        <v>8</v>
      </c>
      <c r="K12688" s="23" t="s">
        <v>8</v>
      </c>
      <c r="L12688" s="23" t="s">
        <v>8</v>
      </c>
      <c r="M12688" s="23" t="s">
        <v>8</v>
      </c>
    </row>
    <row r="12689" spans="1:13" s="21" customFormat="1" x14ac:dyDescent="0.25">
      <c r="A12689" s="22" t="s">
        <v>8</v>
      </c>
      <c r="B12689" s="18" t="str">
        <f>"455718"</f>
        <v>455718</v>
      </c>
      <c r="C12689" s="19" t="s">
        <v>12471</v>
      </c>
      <c r="D12689" s="19" t="s">
        <v>28090</v>
      </c>
      <c r="E12689" s="19" t="s">
        <v>31965</v>
      </c>
      <c r="F12689" s="19" t="s">
        <v>36018</v>
      </c>
      <c r="G12689" s="18" t="str">
        <f>"79936"</f>
        <v>79936</v>
      </c>
      <c r="H12689" s="19" t="s">
        <v>31965</v>
      </c>
      <c r="I12689" s="20">
        <v>19.253</v>
      </c>
      <c r="J12689" s="44" t="s">
        <v>8</v>
      </c>
      <c r="K12689" s="23" t="s">
        <v>8</v>
      </c>
      <c r="L12689" s="23" t="s">
        <v>8</v>
      </c>
      <c r="M12689" s="23" t="s">
        <v>8</v>
      </c>
    </row>
    <row r="12690" spans="1:13" s="21" customFormat="1" x14ac:dyDescent="0.25">
      <c r="A12690" s="22" t="s">
        <v>8</v>
      </c>
      <c r="B12690" s="18" t="str">
        <f>"455724"</f>
        <v>455724</v>
      </c>
      <c r="C12690" s="19" t="s">
        <v>12472</v>
      </c>
      <c r="D12690" s="19" t="s">
        <v>28091</v>
      </c>
      <c r="E12690" s="19" t="s">
        <v>35273</v>
      </c>
      <c r="F12690" s="19" t="s">
        <v>36018</v>
      </c>
      <c r="G12690" s="18" t="str">
        <f>"78028"</f>
        <v>78028</v>
      </c>
      <c r="H12690" s="19" t="s">
        <v>36819</v>
      </c>
      <c r="I12690" s="20">
        <v>16.649999999999999</v>
      </c>
      <c r="J12690" s="44" t="s">
        <v>8</v>
      </c>
      <c r="K12690" s="23" t="s">
        <v>8</v>
      </c>
      <c r="L12690" s="23" t="s">
        <v>8</v>
      </c>
      <c r="M12690" s="23" t="s">
        <v>8</v>
      </c>
    </row>
    <row r="12691" spans="1:13" s="21" customFormat="1" x14ac:dyDescent="0.25">
      <c r="A12691" s="22" t="s">
        <v>8</v>
      </c>
      <c r="B12691" s="18" t="str">
        <f>"455725"</f>
        <v>455725</v>
      </c>
      <c r="C12691" s="19" t="s">
        <v>12473</v>
      </c>
      <c r="D12691" s="19" t="s">
        <v>28092</v>
      </c>
      <c r="E12691" s="19" t="s">
        <v>35283</v>
      </c>
      <c r="F12691" s="19" t="s">
        <v>36018</v>
      </c>
      <c r="G12691" s="18" t="str">
        <f>"77338"</f>
        <v>77338</v>
      </c>
      <c r="H12691" s="19" t="s">
        <v>34183</v>
      </c>
      <c r="I12691" s="20">
        <v>20.988</v>
      </c>
      <c r="J12691" s="44" t="s">
        <v>8</v>
      </c>
      <c r="K12691" s="23" t="s">
        <v>8</v>
      </c>
      <c r="L12691" s="23" t="s">
        <v>8</v>
      </c>
      <c r="M12691" s="23" t="s">
        <v>8</v>
      </c>
    </row>
    <row r="12692" spans="1:13" s="21" customFormat="1" x14ac:dyDescent="0.25">
      <c r="A12692" s="22" t="s">
        <v>8</v>
      </c>
      <c r="B12692" s="18" t="str">
        <f>"455726"</f>
        <v>455726</v>
      </c>
      <c r="C12692" s="19" t="s">
        <v>12474</v>
      </c>
      <c r="D12692" s="19" t="s">
        <v>28093</v>
      </c>
      <c r="E12692" s="19" t="s">
        <v>35284</v>
      </c>
      <c r="F12692" s="19" t="s">
        <v>36018</v>
      </c>
      <c r="G12692" s="18" t="str">
        <f>"77901"</f>
        <v>77901</v>
      </c>
      <c r="H12692" s="19" t="s">
        <v>35284</v>
      </c>
      <c r="I12692" s="20">
        <v>19.184999999999999</v>
      </c>
      <c r="J12692" s="44" t="s">
        <v>8</v>
      </c>
      <c r="K12692" s="23" t="s">
        <v>8</v>
      </c>
      <c r="L12692" s="23" t="s">
        <v>8</v>
      </c>
      <c r="M12692" s="23" t="s">
        <v>8</v>
      </c>
    </row>
    <row r="12693" spans="1:13" s="21" customFormat="1" x14ac:dyDescent="0.25">
      <c r="A12693" s="22" t="s">
        <v>8</v>
      </c>
      <c r="B12693" s="18" t="str">
        <f>"455727"</f>
        <v>455727</v>
      </c>
      <c r="C12693" s="19" t="s">
        <v>12475</v>
      </c>
      <c r="D12693" s="19" t="s">
        <v>28094</v>
      </c>
      <c r="E12693" s="19" t="s">
        <v>32653</v>
      </c>
      <c r="F12693" s="19" t="s">
        <v>36018</v>
      </c>
      <c r="G12693" s="18" t="str">
        <f>"75115"</f>
        <v>75115</v>
      </c>
      <c r="H12693" s="19" t="s">
        <v>31723</v>
      </c>
      <c r="I12693" s="20">
        <v>17.428999999999998</v>
      </c>
      <c r="J12693" s="44" t="s">
        <v>8</v>
      </c>
      <c r="K12693" s="23" t="s">
        <v>8</v>
      </c>
      <c r="L12693" s="23" t="s">
        <v>8</v>
      </c>
      <c r="M12693" s="23" t="s">
        <v>8</v>
      </c>
    </row>
    <row r="12694" spans="1:13" s="21" customFormat="1" x14ac:dyDescent="0.25">
      <c r="A12694" s="22" t="s">
        <v>8</v>
      </c>
      <c r="B12694" s="18" t="str">
        <f>"455728"</f>
        <v>455728</v>
      </c>
      <c r="C12694" s="19" t="s">
        <v>12476</v>
      </c>
      <c r="D12694" s="19" t="s">
        <v>28095</v>
      </c>
      <c r="E12694" s="19" t="s">
        <v>35285</v>
      </c>
      <c r="F12694" s="19" t="s">
        <v>36018</v>
      </c>
      <c r="G12694" s="18" t="str">
        <f>"78336"</f>
        <v>78336</v>
      </c>
      <c r="H12694" s="19" t="s">
        <v>36824</v>
      </c>
      <c r="I12694" s="20">
        <v>17.100000000000001</v>
      </c>
      <c r="J12694" s="44" t="s">
        <v>8</v>
      </c>
      <c r="K12694" s="23" t="s">
        <v>8</v>
      </c>
      <c r="L12694" s="23" t="s">
        <v>8</v>
      </c>
      <c r="M12694" s="23" t="s">
        <v>8</v>
      </c>
    </row>
    <row r="12695" spans="1:13" s="21" customFormat="1" x14ac:dyDescent="0.25">
      <c r="A12695" s="22" t="s">
        <v>8</v>
      </c>
      <c r="B12695" s="18" t="str">
        <f>"455731"</f>
        <v>455731</v>
      </c>
      <c r="C12695" s="19" t="s">
        <v>12477</v>
      </c>
      <c r="D12695" s="19" t="s">
        <v>28096</v>
      </c>
      <c r="E12695" s="19" t="s">
        <v>35286</v>
      </c>
      <c r="F12695" s="19" t="s">
        <v>36018</v>
      </c>
      <c r="G12695" s="18" t="str">
        <f>"75041"</f>
        <v>75041</v>
      </c>
      <c r="H12695" s="19" t="s">
        <v>31723</v>
      </c>
      <c r="I12695" s="20">
        <v>19.161999999999999</v>
      </c>
      <c r="J12695" s="44" t="s">
        <v>8</v>
      </c>
      <c r="K12695" s="23" t="s">
        <v>8</v>
      </c>
      <c r="L12695" s="23" t="s">
        <v>8</v>
      </c>
      <c r="M12695" s="23" t="s">
        <v>8</v>
      </c>
    </row>
    <row r="12696" spans="1:13" s="21" customFormat="1" x14ac:dyDescent="0.25">
      <c r="A12696" s="22" t="s">
        <v>8</v>
      </c>
      <c r="B12696" s="18" t="str">
        <f>"455732"</f>
        <v>455732</v>
      </c>
      <c r="C12696" s="19" t="s">
        <v>12478</v>
      </c>
      <c r="D12696" s="19" t="s">
        <v>28097</v>
      </c>
      <c r="E12696" s="19" t="s">
        <v>35240</v>
      </c>
      <c r="F12696" s="19" t="s">
        <v>36018</v>
      </c>
      <c r="G12696" s="18" t="str">
        <f>"78130"</f>
        <v>78130</v>
      </c>
      <c r="H12696" s="19" t="s">
        <v>36801</v>
      </c>
      <c r="I12696" s="20">
        <v>18.815999999999999</v>
      </c>
      <c r="J12696" s="44" t="s">
        <v>8</v>
      </c>
      <c r="K12696" s="23" t="s">
        <v>8</v>
      </c>
      <c r="L12696" s="23" t="s">
        <v>8</v>
      </c>
      <c r="M12696" s="23" t="s">
        <v>8</v>
      </c>
    </row>
    <row r="12697" spans="1:13" s="21" customFormat="1" x14ac:dyDescent="0.25">
      <c r="A12697" s="22" t="s">
        <v>8</v>
      </c>
      <c r="B12697" s="18" t="str">
        <f>"455733"</f>
        <v>455733</v>
      </c>
      <c r="C12697" s="19" t="s">
        <v>12479</v>
      </c>
      <c r="D12697" s="19" t="s">
        <v>28098</v>
      </c>
      <c r="E12697" s="19" t="s">
        <v>35287</v>
      </c>
      <c r="F12697" s="19" t="s">
        <v>36018</v>
      </c>
      <c r="G12697" s="18" t="str">
        <f>"75050"</f>
        <v>75050</v>
      </c>
      <c r="H12697" s="19" t="s">
        <v>31723</v>
      </c>
      <c r="I12697" s="20">
        <v>18.928000000000001</v>
      </c>
      <c r="J12697" s="44" t="s">
        <v>8</v>
      </c>
      <c r="K12697" s="23" t="s">
        <v>8</v>
      </c>
      <c r="L12697" s="23" t="s">
        <v>8</v>
      </c>
      <c r="M12697" s="23" t="s">
        <v>8</v>
      </c>
    </row>
    <row r="12698" spans="1:13" s="21" customFormat="1" x14ac:dyDescent="0.25">
      <c r="A12698" s="22" t="s">
        <v>8</v>
      </c>
      <c r="B12698" s="18" t="str">
        <f>"455736"</f>
        <v>455736</v>
      </c>
      <c r="C12698" s="19" t="s">
        <v>12480</v>
      </c>
      <c r="D12698" s="19" t="s">
        <v>28099</v>
      </c>
      <c r="E12698" s="19" t="s">
        <v>35288</v>
      </c>
      <c r="F12698" s="19" t="s">
        <v>36018</v>
      </c>
      <c r="G12698" s="18" t="str">
        <f>"77521"</f>
        <v>77521</v>
      </c>
      <c r="H12698" s="19" t="s">
        <v>34183</v>
      </c>
      <c r="I12698" s="20">
        <v>20.608000000000001</v>
      </c>
      <c r="J12698" s="44" t="s">
        <v>8</v>
      </c>
      <c r="K12698" s="23" t="s">
        <v>8</v>
      </c>
      <c r="L12698" s="23" t="s">
        <v>8</v>
      </c>
      <c r="M12698" s="23" t="s">
        <v>8</v>
      </c>
    </row>
    <row r="12699" spans="1:13" s="21" customFormat="1" x14ac:dyDescent="0.25">
      <c r="A12699" s="22" t="s">
        <v>8</v>
      </c>
      <c r="B12699" s="18" t="str">
        <f>"455737"</f>
        <v>455737</v>
      </c>
      <c r="C12699" s="19" t="s">
        <v>12481</v>
      </c>
      <c r="D12699" s="19" t="s">
        <v>28100</v>
      </c>
      <c r="E12699" s="19" t="s">
        <v>34177</v>
      </c>
      <c r="F12699" s="19" t="s">
        <v>36018</v>
      </c>
      <c r="G12699" s="18" t="str">
        <f>"76837"</f>
        <v>76837</v>
      </c>
      <c r="H12699" s="19" t="s">
        <v>36825</v>
      </c>
      <c r="I12699" s="20">
        <v>20.954000000000001</v>
      </c>
      <c r="J12699" s="44" t="s">
        <v>8</v>
      </c>
      <c r="K12699" s="23" t="s">
        <v>8</v>
      </c>
      <c r="L12699" s="23" t="s">
        <v>8</v>
      </c>
      <c r="M12699" s="23" t="s">
        <v>8</v>
      </c>
    </row>
    <row r="12700" spans="1:13" s="21" customFormat="1" x14ac:dyDescent="0.25">
      <c r="A12700" s="22" t="s">
        <v>8</v>
      </c>
      <c r="B12700" s="18" t="str">
        <f>"455742"</f>
        <v>455742</v>
      </c>
      <c r="C12700" s="19" t="s">
        <v>12482</v>
      </c>
      <c r="D12700" s="19" t="s">
        <v>28101</v>
      </c>
      <c r="E12700" s="19" t="s">
        <v>35244</v>
      </c>
      <c r="F12700" s="19" t="s">
        <v>36018</v>
      </c>
      <c r="G12700" s="18" t="str">
        <f>"78230"</f>
        <v>78230</v>
      </c>
      <c r="H12700" s="19" t="s">
        <v>36805</v>
      </c>
      <c r="I12700" s="20">
        <v>17.513000000000002</v>
      </c>
      <c r="J12700" s="44" t="s">
        <v>8</v>
      </c>
      <c r="K12700" s="23" t="s">
        <v>8</v>
      </c>
      <c r="L12700" s="23" t="s">
        <v>8</v>
      </c>
      <c r="M12700" s="23" t="s">
        <v>8</v>
      </c>
    </row>
    <row r="12701" spans="1:13" s="21" customFormat="1" x14ac:dyDescent="0.25">
      <c r="A12701" s="22" t="s">
        <v>8</v>
      </c>
      <c r="B12701" s="18" t="str">
        <f>"455744"</f>
        <v>455744</v>
      </c>
      <c r="C12701" s="19" t="s">
        <v>12483</v>
      </c>
      <c r="D12701" s="19" t="s">
        <v>28102</v>
      </c>
      <c r="E12701" s="19" t="s">
        <v>35289</v>
      </c>
      <c r="F12701" s="19" t="s">
        <v>36018</v>
      </c>
      <c r="G12701" s="18" t="str">
        <f>"76401"</f>
        <v>76401</v>
      </c>
      <c r="H12701" s="19" t="s">
        <v>36823</v>
      </c>
      <c r="I12701" s="20">
        <v>18.443000000000001</v>
      </c>
      <c r="J12701" s="44" t="s">
        <v>8</v>
      </c>
      <c r="K12701" s="23" t="s">
        <v>8</v>
      </c>
      <c r="L12701" s="23" t="s">
        <v>8</v>
      </c>
      <c r="M12701" s="23" t="s">
        <v>8</v>
      </c>
    </row>
    <row r="12702" spans="1:13" s="21" customFormat="1" x14ac:dyDescent="0.25">
      <c r="A12702" s="22" t="s">
        <v>8</v>
      </c>
      <c r="B12702" s="18" t="str">
        <f>"455745"</f>
        <v>455745</v>
      </c>
      <c r="C12702" s="19" t="s">
        <v>12484</v>
      </c>
      <c r="D12702" s="19" t="s">
        <v>28103</v>
      </c>
      <c r="E12702" s="19" t="s">
        <v>33740</v>
      </c>
      <c r="F12702" s="19" t="s">
        <v>36018</v>
      </c>
      <c r="G12702" s="18" t="str">
        <f>"77351"</f>
        <v>77351</v>
      </c>
      <c r="H12702" s="19" t="s">
        <v>36062</v>
      </c>
      <c r="I12702" s="20">
        <v>21.698</v>
      </c>
      <c r="J12702" s="44" t="s">
        <v>8</v>
      </c>
      <c r="K12702" s="23" t="s">
        <v>8</v>
      </c>
      <c r="L12702" s="23" t="s">
        <v>8</v>
      </c>
      <c r="M12702" s="23" t="s">
        <v>8</v>
      </c>
    </row>
    <row r="12703" spans="1:13" s="21" customFormat="1" x14ac:dyDescent="0.25">
      <c r="A12703" s="22" t="s">
        <v>8</v>
      </c>
      <c r="B12703" s="18" t="str">
        <f>"455748"</f>
        <v>455748</v>
      </c>
      <c r="C12703" s="19" t="s">
        <v>12485</v>
      </c>
      <c r="D12703" s="19" t="s">
        <v>28104</v>
      </c>
      <c r="E12703" s="19" t="s">
        <v>34206</v>
      </c>
      <c r="F12703" s="19" t="s">
        <v>36018</v>
      </c>
      <c r="G12703" s="18" t="str">
        <f>"75061"</f>
        <v>75061</v>
      </c>
      <c r="H12703" s="19" t="s">
        <v>31723</v>
      </c>
      <c r="I12703" s="20">
        <v>18.763999999999999</v>
      </c>
      <c r="J12703" s="44" t="s">
        <v>8</v>
      </c>
      <c r="K12703" s="23" t="s">
        <v>8</v>
      </c>
      <c r="L12703" s="23" t="s">
        <v>8</v>
      </c>
      <c r="M12703" s="23" t="s">
        <v>8</v>
      </c>
    </row>
    <row r="12704" spans="1:13" s="21" customFormat="1" x14ac:dyDescent="0.25">
      <c r="A12704" s="22" t="s">
        <v>8</v>
      </c>
      <c r="B12704" s="18" t="str">
        <f>"455753"</f>
        <v>455753</v>
      </c>
      <c r="C12704" s="19" t="s">
        <v>12486</v>
      </c>
      <c r="D12704" s="19" t="s">
        <v>28105</v>
      </c>
      <c r="E12704" s="19" t="s">
        <v>34536</v>
      </c>
      <c r="F12704" s="19" t="s">
        <v>36018</v>
      </c>
      <c r="G12704" s="18" t="str">
        <f>"75791"</f>
        <v>75791</v>
      </c>
      <c r="H12704" s="19" t="s">
        <v>36304</v>
      </c>
      <c r="I12704" s="20">
        <v>17.009</v>
      </c>
      <c r="J12704" s="44" t="s">
        <v>8</v>
      </c>
      <c r="K12704" s="23" t="s">
        <v>8</v>
      </c>
      <c r="L12704" s="23" t="s">
        <v>8</v>
      </c>
      <c r="M12704" s="23" t="s">
        <v>8</v>
      </c>
    </row>
    <row r="12705" spans="1:13" s="21" customFormat="1" x14ac:dyDescent="0.25">
      <c r="A12705" s="22" t="s">
        <v>8</v>
      </c>
      <c r="B12705" s="18" t="str">
        <f>"455754"</f>
        <v>455754</v>
      </c>
      <c r="C12705" s="19" t="s">
        <v>12487</v>
      </c>
      <c r="D12705" s="19" t="s">
        <v>28106</v>
      </c>
      <c r="E12705" s="19" t="s">
        <v>35244</v>
      </c>
      <c r="F12705" s="19" t="s">
        <v>36018</v>
      </c>
      <c r="G12705" s="18" t="str">
        <f>"78218"</f>
        <v>78218</v>
      </c>
      <c r="H12705" s="19" t="s">
        <v>36805</v>
      </c>
      <c r="I12705" s="20">
        <v>18.539000000000001</v>
      </c>
      <c r="J12705" s="44" t="s">
        <v>8</v>
      </c>
      <c r="K12705" s="23" t="s">
        <v>8</v>
      </c>
      <c r="L12705" s="23" t="s">
        <v>8</v>
      </c>
      <c r="M12705" s="23" t="s">
        <v>8</v>
      </c>
    </row>
    <row r="12706" spans="1:13" s="21" customFormat="1" x14ac:dyDescent="0.25">
      <c r="A12706" s="22" t="s">
        <v>8</v>
      </c>
      <c r="B12706" s="18" t="str">
        <f>"455756"</f>
        <v>455756</v>
      </c>
      <c r="C12706" s="19" t="s">
        <v>12488</v>
      </c>
      <c r="D12706" s="19" t="s">
        <v>28107</v>
      </c>
      <c r="E12706" s="19" t="s">
        <v>33493</v>
      </c>
      <c r="F12706" s="19" t="s">
        <v>36018</v>
      </c>
      <c r="G12706" s="18" t="str">
        <f>"77082"</f>
        <v>77082</v>
      </c>
      <c r="H12706" s="19" t="s">
        <v>34183</v>
      </c>
      <c r="I12706" s="20">
        <v>18.469000000000001</v>
      </c>
      <c r="J12706" s="44" t="s">
        <v>8</v>
      </c>
      <c r="K12706" s="23" t="s">
        <v>8</v>
      </c>
      <c r="L12706" s="23" t="s">
        <v>8</v>
      </c>
      <c r="M12706" s="23" t="s">
        <v>8</v>
      </c>
    </row>
    <row r="12707" spans="1:13" s="21" customFormat="1" x14ac:dyDescent="0.25">
      <c r="A12707" s="22" t="s">
        <v>8</v>
      </c>
      <c r="B12707" s="18" t="str">
        <f>"455757"</f>
        <v>455757</v>
      </c>
      <c r="C12707" s="19" t="s">
        <v>12489</v>
      </c>
      <c r="D12707" s="19" t="s">
        <v>28108</v>
      </c>
      <c r="E12707" s="19" t="s">
        <v>35239</v>
      </c>
      <c r="F12707" s="19" t="s">
        <v>36018</v>
      </c>
      <c r="G12707" s="18" t="str">
        <f>"77707"</f>
        <v>77707</v>
      </c>
      <c r="H12707" s="19" t="s">
        <v>32391</v>
      </c>
      <c r="I12707" s="20">
        <v>21.495000000000001</v>
      </c>
      <c r="J12707" s="44" t="s">
        <v>8</v>
      </c>
      <c r="K12707" s="23" t="s">
        <v>8</v>
      </c>
      <c r="L12707" s="23" t="s">
        <v>8</v>
      </c>
      <c r="M12707" s="23" t="s">
        <v>8</v>
      </c>
    </row>
    <row r="12708" spans="1:13" s="21" customFormat="1" x14ac:dyDescent="0.25">
      <c r="A12708" s="22" t="s">
        <v>8</v>
      </c>
      <c r="B12708" s="18" t="str">
        <f>"455761"</f>
        <v>455761</v>
      </c>
      <c r="C12708" s="19" t="s">
        <v>12490</v>
      </c>
      <c r="D12708" s="19" t="s">
        <v>28109</v>
      </c>
      <c r="E12708" s="19" t="s">
        <v>35290</v>
      </c>
      <c r="F12708" s="19" t="s">
        <v>36018</v>
      </c>
      <c r="G12708" s="18" t="str">
        <f>"78572"</f>
        <v>78572</v>
      </c>
      <c r="H12708" s="19" t="s">
        <v>36592</v>
      </c>
      <c r="I12708" s="20">
        <v>18.196000000000002</v>
      </c>
      <c r="J12708" s="44" t="s">
        <v>8</v>
      </c>
      <c r="K12708" s="23" t="s">
        <v>8</v>
      </c>
      <c r="L12708" s="23" t="s">
        <v>8</v>
      </c>
      <c r="M12708" s="23" t="s">
        <v>8</v>
      </c>
    </row>
    <row r="12709" spans="1:13" s="21" customFormat="1" x14ac:dyDescent="0.25">
      <c r="A12709" s="22" t="s">
        <v>8</v>
      </c>
      <c r="B12709" s="18" t="str">
        <f>"455762"</f>
        <v>455762</v>
      </c>
      <c r="C12709" s="19" t="s">
        <v>12491</v>
      </c>
      <c r="D12709" s="19" t="s">
        <v>28110</v>
      </c>
      <c r="E12709" s="19" t="s">
        <v>35244</v>
      </c>
      <c r="F12709" s="19" t="s">
        <v>36018</v>
      </c>
      <c r="G12709" s="18" t="str">
        <f>"78247"</f>
        <v>78247</v>
      </c>
      <c r="H12709" s="19" t="s">
        <v>36805</v>
      </c>
      <c r="I12709" s="20">
        <v>20.091999999999999</v>
      </c>
      <c r="J12709" s="44" t="s">
        <v>8</v>
      </c>
      <c r="K12709" s="23" t="s">
        <v>8</v>
      </c>
      <c r="L12709" s="23" t="s">
        <v>8</v>
      </c>
      <c r="M12709" s="23" t="s">
        <v>8</v>
      </c>
    </row>
    <row r="12710" spans="1:13" s="21" customFormat="1" x14ac:dyDescent="0.25">
      <c r="A12710" s="22" t="s">
        <v>8</v>
      </c>
      <c r="B12710" s="18" t="str">
        <f>"455763"</f>
        <v>455763</v>
      </c>
      <c r="C12710" s="19" t="s">
        <v>12492</v>
      </c>
      <c r="D12710" s="19" t="s">
        <v>28111</v>
      </c>
      <c r="E12710" s="19" t="s">
        <v>35291</v>
      </c>
      <c r="F12710" s="19" t="s">
        <v>36018</v>
      </c>
      <c r="G12710" s="18" t="str">
        <f>"76028"</f>
        <v>76028</v>
      </c>
      <c r="H12710" s="19" t="s">
        <v>36072</v>
      </c>
      <c r="I12710" s="20">
        <v>19.081</v>
      </c>
      <c r="J12710" s="44" t="s">
        <v>8</v>
      </c>
      <c r="K12710" s="23" t="s">
        <v>8</v>
      </c>
      <c r="L12710" s="23" t="s">
        <v>8</v>
      </c>
      <c r="M12710" s="23" t="s">
        <v>8</v>
      </c>
    </row>
    <row r="12711" spans="1:13" s="21" customFormat="1" x14ac:dyDescent="0.25">
      <c r="A12711" s="22" t="s">
        <v>8</v>
      </c>
      <c r="B12711" s="18" t="str">
        <f>"455770"</f>
        <v>455770</v>
      </c>
      <c r="C12711" s="19" t="s">
        <v>12493</v>
      </c>
      <c r="D12711" s="19" t="s">
        <v>28112</v>
      </c>
      <c r="E12711" s="19" t="s">
        <v>31178</v>
      </c>
      <c r="F12711" s="19" t="s">
        <v>36018</v>
      </c>
      <c r="G12711" s="18" t="str">
        <f>"77469"</f>
        <v>77469</v>
      </c>
      <c r="H12711" s="19" t="s">
        <v>36826</v>
      </c>
      <c r="I12711" s="20">
        <v>20.346</v>
      </c>
      <c r="J12711" s="44" t="s">
        <v>8</v>
      </c>
      <c r="K12711" s="23" t="s">
        <v>8</v>
      </c>
      <c r="L12711" s="23" t="s">
        <v>8</v>
      </c>
      <c r="M12711" s="23" t="s">
        <v>8</v>
      </c>
    </row>
    <row r="12712" spans="1:13" s="21" customFormat="1" x14ac:dyDescent="0.25">
      <c r="A12712" s="22" t="s">
        <v>8</v>
      </c>
      <c r="B12712" s="18" t="str">
        <f>"455771"</f>
        <v>455771</v>
      </c>
      <c r="C12712" s="19" t="s">
        <v>12494</v>
      </c>
      <c r="D12712" s="19" t="s">
        <v>28113</v>
      </c>
      <c r="E12712" s="19" t="s">
        <v>35292</v>
      </c>
      <c r="F12712" s="19" t="s">
        <v>36018</v>
      </c>
      <c r="G12712" s="18" t="str">
        <f>"78681"</f>
        <v>78681</v>
      </c>
      <c r="H12712" s="19" t="s">
        <v>35514</v>
      </c>
      <c r="I12712" s="20">
        <v>17.388999999999999</v>
      </c>
      <c r="J12712" s="44" t="s">
        <v>8</v>
      </c>
      <c r="K12712" s="23" t="s">
        <v>8</v>
      </c>
      <c r="L12712" s="23" t="s">
        <v>8</v>
      </c>
      <c r="M12712" s="23" t="s">
        <v>8</v>
      </c>
    </row>
    <row r="12713" spans="1:13" s="21" customFormat="1" x14ac:dyDescent="0.25">
      <c r="A12713" s="22" t="s">
        <v>8</v>
      </c>
      <c r="B12713" s="18" t="str">
        <f>"455785"</f>
        <v>455785</v>
      </c>
      <c r="C12713" s="19" t="s">
        <v>12495</v>
      </c>
      <c r="D12713" s="19" t="s">
        <v>28114</v>
      </c>
      <c r="E12713" s="19" t="s">
        <v>34717</v>
      </c>
      <c r="F12713" s="19" t="s">
        <v>36018</v>
      </c>
      <c r="G12713" s="18" t="str">
        <f>"76504"</f>
        <v>76504</v>
      </c>
      <c r="H12713" s="19" t="s">
        <v>31306</v>
      </c>
      <c r="I12713" s="20">
        <v>17.245999999999999</v>
      </c>
      <c r="J12713" s="44" t="s">
        <v>8</v>
      </c>
      <c r="K12713" s="23" t="s">
        <v>8</v>
      </c>
      <c r="L12713" s="23" t="s">
        <v>8</v>
      </c>
      <c r="M12713" s="23" t="s">
        <v>8</v>
      </c>
    </row>
    <row r="12714" spans="1:13" s="21" customFormat="1" x14ac:dyDescent="0.25">
      <c r="A12714" s="22" t="s">
        <v>8</v>
      </c>
      <c r="B12714" s="18" t="str">
        <f>"455789"</f>
        <v>455789</v>
      </c>
      <c r="C12714" s="19" t="s">
        <v>12496</v>
      </c>
      <c r="D12714" s="19" t="s">
        <v>28115</v>
      </c>
      <c r="E12714" s="19" t="s">
        <v>35244</v>
      </c>
      <c r="F12714" s="19" t="s">
        <v>36018</v>
      </c>
      <c r="G12714" s="18" t="str">
        <f>"78229"</f>
        <v>78229</v>
      </c>
      <c r="H12714" s="19" t="s">
        <v>36805</v>
      </c>
      <c r="I12714" s="20">
        <v>22.603000000000002</v>
      </c>
      <c r="J12714" s="44" t="s">
        <v>8</v>
      </c>
      <c r="K12714" s="23" t="s">
        <v>8</v>
      </c>
      <c r="L12714" s="23" t="s">
        <v>8</v>
      </c>
      <c r="M12714" s="23" t="s">
        <v>8</v>
      </c>
    </row>
    <row r="12715" spans="1:13" s="21" customFormat="1" x14ac:dyDescent="0.25">
      <c r="A12715" s="22" t="s">
        <v>8</v>
      </c>
      <c r="B12715" s="18" t="str">
        <f>"455794"</f>
        <v>455794</v>
      </c>
      <c r="C12715" s="19" t="s">
        <v>12497</v>
      </c>
      <c r="D12715" s="19" t="s">
        <v>28116</v>
      </c>
      <c r="E12715" s="19" t="s">
        <v>33493</v>
      </c>
      <c r="F12715" s="19" t="s">
        <v>36018</v>
      </c>
      <c r="G12715" s="18" t="str">
        <f>"77070"</f>
        <v>77070</v>
      </c>
      <c r="H12715" s="19" t="s">
        <v>34183</v>
      </c>
      <c r="I12715" s="20">
        <v>16.927</v>
      </c>
      <c r="J12715" s="44" t="s">
        <v>8</v>
      </c>
      <c r="K12715" s="23" t="s">
        <v>8</v>
      </c>
      <c r="L12715" s="23" t="s">
        <v>8</v>
      </c>
      <c r="M12715" s="23" t="s">
        <v>8</v>
      </c>
    </row>
    <row r="12716" spans="1:13" s="21" customFormat="1" x14ac:dyDescent="0.25">
      <c r="A12716" s="22" t="s">
        <v>8</v>
      </c>
      <c r="B12716" s="18" t="str">
        <f>"455796"</f>
        <v>455796</v>
      </c>
      <c r="C12716" s="19" t="s">
        <v>12498</v>
      </c>
      <c r="D12716" s="19" t="s">
        <v>28117</v>
      </c>
      <c r="E12716" s="19" t="s">
        <v>35293</v>
      </c>
      <c r="F12716" s="19" t="s">
        <v>36018</v>
      </c>
      <c r="G12716" s="18" t="str">
        <f>"78006"</f>
        <v>78006</v>
      </c>
      <c r="H12716" s="19" t="s">
        <v>31642</v>
      </c>
      <c r="I12716" s="20">
        <v>17.414000000000001</v>
      </c>
      <c r="J12716" s="44" t="s">
        <v>8</v>
      </c>
      <c r="K12716" s="23" t="s">
        <v>8</v>
      </c>
      <c r="L12716" s="23" t="s">
        <v>8</v>
      </c>
      <c r="M12716" s="23" t="s">
        <v>8</v>
      </c>
    </row>
    <row r="12717" spans="1:13" s="21" customFormat="1" x14ac:dyDescent="0.25">
      <c r="A12717" s="22" t="s">
        <v>8</v>
      </c>
      <c r="B12717" s="18" t="str">
        <f>"455797"</f>
        <v>455797</v>
      </c>
      <c r="C12717" s="19" t="s">
        <v>12499</v>
      </c>
      <c r="D12717" s="19" t="s">
        <v>28118</v>
      </c>
      <c r="E12717" s="19" t="s">
        <v>35227</v>
      </c>
      <c r="F12717" s="19" t="s">
        <v>36018</v>
      </c>
      <c r="G12717" s="18" t="str">
        <f>"78061"</f>
        <v>78061</v>
      </c>
      <c r="H12717" s="19" t="s">
        <v>36793</v>
      </c>
      <c r="I12717" s="20">
        <v>17.86</v>
      </c>
      <c r="J12717" s="44" t="s">
        <v>8</v>
      </c>
      <c r="K12717" s="23" t="s">
        <v>8</v>
      </c>
      <c r="L12717" s="23" t="s">
        <v>8</v>
      </c>
      <c r="M12717" s="23" t="s">
        <v>8</v>
      </c>
    </row>
    <row r="12718" spans="1:13" s="21" customFormat="1" x14ac:dyDescent="0.25">
      <c r="A12718" s="22" t="s">
        <v>8</v>
      </c>
      <c r="B12718" s="18" t="str">
        <f>"455798"</f>
        <v>455798</v>
      </c>
      <c r="C12718" s="19" t="s">
        <v>12500</v>
      </c>
      <c r="D12718" s="19" t="s">
        <v>28119</v>
      </c>
      <c r="E12718" s="19" t="s">
        <v>32215</v>
      </c>
      <c r="F12718" s="19" t="s">
        <v>36018</v>
      </c>
      <c r="G12718" s="18" t="str">
        <f>"76021"</f>
        <v>76021</v>
      </c>
      <c r="H12718" s="19" t="s">
        <v>36806</v>
      </c>
      <c r="I12718" s="20">
        <v>17.706</v>
      </c>
      <c r="J12718" s="44" t="s">
        <v>8</v>
      </c>
      <c r="K12718" s="23" t="s">
        <v>8</v>
      </c>
      <c r="L12718" s="23" t="s">
        <v>8</v>
      </c>
      <c r="M12718" s="23" t="s">
        <v>8</v>
      </c>
    </row>
    <row r="12719" spans="1:13" s="21" customFormat="1" x14ac:dyDescent="0.25">
      <c r="A12719" s="22" t="s">
        <v>8</v>
      </c>
      <c r="B12719" s="18" t="str">
        <f>"455799"</f>
        <v>455799</v>
      </c>
      <c r="C12719" s="19" t="s">
        <v>12501</v>
      </c>
      <c r="D12719" s="19" t="s">
        <v>28120</v>
      </c>
      <c r="E12719" s="19" t="s">
        <v>33383</v>
      </c>
      <c r="F12719" s="19" t="s">
        <v>36018</v>
      </c>
      <c r="G12719" s="18" t="str">
        <f>"78750"</f>
        <v>78750</v>
      </c>
      <c r="H12719" s="19" t="s">
        <v>36817</v>
      </c>
      <c r="I12719" s="20">
        <v>19.585999999999999</v>
      </c>
      <c r="J12719" s="44" t="s">
        <v>8</v>
      </c>
      <c r="K12719" s="23" t="s">
        <v>8</v>
      </c>
      <c r="L12719" s="23" t="s">
        <v>8</v>
      </c>
      <c r="M12719" s="23" t="s">
        <v>8</v>
      </c>
    </row>
    <row r="12720" spans="1:13" s="21" customFormat="1" x14ac:dyDescent="0.25">
      <c r="A12720" s="22" t="s">
        <v>8</v>
      </c>
      <c r="B12720" s="18" t="str">
        <f>"455800"</f>
        <v>455800</v>
      </c>
      <c r="C12720" s="19" t="s">
        <v>12502</v>
      </c>
      <c r="D12720" s="19" t="s">
        <v>28121</v>
      </c>
      <c r="E12720" s="19" t="s">
        <v>33493</v>
      </c>
      <c r="F12720" s="19" t="s">
        <v>36018</v>
      </c>
      <c r="G12720" s="18" t="str">
        <f>"77036"</f>
        <v>77036</v>
      </c>
      <c r="H12720" s="19" t="s">
        <v>34183</v>
      </c>
      <c r="I12720" s="20">
        <v>19.050999999999998</v>
      </c>
      <c r="J12720" s="44" t="s">
        <v>8</v>
      </c>
      <c r="K12720" s="23" t="s">
        <v>8</v>
      </c>
      <c r="L12720" s="23" t="s">
        <v>8</v>
      </c>
      <c r="M12720" s="23" t="s">
        <v>8</v>
      </c>
    </row>
    <row r="12721" spans="1:13" s="21" customFormat="1" x14ac:dyDescent="0.25">
      <c r="A12721" s="22" t="s">
        <v>8</v>
      </c>
      <c r="B12721" s="18" t="str">
        <f>"455802"</f>
        <v>455802</v>
      </c>
      <c r="C12721" s="19" t="s">
        <v>12503</v>
      </c>
      <c r="D12721" s="19" t="s">
        <v>28122</v>
      </c>
      <c r="E12721" s="19" t="s">
        <v>32762</v>
      </c>
      <c r="F12721" s="19" t="s">
        <v>36018</v>
      </c>
      <c r="G12721" s="18" t="str">
        <f>"78520"</f>
        <v>78520</v>
      </c>
      <c r="H12721" s="19" t="s">
        <v>33578</v>
      </c>
      <c r="I12721" s="20">
        <v>20.236999999999998</v>
      </c>
      <c r="J12721" s="44" t="s">
        <v>8</v>
      </c>
      <c r="K12721" s="23" t="s">
        <v>8</v>
      </c>
      <c r="L12721" s="23" t="s">
        <v>8</v>
      </c>
      <c r="M12721" s="23" t="s">
        <v>8</v>
      </c>
    </row>
    <row r="12722" spans="1:13" s="21" customFormat="1" x14ac:dyDescent="0.25">
      <c r="A12722" s="22" t="s">
        <v>8</v>
      </c>
      <c r="B12722" s="18" t="str">
        <f>"455804"</f>
        <v>455804</v>
      </c>
      <c r="C12722" s="19" t="s">
        <v>12504</v>
      </c>
      <c r="D12722" s="19" t="s">
        <v>28123</v>
      </c>
      <c r="E12722" s="19" t="s">
        <v>35244</v>
      </c>
      <c r="F12722" s="19" t="s">
        <v>36018</v>
      </c>
      <c r="G12722" s="18" t="str">
        <f>"78240"</f>
        <v>78240</v>
      </c>
      <c r="H12722" s="19" t="s">
        <v>36805</v>
      </c>
      <c r="I12722" s="20">
        <v>18.687999999999999</v>
      </c>
      <c r="J12722" s="44" t="s">
        <v>8</v>
      </c>
      <c r="K12722" s="23" t="s">
        <v>8</v>
      </c>
      <c r="L12722" s="23" t="s">
        <v>8</v>
      </c>
      <c r="M12722" s="23" t="s">
        <v>8</v>
      </c>
    </row>
    <row r="12723" spans="1:13" s="21" customFormat="1" x14ac:dyDescent="0.25">
      <c r="A12723" s="22" t="s">
        <v>8</v>
      </c>
      <c r="B12723" s="18" t="str">
        <f>"455805"</f>
        <v>455805</v>
      </c>
      <c r="C12723" s="19" t="s">
        <v>12505</v>
      </c>
      <c r="D12723" s="19" t="s">
        <v>28124</v>
      </c>
      <c r="E12723" s="19" t="s">
        <v>33493</v>
      </c>
      <c r="F12723" s="19" t="s">
        <v>36018</v>
      </c>
      <c r="G12723" s="18" t="str">
        <f>"77002"</f>
        <v>77002</v>
      </c>
      <c r="H12723" s="19" t="s">
        <v>34183</v>
      </c>
      <c r="I12723" s="20">
        <v>17.591999999999999</v>
      </c>
      <c r="J12723" s="44" t="s">
        <v>8</v>
      </c>
      <c r="K12723" s="23" t="s">
        <v>8</v>
      </c>
      <c r="L12723" s="23" t="s">
        <v>8</v>
      </c>
      <c r="M12723" s="23" t="s">
        <v>8</v>
      </c>
    </row>
    <row r="12724" spans="1:13" s="21" customFormat="1" x14ac:dyDescent="0.25">
      <c r="A12724" s="22" t="s">
        <v>8</v>
      </c>
      <c r="B12724" s="18" t="str">
        <f>"455806"</f>
        <v>455806</v>
      </c>
      <c r="C12724" s="19" t="s">
        <v>12506</v>
      </c>
      <c r="D12724" s="19" t="s">
        <v>28125</v>
      </c>
      <c r="E12724" s="19" t="s">
        <v>32396</v>
      </c>
      <c r="F12724" s="19" t="s">
        <v>36018</v>
      </c>
      <c r="G12724" s="18" t="str">
        <f>"75020"</f>
        <v>75020</v>
      </c>
      <c r="H12724" s="19" t="s">
        <v>32731</v>
      </c>
      <c r="I12724" s="20">
        <v>20.221</v>
      </c>
      <c r="J12724" s="44" t="s">
        <v>8</v>
      </c>
      <c r="K12724" s="23" t="s">
        <v>8</v>
      </c>
      <c r="L12724" s="23" t="s">
        <v>8</v>
      </c>
      <c r="M12724" s="23" t="s">
        <v>8</v>
      </c>
    </row>
    <row r="12725" spans="1:13" s="21" customFormat="1" x14ac:dyDescent="0.25">
      <c r="A12725" s="22" t="s">
        <v>8</v>
      </c>
      <c r="B12725" s="18" t="str">
        <f>"455808"</f>
        <v>455808</v>
      </c>
      <c r="C12725" s="19" t="s">
        <v>12507</v>
      </c>
      <c r="D12725" s="19" t="s">
        <v>28126</v>
      </c>
      <c r="E12725" s="19" t="s">
        <v>35225</v>
      </c>
      <c r="F12725" s="19" t="s">
        <v>36018</v>
      </c>
      <c r="G12725" s="18" t="str">
        <f>"76458"</f>
        <v>76458</v>
      </c>
      <c r="H12725" s="19" t="s">
        <v>36792</v>
      </c>
      <c r="I12725" s="20">
        <v>19.805</v>
      </c>
      <c r="J12725" s="44" t="s">
        <v>8</v>
      </c>
      <c r="K12725" s="23" t="s">
        <v>8</v>
      </c>
      <c r="L12725" s="23" t="s">
        <v>8</v>
      </c>
      <c r="M12725" s="23" t="s">
        <v>8</v>
      </c>
    </row>
    <row r="12726" spans="1:13" s="21" customFormat="1" x14ac:dyDescent="0.25">
      <c r="A12726" s="22" t="s">
        <v>8</v>
      </c>
      <c r="B12726" s="18" t="str">
        <f>"455810"</f>
        <v>455810</v>
      </c>
      <c r="C12726" s="19" t="s">
        <v>12508</v>
      </c>
      <c r="D12726" s="19" t="s">
        <v>28127</v>
      </c>
      <c r="E12726" s="19" t="s">
        <v>35245</v>
      </c>
      <c r="F12726" s="19" t="s">
        <v>36018</v>
      </c>
      <c r="G12726" s="18" t="str">
        <f>"76132"</f>
        <v>76132</v>
      </c>
      <c r="H12726" s="19" t="s">
        <v>36806</v>
      </c>
      <c r="I12726" s="20">
        <v>17.434000000000001</v>
      </c>
      <c r="J12726" s="44" t="s">
        <v>8</v>
      </c>
      <c r="K12726" s="23" t="s">
        <v>8</v>
      </c>
      <c r="L12726" s="23" t="s">
        <v>8</v>
      </c>
      <c r="M12726" s="23" t="s">
        <v>8</v>
      </c>
    </row>
    <row r="12727" spans="1:13" s="21" customFormat="1" x14ac:dyDescent="0.25">
      <c r="A12727" s="22" t="s">
        <v>8</v>
      </c>
      <c r="B12727" s="18" t="str">
        <f>"455812"</f>
        <v>455812</v>
      </c>
      <c r="C12727" s="19" t="s">
        <v>12509</v>
      </c>
      <c r="D12727" s="19" t="s">
        <v>28128</v>
      </c>
      <c r="E12727" s="19" t="s">
        <v>35294</v>
      </c>
      <c r="F12727" s="19" t="s">
        <v>36018</v>
      </c>
      <c r="G12727" s="18" t="str">
        <f>"77459"</f>
        <v>77459</v>
      </c>
      <c r="H12727" s="19" t="s">
        <v>36826</v>
      </c>
      <c r="I12727" s="20">
        <v>17.477</v>
      </c>
      <c r="J12727" s="44" t="s">
        <v>8</v>
      </c>
      <c r="K12727" s="23" t="s">
        <v>8</v>
      </c>
      <c r="L12727" s="23" t="s">
        <v>8</v>
      </c>
      <c r="M12727" s="23" t="s">
        <v>8</v>
      </c>
    </row>
    <row r="12728" spans="1:13" s="21" customFormat="1" x14ac:dyDescent="0.25">
      <c r="A12728" s="22" t="s">
        <v>8</v>
      </c>
      <c r="B12728" s="18" t="str">
        <f>"455815"</f>
        <v>455815</v>
      </c>
      <c r="C12728" s="19" t="s">
        <v>12510</v>
      </c>
      <c r="D12728" s="19" t="s">
        <v>28129</v>
      </c>
      <c r="E12728" s="19" t="s">
        <v>33493</v>
      </c>
      <c r="F12728" s="19" t="s">
        <v>36018</v>
      </c>
      <c r="G12728" s="18" t="str">
        <f>"77064"</f>
        <v>77064</v>
      </c>
      <c r="H12728" s="19" t="s">
        <v>34183</v>
      </c>
      <c r="I12728" s="20">
        <v>19.189</v>
      </c>
      <c r="J12728" s="44" t="s">
        <v>8</v>
      </c>
      <c r="K12728" s="23" t="s">
        <v>8</v>
      </c>
      <c r="L12728" s="23" t="s">
        <v>8</v>
      </c>
      <c r="M12728" s="23" t="s">
        <v>8</v>
      </c>
    </row>
    <row r="12729" spans="1:13" s="21" customFormat="1" x14ac:dyDescent="0.25">
      <c r="A12729" s="22" t="s">
        <v>8</v>
      </c>
      <c r="B12729" s="18" t="str">
        <f>"455817"</f>
        <v>455817</v>
      </c>
      <c r="C12729" s="19" t="s">
        <v>12511</v>
      </c>
      <c r="D12729" s="19" t="s">
        <v>28130</v>
      </c>
      <c r="E12729" s="19" t="s">
        <v>35244</v>
      </c>
      <c r="F12729" s="19" t="s">
        <v>36018</v>
      </c>
      <c r="G12729" s="18" t="str">
        <f>"78212"</f>
        <v>78212</v>
      </c>
      <c r="H12729" s="19" t="s">
        <v>36805</v>
      </c>
      <c r="I12729" s="20">
        <v>21.573</v>
      </c>
      <c r="J12729" s="44" t="s">
        <v>8</v>
      </c>
      <c r="K12729" s="23" t="s">
        <v>8</v>
      </c>
      <c r="L12729" s="23" t="s">
        <v>8</v>
      </c>
      <c r="M12729" s="23" t="s">
        <v>8</v>
      </c>
    </row>
    <row r="12730" spans="1:13" s="21" customFormat="1" x14ac:dyDescent="0.25">
      <c r="A12730" s="22" t="s">
        <v>8</v>
      </c>
      <c r="B12730" s="18" t="str">
        <f>"455819"</f>
        <v>455819</v>
      </c>
      <c r="C12730" s="19" t="s">
        <v>12512</v>
      </c>
      <c r="D12730" s="19" t="s">
        <v>28131</v>
      </c>
      <c r="E12730" s="19" t="s">
        <v>35245</v>
      </c>
      <c r="F12730" s="19" t="s">
        <v>36018</v>
      </c>
      <c r="G12730" s="18" t="str">
        <f>"76107"</f>
        <v>76107</v>
      </c>
      <c r="H12730" s="19" t="s">
        <v>36806</v>
      </c>
      <c r="I12730" s="20">
        <v>19.771000000000001</v>
      </c>
      <c r="J12730" s="44" t="s">
        <v>8</v>
      </c>
      <c r="K12730" s="23" t="s">
        <v>8</v>
      </c>
      <c r="L12730" s="23" t="s">
        <v>8</v>
      </c>
      <c r="M12730" s="23" t="s">
        <v>8</v>
      </c>
    </row>
    <row r="12731" spans="1:13" s="21" customFormat="1" x14ac:dyDescent="0.25">
      <c r="A12731" s="22" t="s">
        <v>8</v>
      </c>
      <c r="B12731" s="18" t="str">
        <f>"455822"</f>
        <v>455822</v>
      </c>
      <c r="C12731" s="19" t="s">
        <v>12513</v>
      </c>
      <c r="D12731" s="19" t="s">
        <v>28132</v>
      </c>
      <c r="E12731" s="19" t="s">
        <v>35276</v>
      </c>
      <c r="F12731" s="19" t="s">
        <v>36018</v>
      </c>
      <c r="G12731" s="18" t="str">
        <f>"78550"</f>
        <v>78550</v>
      </c>
      <c r="H12731" s="19" t="s">
        <v>33578</v>
      </c>
      <c r="I12731" s="20">
        <v>16.721</v>
      </c>
      <c r="J12731" s="44" t="s">
        <v>8</v>
      </c>
      <c r="K12731" s="23" t="s">
        <v>8</v>
      </c>
      <c r="L12731" s="23" t="s">
        <v>8</v>
      </c>
      <c r="M12731" s="23" t="s">
        <v>8</v>
      </c>
    </row>
    <row r="12732" spans="1:13" s="21" customFormat="1" x14ac:dyDescent="0.25">
      <c r="A12732" s="22" t="s">
        <v>8</v>
      </c>
      <c r="B12732" s="18" t="str">
        <f>"455823"</f>
        <v>455823</v>
      </c>
      <c r="C12732" s="19" t="s">
        <v>12514</v>
      </c>
      <c r="D12732" s="19" t="s">
        <v>28133</v>
      </c>
      <c r="E12732" s="19" t="s">
        <v>31723</v>
      </c>
      <c r="F12732" s="19" t="s">
        <v>36018</v>
      </c>
      <c r="G12732" s="18" t="str">
        <f>"75230"</f>
        <v>75230</v>
      </c>
      <c r="H12732" s="19" t="s">
        <v>31723</v>
      </c>
      <c r="I12732" s="20">
        <v>17.989999999999998</v>
      </c>
      <c r="J12732" s="44" t="s">
        <v>8</v>
      </c>
      <c r="K12732" s="23" t="s">
        <v>8</v>
      </c>
      <c r="L12732" s="23" t="s">
        <v>8</v>
      </c>
      <c r="M12732" s="23" t="s">
        <v>8</v>
      </c>
    </row>
    <row r="12733" spans="1:13" s="21" customFormat="1" x14ac:dyDescent="0.25">
      <c r="A12733" s="22" t="s">
        <v>8</v>
      </c>
      <c r="B12733" s="18" t="str">
        <f>"455824"</f>
        <v>455824</v>
      </c>
      <c r="C12733" s="19" t="s">
        <v>12515</v>
      </c>
      <c r="D12733" s="19" t="s">
        <v>28134</v>
      </c>
      <c r="E12733" s="19" t="s">
        <v>35244</v>
      </c>
      <c r="F12733" s="19" t="s">
        <v>36018</v>
      </c>
      <c r="G12733" s="18" t="str">
        <f>"78229"</f>
        <v>78229</v>
      </c>
      <c r="H12733" s="19" t="s">
        <v>36805</v>
      </c>
      <c r="I12733" s="20">
        <v>18.533000000000001</v>
      </c>
      <c r="J12733" s="44" t="s">
        <v>8</v>
      </c>
      <c r="K12733" s="23" t="s">
        <v>8</v>
      </c>
      <c r="L12733" s="23" t="s">
        <v>8</v>
      </c>
      <c r="M12733" s="23" t="s">
        <v>8</v>
      </c>
    </row>
    <row r="12734" spans="1:13" s="21" customFormat="1" x14ac:dyDescent="0.25">
      <c r="A12734" s="22" t="s">
        <v>8</v>
      </c>
      <c r="B12734" s="18" t="str">
        <f>"455831"</f>
        <v>455831</v>
      </c>
      <c r="C12734" s="19" t="s">
        <v>12516</v>
      </c>
      <c r="D12734" s="19" t="s">
        <v>28135</v>
      </c>
      <c r="E12734" s="19" t="s">
        <v>31050</v>
      </c>
      <c r="F12734" s="19" t="s">
        <v>36018</v>
      </c>
      <c r="G12734" s="18" t="str">
        <f>"75460"</f>
        <v>75460</v>
      </c>
      <c r="H12734" s="19" t="s">
        <v>31372</v>
      </c>
      <c r="I12734" s="20">
        <v>17.550999999999998</v>
      </c>
      <c r="J12734" s="44" t="s">
        <v>8</v>
      </c>
      <c r="K12734" s="23" t="s">
        <v>8</v>
      </c>
      <c r="L12734" s="23" t="s">
        <v>8</v>
      </c>
      <c r="M12734" s="23" t="s">
        <v>8</v>
      </c>
    </row>
    <row r="12735" spans="1:13" s="21" customFormat="1" x14ac:dyDescent="0.25">
      <c r="A12735" s="22" t="s">
        <v>8</v>
      </c>
      <c r="B12735" s="18" t="str">
        <f>"455832"</f>
        <v>455832</v>
      </c>
      <c r="C12735" s="19" t="s">
        <v>12517</v>
      </c>
      <c r="D12735" s="19" t="s">
        <v>28136</v>
      </c>
      <c r="E12735" s="19" t="s">
        <v>31184</v>
      </c>
      <c r="F12735" s="19" t="s">
        <v>36018</v>
      </c>
      <c r="G12735" s="18" t="str">
        <f>"75146"</f>
        <v>75146</v>
      </c>
      <c r="H12735" s="19" t="s">
        <v>31723</v>
      </c>
      <c r="I12735" s="20">
        <v>18.803999999999998</v>
      </c>
      <c r="J12735" s="44" t="s">
        <v>8</v>
      </c>
      <c r="K12735" s="23" t="s">
        <v>8</v>
      </c>
      <c r="L12735" s="23" t="s">
        <v>8</v>
      </c>
      <c r="M12735" s="23" t="s">
        <v>8</v>
      </c>
    </row>
    <row r="12736" spans="1:13" s="21" customFormat="1" x14ac:dyDescent="0.25">
      <c r="A12736" s="22" t="s">
        <v>8</v>
      </c>
      <c r="B12736" s="18" t="str">
        <f>"455834"</f>
        <v>455834</v>
      </c>
      <c r="C12736" s="19" t="s">
        <v>12518</v>
      </c>
      <c r="D12736" s="19" t="s">
        <v>28137</v>
      </c>
      <c r="E12736" s="19" t="s">
        <v>30824</v>
      </c>
      <c r="F12736" s="19" t="s">
        <v>36018</v>
      </c>
      <c r="G12736" s="18" t="str">
        <f>"75751"</f>
        <v>75751</v>
      </c>
      <c r="H12736" s="19" t="s">
        <v>32699</v>
      </c>
      <c r="I12736" s="20">
        <v>19.709</v>
      </c>
      <c r="J12736" s="44" t="s">
        <v>8</v>
      </c>
      <c r="K12736" s="23" t="s">
        <v>8</v>
      </c>
      <c r="L12736" s="23" t="s">
        <v>8</v>
      </c>
      <c r="M12736" s="23" t="s">
        <v>8</v>
      </c>
    </row>
    <row r="12737" spans="1:13" s="21" customFormat="1" x14ac:dyDescent="0.25">
      <c r="A12737" s="22" t="s">
        <v>8</v>
      </c>
      <c r="B12737" s="18" t="str">
        <f>"455835"</f>
        <v>455835</v>
      </c>
      <c r="C12737" s="19" t="s">
        <v>12519</v>
      </c>
      <c r="D12737" s="19" t="s">
        <v>28138</v>
      </c>
      <c r="E12737" s="19" t="s">
        <v>33116</v>
      </c>
      <c r="F12737" s="19" t="s">
        <v>36018</v>
      </c>
      <c r="G12737" s="18" t="str">
        <f>"76012"</f>
        <v>76012</v>
      </c>
      <c r="H12737" s="19" t="s">
        <v>36806</v>
      </c>
      <c r="I12737" s="20">
        <v>17.777000000000001</v>
      </c>
      <c r="J12737" s="44" t="s">
        <v>8</v>
      </c>
      <c r="K12737" s="23" t="s">
        <v>8</v>
      </c>
      <c r="L12737" s="23" t="s">
        <v>8</v>
      </c>
      <c r="M12737" s="23" t="s">
        <v>8</v>
      </c>
    </row>
    <row r="12738" spans="1:13" s="21" customFormat="1" x14ac:dyDescent="0.25">
      <c r="A12738" s="22" t="s">
        <v>8</v>
      </c>
      <c r="B12738" s="18" t="str">
        <f>"455838"</f>
        <v>455838</v>
      </c>
      <c r="C12738" s="19" t="s">
        <v>12520</v>
      </c>
      <c r="D12738" s="19" t="s">
        <v>28139</v>
      </c>
      <c r="E12738" s="19" t="s">
        <v>35295</v>
      </c>
      <c r="F12738" s="19" t="s">
        <v>36018</v>
      </c>
      <c r="G12738" s="18" t="str">
        <f>"78380"</f>
        <v>78380</v>
      </c>
      <c r="H12738" s="19" t="s">
        <v>36804</v>
      </c>
      <c r="I12738" s="20">
        <v>18.181999999999999</v>
      </c>
      <c r="J12738" s="44" t="s">
        <v>8</v>
      </c>
      <c r="K12738" s="23" t="s">
        <v>8</v>
      </c>
      <c r="L12738" s="23" t="s">
        <v>8</v>
      </c>
      <c r="M12738" s="23" t="s">
        <v>8</v>
      </c>
    </row>
    <row r="12739" spans="1:13" s="21" customFormat="1" x14ac:dyDescent="0.25">
      <c r="A12739" s="22" t="s">
        <v>8</v>
      </c>
      <c r="B12739" s="18" t="str">
        <f>"455840"</f>
        <v>455840</v>
      </c>
      <c r="C12739" s="19" t="s">
        <v>12521</v>
      </c>
      <c r="D12739" s="19" t="s">
        <v>28140</v>
      </c>
      <c r="E12739" s="19" t="s">
        <v>35296</v>
      </c>
      <c r="F12739" s="19" t="s">
        <v>36018</v>
      </c>
      <c r="G12739" s="18" t="str">
        <f>"75785"</f>
        <v>75785</v>
      </c>
      <c r="H12739" s="19" t="s">
        <v>32436</v>
      </c>
      <c r="I12739" s="20">
        <v>20.716000000000001</v>
      </c>
      <c r="J12739" s="44" t="s">
        <v>8</v>
      </c>
      <c r="K12739" s="23" t="s">
        <v>8</v>
      </c>
      <c r="L12739" s="23" t="s">
        <v>8</v>
      </c>
      <c r="M12739" s="23" t="s">
        <v>8</v>
      </c>
    </row>
    <row r="12740" spans="1:13" s="21" customFormat="1" x14ac:dyDescent="0.25">
      <c r="A12740" s="22" t="s">
        <v>8</v>
      </c>
      <c r="B12740" s="18" t="str">
        <f>"455848"</f>
        <v>455848</v>
      </c>
      <c r="C12740" s="19" t="s">
        <v>12522</v>
      </c>
      <c r="D12740" s="19" t="s">
        <v>28141</v>
      </c>
      <c r="E12740" s="19" t="s">
        <v>35297</v>
      </c>
      <c r="F12740" s="19" t="s">
        <v>36018</v>
      </c>
      <c r="G12740" s="18" t="str">
        <f>"76801"</f>
        <v>76801</v>
      </c>
      <c r="H12740" s="19" t="s">
        <v>36244</v>
      </c>
      <c r="I12740" s="20">
        <v>16.638999999999999</v>
      </c>
      <c r="J12740" s="44" t="s">
        <v>8</v>
      </c>
      <c r="K12740" s="23" t="s">
        <v>8</v>
      </c>
      <c r="L12740" s="23" t="s">
        <v>8</v>
      </c>
      <c r="M12740" s="23" t="s">
        <v>8</v>
      </c>
    </row>
    <row r="12741" spans="1:13" s="21" customFormat="1" x14ac:dyDescent="0.25">
      <c r="A12741" s="22" t="s">
        <v>8</v>
      </c>
      <c r="B12741" s="18" t="str">
        <f>"455849"</f>
        <v>455849</v>
      </c>
      <c r="C12741" s="19" t="s">
        <v>12523</v>
      </c>
      <c r="D12741" s="19" t="s">
        <v>28142</v>
      </c>
      <c r="E12741" s="19" t="s">
        <v>32980</v>
      </c>
      <c r="F12741" s="19" t="s">
        <v>36018</v>
      </c>
      <c r="G12741" s="18" t="str">
        <f>"76230"</f>
        <v>76230</v>
      </c>
      <c r="H12741" s="19" t="s">
        <v>36796</v>
      </c>
      <c r="I12741" s="20">
        <v>23.638000000000002</v>
      </c>
      <c r="J12741" s="44" t="s">
        <v>8</v>
      </c>
      <c r="K12741" s="23" t="s">
        <v>8</v>
      </c>
      <c r="L12741" s="23" t="s">
        <v>8</v>
      </c>
      <c r="M12741" s="23" t="s">
        <v>8</v>
      </c>
    </row>
    <row r="12742" spans="1:13" s="21" customFormat="1" x14ac:dyDescent="0.25">
      <c r="A12742" s="22" t="s">
        <v>8</v>
      </c>
      <c r="B12742" s="18" t="str">
        <f>"455850"</f>
        <v>455850</v>
      </c>
      <c r="C12742" s="19" t="s">
        <v>12524</v>
      </c>
      <c r="D12742" s="19" t="s">
        <v>28143</v>
      </c>
      <c r="E12742" s="19" t="s">
        <v>35272</v>
      </c>
      <c r="F12742" s="19" t="s">
        <v>36018</v>
      </c>
      <c r="G12742" s="18" t="str">
        <f>"76053"</f>
        <v>76053</v>
      </c>
      <c r="H12742" s="19" t="s">
        <v>36806</v>
      </c>
      <c r="I12742" s="20">
        <v>17.169</v>
      </c>
      <c r="J12742" s="44" t="s">
        <v>8</v>
      </c>
      <c r="K12742" s="23" t="s">
        <v>8</v>
      </c>
      <c r="L12742" s="23" t="s">
        <v>8</v>
      </c>
      <c r="M12742" s="23" t="s">
        <v>8</v>
      </c>
    </row>
    <row r="12743" spans="1:13" s="21" customFormat="1" x14ac:dyDescent="0.25">
      <c r="A12743" s="22" t="s">
        <v>8</v>
      </c>
      <c r="B12743" s="18" t="str">
        <f>"455854"</f>
        <v>455854</v>
      </c>
      <c r="C12743" s="19" t="s">
        <v>12525</v>
      </c>
      <c r="D12743" s="19" t="s">
        <v>28144</v>
      </c>
      <c r="E12743" s="19" t="s">
        <v>33493</v>
      </c>
      <c r="F12743" s="19" t="s">
        <v>36018</v>
      </c>
      <c r="G12743" s="18" t="str">
        <f>"77024"</f>
        <v>77024</v>
      </c>
      <c r="H12743" s="19" t="s">
        <v>34183</v>
      </c>
      <c r="I12743" s="20">
        <v>22.196000000000002</v>
      </c>
      <c r="J12743" s="44" t="s">
        <v>8</v>
      </c>
      <c r="K12743" s="23" t="s">
        <v>8</v>
      </c>
      <c r="L12743" s="23" t="s">
        <v>8</v>
      </c>
      <c r="M12743" s="23" t="s">
        <v>8</v>
      </c>
    </row>
    <row r="12744" spans="1:13" s="21" customFormat="1" x14ac:dyDescent="0.25">
      <c r="A12744" s="22" t="s">
        <v>8</v>
      </c>
      <c r="B12744" s="18" t="str">
        <f>"455855"</f>
        <v>455855</v>
      </c>
      <c r="C12744" s="19" t="s">
        <v>12526</v>
      </c>
      <c r="D12744" s="19" t="s">
        <v>28145</v>
      </c>
      <c r="E12744" s="19" t="s">
        <v>35277</v>
      </c>
      <c r="F12744" s="19" t="s">
        <v>36018</v>
      </c>
      <c r="G12744" s="18" t="str">
        <f>"75904"</f>
        <v>75904</v>
      </c>
      <c r="H12744" s="19" t="s">
        <v>36820</v>
      </c>
      <c r="I12744" s="20">
        <v>17.742000000000001</v>
      </c>
      <c r="J12744" s="44" t="s">
        <v>8</v>
      </c>
      <c r="K12744" s="23" t="s">
        <v>8</v>
      </c>
      <c r="L12744" s="23" t="s">
        <v>8</v>
      </c>
      <c r="M12744" s="23" t="s">
        <v>8</v>
      </c>
    </row>
    <row r="12745" spans="1:13" s="21" customFormat="1" x14ac:dyDescent="0.25">
      <c r="A12745" s="22" t="s">
        <v>8</v>
      </c>
      <c r="B12745" s="18" t="str">
        <f>"455856"</f>
        <v>455856</v>
      </c>
      <c r="C12745" s="19" t="s">
        <v>12527</v>
      </c>
      <c r="D12745" s="19" t="s">
        <v>28146</v>
      </c>
      <c r="E12745" s="19" t="s">
        <v>35298</v>
      </c>
      <c r="F12745" s="19" t="s">
        <v>36018</v>
      </c>
      <c r="G12745" s="18" t="str">
        <f>"75790"</f>
        <v>75790</v>
      </c>
      <c r="H12745" s="19" t="s">
        <v>36827</v>
      </c>
      <c r="I12745" s="20">
        <v>20.521999999999998</v>
      </c>
      <c r="J12745" s="44" t="s">
        <v>8</v>
      </c>
      <c r="K12745" s="23" t="s">
        <v>8</v>
      </c>
      <c r="L12745" s="23" t="s">
        <v>8</v>
      </c>
      <c r="M12745" s="23" t="s">
        <v>8</v>
      </c>
    </row>
    <row r="12746" spans="1:13" s="21" customFormat="1" x14ac:dyDescent="0.25">
      <c r="A12746" s="22" t="s">
        <v>8</v>
      </c>
      <c r="B12746" s="18" t="str">
        <f>"455861"</f>
        <v>455861</v>
      </c>
      <c r="C12746" s="19" t="s">
        <v>12528</v>
      </c>
      <c r="D12746" s="19" t="s">
        <v>28147</v>
      </c>
      <c r="E12746" s="19" t="s">
        <v>35299</v>
      </c>
      <c r="F12746" s="19" t="s">
        <v>36018</v>
      </c>
      <c r="G12746" s="18" t="str">
        <f>"75075"</f>
        <v>75075</v>
      </c>
      <c r="H12746" s="19" t="s">
        <v>36828</v>
      </c>
      <c r="I12746" s="20">
        <v>18.141999999999999</v>
      </c>
      <c r="J12746" s="44" t="s">
        <v>8</v>
      </c>
      <c r="K12746" s="23" t="s">
        <v>8</v>
      </c>
      <c r="L12746" s="23" t="s">
        <v>8</v>
      </c>
      <c r="M12746" s="23" t="s">
        <v>8</v>
      </c>
    </row>
    <row r="12747" spans="1:13" s="21" customFormat="1" x14ac:dyDescent="0.25">
      <c r="A12747" s="22" t="s">
        <v>8</v>
      </c>
      <c r="B12747" s="18" t="str">
        <f>"455862"</f>
        <v>455862</v>
      </c>
      <c r="C12747" s="19" t="s">
        <v>12529</v>
      </c>
      <c r="D12747" s="19" t="s">
        <v>28148</v>
      </c>
      <c r="E12747" s="19" t="s">
        <v>33383</v>
      </c>
      <c r="F12747" s="19" t="s">
        <v>36018</v>
      </c>
      <c r="G12747" s="18" t="str">
        <f>"78757"</f>
        <v>78757</v>
      </c>
      <c r="H12747" s="19" t="s">
        <v>36817</v>
      </c>
      <c r="I12747" s="20">
        <v>16.718</v>
      </c>
      <c r="J12747" s="44" t="s">
        <v>8</v>
      </c>
      <c r="K12747" s="23" t="s">
        <v>8</v>
      </c>
      <c r="L12747" s="23" t="s">
        <v>8</v>
      </c>
      <c r="M12747" s="23" t="s">
        <v>8</v>
      </c>
    </row>
    <row r="12748" spans="1:13" s="21" customFormat="1" x14ac:dyDescent="0.25">
      <c r="A12748" s="22" t="s">
        <v>8</v>
      </c>
      <c r="B12748" s="18" t="str">
        <f>"455864"</f>
        <v>455864</v>
      </c>
      <c r="C12748" s="19" t="s">
        <v>12530</v>
      </c>
      <c r="D12748" s="19" t="s">
        <v>28149</v>
      </c>
      <c r="E12748" s="19" t="s">
        <v>35299</v>
      </c>
      <c r="F12748" s="19" t="s">
        <v>36018</v>
      </c>
      <c r="G12748" s="18" t="str">
        <f>"75075"</f>
        <v>75075</v>
      </c>
      <c r="H12748" s="19" t="s">
        <v>36828</v>
      </c>
      <c r="I12748" s="20">
        <v>21.64</v>
      </c>
      <c r="J12748" s="44" t="s">
        <v>8</v>
      </c>
      <c r="K12748" s="23" t="s">
        <v>8</v>
      </c>
      <c r="L12748" s="23" t="s">
        <v>8</v>
      </c>
      <c r="M12748" s="23" t="s">
        <v>8</v>
      </c>
    </row>
    <row r="12749" spans="1:13" s="21" customFormat="1" x14ac:dyDescent="0.25">
      <c r="A12749" s="22" t="s">
        <v>8</v>
      </c>
      <c r="B12749" s="18" t="str">
        <f>"455866"</f>
        <v>455866</v>
      </c>
      <c r="C12749" s="19" t="s">
        <v>12531</v>
      </c>
      <c r="D12749" s="19" t="s">
        <v>28150</v>
      </c>
      <c r="E12749" s="19" t="s">
        <v>33383</v>
      </c>
      <c r="F12749" s="19" t="s">
        <v>36018</v>
      </c>
      <c r="G12749" s="18" t="str">
        <f>"78746"</f>
        <v>78746</v>
      </c>
      <c r="H12749" s="19" t="s">
        <v>36817</v>
      </c>
      <c r="I12749" s="20">
        <v>19.192</v>
      </c>
      <c r="J12749" s="44" t="s">
        <v>8</v>
      </c>
      <c r="K12749" s="23" t="s">
        <v>8</v>
      </c>
      <c r="L12749" s="23" t="s">
        <v>8</v>
      </c>
      <c r="M12749" s="23" t="s">
        <v>8</v>
      </c>
    </row>
    <row r="12750" spans="1:13" s="21" customFormat="1" x14ac:dyDescent="0.25">
      <c r="A12750" s="22" t="s">
        <v>8</v>
      </c>
      <c r="B12750" s="18" t="str">
        <f>"455869"</f>
        <v>455869</v>
      </c>
      <c r="C12750" s="19" t="s">
        <v>12532</v>
      </c>
      <c r="D12750" s="19" t="s">
        <v>28151</v>
      </c>
      <c r="E12750" s="19" t="s">
        <v>35300</v>
      </c>
      <c r="F12750" s="19" t="s">
        <v>36018</v>
      </c>
      <c r="G12750" s="18" t="str">
        <f>"78155"</f>
        <v>78155</v>
      </c>
      <c r="H12750" s="19" t="s">
        <v>36829</v>
      </c>
      <c r="I12750" s="20">
        <v>18.452999999999999</v>
      </c>
      <c r="J12750" s="44" t="s">
        <v>8</v>
      </c>
      <c r="K12750" s="23" t="s">
        <v>8</v>
      </c>
      <c r="L12750" s="23" t="s">
        <v>8</v>
      </c>
      <c r="M12750" s="23" t="s">
        <v>8</v>
      </c>
    </row>
    <row r="12751" spans="1:13" s="21" customFormat="1" x14ac:dyDescent="0.25">
      <c r="A12751" s="22" t="s">
        <v>8</v>
      </c>
      <c r="B12751" s="18" t="str">
        <f>"455870"</f>
        <v>455870</v>
      </c>
      <c r="C12751" s="19" t="s">
        <v>12533</v>
      </c>
      <c r="D12751" s="19" t="s">
        <v>28152</v>
      </c>
      <c r="E12751" s="19" t="s">
        <v>35244</v>
      </c>
      <c r="F12751" s="19" t="s">
        <v>36018</v>
      </c>
      <c r="G12751" s="18" t="str">
        <f>"78209"</f>
        <v>78209</v>
      </c>
      <c r="H12751" s="19" t="s">
        <v>36805</v>
      </c>
      <c r="I12751" s="20">
        <v>17.170999999999999</v>
      </c>
      <c r="J12751" s="44" t="s">
        <v>8</v>
      </c>
      <c r="K12751" s="23" t="s">
        <v>8</v>
      </c>
      <c r="L12751" s="23" t="s">
        <v>8</v>
      </c>
      <c r="M12751" s="23" t="s">
        <v>8</v>
      </c>
    </row>
    <row r="12752" spans="1:13" s="21" customFormat="1" x14ac:dyDescent="0.25">
      <c r="A12752" s="22" t="s">
        <v>8</v>
      </c>
      <c r="B12752" s="18" t="str">
        <f>"455871"</f>
        <v>455871</v>
      </c>
      <c r="C12752" s="19" t="s">
        <v>12534</v>
      </c>
      <c r="D12752" s="19" t="s">
        <v>28153</v>
      </c>
      <c r="E12752" s="19" t="s">
        <v>35238</v>
      </c>
      <c r="F12752" s="19" t="s">
        <v>36018</v>
      </c>
      <c r="G12752" s="18" t="str">
        <f>"79336"</f>
        <v>79336</v>
      </c>
      <c r="H12752" s="19" t="s">
        <v>36800</v>
      </c>
      <c r="I12752" s="20">
        <v>16.952999999999999</v>
      </c>
      <c r="J12752" s="44" t="s">
        <v>8</v>
      </c>
      <c r="K12752" s="23" t="s">
        <v>8</v>
      </c>
      <c r="L12752" s="23" t="s">
        <v>8</v>
      </c>
      <c r="M12752" s="23" t="s">
        <v>8</v>
      </c>
    </row>
    <row r="12753" spans="1:13" s="21" customFormat="1" x14ac:dyDescent="0.25">
      <c r="A12753" s="22" t="s">
        <v>8</v>
      </c>
      <c r="B12753" s="18" t="str">
        <f>"455872"</f>
        <v>455872</v>
      </c>
      <c r="C12753" s="19" t="s">
        <v>12535</v>
      </c>
      <c r="D12753" s="19" t="s">
        <v>28154</v>
      </c>
      <c r="E12753" s="19" t="s">
        <v>33116</v>
      </c>
      <c r="F12753" s="19" t="s">
        <v>36018</v>
      </c>
      <c r="G12753" s="18" t="str">
        <f>"76011"</f>
        <v>76011</v>
      </c>
      <c r="H12753" s="19" t="s">
        <v>36806</v>
      </c>
      <c r="I12753" s="20">
        <v>18.550999999999998</v>
      </c>
      <c r="J12753" s="44" t="s">
        <v>8</v>
      </c>
      <c r="K12753" s="23" t="s">
        <v>8</v>
      </c>
      <c r="L12753" s="23" t="s">
        <v>8</v>
      </c>
      <c r="M12753" s="23" t="s">
        <v>8</v>
      </c>
    </row>
    <row r="12754" spans="1:13" s="21" customFormat="1" x14ac:dyDescent="0.25">
      <c r="A12754" s="22" t="s">
        <v>8</v>
      </c>
      <c r="B12754" s="18" t="str">
        <f>"455876"</f>
        <v>455876</v>
      </c>
      <c r="C12754" s="19" t="s">
        <v>12536</v>
      </c>
      <c r="D12754" s="19" t="s">
        <v>28155</v>
      </c>
      <c r="E12754" s="19" t="s">
        <v>35301</v>
      </c>
      <c r="F12754" s="19" t="s">
        <v>36018</v>
      </c>
      <c r="G12754" s="18" t="str">
        <f>"77381"</f>
        <v>77381</v>
      </c>
      <c r="H12754" s="19" t="s">
        <v>30833</v>
      </c>
      <c r="I12754" s="20">
        <v>18.654</v>
      </c>
      <c r="J12754" s="44" t="s">
        <v>8</v>
      </c>
      <c r="K12754" s="23" t="s">
        <v>8</v>
      </c>
      <c r="L12754" s="23" t="s">
        <v>8</v>
      </c>
      <c r="M12754" s="23" t="s">
        <v>8</v>
      </c>
    </row>
    <row r="12755" spans="1:13" s="21" customFormat="1" x14ac:dyDescent="0.25">
      <c r="A12755" s="22" t="s">
        <v>8</v>
      </c>
      <c r="B12755" s="18" t="str">
        <f>"455879"</f>
        <v>455879</v>
      </c>
      <c r="C12755" s="19" t="s">
        <v>12537</v>
      </c>
      <c r="D12755" s="19" t="s">
        <v>28156</v>
      </c>
      <c r="E12755" s="19" t="s">
        <v>31063</v>
      </c>
      <c r="F12755" s="19" t="s">
        <v>36018</v>
      </c>
      <c r="G12755" s="18" t="str">
        <f>"75670"</f>
        <v>75670</v>
      </c>
      <c r="H12755" s="19" t="s">
        <v>31020</v>
      </c>
      <c r="I12755" s="20">
        <v>19.25</v>
      </c>
      <c r="J12755" s="44" t="s">
        <v>8</v>
      </c>
      <c r="K12755" s="23" t="s">
        <v>8</v>
      </c>
      <c r="L12755" s="23" t="s">
        <v>8</v>
      </c>
      <c r="M12755" s="23" t="s">
        <v>8</v>
      </c>
    </row>
    <row r="12756" spans="1:13" s="21" customFormat="1" x14ac:dyDescent="0.25">
      <c r="A12756" s="22" t="s">
        <v>8</v>
      </c>
      <c r="B12756" s="18" t="str">
        <f>"455881"</f>
        <v>455881</v>
      </c>
      <c r="C12756" s="19" t="s">
        <v>12538</v>
      </c>
      <c r="D12756" s="19" t="s">
        <v>28157</v>
      </c>
      <c r="E12756" s="19" t="s">
        <v>35245</v>
      </c>
      <c r="F12756" s="19" t="s">
        <v>36018</v>
      </c>
      <c r="G12756" s="18" t="str">
        <f>"76104"</f>
        <v>76104</v>
      </c>
      <c r="H12756" s="19" t="s">
        <v>36806</v>
      </c>
      <c r="I12756" s="20">
        <v>18.856000000000002</v>
      </c>
      <c r="J12756" s="44" t="s">
        <v>8</v>
      </c>
      <c r="K12756" s="23" t="s">
        <v>8</v>
      </c>
      <c r="L12756" s="23" t="s">
        <v>8</v>
      </c>
      <c r="M12756" s="23" t="s">
        <v>8</v>
      </c>
    </row>
    <row r="12757" spans="1:13" s="21" customFormat="1" x14ac:dyDescent="0.25">
      <c r="A12757" s="22" t="s">
        <v>8</v>
      </c>
      <c r="B12757" s="18" t="str">
        <f>"455887"</f>
        <v>455887</v>
      </c>
      <c r="C12757" s="19" t="s">
        <v>12539</v>
      </c>
      <c r="D12757" s="19" t="s">
        <v>28158</v>
      </c>
      <c r="E12757" s="19" t="s">
        <v>33383</v>
      </c>
      <c r="F12757" s="19" t="s">
        <v>36018</v>
      </c>
      <c r="G12757" s="18" t="str">
        <f>"78704"</f>
        <v>78704</v>
      </c>
      <c r="H12757" s="19" t="s">
        <v>36817</v>
      </c>
      <c r="I12757" s="20">
        <v>20.238</v>
      </c>
      <c r="J12757" s="44" t="s">
        <v>8</v>
      </c>
      <c r="K12757" s="23" t="s">
        <v>8</v>
      </c>
      <c r="L12757" s="23" t="s">
        <v>8</v>
      </c>
      <c r="M12757" s="23" t="s">
        <v>8</v>
      </c>
    </row>
    <row r="12758" spans="1:13" s="21" customFormat="1" x14ac:dyDescent="0.25">
      <c r="A12758" s="22" t="s">
        <v>8</v>
      </c>
      <c r="B12758" s="18" t="str">
        <f>"455889"</f>
        <v>455889</v>
      </c>
      <c r="C12758" s="19" t="s">
        <v>12540</v>
      </c>
      <c r="D12758" s="19" t="s">
        <v>28159</v>
      </c>
      <c r="E12758" s="19" t="s">
        <v>35255</v>
      </c>
      <c r="F12758" s="19" t="s">
        <v>36018</v>
      </c>
      <c r="G12758" s="18" t="str">
        <f>"76550"</f>
        <v>76550</v>
      </c>
      <c r="H12758" s="19" t="s">
        <v>35255</v>
      </c>
      <c r="I12758" s="20">
        <v>19.116</v>
      </c>
      <c r="J12758" s="44" t="s">
        <v>8</v>
      </c>
      <c r="K12758" s="23" t="s">
        <v>8</v>
      </c>
      <c r="L12758" s="23" t="s">
        <v>8</v>
      </c>
      <c r="M12758" s="23" t="s">
        <v>8</v>
      </c>
    </row>
    <row r="12759" spans="1:13" s="21" customFormat="1" x14ac:dyDescent="0.25">
      <c r="A12759" s="22" t="s">
        <v>8</v>
      </c>
      <c r="B12759" s="18" t="str">
        <f>"455891"</f>
        <v>455891</v>
      </c>
      <c r="C12759" s="19" t="s">
        <v>12541</v>
      </c>
      <c r="D12759" s="19" t="s">
        <v>28160</v>
      </c>
      <c r="E12759" s="19" t="s">
        <v>35245</v>
      </c>
      <c r="F12759" s="19" t="s">
        <v>36018</v>
      </c>
      <c r="G12759" s="18" t="str">
        <f>"76109"</f>
        <v>76109</v>
      </c>
      <c r="H12759" s="19" t="s">
        <v>36806</v>
      </c>
      <c r="I12759" s="20">
        <v>24.565000000000001</v>
      </c>
      <c r="J12759" s="44" t="s">
        <v>8</v>
      </c>
      <c r="K12759" s="23" t="s">
        <v>8</v>
      </c>
      <c r="L12759" s="23" t="s">
        <v>8</v>
      </c>
      <c r="M12759" s="23" t="s">
        <v>8</v>
      </c>
    </row>
    <row r="12760" spans="1:13" s="21" customFormat="1" x14ac:dyDescent="0.25">
      <c r="A12760" s="22" t="s">
        <v>8</v>
      </c>
      <c r="B12760" s="18" t="str">
        <f>"455892"</f>
        <v>455892</v>
      </c>
      <c r="C12760" s="19" t="s">
        <v>12542</v>
      </c>
      <c r="D12760" s="19" t="s">
        <v>28161</v>
      </c>
      <c r="E12760" s="19" t="s">
        <v>35302</v>
      </c>
      <c r="F12760" s="19" t="s">
        <v>36018</v>
      </c>
      <c r="G12760" s="18" t="str">
        <f>"77573"</f>
        <v>77573</v>
      </c>
      <c r="H12760" s="19" t="s">
        <v>35824</v>
      </c>
      <c r="I12760" s="20">
        <v>18.658000000000001</v>
      </c>
      <c r="J12760" s="44" t="s">
        <v>8</v>
      </c>
      <c r="K12760" s="23" t="s">
        <v>8</v>
      </c>
      <c r="L12760" s="23" t="s">
        <v>8</v>
      </c>
      <c r="M12760" s="23" t="s">
        <v>8</v>
      </c>
    </row>
    <row r="12761" spans="1:13" s="21" customFormat="1" x14ac:dyDescent="0.25">
      <c r="A12761" s="22" t="s">
        <v>8</v>
      </c>
      <c r="B12761" s="18" t="str">
        <f>"455893"</f>
        <v>455893</v>
      </c>
      <c r="C12761" s="19" t="s">
        <v>12543</v>
      </c>
      <c r="D12761" s="19" t="s">
        <v>28162</v>
      </c>
      <c r="E12761" s="19" t="s">
        <v>35303</v>
      </c>
      <c r="F12761" s="19" t="s">
        <v>36018</v>
      </c>
      <c r="G12761" s="18" t="str">
        <f>"76365"</f>
        <v>76365</v>
      </c>
      <c r="H12761" s="19" t="s">
        <v>36030</v>
      </c>
      <c r="I12761" s="20">
        <v>19.716999999999999</v>
      </c>
      <c r="J12761" s="44" t="s">
        <v>8</v>
      </c>
      <c r="K12761" s="23" t="s">
        <v>8</v>
      </c>
      <c r="L12761" s="23" t="s">
        <v>8</v>
      </c>
      <c r="M12761" s="23" t="s">
        <v>8</v>
      </c>
    </row>
    <row r="12762" spans="1:13" s="21" customFormat="1" x14ac:dyDescent="0.25">
      <c r="A12762" s="22" t="s">
        <v>8</v>
      </c>
      <c r="B12762" s="18" t="str">
        <f>"455895"</f>
        <v>455895</v>
      </c>
      <c r="C12762" s="19" t="s">
        <v>12544</v>
      </c>
      <c r="D12762" s="19" t="s">
        <v>28163</v>
      </c>
      <c r="E12762" s="19" t="s">
        <v>31723</v>
      </c>
      <c r="F12762" s="19" t="s">
        <v>36018</v>
      </c>
      <c r="G12762" s="18" t="str">
        <f>"75238"</f>
        <v>75238</v>
      </c>
      <c r="H12762" s="19" t="s">
        <v>31723</v>
      </c>
      <c r="I12762" s="20">
        <v>19.099</v>
      </c>
      <c r="J12762" s="44" t="s">
        <v>8</v>
      </c>
      <c r="K12762" s="23" t="s">
        <v>8</v>
      </c>
      <c r="L12762" s="23" t="s">
        <v>8</v>
      </c>
      <c r="M12762" s="23" t="s">
        <v>8</v>
      </c>
    </row>
    <row r="12763" spans="1:13" s="21" customFormat="1" x14ac:dyDescent="0.25">
      <c r="A12763" s="22" t="s">
        <v>8</v>
      </c>
      <c r="B12763" s="18" t="str">
        <f>"455900"</f>
        <v>455900</v>
      </c>
      <c r="C12763" s="19" t="s">
        <v>12545</v>
      </c>
      <c r="D12763" s="19" t="s">
        <v>28164</v>
      </c>
      <c r="E12763" s="19" t="s">
        <v>32348</v>
      </c>
      <c r="F12763" s="19" t="s">
        <v>36018</v>
      </c>
      <c r="G12763" s="18" t="str">
        <f>"75455"</f>
        <v>75455</v>
      </c>
      <c r="H12763" s="19" t="s">
        <v>36812</v>
      </c>
      <c r="I12763" s="20">
        <v>20.376000000000001</v>
      </c>
      <c r="J12763" s="44" t="s">
        <v>8</v>
      </c>
      <c r="K12763" s="23" t="s">
        <v>8</v>
      </c>
      <c r="L12763" s="23" t="s">
        <v>8</v>
      </c>
      <c r="M12763" s="23" t="s">
        <v>8</v>
      </c>
    </row>
    <row r="12764" spans="1:13" s="21" customFormat="1" x14ac:dyDescent="0.25">
      <c r="A12764" s="22" t="s">
        <v>8</v>
      </c>
      <c r="B12764" s="18" t="str">
        <f>"455901"</f>
        <v>455901</v>
      </c>
      <c r="C12764" s="19" t="s">
        <v>12546</v>
      </c>
      <c r="D12764" s="19" t="s">
        <v>28165</v>
      </c>
      <c r="E12764" s="19" t="s">
        <v>35304</v>
      </c>
      <c r="F12764" s="19" t="s">
        <v>36018</v>
      </c>
      <c r="G12764" s="18" t="str">
        <f>"76301"</f>
        <v>76301</v>
      </c>
      <c r="H12764" s="19" t="s">
        <v>32555</v>
      </c>
      <c r="I12764" s="20">
        <v>17.673999999999999</v>
      </c>
      <c r="J12764" s="44" t="s">
        <v>8</v>
      </c>
      <c r="K12764" s="23" t="s">
        <v>8</v>
      </c>
      <c r="L12764" s="23" t="s">
        <v>8</v>
      </c>
      <c r="M12764" s="23" t="s">
        <v>8</v>
      </c>
    </row>
    <row r="12765" spans="1:13" s="21" customFormat="1" x14ac:dyDescent="0.25">
      <c r="A12765" s="22" t="s">
        <v>8</v>
      </c>
      <c r="B12765" s="18" t="str">
        <f>"455903"</f>
        <v>455903</v>
      </c>
      <c r="C12765" s="19" t="s">
        <v>12547</v>
      </c>
      <c r="D12765" s="19" t="s">
        <v>28166</v>
      </c>
      <c r="E12765" s="19" t="s">
        <v>31523</v>
      </c>
      <c r="F12765" s="19" t="s">
        <v>36018</v>
      </c>
      <c r="G12765" s="18" t="str">
        <f>"76135"</f>
        <v>76135</v>
      </c>
      <c r="H12765" s="19" t="s">
        <v>36806</v>
      </c>
      <c r="I12765" s="20">
        <v>17.957999999999998</v>
      </c>
      <c r="J12765" s="44" t="s">
        <v>8</v>
      </c>
      <c r="K12765" s="23" t="s">
        <v>8</v>
      </c>
      <c r="L12765" s="23" t="s">
        <v>8</v>
      </c>
      <c r="M12765" s="23" t="s">
        <v>8</v>
      </c>
    </row>
    <row r="12766" spans="1:13" s="21" customFormat="1" x14ac:dyDescent="0.25">
      <c r="A12766" s="22" t="s">
        <v>8</v>
      </c>
      <c r="B12766" s="18" t="str">
        <f>"455904"</f>
        <v>455904</v>
      </c>
      <c r="C12766" s="19" t="s">
        <v>12548</v>
      </c>
      <c r="D12766" s="19" t="s">
        <v>28167</v>
      </c>
      <c r="E12766" s="19" t="s">
        <v>35305</v>
      </c>
      <c r="F12766" s="19" t="s">
        <v>36018</v>
      </c>
      <c r="G12766" s="18" t="str">
        <f>"75088"</f>
        <v>75088</v>
      </c>
      <c r="H12766" s="19" t="s">
        <v>31723</v>
      </c>
      <c r="I12766" s="20">
        <v>20.914999999999999</v>
      </c>
      <c r="J12766" s="44" t="s">
        <v>8</v>
      </c>
      <c r="K12766" s="23" t="s">
        <v>8</v>
      </c>
      <c r="L12766" s="23" t="s">
        <v>8</v>
      </c>
      <c r="M12766" s="23" t="s">
        <v>8</v>
      </c>
    </row>
    <row r="12767" spans="1:13" s="21" customFormat="1" x14ac:dyDescent="0.25">
      <c r="A12767" s="22" t="s">
        <v>8</v>
      </c>
      <c r="B12767" s="18" t="str">
        <f>"455906"</f>
        <v>455906</v>
      </c>
      <c r="C12767" s="19" t="s">
        <v>12549</v>
      </c>
      <c r="D12767" s="19" t="s">
        <v>28168</v>
      </c>
      <c r="E12767" s="19" t="s">
        <v>35289</v>
      </c>
      <c r="F12767" s="19" t="s">
        <v>36018</v>
      </c>
      <c r="G12767" s="18" t="str">
        <f>"76401"</f>
        <v>76401</v>
      </c>
      <c r="H12767" s="19" t="s">
        <v>36823</v>
      </c>
      <c r="I12767" s="20">
        <v>17.988</v>
      </c>
      <c r="J12767" s="44" t="s">
        <v>8</v>
      </c>
      <c r="K12767" s="23" t="s">
        <v>8</v>
      </c>
      <c r="L12767" s="23" t="s">
        <v>8</v>
      </c>
      <c r="M12767" s="23" t="s">
        <v>8</v>
      </c>
    </row>
    <row r="12768" spans="1:13" s="21" customFormat="1" x14ac:dyDescent="0.25">
      <c r="A12768" s="22" t="s">
        <v>8</v>
      </c>
      <c r="B12768" s="18" t="str">
        <f>"455908"</f>
        <v>455908</v>
      </c>
      <c r="C12768" s="19" t="s">
        <v>12550</v>
      </c>
      <c r="D12768" s="19" t="s">
        <v>28169</v>
      </c>
      <c r="E12768" s="19" t="s">
        <v>35306</v>
      </c>
      <c r="F12768" s="19" t="s">
        <v>36018</v>
      </c>
      <c r="G12768" s="18" t="str">
        <f>"78956"</f>
        <v>78956</v>
      </c>
      <c r="H12768" s="19" t="s">
        <v>30805</v>
      </c>
      <c r="I12768" s="20">
        <v>21.928999999999998</v>
      </c>
      <c r="J12768" s="44" t="s">
        <v>8</v>
      </c>
      <c r="K12768" s="23" t="s">
        <v>8</v>
      </c>
      <c r="L12768" s="23" t="s">
        <v>8</v>
      </c>
      <c r="M12768" s="23" t="s">
        <v>8</v>
      </c>
    </row>
    <row r="12769" spans="1:13" s="21" customFormat="1" x14ac:dyDescent="0.25">
      <c r="A12769" s="22" t="s">
        <v>8</v>
      </c>
      <c r="B12769" s="18" t="str">
        <f>"455910"</f>
        <v>455910</v>
      </c>
      <c r="C12769" s="19" t="s">
        <v>10723</v>
      </c>
      <c r="D12769" s="19" t="s">
        <v>25450</v>
      </c>
      <c r="E12769" s="19" t="s">
        <v>30949</v>
      </c>
      <c r="F12769" s="19" t="s">
        <v>36018</v>
      </c>
      <c r="G12769" s="18" t="str">
        <f>"75758"</f>
        <v>75758</v>
      </c>
      <c r="H12769" s="19" t="s">
        <v>32699</v>
      </c>
      <c r="I12769" s="20">
        <v>19.326000000000001</v>
      </c>
      <c r="J12769" s="44" t="s">
        <v>8</v>
      </c>
      <c r="K12769" s="23" t="s">
        <v>8</v>
      </c>
      <c r="L12769" s="23" t="s">
        <v>8</v>
      </c>
      <c r="M12769" s="23" t="s">
        <v>8</v>
      </c>
    </row>
    <row r="12770" spans="1:13" s="21" customFormat="1" x14ac:dyDescent="0.25">
      <c r="A12770" s="22" t="s">
        <v>8</v>
      </c>
      <c r="B12770" s="18" t="str">
        <f>"455913"</f>
        <v>455913</v>
      </c>
      <c r="C12770" s="19" t="s">
        <v>12551</v>
      </c>
      <c r="D12770" s="19" t="s">
        <v>28170</v>
      </c>
      <c r="E12770" s="19" t="s">
        <v>31723</v>
      </c>
      <c r="F12770" s="19" t="s">
        <v>36018</v>
      </c>
      <c r="G12770" s="18" t="str">
        <f>"75225"</f>
        <v>75225</v>
      </c>
      <c r="H12770" s="19" t="s">
        <v>31723</v>
      </c>
      <c r="I12770" s="20">
        <v>17.896000000000001</v>
      </c>
      <c r="J12770" s="44" t="s">
        <v>8</v>
      </c>
      <c r="K12770" s="23" t="s">
        <v>8</v>
      </c>
      <c r="L12770" s="23" t="s">
        <v>8</v>
      </c>
      <c r="M12770" s="23" t="s">
        <v>8</v>
      </c>
    </row>
    <row r="12771" spans="1:13" s="21" customFormat="1" x14ac:dyDescent="0.25">
      <c r="A12771" s="22" t="s">
        <v>8</v>
      </c>
      <c r="B12771" s="18" t="str">
        <f>"455915"</f>
        <v>455915</v>
      </c>
      <c r="C12771" s="19" t="s">
        <v>12552</v>
      </c>
      <c r="D12771" s="19" t="s">
        <v>28171</v>
      </c>
      <c r="E12771" s="19" t="s">
        <v>35307</v>
      </c>
      <c r="F12771" s="19" t="s">
        <v>36018</v>
      </c>
      <c r="G12771" s="18" t="str">
        <f>"76048"</f>
        <v>76048</v>
      </c>
      <c r="H12771" s="19" t="s">
        <v>36830</v>
      </c>
      <c r="I12771" s="20">
        <v>20.108000000000001</v>
      </c>
      <c r="J12771" s="44" t="s">
        <v>8</v>
      </c>
      <c r="K12771" s="23" t="s">
        <v>8</v>
      </c>
      <c r="L12771" s="23" t="s">
        <v>8</v>
      </c>
      <c r="M12771" s="23" t="s">
        <v>8</v>
      </c>
    </row>
    <row r="12772" spans="1:13" s="21" customFormat="1" x14ac:dyDescent="0.25">
      <c r="A12772" s="22" t="s">
        <v>8</v>
      </c>
      <c r="B12772" s="18" t="str">
        <f>"455916"</f>
        <v>455916</v>
      </c>
      <c r="C12772" s="19" t="s">
        <v>12553</v>
      </c>
      <c r="D12772" s="19" t="s">
        <v>28172</v>
      </c>
      <c r="E12772" s="19" t="s">
        <v>35304</v>
      </c>
      <c r="F12772" s="19" t="s">
        <v>36018</v>
      </c>
      <c r="G12772" s="18" t="str">
        <f>"76310"</f>
        <v>76310</v>
      </c>
      <c r="H12772" s="19" t="s">
        <v>32555</v>
      </c>
      <c r="I12772" s="20">
        <v>17.372</v>
      </c>
      <c r="J12772" s="44" t="s">
        <v>8</v>
      </c>
      <c r="K12772" s="23" t="s">
        <v>8</v>
      </c>
      <c r="L12772" s="23" t="s">
        <v>8</v>
      </c>
      <c r="M12772" s="23" t="s">
        <v>8</v>
      </c>
    </row>
    <row r="12773" spans="1:13" s="21" customFormat="1" x14ac:dyDescent="0.25">
      <c r="A12773" s="22" t="s">
        <v>8</v>
      </c>
      <c r="B12773" s="18" t="str">
        <f>"455917"</f>
        <v>455917</v>
      </c>
      <c r="C12773" s="19" t="s">
        <v>12554</v>
      </c>
      <c r="D12773" s="19" t="s">
        <v>28173</v>
      </c>
      <c r="E12773" s="19" t="s">
        <v>35308</v>
      </c>
      <c r="F12773" s="19" t="s">
        <v>36018</v>
      </c>
      <c r="G12773" s="18" t="str">
        <f>"78676"</f>
        <v>78676</v>
      </c>
      <c r="H12773" s="19" t="s">
        <v>32610</v>
      </c>
      <c r="I12773" s="20">
        <v>20.460999999999999</v>
      </c>
      <c r="J12773" s="44" t="s">
        <v>8</v>
      </c>
      <c r="K12773" s="23" t="s">
        <v>8</v>
      </c>
      <c r="L12773" s="23" t="s">
        <v>8</v>
      </c>
      <c r="M12773" s="23" t="s">
        <v>8</v>
      </c>
    </row>
    <row r="12774" spans="1:13" s="21" customFormat="1" x14ac:dyDescent="0.25">
      <c r="A12774" s="22" t="s">
        <v>8</v>
      </c>
      <c r="B12774" s="18" t="str">
        <f>"455923"</f>
        <v>455923</v>
      </c>
      <c r="C12774" s="19" t="s">
        <v>12555</v>
      </c>
      <c r="D12774" s="19" t="s">
        <v>28174</v>
      </c>
      <c r="E12774" s="19" t="s">
        <v>35270</v>
      </c>
      <c r="F12774" s="19" t="s">
        <v>36018</v>
      </c>
      <c r="G12774" s="18" t="str">
        <f>"78102"</f>
        <v>78102</v>
      </c>
      <c r="H12774" s="19" t="s">
        <v>36818</v>
      </c>
      <c r="I12774" s="20">
        <v>18.510000000000002</v>
      </c>
      <c r="J12774" s="44" t="s">
        <v>8</v>
      </c>
      <c r="K12774" s="23" t="s">
        <v>8</v>
      </c>
      <c r="L12774" s="23" t="s">
        <v>8</v>
      </c>
      <c r="M12774" s="23" t="s">
        <v>8</v>
      </c>
    </row>
    <row r="12775" spans="1:13" s="21" customFormat="1" x14ac:dyDescent="0.25">
      <c r="A12775" s="22" t="s">
        <v>8</v>
      </c>
      <c r="B12775" s="18" t="str">
        <f>"455925"</f>
        <v>455925</v>
      </c>
      <c r="C12775" s="19" t="s">
        <v>12556</v>
      </c>
      <c r="D12775" s="19" t="s">
        <v>28175</v>
      </c>
      <c r="E12775" s="19" t="s">
        <v>35276</v>
      </c>
      <c r="F12775" s="19" t="s">
        <v>36018</v>
      </c>
      <c r="G12775" s="18" t="str">
        <f>"78550"</f>
        <v>78550</v>
      </c>
      <c r="H12775" s="19" t="s">
        <v>33578</v>
      </c>
      <c r="I12775" s="20">
        <v>18.741</v>
      </c>
      <c r="J12775" s="44" t="s">
        <v>8</v>
      </c>
      <c r="K12775" s="23" t="s">
        <v>8</v>
      </c>
      <c r="L12775" s="23" t="s">
        <v>8</v>
      </c>
      <c r="M12775" s="23" t="s">
        <v>8</v>
      </c>
    </row>
    <row r="12776" spans="1:13" s="21" customFormat="1" x14ac:dyDescent="0.25">
      <c r="A12776" s="22" t="s">
        <v>8</v>
      </c>
      <c r="B12776" s="18" t="str">
        <f>"455929"</f>
        <v>455929</v>
      </c>
      <c r="C12776" s="19" t="s">
        <v>12557</v>
      </c>
      <c r="D12776" s="19" t="s">
        <v>28176</v>
      </c>
      <c r="E12776" s="19" t="s">
        <v>35307</v>
      </c>
      <c r="F12776" s="19" t="s">
        <v>36018</v>
      </c>
      <c r="G12776" s="18" t="str">
        <f>"76048"</f>
        <v>76048</v>
      </c>
      <c r="H12776" s="19" t="s">
        <v>36830</v>
      </c>
      <c r="I12776" s="20">
        <v>18.568999999999999</v>
      </c>
      <c r="J12776" s="44" t="s">
        <v>8</v>
      </c>
      <c r="K12776" s="23" t="s">
        <v>8</v>
      </c>
      <c r="L12776" s="23" t="s">
        <v>8</v>
      </c>
      <c r="M12776" s="23" t="s">
        <v>8</v>
      </c>
    </row>
    <row r="12777" spans="1:13" s="21" customFormat="1" x14ac:dyDescent="0.25">
      <c r="A12777" s="22" t="s">
        <v>8</v>
      </c>
      <c r="B12777" s="18" t="str">
        <f>"455930"</f>
        <v>455930</v>
      </c>
      <c r="C12777" s="19" t="s">
        <v>12558</v>
      </c>
      <c r="D12777" s="19" t="s">
        <v>28177</v>
      </c>
      <c r="E12777" s="19" t="s">
        <v>35309</v>
      </c>
      <c r="F12777" s="19" t="s">
        <v>36018</v>
      </c>
      <c r="G12777" s="18" t="str">
        <f>"76258"</f>
        <v>76258</v>
      </c>
      <c r="H12777" s="19" t="s">
        <v>32938</v>
      </c>
      <c r="I12777" s="20">
        <v>19.265000000000001</v>
      </c>
      <c r="J12777" s="44" t="s">
        <v>8</v>
      </c>
      <c r="K12777" s="23" t="s">
        <v>8</v>
      </c>
      <c r="L12777" s="23" t="s">
        <v>8</v>
      </c>
      <c r="M12777" s="23" t="s">
        <v>8</v>
      </c>
    </row>
    <row r="12778" spans="1:13" s="21" customFormat="1" x14ac:dyDescent="0.25">
      <c r="A12778" s="22" t="s">
        <v>8</v>
      </c>
      <c r="B12778" s="18" t="str">
        <f>"455931"</f>
        <v>455931</v>
      </c>
      <c r="C12778" s="19" t="s">
        <v>12559</v>
      </c>
      <c r="D12778" s="19" t="s">
        <v>28178</v>
      </c>
      <c r="E12778" s="19" t="s">
        <v>30903</v>
      </c>
      <c r="F12778" s="19" t="s">
        <v>36018</v>
      </c>
      <c r="G12778" s="18" t="str">
        <f>"76384"</f>
        <v>76384</v>
      </c>
      <c r="H12778" s="19" t="s">
        <v>36797</v>
      </c>
      <c r="I12778" s="20">
        <v>20.167999999999999</v>
      </c>
      <c r="J12778" s="44" t="s">
        <v>8</v>
      </c>
      <c r="K12778" s="23" t="s">
        <v>8</v>
      </c>
      <c r="L12778" s="23" t="s">
        <v>8</v>
      </c>
      <c r="M12778" s="23" t="s">
        <v>8</v>
      </c>
    </row>
    <row r="12779" spans="1:13" s="21" customFormat="1" x14ac:dyDescent="0.25">
      <c r="A12779" s="22" t="s">
        <v>8</v>
      </c>
      <c r="B12779" s="18" t="str">
        <f>"455932"</f>
        <v>455932</v>
      </c>
      <c r="C12779" s="19" t="s">
        <v>12560</v>
      </c>
      <c r="D12779" s="19" t="s">
        <v>28179</v>
      </c>
      <c r="E12779" s="19" t="s">
        <v>31912</v>
      </c>
      <c r="F12779" s="19" t="s">
        <v>36018</v>
      </c>
      <c r="G12779" s="18" t="str">
        <f>"76374"</f>
        <v>76374</v>
      </c>
      <c r="H12779" s="19" t="s">
        <v>36787</v>
      </c>
      <c r="I12779" s="20">
        <v>18.442</v>
      </c>
      <c r="J12779" s="44" t="s">
        <v>8</v>
      </c>
      <c r="K12779" s="23" t="s">
        <v>8</v>
      </c>
      <c r="L12779" s="23" t="s">
        <v>8</v>
      </c>
      <c r="M12779" s="23" t="s">
        <v>8</v>
      </c>
    </row>
    <row r="12780" spans="1:13" s="21" customFormat="1" x14ac:dyDescent="0.25">
      <c r="A12780" s="22" t="s">
        <v>8</v>
      </c>
      <c r="B12780" s="18" t="str">
        <f>"455935"</f>
        <v>455935</v>
      </c>
      <c r="C12780" s="19" t="s">
        <v>12561</v>
      </c>
      <c r="D12780" s="19" t="s">
        <v>28180</v>
      </c>
      <c r="E12780" s="19" t="s">
        <v>31965</v>
      </c>
      <c r="F12780" s="19" t="s">
        <v>36018</v>
      </c>
      <c r="G12780" s="18" t="str">
        <f>"79936"</f>
        <v>79936</v>
      </c>
      <c r="H12780" s="19" t="s">
        <v>31965</v>
      </c>
      <c r="I12780" s="20">
        <v>20.645</v>
      </c>
      <c r="J12780" s="44" t="s">
        <v>8</v>
      </c>
      <c r="K12780" s="23" t="s">
        <v>8</v>
      </c>
      <c r="L12780" s="23" t="s">
        <v>8</v>
      </c>
      <c r="M12780" s="23" t="s">
        <v>8</v>
      </c>
    </row>
    <row r="12781" spans="1:13" s="21" customFormat="1" x14ac:dyDescent="0.25">
      <c r="A12781" s="22" t="s">
        <v>8</v>
      </c>
      <c r="B12781" s="18" t="str">
        <f>"455936"</f>
        <v>455936</v>
      </c>
      <c r="C12781" s="19" t="s">
        <v>12562</v>
      </c>
      <c r="D12781" s="19" t="s">
        <v>28181</v>
      </c>
      <c r="E12781" s="19" t="s">
        <v>35232</v>
      </c>
      <c r="F12781" s="19" t="s">
        <v>36018</v>
      </c>
      <c r="G12781" s="18" t="str">
        <f>"79331"</f>
        <v>79331</v>
      </c>
      <c r="H12781" s="19" t="s">
        <v>31786</v>
      </c>
      <c r="I12781" s="20">
        <v>17.431999999999999</v>
      </c>
      <c r="J12781" s="44" t="s">
        <v>8</v>
      </c>
      <c r="K12781" s="23" t="s">
        <v>8</v>
      </c>
      <c r="L12781" s="23" t="s">
        <v>8</v>
      </c>
      <c r="M12781" s="23" t="s">
        <v>8</v>
      </c>
    </row>
    <row r="12782" spans="1:13" s="21" customFormat="1" x14ac:dyDescent="0.25">
      <c r="A12782" s="22" t="s">
        <v>8</v>
      </c>
      <c r="B12782" s="18" t="str">
        <f>"455940"</f>
        <v>455940</v>
      </c>
      <c r="C12782" s="19" t="s">
        <v>12563</v>
      </c>
      <c r="D12782" s="19" t="s">
        <v>28182</v>
      </c>
      <c r="E12782" s="19" t="s">
        <v>35310</v>
      </c>
      <c r="F12782" s="19" t="s">
        <v>36018</v>
      </c>
      <c r="G12782" s="18" t="str">
        <f>"79414"</f>
        <v>79414</v>
      </c>
      <c r="H12782" s="19" t="s">
        <v>35310</v>
      </c>
      <c r="I12782" s="20">
        <v>18.48</v>
      </c>
      <c r="J12782" s="44" t="s">
        <v>8</v>
      </c>
      <c r="K12782" s="23" t="s">
        <v>8</v>
      </c>
      <c r="L12782" s="23" t="s">
        <v>8</v>
      </c>
      <c r="M12782" s="23" t="s">
        <v>8</v>
      </c>
    </row>
    <row r="12783" spans="1:13" s="21" customFormat="1" x14ac:dyDescent="0.25">
      <c r="A12783" s="22" t="s">
        <v>8</v>
      </c>
      <c r="B12783" s="18" t="str">
        <f>"455941"</f>
        <v>455941</v>
      </c>
      <c r="C12783" s="19" t="s">
        <v>12564</v>
      </c>
      <c r="D12783" s="19" t="s">
        <v>28183</v>
      </c>
      <c r="E12783" s="19" t="s">
        <v>35242</v>
      </c>
      <c r="F12783" s="19" t="s">
        <v>36018</v>
      </c>
      <c r="G12783" s="18" t="str">
        <f>"78624"</f>
        <v>78624</v>
      </c>
      <c r="H12783" s="19" t="s">
        <v>31975</v>
      </c>
      <c r="I12783" s="20">
        <v>20.574000000000002</v>
      </c>
      <c r="J12783" s="44" t="s">
        <v>8</v>
      </c>
      <c r="K12783" s="23" t="s">
        <v>8</v>
      </c>
      <c r="L12783" s="23" t="s">
        <v>8</v>
      </c>
      <c r="M12783" s="23" t="s">
        <v>8</v>
      </c>
    </row>
    <row r="12784" spans="1:13" s="21" customFormat="1" x14ac:dyDescent="0.25">
      <c r="A12784" s="22" t="s">
        <v>8</v>
      </c>
      <c r="B12784" s="18" t="str">
        <f>"455942"</f>
        <v>455942</v>
      </c>
      <c r="C12784" s="19" t="s">
        <v>12565</v>
      </c>
      <c r="D12784" s="19" t="s">
        <v>28184</v>
      </c>
      <c r="E12784" s="19" t="s">
        <v>35310</v>
      </c>
      <c r="F12784" s="19" t="s">
        <v>36018</v>
      </c>
      <c r="G12784" s="18" t="str">
        <f>"79410"</f>
        <v>79410</v>
      </c>
      <c r="H12784" s="19" t="s">
        <v>35310</v>
      </c>
      <c r="I12784" s="20">
        <v>17.52</v>
      </c>
      <c r="J12784" s="44" t="s">
        <v>8</v>
      </c>
      <c r="K12784" s="23" t="s">
        <v>8</v>
      </c>
      <c r="L12784" s="23" t="s">
        <v>8</v>
      </c>
      <c r="M12784" s="23" t="s">
        <v>8</v>
      </c>
    </row>
    <row r="12785" spans="1:13" s="21" customFormat="1" x14ac:dyDescent="0.25">
      <c r="A12785" s="22" t="s">
        <v>8</v>
      </c>
      <c r="B12785" s="18" t="str">
        <f>"455944"</f>
        <v>455944</v>
      </c>
      <c r="C12785" s="19" t="s">
        <v>12566</v>
      </c>
      <c r="D12785" s="19" t="s">
        <v>28185</v>
      </c>
      <c r="E12785" s="19" t="s">
        <v>31010</v>
      </c>
      <c r="F12785" s="19" t="s">
        <v>36018</v>
      </c>
      <c r="G12785" s="18" t="str">
        <f>"75426"</f>
        <v>75426</v>
      </c>
      <c r="H12785" s="19" t="s">
        <v>36389</v>
      </c>
      <c r="I12785" s="20">
        <v>19.850999999999999</v>
      </c>
      <c r="J12785" s="44" t="s">
        <v>8</v>
      </c>
      <c r="K12785" s="23" t="s">
        <v>8</v>
      </c>
      <c r="L12785" s="23" t="s">
        <v>8</v>
      </c>
      <c r="M12785" s="23" t="s">
        <v>8</v>
      </c>
    </row>
    <row r="12786" spans="1:13" s="21" customFormat="1" x14ac:dyDescent="0.25">
      <c r="A12786" s="22" t="s">
        <v>8</v>
      </c>
      <c r="B12786" s="18" t="str">
        <f>"455946"</f>
        <v>455946</v>
      </c>
      <c r="C12786" s="19" t="s">
        <v>12567</v>
      </c>
      <c r="D12786" s="19" t="s">
        <v>28186</v>
      </c>
      <c r="E12786" s="19" t="s">
        <v>35184</v>
      </c>
      <c r="F12786" s="19" t="s">
        <v>36018</v>
      </c>
      <c r="G12786" s="18" t="str">
        <f>"79556"</f>
        <v>79556</v>
      </c>
      <c r="H12786" s="19" t="s">
        <v>36786</v>
      </c>
      <c r="I12786" s="20">
        <v>18.010999999999999</v>
      </c>
      <c r="J12786" s="44" t="s">
        <v>8</v>
      </c>
      <c r="K12786" s="23" t="s">
        <v>8</v>
      </c>
      <c r="L12786" s="23" t="s">
        <v>8</v>
      </c>
      <c r="M12786" s="23" t="s">
        <v>8</v>
      </c>
    </row>
    <row r="12787" spans="1:13" s="21" customFormat="1" x14ac:dyDescent="0.25">
      <c r="A12787" s="22" t="s">
        <v>8</v>
      </c>
      <c r="B12787" s="18" t="str">
        <f>"455951"</f>
        <v>455951</v>
      </c>
      <c r="C12787" s="19" t="s">
        <v>12568</v>
      </c>
      <c r="D12787" s="19" t="s">
        <v>28187</v>
      </c>
      <c r="E12787" s="19" t="s">
        <v>35255</v>
      </c>
      <c r="F12787" s="19" t="s">
        <v>36018</v>
      </c>
      <c r="G12787" s="18" t="str">
        <f>"76550"</f>
        <v>76550</v>
      </c>
      <c r="H12787" s="19" t="s">
        <v>35255</v>
      </c>
      <c r="I12787" s="20">
        <v>18.620999999999999</v>
      </c>
      <c r="J12787" s="44" t="s">
        <v>8</v>
      </c>
      <c r="K12787" s="23" t="s">
        <v>8</v>
      </c>
      <c r="L12787" s="23" t="s">
        <v>8</v>
      </c>
      <c r="M12787" s="23" t="s">
        <v>8</v>
      </c>
    </row>
    <row r="12788" spans="1:13" s="21" customFormat="1" x14ac:dyDescent="0.25">
      <c r="A12788" s="22" t="s">
        <v>8</v>
      </c>
      <c r="B12788" s="18" t="str">
        <f>"455952"</f>
        <v>455952</v>
      </c>
      <c r="C12788" s="19" t="s">
        <v>12569</v>
      </c>
      <c r="D12788" s="19" t="s">
        <v>28188</v>
      </c>
      <c r="E12788" s="19" t="s">
        <v>31810</v>
      </c>
      <c r="F12788" s="19" t="s">
        <v>36018</v>
      </c>
      <c r="G12788" s="18" t="str">
        <f>"77327"</f>
        <v>77327</v>
      </c>
      <c r="H12788" s="19" t="s">
        <v>32284</v>
      </c>
      <c r="I12788" s="20">
        <v>23.957000000000001</v>
      </c>
      <c r="J12788" s="44" t="s">
        <v>8</v>
      </c>
      <c r="K12788" s="23" t="s">
        <v>8</v>
      </c>
      <c r="L12788" s="23" t="s">
        <v>8</v>
      </c>
      <c r="M12788" s="23" t="s">
        <v>8</v>
      </c>
    </row>
    <row r="12789" spans="1:13" s="21" customFormat="1" x14ac:dyDescent="0.25">
      <c r="A12789" s="22" t="s">
        <v>8</v>
      </c>
      <c r="B12789" s="18" t="str">
        <f>"455954"</f>
        <v>455954</v>
      </c>
      <c r="C12789" s="19" t="s">
        <v>12570</v>
      </c>
      <c r="D12789" s="19" t="s">
        <v>28189</v>
      </c>
      <c r="E12789" s="19" t="s">
        <v>30804</v>
      </c>
      <c r="F12789" s="19" t="s">
        <v>36018</v>
      </c>
      <c r="G12789" s="18" t="str">
        <f>"76531"</f>
        <v>76531</v>
      </c>
      <c r="H12789" s="19" t="s">
        <v>30804</v>
      </c>
      <c r="I12789" s="20">
        <v>16.847000000000001</v>
      </c>
      <c r="J12789" s="44" t="s">
        <v>8</v>
      </c>
      <c r="K12789" s="23" t="s">
        <v>8</v>
      </c>
      <c r="L12789" s="23" t="s">
        <v>8</v>
      </c>
      <c r="M12789" s="23" t="s">
        <v>8</v>
      </c>
    </row>
    <row r="12790" spans="1:13" s="21" customFormat="1" x14ac:dyDescent="0.25">
      <c r="A12790" s="22" t="s">
        <v>8</v>
      </c>
      <c r="B12790" s="18" t="str">
        <f>"455957"</f>
        <v>455957</v>
      </c>
      <c r="C12790" s="19" t="s">
        <v>12571</v>
      </c>
      <c r="D12790" s="19" t="s">
        <v>28190</v>
      </c>
      <c r="E12790" s="19" t="s">
        <v>34690</v>
      </c>
      <c r="F12790" s="19" t="s">
        <v>36018</v>
      </c>
      <c r="G12790" s="18" t="str">
        <f>"76086"</f>
        <v>76086</v>
      </c>
      <c r="H12790" s="19" t="s">
        <v>31392</v>
      </c>
      <c r="I12790" s="20">
        <v>20.425999999999998</v>
      </c>
      <c r="J12790" s="44" t="s">
        <v>8</v>
      </c>
      <c r="K12790" s="23" t="s">
        <v>8</v>
      </c>
      <c r="L12790" s="23" t="s">
        <v>8</v>
      </c>
      <c r="M12790" s="23" t="s">
        <v>8</v>
      </c>
    </row>
    <row r="12791" spans="1:13" s="21" customFormat="1" x14ac:dyDescent="0.25">
      <c r="A12791" s="22" t="s">
        <v>8</v>
      </c>
      <c r="B12791" s="18" t="str">
        <f>"455958"</f>
        <v>455958</v>
      </c>
      <c r="C12791" s="19" t="s">
        <v>12572</v>
      </c>
      <c r="D12791" s="19" t="s">
        <v>28191</v>
      </c>
      <c r="E12791" s="19" t="s">
        <v>35311</v>
      </c>
      <c r="F12791" s="19" t="s">
        <v>36018</v>
      </c>
      <c r="G12791" s="18" t="str">
        <f>"78643"</f>
        <v>78643</v>
      </c>
      <c r="H12791" s="19" t="s">
        <v>35311</v>
      </c>
      <c r="I12791" s="20">
        <v>18.007999999999999</v>
      </c>
      <c r="J12791" s="44" t="s">
        <v>8</v>
      </c>
      <c r="K12791" s="23" t="s">
        <v>8</v>
      </c>
      <c r="L12791" s="23" t="s">
        <v>8</v>
      </c>
      <c r="M12791" s="23" t="s">
        <v>8</v>
      </c>
    </row>
    <row r="12792" spans="1:13" s="21" customFormat="1" x14ac:dyDescent="0.25">
      <c r="A12792" s="22" t="s">
        <v>8</v>
      </c>
      <c r="B12792" s="18" t="str">
        <f>"455959"</f>
        <v>455959</v>
      </c>
      <c r="C12792" s="19" t="s">
        <v>12573</v>
      </c>
      <c r="D12792" s="19" t="s">
        <v>28192</v>
      </c>
      <c r="E12792" s="19" t="s">
        <v>35279</v>
      </c>
      <c r="F12792" s="19" t="s">
        <v>36018</v>
      </c>
      <c r="G12792" s="18" t="str">
        <f>"75964"</f>
        <v>75964</v>
      </c>
      <c r="H12792" s="19" t="s">
        <v>35279</v>
      </c>
      <c r="I12792" s="20">
        <v>18.956</v>
      </c>
      <c r="J12792" s="44" t="s">
        <v>8</v>
      </c>
      <c r="K12792" s="23" t="s">
        <v>8</v>
      </c>
      <c r="L12792" s="23" t="s">
        <v>8</v>
      </c>
      <c r="M12792" s="23" t="s">
        <v>8</v>
      </c>
    </row>
    <row r="12793" spans="1:13" s="21" customFormat="1" x14ac:dyDescent="0.25">
      <c r="A12793" s="22" t="s">
        <v>8</v>
      </c>
      <c r="B12793" s="18" t="str">
        <f>"455960"</f>
        <v>455960</v>
      </c>
      <c r="C12793" s="19" t="s">
        <v>12574</v>
      </c>
      <c r="D12793" s="19" t="s">
        <v>28193</v>
      </c>
      <c r="E12793" s="19" t="s">
        <v>35312</v>
      </c>
      <c r="F12793" s="19" t="s">
        <v>36018</v>
      </c>
      <c r="G12793" s="18" t="str">
        <f>"78666"</f>
        <v>78666</v>
      </c>
      <c r="H12793" s="19" t="s">
        <v>32610</v>
      </c>
      <c r="I12793" s="20">
        <v>17.515000000000001</v>
      </c>
      <c r="J12793" s="44" t="s">
        <v>8</v>
      </c>
      <c r="K12793" s="23" t="s">
        <v>8</v>
      </c>
      <c r="L12793" s="23" t="s">
        <v>8</v>
      </c>
      <c r="M12793" s="23" t="s">
        <v>8</v>
      </c>
    </row>
    <row r="12794" spans="1:13" s="21" customFormat="1" x14ac:dyDescent="0.25">
      <c r="A12794" s="22" t="s">
        <v>8</v>
      </c>
      <c r="B12794" s="18" t="str">
        <f>"455961"</f>
        <v>455961</v>
      </c>
      <c r="C12794" s="19" t="s">
        <v>12575</v>
      </c>
      <c r="D12794" s="19" t="s">
        <v>28194</v>
      </c>
      <c r="E12794" s="19" t="s">
        <v>35264</v>
      </c>
      <c r="F12794" s="19" t="s">
        <v>36018</v>
      </c>
      <c r="G12794" s="18" t="str">
        <f>"76067"</f>
        <v>76067</v>
      </c>
      <c r="H12794" s="19" t="s">
        <v>36815</v>
      </c>
      <c r="I12794" s="20">
        <v>20.184000000000001</v>
      </c>
      <c r="J12794" s="44" t="s">
        <v>8</v>
      </c>
      <c r="K12794" s="23" t="s">
        <v>8</v>
      </c>
      <c r="L12794" s="23" t="s">
        <v>8</v>
      </c>
      <c r="M12794" s="23" t="s">
        <v>8</v>
      </c>
    </row>
    <row r="12795" spans="1:13" s="21" customFormat="1" x14ac:dyDescent="0.25">
      <c r="A12795" s="22" t="s">
        <v>8</v>
      </c>
      <c r="B12795" s="18" t="str">
        <f>"455962"</f>
        <v>455962</v>
      </c>
      <c r="C12795" s="19" t="s">
        <v>12576</v>
      </c>
      <c r="D12795" s="19" t="s">
        <v>28195</v>
      </c>
      <c r="E12795" s="19" t="s">
        <v>35313</v>
      </c>
      <c r="F12795" s="19" t="s">
        <v>36018</v>
      </c>
      <c r="G12795" s="18" t="str">
        <f>"75142"</f>
        <v>75142</v>
      </c>
      <c r="H12795" s="19" t="s">
        <v>35313</v>
      </c>
      <c r="I12795" s="20">
        <v>19.922000000000001</v>
      </c>
      <c r="J12795" s="44" t="s">
        <v>8</v>
      </c>
      <c r="K12795" s="23" t="s">
        <v>8</v>
      </c>
      <c r="L12795" s="23" t="s">
        <v>8</v>
      </c>
      <c r="M12795" s="23" t="s">
        <v>8</v>
      </c>
    </row>
    <row r="12796" spans="1:13" s="21" customFormat="1" x14ac:dyDescent="0.25">
      <c r="A12796" s="22" t="s">
        <v>8</v>
      </c>
      <c r="B12796" s="18" t="str">
        <f>"455963"</f>
        <v>455963</v>
      </c>
      <c r="C12796" s="19" t="s">
        <v>12577</v>
      </c>
      <c r="D12796" s="19" t="s">
        <v>28196</v>
      </c>
      <c r="E12796" s="19" t="s">
        <v>33527</v>
      </c>
      <c r="F12796" s="19" t="s">
        <v>36018</v>
      </c>
      <c r="G12796" s="18" t="str">
        <f>"75633"</f>
        <v>75633</v>
      </c>
      <c r="H12796" s="19" t="s">
        <v>36495</v>
      </c>
      <c r="I12796" s="20">
        <v>20.036000000000001</v>
      </c>
      <c r="J12796" s="44" t="s">
        <v>8</v>
      </c>
      <c r="K12796" s="23" t="s">
        <v>8</v>
      </c>
      <c r="L12796" s="23" t="s">
        <v>8</v>
      </c>
      <c r="M12796" s="23" t="s">
        <v>8</v>
      </c>
    </row>
    <row r="12797" spans="1:13" s="21" customFormat="1" x14ac:dyDescent="0.25">
      <c r="A12797" s="22" t="s">
        <v>8</v>
      </c>
      <c r="B12797" s="18" t="str">
        <f>"455965"</f>
        <v>455965</v>
      </c>
      <c r="C12797" s="19" t="s">
        <v>12578</v>
      </c>
      <c r="D12797" s="19" t="s">
        <v>28197</v>
      </c>
      <c r="E12797" s="19" t="s">
        <v>35304</v>
      </c>
      <c r="F12797" s="19" t="s">
        <v>36018</v>
      </c>
      <c r="G12797" s="18" t="str">
        <f>"76306"</f>
        <v>76306</v>
      </c>
      <c r="H12797" s="19" t="s">
        <v>32555</v>
      </c>
      <c r="I12797" s="20">
        <v>17.734999999999999</v>
      </c>
      <c r="J12797" s="44" t="s">
        <v>8</v>
      </c>
      <c r="K12797" s="23" t="s">
        <v>8</v>
      </c>
      <c r="L12797" s="23" t="s">
        <v>8</v>
      </c>
      <c r="M12797" s="23" t="s">
        <v>8</v>
      </c>
    </row>
    <row r="12798" spans="1:13" s="21" customFormat="1" x14ac:dyDescent="0.25">
      <c r="A12798" s="22" t="s">
        <v>8</v>
      </c>
      <c r="B12798" s="18" t="str">
        <f>"455968"</f>
        <v>455968</v>
      </c>
      <c r="C12798" s="19" t="s">
        <v>12579</v>
      </c>
      <c r="D12798" s="19" t="s">
        <v>28198</v>
      </c>
      <c r="E12798" s="19" t="s">
        <v>34316</v>
      </c>
      <c r="F12798" s="19" t="s">
        <v>36018</v>
      </c>
      <c r="G12798" s="18" t="str">
        <f>"76450"</f>
        <v>76450</v>
      </c>
      <c r="H12798" s="19" t="s">
        <v>36787</v>
      </c>
      <c r="I12798" s="20">
        <v>19.602</v>
      </c>
      <c r="J12798" s="44" t="s">
        <v>8</v>
      </c>
      <c r="K12798" s="23" t="s">
        <v>8</v>
      </c>
      <c r="L12798" s="23" t="s">
        <v>8</v>
      </c>
      <c r="M12798" s="23" t="s">
        <v>8</v>
      </c>
    </row>
    <row r="12799" spans="1:13" s="21" customFormat="1" x14ac:dyDescent="0.25">
      <c r="A12799" s="22" t="s">
        <v>8</v>
      </c>
      <c r="B12799" s="18" t="str">
        <f>"455969"</f>
        <v>455969</v>
      </c>
      <c r="C12799" s="19" t="s">
        <v>12580</v>
      </c>
      <c r="D12799" s="19" t="s">
        <v>28199</v>
      </c>
      <c r="E12799" s="19" t="s">
        <v>35244</v>
      </c>
      <c r="F12799" s="19" t="s">
        <v>36018</v>
      </c>
      <c r="G12799" s="18" t="str">
        <f>"78240"</f>
        <v>78240</v>
      </c>
      <c r="H12799" s="19" t="s">
        <v>36805</v>
      </c>
      <c r="I12799" s="20">
        <v>18.350000000000001</v>
      </c>
      <c r="J12799" s="44" t="s">
        <v>8</v>
      </c>
      <c r="K12799" s="23" t="s">
        <v>8</v>
      </c>
      <c r="L12799" s="23" t="s">
        <v>8</v>
      </c>
      <c r="M12799" s="23" t="s">
        <v>8</v>
      </c>
    </row>
    <row r="12800" spans="1:13" s="21" customFormat="1" x14ac:dyDescent="0.25">
      <c r="A12800" s="22" t="s">
        <v>8</v>
      </c>
      <c r="B12800" s="18" t="str">
        <f>"455970"</f>
        <v>455970</v>
      </c>
      <c r="C12800" s="19" t="s">
        <v>12581</v>
      </c>
      <c r="D12800" s="19" t="s">
        <v>28200</v>
      </c>
      <c r="E12800" s="19" t="s">
        <v>31537</v>
      </c>
      <c r="F12800" s="19" t="s">
        <v>36018</v>
      </c>
      <c r="G12800" s="18" t="str">
        <f>"76240"</f>
        <v>76240</v>
      </c>
      <c r="H12800" s="19" t="s">
        <v>36788</v>
      </c>
      <c r="I12800" s="20">
        <v>20.399999999999999</v>
      </c>
      <c r="J12800" s="44" t="s">
        <v>8</v>
      </c>
      <c r="K12800" s="23" t="s">
        <v>8</v>
      </c>
      <c r="L12800" s="23" t="s">
        <v>8</v>
      </c>
      <c r="M12800" s="23" t="s">
        <v>8</v>
      </c>
    </row>
    <row r="12801" spans="1:13" s="21" customFormat="1" x14ac:dyDescent="0.25">
      <c r="A12801" s="22" t="s">
        <v>8</v>
      </c>
      <c r="B12801" s="18" t="str">
        <f>"455972"</f>
        <v>455972</v>
      </c>
      <c r="C12801" s="19" t="s">
        <v>12582</v>
      </c>
      <c r="D12801" s="19" t="s">
        <v>28201</v>
      </c>
      <c r="E12801" s="19" t="s">
        <v>35314</v>
      </c>
      <c r="F12801" s="19" t="s">
        <v>36018</v>
      </c>
      <c r="G12801" s="18" t="str">
        <f>"75771"</f>
        <v>75771</v>
      </c>
      <c r="H12801" s="19" t="s">
        <v>36304</v>
      </c>
      <c r="I12801" s="20">
        <v>18.324999999999999</v>
      </c>
      <c r="J12801" s="44" t="s">
        <v>8</v>
      </c>
      <c r="K12801" s="23" t="s">
        <v>8</v>
      </c>
      <c r="L12801" s="23" t="s">
        <v>8</v>
      </c>
      <c r="M12801" s="23" t="s">
        <v>8</v>
      </c>
    </row>
    <row r="12802" spans="1:13" s="21" customFormat="1" x14ac:dyDescent="0.25">
      <c r="A12802" s="22" t="s">
        <v>8</v>
      </c>
      <c r="B12802" s="18" t="str">
        <f>"455973"</f>
        <v>455973</v>
      </c>
      <c r="C12802" s="19" t="s">
        <v>12583</v>
      </c>
      <c r="D12802" s="19" t="s">
        <v>28202</v>
      </c>
      <c r="E12802" s="19" t="s">
        <v>35277</v>
      </c>
      <c r="F12802" s="19" t="s">
        <v>36018</v>
      </c>
      <c r="G12802" s="18" t="str">
        <f>"75904"</f>
        <v>75904</v>
      </c>
      <c r="H12802" s="19" t="s">
        <v>36820</v>
      </c>
      <c r="I12802" s="20">
        <v>17.954000000000001</v>
      </c>
      <c r="J12802" s="44" t="s">
        <v>8</v>
      </c>
      <c r="K12802" s="23" t="s">
        <v>8</v>
      </c>
      <c r="L12802" s="23" t="s">
        <v>8</v>
      </c>
      <c r="M12802" s="23" t="s">
        <v>8</v>
      </c>
    </row>
    <row r="12803" spans="1:13" s="21" customFormat="1" x14ac:dyDescent="0.25">
      <c r="A12803" s="22" t="s">
        <v>8</v>
      </c>
      <c r="B12803" s="18" t="str">
        <f>"455974"</f>
        <v>455974</v>
      </c>
      <c r="C12803" s="19" t="s">
        <v>12584</v>
      </c>
      <c r="D12803" s="19" t="s">
        <v>28203</v>
      </c>
      <c r="E12803" s="19" t="s">
        <v>32250</v>
      </c>
      <c r="F12803" s="19" t="s">
        <v>36018</v>
      </c>
      <c r="G12803" s="18" t="str">
        <f>"78382"</f>
        <v>78382</v>
      </c>
      <c r="H12803" s="19" t="s">
        <v>36831</v>
      </c>
      <c r="I12803" s="20">
        <v>17.414999999999999</v>
      </c>
      <c r="J12803" s="44" t="s">
        <v>8</v>
      </c>
      <c r="K12803" s="23" t="s">
        <v>8</v>
      </c>
      <c r="L12803" s="23" t="s">
        <v>8</v>
      </c>
      <c r="M12803" s="23" t="s">
        <v>8</v>
      </c>
    </row>
    <row r="12804" spans="1:13" s="21" customFormat="1" x14ac:dyDescent="0.25">
      <c r="A12804" s="22" t="s">
        <v>8</v>
      </c>
      <c r="B12804" s="18" t="str">
        <f>"455975"</f>
        <v>455975</v>
      </c>
      <c r="C12804" s="19" t="s">
        <v>12585</v>
      </c>
      <c r="D12804" s="19" t="s">
        <v>28204</v>
      </c>
      <c r="E12804" s="19" t="s">
        <v>33155</v>
      </c>
      <c r="F12804" s="19" t="s">
        <v>36018</v>
      </c>
      <c r="G12804" s="18" t="str">
        <f>"77401"</f>
        <v>77401</v>
      </c>
      <c r="H12804" s="19" t="s">
        <v>34183</v>
      </c>
      <c r="I12804" s="20">
        <v>21.151</v>
      </c>
      <c r="J12804" s="44" t="s">
        <v>8</v>
      </c>
      <c r="K12804" s="23" t="s">
        <v>8</v>
      </c>
      <c r="L12804" s="23" t="s">
        <v>8</v>
      </c>
      <c r="M12804" s="23" t="s">
        <v>8</v>
      </c>
    </row>
    <row r="12805" spans="1:13" s="21" customFormat="1" x14ac:dyDescent="0.25">
      <c r="A12805" s="22" t="s">
        <v>8</v>
      </c>
      <c r="B12805" s="18" t="str">
        <f>"455981"</f>
        <v>455981</v>
      </c>
      <c r="C12805" s="19" t="s">
        <v>12586</v>
      </c>
      <c r="D12805" s="19" t="s">
        <v>28205</v>
      </c>
      <c r="E12805" s="19" t="s">
        <v>33493</v>
      </c>
      <c r="F12805" s="19" t="s">
        <v>36018</v>
      </c>
      <c r="G12805" s="18" t="str">
        <f>"77030"</f>
        <v>77030</v>
      </c>
      <c r="H12805" s="19" t="s">
        <v>34183</v>
      </c>
      <c r="I12805" s="20">
        <v>18.332000000000001</v>
      </c>
      <c r="J12805" s="44" t="s">
        <v>8</v>
      </c>
      <c r="K12805" s="23" t="s">
        <v>8</v>
      </c>
      <c r="L12805" s="23" t="s">
        <v>8</v>
      </c>
      <c r="M12805" s="23" t="s">
        <v>8</v>
      </c>
    </row>
    <row r="12806" spans="1:13" s="21" customFormat="1" x14ac:dyDescent="0.25">
      <c r="A12806" s="22" t="s">
        <v>8</v>
      </c>
      <c r="B12806" s="18" t="str">
        <f>"455983"</f>
        <v>455983</v>
      </c>
      <c r="C12806" s="19" t="s">
        <v>12587</v>
      </c>
      <c r="D12806" s="19" t="s">
        <v>28206</v>
      </c>
      <c r="E12806" s="19" t="s">
        <v>35250</v>
      </c>
      <c r="F12806" s="19" t="s">
        <v>36018</v>
      </c>
      <c r="G12806" s="18" t="str">
        <f>"76712"</f>
        <v>76712</v>
      </c>
      <c r="H12806" s="19" t="s">
        <v>36809</v>
      </c>
      <c r="I12806" s="20">
        <v>19.134</v>
      </c>
      <c r="J12806" s="44" t="s">
        <v>8</v>
      </c>
      <c r="K12806" s="23" t="s">
        <v>8</v>
      </c>
      <c r="L12806" s="23" t="s">
        <v>8</v>
      </c>
      <c r="M12806" s="23" t="s">
        <v>8</v>
      </c>
    </row>
    <row r="12807" spans="1:13" s="21" customFormat="1" x14ac:dyDescent="0.25">
      <c r="A12807" s="22" t="s">
        <v>8</v>
      </c>
      <c r="B12807" s="18" t="str">
        <f>"455985"</f>
        <v>455985</v>
      </c>
      <c r="C12807" s="19" t="s">
        <v>12588</v>
      </c>
      <c r="D12807" s="19" t="s">
        <v>28207</v>
      </c>
      <c r="E12807" s="19" t="s">
        <v>31010</v>
      </c>
      <c r="F12807" s="19" t="s">
        <v>36018</v>
      </c>
      <c r="G12807" s="18" t="str">
        <f>"75426"</f>
        <v>75426</v>
      </c>
      <c r="H12807" s="19" t="s">
        <v>36389</v>
      </c>
      <c r="I12807" s="20">
        <v>18.600000000000001</v>
      </c>
      <c r="J12807" s="44" t="s">
        <v>8</v>
      </c>
      <c r="K12807" s="23" t="s">
        <v>8</v>
      </c>
      <c r="L12807" s="23" t="s">
        <v>8</v>
      </c>
      <c r="M12807" s="23" t="s">
        <v>8</v>
      </c>
    </row>
    <row r="12808" spans="1:13" s="21" customFormat="1" x14ac:dyDescent="0.25">
      <c r="A12808" s="22" t="s">
        <v>8</v>
      </c>
      <c r="B12808" s="18" t="str">
        <f>"455986"</f>
        <v>455986</v>
      </c>
      <c r="C12808" s="19" t="s">
        <v>12589</v>
      </c>
      <c r="D12808" s="19" t="s">
        <v>28208</v>
      </c>
      <c r="E12808" s="19" t="s">
        <v>32699</v>
      </c>
      <c r="F12808" s="19" t="s">
        <v>36018</v>
      </c>
      <c r="G12808" s="18" t="str">
        <f>"75652"</f>
        <v>75652</v>
      </c>
      <c r="H12808" s="19" t="s">
        <v>35296</v>
      </c>
      <c r="I12808" s="20">
        <v>21.533999999999999</v>
      </c>
      <c r="J12808" s="44" t="s">
        <v>8</v>
      </c>
      <c r="K12808" s="23" t="s">
        <v>8</v>
      </c>
      <c r="L12808" s="23" t="s">
        <v>8</v>
      </c>
      <c r="M12808" s="23" t="s">
        <v>8</v>
      </c>
    </row>
    <row r="12809" spans="1:13" s="21" customFormat="1" x14ac:dyDescent="0.25">
      <c r="A12809" s="22" t="s">
        <v>8</v>
      </c>
      <c r="B12809" s="18" t="str">
        <f>"455987"</f>
        <v>455987</v>
      </c>
      <c r="C12809" s="19" t="s">
        <v>12590</v>
      </c>
      <c r="D12809" s="19" t="s">
        <v>28209</v>
      </c>
      <c r="E12809" s="19" t="s">
        <v>31791</v>
      </c>
      <c r="F12809" s="19" t="s">
        <v>36018</v>
      </c>
      <c r="G12809" s="18" t="str">
        <f>"75103"</f>
        <v>75103</v>
      </c>
      <c r="H12809" s="19" t="s">
        <v>36827</v>
      </c>
      <c r="I12809" s="20">
        <v>19.433</v>
      </c>
      <c r="J12809" s="44" t="s">
        <v>8</v>
      </c>
      <c r="K12809" s="23" t="s">
        <v>8</v>
      </c>
      <c r="L12809" s="23" t="s">
        <v>8</v>
      </c>
      <c r="M12809" s="23" t="s">
        <v>8</v>
      </c>
    </row>
    <row r="12810" spans="1:13" s="21" customFormat="1" x14ac:dyDescent="0.25">
      <c r="A12810" s="22" t="s">
        <v>8</v>
      </c>
      <c r="B12810" s="18" t="str">
        <f>"455989"</f>
        <v>455989</v>
      </c>
      <c r="C12810" s="19" t="s">
        <v>12591</v>
      </c>
      <c r="D12810" s="19" t="s">
        <v>28210</v>
      </c>
      <c r="E12810" s="19" t="s">
        <v>35315</v>
      </c>
      <c r="F12810" s="19" t="s">
        <v>36018</v>
      </c>
      <c r="G12810" s="18" t="str">
        <f>"79007"</f>
        <v>79007</v>
      </c>
      <c r="H12810" s="19" t="s">
        <v>32559</v>
      </c>
      <c r="I12810" s="20">
        <v>17.283999999999999</v>
      </c>
      <c r="J12810" s="44" t="s">
        <v>8</v>
      </c>
      <c r="K12810" s="23" t="s">
        <v>8</v>
      </c>
      <c r="L12810" s="23" t="s">
        <v>8</v>
      </c>
      <c r="M12810" s="23" t="s">
        <v>8</v>
      </c>
    </row>
    <row r="12811" spans="1:13" s="21" customFormat="1" x14ac:dyDescent="0.25">
      <c r="A12811" s="22" t="s">
        <v>8</v>
      </c>
      <c r="B12811" s="18" t="str">
        <f>"455994"</f>
        <v>455994</v>
      </c>
      <c r="C12811" s="19" t="s">
        <v>12592</v>
      </c>
      <c r="D12811" s="19" t="s">
        <v>28211</v>
      </c>
      <c r="E12811" s="19" t="s">
        <v>35316</v>
      </c>
      <c r="F12811" s="19" t="s">
        <v>36018</v>
      </c>
      <c r="G12811" s="18" t="str">
        <f>"75115"</f>
        <v>75115</v>
      </c>
      <c r="H12811" s="19" t="s">
        <v>31723</v>
      </c>
      <c r="I12811" s="20">
        <v>18.16</v>
      </c>
      <c r="J12811" s="44" t="s">
        <v>8</v>
      </c>
      <c r="K12811" s="23" t="s">
        <v>8</v>
      </c>
      <c r="L12811" s="23" t="s">
        <v>8</v>
      </c>
      <c r="M12811" s="23" t="s">
        <v>8</v>
      </c>
    </row>
    <row r="12812" spans="1:13" s="21" customFormat="1" x14ac:dyDescent="0.25">
      <c r="A12812" s="22" t="s">
        <v>8</v>
      </c>
      <c r="B12812" s="18" t="str">
        <f>"455996"</f>
        <v>455996</v>
      </c>
      <c r="C12812" s="19" t="s">
        <v>12593</v>
      </c>
      <c r="D12812" s="19" t="s">
        <v>28212</v>
      </c>
      <c r="E12812" s="19" t="s">
        <v>31723</v>
      </c>
      <c r="F12812" s="19" t="s">
        <v>36018</v>
      </c>
      <c r="G12812" s="18" t="str">
        <f>"75211"</f>
        <v>75211</v>
      </c>
      <c r="H12812" s="19" t="s">
        <v>31723</v>
      </c>
      <c r="I12812" s="20">
        <v>18.79</v>
      </c>
      <c r="J12812" s="44" t="s">
        <v>8</v>
      </c>
      <c r="K12812" s="23" t="s">
        <v>8</v>
      </c>
      <c r="L12812" s="23" t="s">
        <v>8</v>
      </c>
      <c r="M12812" s="23" t="s">
        <v>8</v>
      </c>
    </row>
    <row r="12813" spans="1:13" s="21" customFormat="1" x14ac:dyDescent="0.25">
      <c r="A12813" s="22" t="s">
        <v>8</v>
      </c>
      <c r="B12813" s="18" t="str">
        <f>"455999"</f>
        <v>455999</v>
      </c>
      <c r="C12813" s="19" t="s">
        <v>12594</v>
      </c>
      <c r="D12813" s="19" t="s">
        <v>28213</v>
      </c>
      <c r="E12813" s="19" t="s">
        <v>35317</v>
      </c>
      <c r="F12813" s="19" t="s">
        <v>36018</v>
      </c>
      <c r="G12813" s="18" t="str">
        <f>"77979"</f>
        <v>77979</v>
      </c>
      <c r="H12813" s="19" t="s">
        <v>31743</v>
      </c>
      <c r="I12813" s="20">
        <v>19.108000000000001</v>
      </c>
      <c r="J12813" s="44" t="s">
        <v>8</v>
      </c>
      <c r="K12813" s="23" t="s">
        <v>8</v>
      </c>
      <c r="L12813" s="23" t="s">
        <v>8</v>
      </c>
      <c r="M12813" s="23" t="s">
        <v>8</v>
      </c>
    </row>
    <row r="12814" spans="1:13" s="21" customFormat="1" x14ac:dyDescent="0.25">
      <c r="A12814" s="22" t="s">
        <v>8</v>
      </c>
      <c r="B12814" s="18" t="s">
        <v>15420</v>
      </c>
      <c r="C12814" s="19" t="s">
        <v>12595</v>
      </c>
      <c r="D12814" s="19" t="s">
        <v>28214</v>
      </c>
      <c r="E12814" s="19" t="s">
        <v>35318</v>
      </c>
      <c r="F12814" s="19" t="s">
        <v>36019</v>
      </c>
      <c r="G12814" s="18" t="str">
        <f>"84501"</f>
        <v>84501</v>
      </c>
      <c r="H12814" s="19" t="s">
        <v>36538</v>
      </c>
      <c r="I12814" s="20">
        <v>18.143999999999998</v>
      </c>
      <c r="J12814" s="44" t="s">
        <v>8</v>
      </c>
      <c r="K12814" s="23" t="s">
        <v>8</v>
      </c>
      <c r="L12814" s="23" t="s">
        <v>8</v>
      </c>
      <c r="M12814" s="23" t="s">
        <v>8</v>
      </c>
    </row>
    <row r="12815" spans="1:13" s="21" customFormat="1" x14ac:dyDescent="0.25">
      <c r="A12815" s="22" t="s">
        <v>8</v>
      </c>
      <c r="B12815" s="18" t="s">
        <v>15421</v>
      </c>
      <c r="C12815" s="19" t="s">
        <v>12596</v>
      </c>
      <c r="D12815" s="19" t="s">
        <v>28215</v>
      </c>
      <c r="E12815" s="19" t="s">
        <v>35319</v>
      </c>
      <c r="F12815" s="19" t="s">
        <v>36019</v>
      </c>
      <c r="G12815" s="18" t="str">
        <f>"84759"</f>
        <v>84759</v>
      </c>
      <c r="H12815" s="19" t="s">
        <v>36111</v>
      </c>
      <c r="I12815" s="20">
        <v>17.43</v>
      </c>
      <c r="J12815" s="44" t="s">
        <v>8</v>
      </c>
      <c r="K12815" s="23" t="s">
        <v>8</v>
      </c>
      <c r="L12815" s="23" t="s">
        <v>8</v>
      </c>
      <c r="M12815" s="23" t="s">
        <v>8</v>
      </c>
    </row>
    <row r="12816" spans="1:13" s="21" customFormat="1" x14ac:dyDescent="0.25">
      <c r="A12816" s="22" t="s">
        <v>8</v>
      </c>
      <c r="B12816" s="18" t="s">
        <v>15422</v>
      </c>
      <c r="C12816" s="19" t="s">
        <v>12597</v>
      </c>
      <c r="D12816" s="19" t="s">
        <v>28216</v>
      </c>
      <c r="E12816" s="19" t="s">
        <v>34742</v>
      </c>
      <c r="F12816" s="19" t="s">
        <v>36019</v>
      </c>
      <c r="G12816" s="18" t="str">
        <f>"84713"</f>
        <v>84713</v>
      </c>
      <c r="H12816" s="19" t="s">
        <v>34742</v>
      </c>
      <c r="I12816" s="20">
        <v>18.099</v>
      </c>
      <c r="J12816" s="44" t="s">
        <v>8</v>
      </c>
      <c r="K12816" s="23" t="s">
        <v>8</v>
      </c>
      <c r="L12816" s="23" t="s">
        <v>8</v>
      </c>
      <c r="M12816" s="23" t="s">
        <v>8</v>
      </c>
    </row>
    <row r="12817" spans="1:13" s="21" customFormat="1" x14ac:dyDescent="0.25">
      <c r="A12817" s="22" t="s">
        <v>8</v>
      </c>
      <c r="B12817" s="18" t="str">
        <f>"465003"</f>
        <v>465003</v>
      </c>
      <c r="C12817" s="19" t="s">
        <v>1342</v>
      </c>
      <c r="D12817" s="19" t="s">
        <v>28217</v>
      </c>
      <c r="E12817" s="19" t="s">
        <v>35320</v>
      </c>
      <c r="F12817" s="19" t="s">
        <v>36019</v>
      </c>
      <c r="G12817" s="18" t="str">
        <f>"84067"</f>
        <v>84067</v>
      </c>
      <c r="H12817" s="19" t="s">
        <v>36832</v>
      </c>
      <c r="I12817" s="20">
        <v>19.626999999999999</v>
      </c>
      <c r="J12817" s="44" t="s">
        <v>8</v>
      </c>
      <c r="K12817" s="23" t="s">
        <v>8</v>
      </c>
      <c r="L12817" s="23" t="s">
        <v>8</v>
      </c>
      <c r="M12817" s="23" t="s">
        <v>8</v>
      </c>
    </row>
    <row r="12818" spans="1:13" s="21" customFormat="1" x14ac:dyDescent="0.25">
      <c r="A12818" s="22" t="s">
        <v>8</v>
      </c>
      <c r="B12818" s="18" t="str">
        <f>"465006"</f>
        <v>465006</v>
      </c>
      <c r="C12818" s="19" t="s">
        <v>12598</v>
      </c>
      <c r="D12818" s="19" t="s">
        <v>28218</v>
      </c>
      <c r="E12818" s="19" t="s">
        <v>35321</v>
      </c>
      <c r="F12818" s="19" t="s">
        <v>36019</v>
      </c>
      <c r="G12818" s="18" t="str">
        <f>"84109"</f>
        <v>84109</v>
      </c>
      <c r="H12818" s="19" t="s">
        <v>36833</v>
      </c>
      <c r="I12818" s="20">
        <v>19.582999999999998</v>
      </c>
      <c r="J12818" s="44" t="s">
        <v>8</v>
      </c>
      <c r="K12818" s="23" t="s">
        <v>8</v>
      </c>
      <c r="L12818" s="23" t="s">
        <v>8</v>
      </c>
      <c r="M12818" s="23" t="s">
        <v>8</v>
      </c>
    </row>
    <row r="12819" spans="1:13" s="21" customFormat="1" x14ac:dyDescent="0.25">
      <c r="A12819" s="22" t="s">
        <v>8</v>
      </c>
      <c r="B12819" s="18" t="str">
        <f>"465009"</f>
        <v>465009</v>
      </c>
      <c r="C12819" s="19" t="s">
        <v>12599</v>
      </c>
      <c r="D12819" s="19" t="s">
        <v>28219</v>
      </c>
      <c r="E12819" s="19" t="s">
        <v>32498</v>
      </c>
      <c r="F12819" s="19" t="s">
        <v>36019</v>
      </c>
      <c r="G12819" s="18" t="str">
        <f>"84403"</f>
        <v>84403</v>
      </c>
      <c r="H12819" s="19" t="s">
        <v>36832</v>
      </c>
      <c r="I12819" s="20">
        <v>20.193000000000001</v>
      </c>
      <c r="J12819" s="44" t="s">
        <v>8</v>
      </c>
      <c r="K12819" s="23" t="s">
        <v>8</v>
      </c>
      <c r="L12819" s="23" t="s">
        <v>8</v>
      </c>
      <c r="M12819" s="23" t="s">
        <v>8</v>
      </c>
    </row>
    <row r="12820" spans="1:13" s="21" customFormat="1" x14ac:dyDescent="0.25">
      <c r="A12820" s="22" t="s">
        <v>8</v>
      </c>
      <c r="B12820" s="18" t="str">
        <f>"465020"</f>
        <v>465020</v>
      </c>
      <c r="C12820" s="19" t="s">
        <v>6822</v>
      </c>
      <c r="D12820" s="19" t="s">
        <v>28220</v>
      </c>
      <c r="E12820" s="19" t="s">
        <v>35322</v>
      </c>
      <c r="F12820" s="19" t="s">
        <v>36019</v>
      </c>
      <c r="G12820" s="18" t="str">
        <f>"84302"</f>
        <v>84302</v>
      </c>
      <c r="H12820" s="19" t="s">
        <v>36834</v>
      </c>
      <c r="I12820" s="20">
        <v>17.591000000000001</v>
      </c>
      <c r="J12820" s="44" t="s">
        <v>8</v>
      </c>
      <c r="K12820" s="23" t="s">
        <v>8</v>
      </c>
      <c r="L12820" s="23" t="s">
        <v>8</v>
      </c>
      <c r="M12820" s="23" t="s">
        <v>8</v>
      </c>
    </row>
    <row r="12821" spans="1:13" s="21" customFormat="1" x14ac:dyDescent="0.25">
      <c r="A12821" s="22" t="s">
        <v>8</v>
      </c>
      <c r="B12821" s="18" t="str">
        <f>"465049"</f>
        <v>465049</v>
      </c>
      <c r="C12821" s="19" t="s">
        <v>12600</v>
      </c>
      <c r="D12821" s="19" t="s">
        <v>28221</v>
      </c>
      <c r="E12821" s="19" t="s">
        <v>35321</v>
      </c>
      <c r="F12821" s="19" t="s">
        <v>36019</v>
      </c>
      <c r="G12821" s="18" t="str">
        <f>"84117"</f>
        <v>84117</v>
      </c>
      <c r="H12821" s="19" t="s">
        <v>36833</v>
      </c>
      <c r="I12821" s="20">
        <v>21.274000000000001</v>
      </c>
      <c r="J12821" s="44" t="s">
        <v>8</v>
      </c>
      <c r="K12821" s="23" t="s">
        <v>8</v>
      </c>
      <c r="L12821" s="23" t="s">
        <v>8</v>
      </c>
      <c r="M12821" s="23" t="s">
        <v>8</v>
      </c>
    </row>
    <row r="12822" spans="1:13" s="21" customFormat="1" x14ac:dyDescent="0.25">
      <c r="A12822" s="22" t="s">
        <v>8</v>
      </c>
      <c r="B12822" s="18" t="str">
        <f>"465055"</f>
        <v>465055</v>
      </c>
      <c r="C12822" s="19" t="s">
        <v>12601</v>
      </c>
      <c r="D12822" s="19" t="s">
        <v>28222</v>
      </c>
      <c r="E12822" s="19" t="s">
        <v>35321</v>
      </c>
      <c r="F12822" s="19" t="s">
        <v>36019</v>
      </c>
      <c r="G12822" s="18" t="str">
        <f>"84102"</f>
        <v>84102</v>
      </c>
      <c r="H12822" s="19" t="s">
        <v>36833</v>
      </c>
      <c r="I12822" s="20">
        <v>19.898</v>
      </c>
      <c r="J12822" s="44" t="s">
        <v>8</v>
      </c>
      <c r="K12822" s="23" t="s">
        <v>8</v>
      </c>
      <c r="L12822" s="23" t="s">
        <v>8</v>
      </c>
      <c r="M12822" s="23" t="s">
        <v>8</v>
      </c>
    </row>
    <row r="12823" spans="1:13" s="21" customFormat="1" x14ac:dyDescent="0.25">
      <c r="A12823" s="22" t="s">
        <v>8</v>
      </c>
      <c r="B12823" s="18" t="str">
        <f>"465057"</f>
        <v>465057</v>
      </c>
      <c r="C12823" s="19" t="s">
        <v>12602</v>
      </c>
      <c r="D12823" s="19" t="s">
        <v>28223</v>
      </c>
      <c r="E12823" s="19" t="s">
        <v>35323</v>
      </c>
      <c r="F12823" s="19" t="s">
        <v>36019</v>
      </c>
      <c r="G12823" s="18" t="str">
        <f>"84511"</f>
        <v>84511</v>
      </c>
      <c r="H12823" s="19" t="s">
        <v>35251</v>
      </c>
      <c r="I12823" s="20">
        <v>16.149999999999999</v>
      </c>
      <c r="J12823" s="44" t="s">
        <v>8</v>
      </c>
      <c r="K12823" s="23" t="s">
        <v>8</v>
      </c>
      <c r="L12823" s="23" t="s">
        <v>8</v>
      </c>
      <c r="M12823" s="23" t="s">
        <v>8</v>
      </c>
    </row>
    <row r="12824" spans="1:13" s="21" customFormat="1" x14ac:dyDescent="0.25">
      <c r="A12824" s="22" t="s">
        <v>8</v>
      </c>
      <c r="B12824" s="18" t="str">
        <f>"465059"</f>
        <v>465059</v>
      </c>
      <c r="C12824" s="19" t="s">
        <v>12603</v>
      </c>
      <c r="D12824" s="19" t="s">
        <v>28224</v>
      </c>
      <c r="E12824" s="19" t="s">
        <v>33366</v>
      </c>
      <c r="F12824" s="19" t="s">
        <v>36019</v>
      </c>
      <c r="G12824" s="18" t="str">
        <f>"84701"</f>
        <v>84701</v>
      </c>
      <c r="H12824" s="19" t="s">
        <v>36080</v>
      </c>
      <c r="I12824" s="20">
        <v>15.675000000000001</v>
      </c>
      <c r="J12824" s="44" t="s">
        <v>8</v>
      </c>
      <c r="K12824" s="23" t="s">
        <v>8</v>
      </c>
      <c r="L12824" s="23" t="s">
        <v>8</v>
      </c>
      <c r="M12824" s="23" t="s">
        <v>8</v>
      </c>
    </row>
    <row r="12825" spans="1:13" s="21" customFormat="1" x14ac:dyDescent="0.25">
      <c r="A12825" s="22" t="s">
        <v>8</v>
      </c>
      <c r="B12825" s="18" t="str">
        <f>"465062"</f>
        <v>465062</v>
      </c>
      <c r="C12825" s="19" t="s">
        <v>12604</v>
      </c>
      <c r="D12825" s="19" t="s">
        <v>28225</v>
      </c>
      <c r="E12825" s="19" t="s">
        <v>35324</v>
      </c>
      <c r="F12825" s="19" t="s">
        <v>36019</v>
      </c>
      <c r="G12825" s="18" t="str">
        <f>"84010"</f>
        <v>84010</v>
      </c>
      <c r="H12825" s="19" t="s">
        <v>31269</v>
      </c>
      <c r="I12825" s="20">
        <v>19.515999999999998</v>
      </c>
      <c r="J12825" s="44" t="s">
        <v>8</v>
      </c>
      <c r="K12825" s="23" t="s">
        <v>8</v>
      </c>
      <c r="L12825" s="23" t="s">
        <v>8</v>
      </c>
      <c r="M12825" s="23" t="s">
        <v>8</v>
      </c>
    </row>
    <row r="12826" spans="1:13" s="21" customFormat="1" x14ac:dyDescent="0.25">
      <c r="A12826" s="22" t="s">
        <v>8</v>
      </c>
      <c r="B12826" s="18" t="str">
        <f>"465064"</f>
        <v>465064</v>
      </c>
      <c r="C12826" s="19" t="s">
        <v>12605</v>
      </c>
      <c r="D12826" s="19" t="s">
        <v>28226</v>
      </c>
      <c r="E12826" s="19" t="s">
        <v>35325</v>
      </c>
      <c r="F12826" s="19" t="s">
        <v>36019</v>
      </c>
      <c r="G12826" s="18" t="str">
        <f>"84770"</f>
        <v>84770</v>
      </c>
      <c r="H12826" s="19" t="s">
        <v>31500</v>
      </c>
      <c r="I12826" s="20">
        <v>18.937000000000001</v>
      </c>
      <c r="J12826" s="44" t="s">
        <v>8</v>
      </c>
      <c r="K12826" s="23" t="s">
        <v>8</v>
      </c>
      <c r="L12826" s="23" t="s">
        <v>8</v>
      </c>
      <c r="M12826" s="23" t="s">
        <v>8</v>
      </c>
    </row>
    <row r="12827" spans="1:13" s="21" customFormat="1" x14ac:dyDescent="0.25">
      <c r="A12827" s="22" t="s">
        <v>8</v>
      </c>
      <c r="B12827" s="18" t="str">
        <f>"465065"</f>
        <v>465065</v>
      </c>
      <c r="C12827" s="19" t="s">
        <v>12606</v>
      </c>
      <c r="D12827" s="19" t="s">
        <v>28227</v>
      </c>
      <c r="E12827" s="19" t="s">
        <v>32498</v>
      </c>
      <c r="F12827" s="19" t="s">
        <v>36019</v>
      </c>
      <c r="G12827" s="18" t="str">
        <f>"84404"</f>
        <v>84404</v>
      </c>
      <c r="H12827" s="19" t="s">
        <v>36832</v>
      </c>
      <c r="I12827" s="20">
        <v>18.350000000000001</v>
      </c>
      <c r="J12827" s="44" t="s">
        <v>8</v>
      </c>
      <c r="K12827" s="23" t="s">
        <v>8</v>
      </c>
      <c r="L12827" s="23" t="s">
        <v>8</v>
      </c>
      <c r="M12827" s="23" t="s">
        <v>8</v>
      </c>
    </row>
    <row r="12828" spans="1:13" s="21" customFormat="1" x14ac:dyDescent="0.25">
      <c r="A12828" s="22" t="s">
        <v>8</v>
      </c>
      <c r="B12828" s="18" t="str">
        <f>"465066"</f>
        <v>465066</v>
      </c>
      <c r="C12828" s="19" t="s">
        <v>12607</v>
      </c>
      <c r="D12828" s="19" t="s">
        <v>28228</v>
      </c>
      <c r="E12828" s="19" t="s">
        <v>35321</v>
      </c>
      <c r="F12828" s="19" t="s">
        <v>36019</v>
      </c>
      <c r="G12828" s="18" t="str">
        <f>"84123"</f>
        <v>84123</v>
      </c>
      <c r="H12828" s="19" t="s">
        <v>36833</v>
      </c>
      <c r="I12828" s="20">
        <v>20.125</v>
      </c>
      <c r="J12828" s="44" t="s">
        <v>8</v>
      </c>
      <c r="K12828" s="23" t="s">
        <v>8</v>
      </c>
      <c r="L12828" s="23" t="s">
        <v>8</v>
      </c>
      <c r="M12828" s="23" t="s">
        <v>8</v>
      </c>
    </row>
    <row r="12829" spans="1:13" s="21" customFormat="1" x14ac:dyDescent="0.25">
      <c r="A12829" s="22" t="s">
        <v>8</v>
      </c>
      <c r="B12829" s="18" t="str">
        <f>"465067"</f>
        <v>465067</v>
      </c>
      <c r="C12829" s="19" t="s">
        <v>12608</v>
      </c>
      <c r="D12829" s="19" t="s">
        <v>28229</v>
      </c>
      <c r="E12829" s="19" t="s">
        <v>32508</v>
      </c>
      <c r="F12829" s="19" t="s">
        <v>36019</v>
      </c>
      <c r="G12829" s="18" t="str">
        <f>"84015"</f>
        <v>84015</v>
      </c>
      <c r="H12829" s="19" t="s">
        <v>31269</v>
      </c>
      <c r="I12829" s="20">
        <v>18.045000000000002</v>
      </c>
      <c r="J12829" s="44" t="s">
        <v>8</v>
      </c>
      <c r="K12829" s="23" t="s">
        <v>8</v>
      </c>
      <c r="L12829" s="23" t="s">
        <v>8</v>
      </c>
      <c r="M12829" s="23" t="s">
        <v>8</v>
      </c>
    </row>
    <row r="12830" spans="1:13" s="21" customFormat="1" x14ac:dyDescent="0.25">
      <c r="A12830" s="22" t="s">
        <v>8</v>
      </c>
      <c r="B12830" s="18" t="str">
        <f>"465069"</f>
        <v>465069</v>
      </c>
      <c r="C12830" s="19" t="s">
        <v>12609</v>
      </c>
      <c r="D12830" s="19" t="s">
        <v>28230</v>
      </c>
      <c r="E12830" s="19" t="s">
        <v>35326</v>
      </c>
      <c r="F12830" s="19" t="s">
        <v>36019</v>
      </c>
      <c r="G12830" s="18" t="str">
        <f>"84405"</f>
        <v>84405</v>
      </c>
      <c r="H12830" s="19" t="s">
        <v>36832</v>
      </c>
      <c r="I12830" s="20">
        <v>18.388000000000002</v>
      </c>
      <c r="J12830" s="44" t="s">
        <v>8</v>
      </c>
      <c r="K12830" s="23" t="s">
        <v>8</v>
      </c>
      <c r="L12830" s="23" t="s">
        <v>8</v>
      </c>
      <c r="M12830" s="23" t="s">
        <v>8</v>
      </c>
    </row>
    <row r="12831" spans="1:13" s="21" customFormat="1" x14ac:dyDescent="0.25">
      <c r="A12831" s="22" t="s">
        <v>8</v>
      </c>
      <c r="B12831" s="18" t="str">
        <f>"465072"</f>
        <v>465072</v>
      </c>
      <c r="C12831" s="19" t="s">
        <v>12610</v>
      </c>
      <c r="D12831" s="19" t="s">
        <v>28231</v>
      </c>
      <c r="E12831" s="19" t="s">
        <v>35321</v>
      </c>
      <c r="F12831" s="19" t="s">
        <v>36019</v>
      </c>
      <c r="G12831" s="18" t="str">
        <f>"84102"</f>
        <v>84102</v>
      </c>
      <c r="H12831" s="19" t="s">
        <v>36833</v>
      </c>
      <c r="I12831" s="20">
        <v>17.02</v>
      </c>
      <c r="J12831" s="44" t="s">
        <v>8</v>
      </c>
      <c r="K12831" s="23" t="s">
        <v>8</v>
      </c>
      <c r="L12831" s="23" t="s">
        <v>8</v>
      </c>
      <c r="M12831" s="23" t="s">
        <v>8</v>
      </c>
    </row>
    <row r="12832" spans="1:13" s="21" customFormat="1" x14ac:dyDescent="0.25">
      <c r="A12832" s="22" t="s">
        <v>8</v>
      </c>
      <c r="B12832" s="18" t="str">
        <f>"465074"</f>
        <v>465074</v>
      </c>
      <c r="C12832" s="19" t="s">
        <v>12611</v>
      </c>
      <c r="D12832" s="19" t="s">
        <v>28232</v>
      </c>
      <c r="E12832" s="19" t="s">
        <v>35321</v>
      </c>
      <c r="F12832" s="19" t="s">
        <v>36019</v>
      </c>
      <c r="G12832" s="18" t="str">
        <f>"84117"</f>
        <v>84117</v>
      </c>
      <c r="H12832" s="19" t="s">
        <v>36833</v>
      </c>
      <c r="I12832" s="20">
        <v>18.591999999999999</v>
      </c>
      <c r="J12832" s="44" t="s">
        <v>8</v>
      </c>
      <c r="K12832" s="23" t="s">
        <v>8</v>
      </c>
      <c r="L12832" s="23" t="s">
        <v>8</v>
      </c>
      <c r="M12832" s="23" t="s">
        <v>8</v>
      </c>
    </row>
    <row r="12833" spans="1:13" s="21" customFormat="1" x14ac:dyDescent="0.25">
      <c r="A12833" s="22" t="s">
        <v>8</v>
      </c>
      <c r="B12833" s="18" t="str">
        <f>"465075"</f>
        <v>465075</v>
      </c>
      <c r="C12833" s="19" t="s">
        <v>12612</v>
      </c>
      <c r="D12833" s="19" t="s">
        <v>28233</v>
      </c>
      <c r="E12833" s="19" t="s">
        <v>35327</v>
      </c>
      <c r="F12833" s="19" t="s">
        <v>36019</v>
      </c>
      <c r="G12833" s="18" t="str">
        <f>"84120"</f>
        <v>84120</v>
      </c>
      <c r="H12833" s="19" t="s">
        <v>36833</v>
      </c>
      <c r="I12833" s="20">
        <v>15.420999999999999</v>
      </c>
      <c r="J12833" s="44" t="s">
        <v>8</v>
      </c>
      <c r="K12833" s="23" t="s">
        <v>8</v>
      </c>
      <c r="L12833" s="23" t="s">
        <v>8</v>
      </c>
      <c r="M12833" s="23" t="s">
        <v>8</v>
      </c>
    </row>
    <row r="12834" spans="1:13" s="21" customFormat="1" x14ac:dyDescent="0.25">
      <c r="A12834" s="22" t="s">
        <v>8</v>
      </c>
      <c r="B12834" s="18" t="str">
        <f>"465078"</f>
        <v>465078</v>
      </c>
      <c r="C12834" s="19" t="s">
        <v>12613</v>
      </c>
      <c r="D12834" s="19" t="s">
        <v>28234</v>
      </c>
      <c r="E12834" s="19" t="s">
        <v>35321</v>
      </c>
      <c r="F12834" s="19" t="s">
        <v>36019</v>
      </c>
      <c r="G12834" s="18" t="str">
        <f>"84124"</f>
        <v>84124</v>
      </c>
      <c r="H12834" s="19" t="s">
        <v>36833</v>
      </c>
      <c r="I12834" s="20">
        <v>15.297000000000001</v>
      </c>
      <c r="J12834" s="44" t="s">
        <v>8</v>
      </c>
      <c r="K12834" s="23" t="s">
        <v>8</v>
      </c>
      <c r="L12834" s="23" t="s">
        <v>8</v>
      </c>
      <c r="M12834" s="23" t="s">
        <v>8</v>
      </c>
    </row>
    <row r="12835" spans="1:13" s="21" customFormat="1" x14ac:dyDescent="0.25">
      <c r="A12835" s="22" t="s">
        <v>8</v>
      </c>
      <c r="B12835" s="18" t="str">
        <f>"465079"</f>
        <v>465079</v>
      </c>
      <c r="C12835" s="19" t="s">
        <v>12614</v>
      </c>
      <c r="D12835" s="19" t="s">
        <v>28235</v>
      </c>
      <c r="E12835" s="19" t="s">
        <v>32373</v>
      </c>
      <c r="F12835" s="19" t="s">
        <v>36019</v>
      </c>
      <c r="G12835" s="18" t="str">
        <f>"84321"</f>
        <v>84321</v>
      </c>
      <c r="H12835" s="19" t="s">
        <v>36835</v>
      </c>
      <c r="I12835" s="20">
        <v>20.268999999999998</v>
      </c>
      <c r="J12835" s="44" t="s">
        <v>8</v>
      </c>
      <c r="K12835" s="23" t="s">
        <v>8</v>
      </c>
      <c r="L12835" s="23" t="s">
        <v>8</v>
      </c>
      <c r="M12835" s="23" t="s">
        <v>8</v>
      </c>
    </row>
    <row r="12836" spans="1:13" s="21" customFormat="1" x14ac:dyDescent="0.25">
      <c r="A12836" s="22" t="s">
        <v>8</v>
      </c>
      <c r="B12836" s="18" t="str">
        <f>"465082"</f>
        <v>465082</v>
      </c>
      <c r="C12836" s="19" t="s">
        <v>12615</v>
      </c>
      <c r="D12836" s="19" t="s">
        <v>28236</v>
      </c>
      <c r="E12836" s="19" t="s">
        <v>35328</v>
      </c>
      <c r="F12836" s="19" t="s">
        <v>36019</v>
      </c>
      <c r="G12836" s="18" t="str">
        <f>"84601"</f>
        <v>84601</v>
      </c>
      <c r="H12836" s="19" t="s">
        <v>36836</v>
      </c>
      <c r="I12836" s="20">
        <v>20.245000000000001</v>
      </c>
      <c r="J12836" s="44" t="s">
        <v>8</v>
      </c>
      <c r="K12836" s="23" t="s">
        <v>8</v>
      </c>
      <c r="L12836" s="23" t="s">
        <v>8</v>
      </c>
      <c r="M12836" s="23" t="s">
        <v>8</v>
      </c>
    </row>
    <row r="12837" spans="1:13" s="21" customFormat="1" x14ac:dyDescent="0.25">
      <c r="A12837" s="22" t="s">
        <v>8</v>
      </c>
      <c r="B12837" s="18" t="str">
        <f>"465083"</f>
        <v>465083</v>
      </c>
      <c r="C12837" s="19" t="s">
        <v>12616</v>
      </c>
      <c r="D12837" s="19" t="s">
        <v>28237</v>
      </c>
      <c r="E12837" s="19" t="s">
        <v>32498</v>
      </c>
      <c r="F12837" s="19" t="s">
        <v>36019</v>
      </c>
      <c r="G12837" s="18" t="str">
        <f>"84403"</f>
        <v>84403</v>
      </c>
      <c r="H12837" s="19" t="s">
        <v>36832</v>
      </c>
      <c r="I12837" s="20">
        <v>17.143000000000001</v>
      </c>
      <c r="J12837" s="44" t="s">
        <v>8</v>
      </c>
      <c r="K12837" s="23" t="s">
        <v>8</v>
      </c>
      <c r="L12837" s="23" t="s">
        <v>8</v>
      </c>
      <c r="M12837" s="23" t="s">
        <v>8</v>
      </c>
    </row>
    <row r="12838" spans="1:13" s="21" customFormat="1" x14ac:dyDescent="0.25">
      <c r="A12838" s="22" t="s">
        <v>8</v>
      </c>
      <c r="B12838" s="18" t="str">
        <f>"465084"</f>
        <v>465084</v>
      </c>
      <c r="C12838" s="19" t="s">
        <v>12617</v>
      </c>
      <c r="D12838" s="19" t="s">
        <v>28238</v>
      </c>
      <c r="E12838" s="19" t="s">
        <v>35329</v>
      </c>
      <c r="F12838" s="19" t="s">
        <v>36019</v>
      </c>
      <c r="G12838" s="18" t="str">
        <f>"84066"</f>
        <v>84066</v>
      </c>
      <c r="H12838" s="19" t="s">
        <v>36837</v>
      </c>
      <c r="I12838" s="20">
        <v>17.667000000000002</v>
      </c>
      <c r="J12838" s="44" t="s">
        <v>8</v>
      </c>
      <c r="K12838" s="23" t="s">
        <v>8</v>
      </c>
      <c r="L12838" s="23" t="s">
        <v>8</v>
      </c>
      <c r="M12838" s="23" t="s">
        <v>8</v>
      </c>
    </row>
    <row r="12839" spans="1:13" s="21" customFormat="1" x14ac:dyDescent="0.25">
      <c r="A12839" s="22" t="s">
        <v>8</v>
      </c>
      <c r="B12839" s="18" t="str">
        <f>"465085"</f>
        <v>465085</v>
      </c>
      <c r="C12839" s="19" t="s">
        <v>12618</v>
      </c>
      <c r="D12839" s="19" t="s">
        <v>28239</v>
      </c>
      <c r="E12839" s="19" t="s">
        <v>35330</v>
      </c>
      <c r="F12839" s="19" t="s">
        <v>36019</v>
      </c>
      <c r="G12839" s="18" t="str">
        <f>"84523"</f>
        <v>84523</v>
      </c>
      <c r="H12839" s="19" t="s">
        <v>36838</v>
      </c>
      <c r="I12839" s="20">
        <v>20.303999999999998</v>
      </c>
      <c r="J12839" s="44" t="s">
        <v>8</v>
      </c>
      <c r="K12839" s="23" t="s">
        <v>8</v>
      </c>
      <c r="L12839" s="23" t="s">
        <v>8</v>
      </c>
      <c r="M12839" s="23" t="s">
        <v>8</v>
      </c>
    </row>
    <row r="12840" spans="1:13" s="21" customFormat="1" x14ac:dyDescent="0.25">
      <c r="A12840" s="22" t="s">
        <v>8</v>
      </c>
      <c r="B12840" s="18" t="str">
        <f>"465086"</f>
        <v>465086</v>
      </c>
      <c r="C12840" s="19" t="s">
        <v>12619</v>
      </c>
      <c r="D12840" s="19" t="s">
        <v>28240</v>
      </c>
      <c r="E12840" s="19" t="s">
        <v>32498</v>
      </c>
      <c r="F12840" s="19" t="s">
        <v>36019</v>
      </c>
      <c r="G12840" s="18" t="str">
        <f>"84403"</f>
        <v>84403</v>
      </c>
      <c r="H12840" s="19" t="s">
        <v>36832</v>
      </c>
      <c r="I12840" s="20">
        <v>17.863</v>
      </c>
      <c r="J12840" s="44" t="s">
        <v>8</v>
      </c>
      <c r="K12840" s="23" t="s">
        <v>8</v>
      </c>
      <c r="L12840" s="23" t="s">
        <v>8</v>
      </c>
      <c r="M12840" s="23" t="s">
        <v>8</v>
      </c>
    </row>
    <row r="12841" spans="1:13" s="21" customFormat="1" x14ac:dyDescent="0.25">
      <c r="A12841" s="22" t="s">
        <v>8</v>
      </c>
      <c r="B12841" s="18" t="str">
        <f>"465088"</f>
        <v>465088</v>
      </c>
      <c r="C12841" s="19" t="s">
        <v>12620</v>
      </c>
      <c r="D12841" s="19" t="s">
        <v>28241</v>
      </c>
      <c r="E12841" s="19" t="s">
        <v>30835</v>
      </c>
      <c r="F12841" s="19" t="s">
        <v>36019</v>
      </c>
      <c r="G12841" s="18" t="str">
        <f>"84062"</f>
        <v>84062</v>
      </c>
      <c r="H12841" s="19" t="s">
        <v>36836</v>
      </c>
      <c r="I12841" s="20">
        <v>18.651</v>
      </c>
      <c r="J12841" s="44" t="s">
        <v>8</v>
      </c>
      <c r="K12841" s="23" t="s">
        <v>8</v>
      </c>
      <c r="L12841" s="23" t="s">
        <v>8</v>
      </c>
      <c r="M12841" s="23" t="s">
        <v>8</v>
      </c>
    </row>
    <row r="12842" spans="1:13" s="21" customFormat="1" x14ac:dyDescent="0.25">
      <c r="A12842" s="22" t="s">
        <v>8</v>
      </c>
      <c r="B12842" s="18" t="str">
        <f>"465089"</f>
        <v>465089</v>
      </c>
      <c r="C12842" s="19" t="s">
        <v>12621</v>
      </c>
      <c r="D12842" s="19" t="s">
        <v>28242</v>
      </c>
      <c r="E12842" s="19" t="s">
        <v>35331</v>
      </c>
      <c r="F12842" s="19" t="s">
        <v>36019</v>
      </c>
      <c r="G12842" s="18" t="str">
        <f>"84074"</f>
        <v>84074</v>
      </c>
      <c r="H12842" s="19" t="s">
        <v>35331</v>
      </c>
      <c r="I12842" s="20">
        <v>16.837</v>
      </c>
      <c r="J12842" s="44" t="s">
        <v>8</v>
      </c>
      <c r="K12842" s="23" t="s">
        <v>8</v>
      </c>
      <c r="L12842" s="23" t="s">
        <v>8</v>
      </c>
      <c r="M12842" s="23" t="s">
        <v>8</v>
      </c>
    </row>
    <row r="12843" spans="1:13" s="21" customFormat="1" x14ac:dyDescent="0.25">
      <c r="A12843" s="22" t="s">
        <v>8</v>
      </c>
      <c r="B12843" s="18" t="str">
        <f>"465090"</f>
        <v>465090</v>
      </c>
      <c r="C12843" s="19" t="s">
        <v>12622</v>
      </c>
      <c r="D12843" s="19" t="s">
        <v>28243</v>
      </c>
      <c r="E12843" s="19" t="s">
        <v>35332</v>
      </c>
      <c r="F12843" s="19" t="s">
        <v>36019</v>
      </c>
      <c r="G12843" s="18" t="str">
        <f>"84057"</f>
        <v>84057</v>
      </c>
      <c r="H12843" s="19" t="s">
        <v>36836</v>
      </c>
      <c r="I12843" s="20">
        <v>16.847999999999999</v>
      </c>
      <c r="J12843" s="44" t="s">
        <v>8</v>
      </c>
      <c r="K12843" s="23" t="s">
        <v>8</v>
      </c>
      <c r="L12843" s="23" t="s">
        <v>8</v>
      </c>
      <c r="M12843" s="23" t="s">
        <v>8</v>
      </c>
    </row>
    <row r="12844" spans="1:13" s="21" customFormat="1" x14ac:dyDescent="0.25">
      <c r="A12844" s="22" t="s">
        <v>8</v>
      </c>
      <c r="B12844" s="18" t="str">
        <f>"465091"</f>
        <v>465091</v>
      </c>
      <c r="C12844" s="19" t="s">
        <v>12623</v>
      </c>
      <c r="D12844" s="19" t="s">
        <v>28244</v>
      </c>
      <c r="E12844" s="19" t="s">
        <v>35333</v>
      </c>
      <c r="F12844" s="19" t="s">
        <v>36019</v>
      </c>
      <c r="G12844" s="18" t="str">
        <f>"84020"</f>
        <v>84020</v>
      </c>
      <c r="H12844" s="19" t="s">
        <v>36833</v>
      </c>
      <c r="I12844" s="20">
        <v>17.873000000000001</v>
      </c>
      <c r="J12844" s="44" t="s">
        <v>8</v>
      </c>
      <c r="K12844" s="23" t="s">
        <v>8</v>
      </c>
      <c r="L12844" s="23" t="s">
        <v>8</v>
      </c>
      <c r="M12844" s="23" t="s">
        <v>8</v>
      </c>
    </row>
    <row r="12845" spans="1:13" s="21" customFormat="1" x14ac:dyDescent="0.25">
      <c r="A12845" s="22" t="s">
        <v>8</v>
      </c>
      <c r="B12845" s="18" t="str">
        <f>"465092"</f>
        <v>465092</v>
      </c>
      <c r="C12845" s="19" t="s">
        <v>12624</v>
      </c>
      <c r="D12845" s="19" t="s">
        <v>28245</v>
      </c>
      <c r="E12845" s="19" t="s">
        <v>35334</v>
      </c>
      <c r="F12845" s="19" t="s">
        <v>36019</v>
      </c>
      <c r="G12845" s="18" t="str">
        <f>"84078"</f>
        <v>84078</v>
      </c>
      <c r="H12845" s="19" t="s">
        <v>36839</v>
      </c>
      <c r="I12845" s="20">
        <v>17.545000000000002</v>
      </c>
      <c r="J12845" s="44" t="s">
        <v>8</v>
      </c>
      <c r="K12845" s="23" t="s">
        <v>8</v>
      </c>
      <c r="L12845" s="23" t="s">
        <v>8</v>
      </c>
      <c r="M12845" s="23" t="s">
        <v>8</v>
      </c>
    </row>
    <row r="12846" spans="1:13" s="21" customFormat="1" x14ac:dyDescent="0.25">
      <c r="A12846" s="22" t="s">
        <v>8</v>
      </c>
      <c r="B12846" s="18" t="str">
        <f>"465093"</f>
        <v>465093</v>
      </c>
      <c r="C12846" s="19" t="s">
        <v>12625</v>
      </c>
      <c r="D12846" s="19" t="s">
        <v>28246</v>
      </c>
      <c r="E12846" s="19" t="s">
        <v>35322</v>
      </c>
      <c r="F12846" s="19" t="s">
        <v>36019</v>
      </c>
      <c r="G12846" s="18" t="str">
        <f>"84302"</f>
        <v>84302</v>
      </c>
      <c r="H12846" s="19" t="s">
        <v>36834</v>
      </c>
      <c r="I12846" s="20">
        <v>18.776</v>
      </c>
      <c r="J12846" s="44" t="s">
        <v>8</v>
      </c>
      <c r="K12846" s="23" t="s">
        <v>8</v>
      </c>
      <c r="L12846" s="23" t="s">
        <v>8</v>
      </c>
      <c r="M12846" s="23" t="s">
        <v>8</v>
      </c>
    </row>
    <row r="12847" spans="1:13" s="21" customFormat="1" x14ac:dyDescent="0.25">
      <c r="A12847" s="22" t="s">
        <v>8</v>
      </c>
      <c r="B12847" s="18" t="str">
        <f>"465094"</f>
        <v>465094</v>
      </c>
      <c r="C12847" s="19" t="s">
        <v>12626</v>
      </c>
      <c r="D12847" s="19" t="s">
        <v>28247</v>
      </c>
      <c r="E12847" s="19" t="s">
        <v>35321</v>
      </c>
      <c r="F12847" s="19" t="s">
        <v>36019</v>
      </c>
      <c r="G12847" s="18" t="str">
        <f>"84106"</f>
        <v>84106</v>
      </c>
      <c r="H12847" s="19" t="s">
        <v>36833</v>
      </c>
      <c r="I12847" s="20">
        <v>19.391999999999999</v>
      </c>
      <c r="J12847" s="44" t="s">
        <v>8</v>
      </c>
      <c r="K12847" s="23" t="s">
        <v>8</v>
      </c>
      <c r="L12847" s="23" t="s">
        <v>8</v>
      </c>
      <c r="M12847" s="23" t="s">
        <v>8</v>
      </c>
    </row>
    <row r="12848" spans="1:13" s="21" customFormat="1" x14ac:dyDescent="0.25">
      <c r="A12848" s="22" t="s">
        <v>8</v>
      </c>
      <c r="B12848" s="18" t="str">
        <f>"465095"</f>
        <v>465095</v>
      </c>
      <c r="C12848" s="19" t="s">
        <v>12627</v>
      </c>
      <c r="D12848" s="19" t="s">
        <v>28248</v>
      </c>
      <c r="E12848" s="19" t="s">
        <v>35321</v>
      </c>
      <c r="F12848" s="19" t="s">
        <v>36019</v>
      </c>
      <c r="G12848" s="18" t="str">
        <f>"84115"</f>
        <v>84115</v>
      </c>
      <c r="H12848" s="19" t="s">
        <v>36833</v>
      </c>
      <c r="I12848" s="20">
        <v>18.170999999999999</v>
      </c>
      <c r="J12848" s="44" t="s">
        <v>8</v>
      </c>
      <c r="K12848" s="23" t="s">
        <v>8</v>
      </c>
      <c r="L12848" s="23" t="s">
        <v>8</v>
      </c>
      <c r="M12848" s="23" t="s">
        <v>8</v>
      </c>
    </row>
    <row r="12849" spans="1:13" s="21" customFormat="1" x14ac:dyDescent="0.25">
      <c r="A12849" s="22" t="s">
        <v>8</v>
      </c>
      <c r="B12849" s="18" t="str">
        <f>"465096"</f>
        <v>465096</v>
      </c>
      <c r="C12849" s="19" t="s">
        <v>12628</v>
      </c>
      <c r="D12849" s="19" t="s">
        <v>28249</v>
      </c>
      <c r="E12849" s="19" t="s">
        <v>35321</v>
      </c>
      <c r="F12849" s="19" t="s">
        <v>36019</v>
      </c>
      <c r="G12849" s="18" t="str">
        <f>"84109"</f>
        <v>84109</v>
      </c>
      <c r="H12849" s="19" t="s">
        <v>36833</v>
      </c>
      <c r="I12849" s="20">
        <v>19.048999999999999</v>
      </c>
      <c r="J12849" s="44" t="s">
        <v>8</v>
      </c>
      <c r="K12849" s="23" t="s">
        <v>8</v>
      </c>
      <c r="L12849" s="23" t="s">
        <v>8</v>
      </c>
      <c r="M12849" s="23" t="s">
        <v>8</v>
      </c>
    </row>
    <row r="12850" spans="1:13" s="21" customFormat="1" x14ac:dyDescent="0.25">
      <c r="A12850" s="22" t="s">
        <v>8</v>
      </c>
      <c r="B12850" s="18" t="str">
        <f>"465097"</f>
        <v>465097</v>
      </c>
      <c r="C12850" s="19" t="s">
        <v>4361</v>
      </c>
      <c r="D12850" s="19" t="s">
        <v>28250</v>
      </c>
      <c r="E12850" s="19" t="s">
        <v>35335</v>
      </c>
      <c r="F12850" s="19" t="s">
        <v>36019</v>
      </c>
      <c r="G12850" s="18" t="str">
        <f>"84003"</f>
        <v>84003</v>
      </c>
      <c r="H12850" s="19" t="s">
        <v>36836</v>
      </c>
      <c r="I12850" s="20">
        <v>18.442</v>
      </c>
      <c r="J12850" s="44" t="s">
        <v>8</v>
      </c>
      <c r="K12850" s="23" t="s">
        <v>8</v>
      </c>
      <c r="L12850" s="23" t="s">
        <v>8</v>
      </c>
      <c r="M12850" s="23" t="s">
        <v>8</v>
      </c>
    </row>
    <row r="12851" spans="1:13" s="21" customFormat="1" x14ac:dyDescent="0.25">
      <c r="A12851" s="22" t="s">
        <v>8</v>
      </c>
      <c r="B12851" s="18" t="str">
        <f>"465098"</f>
        <v>465098</v>
      </c>
      <c r="C12851" s="19" t="s">
        <v>12629</v>
      </c>
      <c r="D12851" s="19" t="s">
        <v>28251</v>
      </c>
      <c r="E12851" s="19" t="s">
        <v>35318</v>
      </c>
      <c r="F12851" s="19" t="s">
        <v>36019</v>
      </c>
      <c r="G12851" s="18" t="str">
        <f>"84501"</f>
        <v>84501</v>
      </c>
      <c r="H12851" s="19" t="s">
        <v>36538</v>
      </c>
      <c r="I12851" s="20">
        <v>19.497</v>
      </c>
      <c r="J12851" s="44" t="s">
        <v>8</v>
      </c>
      <c r="K12851" s="23" t="s">
        <v>8</v>
      </c>
      <c r="L12851" s="23" t="s">
        <v>8</v>
      </c>
      <c r="M12851" s="23" t="s">
        <v>8</v>
      </c>
    </row>
    <row r="12852" spans="1:13" s="21" customFormat="1" x14ac:dyDescent="0.25">
      <c r="A12852" s="22" t="s">
        <v>8</v>
      </c>
      <c r="B12852" s="18" t="str">
        <f>"465100"</f>
        <v>465100</v>
      </c>
      <c r="C12852" s="19" t="s">
        <v>12630</v>
      </c>
      <c r="D12852" s="19" t="s">
        <v>28252</v>
      </c>
      <c r="E12852" s="19" t="s">
        <v>35321</v>
      </c>
      <c r="F12852" s="19" t="s">
        <v>36019</v>
      </c>
      <c r="G12852" s="18" t="str">
        <f>"84107"</f>
        <v>84107</v>
      </c>
      <c r="H12852" s="19" t="s">
        <v>36833</v>
      </c>
      <c r="I12852" s="20">
        <v>17.036000000000001</v>
      </c>
      <c r="J12852" s="44" t="s">
        <v>8</v>
      </c>
      <c r="K12852" s="23" t="s">
        <v>8</v>
      </c>
      <c r="L12852" s="23" t="s">
        <v>8</v>
      </c>
      <c r="M12852" s="23" t="s">
        <v>8</v>
      </c>
    </row>
    <row r="12853" spans="1:13" s="21" customFormat="1" x14ac:dyDescent="0.25">
      <c r="A12853" s="22" t="s">
        <v>8</v>
      </c>
      <c r="B12853" s="18" t="str">
        <f>"465101"</f>
        <v>465101</v>
      </c>
      <c r="C12853" s="19" t="s">
        <v>12631</v>
      </c>
      <c r="D12853" s="19" t="s">
        <v>28253</v>
      </c>
      <c r="E12853" s="19" t="s">
        <v>35336</v>
      </c>
      <c r="F12853" s="19" t="s">
        <v>36019</v>
      </c>
      <c r="G12853" s="18" t="str">
        <f>"84737"</f>
        <v>84737</v>
      </c>
      <c r="H12853" s="19" t="s">
        <v>31500</v>
      </c>
      <c r="I12853" s="20">
        <v>16.428999999999998</v>
      </c>
      <c r="J12853" s="44" t="s">
        <v>8</v>
      </c>
      <c r="K12853" s="23" t="s">
        <v>8</v>
      </c>
      <c r="L12853" s="23" t="s">
        <v>8</v>
      </c>
      <c r="M12853" s="23" t="s">
        <v>8</v>
      </c>
    </row>
    <row r="12854" spans="1:13" s="21" customFormat="1" x14ac:dyDescent="0.25">
      <c r="A12854" s="22" t="s">
        <v>8</v>
      </c>
      <c r="B12854" s="18" t="str">
        <f>"465102"</f>
        <v>465102</v>
      </c>
      <c r="C12854" s="19" t="s">
        <v>12632</v>
      </c>
      <c r="D12854" s="19" t="s">
        <v>28254</v>
      </c>
      <c r="E12854" s="19" t="s">
        <v>35318</v>
      </c>
      <c r="F12854" s="19" t="s">
        <v>36019</v>
      </c>
      <c r="G12854" s="18" t="str">
        <f>"84501"</f>
        <v>84501</v>
      </c>
      <c r="H12854" s="19" t="s">
        <v>36538</v>
      </c>
      <c r="I12854" s="20">
        <v>15.965999999999999</v>
      </c>
      <c r="J12854" s="44" t="s">
        <v>8</v>
      </c>
      <c r="K12854" s="23" t="s">
        <v>8</v>
      </c>
      <c r="L12854" s="23" t="s">
        <v>8</v>
      </c>
      <c r="M12854" s="23" t="s">
        <v>8</v>
      </c>
    </row>
    <row r="12855" spans="1:13" s="21" customFormat="1" x14ac:dyDescent="0.25">
      <c r="A12855" s="22" t="s">
        <v>8</v>
      </c>
      <c r="B12855" s="18" t="str">
        <f>"465104"</f>
        <v>465104</v>
      </c>
      <c r="C12855" s="19" t="s">
        <v>12633</v>
      </c>
      <c r="D12855" s="19" t="s">
        <v>28255</v>
      </c>
      <c r="E12855" s="19" t="s">
        <v>35332</v>
      </c>
      <c r="F12855" s="19" t="s">
        <v>36019</v>
      </c>
      <c r="G12855" s="18" t="str">
        <f>"84097"</f>
        <v>84097</v>
      </c>
      <c r="H12855" s="19" t="s">
        <v>36836</v>
      </c>
      <c r="I12855" s="20">
        <v>18.042000000000002</v>
      </c>
      <c r="J12855" s="44" t="s">
        <v>8</v>
      </c>
      <c r="K12855" s="23" t="s">
        <v>8</v>
      </c>
      <c r="L12855" s="23" t="s">
        <v>8</v>
      </c>
      <c r="M12855" s="23" t="s">
        <v>8</v>
      </c>
    </row>
    <row r="12856" spans="1:13" s="21" customFormat="1" x14ac:dyDescent="0.25">
      <c r="A12856" s="22" t="s">
        <v>8</v>
      </c>
      <c r="B12856" s="18" t="str">
        <f>"465107"</f>
        <v>465107</v>
      </c>
      <c r="C12856" s="19" t="s">
        <v>12634</v>
      </c>
      <c r="D12856" s="19" t="s">
        <v>28256</v>
      </c>
      <c r="E12856" s="19" t="s">
        <v>35337</v>
      </c>
      <c r="F12856" s="19" t="s">
        <v>36019</v>
      </c>
      <c r="G12856" s="18" t="str">
        <f>"84648"</f>
        <v>84648</v>
      </c>
      <c r="H12856" s="19" t="s">
        <v>36840</v>
      </c>
      <c r="I12856" s="20">
        <v>20.295000000000002</v>
      </c>
      <c r="J12856" s="44" t="s">
        <v>8</v>
      </c>
      <c r="K12856" s="23" t="s">
        <v>8</v>
      </c>
      <c r="L12856" s="23" t="s">
        <v>8</v>
      </c>
      <c r="M12856" s="23" t="s">
        <v>8</v>
      </c>
    </row>
    <row r="12857" spans="1:13" s="21" customFormat="1" x14ac:dyDescent="0.25">
      <c r="A12857" s="22" t="s">
        <v>8</v>
      </c>
      <c r="B12857" s="18" t="str">
        <f>"465108"</f>
        <v>465108</v>
      </c>
      <c r="C12857" s="19" t="s">
        <v>12635</v>
      </c>
      <c r="D12857" s="19" t="s">
        <v>28257</v>
      </c>
      <c r="E12857" s="19" t="s">
        <v>35338</v>
      </c>
      <c r="F12857" s="19" t="s">
        <v>36019</v>
      </c>
      <c r="G12857" s="18" t="str">
        <f>"84088"</f>
        <v>84088</v>
      </c>
      <c r="H12857" s="19" t="s">
        <v>36833</v>
      </c>
      <c r="I12857" s="20">
        <v>18.707000000000001</v>
      </c>
      <c r="J12857" s="44" t="s">
        <v>8</v>
      </c>
      <c r="K12857" s="23" t="s">
        <v>8</v>
      </c>
      <c r="L12857" s="23" t="s">
        <v>8</v>
      </c>
      <c r="M12857" s="23" t="s">
        <v>8</v>
      </c>
    </row>
    <row r="12858" spans="1:13" s="21" customFormat="1" x14ac:dyDescent="0.25">
      <c r="A12858" s="22" t="s">
        <v>8</v>
      </c>
      <c r="B12858" s="18" t="str">
        <f>"465109"</f>
        <v>465109</v>
      </c>
      <c r="C12858" s="19" t="s">
        <v>12636</v>
      </c>
      <c r="D12858" s="19" t="s">
        <v>28258</v>
      </c>
      <c r="E12858" s="19" t="s">
        <v>35321</v>
      </c>
      <c r="F12858" s="19" t="s">
        <v>36019</v>
      </c>
      <c r="G12858" s="18" t="str">
        <f>"84117"</f>
        <v>84117</v>
      </c>
      <c r="H12858" s="19" t="s">
        <v>36833</v>
      </c>
      <c r="I12858" s="20">
        <v>16.087</v>
      </c>
      <c r="J12858" s="44" t="s">
        <v>8</v>
      </c>
      <c r="K12858" s="23" t="s">
        <v>8</v>
      </c>
      <c r="L12858" s="23" t="s">
        <v>8</v>
      </c>
      <c r="M12858" s="23" t="s">
        <v>8</v>
      </c>
    </row>
    <row r="12859" spans="1:13" s="21" customFormat="1" x14ac:dyDescent="0.25">
      <c r="A12859" s="22" t="s">
        <v>8</v>
      </c>
      <c r="B12859" s="18" t="str">
        <f>"465110"</f>
        <v>465110</v>
      </c>
      <c r="C12859" s="19" t="s">
        <v>12637</v>
      </c>
      <c r="D12859" s="19" t="s">
        <v>28259</v>
      </c>
      <c r="E12859" s="19" t="s">
        <v>35339</v>
      </c>
      <c r="F12859" s="19" t="s">
        <v>36019</v>
      </c>
      <c r="G12859" s="18" t="str">
        <f>"84070"</f>
        <v>84070</v>
      </c>
      <c r="H12859" s="19" t="s">
        <v>36833</v>
      </c>
      <c r="I12859" s="20">
        <v>17.585999999999999</v>
      </c>
      <c r="J12859" s="44" t="s">
        <v>8</v>
      </c>
      <c r="K12859" s="23" t="s">
        <v>8</v>
      </c>
      <c r="L12859" s="23" t="s">
        <v>8</v>
      </c>
      <c r="M12859" s="23" t="s">
        <v>8</v>
      </c>
    </row>
    <row r="12860" spans="1:13" s="21" customFormat="1" x14ac:dyDescent="0.25">
      <c r="A12860" s="22" t="s">
        <v>8</v>
      </c>
      <c r="B12860" s="18" t="str">
        <f>"465111"</f>
        <v>465111</v>
      </c>
      <c r="C12860" s="19" t="s">
        <v>12638</v>
      </c>
      <c r="D12860" s="19" t="s">
        <v>28260</v>
      </c>
      <c r="E12860" s="19" t="s">
        <v>35339</v>
      </c>
      <c r="F12860" s="19" t="s">
        <v>36019</v>
      </c>
      <c r="G12860" s="18" t="str">
        <f>"84070"</f>
        <v>84070</v>
      </c>
      <c r="H12860" s="19" t="s">
        <v>36833</v>
      </c>
      <c r="I12860" s="20">
        <v>19.234000000000002</v>
      </c>
      <c r="J12860" s="44" t="s">
        <v>8</v>
      </c>
      <c r="K12860" s="23" t="s">
        <v>8</v>
      </c>
      <c r="L12860" s="23" t="s">
        <v>8</v>
      </c>
      <c r="M12860" s="23" t="s">
        <v>8</v>
      </c>
    </row>
    <row r="12861" spans="1:13" s="21" customFormat="1" x14ac:dyDescent="0.25">
      <c r="A12861" s="22" t="s">
        <v>8</v>
      </c>
      <c r="B12861" s="18" t="str">
        <f>"465112"</f>
        <v>465112</v>
      </c>
      <c r="C12861" s="19" t="s">
        <v>12639</v>
      </c>
      <c r="D12861" s="19" t="s">
        <v>28261</v>
      </c>
      <c r="E12861" s="19" t="s">
        <v>35324</v>
      </c>
      <c r="F12861" s="19" t="s">
        <v>36019</v>
      </c>
      <c r="G12861" s="18" t="str">
        <f>"84010"</f>
        <v>84010</v>
      </c>
      <c r="H12861" s="19" t="s">
        <v>31269</v>
      </c>
      <c r="I12861" s="20">
        <v>21.396999999999998</v>
      </c>
      <c r="J12861" s="44" t="s">
        <v>8</v>
      </c>
      <c r="K12861" s="23" t="s">
        <v>8</v>
      </c>
      <c r="L12861" s="23" t="s">
        <v>8</v>
      </c>
      <c r="M12861" s="23" t="s">
        <v>8</v>
      </c>
    </row>
    <row r="12862" spans="1:13" s="21" customFormat="1" x14ac:dyDescent="0.25">
      <c r="A12862" s="22" t="s">
        <v>8</v>
      </c>
      <c r="B12862" s="18" t="str">
        <f>"465115"</f>
        <v>465115</v>
      </c>
      <c r="C12862" s="19" t="s">
        <v>12640</v>
      </c>
      <c r="D12862" s="19" t="s">
        <v>28262</v>
      </c>
      <c r="E12862" s="19" t="s">
        <v>32498</v>
      </c>
      <c r="F12862" s="19" t="s">
        <v>36019</v>
      </c>
      <c r="G12862" s="18" t="str">
        <f>"84405"</f>
        <v>84405</v>
      </c>
      <c r="H12862" s="19" t="s">
        <v>36832</v>
      </c>
      <c r="I12862" s="20">
        <v>19.64</v>
      </c>
      <c r="J12862" s="44" t="s">
        <v>8</v>
      </c>
      <c r="K12862" s="23" t="s">
        <v>8</v>
      </c>
      <c r="L12862" s="23" t="s">
        <v>8</v>
      </c>
      <c r="M12862" s="23" t="s">
        <v>8</v>
      </c>
    </row>
    <row r="12863" spans="1:13" s="21" customFormat="1" x14ac:dyDescent="0.25">
      <c r="A12863" s="22" t="s">
        <v>8</v>
      </c>
      <c r="B12863" s="18" t="str">
        <f>"465116"</f>
        <v>465116</v>
      </c>
      <c r="C12863" s="19" t="s">
        <v>12641</v>
      </c>
      <c r="D12863" s="19" t="s">
        <v>28263</v>
      </c>
      <c r="E12863" s="19" t="s">
        <v>32373</v>
      </c>
      <c r="F12863" s="19" t="s">
        <v>36019</v>
      </c>
      <c r="G12863" s="18" t="str">
        <f>"84341"</f>
        <v>84341</v>
      </c>
      <c r="H12863" s="19" t="s">
        <v>36835</v>
      </c>
      <c r="I12863" s="20">
        <v>19.329000000000001</v>
      </c>
      <c r="J12863" s="44" t="s">
        <v>8</v>
      </c>
      <c r="K12863" s="23" t="s">
        <v>8</v>
      </c>
      <c r="L12863" s="23" t="s">
        <v>8</v>
      </c>
      <c r="M12863" s="23" t="s">
        <v>8</v>
      </c>
    </row>
    <row r="12864" spans="1:13" s="21" customFormat="1" x14ac:dyDescent="0.25">
      <c r="A12864" s="22" t="s">
        <v>8</v>
      </c>
      <c r="B12864" s="18" t="str">
        <f>"465117"</f>
        <v>465117</v>
      </c>
      <c r="C12864" s="19" t="s">
        <v>12642</v>
      </c>
      <c r="D12864" s="19" t="s">
        <v>28264</v>
      </c>
      <c r="E12864" s="19" t="s">
        <v>32498</v>
      </c>
      <c r="F12864" s="19" t="s">
        <v>36019</v>
      </c>
      <c r="G12864" s="18" t="str">
        <f>"84405"</f>
        <v>84405</v>
      </c>
      <c r="H12864" s="19" t="s">
        <v>36832</v>
      </c>
      <c r="I12864" s="20">
        <v>18.033000000000001</v>
      </c>
      <c r="J12864" s="44" t="s">
        <v>8</v>
      </c>
      <c r="K12864" s="23" t="s">
        <v>8</v>
      </c>
      <c r="L12864" s="23" t="s">
        <v>8</v>
      </c>
      <c r="M12864" s="23" t="s">
        <v>8</v>
      </c>
    </row>
    <row r="12865" spans="1:13" s="21" customFormat="1" x14ac:dyDescent="0.25">
      <c r="A12865" s="22" t="s">
        <v>8</v>
      </c>
      <c r="B12865" s="18" t="str">
        <f>"465119"</f>
        <v>465119</v>
      </c>
      <c r="C12865" s="19" t="s">
        <v>12643</v>
      </c>
      <c r="D12865" s="19" t="s">
        <v>28265</v>
      </c>
      <c r="E12865" s="19" t="s">
        <v>35328</v>
      </c>
      <c r="F12865" s="19" t="s">
        <v>36019</v>
      </c>
      <c r="G12865" s="18" t="str">
        <f>"84604"</f>
        <v>84604</v>
      </c>
      <c r="H12865" s="19" t="s">
        <v>36836</v>
      </c>
      <c r="I12865" s="20">
        <v>18.965</v>
      </c>
      <c r="J12865" s="44" t="s">
        <v>8</v>
      </c>
      <c r="K12865" s="23" t="s">
        <v>8</v>
      </c>
      <c r="L12865" s="23" t="s">
        <v>8</v>
      </c>
      <c r="M12865" s="23" t="s">
        <v>8</v>
      </c>
    </row>
    <row r="12866" spans="1:13" s="21" customFormat="1" x14ac:dyDescent="0.25">
      <c r="A12866" s="22" t="s">
        <v>8</v>
      </c>
      <c r="B12866" s="18" t="str">
        <f>"465123"</f>
        <v>465123</v>
      </c>
      <c r="C12866" s="19" t="s">
        <v>12644</v>
      </c>
      <c r="D12866" s="19" t="s">
        <v>28266</v>
      </c>
      <c r="E12866" s="19" t="s">
        <v>32373</v>
      </c>
      <c r="F12866" s="19" t="s">
        <v>36019</v>
      </c>
      <c r="G12866" s="18" t="str">
        <f>"84341"</f>
        <v>84341</v>
      </c>
      <c r="H12866" s="19" t="s">
        <v>36835</v>
      </c>
      <c r="I12866" s="20">
        <v>18</v>
      </c>
      <c r="J12866" s="44" t="s">
        <v>8</v>
      </c>
      <c r="K12866" s="23" t="s">
        <v>8</v>
      </c>
      <c r="L12866" s="23" t="s">
        <v>8</v>
      </c>
      <c r="M12866" s="23" t="s">
        <v>8</v>
      </c>
    </row>
    <row r="12867" spans="1:13" s="21" customFormat="1" x14ac:dyDescent="0.25">
      <c r="A12867" s="22" t="s">
        <v>8</v>
      </c>
      <c r="B12867" s="18" t="str">
        <f>"465124"</f>
        <v>465124</v>
      </c>
      <c r="C12867" s="19" t="s">
        <v>12645</v>
      </c>
      <c r="D12867" s="19" t="s">
        <v>28267</v>
      </c>
      <c r="E12867" s="19" t="s">
        <v>35321</v>
      </c>
      <c r="F12867" s="19" t="s">
        <v>36019</v>
      </c>
      <c r="G12867" s="18" t="str">
        <f>"84104"</f>
        <v>84104</v>
      </c>
      <c r="H12867" s="19" t="s">
        <v>36833</v>
      </c>
      <c r="I12867" s="20">
        <v>19.300999999999998</v>
      </c>
      <c r="J12867" s="44" t="s">
        <v>8</v>
      </c>
      <c r="K12867" s="23" t="s">
        <v>8</v>
      </c>
      <c r="L12867" s="23" t="s">
        <v>8</v>
      </c>
      <c r="M12867" s="23" t="s">
        <v>8</v>
      </c>
    </row>
    <row r="12868" spans="1:13" s="21" customFormat="1" x14ac:dyDescent="0.25">
      <c r="A12868" s="22" t="s">
        <v>8</v>
      </c>
      <c r="B12868" s="18" t="str">
        <f>"465125"</f>
        <v>465125</v>
      </c>
      <c r="C12868" s="19" t="s">
        <v>12646</v>
      </c>
      <c r="D12868" s="19" t="s">
        <v>28268</v>
      </c>
      <c r="E12868" s="19" t="s">
        <v>32687</v>
      </c>
      <c r="F12868" s="19" t="s">
        <v>36019</v>
      </c>
      <c r="G12868" s="18" t="str">
        <f>"84107"</f>
        <v>84107</v>
      </c>
      <c r="H12868" s="19" t="s">
        <v>36833</v>
      </c>
      <c r="I12868" s="20">
        <v>17.300999999999998</v>
      </c>
      <c r="J12868" s="44" t="s">
        <v>8</v>
      </c>
      <c r="K12868" s="23" t="s">
        <v>8</v>
      </c>
      <c r="L12868" s="23" t="s">
        <v>8</v>
      </c>
      <c r="M12868" s="23" t="s">
        <v>8</v>
      </c>
    </row>
    <row r="12869" spans="1:13" s="21" customFormat="1" x14ac:dyDescent="0.25">
      <c r="A12869" s="22" t="s">
        <v>8</v>
      </c>
      <c r="B12869" s="18" t="str">
        <f>"465128"</f>
        <v>465128</v>
      </c>
      <c r="C12869" s="19" t="s">
        <v>12647</v>
      </c>
      <c r="D12869" s="19" t="s">
        <v>28269</v>
      </c>
      <c r="E12869" s="19" t="s">
        <v>35321</v>
      </c>
      <c r="F12869" s="19" t="s">
        <v>36019</v>
      </c>
      <c r="G12869" s="18" t="str">
        <f>"84105"</f>
        <v>84105</v>
      </c>
      <c r="H12869" s="19" t="s">
        <v>36833</v>
      </c>
      <c r="I12869" s="20">
        <v>23.931999999999999</v>
      </c>
      <c r="J12869" s="44" t="s">
        <v>8</v>
      </c>
      <c r="K12869" s="23" t="s">
        <v>8</v>
      </c>
      <c r="L12869" s="23" t="s">
        <v>8</v>
      </c>
      <c r="M12869" s="23" t="s">
        <v>8</v>
      </c>
    </row>
    <row r="12870" spans="1:13" s="21" customFormat="1" x14ac:dyDescent="0.25">
      <c r="A12870" s="22" t="s">
        <v>8</v>
      </c>
      <c r="B12870" s="18" t="str">
        <f>"465129"</f>
        <v>465129</v>
      </c>
      <c r="C12870" s="19" t="s">
        <v>12648</v>
      </c>
      <c r="D12870" s="19" t="s">
        <v>28270</v>
      </c>
      <c r="E12870" s="19" t="s">
        <v>30957</v>
      </c>
      <c r="F12870" s="19" t="s">
        <v>36019</v>
      </c>
      <c r="G12870" s="18" t="str">
        <f>"84651"</f>
        <v>84651</v>
      </c>
      <c r="H12870" s="19" t="s">
        <v>36836</v>
      </c>
      <c r="I12870" s="20">
        <v>18.103000000000002</v>
      </c>
      <c r="J12870" s="44" t="s">
        <v>8</v>
      </c>
      <c r="K12870" s="23" t="s">
        <v>8</v>
      </c>
      <c r="L12870" s="23" t="s">
        <v>8</v>
      </c>
      <c r="M12870" s="23" t="s">
        <v>8</v>
      </c>
    </row>
    <row r="12871" spans="1:13" s="21" customFormat="1" x14ac:dyDescent="0.25">
      <c r="A12871" s="22" t="s">
        <v>8</v>
      </c>
      <c r="B12871" s="18" t="str">
        <f>"465130"</f>
        <v>465130</v>
      </c>
      <c r="C12871" s="19" t="s">
        <v>12649</v>
      </c>
      <c r="D12871" s="19" t="s">
        <v>28271</v>
      </c>
      <c r="E12871" s="19" t="s">
        <v>34145</v>
      </c>
      <c r="F12871" s="19" t="s">
        <v>36019</v>
      </c>
      <c r="G12871" s="18" t="str">
        <f>"84663"</f>
        <v>84663</v>
      </c>
      <c r="H12871" s="19" t="s">
        <v>36836</v>
      </c>
      <c r="I12871" s="20">
        <v>17.824999999999999</v>
      </c>
      <c r="J12871" s="44" t="s">
        <v>8</v>
      </c>
      <c r="K12871" s="23" t="s">
        <v>8</v>
      </c>
      <c r="L12871" s="23" t="s">
        <v>8</v>
      </c>
      <c r="M12871" s="23" t="s">
        <v>8</v>
      </c>
    </row>
    <row r="12872" spans="1:13" s="21" customFormat="1" x14ac:dyDescent="0.25">
      <c r="A12872" s="22" t="s">
        <v>8</v>
      </c>
      <c r="B12872" s="18" t="str">
        <f>"465137"</f>
        <v>465137</v>
      </c>
      <c r="C12872" s="19" t="s">
        <v>12650</v>
      </c>
      <c r="D12872" s="19" t="s">
        <v>28272</v>
      </c>
      <c r="E12872" s="19" t="s">
        <v>35325</v>
      </c>
      <c r="F12872" s="19" t="s">
        <v>36019</v>
      </c>
      <c r="G12872" s="18" t="str">
        <f>"84790"</f>
        <v>84790</v>
      </c>
      <c r="H12872" s="19" t="s">
        <v>31500</v>
      </c>
      <c r="I12872" s="20">
        <v>21.587</v>
      </c>
      <c r="J12872" s="44" t="s">
        <v>8</v>
      </c>
      <c r="K12872" s="23" t="s">
        <v>8</v>
      </c>
      <c r="L12872" s="23" t="s">
        <v>8</v>
      </c>
      <c r="M12872" s="23" t="s">
        <v>8</v>
      </c>
    </row>
    <row r="12873" spans="1:13" s="21" customFormat="1" x14ac:dyDescent="0.25">
      <c r="A12873" s="22" t="s">
        <v>8</v>
      </c>
      <c r="B12873" s="18" t="str">
        <f>"465139"</f>
        <v>465139</v>
      </c>
      <c r="C12873" s="19" t="s">
        <v>12651</v>
      </c>
      <c r="D12873" s="19" t="s">
        <v>28273</v>
      </c>
      <c r="E12873" s="19" t="s">
        <v>35321</v>
      </c>
      <c r="F12873" s="19" t="s">
        <v>36019</v>
      </c>
      <c r="G12873" s="18" t="str">
        <f>"84117"</f>
        <v>84117</v>
      </c>
      <c r="H12873" s="19" t="s">
        <v>36833</v>
      </c>
      <c r="I12873" s="20">
        <v>15.706</v>
      </c>
      <c r="J12873" s="44" t="s">
        <v>8</v>
      </c>
      <c r="K12873" s="23" t="s">
        <v>8</v>
      </c>
      <c r="L12873" s="23" t="s">
        <v>8</v>
      </c>
      <c r="M12873" s="23" t="s">
        <v>8</v>
      </c>
    </row>
    <row r="12874" spans="1:13" s="21" customFormat="1" x14ac:dyDescent="0.25">
      <c r="A12874" s="22" t="s">
        <v>8</v>
      </c>
      <c r="B12874" s="18" t="str">
        <f>"465140"</f>
        <v>465140</v>
      </c>
      <c r="C12874" s="19" t="s">
        <v>12652</v>
      </c>
      <c r="D12874" s="19" t="s">
        <v>28274</v>
      </c>
      <c r="E12874" s="19" t="s">
        <v>35321</v>
      </c>
      <c r="F12874" s="19" t="s">
        <v>36019</v>
      </c>
      <c r="G12874" s="18" t="str">
        <f>"84124"</f>
        <v>84124</v>
      </c>
      <c r="H12874" s="19" t="s">
        <v>36833</v>
      </c>
      <c r="I12874" s="20">
        <v>18.062000000000001</v>
      </c>
      <c r="J12874" s="44" t="s">
        <v>8</v>
      </c>
      <c r="K12874" s="23" t="s">
        <v>8</v>
      </c>
      <c r="L12874" s="23" t="s">
        <v>8</v>
      </c>
      <c r="M12874" s="23" t="s">
        <v>8</v>
      </c>
    </row>
    <row r="12875" spans="1:13" s="21" customFormat="1" x14ac:dyDescent="0.25">
      <c r="A12875" s="22" t="s">
        <v>8</v>
      </c>
      <c r="B12875" s="18" t="str">
        <f>"465142"</f>
        <v>465142</v>
      </c>
      <c r="C12875" s="19" t="s">
        <v>12653</v>
      </c>
      <c r="D12875" s="19" t="s">
        <v>28275</v>
      </c>
      <c r="E12875" s="19" t="s">
        <v>35321</v>
      </c>
      <c r="F12875" s="19" t="s">
        <v>36019</v>
      </c>
      <c r="G12875" s="18" t="str">
        <f>"84106"</f>
        <v>84106</v>
      </c>
      <c r="H12875" s="19" t="s">
        <v>36833</v>
      </c>
      <c r="I12875" s="20">
        <v>18.748999999999999</v>
      </c>
      <c r="J12875" s="44" t="s">
        <v>8</v>
      </c>
      <c r="K12875" s="23" t="s">
        <v>8</v>
      </c>
      <c r="L12875" s="23" t="s">
        <v>8</v>
      </c>
      <c r="M12875" s="23" t="s">
        <v>8</v>
      </c>
    </row>
    <row r="12876" spans="1:13" s="21" customFormat="1" x14ac:dyDescent="0.25">
      <c r="A12876" s="22" t="s">
        <v>8</v>
      </c>
      <c r="B12876" s="18" t="str">
        <f>"465143"</f>
        <v>465143</v>
      </c>
      <c r="C12876" s="19" t="s">
        <v>12654</v>
      </c>
      <c r="D12876" s="19" t="s">
        <v>28276</v>
      </c>
      <c r="E12876" s="19" t="s">
        <v>35340</v>
      </c>
      <c r="F12876" s="19" t="s">
        <v>36019</v>
      </c>
      <c r="G12876" s="18" t="str">
        <f>"84721"</f>
        <v>84721</v>
      </c>
      <c r="H12876" s="19" t="s">
        <v>36438</v>
      </c>
      <c r="I12876" s="20">
        <v>18.486000000000001</v>
      </c>
      <c r="J12876" s="44" t="s">
        <v>8</v>
      </c>
      <c r="K12876" s="23" t="s">
        <v>8</v>
      </c>
      <c r="L12876" s="23" t="s">
        <v>8</v>
      </c>
      <c r="M12876" s="23" t="s">
        <v>8</v>
      </c>
    </row>
    <row r="12877" spans="1:13" s="21" customFormat="1" x14ac:dyDescent="0.25">
      <c r="A12877" s="22" t="s">
        <v>8</v>
      </c>
      <c r="B12877" s="18" t="str">
        <f>"465144"</f>
        <v>465144</v>
      </c>
      <c r="C12877" s="19" t="s">
        <v>12655</v>
      </c>
      <c r="D12877" s="19" t="s">
        <v>28277</v>
      </c>
      <c r="E12877" s="19" t="s">
        <v>35325</v>
      </c>
      <c r="F12877" s="19" t="s">
        <v>36019</v>
      </c>
      <c r="G12877" s="18" t="str">
        <f>"84770"</f>
        <v>84770</v>
      </c>
      <c r="H12877" s="19" t="s">
        <v>31500</v>
      </c>
      <c r="I12877" s="20">
        <v>20.190000000000001</v>
      </c>
      <c r="J12877" s="44" t="s">
        <v>8</v>
      </c>
      <c r="K12877" s="23" t="s">
        <v>8</v>
      </c>
      <c r="L12877" s="23" t="s">
        <v>8</v>
      </c>
      <c r="M12877" s="23" t="s">
        <v>8</v>
      </c>
    </row>
    <row r="12878" spans="1:13" s="21" customFormat="1" x14ac:dyDescent="0.25">
      <c r="A12878" s="22" t="s">
        <v>8</v>
      </c>
      <c r="B12878" s="18" t="str">
        <f>"465146"</f>
        <v>465146</v>
      </c>
      <c r="C12878" s="19" t="s">
        <v>12656</v>
      </c>
      <c r="D12878" s="19" t="s">
        <v>28278</v>
      </c>
      <c r="E12878" s="19" t="s">
        <v>35321</v>
      </c>
      <c r="F12878" s="19" t="s">
        <v>36019</v>
      </c>
      <c r="G12878" s="18" t="str">
        <f>"84115"</f>
        <v>84115</v>
      </c>
      <c r="H12878" s="19" t="s">
        <v>36833</v>
      </c>
      <c r="I12878" s="20">
        <v>18.341999999999999</v>
      </c>
      <c r="J12878" s="44" t="s">
        <v>8</v>
      </c>
      <c r="K12878" s="23" t="s">
        <v>8</v>
      </c>
      <c r="L12878" s="23" t="s">
        <v>8</v>
      </c>
      <c r="M12878" s="23" t="s">
        <v>8</v>
      </c>
    </row>
    <row r="12879" spans="1:13" s="21" customFormat="1" x14ac:dyDescent="0.25">
      <c r="A12879" s="22" t="s">
        <v>8</v>
      </c>
      <c r="B12879" s="18" t="str">
        <f>"465147"</f>
        <v>465147</v>
      </c>
      <c r="C12879" s="19" t="s">
        <v>12657</v>
      </c>
      <c r="D12879" s="19" t="s">
        <v>28279</v>
      </c>
      <c r="E12879" s="19" t="s">
        <v>35341</v>
      </c>
      <c r="F12879" s="19" t="s">
        <v>36019</v>
      </c>
      <c r="G12879" s="18" t="str">
        <f>"84032"</f>
        <v>84032</v>
      </c>
      <c r="H12879" s="19" t="s">
        <v>36841</v>
      </c>
      <c r="I12879" s="20">
        <v>19.428000000000001</v>
      </c>
      <c r="J12879" s="44" t="s">
        <v>8</v>
      </c>
      <c r="K12879" s="23" t="s">
        <v>8</v>
      </c>
      <c r="L12879" s="23" t="s">
        <v>8</v>
      </c>
      <c r="M12879" s="23" t="s">
        <v>8</v>
      </c>
    </row>
    <row r="12880" spans="1:13" s="21" customFormat="1" x14ac:dyDescent="0.25">
      <c r="A12880" s="22" t="s">
        <v>8</v>
      </c>
      <c r="B12880" s="18" t="str">
        <f>"465149"</f>
        <v>465149</v>
      </c>
      <c r="C12880" s="19" t="s">
        <v>12658</v>
      </c>
      <c r="D12880" s="19" t="s">
        <v>28280</v>
      </c>
      <c r="E12880" s="19" t="s">
        <v>35321</v>
      </c>
      <c r="F12880" s="19" t="s">
        <v>36019</v>
      </c>
      <c r="G12880" s="18" t="str">
        <f>"84102"</f>
        <v>84102</v>
      </c>
      <c r="H12880" s="19" t="s">
        <v>36833</v>
      </c>
      <c r="I12880" s="20">
        <v>16.611000000000001</v>
      </c>
      <c r="J12880" s="44" t="s">
        <v>8</v>
      </c>
      <c r="K12880" s="23" t="s">
        <v>8</v>
      </c>
      <c r="L12880" s="23" t="s">
        <v>8</v>
      </c>
      <c r="M12880" s="23" t="s">
        <v>8</v>
      </c>
    </row>
    <row r="12881" spans="1:13" s="21" customFormat="1" x14ac:dyDescent="0.25">
      <c r="A12881" s="22" t="s">
        <v>8</v>
      </c>
      <c r="B12881" s="18" t="str">
        <f>"465150"</f>
        <v>465150</v>
      </c>
      <c r="C12881" s="19" t="s">
        <v>12659</v>
      </c>
      <c r="D12881" s="19" t="s">
        <v>28281</v>
      </c>
      <c r="E12881" s="19" t="s">
        <v>35321</v>
      </c>
      <c r="F12881" s="19" t="s">
        <v>36019</v>
      </c>
      <c r="G12881" s="18" t="str">
        <f>"84113"</f>
        <v>84113</v>
      </c>
      <c r="H12881" s="19" t="s">
        <v>36833</v>
      </c>
      <c r="I12881" s="20">
        <v>18.713999999999999</v>
      </c>
      <c r="J12881" s="44" t="s">
        <v>8</v>
      </c>
      <c r="K12881" s="23" t="s">
        <v>8</v>
      </c>
      <c r="L12881" s="23" t="s">
        <v>8</v>
      </c>
      <c r="M12881" s="23" t="s">
        <v>8</v>
      </c>
    </row>
    <row r="12882" spans="1:13" s="21" customFormat="1" x14ac:dyDescent="0.25">
      <c r="A12882" s="22" t="s">
        <v>8</v>
      </c>
      <c r="B12882" s="18" t="str">
        <f>"465152"</f>
        <v>465152</v>
      </c>
      <c r="C12882" s="19" t="s">
        <v>12660</v>
      </c>
      <c r="D12882" s="19" t="s">
        <v>28282</v>
      </c>
      <c r="E12882" s="19" t="s">
        <v>35325</v>
      </c>
      <c r="F12882" s="19" t="s">
        <v>36019</v>
      </c>
      <c r="G12882" s="18" t="str">
        <f>"84790"</f>
        <v>84790</v>
      </c>
      <c r="H12882" s="19" t="s">
        <v>31500</v>
      </c>
      <c r="I12882" s="20">
        <v>20.689</v>
      </c>
      <c r="J12882" s="44" t="s">
        <v>8</v>
      </c>
      <c r="K12882" s="23" t="s">
        <v>8</v>
      </c>
      <c r="L12882" s="23" t="s">
        <v>8</v>
      </c>
      <c r="M12882" s="23" t="s">
        <v>8</v>
      </c>
    </row>
    <row r="12883" spans="1:13" s="21" customFormat="1" x14ac:dyDescent="0.25">
      <c r="A12883" s="22" t="s">
        <v>8</v>
      </c>
      <c r="B12883" s="18" t="str">
        <f>"465153"</f>
        <v>465153</v>
      </c>
      <c r="C12883" s="19" t="s">
        <v>12661</v>
      </c>
      <c r="D12883" s="19" t="s">
        <v>28283</v>
      </c>
      <c r="E12883" s="19" t="s">
        <v>35342</v>
      </c>
      <c r="F12883" s="19" t="s">
        <v>36019</v>
      </c>
      <c r="G12883" s="18" t="str">
        <f>"84761"</f>
        <v>84761</v>
      </c>
      <c r="H12883" s="19" t="s">
        <v>36438</v>
      </c>
      <c r="I12883" s="20">
        <v>19.494</v>
      </c>
      <c r="J12883" s="44" t="s">
        <v>8</v>
      </c>
      <c r="K12883" s="23" t="s">
        <v>8</v>
      </c>
      <c r="L12883" s="23" t="s">
        <v>8</v>
      </c>
      <c r="M12883" s="23" t="s">
        <v>8</v>
      </c>
    </row>
    <row r="12884" spans="1:13" s="21" customFormat="1" x14ac:dyDescent="0.25">
      <c r="A12884" s="22" t="s">
        <v>8</v>
      </c>
      <c r="B12884" s="18" t="str">
        <f>"465155"</f>
        <v>465155</v>
      </c>
      <c r="C12884" s="19" t="s">
        <v>12662</v>
      </c>
      <c r="D12884" s="19" t="s">
        <v>28284</v>
      </c>
      <c r="E12884" s="19" t="s">
        <v>32498</v>
      </c>
      <c r="F12884" s="19" t="s">
        <v>36019</v>
      </c>
      <c r="G12884" s="18" t="str">
        <f>"84405"</f>
        <v>84405</v>
      </c>
      <c r="H12884" s="19" t="s">
        <v>36832</v>
      </c>
      <c r="I12884" s="20">
        <v>15.38</v>
      </c>
      <c r="J12884" s="44" t="s">
        <v>8</v>
      </c>
      <c r="K12884" s="23" t="s">
        <v>8</v>
      </c>
      <c r="L12884" s="23" t="s">
        <v>8</v>
      </c>
      <c r="M12884" s="23" t="s">
        <v>8</v>
      </c>
    </row>
    <row r="12885" spans="1:13" s="21" customFormat="1" x14ac:dyDescent="0.25">
      <c r="A12885" s="22" t="s">
        <v>8</v>
      </c>
      <c r="B12885" s="18" t="str">
        <f>"465156"</f>
        <v>465156</v>
      </c>
      <c r="C12885" s="19" t="s">
        <v>12663</v>
      </c>
      <c r="D12885" s="19" t="s">
        <v>28285</v>
      </c>
      <c r="E12885" s="19" t="s">
        <v>35324</v>
      </c>
      <c r="F12885" s="19" t="s">
        <v>36019</v>
      </c>
      <c r="G12885" s="18" t="str">
        <f>"84010"</f>
        <v>84010</v>
      </c>
      <c r="H12885" s="19" t="s">
        <v>31269</v>
      </c>
      <c r="I12885" s="20">
        <v>17.053999999999998</v>
      </c>
      <c r="J12885" s="44" t="s">
        <v>8</v>
      </c>
      <c r="K12885" s="23" t="s">
        <v>8</v>
      </c>
      <c r="L12885" s="23" t="s">
        <v>8</v>
      </c>
      <c r="M12885" s="23" t="s">
        <v>8</v>
      </c>
    </row>
    <row r="12886" spans="1:13" s="21" customFormat="1" x14ac:dyDescent="0.25">
      <c r="A12886" s="22" t="s">
        <v>8</v>
      </c>
      <c r="B12886" s="18" t="str">
        <f>"465157"</f>
        <v>465157</v>
      </c>
      <c r="C12886" s="19" t="s">
        <v>12664</v>
      </c>
      <c r="D12886" s="19" t="s">
        <v>28286</v>
      </c>
      <c r="E12886" s="19" t="s">
        <v>31363</v>
      </c>
      <c r="F12886" s="19" t="s">
        <v>36019</v>
      </c>
      <c r="G12886" s="18" t="str">
        <f>"84624"</f>
        <v>84624</v>
      </c>
      <c r="H12886" s="19" t="s">
        <v>36842</v>
      </c>
      <c r="I12886" s="20">
        <v>16.577999999999999</v>
      </c>
      <c r="J12886" s="44" t="s">
        <v>8</v>
      </c>
      <c r="K12886" s="23" t="s">
        <v>8</v>
      </c>
      <c r="L12886" s="23" t="s">
        <v>8</v>
      </c>
      <c r="M12886" s="23" t="s">
        <v>8</v>
      </c>
    </row>
    <row r="12887" spans="1:13" s="21" customFormat="1" x14ac:dyDescent="0.25">
      <c r="A12887" s="22" t="s">
        <v>8</v>
      </c>
      <c r="B12887" s="18" t="str">
        <f>"465158"</f>
        <v>465158</v>
      </c>
      <c r="C12887" s="19" t="s">
        <v>12665</v>
      </c>
      <c r="D12887" s="19" t="s">
        <v>28287</v>
      </c>
      <c r="E12887" s="19" t="s">
        <v>35321</v>
      </c>
      <c r="F12887" s="19" t="s">
        <v>36019</v>
      </c>
      <c r="G12887" s="18" t="str">
        <f>"84115"</f>
        <v>84115</v>
      </c>
      <c r="H12887" s="19" t="s">
        <v>36833</v>
      </c>
      <c r="I12887" s="20">
        <v>18.538</v>
      </c>
      <c r="J12887" s="44" t="s">
        <v>8</v>
      </c>
      <c r="K12887" s="23" t="s">
        <v>8</v>
      </c>
      <c r="L12887" s="23" t="s">
        <v>8</v>
      </c>
      <c r="M12887" s="23" t="s">
        <v>8</v>
      </c>
    </row>
    <row r="12888" spans="1:13" s="21" customFormat="1" x14ac:dyDescent="0.25">
      <c r="A12888" s="22" t="s">
        <v>8</v>
      </c>
      <c r="B12888" s="18" t="str">
        <f>"465159"</f>
        <v>465159</v>
      </c>
      <c r="C12888" s="19" t="s">
        <v>12666</v>
      </c>
      <c r="D12888" s="19" t="s">
        <v>28288</v>
      </c>
      <c r="E12888" s="19" t="s">
        <v>32687</v>
      </c>
      <c r="F12888" s="19" t="s">
        <v>36019</v>
      </c>
      <c r="G12888" s="18" t="str">
        <f>"84121"</f>
        <v>84121</v>
      </c>
      <c r="H12888" s="19" t="s">
        <v>36833</v>
      </c>
      <c r="I12888" s="20">
        <v>16.510000000000002</v>
      </c>
      <c r="J12888" s="44" t="s">
        <v>8</v>
      </c>
      <c r="K12888" s="23" t="s">
        <v>8</v>
      </c>
      <c r="L12888" s="23" t="s">
        <v>8</v>
      </c>
      <c r="M12888" s="23" t="s">
        <v>8</v>
      </c>
    </row>
    <row r="12889" spans="1:13" s="21" customFormat="1" x14ac:dyDescent="0.25">
      <c r="A12889" s="22" t="s">
        <v>8</v>
      </c>
      <c r="B12889" s="18" t="str">
        <f>"465160"</f>
        <v>465160</v>
      </c>
      <c r="C12889" s="19" t="s">
        <v>12667</v>
      </c>
      <c r="D12889" s="19" t="s">
        <v>28289</v>
      </c>
      <c r="E12889" s="19" t="s">
        <v>35325</v>
      </c>
      <c r="F12889" s="19" t="s">
        <v>36019</v>
      </c>
      <c r="G12889" s="18" t="str">
        <f>"84790"</f>
        <v>84790</v>
      </c>
      <c r="H12889" s="19" t="s">
        <v>31500</v>
      </c>
      <c r="I12889" s="20">
        <v>19.41</v>
      </c>
      <c r="J12889" s="44" t="s">
        <v>8</v>
      </c>
      <c r="K12889" s="23" t="s">
        <v>8</v>
      </c>
      <c r="L12889" s="23" t="s">
        <v>8</v>
      </c>
      <c r="M12889" s="23" t="s">
        <v>8</v>
      </c>
    </row>
    <row r="12890" spans="1:13" s="21" customFormat="1" x14ac:dyDescent="0.25">
      <c r="A12890" s="22" t="s">
        <v>8</v>
      </c>
      <c r="B12890" s="18" t="str">
        <f>"465162"</f>
        <v>465162</v>
      </c>
      <c r="C12890" s="19" t="s">
        <v>12668</v>
      </c>
      <c r="D12890" s="19" t="s">
        <v>28290</v>
      </c>
      <c r="E12890" s="19" t="s">
        <v>35321</v>
      </c>
      <c r="F12890" s="19" t="s">
        <v>36019</v>
      </c>
      <c r="G12890" s="18" t="str">
        <f>"84117"</f>
        <v>84117</v>
      </c>
      <c r="H12890" s="19" t="s">
        <v>36833</v>
      </c>
      <c r="I12890" s="20">
        <v>19.273</v>
      </c>
      <c r="J12890" s="44" t="s">
        <v>8</v>
      </c>
      <c r="K12890" s="23" t="s">
        <v>8</v>
      </c>
      <c r="L12890" s="23" t="s">
        <v>8</v>
      </c>
      <c r="M12890" s="23" t="s">
        <v>8</v>
      </c>
    </row>
    <row r="12891" spans="1:13" s="21" customFormat="1" x14ac:dyDescent="0.25">
      <c r="A12891" s="22" t="s">
        <v>8</v>
      </c>
      <c r="B12891" s="18" t="str">
        <f>"465163"</f>
        <v>465163</v>
      </c>
      <c r="C12891" s="19" t="s">
        <v>12669</v>
      </c>
      <c r="D12891" s="19" t="s">
        <v>28291</v>
      </c>
      <c r="E12891" s="19" t="s">
        <v>35324</v>
      </c>
      <c r="F12891" s="19" t="s">
        <v>36019</v>
      </c>
      <c r="G12891" s="18" t="str">
        <f>"84010"</f>
        <v>84010</v>
      </c>
      <c r="H12891" s="19" t="s">
        <v>31269</v>
      </c>
      <c r="I12891" s="20">
        <v>19.686</v>
      </c>
      <c r="J12891" s="44" t="s">
        <v>8</v>
      </c>
      <c r="K12891" s="23" t="s">
        <v>8</v>
      </c>
      <c r="L12891" s="23" t="s">
        <v>8</v>
      </c>
      <c r="M12891" s="23" t="s">
        <v>8</v>
      </c>
    </row>
    <row r="12892" spans="1:13" s="21" customFormat="1" x14ac:dyDescent="0.25">
      <c r="A12892" s="22" t="s">
        <v>8</v>
      </c>
      <c r="B12892" s="18" t="str">
        <f>"465165"</f>
        <v>465165</v>
      </c>
      <c r="C12892" s="19" t="s">
        <v>12670</v>
      </c>
      <c r="D12892" s="19" t="s">
        <v>28292</v>
      </c>
      <c r="E12892" s="19" t="s">
        <v>35343</v>
      </c>
      <c r="F12892" s="19" t="s">
        <v>36019</v>
      </c>
      <c r="G12892" s="18" t="str">
        <f>"84337"</f>
        <v>84337</v>
      </c>
      <c r="H12892" s="19" t="s">
        <v>36834</v>
      </c>
      <c r="I12892" s="20">
        <v>18.001000000000001</v>
      </c>
      <c r="J12892" s="44" t="s">
        <v>8</v>
      </c>
      <c r="K12892" s="23" t="s">
        <v>8</v>
      </c>
      <c r="L12892" s="23" t="s">
        <v>8</v>
      </c>
      <c r="M12892" s="23" t="s">
        <v>8</v>
      </c>
    </row>
    <row r="12893" spans="1:13" s="21" customFormat="1" x14ac:dyDescent="0.25">
      <c r="A12893" s="22" t="s">
        <v>8</v>
      </c>
      <c r="B12893" s="18" t="str">
        <f>"465166"</f>
        <v>465166</v>
      </c>
      <c r="C12893" s="19" t="s">
        <v>12671</v>
      </c>
      <c r="D12893" s="19" t="s">
        <v>28293</v>
      </c>
      <c r="E12893" s="19" t="s">
        <v>32687</v>
      </c>
      <c r="F12893" s="19" t="s">
        <v>36019</v>
      </c>
      <c r="G12893" s="18" t="str">
        <f>"84123"</f>
        <v>84123</v>
      </c>
      <c r="H12893" s="19" t="s">
        <v>36833</v>
      </c>
      <c r="I12893" s="20">
        <v>17.175999999999998</v>
      </c>
      <c r="J12893" s="44" t="s">
        <v>8</v>
      </c>
      <c r="K12893" s="23" t="s">
        <v>8</v>
      </c>
      <c r="L12893" s="23" t="s">
        <v>8</v>
      </c>
      <c r="M12893" s="23" t="s">
        <v>8</v>
      </c>
    </row>
    <row r="12894" spans="1:13" s="21" customFormat="1" x14ac:dyDescent="0.25">
      <c r="A12894" s="22" t="s">
        <v>8</v>
      </c>
      <c r="B12894" s="18" t="str">
        <f>"465167"</f>
        <v>465167</v>
      </c>
      <c r="C12894" s="19" t="s">
        <v>12672</v>
      </c>
      <c r="D12894" s="19" t="s">
        <v>28294</v>
      </c>
      <c r="E12894" s="19" t="s">
        <v>35332</v>
      </c>
      <c r="F12894" s="19" t="s">
        <v>36019</v>
      </c>
      <c r="G12894" s="18" t="str">
        <f>"84057"</f>
        <v>84057</v>
      </c>
      <c r="H12894" s="19" t="s">
        <v>36836</v>
      </c>
      <c r="I12894" s="20">
        <v>16.748999999999999</v>
      </c>
      <c r="J12894" s="44" t="s">
        <v>8</v>
      </c>
      <c r="K12894" s="23" t="s">
        <v>8</v>
      </c>
      <c r="L12894" s="23" t="s">
        <v>8</v>
      </c>
      <c r="M12894" s="23" t="s">
        <v>8</v>
      </c>
    </row>
    <row r="12895" spans="1:13" s="21" customFormat="1" x14ac:dyDescent="0.25">
      <c r="A12895" s="22" t="s">
        <v>8</v>
      </c>
      <c r="B12895" s="18" t="str">
        <f>"465168"</f>
        <v>465168</v>
      </c>
      <c r="C12895" s="19" t="s">
        <v>12673</v>
      </c>
      <c r="D12895" s="19" t="s">
        <v>28295</v>
      </c>
      <c r="E12895" s="19" t="s">
        <v>33993</v>
      </c>
      <c r="F12895" s="19" t="s">
        <v>36019</v>
      </c>
      <c r="G12895" s="18" t="str">
        <f>"84065"</f>
        <v>84065</v>
      </c>
      <c r="H12895" s="19" t="s">
        <v>36833</v>
      </c>
      <c r="I12895" s="20">
        <v>18.722999999999999</v>
      </c>
      <c r="J12895" s="44" t="s">
        <v>8</v>
      </c>
      <c r="K12895" s="23" t="s">
        <v>8</v>
      </c>
      <c r="L12895" s="23" t="s">
        <v>8</v>
      </c>
      <c r="M12895" s="23" t="s">
        <v>8</v>
      </c>
    </row>
    <row r="12896" spans="1:13" s="21" customFormat="1" x14ac:dyDescent="0.25">
      <c r="A12896" s="22" t="s">
        <v>8</v>
      </c>
      <c r="B12896" s="18" t="str">
        <f>"465169"</f>
        <v>465169</v>
      </c>
      <c r="C12896" s="19" t="s">
        <v>12674</v>
      </c>
      <c r="D12896" s="19" t="s">
        <v>28296</v>
      </c>
      <c r="E12896" s="19" t="s">
        <v>32508</v>
      </c>
      <c r="F12896" s="19" t="s">
        <v>36019</v>
      </c>
      <c r="G12896" s="18" t="str">
        <f>"84015"</f>
        <v>84015</v>
      </c>
      <c r="H12896" s="19" t="s">
        <v>31269</v>
      </c>
      <c r="I12896" s="20">
        <v>17.649999999999999</v>
      </c>
      <c r="J12896" s="44" t="s">
        <v>8</v>
      </c>
      <c r="K12896" s="23" t="s">
        <v>8</v>
      </c>
      <c r="L12896" s="23" t="s">
        <v>8</v>
      </c>
      <c r="M12896" s="23" t="s">
        <v>8</v>
      </c>
    </row>
    <row r="12897" spans="1:13" s="21" customFormat="1" x14ac:dyDescent="0.25">
      <c r="A12897" s="22" t="s">
        <v>8</v>
      </c>
      <c r="B12897" s="18" t="str">
        <f>"465170"</f>
        <v>465170</v>
      </c>
      <c r="C12897" s="19" t="s">
        <v>12675</v>
      </c>
      <c r="D12897" s="19" t="s">
        <v>28297</v>
      </c>
      <c r="E12897" s="19" t="s">
        <v>35332</v>
      </c>
      <c r="F12897" s="19" t="s">
        <v>36019</v>
      </c>
      <c r="G12897" s="18" t="str">
        <f>"84097"</f>
        <v>84097</v>
      </c>
      <c r="H12897" s="19" t="s">
        <v>36836</v>
      </c>
      <c r="I12897" s="20">
        <v>16.931999999999999</v>
      </c>
      <c r="J12897" s="44" t="s">
        <v>8</v>
      </c>
      <c r="K12897" s="23" t="s">
        <v>8</v>
      </c>
      <c r="L12897" s="23" t="s">
        <v>8</v>
      </c>
      <c r="M12897" s="23" t="s">
        <v>8</v>
      </c>
    </row>
    <row r="12898" spans="1:13" s="21" customFormat="1" x14ac:dyDescent="0.25">
      <c r="A12898" s="22" t="s">
        <v>8</v>
      </c>
      <c r="B12898" s="18" t="str">
        <f>"465171"</f>
        <v>465171</v>
      </c>
      <c r="C12898" s="19" t="s">
        <v>12676</v>
      </c>
      <c r="D12898" s="19" t="s">
        <v>28298</v>
      </c>
      <c r="E12898" s="19" t="s">
        <v>32747</v>
      </c>
      <c r="F12898" s="19" t="s">
        <v>36019</v>
      </c>
      <c r="G12898" s="18" t="str">
        <f>"84129"</f>
        <v>84129</v>
      </c>
      <c r="H12898" s="19" t="s">
        <v>36833</v>
      </c>
      <c r="I12898" s="20">
        <v>15.153</v>
      </c>
      <c r="J12898" s="44" t="s">
        <v>8</v>
      </c>
      <c r="K12898" s="23" t="s">
        <v>8</v>
      </c>
      <c r="L12898" s="23" t="s">
        <v>8</v>
      </c>
      <c r="M12898" s="23" t="s">
        <v>8</v>
      </c>
    </row>
    <row r="12899" spans="1:13" s="21" customFormat="1" x14ac:dyDescent="0.25">
      <c r="A12899" s="22" t="s">
        <v>8</v>
      </c>
      <c r="B12899" s="18" t="str">
        <f>"465172"</f>
        <v>465172</v>
      </c>
      <c r="C12899" s="19" t="s">
        <v>12677</v>
      </c>
      <c r="D12899" s="19" t="s">
        <v>28299</v>
      </c>
      <c r="E12899" s="19" t="s">
        <v>32498</v>
      </c>
      <c r="F12899" s="19" t="s">
        <v>36019</v>
      </c>
      <c r="G12899" s="18" t="str">
        <f>"84404"</f>
        <v>84404</v>
      </c>
      <c r="H12899" s="19" t="s">
        <v>36832</v>
      </c>
      <c r="I12899" s="20">
        <v>19.045000000000002</v>
      </c>
      <c r="J12899" s="44" t="s">
        <v>8</v>
      </c>
      <c r="K12899" s="23" t="s">
        <v>8</v>
      </c>
      <c r="L12899" s="23" t="s">
        <v>8</v>
      </c>
      <c r="M12899" s="23" t="s">
        <v>8</v>
      </c>
    </row>
    <row r="12900" spans="1:13" s="21" customFormat="1" x14ac:dyDescent="0.25">
      <c r="A12900" s="22" t="s">
        <v>8</v>
      </c>
      <c r="B12900" s="18" t="str">
        <f>"465173"</f>
        <v>465173</v>
      </c>
      <c r="C12900" s="19" t="s">
        <v>12678</v>
      </c>
      <c r="D12900" s="19" t="s">
        <v>28300</v>
      </c>
      <c r="E12900" s="19" t="s">
        <v>33366</v>
      </c>
      <c r="F12900" s="19" t="s">
        <v>36019</v>
      </c>
      <c r="G12900" s="18" t="str">
        <f>"84701"</f>
        <v>84701</v>
      </c>
      <c r="H12900" s="19" t="s">
        <v>36080</v>
      </c>
      <c r="I12900" s="20">
        <v>16.617999999999999</v>
      </c>
      <c r="J12900" s="44" t="s">
        <v>8</v>
      </c>
      <c r="K12900" s="23" t="s">
        <v>8</v>
      </c>
      <c r="L12900" s="23" t="s">
        <v>8</v>
      </c>
      <c r="M12900" s="23" t="s">
        <v>8</v>
      </c>
    </row>
    <row r="12901" spans="1:13" s="21" customFormat="1" x14ac:dyDescent="0.25">
      <c r="A12901" s="22" t="s">
        <v>8</v>
      </c>
      <c r="B12901" s="18" t="str">
        <f>"465174"</f>
        <v>465174</v>
      </c>
      <c r="C12901" s="19" t="s">
        <v>12679</v>
      </c>
      <c r="D12901" s="19" t="s">
        <v>28301</v>
      </c>
      <c r="E12901" s="19" t="s">
        <v>35344</v>
      </c>
      <c r="F12901" s="19" t="s">
        <v>36019</v>
      </c>
      <c r="G12901" s="18" t="str">
        <f>"84041"</f>
        <v>84041</v>
      </c>
      <c r="H12901" s="19" t="s">
        <v>31269</v>
      </c>
      <c r="I12901" s="20">
        <v>18.271999999999998</v>
      </c>
      <c r="J12901" s="44" t="s">
        <v>8</v>
      </c>
      <c r="K12901" s="23" t="s">
        <v>8</v>
      </c>
      <c r="L12901" s="23" t="s">
        <v>8</v>
      </c>
      <c r="M12901" s="23" t="s">
        <v>8</v>
      </c>
    </row>
    <row r="12902" spans="1:13" s="21" customFormat="1" x14ac:dyDescent="0.25">
      <c r="A12902" s="22" t="s">
        <v>8</v>
      </c>
      <c r="B12902" s="18" t="str">
        <f>"465175"</f>
        <v>465175</v>
      </c>
      <c r="C12902" s="19" t="s">
        <v>12680</v>
      </c>
      <c r="D12902" s="19" t="s">
        <v>28302</v>
      </c>
      <c r="E12902" s="19" t="s">
        <v>35345</v>
      </c>
      <c r="F12902" s="19" t="s">
        <v>36019</v>
      </c>
      <c r="G12902" s="18" t="str">
        <f>"84622"</f>
        <v>84622</v>
      </c>
      <c r="H12902" s="19" t="s">
        <v>36843</v>
      </c>
      <c r="I12902" s="20">
        <v>18.524999999999999</v>
      </c>
      <c r="J12902" s="44" t="s">
        <v>8</v>
      </c>
      <c r="K12902" s="23" t="s">
        <v>8</v>
      </c>
      <c r="L12902" s="23" t="s">
        <v>8</v>
      </c>
      <c r="M12902" s="23" t="s">
        <v>8</v>
      </c>
    </row>
    <row r="12903" spans="1:13" s="21" customFormat="1" x14ac:dyDescent="0.25">
      <c r="A12903" s="22" t="s">
        <v>8</v>
      </c>
      <c r="B12903" s="18" t="str">
        <f>"465176"</f>
        <v>465176</v>
      </c>
      <c r="C12903" s="19" t="s">
        <v>12681</v>
      </c>
      <c r="D12903" s="19" t="s">
        <v>28303</v>
      </c>
      <c r="E12903" s="19" t="s">
        <v>35346</v>
      </c>
      <c r="F12903" s="19" t="s">
        <v>36019</v>
      </c>
      <c r="G12903" s="18" t="str">
        <f>"84095"</f>
        <v>84095</v>
      </c>
      <c r="H12903" s="19" t="s">
        <v>36833</v>
      </c>
      <c r="I12903" s="20">
        <v>17.513999999999999</v>
      </c>
      <c r="J12903" s="44" t="s">
        <v>8</v>
      </c>
      <c r="K12903" s="23" t="s">
        <v>8</v>
      </c>
      <c r="L12903" s="23" t="s">
        <v>8</v>
      </c>
      <c r="M12903" s="23" t="s">
        <v>8</v>
      </c>
    </row>
    <row r="12904" spans="1:13" s="21" customFormat="1" x14ac:dyDescent="0.25">
      <c r="A12904" s="22" t="s">
        <v>8</v>
      </c>
      <c r="B12904" s="18" t="str">
        <f>"465177"</f>
        <v>465177</v>
      </c>
      <c r="C12904" s="19" t="s">
        <v>12682</v>
      </c>
      <c r="D12904" s="19" t="s">
        <v>28304</v>
      </c>
      <c r="E12904" s="19" t="s">
        <v>35332</v>
      </c>
      <c r="F12904" s="19" t="s">
        <v>36019</v>
      </c>
      <c r="G12904" s="18" t="str">
        <f>"84057"</f>
        <v>84057</v>
      </c>
      <c r="H12904" s="19" t="s">
        <v>36836</v>
      </c>
      <c r="I12904" s="20">
        <v>17.375</v>
      </c>
      <c r="J12904" s="44" t="s">
        <v>8</v>
      </c>
      <c r="K12904" s="23" t="s">
        <v>8</v>
      </c>
      <c r="L12904" s="23" t="s">
        <v>8</v>
      </c>
      <c r="M12904" s="23" t="s">
        <v>8</v>
      </c>
    </row>
    <row r="12905" spans="1:13" s="21" customFormat="1" x14ac:dyDescent="0.25">
      <c r="A12905" s="22" t="s">
        <v>8</v>
      </c>
      <c r="B12905" s="18" t="str">
        <f>"465178"</f>
        <v>465178</v>
      </c>
      <c r="C12905" s="19" t="s">
        <v>12683</v>
      </c>
      <c r="D12905" s="19" t="s">
        <v>28305</v>
      </c>
      <c r="E12905" s="19" t="s">
        <v>35335</v>
      </c>
      <c r="F12905" s="19" t="s">
        <v>36019</v>
      </c>
      <c r="G12905" s="18" t="str">
        <f>"84003"</f>
        <v>84003</v>
      </c>
      <c r="H12905" s="19" t="s">
        <v>36836</v>
      </c>
      <c r="I12905" s="20">
        <v>16.093</v>
      </c>
      <c r="J12905" s="44" t="s">
        <v>8</v>
      </c>
      <c r="K12905" s="23" t="s">
        <v>8</v>
      </c>
      <c r="L12905" s="23" t="s">
        <v>8</v>
      </c>
      <c r="M12905" s="23" t="s">
        <v>8</v>
      </c>
    </row>
    <row r="12906" spans="1:13" s="21" customFormat="1" x14ac:dyDescent="0.25">
      <c r="A12906" s="22" t="s">
        <v>8</v>
      </c>
      <c r="B12906" s="18" t="str">
        <f>"465179"</f>
        <v>465179</v>
      </c>
      <c r="C12906" s="19" t="s">
        <v>12684</v>
      </c>
      <c r="D12906" s="19" t="s">
        <v>28306</v>
      </c>
      <c r="E12906" s="19" t="s">
        <v>33993</v>
      </c>
      <c r="F12906" s="19" t="s">
        <v>36019</v>
      </c>
      <c r="G12906" s="18" t="str">
        <f>"84065"</f>
        <v>84065</v>
      </c>
      <c r="H12906" s="19" t="s">
        <v>36833</v>
      </c>
      <c r="I12906" s="20">
        <v>18.446000000000002</v>
      </c>
      <c r="J12906" s="44" t="s">
        <v>8</v>
      </c>
      <c r="K12906" s="23" t="s">
        <v>8</v>
      </c>
      <c r="L12906" s="23" t="s">
        <v>8</v>
      </c>
      <c r="M12906" s="23" t="s">
        <v>8</v>
      </c>
    </row>
    <row r="12907" spans="1:13" s="21" customFormat="1" x14ac:dyDescent="0.25">
      <c r="A12907" s="22" t="s">
        <v>8</v>
      </c>
      <c r="B12907" s="18" t="str">
        <f>"465180"</f>
        <v>465180</v>
      </c>
      <c r="C12907" s="19" t="s">
        <v>12685</v>
      </c>
      <c r="D12907" s="19" t="s">
        <v>28307</v>
      </c>
      <c r="E12907" s="19" t="s">
        <v>35347</v>
      </c>
      <c r="F12907" s="19" t="s">
        <v>36019</v>
      </c>
      <c r="G12907" s="18" t="str">
        <f>"84738"</f>
        <v>84738</v>
      </c>
      <c r="H12907" s="19" t="s">
        <v>31500</v>
      </c>
      <c r="I12907" s="20">
        <v>18.356999999999999</v>
      </c>
      <c r="J12907" s="44" t="s">
        <v>8</v>
      </c>
      <c r="K12907" s="23" t="s">
        <v>8</v>
      </c>
      <c r="L12907" s="23" t="s">
        <v>8</v>
      </c>
      <c r="M12907" s="23" t="s">
        <v>8</v>
      </c>
    </row>
    <row r="12908" spans="1:13" s="21" customFormat="1" x14ac:dyDescent="0.25">
      <c r="A12908" s="22" t="s">
        <v>8</v>
      </c>
      <c r="B12908" s="18" t="str">
        <f>"465181"</f>
        <v>465181</v>
      </c>
      <c r="C12908" s="19" t="s">
        <v>12686</v>
      </c>
      <c r="D12908" s="19" t="s">
        <v>28308</v>
      </c>
      <c r="E12908" s="19" t="s">
        <v>30957</v>
      </c>
      <c r="F12908" s="19" t="s">
        <v>36019</v>
      </c>
      <c r="G12908" s="18" t="str">
        <f>"84651"</f>
        <v>84651</v>
      </c>
      <c r="H12908" s="19" t="s">
        <v>36836</v>
      </c>
      <c r="I12908" s="20">
        <v>17.835000000000001</v>
      </c>
      <c r="J12908" s="44" t="s">
        <v>8</v>
      </c>
      <c r="K12908" s="23" t="s">
        <v>8</v>
      </c>
      <c r="L12908" s="23" t="s">
        <v>8</v>
      </c>
      <c r="M12908" s="23" t="s">
        <v>8</v>
      </c>
    </row>
    <row r="12909" spans="1:13" s="21" customFormat="1" x14ac:dyDescent="0.25">
      <c r="A12909" s="22" t="s">
        <v>8</v>
      </c>
      <c r="B12909" s="18" t="str">
        <f>"465182"</f>
        <v>465182</v>
      </c>
      <c r="C12909" s="19" t="s">
        <v>12687</v>
      </c>
      <c r="D12909" s="19" t="s">
        <v>28309</v>
      </c>
      <c r="E12909" s="19" t="s">
        <v>35326</v>
      </c>
      <c r="F12909" s="19" t="s">
        <v>36019</v>
      </c>
      <c r="G12909" s="18" t="str">
        <f>"84405"</f>
        <v>84405</v>
      </c>
      <c r="H12909" s="19" t="s">
        <v>36832</v>
      </c>
      <c r="I12909" s="20">
        <v>16.547999999999998</v>
      </c>
      <c r="J12909" s="44" t="s">
        <v>8</v>
      </c>
      <c r="K12909" s="23" t="s">
        <v>8</v>
      </c>
      <c r="L12909" s="23" t="s">
        <v>8</v>
      </c>
      <c r="M12909" s="23" t="s">
        <v>8</v>
      </c>
    </row>
    <row r="12910" spans="1:13" s="21" customFormat="1" x14ac:dyDescent="0.25">
      <c r="A12910" s="22" t="s">
        <v>8</v>
      </c>
      <c r="B12910" s="18" t="str">
        <f>"465183"</f>
        <v>465183</v>
      </c>
      <c r="C12910" s="19" t="s">
        <v>12688</v>
      </c>
      <c r="D12910" s="19" t="s">
        <v>28310</v>
      </c>
      <c r="E12910" s="19" t="s">
        <v>35348</v>
      </c>
      <c r="F12910" s="19" t="s">
        <v>36019</v>
      </c>
      <c r="G12910" s="18" t="str">
        <f>"84660"</f>
        <v>84660</v>
      </c>
      <c r="H12910" s="19" t="s">
        <v>36836</v>
      </c>
      <c r="I12910" s="20">
        <v>18.027000000000001</v>
      </c>
      <c r="J12910" s="44" t="s">
        <v>8</v>
      </c>
      <c r="K12910" s="23" t="s">
        <v>8</v>
      </c>
      <c r="L12910" s="23" t="s">
        <v>8</v>
      </c>
      <c r="M12910" s="23" t="s">
        <v>8</v>
      </c>
    </row>
    <row r="12911" spans="1:13" s="21" customFormat="1" x14ac:dyDescent="0.25">
      <c r="A12911" s="22" t="s">
        <v>8</v>
      </c>
      <c r="B12911" s="18" t="str">
        <f>"465184"</f>
        <v>465184</v>
      </c>
      <c r="C12911" s="19" t="s">
        <v>12689</v>
      </c>
      <c r="D12911" s="19" t="s">
        <v>28311</v>
      </c>
      <c r="E12911" s="19" t="s">
        <v>35349</v>
      </c>
      <c r="F12911" s="19" t="s">
        <v>36019</v>
      </c>
      <c r="G12911" s="18" t="str">
        <f>"84047"</f>
        <v>84047</v>
      </c>
      <c r="H12911" s="19" t="s">
        <v>36833</v>
      </c>
      <c r="I12911" s="20">
        <v>17.288</v>
      </c>
      <c r="J12911" s="44" t="s">
        <v>8</v>
      </c>
      <c r="K12911" s="23" t="s">
        <v>8</v>
      </c>
      <c r="L12911" s="23" t="s">
        <v>8</v>
      </c>
      <c r="M12911" s="23" t="s">
        <v>8</v>
      </c>
    </row>
    <row r="12912" spans="1:13" s="21" customFormat="1" x14ac:dyDescent="0.25">
      <c r="A12912" s="22" t="s">
        <v>8</v>
      </c>
      <c r="B12912" s="18" t="s">
        <v>15423</v>
      </c>
      <c r="C12912" s="19" t="s">
        <v>12690</v>
      </c>
      <c r="D12912" s="19" t="s">
        <v>28312</v>
      </c>
      <c r="E12912" s="19" t="s">
        <v>35350</v>
      </c>
      <c r="F12912" s="19" t="s">
        <v>36020</v>
      </c>
      <c r="G12912" s="18" t="str">
        <f>"05701"</f>
        <v>05701</v>
      </c>
      <c r="H12912" s="19" t="s">
        <v>35350</v>
      </c>
      <c r="I12912" s="20">
        <v>18.486000000000001</v>
      </c>
      <c r="J12912" s="44" t="s">
        <v>8</v>
      </c>
      <c r="K12912" s="23" t="s">
        <v>8</v>
      </c>
      <c r="L12912" s="23" t="s">
        <v>8</v>
      </c>
      <c r="M12912" s="23" t="s">
        <v>8</v>
      </c>
    </row>
    <row r="12913" spans="1:13" s="21" customFormat="1" x14ac:dyDescent="0.25">
      <c r="A12913" s="22" t="s">
        <v>8</v>
      </c>
      <c r="B12913" s="18" t="str">
        <f>"475003"</f>
        <v>475003</v>
      </c>
      <c r="C12913" s="19" t="s">
        <v>12691</v>
      </c>
      <c r="D12913" s="19" t="s">
        <v>28313</v>
      </c>
      <c r="E12913" s="19" t="s">
        <v>31369</v>
      </c>
      <c r="F12913" s="19" t="s">
        <v>36020</v>
      </c>
      <c r="G12913" s="18" t="str">
        <f>"05408"</f>
        <v>05408</v>
      </c>
      <c r="H12913" s="19" t="s">
        <v>36844</v>
      </c>
      <c r="I12913" s="20">
        <v>15.204000000000001</v>
      </c>
      <c r="J12913" s="44" t="s">
        <v>8</v>
      </c>
      <c r="K12913" s="23" t="s">
        <v>8</v>
      </c>
      <c r="L12913" s="23" t="s">
        <v>8</v>
      </c>
      <c r="M12913" s="23" t="s">
        <v>8</v>
      </c>
    </row>
    <row r="12914" spans="1:13" s="21" customFormat="1" x14ac:dyDescent="0.25">
      <c r="A12914" s="22" t="s">
        <v>8</v>
      </c>
      <c r="B12914" s="18" t="str">
        <f>"475008"</f>
        <v>475008</v>
      </c>
      <c r="C12914" s="19" t="s">
        <v>12692</v>
      </c>
      <c r="D12914" s="19" t="s">
        <v>28314</v>
      </c>
      <c r="E12914" s="19" t="s">
        <v>30903</v>
      </c>
      <c r="F12914" s="19" t="s">
        <v>36020</v>
      </c>
      <c r="G12914" s="18" t="str">
        <f>"05354"</f>
        <v>05354</v>
      </c>
      <c r="H12914" s="19" t="s">
        <v>31446</v>
      </c>
      <c r="I12914" s="20">
        <v>16.809000000000001</v>
      </c>
      <c r="J12914" s="44" t="s">
        <v>8</v>
      </c>
      <c r="K12914" s="23" t="s">
        <v>8</v>
      </c>
      <c r="L12914" s="23" t="s">
        <v>8</v>
      </c>
      <c r="M12914" s="23" t="s">
        <v>8</v>
      </c>
    </row>
    <row r="12915" spans="1:13" s="21" customFormat="1" x14ac:dyDescent="0.25">
      <c r="A12915" s="22" t="s">
        <v>8</v>
      </c>
      <c r="B12915" s="18" t="str">
        <f>"475010"</f>
        <v>475010</v>
      </c>
      <c r="C12915" s="19" t="s">
        <v>12693</v>
      </c>
      <c r="D12915" s="19" t="s">
        <v>28315</v>
      </c>
      <c r="E12915" s="19" t="s">
        <v>35351</v>
      </c>
      <c r="F12915" s="19" t="s">
        <v>36020</v>
      </c>
      <c r="G12915" s="18" t="str">
        <f>"05001"</f>
        <v>05001</v>
      </c>
      <c r="H12915" s="19" t="s">
        <v>31367</v>
      </c>
      <c r="I12915" s="20">
        <v>18.268000000000001</v>
      </c>
      <c r="J12915" s="44" t="s">
        <v>8</v>
      </c>
      <c r="K12915" s="23" t="s">
        <v>8</v>
      </c>
      <c r="L12915" s="23" t="s">
        <v>8</v>
      </c>
      <c r="M12915" s="23" t="s">
        <v>8</v>
      </c>
    </row>
    <row r="12916" spans="1:13" s="21" customFormat="1" x14ac:dyDescent="0.25">
      <c r="A12916" s="22" t="s">
        <v>8</v>
      </c>
      <c r="B12916" s="18" t="str">
        <f>"475012"</f>
        <v>475012</v>
      </c>
      <c r="C12916" s="19" t="s">
        <v>12694</v>
      </c>
      <c r="D12916" s="19" t="s">
        <v>28316</v>
      </c>
      <c r="E12916" s="19" t="s">
        <v>35350</v>
      </c>
      <c r="F12916" s="19" t="s">
        <v>36020</v>
      </c>
      <c r="G12916" s="18" t="str">
        <f>"05701"</f>
        <v>05701</v>
      </c>
      <c r="H12916" s="19" t="s">
        <v>35350</v>
      </c>
      <c r="I12916" s="20">
        <v>16.693999999999999</v>
      </c>
      <c r="J12916" s="44" t="s">
        <v>8</v>
      </c>
      <c r="K12916" s="23" t="s">
        <v>8</v>
      </c>
      <c r="L12916" s="23" t="s">
        <v>8</v>
      </c>
      <c r="M12916" s="23" t="s">
        <v>8</v>
      </c>
    </row>
    <row r="12917" spans="1:13" s="21" customFormat="1" x14ac:dyDescent="0.25">
      <c r="A12917" s="22" t="s">
        <v>8</v>
      </c>
      <c r="B12917" s="18" t="str">
        <f>"475014"</f>
        <v>475014</v>
      </c>
      <c r="C12917" s="19" t="s">
        <v>12695</v>
      </c>
      <c r="D12917" s="19" t="s">
        <v>28317</v>
      </c>
      <c r="E12917" s="19" t="s">
        <v>31369</v>
      </c>
      <c r="F12917" s="19" t="s">
        <v>36020</v>
      </c>
      <c r="G12917" s="18" t="str">
        <f>"05401"</f>
        <v>05401</v>
      </c>
      <c r="H12917" s="19" t="s">
        <v>36844</v>
      </c>
      <c r="I12917" s="20">
        <v>14.673999999999999</v>
      </c>
      <c r="J12917" s="44" t="s">
        <v>8</v>
      </c>
      <c r="K12917" s="23" t="s">
        <v>8</v>
      </c>
      <c r="L12917" s="23" t="s">
        <v>8</v>
      </c>
      <c r="M12917" s="23" t="s">
        <v>8</v>
      </c>
    </row>
    <row r="12918" spans="1:13" s="21" customFormat="1" x14ac:dyDescent="0.25">
      <c r="A12918" s="22" t="s">
        <v>8</v>
      </c>
      <c r="B12918" s="18" t="str">
        <f>"475017"</f>
        <v>475017</v>
      </c>
      <c r="C12918" s="19" t="s">
        <v>12696</v>
      </c>
      <c r="D12918" s="19" t="s">
        <v>28318</v>
      </c>
      <c r="E12918" s="19" t="s">
        <v>31418</v>
      </c>
      <c r="F12918" s="19" t="s">
        <v>36020</v>
      </c>
      <c r="G12918" s="18" t="str">
        <f>"05753"</f>
        <v>05753</v>
      </c>
      <c r="H12918" s="19" t="s">
        <v>36845</v>
      </c>
      <c r="I12918" s="20">
        <v>17.422000000000001</v>
      </c>
      <c r="J12918" s="44" t="s">
        <v>8</v>
      </c>
      <c r="K12918" s="23" t="s">
        <v>8</v>
      </c>
      <c r="L12918" s="23" t="s">
        <v>8</v>
      </c>
      <c r="M12918" s="23" t="s">
        <v>8</v>
      </c>
    </row>
    <row r="12919" spans="1:13" s="21" customFormat="1" x14ac:dyDescent="0.25">
      <c r="A12919" s="22" t="s">
        <v>8</v>
      </c>
      <c r="B12919" s="18" t="str">
        <f>"475018"</f>
        <v>475018</v>
      </c>
      <c r="C12919" s="19" t="s">
        <v>12697</v>
      </c>
      <c r="D12919" s="19" t="s">
        <v>28319</v>
      </c>
      <c r="E12919" s="19" t="s">
        <v>35350</v>
      </c>
      <c r="F12919" s="19" t="s">
        <v>36020</v>
      </c>
      <c r="G12919" s="18" t="str">
        <f>"05701"</f>
        <v>05701</v>
      </c>
      <c r="H12919" s="19" t="s">
        <v>35350</v>
      </c>
      <c r="I12919" s="20">
        <v>16.870999999999999</v>
      </c>
      <c r="J12919" s="44" t="s">
        <v>8</v>
      </c>
      <c r="K12919" s="23" t="s">
        <v>8</v>
      </c>
      <c r="L12919" s="23" t="s">
        <v>8</v>
      </c>
      <c r="M12919" s="23" t="s">
        <v>8</v>
      </c>
    </row>
    <row r="12920" spans="1:13" s="21" customFormat="1" x14ac:dyDescent="0.25">
      <c r="A12920" s="22" t="s">
        <v>8</v>
      </c>
      <c r="B12920" s="18" t="str">
        <f>"475019"</f>
        <v>475019</v>
      </c>
      <c r="C12920" s="19" t="s">
        <v>12698</v>
      </c>
      <c r="D12920" s="19" t="s">
        <v>28320</v>
      </c>
      <c r="E12920" s="19" t="s">
        <v>35352</v>
      </c>
      <c r="F12920" s="19" t="s">
        <v>36020</v>
      </c>
      <c r="G12920" s="18" t="str">
        <f>"05819"</f>
        <v>05819</v>
      </c>
      <c r="H12920" s="19" t="s">
        <v>33464</v>
      </c>
      <c r="I12920" s="20">
        <v>15.532</v>
      </c>
      <c r="J12920" s="44" t="s">
        <v>8</v>
      </c>
      <c r="K12920" s="23" t="s">
        <v>8</v>
      </c>
      <c r="L12920" s="23" t="s">
        <v>8</v>
      </c>
      <c r="M12920" s="23" t="s">
        <v>8</v>
      </c>
    </row>
    <row r="12921" spans="1:13" s="21" customFormat="1" x14ac:dyDescent="0.25">
      <c r="A12921" s="22" t="s">
        <v>8</v>
      </c>
      <c r="B12921" s="18" t="str">
        <f>"475020"</f>
        <v>475020</v>
      </c>
      <c r="C12921" s="19" t="s">
        <v>12699</v>
      </c>
      <c r="D12921" s="19" t="s">
        <v>28321</v>
      </c>
      <c r="E12921" s="19" t="s">
        <v>35353</v>
      </c>
      <c r="F12921" s="19" t="s">
        <v>36020</v>
      </c>
      <c r="G12921" s="18" t="str">
        <f>"05641"</f>
        <v>05641</v>
      </c>
      <c r="H12921" s="19" t="s">
        <v>31500</v>
      </c>
      <c r="I12921" s="20">
        <v>19.314</v>
      </c>
      <c r="J12921" s="44" t="s">
        <v>8</v>
      </c>
      <c r="K12921" s="23" t="s">
        <v>8</v>
      </c>
      <c r="L12921" s="23" t="s">
        <v>8</v>
      </c>
      <c r="M12921" s="23" t="s">
        <v>8</v>
      </c>
    </row>
    <row r="12922" spans="1:13" s="21" customFormat="1" x14ac:dyDescent="0.25">
      <c r="A12922" s="22" t="s">
        <v>8</v>
      </c>
      <c r="B12922" s="18" t="str">
        <f>"475021"</f>
        <v>475021</v>
      </c>
      <c r="C12922" s="19" t="s">
        <v>12700</v>
      </c>
      <c r="D12922" s="19" t="s">
        <v>28322</v>
      </c>
      <c r="E12922" s="19" t="s">
        <v>35354</v>
      </c>
      <c r="F12922" s="19" t="s">
        <v>36020</v>
      </c>
      <c r="G12922" s="18" t="str">
        <f>"05478"</f>
        <v>05478</v>
      </c>
      <c r="H12922" s="19" t="s">
        <v>5</v>
      </c>
      <c r="I12922" s="20">
        <v>20.024000000000001</v>
      </c>
      <c r="J12922" s="44" t="s">
        <v>8</v>
      </c>
      <c r="K12922" s="23" t="s">
        <v>8</v>
      </c>
      <c r="L12922" s="23" t="s">
        <v>8</v>
      </c>
      <c r="M12922" s="23" t="s">
        <v>8</v>
      </c>
    </row>
    <row r="12923" spans="1:13" s="21" customFormat="1" x14ac:dyDescent="0.25">
      <c r="A12923" s="22" t="s">
        <v>8</v>
      </c>
      <c r="B12923" s="18" t="str">
        <f>"475023"</f>
        <v>475023</v>
      </c>
      <c r="C12923" s="19" t="s">
        <v>12701</v>
      </c>
      <c r="D12923" s="19" t="s">
        <v>28323</v>
      </c>
      <c r="E12923" s="19" t="s">
        <v>35355</v>
      </c>
      <c r="F12923" s="19" t="s">
        <v>36020</v>
      </c>
      <c r="G12923" s="18" t="str">
        <f>"05301"</f>
        <v>05301</v>
      </c>
      <c r="H12923" s="19" t="s">
        <v>31446</v>
      </c>
      <c r="I12923" s="20">
        <v>18.443999999999999</v>
      </c>
      <c r="J12923" s="44" t="s">
        <v>8</v>
      </c>
      <c r="K12923" s="23" t="s">
        <v>8</v>
      </c>
      <c r="L12923" s="23" t="s">
        <v>8</v>
      </c>
      <c r="M12923" s="23" t="s">
        <v>8</v>
      </c>
    </row>
    <row r="12924" spans="1:13" s="21" customFormat="1" x14ac:dyDescent="0.25">
      <c r="A12924" s="22" t="s">
        <v>8</v>
      </c>
      <c r="B12924" s="18" t="str">
        <f>"475025"</f>
        <v>475025</v>
      </c>
      <c r="C12924" s="19" t="s">
        <v>12702</v>
      </c>
      <c r="D12924" s="19" t="s">
        <v>28324</v>
      </c>
      <c r="E12924" s="19" t="s">
        <v>31717</v>
      </c>
      <c r="F12924" s="19" t="s">
        <v>36020</v>
      </c>
      <c r="G12924" s="18" t="str">
        <f>"05156"</f>
        <v>05156</v>
      </c>
      <c r="H12924" s="19" t="s">
        <v>31367</v>
      </c>
      <c r="I12924" s="20">
        <v>23.754999999999999</v>
      </c>
      <c r="J12924" s="44" t="s">
        <v>8</v>
      </c>
      <c r="K12924" s="23" t="s">
        <v>8</v>
      </c>
      <c r="L12924" s="23" t="s">
        <v>8</v>
      </c>
      <c r="M12924" s="23" t="s">
        <v>8</v>
      </c>
    </row>
    <row r="12925" spans="1:13" s="21" customFormat="1" x14ac:dyDescent="0.25">
      <c r="A12925" s="22" t="s">
        <v>8</v>
      </c>
      <c r="B12925" s="18" t="str">
        <f>"475026"</f>
        <v>475026</v>
      </c>
      <c r="C12925" s="19" t="s">
        <v>12703</v>
      </c>
      <c r="D12925" s="19" t="s">
        <v>28325</v>
      </c>
      <c r="E12925" s="19" t="s">
        <v>31058</v>
      </c>
      <c r="F12925" s="19" t="s">
        <v>36020</v>
      </c>
      <c r="G12925" s="18" t="str">
        <f>"05855"</f>
        <v>05855</v>
      </c>
      <c r="H12925" s="19" t="s">
        <v>36365</v>
      </c>
      <c r="I12925" s="20">
        <v>16.393000000000001</v>
      </c>
      <c r="J12925" s="44" t="s">
        <v>8</v>
      </c>
      <c r="K12925" s="23" t="s">
        <v>8</v>
      </c>
      <c r="L12925" s="23" t="s">
        <v>8</v>
      </c>
      <c r="M12925" s="23" t="s">
        <v>8</v>
      </c>
    </row>
    <row r="12926" spans="1:13" s="21" customFormat="1" x14ac:dyDescent="0.25">
      <c r="A12926" s="22" t="s">
        <v>8</v>
      </c>
      <c r="B12926" s="18" t="str">
        <f>"475027"</f>
        <v>475027</v>
      </c>
      <c r="C12926" s="19" t="s">
        <v>12704</v>
      </c>
      <c r="D12926" s="19" t="s">
        <v>28326</v>
      </c>
      <c r="E12926" s="19" t="s">
        <v>35356</v>
      </c>
      <c r="F12926" s="19" t="s">
        <v>36020</v>
      </c>
      <c r="G12926" s="18" t="str">
        <f>"05201"</f>
        <v>05201</v>
      </c>
      <c r="H12926" s="19" t="s">
        <v>35356</v>
      </c>
      <c r="I12926" s="20">
        <v>17.655000000000001</v>
      </c>
      <c r="J12926" s="44" t="s">
        <v>8</v>
      </c>
      <c r="K12926" s="23" t="s">
        <v>8</v>
      </c>
      <c r="L12926" s="23" t="s">
        <v>8</v>
      </c>
      <c r="M12926" s="23" t="s">
        <v>8</v>
      </c>
    </row>
    <row r="12927" spans="1:13" s="21" customFormat="1" x14ac:dyDescent="0.25">
      <c r="A12927" s="22" t="s">
        <v>8</v>
      </c>
      <c r="B12927" s="18" t="str">
        <f>"475029"</f>
        <v>475029</v>
      </c>
      <c r="C12927" s="19" t="s">
        <v>12705</v>
      </c>
      <c r="D12927" s="19" t="s">
        <v>28327</v>
      </c>
      <c r="E12927" s="19" t="s">
        <v>35356</v>
      </c>
      <c r="F12927" s="19" t="s">
        <v>36020</v>
      </c>
      <c r="G12927" s="18" t="str">
        <f>"05201"</f>
        <v>05201</v>
      </c>
      <c r="H12927" s="19" t="s">
        <v>35356</v>
      </c>
      <c r="I12927" s="20">
        <v>16.039000000000001</v>
      </c>
      <c r="J12927" s="44" t="s">
        <v>8</v>
      </c>
      <c r="K12927" s="23" t="s">
        <v>8</v>
      </c>
      <c r="L12927" s="23" t="s">
        <v>8</v>
      </c>
      <c r="M12927" s="23" t="s">
        <v>8</v>
      </c>
    </row>
    <row r="12928" spans="1:13" s="21" customFormat="1" x14ac:dyDescent="0.25">
      <c r="A12928" s="22" t="s">
        <v>8</v>
      </c>
      <c r="B12928" s="18" t="str">
        <f>"475030"</f>
        <v>475030</v>
      </c>
      <c r="C12928" s="19" t="s">
        <v>12706</v>
      </c>
      <c r="D12928" s="19" t="s">
        <v>28328</v>
      </c>
      <c r="E12928" s="19" t="s">
        <v>31369</v>
      </c>
      <c r="F12928" s="19" t="s">
        <v>36020</v>
      </c>
      <c r="G12928" s="18" t="str">
        <f>"05408"</f>
        <v>05408</v>
      </c>
      <c r="H12928" s="19" t="s">
        <v>36844</v>
      </c>
      <c r="I12928" s="20">
        <v>16.858000000000001</v>
      </c>
      <c r="J12928" s="44" t="s">
        <v>8</v>
      </c>
      <c r="K12928" s="23" t="s">
        <v>8</v>
      </c>
      <c r="L12928" s="23" t="s">
        <v>8</v>
      </c>
      <c r="M12928" s="23" t="s">
        <v>8</v>
      </c>
    </row>
    <row r="12929" spans="1:13" s="21" customFormat="1" x14ac:dyDescent="0.25">
      <c r="A12929" s="22" t="s">
        <v>8</v>
      </c>
      <c r="B12929" s="18" t="str">
        <f>"475032"</f>
        <v>475032</v>
      </c>
      <c r="C12929" s="19" t="s">
        <v>12707</v>
      </c>
      <c r="D12929" s="19" t="s">
        <v>28329</v>
      </c>
      <c r="E12929" s="19" t="s">
        <v>35356</v>
      </c>
      <c r="F12929" s="19" t="s">
        <v>36020</v>
      </c>
      <c r="G12929" s="18" t="str">
        <f>"05201"</f>
        <v>05201</v>
      </c>
      <c r="H12929" s="19" t="s">
        <v>35356</v>
      </c>
      <c r="I12929" s="20">
        <v>17.241</v>
      </c>
      <c r="J12929" s="44" t="s">
        <v>8</v>
      </c>
      <c r="K12929" s="23" t="s">
        <v>8</v>
      </c>
      <c r="L12929" s="23" t="s">
        <v>8</v>
      </c>
      <c r="M12929" s="23" t="s">
        <v>8</v>
      </c>
    </row>
    <row r="12930" spans="1:13" s="21" customFormat="1" x14ac:dyDescent="0.25">
      <c r="A12930" s="22" t="s">
        <v>8</v>
      </c>
      <c r="B12930" s="18" t="str">
        <f>"475033"</f>
        <v>475033</v>
      </c>
      <c r="C12930" s="19" t="s">
        <v>12708</v>
      </c>
      <c r="D12930" s="19" t="s">
        <v>28330</v>
      </c>
      <c r="E12930" s="19" t="s">
        <v>35356</v>
      </c>
      <c r="F12930" s="19" t="s">
        <v>36020</v>
      </c>
      <c r="G12930" s="18" t="str">
        <f>"05201"</f>
        <v>05201</v>
      </c>
      <c r="H12930" s="19" t="s">
        <v>35356</v>
      </c>
      <c r="I12930" s="20">
        <v>19.643000000000001</v>
      </c>
      <c r="J12930" s="44" t="s">
        <v>8</v>
      </c>
      <c r="K12930" s="23" t="s">
        <v>8</v>
      </c>
      <c r="L12930" s="23" t="s">
        <v>8</v>
      </c>
      <c r="M12930" s="23" t="s">
        <v>8</v>
      </c>
    </row>
    <row r="12931" spans="1:13" s="21" customFormat="1" x14ac:dyDescent="0.25">
      <c r="A12931" s="22" t="s">
        <v>8</v>
      </c>
      <c r="B12931" s="18" t="str">
        <f>"475036"</f>
        <v>475036</v>
      </c>
      <c r="C12931" s="19" t="s">
        <v>12709</v>
      </c>
      <c r="D12931" s="19" t="s">
        <v>28331</v>
      </c>
      <c r="E12931" s="19" t="s">
        <v>35357</v>
      </c>
      <c r="F12931" s="19" t="s">
        <v>36020</v>
      </c>
      <c r="G12931" s="18" t="str">
        <f>"05839"</f>
        <v>05839</v>
      </c>
      <c r="H12931" s="19" t="s">
        <v>36365</v>
      </c>
      <c r="I12931" s="20">
        <v>18.584</v>
      </c>
      <c r="J12931" s="44" t="s">
        <v>8</v>
      </c>
      <c r="K12931" s="23" t="s">
        <v>8</v>
      </c>
      <c r="L12931" s="23" t="s">
        <v>8</v>
      </c>
      <c r="M12931" s="23" t="s">
        <v>8</v>
      </c>
    </row>
    <row r="12932" spans="1:13" s="21" customFormat="1" x14ac:dyDescent="0.25">
      <c r="A12932" s="22" t="s">
        <v>8</v>
      </c>
      <c r="B12932" s="18" t="str">
        <f>"475037"</f>
        <v>475037</v>
      </c>
      <c r="C12932" s="19" t="s">
        <v>12710</v>
      </c>
      <c r="D12932" s="19" t="s">
        <v>28332</v>
      </c>
      <c r="E12932" s="19" t="s">
        <v>35353</v>
      </c>
      <c r="F12932" s="19" t="s">
        <v>36020</v>
      </c>
      <c r="G12932" s="18" t="str">
        <f>"05641"</f>
        <v>05641</v>
      </c>
      <c r="H12932" s="19" t="s">
        <v>31500</v>
      </c>
      <c r="I12932" s="20">
        <v>19.12</v>
      </c>
      <c r="J12932" s="44" t="s">
        <v>8</v>
      </c>
      <c r="K12932" s="23" t="s">
        <v>8</v>
      </c>
      <c r="L12932" s="23" t="s">
        <v>8</v>
      </c>
      <c r="M12932" s="23" t="s">
        <v>8</v>
      </c>
    </row>
    <row r="12933" spans="1:13" s="21" customFormat="1" x14ac:dyDescent="0.25">
      <c r="A12933" s="22" t="s">
        <v>8</v>
      </c>
      <c r="B12933" s="18" t="str">
        <f>"475039"</f>
        <v>475039</v>
      </c>
      <c r="C12933" s="19" t="s">
        <v>12711</v>
      </c>
      <c r="D12933" s="19" t="s">
        <v>28333</v>
      </c>
      <c r="E12933" s="19" t="s">
        <v>35350</v>
      </c>
      <c r="F12933" s="19" t="s">
        <v>36020</v>
      </c>
      <c r="G12933" s="18" t="str">
        <f>"05701"</f>
        <v>05701</v>
      </c>
      <c r="H12933" s="19" t="s">
        <v>35350</v>
      </c>
      <c r="I12933" s="20">
        <v>17.376999999999999</v>
      </c>
      <c r="J12933" s="44" t="s">
        <v>8</v>
      </c>
      <c r="K12933" s="23" t="s">
        <v>8</v>
      </c>
      <c r="L12933" s="23" t="s">
        <v>8</v>
      </c>
      <c r="M12933" s="23" t="s">
        <v>8</v>
      </c>
    </row>
    <row r="12934" spans="1:13" s="21" customFormat="1" x14ac:dyDescent="0.25">
      <c r="A12934" s="22" t="s">
        <v>8</v>
      </c>
      <c r="B12934" s="18" t="str">
        <f>"475040"</f>
        <v>475040</v>
      </c>
      <c r="C12934" s="19" t="s">
        <v>12712</v>
      </c>
      <c r="D12934" s="19" t="s">
        <v>28334</v>
      </c>
      <c r="E12934" s="19" t="s">
        <v>31438</v>
      </c>
      <c r="F12934" s="19" t="s">
        <v>36020</v>
      </c>
      <c r="G12934" s="18" t="str">
        <f>"05446"</f>
        <v>05446</v>
      </c>
      <c r="H12934" s="19" t="s">
        <v>36844</v>
      </c>
      <c r="I12934" s="20">
        <v>17.404</v>
      </c>
      <c r="J12934" s="44" t="s">
        <v>8</v>
      </c>
      <c r="K12934" s="23" t="s">
        <v>8</v>
      </c>
      <c r="L12934" s="23" t="s">
        <v>8</v>
      </c>
      <c r="M12934" s="23" t="s">
        <v>8</v>
      </c>
    </row>
    <row r="12935" spans="1:13" s="21" customFormat="1" x14ac:dyDescent="0.25">
      <c r="A12935" s="22" t="s">
        <v>8</v>
      </c>
      <c r="B12935" s="18" t="str">
        <f>"475042"</f>
        <v>475042</v>
      </c>
      <c r="C12935" s="19" t="s">
        <v>12713</v>
      </c>
      <c r="D12935" s="19" t="s">
        <v>28335</v>
      </c>
      <c r="E12935" s="19" t="s">
        <v>35358</v>
      </c>
      <c r="F12935" s="19" t="s">
        <v>36020</v>
      </c>
      <c r="G12935" s="18" t="str">
        <f>"05822"</f>
        <v>05822</v>
      </c>
      <c r="H12935" s="19" t="s">
        <v>36365</v>
      </c>
      <c r="I12935" s="20">
        <v>20.486999999999998</v>
      </c>
      <c r="J12935" s="44" t="s">
        <v>8</v>
      </c>
      <c r="K12935" s="23" t="s">
        <v>8</v>
      </c>
      <c r="L12935" s="23" t="s">
        <v>8</v>
      </c>
      <c r="M12935" s="23" t="s">
        <v>8</v>
      </c>
    </row>
    <row r="12936" spans="1:13" s="21" customFormat="1" x14ac:dyDescent="0.25">
      <c r="A12936" s="22" t="s">
        <v>8</v>
      </c>
      <c r="B12936" s="18" t="str">
        <f>"475043"</f>
        <v>475043</v>
      </c>
      <c r="C12936" s="19" t="s">
        <v>12714</v>
      </c>
      <c r="D12936" s="19" t="s">
        <v>28336</v>
      </c>
      <c r="E12936" s="19" t="s">
        <v>30811</v>
      </c>
      <c r="F12936" s="19" t="s">
        <v>36020</v>
      </c>
      <c r="G12936" s="18" t="str">
        <f>"05841"</f>
        <v>05841</v>
      </c>
      <c r="H12936" s="19" t="s">
        <v>36365</v>
      </c>
      <c r="I12936" s="20">
        <v>17.3</v>
      </c>
      <c r="J12936" s="44" t="s">
        <v>8</v>
      </c>
      <c r="K12936" s="23" t="s">
        <v>8</v>
      </c>
      <c r="L12936" s="23" t="s">
        <v>8</v>
      </c>
      <c r="M12936" s="23" t="s">
        <v>8</v>
      </c>
    </row>
    <row r="12937" spans="1:13" s="21" customFormat="1" x14ac:dyDescent="0.25">
      <c r="A12937" s="22" t="s">
        <v>8</v>
      </c>
      <c r="B12937" s="18" t="str">
        <f>"475044"</f>
        <v>475044</v>
      </c>
      <c r="C12937" s="19" t="s">
        <v>12715</v>
      </c>
      <c r="D12937" s="19" t="s">
        <v>28337</v>
      </c>
      <c r="E12937" s="19" t="s">
        <v>35359</v>
      </c>
      <c r="F12937" s="19" t="s">
        <v>36020</v>
      </c>
      <c r="G12937" s="18" t="str">
        <f>"05851"</f>
        <v>05851</v>
      </c>
      <c r="H12937" s="19" t="s">
        <v>33464</v>
      </c>
      <c r="I12937" s="20">
        <v>17.692</v>
      </c>
      <c r="J12937" s="44" t="s">
        <v>8</v>
      </c>
      <c r="K12937" s="23" t="s">
        <v>8</v>
      </c>
      <c r="L12937" s="23" t="s">
        <v>8</v>
      </c>
      <c r="M12937" s="23" t="s">
        <v>8</v>
      </c>
    </row>
    <row r="12938" spans="1:13" s="21" customFormat="1" x14ac:dyDescent="0.25">
      <c r="A12938" s="22" t="s">
        <v>8</v>
      </c>
      <c r="B12938" s="18" t="str">
        <f>"475045"</f>
        <v>475045</v>
      </c>
      <c r="C12938" s="19" t="s">
        <v>12716</v>
      </c>
      <c r="D12938" s="19" t="s">
        <v>28338</v>
      </c>
      <c r="E12938" s="19" t="s">
        <v>35353</v>
      </c>
      <c r="F12938" s="19" t="s">
        <v>36020</v>
      </c>
      <c r="G12938" s="18" t="str">
        <f>"05641"</f>
        <v>05641</v>
      </c>
      <c r="H12938" s="19" t="s">
        <v>31500</v>
      </c>
      <c r="I12938" s="20">
        <v>16.989000000000001</v>
      </c>
      <c r="J12938" s="44" t="s">
        <v>8</v>
      </c>
      <c r="K12938" s="23" t="s">
        <v>8</v>
      </c>
      <c r="L12938" s="23" t="s">
        <v>8</v>
      </c>
      <c r="M12938" s="23" t="s">
        <v>8</v>
      </c>
    </row>
    <row r="12939" spans="1:13" s="21" customFormat="1" x14ac:dyDescent="0.25">
      <c r="A12939" s="22" t="s">
        <v>8</v>
      </c>
      <c r="B12939" s="18" t="str">
        <f>"475046"</f>
        <v>475046</v>
      </c>
      <c r="C12939" s="19" t="s">
        <v>12717</v>
      </c>
      <c r="D12939" s="19" t="s">
        <v>28339</v>
      </c>
      <c r="E12939" s="19" t="s">
        <v>31367</v>
      </c>
      <c r="F12939" s="19" t="s">
        <v>36020</v>
      </c>
      <c r="G12939" s="18" t="str">
        <f>"05089"</f>
        <v>05089</v>
      </c>
      <c r="H12939" s="19" t="s">
        <v>31367</v>
      </c>
      <c r="I12939" s="20">
        <v>18.928000000000001</v>
      </c>
      <c r="J12939" s="44" t="s">
        <v>8</v>
      </c>
      <c r="K12939" s="23" t="s">
        <v>8</v>
      </c>
      <c r="L12939" s="23" t="s">
        <v>8</v>
      </c>
      <c r="M12939" s="23" t="s">
        <v>8</v>
      </c>
    </row>
    <row r="12940" spans="1:13" s="21" customFormat="1" x14ac:dyDescent="0.25">
      <c r="A12940" s="22" t="s">
        <v>8</v>
      </c>
      <c r="B12940" s="18" t="str">
        <f>"475047"</f>
        <v>475047</v>
      </c>
      <c r="C12940" s="19" t="s">
        <v>12718</v>
      </c>
      <c r="D12940" s="19" t="s">
        <v>28340</v>
      </c>
      <c r="E12940" s="19" t="s">
        <v>35360</v>
      </c>
      <c r="F12940" s="19" t="s">
        <v>36020</v>
      </c>
      <c r="G12940" s="18" t="str">
        <f>"05478"</f>
        <v>05478</v>
      </c>
      <c r="H12940" s="19" t="s">
        <v>5</v>
      </c>
      <c r="I12940" s="20">
        <v>16.356999999999999</v>
      </c>
      <c r="J12940" s="44" t="s">
        <v>8</v>
      </c>
      <c r="K12940" s="23" t="s">
        <v>8</v>
      </c>
      <c r="L12940" s="23" t="s">
        <v>8</v>
      </c>
      <c r="M12940" s="23" t="s">
        <v>8</v>
      </c>
    </row>
    <row r="12941" spans="1:13" s="21" customFormat="1" x14ac:dyDescent="0.25">
      <c r="A12941" s="22" t="s">
        <v>8</v>
      </c>
      <c r="B12941" s="18" t="str">
        <f>"475048"</f>
        <v>475048</v>
      </c>
      <c r="C12941" s="19" t="s">
        <v>12719</v>
      </c>
      <c r="D12941" s="19" t="s">
        <v>28341</v>
      </c>
      <c r="E12941" s="19" t="s">
        <v>31402</v>
      </c>
      <c r="F12941" s="19" t="s">
        <v>36020</v>
      </c>
      <c r="G12941" s="18" t="str">
        <f>"05829"</f>
        <v>05829</v>
      </c>
      <c r="H12941" s="19" t="s">
        <v>36365</v>
      </c>
      <c r="I12941" s="20">
        <v>18.649000000000001</v>
      </c>
      <c r="J12941" s="44" t="s">
        <v>8</v>
      </c>
      <c r="K12941" s="23" t="s">
        <v>8</v>
      </c>
      <c r="L12941" s="23" t="s">
        <v>8</v>
      </c>
      <c r="M12941" s="23" t="s">
        <v>8</v>
      </c>
    </row>
    <row r="12942" spans="1:13" s="21" customFormat="1" x14ac:dyDescent="0.25">
      <c r="A12942" s="22" t="s">
        <v>8</v>
      </c>
      <c r="B12942" s="18" t="str">
        <f>"475049"</f>
        <v>475049</v>
      </c>
      <c r="C12942" s="19" t="s">
        <v>12720</v>
      </c>
      <c r="D12942" s="19" t="s">
        <v>28342</v>
      </c>
      <c r="E12942" s="19" t="s">
        <v>31058</v>
      </c>
      <c r="F12942" s="19" t="s">
        <v>36020</v>
      </c>
      <c r="G12942" s="18" t="str">
        <f>"05855"</f>
        <v>05855</v>
      </c>
      <c r="H12942" s="19" t="s">
        <v>36365</v>
      </c>
      <c r="I12942" s="20">
        <v>16.199000000000002</v>
      </c>
      <c r="J12942" s="44" t="s">
        <v>8</v>
      </c>
      <c r="K12942" s="23" t="s">
        <v>8</v>
      </c>
      <c r="L12942" s="23" t="s">
        <v>8</v>
      </c>
      <c r="M12942" s="23" t="s">
        <v>8</v>
      </c>
    </row>
    <row r="12943" spans="1:13" s="21" customFormat="1" x14ac:dyDescent="0.25">
      <c r="A12943" s="22" t="s">
        <v>8</v>
      </c>
      <c r="B12943" s="18" t="str">
        <f>"475050"</f>
        <v>475050</v>
      </c>
      <c r="C12943" s="19" t="s">
        <v>12721</v>
      </c>
      <c r="D12943" s="19" t="s">
        <v>28343</v>
      </c>
      <c r="E12943" s="19" t="s">
        <v>35355</v>
      </c>
      <c r="F12943" s="19" t="s">
        <v>36020</v>
      </c>
      <c r="G12943" s="18" t="str">
        <f>"05301"</f>
        <v>05301</v>
      </c>
      <c r="H12943" s="19" t="s">
        <v>31446</v>
      </c>
      <c r="I12943" s="20">
        <v>18.779</v>
      </c>
      <c r="J12943" s="44" t="s">
        <v>8</v>
      </c>
      <c r="K12943" s="23" t="s">
        <v>8</v>
      </c>
      <c r="L12943" s="23" t="s">
        <v>8</v>
      </c>
      <c r="M12943" s="23" t="s">
        <v>8</v>
      </c>
    </row>
    <row r="12944" spans="1:13" s="21" customFormat="1" x14ac:dyDescent="0.25">
      <c r="A12944" s="22" t="s">
        <v>8</v>
      </c>
      <c r="B12944" s="18" t="str">
        <f>"475052"</f>
        <v>475052</v>
      </c>
      <c r="C12944" s="19" t="s">
        <v>12722</v>
      </c>
      <c r="D12944" s="19" t="s">
        <v>28344</v>
      </c>
      <c r="E12944" s="19" t="s">
        <v>35361</v>
      </c>
      <c r="F12944" s="19" t="s">
        <v>36020</v>
      </c>
      <c r="G12944" s="18" t="str">
        <f>"05149"</f>
        <v>05149</v>
      </c>
      <c r="H12944" s="19" t="s">
        <v>31367</v>
      </c>
      <c r="I12944" s="20">
        <v>18.722000000000001</v>
      </c>
      <c r="J12944" s="44" t="s">
        <v>8</v>
      </c>
      <c r="K12944" s="23" t="s">
        <v>8</v>
      </c>
      <c r="L12944" s="23" t="s">
        <v>8</v>
      </c>
      <c r="M12944" s="23" t="s">
        <v>8</v>
      </c>
    </row>
    <row r="12945" spans="1:13" s="21" customFormat="1" x14ac:dyDescent="0.25">
      <c r="A12945" s="22" t="s">
        <v>8</v>
      </c>
      <c r="B12945" s="18" t="str">
        <f>"475053"</f>
        <v>475053</v>
      </c>
      <c r="C12945" s="19" t="s">
        <v>12723</v>
      </c>
      <c r="D12945" s="19" t="s">
        <v>28345</v>
      </c>
      <c r="E12945" s="19" t="s">
        <v>33352</v>
      </c>
      <c r="F12945" s="19" t="s">
        <v>36020</v>
      </c>
      <c r="G12945" s="18" t="str">
        <f>"05663"</f>
        <v>05663</v>
      </c>
      <c r="H12945" s="19" t="s">
        <v>31500</v>
      </c>
      <c r="I12945" s="20">
        <v>16.771999999999998</v>
      </c>
      <c r="J12945" s="44" t="s">
        <v>8</v>
      </c>
      <c r="K12945" s="23" t="s">
        <v>8</v>
      </c>
      <c r="L12945" s="23" t="s">
        <v>8</v>
      </c>
      <c r="M12945" s="23" t="s">
        <v>8</v>
      </c>
    </row>
    <row r="12946" spans="1:13" s="21" customFormat="1" x14ac:dyDescent="0.25">
      <c r="A12946" s="22" t="s">
        <v>8</v>
      </c>
      <c r="B12946" s="18" t="str">
        <f>"475055"</f>
        <v>475055</v>
      </c>
      <c r="C12946" s="19" t="s">
        <v>12724</v>
      </c>
      <c r="D12946" s="19" t="s">
        <v>28346</v>
      </c>
      <c r="E12946" s="19" t="s">
        <v>35360</v>
      </c>
      <c r="F12946" s="19" t="s">
        <v>36020</v>
      </c>
      <c r="G12946" s="18" t="str">
        <f>"05478"</f>
        <v>05478</v>
      </c>
      <c r="H12946" s="19" t="s">
        <v>5</v>
      </c>
      <c r="I12946" s="20">
        <v>18.516999999999999</v>
      </c>
      <c r="J12946" s="44" t="s">
        <v>8</v>
      </c>
      <c r="K12946" s="23" t="s">
        <v>8</v>
      </c>
      <c r="L12946" s="23" t="s">
        <v>8</v>
      </c>
      <c r="M12946" s="23" t="s">
        <v>8</v>
      </c>
    </row>
    <row r="12947" spans="1:13" s="21" customFormat="1" x14ac:dyDescent="0.25">
      <c r="A12947" s="22" t="s">
        <v>8</v>
      </c>
      <c r="B12947" s="18" t="str">
        <f>"475056"</f>
        <v>475056</v>
      </c>
      <c r="C12947" s="19" t="s">
        <v>12725</v>
      </c>
      <c r="D12947" s="19" t="s">
        <v>28347</v>
      </c>
      <c r="E12947" s="19" t="s">
        <v>35362</v>
      </c>
      <c r="F12947" s="19" t="s">
        <v>36020</v>
      </c>
      <c r="G12947" s="18" t="str">
        <f>"05482"</f>
        <v>05482</v>
      </c>
      <c r="H12947" s="19" t="s">
        <v>36844</v>
      </c>
      <c r="I12947" s="20">
        <v>17.835999999999999</v>
      </c>
      <c r="J12947" s="44" t="s">
        <v>8</v>
      </c>
      <c r="K12947" s="23" t="s">
        <v>8</v>
      </c>
      <c r="L12947" s="23" t="s">
        <v>8</v>
      </c>
      <c r="M12947" s="23" t="s">
        <v>8</v>
      </c>
    </row>
    <row r="12948" spans="1:13" s="21" customFormat="1" x14ac:dyDescent="0.25">
      <c r="A12948" s="22" t="s">
        <v>8</v>
      </c>
      <c r="B12948" s="18" t="str">
        <f>"475057"</f>
        <v>475057</v>
      </c>
      <c r="C12948" s="19" t="s">
        <v>12726</v>
      </c>
      <c r="D12948" s="19" t="s">
        <v>28348</v>
      </c>
      <c r="E12948" s="19" t="s">
        <v>34047</v>
      </c>
      <c r="F12948" s="19" t="s">
        <v>36020</v>
      </c>
      <c r="G12948" s="18" t="str">
        <f>"05661"</f>
        <v>05661</v>
      </c>
      <c r="H12948" s="19" t="s">
        <v>36846</v>
      </c>
      <c r="I12948" s="20">
        <v>16.030999999999999</v>
      </c>
      <c r="J12948" s="44" t="s">
        <v>8</v>
      </c>
      <c r="K12948" s="23" t="s">
        <v>8</v>
      </c>
      <c r="L12948" s="23" t="s">
        <v>8</v>
      </c>
      <c r="M12948" s="23" t="s">
        <v>8</v>
      </c>
    </row>
    <row r="12949" spans="1:13" s="21" customFormat="1" x14ac:dyDescent="0.25">
      <c r="A12949" s="22" t="s">
        <v>8</v>
      </c>
      <c r="B12949" s="18" t="s">
        <v>15424</v>
      </c>
      <c r="C12949" s="19" t="s">
        <v>12727</v>
      </c>
      <c r="D12949" s="19" t="s">
        <v>28349</v>
      </c>
      <c r="E12949" s="19" t="s">
        <v>32665</v>
      </c>
      <c r="F12949" s="19" t="s">
        <v>36021</v>
      </c>
      <c r="G12949" s="18" t="str">
        <f>"24273"</f>
        <v>24273</v>
      </c>
      <c r="H12949" s="19" t="s">
        <v>36847</v>
      </c>
      <c r="I12949" s="20">
        <v>17.709</v>
      </c>
      <c r="J12949" s="44" t="s">
        <v>8</v>
      </c>
      <c r="K12949" s="23" t="s">
        <v>8</v>
      </c>
      <c r="L12949" s="23" t="s">
        <v>8</v>
      </c>
      <c r="M12949" s="23" t="s">
        <v>8</v>
      </c>
    </row>
    <row r="12950" spans="1:13" s="21" customFormat="1" x14ac:dyDescent="0.25">
      <c r="A12950" s="22" t="s">
        <v>8</v>
      </c>
      <c r="B12950" s="18" t="s">
        <v>15425</v>
      </c>
      <c r="C12950" s="19" t="s">
        <v>12728</v>
      </c>
      <c r="D12950" s="19" t="s">
        <v>28350</v>
      </c>
      <c r="E12950" s="19" t="s">
        <v>32035</v>
      </c>
      <c r="F12950" s="19" t="s">
        <v>36021</v>
      </c>
      <c r="G12950" s="18" t="str">
        <f>"24266"</f>
        <v>24266</v>
      </c>
      <c r="H12950" s="19" t="s">
        <v>32602</v>
      </c>
      <c r="I12950" s="20">
        <v>19.353000000000002</v>
      </c>
      <c r="J12950" s="44" t="s">
        <v>8</v>
      </c>
      <c r="K12950" s="23" t="s">
        <v>8</v>
      </c>
      <c r="L12950" s="23" t="s">
        <v>8</v>
      </c>
      <c r="M12950" s="23" t="s">
        <v>8</v>
      </c>
    </row>
    <row r="12951" spans="1:13" s="21" customFormat="1" x14ac:dyDescent="0.25">
      <c r="A12951" s="22" t="s">
        <v>8</v>
      </c>
      <c r="B12951" s="18" t="s">
        <v>15426</v>
      </c>
      <c r="C12951" s="19" t="s">
        <v>12729</v>
      </c>
      <c r="D12951" s="19" t="s">
        <v>28351</v>
      </c>
      <c r="E12951" s="19" t="s">
        <v>30850</v>
      </c>
      <c r="F12951" s="19" t="s">
        <v>36021</v>
      </c>
      <c r="G12951" s="18" t="str">
        <f>"24354"</f>
        <v>24354</v>
      </c>
      <c r="H12951" s="19" t="s">
        <v>36848</v>
      </c>
      <c r="I12951" s="20">
        <v>19.111999999999998</v>
      </c>
      <c r="J12951" s="44" t="s">
        <v>8</v>
      </c>
      <c r="K12951" s="23" t="s">
        <v>8</v>
      </c>
      <c r="L12951" s="23" t="s">
        <v>8</v>
      </c>
      <c r="M12951" s="23" t="s">
        <v>8</v>
      </c>
    </row>
    <row r="12952" spans="1:13" s="21" customFormat="1" x14ac:dyDescent="0.25">
      <c r="A12952" s="22" t="s">
        <v>8</v>
      </c>
      <c r="B12952" s="18" t="s">
        <v>15427</v>
      </c>
      <c r="C12952" s="19" t="s">
        <v>12730</v>
      </c>
      <c r="D12952" s="19" t="s">
        <v>28352</v>
      </c>
      <c r="E12952" s="19" t="s">
        <v>5</v>
      </c>
      <c r="F12952" s="19" t="s">
        <v>36021</v>
      </c>
      <c r="G12952" s="18" t="str">
        <f>"23851"</f>
        <v>23851</v>
      </c>
      <c r="H12952" s="19" t="s">
        <v>36849</v>
      </c>
      <c r="I12952" s="20">
        <v>19.724</v>
      </c>
      <c r="J12952" s="44" t="s">
        <v>8</v>
      </c>
      <c r="K12952" s="23" t="s">
        <v>8</v>
      </c>
      <c r="L12952" s="23" t="s">
        <v>8</v>
      </c>
      <c r="M12952" s="23" t="s">
        <v>8</v>
      </c>
    </row>
    <row r="12953" spans="1:13" s="21" customFormat="1" x14ac:dyDescent="0.25">
      <c r="A12953" s="22" t="s">
        <v>8</v>
      </c>
      <c r="B12953" s="18" t="s">
        <v>15428</v>
      </c>
      <c r="C12953" s="19" t="s">
        <v>12731</v>
      </c>
      <c r="D12953" s="19" t="s">
        <v>28353</v>
      </c>
      <c r="E12953" s="19" t="s">
        <v>32573</v>
      </c>
      <c r="F12953" s="19" t="s">
        <v>36021</v>
      </c>
      <c r="G12953" s="18" t="str">
        <f>"23847"</f>
        <v>23847</v>
      </c>
      <c r="H12953" s="19" t="s">
        <v>36850</v>
      </c>
      <c r="I12953" s="20">
        <v>19.152000000000001</v>
      </c>
      <c r="J12953" s="44" t="s">
        <v>8</v>
      </c>
      <c r="K12953" s="23" t="s">
        <v>8</v>
      </c>
      <c r="L12953" s="23" t="s">
        <v>8</v>
      </c>
      <c r="M12953" s="23" t="s">
        <v>8</v>
      </c>
    </row>
    <row r="12954" spans="1:13" s="21" customFormat="1" x14ac:dyDescent="0.25">
      <c r="A12954" s="22" t="s">
        <v>8</v>
      </c>
      <c r="B12954" s="18" t="s">
        <v>15429</v>
      </c>
      <c r="C12954" s="19" t="s">
        <v>12732</v>
      </c>
      <c r="D12954" s="19" t="s">
        <v>28354</v>
      </c>
      <c r="E12954" s="19" t="s">
        <v>35363</v>
      </c>
      <c r="F12954" s="19" t="s">
        <v>36021</v>
      </c>
      <c r="G12954" s="18" t="str">
        <f>"24382"</f>
        <v>24382</v>
      </c>
      <c r="H12954" s="19" t="s">
        <v>36851</v>
      </c>
      <c r="I12954" s="20">
        <v>19.312999999999999</v>
      </c>
      <c r="J12954" s="44" t="s">
        <v>8</v>
      </c>
      <c r="K12954" s="23" t="s">
        <v>8</v>
      </c>
      <c r="L12954" s="23" t="s">
        <v>8</v>
      </c>
      <c r="M12954" s="23" t="s">
        <v>8</v>
      </c>
    </row>
    <row r="12955" spans="1:13" s="21" customFormat="1" x14ac:dyDescent="0.25">
      <c r="A12955" s="22" t="s">
        <v>8</v>
      </c>
      <c r="B12955" s="18" t="s">
        <v>15430</v>
      </c>
      <c r="C12955" s="19" t="s">
        <v>12733</v>
      </c>
      <c r="D12955" s="19" t="s">
        <v>28355</v>
      </c>
      <c r="E12955" s="19" t="s">
        <v>35364</v>
      </c>
      <c r="F12955" s="19" t="s">
        <v>36021</v>
      </c>
      <c r="G12955" s="18" t="str">
        <f>"24333"</f>
        <v>24333</v>
      </c>
      <c r="H12955" s="19" t="s">
        <v>36852</v>
      </c>
      <c r="I12955" s="20">
        <v>19.018000000000001</v>
      </c>
      <c r="J12955" s="44" t="s">
        <v>8</v>
      </c>
      <c r="K12955" s="23" t="s">
        <v>8</v>
      </c>
      <c r="L12955" s="23" t="s">
        <v>8</v>
      </c>
      <c r="M12955" s="23" t="s">
        <v>8</v>
      </c>
    </row>
    <row r="12956" spans="1:13" s="21" customFormat="1" x14ac:dyDescent="0.25">
      <c r="A12956" s="22" t="s">
        <v>8</v>
      </c>
      <c r="B12956" s="18" t="s">
        <v>15431</v>
      </c>
      <c r="C12956" s="19" t="s">
        <v>12734</v>
      </c>
      <c r="D12956" s="19" t="s">
        <v>28356</v>
      </c>
      <c r="E12956" s="19" t="s">
        <v>35147</v>
      </c>
      <c r="F12956" s="19" t="s">
        <v>36021</v>
      </c>
      <c r="G12956" s="18" t="str">
        <f>"24651"</f>
        <v>24651</v>
      </c>
      <c r="H12956" s="19" t="s">
        <v>35147</v>
      </c>
      <c r="I12956" s="20">
        <v>18.995000000000001</v>
      </c>
      <c r="J12956" s="44" t="s">
        <v>8</v>
      </c>
      <c r="K12956" s="23" t="s">
        <v>8</v>
      </c>
      <c r="L12956" s="23" t="s">
        <v>8</v>
      </c>
      <c r="M12956" s="23" t="s">
        <v>8</v>
      </c>
    </row>
    <row r="12957" spans="1:13" s="21" customFormat="1" x14ac:dyDescent="0.25">
      <c r="A12957" s="22" t="s">
        <v>8</v>
      </c>
      <c r="B12957" s="18" t="str">
        <f>"495002"</f>
        <v>495002</v>
      </c>
      <c r="C12957" s="19" t="s">
        <v>12735</v>
      </c>
      <c r="D12957" s="19" t="s">
        <v>28357</v>
      </c>
      <c r="E12957" s="19" t="s">
        <v>30859</v>
      </c>
      <c r="F12957" s="19" t="s">
        <v>36021</v>
      </c>
      <c r="G12957" s="18" t="str">
        <f>"24014"</f>
        <v>24014</v>
      </c>
      <c r="H12957" s="19" t="s">
        <v>36853</v>
      </c>
      <c r="I12957" s="20">
        <v>17.087</v>
      </c>
      <c r="J12957" s="44" t="s">
        <v>8</v>
      </c>
      <c r="K12957" s="23" t="s">
        <v>8</v>
      </c>
      <c r="L12957" s="23" t="s">
        <v>8</v>
      </c>
      <c r="M12957" s="23" t="s">
        <v>8</v>
      </c>
    </row>
    <row r="12958" spans="1:13" s="21" customFormat="1" x14ac:dyDescent="0.25">
      <c r="A12958" s="22" t="s">
        <v>8</v>
      </c>
      <c r="B12958" s="18" t="str">
        <f>"495011"</f>
        <v>495011</v>
      </c>
      <c r="C12958" s="19" t="s">
        <v>12736</v>
      </c>
      <c r="D12958" s="19" t="s">
        <v>28358</v>
      </c>
      <c r="E12958" s="19" t="s">
        <v>32288</v>
      </c>
      <c r="F12958" s="19" t="s">
        <v>36021</v>
      </c>
      <c r="G12958" s="18" t="str">
        <f>"22308"</f>
        <v>22308</v>
      </c>
      <c r="H12958" s="19" t="s">
        <v>33392</v>
      </c>
      <c r="I12958" s="20">
        <v>18.065000000000001</v>
      </c>
      <c r="J12958" s="44" t="s">
        <v>8</v>
      </c>
      <c r="K12958" s="23" t="s">
        <v>8</v>
      </c>
      <c r="L12958" s="23" t="s">
        <v>8</v>
      </c>
      <c r="M12958" s="23" t="s">
        <v>8</v>
      </c>
    </row>
    <row r="12959" spans="1:13" s="21" customFormat="1" x14ac:dyDescent="0.25">
      <c r="A12959" s="22" t="s">
        <v>8</v>
      </c>
      <c r="B12959" s="18" t="str">
        <f>"495013"</f>
        <v>495013</v>
      </c>
      <c r="C12959" s="19" t="s">
        <v>12737</v>
      </c>
      <c r="D12959" s="19" t="s">
        <v>28359</v>
      </c>
      <c r="E12959" s="19" t="s">
        <v>31038</v>
      </c>
      <c r="F12959" s="19" t="s">
        <v>36021</v>
      </c>
      <c r="G12959" s="18" t="str">
        <f>"24153"</f>
        <v>24153</v>
      </c>
      <c r="H12959" s="19" t="s">
        <v>36854</v>
      </c>
      <c r="I12959" s="20">
        <v>18.678000000000001</v>
      </c>
      <c r="J12959" s="44" t="s">
        <v>8</v>
      </c>
      <c r="K12959" s="23" t="s">
        <v>8</v>
      </c>
      <c r="L12959" s="23" t="s">
        <v>8</v>
      </c>
      <c r="M12959" s="23" t="s">
        <v>8</v>
      </c>
    </row>
    <row r="12960" spans="1:13" s="21" customFormat="1" x14ac:dyDescent="0.25">
      <c r="A12960" s="22" t="s">
        <v>8</v>
      </c>
      <c r="B12960" s="18" t="str">
        <f>"495015"</f>
        <v>495015</v>
      </c>
      <c r="C12960" s="19" t="s">
        <v>12738</v>
      </c>
      <c r="D12960" s="19" t="s">
        <v>28360</v>
      </c>
      <c r="E12960" s="19" t="s">
        <v>30981</v>
      </c>
      <c r="F12960" s="19" t="s">
        <v>36021</v>
      </c>
      <c r="G12960" s="18" t="str">
        <f>"24540"</f>
        <v>24540</v>
      </c>
      <c r="H12960" s="19" t="s">
        <v>36855</v>
      </c>
      <c r="I12960" s="20">
        <v>22.219000000000001</v>
      </c>
      <c r="J12960" s="44" t="s">
        <v>8</v>
      </c>
      <c r="K12960" s="23" t="s">
        <v>8</v>
      </c>
      <c r="L12960" s="23" t="s">
        <v>8</v>
      </c>
      <c r="M12960" s="23" t="s">
        <v>8</v>
      </c>
    </row>
    <row r="12961" spans="1:13" s="21" customFormat="1" x14ac:dyDescent="0.25">
      <c r="A12961" s="22" t="s">
        <v>8</v>
      </c>
      <c r="B12961" s="18" t="str">
        <f>"495019"</f>
        <v>495019</v>
      </c>
      <c r="C12961" s="19" t="s">
        <v>12739</v>
      </c>
      <c r="D12961" s="19" t="s">
        <v>28361</v>
      </c>
      <c r="E12961" s="19" t="s">
        <v>32288</v>
      </c>
      <c r="F12961" s="19" t="s">
        <v>36021</v>
      </c>
      <c r="G12961" s="18" t="str">
        <f>"22302"</f>
        <v>22302</v>
      </c>
      <c r="H12961" s="19" t="s">
        <v>36856</v>
      </c>
      <c r="I12961" s="20">
        <v>20.704000000000001</v>
      </c>
      <c r="J12961" s="44" t="s">
        <v>8</v>
      </c>
      <c r="K12961" s="23" t="s">
        <v>8</v>
      </c>
      <c r="L12961" s="23" t="s">
        <v>8</v>
      </c>
      <c r="M12961" s="23" t="s">
        <v>8</v>
      </c>
    </row>
    <row r="12962" spans="1:13" s="21" customFormat="1" x14ac:dyDescent="0.25">
      <c r="A12962" s="22" t="s">
        <v>8</v>
      </c>
      <c r="B12962" s="18" t="str">
        <f>"495034"</f>
        <v>495034</v>
      </c>
      <c r="C12962" s="19" t="s">
        <v>12740</v>
      </c>
      <c r="D12962" s="19" t="s">
        <v>28362</v>
      </c>
      <c r="E12962" s="19" t="s">
        <v>32692</v>
      </c>
      <c r="F12962" s="19" t="s">
        <v>36021</v>
      </c>
      <c r="G12962" s="18" t="str">
        <f>"24450"</f>
        <v>24450</v>
      </c>
      <c r="H12962" s="19" t="s">
        <v>36857</v>
      </c>
      <c r="I12962" s="20">
        <v>18.719000000000001</v>
      </c>
      <c r="J12962" s="44" t="s">
        <v>8</v>
      </c>
      <c r="K12962" s="23" t="s">
        <v>8</v>
      </c>
      <c r="L12962" s="23" t="s">
        <v>8</v>
      </c>
      <c r="M12962" s="23" t="s">
        <v>8</v>
      </c>
    </row>
    <row r="12963" spans="1:13" s="21" customFormat="1" x14ac:dyDescent="0.25">
      <c r="A12963" s="22" t="s">
        <v>8</v>
      </c>
      <c r="B12963" s="18" t="str">
        <f>"495038"</f>
        <v>495038</v>
      </c>
      <c r="C12963" s="19" t="s">
        <v>12741</v>
      </c>
      <c r="D12963" s="19" t="s">
        <v>28363</v>
      </c>
      <c r="E12963" s="19" t="s">
        <v>35365</v>
      </c>
      <c r="F12963" s="19" t="s">
        <v>36021</v>
      </c>
      <c r="G12963" s="18" t="str">
        <f>"20109"</f>
        <v>20109</v>
      </c>
      <c r="H12963" s="19" t="s">
        <v>36858</v>
      </c>
      <c r="I12963" s="20">
        <v>18.399000000000001</v>
      </c>
      <c r="J12963" s="44" t="s">
        <v>8</v>
      </c>
      <c r="K12963" s="23" t="s">
        <v>8</v>
      </c>
      <c r="L12963" s="23" t="s">
        <v>8</v>
      </c>
      <c r="M12963" s="23" t="s">
        <v>8</v>
      </c>
    </row>
    <row r="12964" spans="1:13" s="21" customFormat="1" x14ac:dyDescent="0.25">
      <c r="A12964" s="22" t="s">
        <v>8</v>
      </c>
      <c r="B12964" s="18" t="str">
        <f>"495045"</f>
        <v>495045</v>
      </c>
      <c r="C12964" s="19" t="s">
        <v>12742</v>
      </c>
      <c r="D12964" s="19" t="s">
        <v>28364</v>
      </c>
      <c r="E12964" s="19" t="s">
        <v>31178</v>
      </c>
      <c r="F12964" s="19" t="s">
        <v>36021</v>
      </c>
      <c r="G12964" s="18" t="str">
        <f>"23228"</f>
        <v>23228</v>
      </c>
      <c r="H12964" s="19" t="s">
        <v>36859</v>
      </c>
      <c r="I12964" s="20">
        <v>20.710999999999999</v>
      </c>
      <c r="J12964" s="44" t="s">
        <v>8</v>
      </c>
      <c r="K12964" s="23" t="s">
        <v>8</v>
      </c>
      <c r="L12964" s="23" t="s">
        <v>8</v>
      </c>
      <c r="M12964" s="23" t="s">
        <v>8</v>
      </c>
    </row>
    <row r="12965" spans="1:13" s="21" customFormat="1" x14ac:dyDescent="0.25">
      <c r="A12965" s="22" t="s">
        <v>8</v>
      </c>
      <c r="B12965" s="18" t="str">
        <f>"495046"</f>
        <v>495046</v>
      </c>
      <c r="C12965" s="19" t="s">
        <v>12743</v>
      </c>
      <c r="D12965" s="19" t="s">
        <v>28365</v>
      </c>
      <c r="E12965" s="19" t="s">
        <v>32215</v>
      </c>
      <c r="F12965" s="19" t="s">
        <v>36021</v>
      </c>
      <c r="G12965" s="18" t="str">
        <f>"24523"</f>
        <v>24523</v>
      </c>
      <c r="H12965" s="19" t="s">
        <v>32215</v>
      </c>
      <c r="I12965" s="20">
        <v>15.586</v>
      </c>
      <c r="J12965" s="44" t="s">
        <v>8</v>
      </c>
      <c r="K12965" s="23" t="s">
        <v>8</v>
      </c>
      <c r="L12965" s="23" t="s">
        <v>8</v>
      </c>
      <c r="M12965" s="23" t="s">
        <v>8</v>
      </c>
    </row>
    <row r="12966" spans="1:13" s="21" customFormat="1" x14ac:dyDescent="0.25">
      <c r="A12966" s="22" t="s">
        <v>8</v>
      </c>
      <c r="B12966" s="18" t="str">
        <f>"495057"</f>
        <v>495057</v>
      </c>
      <c r="C12966" s="19" t="s">
        <v>12744</v>
      </c>
      <c r="D12966" s="19" t="s">
        <v>28366</v>
      </c>
      <c r="E12966" s="19" t="s">
        <v>32288</v>
      </c>
      <c r="F12966" s="19" t="s">
        <v>36021</v>
      </c>
      <c r="G12966" s="18" t="str">
        <f>"22311"</f>
        <v>22311</v>
      </c>
      <c r="H12966" s="19" t="s">
        <v>36856</v>
      </c>
      <c r="I12966" s="20">
        <v>18.128</v>
      </c>
      <c r="J12966" s="44" t="s">
        <v>8</v>
      </c>
      <c r="K12966" s="23" t="s">
        <v>8</v>
      </c>
      <c r="L12966" s="23" t="s">
        <v>8</v>
      </c>
      <c r="M12966" s="23" t="s">
        <v>8</v>
      </c>
    </row>
    <row r="12967" spans="1:13" s="21" customFormat="1" x14ac:dyDescent="0.25">
      <c r="A12967" s="22" t="s">
        <v>8</v>
      </c>
      <c r="B12967" s="18" t="str">
        <f>"495068"</f>
        <v>495068</v>
      </c>
      <c r="C12967" s="19" t="s">
        <v>12745</v>
      </c>
      <c r="D12967" s="19" t="s">
        <v>28367</v>
      </c>
      <c r="E12967" s="19" t="s">
        <v>33776</v>
      </c>
      <c r="F12967" s="19" t="s">
        <v>36021</v>
      </c>
      <c r="G12967" s="18" t="str">
        <f>"23507"</f>
        <v>23507</v>
      </c>
      <c r="H12967" s="19" t="s">
        <v>36860</v>
      </c>
      <c r="I12967" s="20">
        <v>18.061</v>
      </c>
      <c r="J12967" s="44" t="s">
        <v>8</v>
      </c>
      <c r="K12967" s="23" t="s">
        <v>8</v>
      </c>
      <c r="L12967" s="23" t="s">
        <v>8</v>
      </c>
      <c r="M12967" s="23" t="s">
        <v>8</v>
      </c>
    </row>
    <row r="12968" spans="1:13" s="21" customFormat="1" x14ac:dyDescent="0.25">
      <c r="A12968" s="22" t="s">
        <v>8</v>
      </c>
      <c r="B12968" s="18" t="str">
        <f>"495071"</f>
        <v>495071</v>
      </c>
      <c r="C12968" s="19" t="s">
        <v>12746</v>
      </c>
      <c r="D12968" s="19" t="s">
        <v>28368</v>
      </c>
      <c r="E12968" s="19" t="s">
        <v>35366</v>
      </c>
      <c r="F12968" s="19" t="s">
        <v>36021</v>
      </c>
      <c r="G12968" s="18" t="str">
        <f>"23602"</f>
        <v>23602</v>
      </c>
      <c r="H12968" s="19" t="s">
        <v>36861</v>
      </c>
      <c r="I12968" s="20">
        <v>18.683</v>
      </c>
      <c r="J12968" s="44" t="s">
        <v>8</v>
      </c>
      <c r="K12968" s="23" t="s">
        <v>8</v>
      </c>
      <c r="L12968" s="23" t="s">
        <v>8</v>
      </c>
      <c r="M12968" s="23" t="s">
        <v>8</v>
      </c>
    </row>
    <row r="12969" spans="1:13" s="21" customFormat="1" x14ac:dyDescent="0.25">
      <c r="A12969" s="22" t="s">
        <v>8</v>
      </c>
      <c r="B12969" s="18" t="str">
        <f>"495077"</f>
        <v>495077</v>
      </c>
      <c r="C12969" s="19" t="s">
        <v>12747</v>
      </c>
      <c r="D12969" s="19" t="s">
        <v>28369</v>
      </c>
      <c r="E12969" s="19" t="s">
        <v>35173</v>
      </c>
      <c r="F12969" s="19" t="s">
        <v>36021</v>
      </c>
      <c r="G12969" s="18" t="str">
        <f>"24501"</f>
        <v>24501</v>
      </c>
      <c r="H12969" s="19" t="s">
        <v>36862</v>
      </c>
      <c r="I12969" s="20">
        <v>18.228000000000002</v>
      </c>
      <c r="J12969" s="44" t="s">
        <v>8</v>
      </c>
      <c r="K12969" s="23" t="s">
        <v>8</v>
      </c>
      <c r="L12969" s="23" t="s">
        <v>8</v>
      </c>
      <c r="M12969" s="23" t="s">
        <v>8</v>
      </c>
    </row>
    <row r="12970" spans="1:13" s="21" customFormat="1" x14ac:dyDescent="0.25">
      <c r="A12970" s="22" t="s">
        <v>8</v>
      </c>
      <c r="B12970" s="18" t="str">
        <f>"495079"</f>
        <v>495079</v>
      </c>
      <c r="C12970" s="19" t="s">
        <v>12748</v>
      </c>
      <c r="D12970" s="19" t="s">
        <v>28370</v>
      </c>
      <c r="E12970" s="19" t="s">
        <v>32311</v>
      </c>
      <c r="F12970" s="19" t="s">
        <v>36021</v>
      </c>
      <c r="G12970" s="18" t="str">
        <f>"23832"</f>
        <v>23832</v>
      </c>
      <c r="H12970" s="19" t="s">
        <v>32311</v>
      </c>
      <c r="I12970" s="20">
        <v>17.576000000000001</v>
      </c>
      <c r="J12970" s="44" t="s">
        <v>8</v>
      </c>
      <c r="K12970" s="23" t="s">
        <v>8</v>
      </c>
      <c r="L12970" s="23" t="s">
        <v>8</v>
      </c>
      <c r="M12970" s="23" t="s">
        <v>8</v>
      </c>
    </row>
    <row r="12971" spans="1:13" s="21" customFormat="1" x14ac:dyDescent="0.25">
      <c r="A12971" s="22" t="s">
        <v>8</v>
      </c>
      <c r="B12971" s="18" t="str">
        <f>"495085"</f>
        <v>495085</v>
      </c>
      <c r="C12971" s="19" t="s">
        <v>12749</v>
      </c>
      <c r="D12971" s="19" t="s">
        <v>28371</v>
      </c>
      <c r="E12971" s="19" t="s">
        <v>35367</v>
      </c>
      <c r="F12971" s="19" t="s">
        <v>36021</v>
      </c>
      <c r="G12971" s="18" t="str">
        <f>"23860"</f>
        <v>23860</v>
      </c>
      <c r="H12971" s="19" t="s">
        <v>36863</v>
      </c>
      <c r="I12971" s="20">
        <v>19.311</v>
      </c>
      <c r="J12971" s="44" t="s">
        <v>8</v>
      </c>
      <c r="K12971" s="23" t="s">
        <v>8</v>
      </c>
      <c r="L12971" s="23" t="s">
        <v>8</v>
      </c>
      <c r="M12971" s="23" t="s">
        <v>8</v>
      </c>
    </row>
    <row r="12972" spans="1:13" s="21" customFormat="1" x14ac:dyDescent="0.25">
      <c r="A12972" s="22" t="s">
        <v>8</v>
      </c>
      <c r="B12972" s="18" t="str">
        <f>"495086"</f>
        <v>495086</v>
      </c>
      <c r="C12972" s="19" t="s">
        <v>12750</v>
      </c>
      <c r="D12972" s="19" t="s">
        <v>28372</v>
      </c>
      <c r="E12972" s="19" t="s">
        <v>35368</v>
      </c>
      <c r="F12972" s="19" t="s">
        <v>36021</v>
      </c>
      <c r="G12972" s="18" t="str">
        <f>"23454"</f>
        <v>23454</v>
      </c>
      <c r="H12972" s="19" t="s">
        <v>36864</v>
      </c>
      <c r="I12972" s="20">
        <v>19.312999999999999</v>
      </c>
      <c r="J12972" s="44" t="s">
        <v>8</v>
      </c>
      <c r="K12972" s="23" t="s">
        <v>8</v>
      </c>
      <c r="L12972" s="23" t="s">
        <v>8</v>
      </c>
      <c r="M12972" s="23" t="s">
        <v>8</v>
      </c>
    </row>
    <row r="12973" spans="1:13" s="21" customFormat="1" x14ac:dyDescent="0.25">
      <c r="A12973" s="22" t="s">
        <v>8</v>
      </c>
      <c r="B12973" s="18" t="str">
        <f>"495087"</f>
        <v>495087</v>
      </c>
      <c r="C12973" s="19" t="s">
        <v>12751</v>
      </c>
      <c r="D12973" s="19" t="s">
        <v>28373</v>
      </c>
      <c r="E12973" s="19" t="s">
        <v>31038</v>
      </c>
      <c r="F12973" s="19" t="s">
        <v>36021</v>
      </c>
      <c r="G12973" s="18" t="str">
        <f>"24153"</f>
        <v>24153</v>
      </c>
      <c r="H12973" s="19" t="s">
        <v>36854</v>
      </c>
      <c r="I12973" s="20">
        <v>16.498999999999999</v>
      </c>
      <c r="J12973" s="44" t="s">
        <v>8</v>
      </c>
      <c r="K12973" s="23" t="s">
        <v>8</v>
      </c>
      <c r="L12973" s="23" t="s">
        <v>8</v>
      </c>
      <c r="M12973" s="23" t="s">
        <v>8</v>
      </c>
    </row>
    <row r="12974" spans="1:13" s="21" customFormat="1" x14ac:dyDescent="0.25">
      <c r="A12974" s="22" t="s">
        <v>8</v>
      </c>
      <c r="B12974" s="18" t="str">
        <f>"495092"</f>
        <v>495092</v>
      </c>
      <c r="C12974" s="19" t="s">
        <v>12752</v>
      </c>
      <c r="D12974" s="19" t="s">
        <v>28374</v>
      </c>
      <c r="E12974" s="19" t="s">
        <v>30859</v>
      </c>
      <c r="F12974" s="19" t="s">
        <v>36021</v>
      </c>
      <c r="G12974" s="18" t="str">
        <f>"24012"</f>
        <v>24012</v>
      </c>
      <c r="H12974" s="19" t="s">
        <v>36853</v>
      </c>
      <c r="I12974" s="20">
        <v>18.571000000000002</v>
      </c>
      <c r="J12974" s="44" t="s">
        <v>8</v>
      </c>
      <c r="K12974" s="23" t="s">
        <v>8</v>
      </c>
      <c r="L12974" s="23" t="s">
        <v>8</v>
      </c>
      <c r="M12974" s="23" t="s">
        <v>8</v>
      </c>
    </row>
    <row r="12975" spans="1:13" s="21" customFormat="1" x14ac:dyDescent="0.25">
      <c r="A12975" s="22" t="s">
        <v>8</v>
      </c>
      <c r="B12975" s="18" t="str">
        <f>"495093"</f>
        <v>495093</v>
      </c>
      <c r="C12975" s="19" t="s">
        <v>12753</v>
      </c>
      <c r="D12975" s="19" t="s">
        <v>28375</v>
      </c>
      <c r="E12975" s="19" t="s">
        <v>35369</v>
      </c>
      <c r="F12975" s="19" t="s">
        <v>36021</v>
      </c>
      <c r="G12975" s="18" t="str">
        <f>"22801"</f>
        <v>22801</v>
      </c>
      <c r="H12975" s="19" t="s">
        <v>36865</v>
      </c>
      <c r="I12975" s="20">
        <v>20.626000000000001</v>
      </c>
      <c r="J12975" s="44" t="s">
        <v>8</v>
      </c>
      <c r="K12975" s="23" t="s">
        <v>8</v>
      </c>
      <c r="L12975" s="23" t="s">
        <v>8</v>
      </c>
      <c r="M12975" s="23" t="s">
        <v>8</v>
      </c>
    </row>
    <row r="12976" spans="1:13" s="21" customFormat="1" x14ac:dyDescent="0.25">
      <c r="A12976" s="22" t="s">
        <v>8</v>
      </c>
      <c r="B12976" s="18" t="str">
        <f>"495096"</f>
        <v>495096</v>
      </c>
      <c r="C12976" s="19" t="s">
        <v>12754</v>
      </c>
      <c r="D12976" s="19" t="s">
        <v>28376</v>
      </c>
      <c r="E12976" s="19" t="s">
        <v>31178</v>
      </c>
      <c r="F12976" s="19" t="s">
        <v>36021</v>
      </c>
      <c r="G12976" s="18" t="str">
        <f>"23227"</f>
        <v>23227</v>
      </c>
      <c r="H12976" s="19" t="s">
        <v>36859</v>
      </c>
      <c r="I12976" s="20">
        <v>16.818000000000001</v>
      </c>
      <c r="J12976" s="44" t="s">
        <v>8</v>
      </c>
      <c r="K12976" s="23" t="s">
        <v>8</v>
      </c>
      <c r="L12976" s="23" t="s">
        <v>8</v>
      </c>
      <c r="M12976" s="23" t="s">
        <v>8</v>
      </c>
    </row>
    <row r="12977" spans="1:13" s="21" customFormat="1" x14ac:dyDescent="0.25">
      <c r="A12977" s="22" t="s">
        <v>8</v>
      </c>
      <c r="B12977" s="18" t="str">
        <f>"495097"</f>
        <v>495097</v>
      </c>
      <c r="C12977" s="19" t="s">
        <v>12755</v>
      </c>
      <c r="D12977" s="19" t="s">
        <v>28377</v>
      </c>
      <c r="E12977" s="19" t="s">
        <v>31178</v>
      </c>
      <c r="F12977" s="19" t="s">
        <v>36021</v>
      </c>
      <c r="G12977" s="18" t="str">
        <f>"23228"</f>
        <v>23228</v>
      </c>
      <c r="H12977" s="19" t="s">
        <v>36859</v>
      </c>
      <c r="I12977" s="20">
        <v>17.451000000000001</v>
      </c>
      <c r="J12977" s="44" t="s">
        <v>8</v>
      </c>
      <c r="K12977" s="23" t="s">
        <v>8</v>
      </c>
      <c r="L12977" s="23" t="s">
        <v>8</v>
      </c>
      <c r="M12977" s="23" t="s">
        <v>8</v>
      </c>
    </row>
    <row r="12978" spans="1:13" s="21" customFormat="1" x14ac:dyDescent="0.25">
      <c r="A12978" s="22" t="s">
        <v>8</v>
      </c>
      <c r="B12978" s="18" t="str">
        <f>"495099"</f>
        <v>495099</v>
      </c>
      <c r="C12978" s="19" t="s">
        <v>12756</v>
      </c>
      <c r="D12978" s="19" t="s">
        <v>28378</v>
      </c>
      <c r="E12978" s="19" t="s">
        <v>33392</v>
      </c>
      <c r="F12978" s="19" t="s">
        <v>36021</v>
      </c>
      <c r="G12978" s="18" t="str">
        <f>"22030"</f>
        <v>22030</v>
      </c>
      <c r="H12978" s="19" t="s">
        <v>36866</v>
      </c>
      <c r="I12978" s="20">
        <v>21.898</v>
      </c>
      <c r="J12978" s="44" t="s">
        <v>8</v>
      </c>
      <c r="K12978" s="23" t="s">
        <v>8</v>
      </c>
      <c r="L12978" s="23" t="s">
        <v>8</v>
      </c>
      <c r="M12978" s="23" t="s">
        <v>8</v>
      </c>
    </row>
    <row r="12979" spans="1:13" s="21" customFormat="1" x14ac:dyDescent="0.25">
      <c r="A12979" s="22" t="s">
        <v>8</v>
      </c>
      <c r="B12979" s="18" t="str">
        <f>"495102"</f>
        <v>495102</v>
      </c>
      <c r="C12979" s="19" t="s">
        <v>12757</v>
      </c>
      <c r="D12979" s="19" t="s">
        <v>28379</v>
      </c>
      <c r="E12979" s="19" t="s">
        <v>33116</v>
      </c>
      <c r="F12979" s="19" t="s">
        <v>36021</v>
      </c>
      <c r="G12979" s="18" t="str">
        <f>"22204"</f>
        <v>22204</v>
      </c>
      <c r="H12979" s="19" t="s">
        <v>33116</v>
      </c>
      <c r="I12979" s="20">
        <v>19.274999999999999</v>
      </c>
      <c r="J12979" s="44" t="s">
        <v>8</v>
      </c>
      <c r="K12979" s="23" t="s">
        <v>8</v>
      </c>
      <c r="L12979" s="23" t="s">
        <v>8</v>
      </c>
      <c r="M12979" s="23" t="s">
        <v>8</v>
      </c>
    </row>
    <row r="12980" spans="1:13" s="21" customFormat="1" x14ac:dyDescent="0.25">
      <c r="A12980" s="22" t="s">
        <v>8</v>
      </c>
      <c r="B12980" s="18" t="str">
        <f>"495105"</f>
        <v>495105</v>
      </c>
      <c r="C12980" s="19" t="s">
        <v>12758</v>
      </c>
      <c r="D12980" s="19" t="s">
        <v>28380</v>
      </c>
      <c r="E12980" s="19" t="s">
        <v>35173</v>
      </c>
      <c r="F12980" s="19" t="s">
        <v>36021</v>
      </c>
      <c r="G12980" s="18" t="str">
        <f>"24502"</f>
        <v>24502</v>
      </c>
      <c r="H12980" s="19" t="s">
        <v>36862</v>
      </c>
      <c r="I12980" s="20">
        <v>19.948</v>
      </c>
      <c r="J12980" s="44" t="s">
        <v>8</v>
      </c>
      <c r="K12980" s="23" t="s">
        <v>8</v>
      </c>
      <c r="L12980" s="23" t="s">
        <v>8</v>
      </c>
      <c r="M12980" s="23" t="s">
        <v>8</v>
      </c>
    </row>
    <row r="12981" spans="1:13" s="21" customFormat="1" x14ac:dyDescent="0.25">
      <c r="A12981" s="22" t="s">
        <v>8</v>
      </c>
      <c r="B12981" s="18" t="str">
        <f>"495107"</f>
        <v>495107</v>
      </c>
      <c r="C12981" s="19" t="s">
        <v>12759</v>
      </c>
      <c r="D12981" s="19" t="s">
        <v>28381</v>
      </c>
      <c r="E12981" s="19" t="s">
        <v>30981</v>
      </c>
      <c r="F12981" s="19" t="s">
        <v>36021</v>
      </c>
      <c r="G12981" s="18" t="str">
        <f>"24540"</f>
        <v>24540</v>
      </c>
      <c r="H12981" s="19" t="s">
        <v>36855</v>
      </c>
      <c r="I12981" s="20">
        <v>17.388999999999999</v>
      </c>
      <c r="J12981" s="44" t="s">
        <v>8</v>
      </c>
      <c r="K12981" s="23" t="s">
        <v>8</v>
      </c>
      <c r="L12981" s="23" t="s">
        <v>8</v>
      </c>
      <c r="M12981" s="23" t="s">
        <v>8</v>
      </c>
    </row>
    <row r="12982" spans="1:13" s="21" customFormat="1" x14ac:dyDescent="0.25">
      <c r="A12982" s="22" t="s">
        <v>8</v>
      </c>
      <c r="B12982" s="18" t="str">
        <f>"495108"</f>
        <v>495108</v>
      </c>
      <c r="C12982" s="19" t="s">
        <v>12760</v>
      </c>
      <c r="D12982" s="19" t="s">
        <v>28382</v>
      </c>
      <c r="E12982" s="19" t="s">
        <v>35370</v>
      </c>
      <c r="F12982" s="19" t="s">
        <v>36021</v>
      </c>
      <c r="G12982" s="18" t="str">
        <f>"23320"</f>
        <v>23320</v>
      </c>
      <c r="H12982" s="19" t="s">
        <v>36867</v>
      </c>
      <c r="I12982" s="20">
        <v>21.298999999999999</v>
      </c>
      <c r="J12982" s="44" t="s">
        <v>8</v>
      </c>
      <c r="K12982" s="23" t="s">
        <v>8</v>
      </c>
      <c r="L12982" s="23" t="s">
        <v>8</v>
      </c>
      <c r="M12982" s="23" t="s">
        <v>8</v>
      </c>
    </row>
    <row r="12983" spans="1:13" s="21" customFormat="1" x14ac:dyDescent="0.25">
      <c r="A12983" s="22" t="s">
        <v>8</v>
      </c>
      <c r="B12983" s="18" t="str">
        <f>"495109"</f>
        <v>495109</v>
      </c>
      <c r="C12983" s="19" t="s">
        <v>12761</v>
      </c>
      <c r="D12983" s="19" t="s">
        <v>28383</v>
      </c>
      <c r="E12983" s="19" t="s">
        <v>31178</v>
      </c>
      <c r="F12983" s="19" t="s">
        <v>36021</v>
      </c>
      <c r="G12983" s="18" t="str">
        <f>"23233"</f>
        <v>23233</v>
      </c>
      <c r="H12983" s="19" t="s">
        <v>36859</v>
      </c>
      <c r="I12983" s="20">
        <v>20.763999999999999</v>
      </c>
      <c r="J12983" s="44" t="s">
        <v>8</v>
      </c>
      <c r="K12983" s="23" t="s">
        <v>8</v>
      </c>
      <c r="L12983" s="23" t="s">
        <v>8</v>
      </c>
      <c r="M12983" s="23" t="s">
        <v>8</v>
      </c>
    </row>
    <row r="12984" spans="1:13" s="21" customFormat="1" x14ac:dyDescent="0.25">
      <c r="A12984" s="22" t="s">
        <v>8</v>
      </c>
      <c r="B12984" s="18" t="str">
        <f>"495112"</f>
        <v>495112</v>
      </c>
      <c r="C12984" s="19" t="s">
        <v>12762</v>
      </c>
      <c r="D12984" s="19" t="s">
        <v>28384</v>
      </c>
      <c r="E12984" s="19" t="s">
        <v>35173</v>
      </c>
      <c r="F12984" s="19" t="s">
        <v>36021</v>
      </c>
      <c r="G12984" s="18" t="str">
        <f>"24503"</f>
        <v>24503</v>
      </c>
      <c r="H12984" s="19" t="s">
        <v>36862</v>
      </c>
      <c r="I12984" s="20">
        <v>19.094000000000001</v>
      </c>
      <c r="J12984" s="44" t="s">
        <v>8</v>
      </c>
      <c r="K12984" s="23" t="s">
        <v>8</v>
      </c>
      <c r="L12984" s="23" t="s">
        <v>8</v>
      </c>
      <c r="M12984" s="23" t="s">
        <v>8</v>
      </c>
    </row>
    <row r="12985" spans="1:13" s="21" customFormat="1" x14ac:dyDescent="0.25">
      <c r="A12985" s="22" t="s">
        <v>8</v>
      </c>
      <c r="B12985" s="18" t="str">
        <f>"495113"</f>
        <v>495113</v>
      </c>
      <c r="C12985" s="19" t="s">
        <v>12763</v>
      </c>
      <c r="D12985" s="19" t="s">
        <v>28385</v>
      </c>
      <c r="E12985" s="19" t="s">
        <v>32165</v>
      </c>
      <c r="F12985" s="19" t="s">
        <v>36021</v>
      </c>
      <c r="G12985" s="18" t="str">
        <f>"23803"</f>
        <v>23803</v>
      </c>
      <c r="H12985" s="19" t="s">
        <v>36868</v>
      </c>
      <c r="I12985" s="20">
        <v>18.311</v>
      </c>
      <c r="J12985" s="44" t="s">
        <v>8</v>
      </c>
      <c r="K12985" s="23" t="s">
        <v>8</v>
      </c>
      <c r="L12985" s="23" t="s">
        <v>8</v>
      </c>
      <c r="M12985" s="23" t="s">
        <v>8</v>
      </c>
    </row>
    <row r="12986" spans="1:13" s="21" customFormat="1" x14ac:dyDescent="0.25">
      <c r="A12986" s="22" t="s">
        <v>8</v>
      </c>
      <c r="B12986" s="18" t="str">
        <f>"495114"</f>
        <v>495114</v>
      </c>
      <c r="C12986" s="19" t="s">
        <v>12764</v>
      </c>
      <c r="D12986" s="19" t="s">
        <v>28386</v>
      </c>
      <c r="E12986" s="19" t="s">
        <v>33116</v>
      </c>
      <c r="F12986" s="19" t="s">
        <v>36021</v>
      </c>
      <c r="G12986" s="18" t="str">
        <f>"22202"</f>
        <v>22202</v>
      </c>
      <c r="H12986" s="19" t="s">
        <v>33116</v>
      </c>
      <c r="I12986" s="20">
        <v>16.120999999999999</v>
      </c>
      <c r="J12986" s="44" t="s">
        <v>8</v>
      </c>
      <c r="K12986" s="23" t="s">
        <v>8</v>
      </c>
      <c r="L12986" s="23" t="s">
        <v>8</v>
      </c>
      <c r="M12986" s="23" t="s">
        <v>8</v>
      </c>
    </row>
    <row r="12987" spans="1:13" s="21" customFormat="1" x14ac:dyDescent="0.25">
      <c r="A12987" s="22" t="s">
        <v>8</v>
      </c>
      <c r="B12987" s="18" t="str">
        <f>"495115"</f>
        <v>495115</v>
      </c>
      <c r="C12987" s="19" t="s">
        <v>12765</v>
      </c>
      <c r="D12987" s="19" t="s">
        <v>28387</v>
      </c>
      <c r="E12987" s="19" t="s">
        <v>5956</v>
      </c>
      <c r="F12987" s="19" t="s">
        <v>36021</v>
      </c>
      <c r="G12987" s="18" t="str">
        <f>"23834"</f>
        <v>23834</v>
      </c>
      <c r="H12987" s="19" t="s">
        <v>36869</v>
      </c>
      <c r="I12987" s="20">
        <v>21.652000000000001</v>
      </c>
      <c r="J12987" s="44" t="s">
        <v>8</v>
      </c>
      <c r="K12987" s="23" t="s">
        <v>8</v>
      </c>
      <c r="L12987" s="23" t="s">
        <v>8</v>
      </c>
      <c r="M12987" s="23" t="s">
        <v>8</v>
      </c>
    </row>
    <row r="12988" spans="1:13" s="21" customFormat="1" x14ac:dyDescent="0.25">
      <c r="A12988" s="22" t="s">
        <v>8</v>
      </c>
      <c r="B12988" s="18" t="str">
        <f>"495117"</f>
        <v>495117</v>
      </c>
      <c r="C12988" s="19" t="s">
        <v>12766</v>
      </c>
      <c r="D12988" s="19" t="s">
        <v>28388</v>
      </c>
      <c r="E12988" s="19" t="s">
        <v>33776</v>
      </c>
      <c r="F12988" s="19" t="s">
        <v>36021</v>
      </c>
      <c r="G12988" s="18" t="str">
        <f>"23502"</f>
        <v>23502</v>
      </c>
      <c r="H12988" s="19" t="s">
        <v>36860</v>
      </c>
      <c r="I12988" s="20">
        <v>19.57</v>
      </c>
      <c r="J12988" s="44" t="s">
        <v>8</v>
      </c>
      <c r="K12988" s="23" t="s">
        <v>8</v>
      </c>
      <c r="L12988" s="23" t="s">
        <v>8</v>
      </c>
      <c r="M12988" s="23" t="s">
        <v>8</v>
      </c>
    </row>
    <row r="12989" spans="1:13" s="21" customFormat="1" x14ac:dyDescent="0.25">
      <c r="A12989" s="22" t="s">
        <v>8</v>
      </c>
      <c r="B12989" s="18" t="str">
        <f>"495118"</f>
        <v>495118</v>
      </c>
      <c r="C12989" s="19" t="s">
        <v>12767</v>
      </c>
      <c r="D12989" s="19" t="s">
        <v>28389</v>
      </c>
      <c r="E12989" s="19" t="s">
        <v>34264</v>
      </c>
      <c r="F12989" s="19" t="s">
        <v>36021</v>
      </c>
      <c r="G12989" s="18" t="str">
        <f>"24151"</f>
        <v>24151</v>
      </c>
      <c r="H12989" s="19" t="s">
        <v>5</v>
      </c>
      <c r="I12989" s="20">
        <v>16.77</v>
      </c>
      <c r="J12989" s="44" t="s">
        <v>8</v>
      </c>
      <c r="K12989" s="23" t="s">
        <v>8</v>
      </c>
      <c r="L12989" s="23" t="s">
        <v>8</v>
      </c>
      <c r="M12989" s="23" t="s">
        <v>8</v>
      </c>
    </row>
    <row r="12990" spans="1:13" s="21" customFormat="1" x14ac:dyDescent="0.25">
      <c r="A12990" s="22" t="s">
        <v>8</v>
      </c>
      <c r="B12990" s="18" t="str">
        <f>"495120"</f>
        <v>495120</v>
      </c>
      <c r="C12990" s="19" t="s">
        <v>12768</v>
      </c>
      <c r="D12990" s="19" t="s">
        <v>28390</v>
      </c>
      <c r="E12990" s="19" t="s">
        <v>35173</v>
      </c>
      <c r="F12990" s="19" t="s">
        <v>36021</v>
      </c>
      <c r="G12990" s="18" t="str">
        <f>"24503"</f>
        <v>24503</v>
      </c>
      <c r="H12990" s="19" t="s">
        <v>36862</v>
      </c>
      <c r="I12990" s="20">
        <v>15.993</v>
      </c>
      <c r="J12990" s="44" t="s">
        <v>8</v>
      </c>
      <c r="K12990" s="23" t="s">
        <v>8</v>
      </c>
      <c r="L12990" s="23" t="s">
        <v>8</v>
      </c>
      <c r="M12990" s="23" t="s">
        <v>8</v>
      </c>
    </row>
    <row r="12991" spans="1:13" s="21" customFormat="1" x14ac:dyDescent="0.25">
      <c r="A12991" s="22" t="s">
        <v>8</v>
      </c>
      <c r="B12991" s="18" t="str">
        <f>"495121"</f>
        <v>495121</v>
      </c>
      <c r="C12991" s="19" t="s">
        <v>12769</v>
      </c>
      <c r="D12991" s="19" t="s">
        <v>28391</v>
      </c>
      <c r="E12991" s="19" t="s">
        <v>33116</v>
      </c>
      <c r="F12991" s="19" t="s">
        <v>36021</v>
      </c>
      <c r="G12991" s="18" t="str">
        <f>"22207"</f>
        <v>22207</v>
      </c>
      <c r="H12991" s="19" t="s">
        <v>33116</v>
      </c>
      <c r="I12991" s="20">
        <v>19.954999999999998</v>
      </c>
      <c r="J12991" s="44" t="s">
        <v>8</v>
      </c>
      <c r="K12991" s="23" t="s">
        <v>8</v>
      </c>
      <c r="L12991" s="23" t="s">
        <v>8</v>
      </c>
      <c r="M12991" s="23" t="s">
        <v>8</v>
      </c>
    </row>
    <row r="12992" spans="1:13" s="21" customFormat="1" x14ac:dyDescent="0.25">
      <c r="A12992" s="22" t="s">
        <v>8</v>
      </c>
      <c r="B12992" s="18" t="str">
        <f>"495123"</f>
        <v>495123</v>
      </c>
      <c r="C12992" s="19" t="s">
        <v>12770</v>
      </c>
      <c r="D12992" s="19" t="s">
        <v>28392</v>
      </c>
      <c r="E12992" s="19" t="s">
        <v>35367</v>
      </c>
      <c r="F12992" s="19" t="s">
        <v>36021</v>
      </c>
      <c r="G12992" s="18" t="str">
        <f>"23860"</f>
        <v>23860</v>
      </c>
      <c r="H12992" s="19" t="s">
        <v>36863</v>
      </c>
      <c r="I12992" s="20">
        <v>19.097999999999999</v>
      </c>
      <c r="J12992" s="44" t="s">
        <v>8</v>
      </c>
      <c r="K12992" s="23" t="s">
        <v>8</v>
      </c>
      <c r="L12992" s="23" t="s">
        <v>8</v>
      </c>
      <c r="M12992" s="23" t="s">
        <v>8</v>
      </c>
    </row>
    <row r="12993" spans="1:13" s="21" customFormat="1" x14ac:dyDescent="0.25">
      <c r="A12993" s="22" t="s">
        <v>8</v>
      </c>
      <c r="B12993" s="18" t="str">
        <f>"495126"</f>
        <v>495126</v>
      </c>
      <c r="C12993" s="19" t="s">
        <v>12771</v>
      </c>
      <c r="D12993" s="19" t="s">
        <v>28393</v>
      </c>
      <c r="E12993" s="19" t="s">
        <v>35364</v>
      </c>
      <c r="F12993" s="19" t="s">
        <v>36021</v>
      </c>
      <c r="G12993" s="18" t="str">
        <f>"24333"</f>
        <v>24333</v>
      </c>
      <c r="H12993" s="19" t="s">
        <v>36852</v>
      </c>
      <c r="I12993" s="20">
        <v>21.707000000000001</v>
      </c>
      <c r="J12993" s="44" t="s">
        <v>8</v>
      </c>
      <c r="K12993" s="23" t="s">
        <v>8</v>
      </c>
      <c r="L12993" s="23" t="s">
        <v>8</v>
      </c>
      <c r="M12993" s="23" t="s">
        <v>8</v>
      </c>
    </row>
    <row r="12994" spans="1:13" s="21" customFormat="1" x14ac:dyDescent="0.25">
      <c r="A12994" s="22" t="s">
        <v>8</v>
      </c>
      <c r="B12994" s="18" t="str">
        <f>"495127"</f>
        <v>495127</v>
      </c>
      <c r="C12994" s="19" t="s">
        <v>12772</v>
      </c>
      <c r="D12994" s="19" t="s">
        <v>28394</v>
      </c>
      <c r="E12994" s="19" t="s">
        <v>35368</v>
      </c>
      <c r="F12994" s="19" t="s">
        <v>36021</v>
      </c>
      <c r="G12994" s="18" t="str">
        <f>"23451"</f>
        <v>23451</v>
      </c>
      <c r="H12994" s="19" t="s">
        <v>36864</v>
      </c>
      <c r="I12994" s="20">
        <v>17.093</v>
      </c>
      <c r="J12994" s="44" t="s">
        <v>8</v>
      </c>
      <c r="K12994" s="23" t="s">
        <v>8</v>
      </c>
      <c r="L12994" s="23" t="s">
        <v>8</v>
      </c>
      <c r="M12994" s="23" t="s">
        <v>8</v>
      </c>
    </row>
    <row r="12995" spans="1:13" s="21" customFormat="1" x14ac:dyDescent="0.25">
      <c r="A12995" s="22" t="s">
        <v>8</v>
      </c>
      <c r="B12995" s="18" t="str">
        <f>"495131"</f>
        <v>495131</v>
      </c>
      <c r="C12995" s="19" t="s">
        <v>12773</v>
      </c>
      <c r="D12995" s="19" t="s">
        <v>28395</v>
      </c>
      <c r="E12995" s="19" t="s">
        <v>31434</v>
      </c>
      <c r="F12995" s="19" t="s">
        <v>36021</v>
      </c>
      <c r="G12995" s="18" t="str">
        <f>"24201"</f>
        <v>24201</v>
      </c>
      <c r="H12995" s="19" t="s">
        <v>36870</v>
      </c>
      <c r="I12995" s="20">
        <v>19.364999999999998</v>
      </c>
      <c r="J12995" s="44" t="s">
        <v>8</v>
      </c>
      <c r="K12995" s="23" t="s">
        <v>8</v>
      </c>
      <c r="L12995" s="23" t="s">
        <v>8</v>
      </c>
      <c r="M12995" s="23" t="s">
        <v>8</v>
      </c>
    </row>
    <row r="12996" spans="1:13" s="21" customFormat="1" x14ac:dyDescent="0.25">
      <c r="A12996" s="22" t="s">
        <v>8</v>
      </c>
      <c r="B12996" s="18" t="str">
        <f>"495133"</f>
        <v>495133</v>
      </c>
      <c r="C12996" s="19" t="s">
        <v>7641</v>
      </c>
      <c r="D12996" s="19" t="s">
        <v>28396</v>
      </c>
      <c r="E12996" s="19" t="s">
        <v>35371</v>
      </c>
      <c r="F12996" s="19" t="s">
        <v>36021</v>
      </c>
      <c r="G12996" s="18" t="str">
        <f>"24319"</f>
        <v>24319</v>
      </c>
      <c r="H12996" s="19" t="s">
        <v>36848</v>
      </c>
      <c r="I12996" s="20">
        <v>19.62</v>
      </c>
      <c r="J12996" s="44" t="s">
        <v>8</v>
      </c>
      <c r="K12996" s="23" t="s">
        <v>8</v>
      </c>
      <c r="L12996" s="23" t="s">
        <v>8</v>
      </c>
      <c r="M12996" s="23" t="s">
        <v>8</v>
      </c>
    </row>
    <row r="12997" spans="1:13" s="21" customFormat="1" x14ac:dyDescent="0.25">
      <c r="A12997" s="22" t="s">
        <v>8</v>
      </c>
      <c r="B12997" s="18" t="str">
        <f>"495134"</f>
        <v>495134</v>
      </c>
      <c r="C12997" s="19" t="s">
        <v>12774</v>
      </c>
      <c r="D12997" s="19" t="s">
        <v>28397</v>
      </c>
      <c r="E12997" s="19" t="s">
        <v>35372</v>
      </c>
      <c r="F12997" s="19" t="s">
        <v>36021</v>
      </c>
      <c r="G12997" s="18" t="str">
        <f>"24244"</f>
        <v>24244</v>
      </c>
      <c r="H12997" s="19" t="s">
        <v>36083</v>
      </c>
      <c r="I12997" s="20">
        <v>19.626000000000001</v>
      </c>
      <c r="J12997" s="44" t="s">
        <v>8</v>
      </c>
      <c r="K12997" s="23" t="s">
        <v>8</v>
      </c>
      <c r="L12997" s="23" t="s">
        <v>8</v>
      </c>
      <c r="M12997" s="23" t="s">
        <v>8</v>
      </c>
    </row>
    <row r="12998" spans="1:13" s="21" customFormat="1" x14ac:dyDescent="0.25">
      <c r="A12998" s="22" t="s">
        <v>8</v>
      </c>
      <c r="B12998" s="18" t="str">
        <f>"495135"</f>
        <v>495135</v>
      </c>
      <c r="C12998" s="19" t="s">
        <v>12775</v>
      </c>
      <c r="D12998" s="19" t="s">
        <v>28398</v>
      </c>
      <c r="E12998" s="19" t="s">
        <v>35373</v>
      </c>
      <c r="F12998" s="19" t="s">
        <v>36021</v>
      </c>
      <c r="G12998" s="18" t="str">
        <f>"24219"</f>
        <v>24219</v>
      </c>
      <c r="H12998" s="19" t="s">
        <v>35421</v>
      </c>
      <c r="I12998" s="20">
        <v>22.718</v>
      </c>
      <c r="J12998" s="44" t="s">
        <v>8</v>
      </c>
      <c r="K12998" s="23" t="s">
        <v>8</v>
      </c>
      <c r="L12998" s="23" t="s">
        <v>8</v>
      </c>
      <c r="M12998" s="23" t="s">
        <v>8</v>
      </c>
    </row>
    <row r="12999" spans="1:13" s="21" customFormat="1" x14ac:dyDescent="0.25">
      <c r="A12999" s="22" t="s">
        <v>8</v>
      </c>
      <c r="B12999" s="18" t="str">
        <f>"495139"</f>
        <v>495139</v>
      </c>
      <c r="C12999" s="19" t="s">
        <v>12776</v>
      </c>
      <c r="D12999" s="19" t="s">
        <v>28399</v>
      </c>
      <c r="E12999" s="19" t="s">
        <v>35374</v>
      </c>
      <c r="F12999" s="19" t="s">
        <v>36021</v>
      </c>
      <c r="G12999" s="18" t="str">
        <f>"22844"</f>
        <v>22844</v>
      </c>
      <c r="H12999" s="19" t="s">
        <v>32529</v>
      </c>
      <c r="I12999" s="20">
        <v>17.189</v>
      </c>
      <c r="J12999" s="44" t="s">
        <v>8</v>
      </c>
      <c r="K12999" s="23" t="s">
        <v>8</v>
      </c>
      <c r="L12999" s="23" t="s">
        <v>8</v>
      </c>
      <c r="M12999" s="23" t="s">
        <v>8</v>
      </c>
    </row>
    <row r="13000" spans="1:13" s="21" customFormat="1" x14ac:dyDescent="0.25">
      <c r="A13000" s="22" t="s">
        <v>8</v>
      </c>
      <c r="B13000" s="18" t="str">
        <f>"495140"</f>
        <v>495140</v>
      </c>
      <c r="C13000" s="19" t="s">
        <v>12777</v>
      </c>
      <c r="D13000" s="19" t="s">
        <v>28400</v>
      </c>
      <c r="E13000" s="19" t="s">
        <v>31048</v>
      </c>
      <c r="F13000" s="19" t="s">
        <v>36021</v>
      </c>
      <c r="G13000" s="18" t="str">
        <f>"22611"</f>
        <v>22611</v>
      </c>
      <c r="H13000" s="19" t="s">
        <v>36034</v>
      </c>
      <c r="I13000" s="20">
        <v>21.654</v>
      </c>
      <c r="J13000" s="44" t="s">
        <v>8</v>
      </c>
      <c r="K13000" s="23" t="s">
        <v>8</v>
      </c>
      <c r="L13000" s="23" t="s">
        <v>8</v>
      </c>
      <c r="M13000" s="23" t="s">
        <v>8</v>
      </c>
    </row>
    <row r="13001" spans="1:13" s="21" customFormat="1" x14ac:dyDescent="0.25">
      <c r="A13001" s="22" t="s">
        <v>8</v>
      </c>
      <c r="B13001" s="18" t="str">
        <f>"495141"</f>
        <v>495141</v>
      </c>
      <c r="C13001" s="19" t="s">
        <v>12778</v>
      </c>
      <c r="D13001" s="19" t="s">
        <v>28401</v>
      </c>
      <c r="E13001" s="19" t="s">
        <v>35375</v>
      </c>
      <c r="F13001" s="19" t="s">
        <v>36021</v>
      </c>
      <c r="G13001" s="18" t="str">
        <f>"24422"</f>
        <v>24422</v>
      </c>
      <c r="H13001" s="19" t="s">
        <v>36643</v>
      </c>
      <c r="I13001" s="20">
        <v>18.437999999999999</v>
      </c>
      <c r="J13001" s="44" t="s">
        <v>8</v>
      </c>
      <c r="K13001" s="23" t="s">
        <v>8</v>
      </c>
      <c r="L13001" s="23" t="s">
        <v>8</v>
      </c>
      <c r="M13001" s="23" t="s">
        <v>8</v>
      </c>
    </row>
    <row r="13002" spans="1:13" s="21" customFormat="1" x14ac:dyDescent="0.25">
      <c r="A13002" s="22" t="s">
        <v>8</v>
      </c>
      <c r="B13002" s="18" t="str">
        <f>"495142"</f>
        <v>495142</v>
      </c>
      <c r="C13002" s="19" t="s">
        <v>12779</v>
      </c>
      <c r="D13002" s="19" t="s">
        <v>28402</v>
      </c>
      <c r="E13002" s="19" t="s">
        <v>32175</v>
      </c>
      <c r="F13002" s="19" t="s">
        <v>36021</v>
      </c>
      <c r="G13002" s="18" t="str">
        <f>"22601"</f>
        <v>22601</v>
      </c>
      <c r="H13002" s="19" t="s">
        <v>36871</v>
      </c>
      <c r="I13002" s="20">
        <v>17.719000000000001</v>
      </c>
      <c r="J13002" s="44" t="s">
        <v>8</v>
      </c>
      <c r="K13002" s="23" t="s">
        <v>8</v>
      </c>
      <c r="L13002" s="23" t="s">
        <v>8</v>
      </c>
      <c r="M13002" s="23" t="s">
        <v>8</v>
      </c>
    </row>
    <row r="13003" spans="1:13" s="21" customFormat="1" x14ac:dyDescent="0.25">
      <c r="A13003" s="22" t="s">
        <v>8</v>
      </c>
      <c r="B13003" s="18" t="str">
        <f>"495143"</f>
        <v>495143</v>
      </c>
      <c r="C13003" s="19" t="s">
        <v>12780</v>
      </c>
      <c r="D13003" s="19" t="s">
        <v>28403</v>
      </c>
      <c r="E13003" s="19" t="s">
        <v>32229</v>
      </c>
      <c r="F13003" s="19" t="s">
        <v>36021</v>
      </c>
      <c r="G13003" s="18" t="str">
        <f>"24112"</f>
        <v>24112</v>
      </c>
      <c r="H13003" s="19" t="s">
        <v>36872</v>
      </c>
      <c r="I13003" s="20">
        <v>19.893999999999998</v>
      </c>
      <c r="J13003" s="44" t="s">
        <v>8</v>
      </c>
      <c r="K13003" s="23" t="s">
        <v>8</v>
      </c>
      <c r="L13003" s="23" t="s">
        <v>8</v>
      </c>
      <c r="M13003" s="23" t="s">
        <v>8</v>
      </c>
    </row>
    <row r="13004" spans="1:13" s="21" customFormat="1" x14ac:dyDescent="0.25">
      <c r="A13004" s="22" t="s">
        <v>8</v>
      </c>
      <c r="B13004" s="18" t="str">
        <f>"495144"</f>
        <v>495144</v>
      </c>
      <c r="C13004" s="19" t="s">
        <v>12781</v>
      </c>
      <c r="D13004" s="19" t="s">
        <v>28404</v>
      </c>
      <c r="E13004" s="19" t="s">
        <v>32165</v>
      </c>
      <c r="F13004" s="19" t="s">
        <v>36021</v>
      </c>
      <c r="G13004" s="18" t="str">
        <f>"23805"</f>
        <v>23805</v>
      </c>
      <c r="H13004" s="19" t="s">
        <v>36868</v>
      </c>
      <c r="I13004" s="20">
        <v>17.335999999999999</v>
      </c>
      <c r="J13004" s="44" t="s">
        <v>8</v>
      </c>
      <c r="K13004" s="23" t="s">
        <v>8</v>
      </c>
      <c r="L13004" s="23" t="s">
        <v>8</v>
      </c>
      <c r="M13004" s="23" t="s">
        <v>8</v>
      </c>
    </row>
    <row r="13005" spans="1:13" s="21" customFormat="1" x14ac:dyDescent="0.25">
      <c r="A13005" s="22" t="s">
        <v>8</v>
      </c>
      <c r="B13005" s="18" t="str">
        <f>"495146"</f>
        <v>495146</v>
      </c>
      <c r="C13005" s="19" t="s">
        <v>12782</v>
      </c>
      <c r="D13005" s="19" t="s">
        <v>28405</v>
      </c>
      <c r="E13005" s="19" t="s">
        <v>35369</v>
      </c>
      <c r="F13005" s="19" t="s">
        <v>36021</v>
      </c>
      <c r="G13005" s="18" t="str">
        <f>"22801"</f>
        <v>22801</v>
      </c>
      <c r="H13005" s="19" t="s">
        <v>36865</v>
      </c>
      <c r="I13005" s="20">
        <v>16.881</v>
      </c>
      <c r="J13005" s="44" t="s">
        <v>8</v>
      </c>
      <c r="K13005" s="23" t="s">
        <v>8</v>
      </c>
      <c r="L13005" s="23" t="s">
        <v>8</v>
      </c>
      <c r="M13005" s="23" t="s">
        <v>8</v>
      </c>
    </row>
    <row r="13006" spans="1:13" s="21" customFormat="1" x14ac:dyDescent="0.25">
      <c r="A13006" s="22" t="s">
        <v>8</v>
      </c>
      <c r="B13006" s="18" t="str">
        <f>"495147"</f>
        <v>495147</v>
      </c>
      <c r="C13006" s="19" t="s">
        <v>12783</v>
      </c>
      <c r="D13006" s="19" t="s">
        <v>28406</v>
      </c>
      <c r="E13006" s="19" t="s">
        <v>31701</v>
      </c>
      <c r="F13006" s="19" t="s">
        <v>36021</v>
      </c>
      <c r="G13006" s="18" t="str">
        <f>"22980"</f>
        <v>22980</v>
      </c>
      <c r="H13006" s="19" t="s">
        <v>36873</v>
      </c>
      <c r="I13006" s="20">
        <v>19.776</v>
      </c>
      <c r="J13006" s="44" t="s">
        <v>8</v>
      </c>
      <c r="K13006" s="23" t="s">
        <v>8</v>
      </c>
      <c r="L13006" s="23" t="s">
        <v>8</v>
      </c>
      <c r="M13006" s="23" t="s">
        <v>8</v>
      </c>
    </row>
    <row r="13007" spans="1:13" s="21" customFormat="1" x14ac:dyDescent="0.25">
      <c r="A13007" s="22" t="s">
        <v>8</v>
      </c>
      <c r="B13007" s="18" t="str">
        <f>"495149"</f>
        <v>495149</v>
      </c>
      <c r="C13007" s="19" t="s">
        <v>12784</v>
      </c>
      <c r="D13007" s="19" t="s">
        <v>28407</v>
      </c>
      <c r="E13007" s="19" t="s">
        <v>33852</v>
      </c>
      <c r="F13007" s="19" t="s">
        <v>36021</v>
      </c>
      <c r="G13007" s="18" t="str">
        <f>"23704"</f>
        <v>23704</v>
      </c>
      <c r="H13007" s="19" t="s">
        <v>36874</v>
      </c>
      <c r="I13007" s="20">
        <v>19.050999999999998</v>
      </c>
      <c r="J13007" s="44" t="s">
        <v>8</v>
      </c>
      <c r="K13007" s="23" t="s">
        <v>8</v>
      </c>
      <c r="L13007" s="23" t="s">
        <v>8</v>
      </c>
      <c r="M13007" s="23" t="s">
        <v>8</v>
      </c>
    </row>
    <row r="13008" spans="1:13" s="21" customFormat="1" x14ac:dyDescent="0.25">
      <c r="A13008" s="22" t="s">
        <v>8</v>
      </c>
      <c r="B13008" s="18" t="str">
        <f>"495150"</f>
        <v>495150</v>
      </c>
      <c r="C13008" s="19" t="s">
        <v>12785</v>
      </c>
      <c r="D13008" s="19" t="s">
        <v>28408</v>
      </c>
      <c r="E13008" s="19" t="s">
        <v>35368</v>
      </c>
      <c r="F13008" s="19" t="s">
        <v>36021</v>
      </c>
      <c r="G13008" s="18" t="str">
        <f>"23452"</f>
        <v>23452</v>
      </c>
      <c r="H13008" s="19" t="s">
        <v>36864</v>
      </c>
      <c r="I13008" s="20">
        <v>18.891999999999999</v>
      </c>
      <c r="J13008" s="44" t="s">
        <v>8</v>
      </c>
      <c r="K13008" s="23" t="s">
        <v>8</v>
      </c>
      <c r="L13008" s="23" t="s">
        <v>8</v>
      </c>
      <c r="M13008" s="23" t="s">
        <v>8</v>
      </c>
    </row>
    <row r="13009" spans="1:13" s="21" customFormat="1" x14ac:dyDescent="0.25">
      <c r="A13009" s="22" t="s">
        <v>8</v>
      </c>
      <c r="B13009" s="18" t="str">
        <f>"495151"</f>
        <v>495151</v>
      </c>
      <c r="C13009" s="19" t="s">
        <v>12786</v>
      </c>
      <c r="D13009" s="19" t="s">
        <v>28409</v>
      </c>
      <c r="E13009" s="19" t="s">
        <v>35173</v>
      </c>
      <c r="F13009" s="19" t="s">
        <v>36021</v>
      </c>
      <c r="G13009" s="18" t="str">
        <f>"24501"</f>
        <v>24501</v>
      </c>
      <c r="H13009" s="19" t="s">
        <v>36862</v>
      </c>
      <c r="I13009" s="20">
        <v>20.609000000000002</v>
      </c>
      <c r="J13009" s="44" t="s">
        <v>8</v>
      </c>
      <c r="K13009" s="23" t="s">
        <v>8</v>
      </c>
      <c r="L13009" s="23" t="s">
        <v>8</v>
      </c>
      <c r="M13009" s="23" t="s">
        <v>8</v>
      </c>
    </row>
    <row r="13010" spans="1:13" s="21" customFormat="1" x14ac:dyDescent="0.25">
      <c r="A13010" s="22" t="s">
        <v>8</v>
      </c>
      <c r="B13010" s="18" t="str">
        <f>"495152"</f>
        <v>495152</v>
      </c>
      <c r="C13010" s="19" t="s">
        <v>12787</v>
      </c>
      <c r="D13010" s="19" t="s">
        <v>28410</v>
      </c>
      <c r="E13010" s="19" t="s">
        <v>35147</v>
      </c>
      <c r="F13010" s="19" t="s">
        <v>36021</v>
      </c>
      <c r="G13010" s="18" t="str">
        <f>"24651"</f>
        <v>24651</v>
      </c>
      <c r="H13010" s="19" t="s">
        <v>35147</v>
      </c>
      <c r="I13010" s="20">
        <v>18.114999999999998</v>
      </c>
      <c r="J13010" s="44" t="s">
        <v>8</v>
      </c>
      <c r="K13010" s="23" t="s">
        <v>8</v>
      </c>
      <c r="L13010" s="23" t="s">
        <v>8</v>
      </c>
      <c r="M13010" s="23" t="s">
        <v>8</v>
      </c>
    </row>
    <row r="13011" spans="1:13" s="21" customFormat="1" x14ac:dyDescent="0.25">
      <c r="A13011" s="22" t="s">
        <v>8</v>
      </c>
      <c r="B13011" s="18" t="str">
        <f>"495153"</f>
        <v>495153</v>
      </c>
      <c r="C13011" s="19" t="s">
        <v>12788</v>
      </c>
      <c r="D13011" s="19" t="s">
        <v>28411</v>
      </c>
      <c r="E13011" s="19" t="s">
        <v>35376</v>
      </c>
      <c r="F13011" s="19" t="s">
        <v>36021</v>
      </c>
      <c r="G13011" s="18" t="str">
        <f>"22903"</f>
        <v>22903</v>
      </c>
      <c r="H13011" s="19" t="s">
        <v>36875</v>
      </c>
      <c r="I13011" s="20">
        <v>20.391999999999999</v>
      </c>
      <c r="J13011" s="44" t="s">
        <v>8</v>
      </c>
      <c r="K13011" s="23" t="s">
        <v>8</v>
      </c>
      <c r="L13011" s="23" t="s">
        <v>8</v>
      </c>
      <c r="M13011" s="23" t="s">
        <v>8</v>
      </c>
    </row>
    <row r="13012" spans="1:13" s="21" customFormat="1" x14ac:dyDescent="0.25">
      <c r="A13012" s="22" t="s">
        <v>8</v>
      </c>
      <c r="B13012" s="18" t="str">
        <f>"495155"</f>
        <v>495155</v>
      </c>
      <c r="C13012" s="19" t="s">
        <v>12789</v>
      </c>
      <c r="D13012" s="19" t="s">
        <v>28412</v>
      </c>
      <c r="E13012" s="19" t="s">
        <v>33404</v>
      </c>
      <c r="F13012" s="19" t="s">
        <v>36021</v>
      </c>
      <c r="G13012" s="18" t="str">
        <f>"22003"</f>
        <v>22003</v>
      </c>
      <c r="H13012" s="19" t="s">
        <v>33392</v>
      </c>
      <c r="I13012" s="20">
        <v>21.263999999999999</v>
      </c>
      <c r="J13012" s="44" t="s">
        <v>8</v>
      </c>
      <c r="K13012" s="23" t="s">
        <v>8</v>
      </c>
      <c r="L13012" s="23" t="s">
        <v>8</v>
      </c>
      <c r="M13012" s="23" t="s">
        <v>8</v>
      </c>
    </row>
    <row r="13013" spans="1:13" s="21" customFormat="1" x14ac:dyDescent="0.25">
      <c r="A13013" s="22" t="s">
        <v>8</v>
      </c>
      <c r="B13013" s="18" t="str">
        <f>"495156"</f>
        <v>495156</v>
      </c>
      <c r="C13013" s="19" t="s">
        <v>12790</v>
      </c>
      <c r="D13013" s="19" t="s">
        <v>28413</v>
      </c>
      <c r="E13013" s="19" t="s">
        <v>30859</v>
      </c>
      <c r="F13013" s="19" t="s">
        <v>36021</v>
      </c>
      <c r="G13013" s="18" t="str">
        <f>"24016"</f>
        <v>24016</v>
      </c>
      <c r="H13013" s="19" t="s">
        <v>36853</v>
      </c>
      <c r="I13013" s="20">
        <v>18.141999999999999</v>
      </c>
      <c r="J13013" s="44" t="s">
        <v>8</v>
      </c>
      <c r="K13013" s="23" t="s">
        <v>8</v>
      </c>
      <c r="L13013" s="23" t="s">
        <v>8</v>
      </c>
      <c r="M13013" s="23" t="s">
        <v>8</v>
      </c>
    </row>
    <row r="13014" spans="1:13" s="21" customFormat="1" x14ac:dyDescent="0.25">
      <c r="A13014" s="22" t="s">
        <v>8</v>
      </c>
      <c r="B13014" s="18" t="str">
        <f>"495157"</f>
        <v>495157</v>
      </c>
      <c r="C13014" s="19" t="s">
        <v>12791</v>
      </c>
      <c r="D13014" s="19" t="s">
        <v>28414</v>
      </c>
      <c r="E13014" s="19" t="s">
        <v>5</v>
      </c>
      <c r="F13014" s="19" t="s">
        <v>36021</v>
      </c>
      <c r="G13014" s="18" t="str">
        <f>"23851"</f>
        <v>23851</v>
      </c>
      <c r="H13014" s="19" t="s">
        <v>36849</v>
      </c>
      <c r="I13014" s="20">
        <v>16.946999999999999</v>
      </c>
      <c r="J13014" s="44" t="s">
        <v>8</v>
      </c>
      <c r="K13014" s="23" t="s">
        <v>8</v>
      </c>
      <c r="L13014" s="23" t="s">
        <v>8</v>
      </c>
      <c r="M13014" s="23" t="s">
        <v>8</v>
      </c>
    </row>
    <row r="13015" spans="1:13" s="21" customFormat="1" x14ac:dyDescent="0.25">
      <c r="A13015" s="22" t="s">
        <v>8</v>
      </c>
      <c r="B13015" s="18" t="str">
        <f>"495160"</f>
        <v>495160</v>
      </c>
      <c r="C13015" s="19" t="s">
        <v>12792</v>
      </c>
      <c r="D13015" s="19" t="s">
        <v>28415</v>
      </c>
      <c r="E13015" s="19" t="s">
        <v>33970</v>
      </c>
      <c r="F13015" s="19" t="s">
        <v>36021</v>
      </c>
      <c r="G13015" s="18" t="str">
        <f>"22480"</f>
        <v>22480</v>
      </c>
      <c r="H13015" s="19" t="s">
        <v>31184</v>
      </c>
      <c r="I13015" s="20">
        <v>18.457000000000001</v>
      </c>
      <c r="J13015" s="44" t="s">
        <v>8</v>
      </c>
      <c r="K13015" s="23" t="s">
        <v>8</v>
      </c>
      <c r="L13015" s="23" t="s">
        <v>8</v>
      </c>
      <c r="M13015" s="23" t="s">
        <v>8</v>
      </c>
    </row>
    <row r="13016" spans="1:13" s="21" customFormat="1" x14ac:dyDescent="0.25">
      <c r="A13016" s="22" t="s">
        <v>8</v>
      </c>
      <c r="B13016" s="18" t="str">
        <f>"495165"</f>
        <v>495165</v>
      </c>
      <c r="C13016" s="19" t="s">
        <v>12793</v>
      </c>
      <c r="D13016" s="19" t="s">
        <v>28416</v>
      </c>
      <c r="E13016" s="19" t="s">
        <v>32175</v>
      </c>
      <c r="F13016" s="19" t="s">
        <v>36021</v>
      </c>
      <c r="G13016" s="18" t="str">
        <f>"22603"</f>
        <v>22603</v>
      </c>
      <c r="H13016" s="19" t="s">
        <v>32927</v>
      </c>
      <c r="I13016" s="20">
        <v>18.664999999999999</v>
      </c>
      <c r="J13016" s="44" t="s">
        <v>8</v>
      </c>
      <c r="K13016" s="23" t="s">
        <v>8</v>
      </c>
      <c r="L13016" s="23" t="s">
        <v>8</v>
      </c>
      <c r="M13016" s="23" t="s">
        <v>8</v>
      </c>
    </row>
    <row r="13017" spans="1:13" s="21" customFormat="1" x14ac:dyDescent="0.25">
      <c r="A13017" s="22" t="s">
        <v>8</v>
      </c>
      <c r="B13017" s="18" t="str">
        <f>"495166"</f>
        <v>495166</v>
      </c>
      <c r="C13017" s="19" t="s">
        <v>12794</v>
      </c>
      <c r="D13017" s="19" t="s">
        <v>28417</v>
      </c>
      <c r="E13017" s="19" t="s">
        <v>30981</v>
      </c>
      <c r="F13017" s="19" t="s">
        <v>36021</v>
      </c>
      <c r="G13017" s="18" t="str">
        <f>"24541"</f>
        <v>24541</v>
      </c>
      <c r="H13017" s="19" t="s">
        <v>36855</v>
      </c>
      <c r="I13017" s="20">
        <v>18.870999999999999</v>
      </c>
      <c r="J13017" s="44" t="s">
        <v>8</v>
      </c>
      <c r="K13017" s="23" t="s">
        <v>8</v>
      </c>
      <c r="L13017" s="23" t="s">
        <v>8</v>
      </c>
      <c r="M13017" s="23" t="s">
        <v>8</v>
      </c>
    </row>
    <row r="13018" spans="1:13" s="21" customFormat="1" x14ac:dyDescent="0.25">
      <c r="A13018" s="22" t="s">
        <v>8</v>
      </c>
      <c r="B13018" s="18" t="str">
        <f>"495167"</f>
        <v>495167</v>
      </c>
      <c r="C13018" s="19" t="s">
        <v>12795</v>
      </c>
      <c r="D13018" s="19" t="s">
        <v>28418</v>
      </c>
      <c r="E13018" s="19" t="s">
        <v>35363</v>
      </c>
      <c r="F13018" s="19" t="s">
        <v>36021</v>
      </c>
      <c r="G13018" s="18" t="str">
        <f>"24382"</f>
        <v>24382</v>
      </c>
      <c r="H13018" s="19" t="s">
        <v>36851</v>
      </c>
      <c r="I13018" s="20">
        <v>16.812000000000001</v>
      </c>
      <c r="J13018" s="44" t="s">
        <v>8</v>
      </c>
      <c r="K13018" s="23" t="s">
        <v>8</v>
      </c>
      <c r="L13018" s="23" t="s">
        <v>8</v>
      </c>
      <c r="M13018" s="23" t="s">
        <v>8</v>
      </c>
    </row>
    <row r="13019" spans="1:13" s="21" customFormat="1" x14ac:dyDescent="0.25">
      <c r="A13019" s="22" t="s">
        <v>8</v>
      </c>
      <c r="B13019" s="18" t="str">
        <f>"495168"</f>
        <v>495168</v>
      </c>
      <c r="C13019" s="19" t="s">
        <v>12796</v>
      </c>
      <c r="D13019" s="19" t="s">
        <v>28419</v>
      </c>
      <c r="E13019" s="19" t="s">
        <v>31824</v>
      </c>
      <c r="F13019" s="19" t="s">
        <v>36021</v>
      </c>
      <c r="G13019" s="18" t="str">
        <f>"24416"</f>
        <v>24416</v>
      </c>
      <c r="H13019" s="19" t="s">
        <v>36876</v>
      </c>
      <c r="I13019" s="20">
        <v>17.588999999999999</v>
      </c>
      <c r="J13019" s="44" t="s">
        <v>8</v>
      </c>
      <c r="K13019" s="23" t="s">
        <v>8</v>
      </c>
      <c r="L13019" s="23" t="s">
        <v>8</v>
      </c>
      <c r="M13019" s="23" t="s">
        <v>8</v>
      </c>
    </row>
    <row r="13020" spans="1:13" s="21" customFormat="1" x14ac:dyDescent="0.25">
      <c r="A13020" s="22" t="s">
        <v>8</v>
      </c>
      <c r="B13020" s="18" t="str">
        <f>"495171"</f>
        <v>495171</v>
      </c>
      <c r="C13020" s="19" t="s">
        <v>12797</v>
      </c>
      <c r="D13020" s="19" t="s">
        <v>28420</v>
      </c>
      <c r="E13020" s="19" t="s">
        <v>35377</v>
      </c>
      <c r="F13020" s="19" t="s">
        <v>36021</v>
      </c>
      <c r="G13020" s="18" t="str">
        <f>"22041"</f>
        <v>22041</v>
      </c>
      <c r="H13020" s="19" t="s">
        <v>33392</v>
      </c>
      <c r="I13020" s="20">
        <v>17.881</v>
      </c>
      <c r="J13020" s="44" t="s">
        <v>8</v>
      </c>
      <c r="K13020" s="23" t="s">
        <v>8</v>
      </c>
      <c r="L13020" s="23" t="s">
        <v>8</v>
      </c>
      <c r="M13020" s="23" t="s">
        <v>8</v>
      </c>
    </row>
    <row r="13021" spans="1:13" s="21" customFormat="1" x14ac:dyDescent="0.25">
      <c r="A13021" s="22" t="s">
        <v>8</v>
      </c>
      <c r="B13021" s="18" t="str">
        <f>"495173"</f>
        <v>495173</v>
      </c>
      <c r="C13021" s="19" t="s">
        <v>12798</v>
      </c>
      <c r="D13021" s="19" t="s">
        <v>28421</v>
      </c>
      <c r="E13021" s="19" t="s">
        <v>33776</v>
      </c>
      <c r="F13021" s="19" t="s">
        <v>36021</v>
      </c>
      <c r="G13021" s="18" t="str">
        <f>"23502"</f>
        <v>23502</v>
      </c>
      <c r="H13021" s="19" t="s">
        <v>36860</v>
      </c>
      <c r="I13021" s="20">
        <v>22.724</v>
      </c>
      <c r="J13021" s="44" t="s">
        <v>8</v>
      </c>
      <c r="K13021" s="23" t="s">
        <v>8</v>
      </c>
      <c r="L13021" s="23" t="s">
        <v>8</v>
      </c>
      <c r="M13021" s="23" t="s">
        <v>8</v>
      </c>
    </row>
    <row r="13022" spans="1:13" s="21" customFormat="1" x14ac:dyDescent="0.25">
      <c r="A13022" s="22" t="s">
        <v>8</v>
      </c>
      <c r="B13022" s="18" t="str">
        <f>"495174"</f>
        <v>495174</v>
      </c>
      <c r="C13022" s="19" t="s">
        <v>12799</v>
      </c>
      <c r="D13022" s="19" t="s">
        <v>28422</v>
      </c>
      <c r="E13022" s="19" t="s">
        <v>35378</v>
      </c>
      <c r="F13022" s="19" t="s">
        <v>36021</v>
      </c>
      <c r="G13022" s="18" t="str">
        <f>"20171"</f>
        <v>20171</v>
      </c>
      <c r="H13022" s="19" t="s">
        <v>33392</v>
      </c>
      <c r="I13022" s="20">
        <v>18.411999999999999</v>
      </c>
      <c r="J13022" s="44" t="s">
        <v>8</v>
      </c>
      <c r="K13022" s="23" t="s">
        <v>8</v>
      </c>
      <c r="L13022" s="23" t="s">
        <v>8</v>
      </c>
      <c r="M13022" s="23" t="s">
        <v>8</v>
      </c>
    </row>
    <row r="13023" spans="1:13" s="21" customFormat="1" x14ac:dyDescent="0.25">
      <c r="A13023" s="22" t="s">
        <v>8</v>
      </c>
      <c r="B13023" s="18" t="str">
        <f>"495175"</f>
        <v>495175</v>
      </c>
      <c r="C13023" s="19" t="s">
        <v>12800</v>
      </c>
      <c r="D13023" s="19" t="s">
        <v>28423</v>
      </c>
      <c r="E13023" s="19" t="s">
        <v>35363</v>
      </c>
      <c r="F13023" s="19" t="s">
        <v>36021</v>
      </c>
      <c r="G13023" s="18" t="str">
        <f>"24382"</f>
        <v>24382</v>
      </c>
      <c r="H13023" s="19" t="s">
        <v>36851</v>
      </c>
      <c r="I13023" s="20">
        <v>19.308</v>
      </c>
      <c r="J13023" s="44" t="s">
        <v>8</v>
      </c>
      <c r="K13023" s="23" t="s">
        <v>8</v>
      </c>
      <c r="L13023" s="23" t="s">
        <v>8</v>
      </c>
      <c r="M13023" s="23" t="s">
        <v>8</v>
      </c>
    </row>
    <row r="13024" spans="1:13" s="21" customFormat="1" x14ac:dyDescent="0.25">
      <c r="A13024" s="22" t="s">
        <v>8</v>
      </c>
      <c r="B13024" s="18" t="str">
        <f>"495177"</f>
        <v>495177</v>
      </c>
      <c r="C13024" s="19" t="s">
        <v>12801</v>
      </c>
      <c r="D13024" s="19" t="s">
        <v>28424</v>
      </c>
      <c r="E13024" s="19" t="s">
        <v>35379</v>
      </c>
      <c r="F13024" s="19" t="s">
        <v>36021</v>
      </c>
      <c r="G13024" s="18" t="str">
        <f>"23970"</f>
        <v>23970</v>
      </c>
      <c r="H13024" s="19" t="s">
        <v>36610</v>
      </c>
      <c r="I13024" s="20">
        <v>19.96</v>
      </c>
      <c r="J13024" s="44" t="s">
        <v>8</v>
      </c>
      <c r="K13024" s="23" t="s">
        <v>8</v>
      </c>
      <c r="L13024" s="23" t="s">
        <v>8</v>
      </c>
      <c r="M13024" s="23" t="s">
        <v>8</v>
      </c>
    </row>
    <row r="13025" spans="1:13" s="21" customFormat="1" x14ac:dyDescent="0.25">
      <c r="A13025" s="22" t="s">
        <v>8</v>
      </c>
      <c r="B13025" s="18" t="str">
        <f>"495178"</f>
        <v>495178</v>
      </c>
      <c r="C13025" s="19" t="s">
        <v>12802</v>
      </c>
      <c r="D13025" s="19" t="s">
        <v>28425</v>
      </c>
      <c r="E13025" s="19" t="s">
        <v>35376</v>
      </c>
      <c r="F13025" s="19" t="s">
        <v>36021</v>
      </c>
      <c r="G13025" s="18" t="str">
        <f>"22901"</f>
        <v>22901</v>
      </c>
      <c r="H13025" s="19" t="s">
        <v>34256</v>
      </c>
      <c r="I13025" s="20">
        <v>17.780999999999999</v>
      </c>
      <c r="J13025" s="44" t="s">
        <v>8</v>
      </c>
      <c r="K13025" s="23" t="s">
        <v>8</v>
      </c>
      <c r="L13025" s="23" t="s">
        <v>8</v>
      </c>
      <c r="M13025" s="23" t="s">
        <v>8</v>
      </c>
    </row>
    <row r="13026" spans="1:13" s="21" customFormat="1" x14ac:dyDescent="0.25">
      <c r="A13026" s="22" t="s">
        <v>8</v>
      </c>
      <c r="B13026" s="18" t="str">
        <f>"495179"</f>
        <v>495179</v>
      </c>
      <c r="C13026" s="19" t="s">
        <v>12803</v>
      </c>
      <c r="D13026" s="19" t="s">
        <v>28426</v>
      </c>
      <c r="E13026" s="19" t="s">
        <v>31347</v>
      </c>
      <c r="F13026" s="19" t="s">
        <v>36021</v>
      </c>
      <c r="G13026" s="18" t="str">
        <f>"20164"</f>
        <v>20164</v>
      </c>
      <c r="H13026" s="19" t="s">
        <v>36877</v>
      </c>
      <c r="I13026" s="20">
        <v>19.026</v>
      </c>
      <c r="J13026" s="44" t="s">
        <v>8</v>
      </c>
      <c r="K13026" s="23" t="s">
        <v>8</v>
      </c>
      <c r="L13026" s="23" t="s">
        <v>8</v>
      </c>
      <c r="M13026" s="23" t="s">
        <v>8</v>
      </c>
    </row>
    <row r="13027" spans="1:13" s="21" customFormat="1" x14ac:dyDescent="0.25">
      <c r="A13027" s="22" t="s">
        <v>8</v>
      </c>
      <c r="B13027" s="18" t="str">
        <f>"495181"</f>
        <v>495181</v>
      </c>
      <c r="C13027" s="19" t="s">
        <v>12804</v>
      </c>
      <c r="D13027" s="19" t="s">
        <v>28427</v>
      </c>
      <c r="E13027" s="19" t="s">
        <v>35380</v>
      </c>
      <c r="F13027" s="19" t="s">
        <v>36021</v>
      </c>
      <c r="G13027" s="18" t="str">
        <f>"24641"</f>
        <v>24641</v>
      </c>
      <c r="H13027" s="19" t="s">
        <v>35147</v>
      </c>
      <c r="I13027" s="20">
        <v>19.030999999999999</v>
      </c>
      <c r="J13027" s="44" t="s">
        <v>8</v>
      </c>
      <c r="K13027" s="23" t="s">
        <v>8</v>
      </c>
      <c r="L13027" s="23" t="s">
        <v>8</v>
      </c>
      <c r="M13027" s="23" t="s">
        <v>8</v>
      </c>
    </row>
    <row r="13028" spans="1:13" s="21" customFormat="1" x14ac:dyDescent="0.25">
      <c r="A13028" s="22" t="s">
        <v>8</v>
      </c>
      <c r="B13028" s="18" t="str">
        <f>"495183"</f>
        <v>495183</v>
      </c>
      <c r="C13028" s="19" t="s">
        <v>12805</v>
      </c>
      <c r="D13028" s="19" t="s">
        <v>28428</v>
      </c>
      <c r="E13028" s="19" t="s">
        <v>32131</v>
      </c>
      <c r="F13028" s="19" t="s">
        <v>36021</v>
      </c>
      <c r="G13028" s="18" t="str">
        <f>"23112"</f>
        <v>23112</v>
      </c>
      <c r="H13028" s="19" t="s">
        <v>32311</v>
      </c>
      <c r="I13028" s="20">
        <v>17.242000000000001</v>
      </c>
      <c r="J13028" s="44" t="s">
        <v>8</v>
      </c>
      <c r="K13028" s="23" t="s">
        <v>8</v>
      </c>
      <c r="L13028" s="23" t="s">
        <v>8</v>
      </c>
      <c r="M13028" s="23" t="s">
        <v>8</v>
      </c>
    </row>
    <row r="13029" spans="1:13" s="21" customFormat="1" x14ac:dyDescent="0.25">
      <c r="A13029" s="22" t="s">
        <v>8</v>
      </c>
      <c r="B13029" s="18" t="str">
        <f>"495184"</f>
        <v>495184</v>
      </c>
      <c r="C13029" s="19" t="s">
        <v>12806</v>
      </c>
      <c r="D13029" s="19" t="s">
        <v>28429</v>
      </c>
      <c r="E13029" s="19" t="s">
        <v>32538</v>
      </c>
      <c r="F13029" s="19" t="s">
        <v>36021</v>
      </c>
      <c r="G13029" s="18" t="str">
        <f>"23185"</f>
        <v>23185</v>
      </c>
      <c r="H13029" s="19" t="s">
        <v>36878</v>
      </c>
      <c r="I13029" s="20">
        <v>19.175999999999998</v>
      </c>
      <c r="J13029" s="44" t="s">
        <v>8</v>
      </c>
      <c r="K13029" s="23" t="s">
        <v>8</v>
      </c>
      <c r="L13029" s="23" t="s">
        <v>8</v>
      </c>
      <c r="M13029" s="23" t="s">
        <v>8</v>
      </c>
    </row>
    <row r="13030" spans="1:13" s="21" customFormat="1" x14ac:dyDescent="0.25">
      <c r="A13030" s="22" t="s">
        <v>8</v>
      </c>
      <c r="B13030" s="18" t="str">
        <f>"495185"</f>
        <v>495185</v>
      </c>
      <c r="C13030" s="19" t="s">
        <v>12807</v>
      </c>
      <c r="D13030" s="19" t="s">
        <v>28430</v>
      </c>
      <c r="E13030" s="19" t="s">
        <v>32500</v>
      </c>
      <c r="F13030" s="19" t="s">
        <v>36021</v>
      </c>
      <c r="G13030" s="18" t="str">
        <f>"23890"</f>
        <v>23890</v>
      </c>
      <c r="H13030" s="19" t="s">
        <v>36121</v>
      </c>
      <c r="I13030" s="20">
        <v>21</v>
      </c>
      <c r="J13030" s="44" t="s">
        <v>8</v>
      </c>
      <c r="K13030" s="23" t="s">
        <v>8</v>
      </c>
      <c r="L13030" s="23" t="s">
        <v>8</v>
      </c>
      <c r="M13030" s="23" t="s">
        <v>8</v>
      </c>
    </row>
    <row r="13031" spans="1:13" s="21" customFormat="1" x14ac:dyDescent="0.25">
      <c r="A13031" s="22" t="s">
        <v>8</v>
      </c>
      <c r="B13031" s="18" t="str">
        <f>"495186"</f>
        <v>495186</v>
      </c>
      <c r="C13031" s="19" t="s">
        <v>12808</v>
      </c>
      <c r="D13031" s="19" t="s">
        <v>28431</v>
      </c>
      <c r="E13031" s="19" t="s">
        <v>35368</v>
      </c>
      <c r="F13031" s="19" t="s">
        <v>36021</v>
      </c>
      <c r="G13031" s="18" t="str">
        <f>"23464"</f>
        <v>23464</v>
      </c>
      <c r="H13031" s="19" t="s">
        <v>36864</v>
      </c>
      <c r="I13031" s="20">
        <v>20.053000000000001</v>
      </c>
      <c r="J13031" s="44" t="s">
        <v>8</v>
      </c>
      <c r="K13031" s="23" t="s">
        <v>8</v>
      </c>
      <c r="L13031" s="23" t="s">
        <v>8</v>
      </c>
      <c r="M13031" s="23" t="s">
        <v>8</v>
      </c>
    </row>
    <row r="13032" spans="1:13" s="21" customFormat="1" x14ac:dyDescent="0.25">
      <c r="A13032" s="22" t="s">
        <v>8</v>
      </c>
      <c r="B13032" s="18" t="str">
        <f>"495187"</f>
        <v>495187</v>
      </c>
      <c r="C13032" s="19" t="s">
        <v>12809</v>
      </c>
      <c r="D13032" s="19" t="s">
        <v>28432</v>
      </c>
      <c r="E13032" s="19" t="s">
        <v>35381</v>
      </c>
      <c r="F13032" s="19" t="s">
        <v>36021</v>
      </c>
      <c r="G13032" s="18" t="str">
        <f>"24343"</f>
        <v>24343</v>
      </c>
      <c r="H13032" s="19" t="s">
        <v>32334</v>
      </c>
      <c r="I13032" s="20">
        <v>20.030999999999999</v>
      </c>
      <c r="J13032" s="44" t="s">
        <v>8</v>
      </c>
      <c r="K13032" s="23" t="s">
        <v>8</v>
      </c>
      <c r="L13032" s="23" t="s">
        <v>8</v>
      </c>
      <c r="M13032" s="23" t="s">
        <v>8</v>
      </c>
    </row>
    <row r="13033" spans="1:13" s="21" customFormat="1" x14ac:dyDescent="0.25">
      <c r="A13033" s="22" t="s">
        <v>8</v>
      </c>
      <c r="B13033" s="18" t="str">
        <f>"495188"</f>
        <v>495188</v>
      </c>
      <c r="C13033" s="19" t="s">
        <v>12810</v>
      </c>
      <c r="D13033" s="19" t="s">
        <v>28433</v>
      </c>
      <c r="E13033" s="19" t="s">
        <v>35382</v>
      </c>
      <c r="F13033" s="19" t="s">
        <v>36021</v>
      </c>
      <c r="G13033" s="18" t="str">
        <f>"24522"</f>
        <v>24522</v>
      </c>
      <c r="H13033" s="19" t="s">
        <v>35382</v>
      </c>
      <c r="I13033" s="20">
        <v>21.108000000000001</v>
      </c>
      <c r="J13033" s="44" t="s">
        <v>8</v>
      </c>
      <c r="K13033" s="23" t="s">
        <v>8</v>
      </c>
      <c r="L13033" s="23" t="s">
        <v>8</v>
      </c>
      <c r="M13033" s="23" t="s">
        <v>8</v>
      </c>
    </row>
    <row r="13034" spans="1:13" s="21" customFormat="1" x14ac:dyDescent="0.25">
      <c r="A13034" s="22" t="s">
        <v>8</v>
      </c>
      <c r="B13034" s="18" t="str">
        <f>"495189"</f>
        <v>495189</v>
      </c>
      <c r="C13034" s="19" t="s">
        <v>12811</v>
      </c>
      <c r="D13034" s="19" t="s">
        <v>28434</v>
      </c>
      <c r="E13034" s="19" t="s">
        <v>34391</v>
      </c>
      <c r="F13034" s="19" t="s">
        <v>36021</v>
      </c>
      <c r="G13034" s="18" t="str">
        <f>"23692"</f>
        <v>23692</v>
      </c>
      <c r="H13034" s="19" t="s">
        <v>30834</v>
      </c>
      <c r="I13034" s="20">
        <v>21.231999999999999</v>
      </c>
      <c r="J13034" s="44" t="s">
        <v>8</v>
      </c>
      <c r="K13034" s="23" t="s">
        <v>8</v>
      </c>
      <c r="L13034" s="23" t="s">
        <v>8</v>
      </c>
      <c r="M13034" s="23" t="s">
        <v>8</v>
      </c>
    </row>
    <row r="13035" spans="1:13" s="21" customFormat="1" x14ac:dyDescent="0.25">
      <c r="A13035" s="22" t="s">
        <v>8</v>
      </c>
      <c r="B13035" s="18" t="str">
        <f>"495190"</f>
        <v>495190</v>
      </c>
      <c r="C13035" s="19" t="s">
        <v>12812</v>
      </c>
      <c r="D13035" s="19" t="s">
        <v>28435</v>
      </c>
      <c r="E13035" s="19" t="s">
        <v>32538</v>
      </c>
      <c r="F13035" s="19" t="s">
        <v>36021</v>
      </c>
      <c r="G13035" s="18" t="str">
        <f>"23185"</f>
        <v>23185</v>
      </c>
      <c r="H13035" s="19" t="s">
        <v>36878</v>
      </c>
      <c r="I13035" s="20">
        <v>14.743</v>
      </c>
      <c r="J13035" s="44" t="s">
        <v>8</v>
      </c>
      <c r="K13035" s="23" t="s">
        <v>8</v>
      </c>
      <c r="L13035" s="23" t="s">
        <v>8</v>
      </c>
      <c r="M13035" s="23" t="s">
        <v>8</v>
      </c>
    </row>
    <row r="13036" spans="1:13" s="21" customFormat="1" x14ac:dyDescent="0.25">
      <c r="A13036" s="22" t="s">
        <v>8</v>
      </c>
      <c r="B13036" s="18" t="str">
        <f>"495191"</f>
        <v>495191</v>
      </c>
      <c r="C13036" s="19" t="s">
        <v>12813</v>
      </c>
      <c r="D13036" s="19" t="s">
        <v>28436</v>
      </c>
      <c r="E13036" s="19" t="s">
        <v>35383</v>
      </c>
      <c r="F13036" s="19" t="s">
        <v>36021</v>
      </c>
      <c r="G13036" s="18" t="str">
        <f>"24314"</f>
        <v>24314</v>
      </c>
      <c r="H13036" s="19" t="s">
        <v>36879</v>
      </c>
      <c r="I13036" s="20">
        <v>17.469000000000001</v>
      </c>
      <c r="J13036" s="44" t="s">
        <v>8</v>
      </c>
      <c r="K13036" s="23" t="s">
        <v>8</v>
      </c>
      <c r="L13036" s="23" t="s">
        <v>8</v>
      </c>
      <c r="M13036" s="23" t="s">
        <v>8</v>
      </c>
    </row>
    <row r="13037" spans="1:13" s="21" customFormat="1" x14ac:dyDescent="0.25">
      <c r="A13037" s="22" t="s">
        <v>8</v>
      </c>
      <c r="B13037" s="18" t="str">
        <f>"495192"</f>
        <v>495192</v>
      </c>
      <c r="C13037" s="19" t="s">
        <v>12814</v>
      </c>
      <c r="D13037" s="19" t="s">
        <v>28437</v>
      </c>
      <c r="E13037" s="19" t="s">
        <v>31746</v>
      </c>
      <c r="F13037" s="19" t="s">
        <v>36021</v>
      </c>
      <c r="G13037" s="18" t="str">
        <f>"23868"</f>
        <v>23868</v>
      </c>
      <c r="H13037" s="19" t="s">
        <v>31794</v>
      </c>
      <c r="I13037" s="20">
        <v>18.734000000000002</v>
      </c>
      <c r="J13037" s="44" t="s">
        <v>8</v>
      </c>
      <c r="K13037" s="23" t="s">
        <v>8</v>
      </c>
      <c r="L13037" s="23" t="s">
        <v>8</v>
      </c>
      <c r="M13037" s="23" t="s">
        <v>8</v>
      </c>
    </row>
    <row r="13038" spans="1:13" s="21" customFormat="1" x14ac:dyDescent="0.25">
      <c r="A13038" s="22" t="s">
        <v>8</v>
      </c>
      <c r="B13038" s="18" t="str">
        <f>"495193"</f>
        <v>495193</v>
      </c>
      <c r="C13038" s="19" t="s">
        <v>12815</v>
      </c>
      <c r="D13038" s="19" t="s">
        <v>28438</v>
      </c>
      <c r="E13038" s="19" t="s">
        <v>35384</v>
      </c>
      <c r="F13038" s="19" t="s">
        <v>36021</v>
      </c>
      <c r="G13038" s="18" t="str">
        <f>"23075"</f>
        <v>23075</v>
      </c>
      <c r="H13038" s="19" t="s">
        <v>36859</v>
      </c>
      <c r="I13038" s="20">
        <v>17.099</v>
      </c>
      <c r="J13038" s="44" t="s">
        <v>8</v>
      </c>
      <c r="K13038" s="23" t="s">
        <v>8</v>
      </c>
      <c r="L13038" s="23" t="s">
        <v>8</v>
      </c>
      <c r="M13038" s="23" t="s">
        <v>8</v>
      </c>
    </row>
    <row r="13039" spans="1:13" s="21" customFormat="1" x14ac:dyDescent="0.25">
      <c r="A13039" s="22" t="s">
        <v>8</v>
      </c>
      <c r="B13039" s="18" t="str">
        <f>"495194"</f>
        <v>495194</v>
      </c>
      <c r="C13039" s="19" t="s">
        <v>12816</v>
      </c>
      <c r="D13039" s="19" t="s">
        <v>28439</v>
      </c>
      <c r="E13039" s="19" t="s">
        <v>33852</v>
      </c>
      <c r="F13039" s="19" t="s">
        <v>36021</v>
      </c>
      <c r="G13039" s="18" t="str">
        <f>"23707"</f>
        <v>23707</v>
      </c>
      <c r="H13039" s="19" t="s">
        <v>36874</v>
      </c>
      <c r="I13039" s="20">
        <v>21.094000000000001</v>
      </c>
      <c r="J13039" s="44" t="s">
        <v>8</v>
      </c>
      <c r="K13039" s="23" t="s">
        <v>8</v>
      </c>
      <c r="L13039" s="23" t="s">
        <v>8</v>
      </c>
      <c r="M13039" s="23" t="s">
        <v>8</v>
      </c>
    </row>
    <row r="13040" spans="1:13" s="21" customFormat="1" x14ac:dyDescent="0.25">
      <c r="A13040" s="22" t="s">
        <v>8</v>
      </c>
      <c r="B13040" s="18" t="str">
        <f>"495196"</f>
        <v>495196</v>
      </c>
      <c r="C13040" s="19" t="s">
        <v>12817</v>
      </c>
      <c r="D13040" s="19" t="s">
        <v>28440</v>
      </c>
      <c r="E13040" s="19" t="s">
        <v>35385</v>
      </c>
      <c r="F13040" s="19" t="s">
        <v>36021</v>
      </c>
      <c r="G13040" s="18" t="str">
        <f>"24517"</f>
        <v>24517</v>
      </c>
      <c r="H13040" s="19" t="s">
        <v>33699</v>
      </c>
      <c r="I13040" s="20">
        <v>16.478000000000002</v>
      </c>
      <c r="J13040" s="44" t="s">
        <v>8</v>
      </c>
      <c r="K13040" s="23" t="s">
        <v>8</v>
      </c>
      <c r="L13040" s="23" t="s">
        <v>8</v>
      </c>
      <c r="M13040" s="23" t="s">
        <v>8</v>
      </c>
    </row>
    <row r="13041" spans="1:13" s="21" customFormat="1" x14ac:dyDescent="0.25">
      <c r="A13041" s="22" t="s">
        <v>8</v>
      </c>
      <c r="B13041" s="18" t="str">
        <f>"495197"</f>
        <v>495197</v>
      </c>
      <c r="C13041" s="19" t="s">
        <v>12818</v>
      </c>
      <c r="D13041" s="19" t="s">
        <v>28441</v>
      </c>
      <c r="E13041" s="19" t="s">
        <v>35386</v>
      </c>
      <c r="F13041" s="19" t="s">
        <v>36021</v>
      </c>
      <c r="G13041" s="18" t="str">
        <f>"22060"</f>
        <v>22060</v>
      </c>
      <c r="H13041" s="19" t="s">
        <v>33392</v>
      </c>
      <c r="I13041" s="20">
        <v>21.564</v>
      </c>
      <c r="J13041" s="44" t="s">
        <v>8</v>
      </c>
      <c r="K13041" s="23" t="s">
        <v>8</v>
      </c>
      <c r="L13041" s="23" t="s">
        <v>8</v>
      </c>
      <c r="M13041" s="23" t="s">
        <v>8</v>
      </c>
    </row>
    <row r="13042" spans="1:13" s="21" customFormat="1" x14ac:dyDescent="0.25">
      <c r="A13042" s="22" t="s">
        <v>8</v>
      </c>
      <c r="B13042" s="18" t="str">
        <f>"495199"</f>
        <v>495199</v>
      </c>
      <c r="C13042" s="19" t="s">
        <v>12819</v>
      </c>
      <c r="D13042" s="19" t="s">
        <v>28442</v>
      </c>
      <c r="E13042" s="19" t="s">
        <v>32573</v>
      </c>
      <c r="F13042" s="19" t="s">
        <v>36021</v>
      </c>
      <c r="G13042" s="18" t="str">
        <f>"23847"</f>
        <v>23847</v>
      </c>
      <c r="H13042" s="19" t="s">
        <v>36850</v>
      </c>
      <c r="I13042" s="20">
        <v>16.678999999999998</v>
      </c>
      <c r="J13042" s="44" t="s">
        <v>8</v>
      </c>
      <c r="K13042" s="23" t="s">
        <v>8</v>
      </c>
      <c r="L13042" s="23" t="s">
        <v>8</v>
      </c>
      <c r="M13042" s="23" t="s">
        <v>8</v>
      </c>
    </row>
    <row r="13043" spans="1:13" s="21" customFormat="1" x14ac:dyDescent="0.25">
      <c r="A13043" s="22" t="s">
        <v>8</v>
      </c>
      <c r="B13043" s="18" t="str">
        <f>"495200"</f>
        <v>495200</v>
      </c>
      <c r="C13043" s="19" t="s">
        <v>7981</v>
      </c>
      <c r="D13043" s="19" t="s">
        <v>28443</v>
      </c>
      <c r="E13043" s="19" t="s">
        <v>35387</v>
      </c>
      <c r="F13043" s="19" t="s">
        <v>36021</v>
      </c>
      <c r="G13043" s="18" t="str">
        <f>"24605"</f>
        <v>24605</v>
      </c>
      <c r="H13043" s="19" t="s">
        <v>35147</v>
      </c>
      <c r="I13043" s="20">
        <v>20.027000000000001</v>
      </c>
      <c r="J13043" s="44" t="s">
        <v>8</v>
      </c>
      <c r="K13043" s="23" t="s">
        <v>8</v>
      </c>
      <c r="L13043" s="23" t="s">
        <v>8</v>
      </c>
      <c r="M13043" s="23" t="s">
        <v>8</v>
      </c>
    </row>
    <row r="13044" spans="1:13" s="21" customFormat="1" x14ac:dyDescent="0.25">
      <c r="A13044" s="22" t="s">
        <v>8</v>
      </c>
      <c r="B13044" s="18" t="str">
        <f>"495201"</f>
        <v>495201</v>
      </c>
      <c r="C13044" s="19" t="s">
        <v>12820</v>
      </c>
      <c r="D13044" s="19" t="s">
        <v>28444</v>
      </c>
      <c r="E13044" s="19" t="s">
        <v>33852</v>
      </c>
      <c r="F13044" s="19" t="s">
        <v>36021</v>
      </c>
      <c r="G13044" s="18" t="str">
        <f>"23701"</f>
        <v>23701</v>
      </c>
      <c r="H13044" s="19" t="s">
        <v>36874</v>
      </c>
      <c r="I13044" s="20">
        <v>18.190999999999999</v>
      </c>
      <c r="J13044" s="44" t="s">
        <v>8</v>
      </c>
      <c r="K13044" s="23" t="s">
        <v>8</v>
      </c>
      <c r="L13044" s="23" t="s">
        <v>8</v>
      </c>
      <c r="M13044" s="23" t="s">
        <v>8</v>
      </c>
    </row>
    <row r="13045" spans="1:13" s="21" customFormat="1" x14ac:dyDescent="0.25">
      <c r="A13045" s="22" t="s">
        <v>8</v>
      </c>
      <c r="B13045" s="18" t="str">
        <f>"495202"</f>
        <v>495202</v>
      </c>
      <c r="C13045" s="19" t="s">
        <v>12821</v>
      </c>
      <c r="D13045" s="19" t="s">
        <v>28445</v>
      </c>
      <c r="E13045" s="19" t="s">
        <v>32789</v>
      </c>
      <c r="F13045" s="19" t="s">
        <v>36021</v>
      </c>
      <c r="G13045" s="18" t="str">
        <f>"24557"</f>
        <v>24557</v>
      </c>
      <c r="H13045" s="19" t="s">
        <v>36880</v>
      </c>
      <c r="I13045" s="20">
        <v>17.760000000000002</v>
      </c>
      <c r="J13045" s="44" t="s">
        <v>8</v>
      </c>
      <c r="K13045" s="23" t="s">
        <v>8</v>
      </c>
      <c r="L13045" s="23" t="s">
        <v>8</v>
      </c>
      <c r="M13045" s="23" t="s">
        <v>8</v>
      </c>
    </row>
    <row r="13046" spans="1:13" s="21" customFormat="1" x14ac:dyDescent="0.25">
      <c r="A13046" s="22" t="s">
        <v>8</v>
      </c>
      <c r="B13046" s="18" t="str">
        <f>"495203"</f>
        <v>495203</v>
      </c>
      <c r="C13046" s="19" t="s">
        <v>12822</v>
      </c>
      <c r="D13046" s="19" t="s">
        <v>28446</v>
      </c>
      <c r="E13046" s="19" t="s">
        <v>32288</v>
      </c>
      <c r="F13046" s="19" t="s">
        <v>36021</v>
      </c>
      <c r="G13046" s="18" t="str">
        <f>"22302"</f>
        <v>22302</v>
      </c>
      <c r="H13046" s="19" t="s">
        <v>36856</v>
      </c>
      <c r="I13046" s="20">
        <v>16.951000000000001</v>
      </c>
      <c r="J13046" s="44" t="s">
        <v>8</v>
      </c>
      <c r="K13046" s="23" t="s">
        <v>8</v>
      </c>
      <c r="L13046" s="23" t="s">
        <v>8</v>
      </c>
      <c r="M13046" s="23" t="s">
        <v>8</v>
      </c>
    </row>
    <row r="13047" spans="1:13" s="21" customFormat="1" x14ac:dyDescent="0.25">
      <c r="A13047" s="22" t="s">
        <v>8</v>
      </c>
      <c r="B13047" s="18" t="str">
        <f>"495204"</f>
        <v>495204</v>
      </c>
      <c r="C13047" s="19" t="s">
        <v>12823</v>
      </c>
      <c r="D13047" s="19" t="s">
        <v>28447</v>
      </c>
      <c r="E13047" s="19" t="s">
        <v>35366</v>
      </c>
      <c r="F13047" s="19" t="s">
        <v>36021</v>
      </c>
      <c r="G13047" s="18" t="str">
        <f>"23602"</f>
        <v>23602</v>
      </c>
      <c r="H13047" s="19" t="s">
        <v>36861</v>
      </c>
      <c r="I13047" s="20">
        <v>17.198</v>
      </c>
      <c r="J13047" s="44" t="s">
        <v>8</v>
      </c>
      <c r="K13047" s="23" t="s">
        <v>8</v>
      </c>
      <c r="L13047" s="23" t="s">
        <v>8</v>
      </c>
      <c r="M13047" s="23" t="s">
        <v>8</v>
      </c>
    </row>
    <row r="13048" spans="1:13" s="21" customFormat="1" x14ac:dyDescent="0.25">
      <c r="A13048" s="22" t="s">
        <v>8</v>
      </c>
      <c r="B13048" s="18" t="str">
        <f>"495205"</f>
        <v>495205</v>
      </c>
      <c r="C13048" s="19" t="s">
        <v>12824</v>
      </c>
      <c r="D13048" s="19" t="s">
        <v>28448</v>
      </c>
      <c r="E13048" s="19" t="s">
        <v>35388</v>
      </c>
      <c r="F13048" s="19" t="s">
        <v>36021</v>
      </c>
      <c r="G13048" s="18" t="str">
        <f>"22027"</f>
        <v>22027</v>
      </c>
      <c r="H13048" s="19" t="s">
        <v>33392</v>
      </c>
      <c r="I13048" s="20">
        <v>18.815000000000001</v>
      </c>
      <c r="J13048" s="44" t="s">
        <v>8</v>
      </c>
      <c r="K13048" s="23" t="s">
        <v>8</v>
      </c>
      <c r="L13048" s="23" t="s">
        <v>8</v>
      </c>
      <c r="M13048" s="23" t="s">
        <v>8</v>
      </c>
    </row>
    <row r="13049" spans="1:13" s="21" customFormat="1" x14ac:dyDescent="0.25">
      <c r="A13049" s="22" t="s">
        <v>8</v>
      </c>
      <c r="B13049" s="18" t="str">
        <f>"495206"</f>
        <v>495206</v>
      </c>
      <c r="C13049" s="19" t="s">
        <v>12825</v>
      </c>
      <c r="D13049" s="19" t="s">
        <v>28449</v>
      </c>
      <c r="E13049" s="19" t="s">
        <v>35389</v>
      </c>
      <c r="F13049" s="19" t="s">
        <v>36021</v>
      </c>
      <c r="G13049" s="18" t="str">
        <f>"23435"</f>
        <v>23435</v>
      </c>
      <c r="H13049" s="19" t="s">
        <v>36881</v>
      </c>
      <c r="I13049" s="20">
        <v>13.85</v>
      </c>
      <c r="J13049" s="44" t="s">
        <v>8</v>
      </c>
      <c r="K13049" s="23" t="s">
        <v>8</v>
      </c>
      <c r="L13049" s="23" t="s">
        <v>8</v>
      </c>
      <c r="M13049" s="23" t="s">
        <v>8</v>
      </c>
    </row>
    <row r="13050" spans="1:13" s="21" customFormat="1" x14ac:dyDescent="0.25">
      <c r="A13050" s="22" t="s">
        <v>8</v>
      </c>
      <c r="B13050" s="18" t="str">
        <f>"495207"</f>
        <v>495207</v>
      </c>
      <c r="C13050" s="19" t="s">
        <v>12826</v>
      </c>
      <c r="D13050" s="19" t="s">
        <v>28450</v>
      </c>
      <c r="E13050" s="19" t="s">
        <v>34264</v>
      </c>
      <c r="F13050" s="19" t="s">
        <v>36021</v>
      </c>
      <c r="G13050" s="18" t="str">
        <f>"24151"</f>
        <v>24151</v>
      </c>
      <c r="H13050" s="19" t="s">
        <v>5</v>
      </c>
      <c r="I13050" s="20">
        <v>18.742000000000001</v>
      </c>
      <c r="J13050" s="44" t="s">
        <v>8</v>
      </c>
      <c r="K13050" s="23" t="s">
        <v>8</v>
      </c>
      <c r="L13050" s="23" t="s">
        <v>8</v>
      </c>
      <c r="M13050" s="23" t="s">
        <v>8</v>
      </c>
    </row>
    <row r="13051" spans="1:13" s="21" customFormat="1" x14ac:dyDescent="0.25">
      <c r="A13051" s="22" t="s">
        <v>8</v>
      </c>
      <c r="B13051" s="18" t="str">
        <f>"495209"</f>
        <v>495209</v>
      </c>
      <c r="C13051" s="19" t="s">
        <v>12827</v>
      </c>
      <c r="D13051" s="19" t="s">
        <v>28451</v>
      </c>
      <c r="E13051" s="19" t="s">
        <v>30859</v>
      </c>
      <c r="F13051" s="19" t="s">
        <v>36021</v>
      </c>
      <c r="G13051" s="18" t="str">
        <f>"24015"</f>
        <v>24015</v>
      </c>
      <c r="H13051" s="19" t="s">
        <v>36853</v>
      </c>
      <c r="I13051" s="20">
        <v>17.045000000000002</v>
      </c>
      <c r="J13051" s="44" t="s">
        <v>8</v>
      </c>
      <c r="K13051" s="23" t="s">
        <v>8</v>
      </c>
      <c r="L13051" s="23" t="s">
        <v>8</v>
      </c>
      <c r="M13051" s="23" t="s">
        <v>8</v>
      </c>
    </row>
    <row r="13052" spans="1:13" s="21" customFormat="1" x14ac:dyDescent="0.25">
      <c r="A13052" s="22" t="s">
        <v>8</v>
      </c>
      <c r="B13052" s="18" t="str">
        <f>"495210"</f>
        <v>495210</v>
      </c>
      <c r="C13052" s="19" t="s">
        <v>12828</v>
      </c>
      <c r="D13052" s="19" t="s">
        <v>28452</v>
      </c>
      <c r="E13052" s="19" t="s">
        <v>33776</v>
      </c>
      <c r="F13052" s="19" t="s">
        <v>36021</v>
      </c>
      <c r="G13052" s="18" t="str">
        <f>"23504"</f>
        <v>23504</v>
      </c>
      <c r="H13052" s="19" t="s">
        <v>36860</v>
      </c>
      <c r="I13052" s="20">
        <v>19.550999999999998</v>
      </c>
      <c r="J13052" s="44" t="s">
        <v>8</v>
      </c>
      <c r="K13052" s="23" t="s">
        <v>8</v>
      </c>
      <c r="L13052" s="23" t="s">
        <v>8</v>
      </c>
      <c r="M13052" s="23" t="s">
        <v>8</v>
      </c>
    </row>
    <row r="13053" spans="1:13" s="21" customFormat="1" x14ac:dyDescent="0.25">
      <c r="A13053" s="22" t="s">
        <v>8</v>
      </c>
      <c r="B13053" s="18" t="str">
        <f>"495211"</f>
        <v>495211</v>
      </c>
      <c r="C13053" s="19" t="s">
        <v>12829</v>
      </c>
      <c r="D13053" s="19" t="s">
        <v>28453</v>
      </c>
      <c r="E13053" s="19" t="s">
        <v>32288</v>
      </c>
      <c r="F13053" s="19" t="s">
        <v>36021</v>
      </c>
      <c r="G13053" s="18" t="str">
        <f>"22306"</f>
        <v>22306</v>
      </c>
      <c r="H13053" s="19" t="s">
        <v>33392</v>
      </c>
      <c r="I13053" s="20">
        <v>22.809000000000001</v>
      </c>
      <c r="J13053" s="44" t="s">
        <v>8</v>
      </c>
      <c r="K13053" s="23" t="s">
        <v>8</v>
      </c>
      <c r="L13053" s="23" t="s">
        <v>8</v>
      </c>
      <c r="M13053" s="23" t="s">
        <v>8</v>
      </c>
    </row>
    <row r="13054" spans="1:13" s="21" customFormat="1" x14ac:dyDescent="0.25">
      <c r="A13054" s="22" t="s">
        <v>8</v>
      </c>
      <c r="B13054" s="18" t="str">
        <f>"495213"</f>
        <v>495213</v>
      </c>
      <c r="C13054" s="19" t="s">
        <v>12830</v>
      </c>
      <c r="D13054" s="19" t="s">
        <v>28454</v>
      </c>
      <c r="E13054" s="19" t="s">
        <v>35368</v>
      </c>
      <c r="F13054" s="19" t="s">
        <v>36021</v>
      </c>
      <c r="G13054" s="18" t="str">
        <f>"23455"</f>
        <v>23455</v>
      </c>
      <c r="H13054" s="19" t="s">
        <v>36864</v>
      </c>
      <c r="I13054" s="20">
        <v>22.396999999999998</v>
      </c>
      <c r="J13054" s="44" t="s">
        <v>8</v>
      </c>
      <c r="K13054" s="23" t="s">
        <v>8</v>
      </c>
      <c r="L13054" s="23" t="s">
        <v>8</v>
      </c>
      <c r="M13054" s="23" t="s">
        <v>8</v>
      </c>
    </row>
    <row r="13055" spans="1:13" s="21" customFormat="1" x14ac:dyDescent="0.25">
      <c r="A13055" s="22" t="s">
        <v>8</v>
      </c>
      <c r="B13055" s="18" t="str">
        <f>"495214"</f>
        <v>495214</v>
      </c>
      <c r="C13055" s="19" t="s">
        <v>12831</v>
      </c>
      <c r="D13055" s="19" t="s">
        <v>28455</v>
      </c>
      <c r="E13055" s="19" t="s">
        <v>35390</v>
      </c>
      <c r="F13055" s="19" t="s">
        <v>36021</v>
      </c>
      <c r="G13055" s="18" t="str">
        <f>"22939"</f>
        <v>22939</v>
      </c>
      <c r="H13055" s="19" t="s">
        <v>31714</v>
      </c>
      <c r="I13055" s="20">
        <v>17.736000000000001</v>
      </c>
      <c r="J13055" s="44" t="s">
        <v>8</v>
      </c>
      <c r="K13055" s="23" t="s">
        <v>8</v>
      </c>
      <c r="L13055" s="23" t="s">
        <v>8</v>
      </c>
      <c r="M13055" s="23" t="s">
        <v>8</v>
      </c>
    </row>
    <row r="13056" spans="1:13" s="21" customFormat="1" x14ac:dyDescent="0.25">
      <c r="A13056" s="22" t="s">
        <v>8</v>
      </c>
      <c r="B13056" s="18" t="str">
        <f>"495215"</f>
        <v>495215</v>
      </c>
      <c r="C13056" s="19" t="s">
        <v>12832</v>
      </c>
      <c r="D13056" s="19" t="s">
        <v>28456</v>
      </c>
      <c r="E13056" s="19" t="s">
        <v>35370</v>
      </c>
      <c r="F13056" s="19" t="s">
        <v>36021</v>
      </c>
      <c r="G13056" s="18" t="str">
        <f>"23320"</f>
        <v>23320</v>
      </c>
      <c r="H13056" s="19" t="s">
        <v>36867</v>
      </c>
      <c r="I13056" s="20">
        <v>21.829000000000001</v>
      </c>
      <c r="J13056" s="44" t="s">
        <v>8</v>
      </c>
      <c r="K13056" s="23" t="s">
        <v>8</v>
      </c>
      <c r="L13056" s="23" t="s">
        <v>8</v>
      </c>
      <c r="M13056" s="23" t="s">
        <v>8</v>
      </c>
    </row>
    <row r="13057" spans="1:13" s="21" customFormat="1" x14ac:dyDescent="0.25">
      <c r="A13057" s="22" t="s">
        <v>8</v>
      </c>
      <c r="B13057" s="18" t="str">
        <f>"495216"</f>
        <v>495216</v>
      </c>
      <c r="C13057" s="19" t="s">
        <v>12833</v>
      </c>
      <c r="D13057" s="19" t="s">
        <v>28457</v>
      </c>
      <c r="E13057" s="19" t="s">
        <v>35391</v>
      </c>
      <c r="F13057" s="19" t="s">
        <v>36021</v>
      </c>
      <c r="G13057" s="18" t="str">
        <f>"24055"</f>
        <v>24055</v>
      </c>
      <c r="H13057" s="19" t="s">
        <v>32041</v>
      </c>
      <c r="I13057" s="20">
        <v>18.812999999999999</v>
      </c>
      <c r="J13057" s="44" t="s">
        <v>8</v>
      </c>
      <c r="K13057" s="23" t="s">
        <v>8</v>
      </c>
      <c r="L13057" s="23" t="s">
        <v>8</v>
      </c>
      <c r="M13057" s="23" t="s">
        <v>8</v>
      </c>
    </row>
    <row r="13058" spans="1:13" s="21" customFormat="1" x14ac:dyDescent="0.25">
      <c r="A13058" s="22" t="s">
        <v>8</v>
      </c>
      <c r="B13058" s="18" t="str">
        <f>"495217"</f>
        <v>495217</v>
      </c>
      <c r="C13058" s="19" t="s">
        <v>12834</v>
      </c>
      <c r="D13058" s="19" t="s">
        <v>28458</v>
      </c>
      <c r="E13058" s="19" t="s">
        <v>33392</v>
      </c>
      <c r="F13058" s="19" t="s">
        <v>36021</v>
      </c>
      <c r="G13058" s="18" t="str">
        <f>"22033"</f>
        <v>22033</v>
      </c>
      <c r="H13058" s="19" t="s">
        <v>33392</v>
      </c>
      <c r="I13058" s="20">
        <v>18.463999999999999</v>
      </c>
      <c r="J13058" s="44" t="s">
        <v>8</v>
      </c>
      <c r="K13058" s="23" t="s">
        <v>8</v>
      </c>
      <c r="L13058" s="23" t="s">
        <v>8</v>
      </c>
      <c r="M13058" s="23" t="s">
        <v>8</v>
      </c>
    </row>
    <row r="13059" spans="1:13" s="21" customFormat="1" x14ac:dyDescent="0.25">
      <c r="A13059" s="22" t="s">
        <v>8</v>
      </c>
      <c r="B13059" s="18" t="str">
        <f>"495218"</f>
        <v>495218</v>
      </c>
      <c r="C13059" s="19" t="s">
        <v>12835</v>
      </c>
      <c r="D13059" s="19" t="s">
        <v>28459</v>
      </c>
      <c r="E13059" s="19" t="s">
        <v>35392</v>
      </c>
      <c r="F13059" s="19" t="s">
        <v>36021</v>
      </c>
      <c r="G13059" s="18" t="str">
        <f>"24090"</f>
        <v>24090</v>
      </c>
      <c r="H13059" s="19" t="s">
        <v>36882</v>
      </c>
      <c r="I13059" s="20">
        <v>19.228999999999999</v>
      </c>
      <c r="J13059" s="44" t="s">
        <v>8</v>
      </c>
      <c r="K13059" s="23" t="s">
        <v>8</v>
      </c>
      <c r="L13059" s="23" t="s">
        <v>8</v>
      </c>
      <c r="M13059" s="23" t="s">
        <v>8</v>
      </c>
    </row>
    <row r="13060" spans="1:13" s="21" customFormat="1" x14ac:dyDescent="0.25">
      <c r="A13060" s="22" t="s">
        <v>8</v>
      </c>
      <c r="B13060" s="18" t="str">
        <f>"495220"</f>
        <v>495220</v>
      </c>
      <c r="C13060" s="19" t="s">
        <v>12836</v>
      </c>
      <c r="D13060" s="19" t="s">
        <v>28460</v>
      </c>
      <c r="E13060" s="19" t="s">
        <v>30990</v>
      </c>
      <c r="F13060" s="19" t="s">
        <v>36021</v>
      </c>
      <c r="G13060" s="18" t="str">
        <f>"24445"</f>
        <v>24445</v>
      </c>
      <c r="H13060" s="19" t="s">
        <v>32893</v>
      </c>
      <c r="I13060" s="20">
        <v>22.126000000000001</v>
      </c>
      <c r="J13060" s="44" t="s">
        <v>8</v>
      </c>
      <c r="K13060" s="23" t="s">
        <v>8</v>
      </c>
      <c r="L13060" s="23" t="s">
        <v>8</v>
      </c>
      <c r="M13060" s="23" t="s">
        <v>8</v>
      </c>
    </row>
    <row r="13061" spans="1:13" s="21" customFormat="1" x14ac:dyDescent="0.25">
      <c r="A13061" s="22" t="s">
        <v>8</v>
      </c>
      <c r="B13061" s="18" t="str">
        <f>"495221"</f>
        <v>495221</v>
      </c>
      <c r="C13061" s="19" t="s">
        <v>12837</v>
      </c>
      <c r="D13061" s="19" t="s">
        <v>28461</v>
      </c>
      <c r="E13061" s="19" t="s">
        <v>35393</v>
      </c>
      <c r="F13061" s="19" t="s">
        <v>36021</v>
      </c>
      <c r="G13061" s="18" t="str">
        <f>"24457"</f>
        <v>24457</v>
      </c>
      <c r="H13061" s="19" t="s">
        <v>36643</v>
      </c>
      <c r="I13061" s="20">
        <v>21.699000000000002</v>
      </c>
      <c r="J13061" s="44" t="s">
        <v>8</v>
      </c>
      <c r="K13061" s="23" t="s">
        <v>8</v>
      </c>
      <c r="L13061" s="23" t="s">
        <v>8</v>
      </c>
      <c r="M13061" s="23" t="s">
        <v>8</v>
      </c>
    </row>
    <row r="13062" spans="1:13" s="21" customFormat="1" x14ac:dyDescent="0.25">
      <c r="A13062" s="22" t="s">
        <v>8</v>
      </c>
      <c r="B13062" s="18" t="str">
        <f>"495223"</f>
        <v>495223</v>
      </c>
      <c r="C13062" s="19" t="s">
        <v>12838</v>
      </c>
      <c r="D13062" s="19" t="s">
        <v>28462</v>
      </c>
      <c r="E13062" s="19" t="s">
        <v>31178</v>
      </c>
      <c r="F13062" s="19" t="s">
        <v>36021</v>
      </c>
      <c r="G13062" s="18" t="str">
        <f>"23225"</f>
        <v>23225</v>
      </c>
      <c r="H13062" s="19" t="s">
        <v>36883</v>
      </c>
      <c r="I13062" s="20">
        <v>18.48</v>
      </c>
      <c r="J13062" s="44" t="s">
        <v>8</v>
      </c>
      <c r="K13062" s="23" t="s">
        <v>8</v>
      </c>
      <c r="L13062" s="23" t="s">
        <v>8</v>
      </c>
      <c r="M13062" s="23" t="s">
        <v>8</v>
      </c>
    </row>
    <row r="13063" spans="1:13" s="21" customFormat="1" x14ac:dyDescent="0.25">
      <c r="A13063" s="22" t="s">
        <v>8</v>
      </c>
      <c r="B13063" s="18" t="str">
        <f>"495225"</f>
        <v>495225</v>
      </c>
      <c r="C13063" s="19" t="s">
        <v>12839</v>
      </c>
      <c r="D13063" s="19" t="s">
        <v>28463</v>
      </c>
      <c r="E13063" s="19" t="s">
        <v>35376</v>
      </c>
      <c r="F13063" s="19" t="s">
        <v>36021</v>
      </c>
      <c r="G13063" s="18" t="str">
        <f>"22911"</f>
        <v>22911</v>
      </c>
      <c r="H13063" s="19" t="s">
        <v>34256</v>
      </c>
      <c r="I13063" s="20">
        <v>18.39</v>
      </c>
      <c r="J13063" s="44" t="s">
        <v>8</v>
      </c>
      <c r="K13063" s="23" t="s">
        <v>8</v>
      </c>
      <c r="L13063" s="23" t="s">
        <v>8</v>
      </c>
      <c r="M13063" s="23" t="s">
        <v>8</v>
      </c>
    </row>
    <row r="13064" spans="1:13" s="21" customFormat="1" x14ac:dyDescent="0.25">
      <c r="A13064" s="22" t="s">
        <v>8</v>
      </c>
      <c r="B13064" s="18" t="str">
        <f>"495226"</f>
        <v>495226</v>
      </c>
      <c r="C13064" s="19" t="s">
        <v>12840</v>
      </c>
      <c r="D13064" s="19" t="s">
        <v>28464</v>
      </c>
      <c r="E13064" s="19" t="s">
        <v>31841</v>
      </c>
      <c r="F13064" s="19" t="s">
        <v>36021</v>
      </c>
      <c r="G13064" s="18" t="str">
        <f>"23947"</f>
        <v>23947</v>
      </c>
      <c r="H13064" s="19" t="s">
        <v>33156</v>
      </c>
      <c r="I13064" s="20">
        <v>19.143000000000001</v>
      </c>
      <c r="J13064" s="44" t="s">
        <v>8</v>
      </c>
      <c r="K13064" s="23" t="s">
        <v>8</v>
      </c>
      <c r="L13064" s="23" t="s">
        <v>8</v>
      </c>
      <c r="M13064" s="23" t="s">
        <v>8</v>
      </c>
    </row>
    <row r="13065" spans="1:13" s="21" customFormat="1" x14ac:dyDescent="0.25">
      <c r="A13065" s="22" t="s">
        <v>8</v>
      </c>
      <c r="B13065" s="18" t="str">
        <f>"495227"</f>
        <v>495227</v>
      </c>
      <c r="C13065" s="19" t="s">
        <v>12841</v>
      </c>
      <c r="D13065" s="19" t="s">
        <v>28465</v>
      </c>
      <c r="E13065" s="19" t="s">
        <v>31178</v>
      </c>
      <c r="F13065" s="19" t="s">
        <v>36021</v>
      </c>
      <c r="G13065" s="18" t="str">
        <f>"23226"</f>
        <v>23226</v>
      </c>
      <c r="H13065" s="19" t="s">
        <v>36859</v>
      </c>
      <c r="I13065" s="20">
        <v>18.975000000000001</v>
      </c>
      <c r="J13065" s="44" t="s">
        <v>8</v>
      </c>
      <c r="K13065" s="23" t="s">
        <v>8</v>
      </c>
      <c r="L13065" s="23" t="s">
        <v>8</v>
      </c>
      <c r="M13065" s="23" t="s">
        <v>8</v>
      </c>
    </row>
    <row r="13066" spans="1:13" s="21" customFormat="1" x14ac:dyDescent="0.25">
      <c r="A13066" s="22" t="s">
        <v>8</v>
      </c>
      <c r="B13066" s="18" t="str">
        <f>"495230"</f>
        <v>495230</v>
      </c>
      <c r="C13066" s="19" t="s">
        <v>12842</v>
      </c>
      <c r="D13066" s="19" t="s">
        <v>28466</v>
      </c>
      <c r="E13066" s="19" t="s">
        <v>35394</v>
      </c>
      <c r="F13066" s="19" t="s">
        <v>36021</v>
      </c>
      <c r="G13066" s="18" t="str">
        <f>"23055"</f>
        <v>23055</v>
      </c>
      <c r="H13066" s="19" t="s">
        <v>36884</v>
      </c>
      <c r="I13066" s="20">
        <v>19.459</v>
      </c>
      <c r="J13066" s="44" t="s">
        <v>8</v>
      </c>
      <c r="K13066" s="23" t="s">
        <v>8</v>
      </c>
      <c r="L13066" s="23" t="s">
        <v>8</v>
      </c>
      <c r="M13066" s="23" t="s">
        <v>8</v>
      </c>
    </row>
    <row r="13067" spans="1:13" s="21" customFormat="1" x14ac:dyDescent="0.25">
      <c r="A13067" s="22" t="s">
        <v>8</v>
      </c>
      <c r="B13067" s="18" t="str">
        <f>"495232"</f>
        <v>495232</v>
      </c>
      <c r="C13067" s="19" t="s">
        <v>12843</v>
      </c>
      <c r="D13067" s="19" t="s">
        <v>28467</v>
      </c>
      <c r="E13067" s="19" t="s">
        <v>35368</v>
      </c>
      <c r="F13067" s="19" t="s">
        <v>36021</v>
      </c>
      <c r="G13067" s="18" t="str">
        <f>"23464"</f>
        <v>23464</v>
      </c>
      <c r="H13067" s="19" t="s">
        <v>36864</v>
      </c>
      <c r="I13067" s="20">
        <v>20.423999999999999</v>
      </c>
      <c r="J13067" s="44" t="s">
        <v>8</v>
      </c>
      <c r="K13067" s="23" t="s">
        <v>8</v>
      </c>
      <c r="L13067" s="23" t="s">
        <v>8</v>
      </c>
      <c r="M13067" s="23" t="s">
        <v>8</v>
      </c>
    </row>
    <row r="13068" spans="1:13" s="21" customFormat="1" x14ac:dyDescent="0.25">
      <c r="A13068" s="22" t="s">
        <v>8</v>
      </c>
      <c r="B13068" s="18" t="str">
        <f>"495233"</f>
        <v>495233</v>
      </c>
      <c r="C13068" s="19" t="s">
        <v>12844</v>
      </c>
      <c r="D13068" s="19" t="s">
        <v>28468</v>
      </c>
      <c r="E13068" s="19" t="s">
        <v>31737</v>
      </c>
      <c r="F13068" s="19" t="s">
        <v>36021</v>
      </c>
      <c r="G13068" s="18" t="str">
        <f>"20186"</f>
        <v>20186</v>
      </c>
      <c r="H13068" s="19" t="s">
        <v>36885</v>
      </c>
      <c r="I13068" s="20">
        <v>23.103000000000002</v>
      </c>
      <c r="J13068" s="44" t="s">
        <v>8</v>
      </c>
      <c r="K13068" s="23" t="s">
        <v>8</v>
      </c>
      <c r="L13068" s="23" t="s">
        <v>8</v>
      </c>
      <c r="M13068" s="23" t="s">
        <v>8</v>
      </c>
    </row>
    <row r="13069" spans="1:13" s="21" customFormat="1" x14ac:dyDescent="0.25">
      <c r="A13069" s="22" t="s">
        <v>8</v>
      </c>
      <c r="B13069" s="18" t="str">
        <f>"495234"</f>
        <v>495234</v>
      </c>
      <c r="C13069" s="19" t="s">
        <v>12845</v>
      </c>
      <c r="D13069" s="19" t="s">
        <v>28469</v>
      </c>
      <c r="E13069" s="19" t="s">
        <v>35368</v>
      </c>
      <c r="F13069" s="19" t="s">
        <v>36021</v>
      </c>
      <c r="G13069" s="18" t="str">
        <f>"23462"</f>
        <v>23462</v>
      </c>
      <c r="H13069" s="19" t="s">
        <v>36864</v>
      </c>
      <c r="I13069" s="20">
        <v>19.678000000000001</v>
      </c>
      <c r="J13069" s="44" t="s">
        <v>8</v>
      </c>
      <c r="K13069" s="23" t="s">
        <v>8</v>
      </c>
      <c r="L13069" s="23" t="s">
        <v>8</v>
      </c>
      <c r="M13069" s="23" t="s">
        <v>8</v>
      </c>
    </row>
    <row r="13070" spans="1:13" s="21" customFormat="1" x14ac:dyDescent="0.25">
      <c r="A13070" s="22" t="s">
        <v>8</v>
      </c>
      <c r="B13070" s="18" t="str">
        <f>"495235"</f>
        <v>495235</v>
      </c>
      <c r="C13070" s="19" t="s">
        <v>12846</v>
      </c>
      <c r="D13070" s="19" t="s">
        <v>28470</v>
      </c>
      <c r="E13070" s="19" t="s">
        <v>32538</v>
      </c>
      <c r="F13070" s="19" t="s">
        <v>36021</v>
      </c>
      <c r="G13070" s="18" t="str">
        <f>"23185"</f>
        <v>23185</v>
      </c>
      <c r="H13070" s="19" t="s">
        <v>36878</v>
      </c>
      <c r="I13070" s="20">
        <v>21.149000000000001</v>
      </c>
      <c r="J13070" s="44" t="s">
        <v>8</v>
      </c>
      <c r="K13070" s="23" t="s">
        <v>8</v>
      </c>
      <c r="L13070" s="23" t="s">
        <v>8</v>
      </c>
      <c r="M13070" s="23" t="s">
        <v>8</v>
      </c>
    </row>
    <row r="13071" spans="1:13" s="21" customFormat="1" x14ac:dyDescent="0.25">
      <c r="A13071" s="22" t="s">
        <v>8</v>
      </c>
      <c r="B13071" s="18" t="str">
        <f>"495236"</f>
        <v>495236</v>
      </c>
      <c r="C13071" s="19" t="s">
        <v>12847</v>
      </c>
      <c r="D13071" s="19" t="s">
        <v>28471</v>
      </c>
      <c r="E13071" s="19" t="s">
        <v>35395</v>
      </c>
      <c r="F13071" s="19" t="s">
        <v>36021</v>
      </c>
      <c r="G13071" s="18" t="str">
        <f>"23063"</f>
        <v>23063</v>
      </c>
      <c r="H13071" s="19" t="s">
        <v>35395</v>
      </c>
      <c r="I13071" s="20">
        <v>19.141999999999999</v>
      </c>
      <c r="J13071" s="44" t="s">
        <v>8</v>
      </c>
      <c r="K13071" s="23" t="s">
        <v>8</v>
      </c>
      <c r="L13071" s="23" t="s">
        <v>8</v>
      </c>
      <c r="M13071" s="23" t="s">
        <v>8</v>
      </c>
    </row>
    <row r="13072" spans="1:13" s="21" customFormat="1" x14ac:dyDescent="0.25">
      <c r="A13072" s="22" t="s">
        <v>8</v>
      </c>
      <c r="B13072" s="18" t="str">
        <f>"495237"</f>
        <v>495237</v>
      </c>
      <c r="C13072" s="19" t="s">
        <v>12848</v>
      </c>
      <c r="D13072" s="19" t="s">
        <v>28472</v>
      </c>
      <c r="E13072" s="19" t="s">
        <v>35368</v>
      </c>
      <c r="F13072" s="19" t="s">
        <v>36021</v>
      </c>
      <c r="G13072" s="18" t="str">
        <f>"23454"</f>
        <v>23454</v>
      </c>
      <c r="H13072" s="19" t="s">
        <v>36864</v>
      </c>
      <c r="I13072" s="20">
        <v>20.646000000000001</v>
      </c>
      <c r="J13072" s="44" t="s">
        <v>8</v>
      </c>
      <c r="K13072" s="23" t="s">
        <v>8</v>
      </c>
      <c r="L13072" s="23" t="s">
        <v>8</v>
      </c>
      <c r="M13072" s="23" t="s">
        <v>8</v>
      </c>
    </row>
    <row r="13073" spans="1:13" s="21" customFormat="1" x14ac:dyDescent="0.25">
      <c r="A13073" s="22" t="s">
        <v>8</v>
      </c>
      <c r="B13073" s="18" t="str">
        <f>"495240"</f>
        <v>495240</v>
      </c>
      <c r="C13073" s="19" t="s">
        <v>12849</v>
      </c>
      <c r="D13073" s="19" t="s">
        <v>28473</v>
      </c>
      <c r="E13073" s="19" t="s">
        <v>35242</v>
      </c>
      <c r="F13073" s="19" t="s">
        <v>36021</v>
      </c>
      <c r="G13073" s="18" t="str">
        <f>"22407"</f>
        <v>22407</v>
      </c>
      <c r="H13073" s="19" t="s">
        <v>36886</v>
      </c>
      <c r="I13073" s="20">
        <v>23.791</v>
      </c>
      <c r="J13073" s="44" t="s">
        <v>8</v>
      </c>
      <c r="K13073" s="23" t="s">
        <v>8</v>
      </c>
      <c r="L13073" s="23" t="s">
        <v>8</v>
      </c>
      <c r="M13073" s="23" t="s">
        <v>8</v>
      </c>
    </row>
    <row r="13074" spans="1:13" s="21" customFormat="1" x14ac:dyDescent="0.25">
      <c r="A13074" s="22" t="s">
        <v>8</v>
      </c>
      <c r="B13074" s="18" t="str">
        <f>"495241"</f>
        <v>495241</v>
      </c>
      <c r="C13074" s="19" t="s">
        <v>12850</v>
      </c>
      <c r="D13074" s="19" t="s">
        <v>28474</v>
      </c>
      <c r="E13074" s="19" t="s">
        <v>35368</v>
      </c>
      <c r="F13074" s="19" t="s">
        <v>36021</v>
      </c>
      <c r="G13074" s="18" t="str">
        <f>"23452"</f>
        <v>23452</v>
      </c>
      <c r="H13074" s="19" t="s">
        <v>36864</v>
      </c>
      <c r="I13074" s="20">
        <v>19.498000000000001</v>
      </c>
      <c r="J13074" s="44" t="s">
        <v>8</v>
      </c>
      <c r="K13074" s="23" t="s">
        <v>8</v>
      </c>
      <c r="L13074" s="23" t="s">
        <v>8</v>
      </c>
      <c r="M13074" s="23" t="s">
        <v>8</v>
      </c>
    </row>
    <row r="13075" spans="1:13" s="21" customFormat="1" x14ac:dyDescent="0.25">
      <c r="A13075" s="22" t="s">
        <v>8</v>
      </c>
      <c r="B13075" s="18" t="str">
        <f>"495242"</f>
        <v>495242</v>
      </c>
      <c r="C13075" s="19" t="s">
        <v>12851</v>
      </c>
      <c r="D13075" s="19" t="s">
        <v>28475</v>
      </c>
      <c r="E13075" s="19" t="s">
        <v>35396</v>
      </c>
      <c r="F13075" s="19" t="s">
        <v>36021</v>
      </c>
      <c r="G13075" s="18" t="str">
        <f>"24528"</f>
        <v>24528</v>
      </c>
      <c r="H13075" s="19" t="s">
        <v>33699</v>
      </c>
      <c r="I13075" s="20">
        <v>18.954000000000001</v>
      </c>
      <c r="J13075" s="44" t="s">
        <v>8</v>
      </c>
      <c r="K13075" s="23" t="s">
        <v>8</v>
      </c>
      <c r="L13075" s="23" t="s">
        <v>8</v>
      </c>
      <c r="M13075" s="23" t="s">
        <v>8</v>
      </c>
    </row>
    <row r="13076" spans="1:13" s="21" customFormat="1" x14ac:dyDescent="0.25">
      <c r="A13076" s="22" t="s">
        <v>8</v>
      </c>
      <c r="B13076" s="18" t="str">
        <f>"495243"</f>
        <v>495243</v>
      </c>
      <c r="C13076" s="19" t="s">
        <v>12852</v>
      </c>
      <c r="D13076" s="19" t="s">
        <v>28476</v>
      </c>
      <c r="E13076" s="19" t="s">
        <v>31960</v>
      </c>
      <c r="F13076" s="19" t="s">
        <v>36021</v>
      </c>
      <c r="G13076" s="18" t="str">
        <f>"24402"</f>
        <v>24402</v>
      </c>
      <c r="H13076" s="19" t="s">
        <v>36887</v>
      </c>
      <c r="I13076" s="20">
        <v>16.861000000000001</v>
      </c>
      <c r="J13076" s="44" t="s">
        <v>8</v>
      </c>
      <c r="K13076" s="23" t="s">
        <v>8</v>
      </c>
      <c r="L13076" s="23" t="s">
        <v>8</v>
      </c>
      <c r="M13076" s="23" t="s">
        <v>8</v>
      </c>
    </row>
    <row r="13077" spans="1:13" s="21" customFormat="1" x14ac:dyDescent="0.25">
      <c r="A13077" s="22" t="s">
        <v>8</v>
      </c>
      <c r="B13077" s="18" t="str">
        <f>"495244"</f>
        <v>495244</v>
      </c>
      <c r="C13077" s="19" t="s">
        <v>12853</v>
      </c>
      <c r="D13077" s="19" t="s">
        <v>28477</v>
      </c>
      <c r="E13077" s="19" t="s">
        <v>30899</v>
      </c>
      <c r="F13077" s="19" t="s">
        <v>36021</v>
      </c>
      <c r="G13077" s="18" t="str">
        <f>"22727"</f>
        <v>22727</v>
      </c>
      <c r="H13077" s="19" t="s">
        <v>30899</v>
      </c>
      <c r="I13077" s="20">
        <v>20.725000000000001</v>
      </c>
      <c r="J13077" s="44" t="s">
        <v>8</v>
      </c>
      <c r="K13077" s="23" t="s">
        <v>8</v>
      </c>
      <c r="L13077" s="23" t="s">
        <v>8</v>
      </c>
      <c r="M13077" s="23" t="s">
        <v>8</v>
      </c>
    </row>
    <row r="13078" spans="1:13" s="21" customFormat="1" x14ac:dyDescent="0.25">
      <c r="A13078" s="22" t="s">
        <v>8</v>
      </c>
      <c r="B13078" s="18" t="str">
        <f>"495245"</f>
        <v>495245</v>
      </c>
      <c r="C13078" s="19" t="s">
        <v>12854</v>
      </c>
      <c r="D13078" s="19" t="s">
        <v>28478</v>
      </c>
      <c r="E13078" s="19" t="s">
        <v>35397</v>
      </c>
      <c r="F13078" s="19" t="s">
        <v>36021</v>
      </c>
      <c r="G13078" s="18" t="str">
        <f>"23414"</f>
        <v>23414</v>
      </c>
      <c r="H13078" s="19" t="s">
        <v>36888</v>
      </c>
      <c r="I13078" s="20">
        <v>20.948</v>
      </c>
      <c r="J13078" s="44" t="s">
        <v>8</v>
      </c>
      <c r="K13078" s="23" t="s">
        <v>8</v>
      </c>
      <c r="L13078" s="23" t="s">
        <v>8</v>
      </c>
      <c r="M13078" s="23" t="s">
        <v>8</v>
      </c>
    </row>
    <row r="13079" spans="1:13" s="21" customFormat="1" x14ac:dyDescent="0.25">
      <c r="A13079" s="22" t="s">
        <v>8</v>
      </c>
      <c r="B13079" s="18" t="str">
        <f>"495246"</f>
        <v>495246</v>
      </c>
      <c r="C13079" s="19" t="s">
        <v>12855</v>
      </c>
      <c r="D13079" s="19" t="s">
        <v>28479</v>
      </c>
      <c r="E13079" s="19" t="s">
        <v>35242</v>
      </c>
      <c r="F13079" s="19" t="s">
        <v>36021</v>
      </c>
      <c r="G13079" s="18" t="str">
        <f>"22405"</f>
        <v>22405</v>
      </c>
      <c r="H13079" s="19" t="s">
        <v>32672</v>
      </c>
      <c r="I13079" s="20">
        <v>20.466000000000001</v>
      </c>
      <c r="J13079" s="44" t="s">
        <v>8</v>
      </c>
      <c r="K13079" s="23" t="s">
        <v>8</v>
      </c>
      <c r="L13079" s="23" t="s">
        <v>8</v>
      </c>
      <c r="M13079" s="23" t="s">
        <v>8</v>
      </c>
    </row>
    <row r="13080" spans="1:13" s="21" customFormat="1" x14ac:dyDescent="0.25">
      <c r="A13080" s="22" t="s">
        <v>8</v>
      </c>
      <c r="B13080" s="18" t="str">
        <f>"495247"</f>
        <v>495247</v>
      </c>
      <c r="C13080" s="19" t="s">
        <v>12856</v>
      </c>
      <c r="D13080" s="19" t="s">
        <v>28480</v>
      </c>
      <c r="E13080" s="19" t="s">
        <v>35389</v>
      </c>
      <c r="F13080" s="19" t="s">
        <v>36021</v>
      </c>
      <c r="G13080" s="18" t="str">
        <f>"23434"</f>
        <v>23434</v>
      </c>
      <c r="H13080" s="19" t="s">
        <v>36881</v>
      </c>
      <c r="I13080" s="20">
        <v>15.795999999999999</v>
      </c>
      <c r="J13080" s="44" t="s">
        <v>8</v>
      </c>
      <c r="K13080" s="23" t="s">
        <v>8</v>
      </c>
      <c r="L13080" s="23" t="s">
        <v>8</v>
      </c>
      <c r="M13080" s="23" t="s">
        <v>8</v>
      </c>
    </row>
    <row r="13081" spans="1:13" s="21" customFormat="1" x14ac:dyDescent="0.25">
      <c r="A13081" s="22" t="s">
        <v>8</v>
      </c>
      <c r="B13081" s="18" t="str">
        <f>"495248"</f>
        <v>495248</v>
      </c>
      <c r="C13081" s="19" t="s">
        <v>12857</v>
      </c>
      <c r="D13081" s="19" t="s">
        <v>28481</v>
      </c>
      <c r="E13081" s="19" t="s">
        <v>35398</v>
      </c>
      <c r="F13081" s="19" t="s">
        <v>36021</v>
      </c>
      <c r="G13081" s="18" t="str">
        <f>"22015"</f>
        <v>22015</v>
      </c>
      <c r="H13081" s="19" t="s">
        <v>33392</v>
      </c>
      <c r="I13081" s="20">
        <v>19.741</v>
      </c>
      <c r="J13081" s="44" t="s">
        <v>8</v>
      </c>
      <c r="K13081" s="23" t="s">
        <v>8</v>
      </c>
      <c r="L13081" s="23" t="s">
        <v>8</v>
      </c>
      <c r="M13081" s="23" t="s">
        <v>8</v>
      </c>
    </row>
    <row r="13082" spans="1:13" s="21" customFormat="1" x14ac:dyDescent="0.25">
      <c r="A13082" s="22" t="s">
        <v>8</v>
      </c>
      <c r="B13082" s="18" t="str">
        <f>"495249"</f>
        <v>495249</v>
      </c>
      <c r="C13082" s="19" t="s">
        <v>12858</v>
      </c>
      <c r="D13082" s="19" t="s">
        <v>28482</v>
      </c>
      <c r="E13082" s="19" t="s">
        <v>34328</v>
      </c>
      <c r="F13082" s="19" t="s">
        <v>36021</v>
      </c>
      <c r="G13082" s="18" t="str">
        <f>"23901"</f>
        <v>23901</v>
      </c>
      <c r="H13082" s="19" t="s">
        <v>36889</v>
      </c>
      <c r="I13082" s="20">
        <v>17.914000000000001</v>
      </c>
      <c r="J13082" s="44" t="s">
        <v>8</v>
      </c>
      <c r="K13082" s="23" t="s">
        <v>8</v>
      </c>
      <c r="L13082" s="23" t="s">
        <v>8</v>
      </c>
      <c r="M13082" s="23" t="s">
        <v>8</v>
      </c>
    </row>
    <row r="13083" spans="1:13" s="21" customFormat="1" x14ac:dyDescent="0.25">
      <c r="A13083" s="22" t="s">
        <v>8</v>
      </c>
      <c r="B13083" s="18" t="str">
        <f>"495250"</f>
        <v>495250</v>
      </c>
      <c r="C13083" s="19" t="s">
        <v>12859</v>
      </c>
      <c r="D13083" s="19" t="s">
        <v>28483</v>
      </c>
      <c r="E13083" s="19" t="s">
        <v>35364</v>
      </c>
      <c r="F13083" s="19" t="s">
        <v>36021</v>
      </c>
      <c r="G13083" s="18" t="str">
        <f>"24333"</f>
        <v>24333</v>
      </c>
      <c r="H13083" s="19" t="s">
        <v>36852</v>
      </c>
      <c r="I13083" s="20">
        <v>20.896999999999998</v>
      </c>
      <c r="J13083" s="44" t="s">
        <v>8</v>
      </c>
      <c r="K13083" s="23" t="s">
        <v>8</v>
      </c>
      <c r="L13083" s="23" t="s">
        <v>8</v>
      </c>
      <c r="M13083" s="23" t="s">
        <v>8</v>
      </c>
    </row>
    <row r="13084" spans="1:13" s="21" customFormat="1" x14ac:dyDescent="0.25">
      <c r="A13084" s="22" t="s">
        <v>8</v>
      </c>
      <c r="B13084" s="18" t="str">
        <f>"495252"</f>
        <v>495252</v>
      </c>
      <c r="C13084" s="19" t="s">
        <v>12860</v>
      </c>
      <c r="D13084" s="19" t="s">
        <v>28484</v>
      </c>
      <c r="E13084" s="19" t="s">
        <v>32165</v>
      </c>
      <c r="F13084" s="19" t="s">
        <v>36021</v>
      </c>
      <c r="G13084" s="18" t="str">
        <f>"23805"</f>
        <v>23805</v>
      </c>
      <c r="H13084" s="19" t="s">
        <v>36868</v>
      </c>
      <c r="I13084" s="20">
        <v>19.23</v>
      </c>
      <c r="J13084" s="44" t="s">
        <v>8</v>
      </c>
      <c r="K13084" s="23" t="s">
        <v>8</v>
      </c>
      <c r="L13084" s="23" t="s">
        <v>8</v>
      </c>
      <c r="M13084" s="23" t="s">
        <v>8</v>
      </c>
    </row>
    <row r="13085" spans="1:13" s="21" customFormat="1" x14ac:dyDescent="0.25">
      <c r="A13085" s="22" t="s">
        <v>8</v>
      </c>
      <c r="B13085" s="18" t="str">
        <f>"495253"</f>
        <v>495253</v>
      </c>
      <c r="C13085" s="19" t="s">
        <v>12861</v>
      </c>
      <c r="D13085" s="19" t="s">
        <v>28485</v>
      </c>
      <c r="E13085" s="19" t="s">
        <v>33776</v>
      </c>
      <c r="F13085" s="19" t="s">
        <v>36021</v>
      </c>
      <c r="G13085" s="18" t="str">
        <f>"23502"</f>
        <v>23502</v>
      </c>
      <c r="H13085" s="19" t="s">
        <v>36860</v>
      </c>
      <c r="I13085" s="20">
        <v>19.271999999999998</v>
      </c>
      <c r="J13085" s="44" t="s">
        <v>8</v>
      </c>
      <c r="K13085" s="23" t="s">
        <v>8</v>
      </c>
      <c r="L13085" s="23" t="s">
        <v>8</v>
      </c>
      <c r="M13085" s="23" t="s">
        <v>8</v>
      </c>
    </row>
    <row r="13086" spans="1:13" s="21" customFormat="1" x14ac:dyDescent="0.25">
      <c r="A13086" s="22" t="s">
        <v>8</v>
      </c>
      <c r="B13086" s="18" t="str">
        <f>"495254"</f>
        <v>495254</v>
      </c>
      <c r="C13086" s="19" t="s">
        <v>12862</v>
      </c>
      <c r="D13086" s="19" t="s">
        <v>28486</v>
      </c>
      <c r="E13086" s="19" t="s">
        <v>35376</v>
      </c>
      <c r="F13086" s="19" t="s">
        <v>36021</v>
      </c>
      <c r="G13086" s="18" t="str">
        <f>"22901"</f>
        <v>22901</v>
      </c>
      <c r="H13086" s="19" t="s">
        <v>34256</v>
      </c>
      <c r="I13086" s="20">
        <v>21.067</v>
      </c>
      <c r="J13086" s="44" t="s">
        <v>8</v>
      </c>
      <c r="K13086" s="23" t="s">
        <v>8</v>
      </c>
      <c r="L13086" s="23" t="s">
        <v>8</v>
      </c>
      <c r="M13086" s="23" t="s">
        <v>8</v>
      </c>
    </row>
    <row r="13087" spans="1:13" s="21" customFormat="1" x14ac:dyDescent="0.25">
      <c r="A13087" s="22" t="s">
        <v>8</v>
      </c>
      <c r="B13087" s="18" t="str">
        <f>"495255"</f>
        <v>495255</v>
      </c>
      <c r="C13087" s="19" t="s">
        <v>12863</v>
      </c>
      <c r="D13087" s="19" t="s">
        <v>28487</v>
      </c>
      <c r="E13087" s="19" t="s">
        <v>35399</v>
      </c>
      <c r="F13087" s="19" t="s">
        <v>36021</v>
      </c>
      <c r="G13087" s="18" t="str">
        <f>"22835"</f>
        <v>22835</v>
      </c>
      <c r="H13087" s="19" t="s">
        <v>36270</v>
      </c>
      <c r="I13087" s="20">
        <v>16.713999999999999</v>
      </c>
      <c r="J13087" s="44" t="s">
        <v>8</v>
      </c>
      <c r="K13087" s="23" t="s">
        <v>8</v>
      </c>
      <c r="L13087" s="23" t="s">
        <v>8</v>
      </c>
      <c r="M13087" s="23" t="s">
        <v>8</v>
      </c>
    </row>
    <row r="13088" spans="1:13" s="21" customFormat="1" x14ac:dyDescent="0.25">
      <c r="A13088" s="22" t="s">
        <v>8</v>
      </c>
      <c r="B13088" s="18" t="str">
        <f>"495256"</f>
        <v>495256</v>
      </c>
      <c r="C13088" s="19" t="s">
        <v>12864</v>
      </c>
      <c r="D13088" s="19" t="s">
        <v>28488</v>
      </c>
      <c r="E13088" s="19" t="s">
        <v>35370</v>
      </c>
      <c r="F13088" s="19" t="s">
        <v>36021</v>
      </c>
      <c r="G13088" s="18" t="str">
        <f>"23320"</f>
        <v>23320</v>
      </c>
      <c r="H13088" s="19" t="s">
        <v>36867</v>
      </c>
      <c r="I13088" s="20">
        <v>21.087</v>
      </c>
      <c r="J13088" s="44" t="s">
        <v>8</v>
      </c>
      <c r="K13088" s="23" t="s">
        <v>8</v>
      </c>
      <c r="L13088" s="23" t="s">
        <v>8</v>
      </c>
      <c r="M13088" s="23" t="s">
        <v>8</v>
      </c>
    </row>
    <row r="13089" spans="1:13" s="21" customFormat="1" x14ac:dyDescent="0.25">
      <c r="A13089" s="22" t="s">
        <v>8</v>
      </c>
      <c r="B13089" s="18" t="str">
        <f>"495257"</f>
        <v>495257</v>
      </c>
      <c r="C13089" s="19" t="s">
        <v>12865</v>
      </c>
      <c r="D13089" s="19" t="s">
        <v>28489</v>
      </c>
      <c r="E13089" s="19" t="s">
        <v>32131</v>
      </c>
      <c r="F13089" s="19" t="s">
        <v>36021</v>
      </c>
      <c r="G13089" s="18" t="str">
        <f>"23113"</f>
        <v>23113</v>
      </c>
      <c r="H13089" s="19" t="s">
        <v>32311</v>
      </c>
      <c r="I13089" s="20">
        <v>17.718</v>
      </c>
      <c r="J13089" s="44" t="s">
        <v>8</v>
      </c>
      <c r="K13089" s="23" t="s">
        <v>8</v>
      </c>
      <c r="L13089" s="23" t="s">
        <v>8</v>
      </c>
      <c r="M13089" s="23" t="s">
        <v>8</v>
      </c>
    </row>
    <row r="13090" spans="1:13" s="21" customFormat="1" x14ac:dyDescent="0.25">
      <c r="A13090" s="22" t="s">
        <v>8</v>
      </c>
      <c r="B13090" s="18" t="str">
        <f>"495258"</f>
        <v>495258</v>
      </c>
      <c r="C13090" s="19" t="s">
        <v>12866</v>
      </c>
      <c r="D13090" s="19" t="s">
        <v>28490</v>
      </c>
      <c r="E13090" s="19" t="s">
        <v>35389</v>
      </c>
      <c r="F13090" s="19" t="s">
        <v>36021</v>
      </c>
      <c r="G13090" s="18" t="str">
        <f>"23434"</f>
        <v>23434</v>
      </c>
      <c r="H13090" s="19" t="s">
        <v>36881</v>
      </c>
      <c r="I13090" s="20">
        <v>17.96</v>
      </c>
      <c r="J13090" s="44" t="s">
        <v>8</v>
      </c>
      <c r="K13090" s="23" t="s">
        <v>8</v>
      </c>
      <c r="L13090" s="23" t="s">
        <v>8</v>
      </c>
      <c r="M13090" s="23" t="s">
        <v>8</v>
      </c>
    </row>
    <row r="13091" spans="1:13" s="21" customFormat="1" x14ac:dyDescent="0.25">
      <c r="A13091" s="22" t="s">
        <v>8</v>
      </c>
      <c r="B13091" s="18" t="str">
        <f>"495259"</f>
        <v>495259</v>
      </c>
      <c r="C13091" s="19" t="s">
        <v>12867</v>
      </c>
      <c r="D13091" s="19" t="s">
        <v>28491</v>
      </c>
      <c r="E13091" s="19" t="s">
        <v>35400</v>
      </c>
      <c r="F13091" s="19" t="s">
        <v>36021</v>
      </c>
      <c r="G13091" s="18" t="str">
        <f>"24614"</f>
        <v>24614</v>
      </c>
      <c r="H13091" s="19" t="s">
        <v>31819</v>
      </c>
      <c r="I13091" s="20">
        <v>19.039000000000001</v>
      </c>
      <c r="J13091" s="44" t="s">
        <v>8</v>
      </c>
      <c r="K13091" s="23" t="s">
        <v>8</v>
      </c>
      <c r="L13091" s="23" t="s">
        <v>8</v>
      </c>
      <c r="M13091" s="23" t="s">
        <v>8</v>
      </c>
    </row>
    <row r="13092" spans="1:13" s="21" customFormat="1" x14ac:dyDescent="0.25">
      <c r="A13092" s="22" t="s">
        <v>8</v>
      </c>
      <c r="B13092" s="18" t="str">
        <f>"495260"</f>
        <v>495260</v>
      </c>
      <c r="C13092" s="19" t="s">
        <v>12868</v>
      </c>
      <c r="D13092" s="19" t="s">
        <v>28492</v>
      </c>
      <c r="E13092" s="19" t="s">
        <v>31178</v>
      </c>
      <c r="F13092" s="19" t="s">
        <v>36021</v>
      </c>
      <c r="G13092" s="18" t="str">
        <f>"23225"</f>
        <v>23225</v>
      </c>
      <c r="H13092" s="19" t="s">
        <v>36883</v>
      </c>
      <c r="I13092" s="20">
        <v>21.777000000000001</v>
      </c>
      <c r="J13092" s="44" t="s">
        <v>8</v>
      </c>
      <c r="K13092" s="23" t="s">
        <v>8</v>
      </c>
      <c r="L13092" s="23" t="s">
        <v>8</v>
      </c>
      <c r="M13092" s="23" t="s">
        <v>8</v>
      </c>
    </row>
    <row r="13093" spans="1:13" s="21" customFormat="1" x14ac:dyDescent="0.25">
      <c r="A13093" s="22" t="s">
        <v>8</v>
      </c>
      <c r="B13093" s="18" t="str">
        <f>"495261"</f>
        <v>495261</v>
      </c>
      <c r="C13093" s="19" t="s">
        <v>12869</v>
      </c>
      <c r="D13093" s="19" t="s">
        <v>28493</v>
      </c>
      <c r="E13093" s="19" t="s">
        <v>31562</v>
      </c>
      <c r="F13093" s="19" t="s">
        <v>36021</v>
      </c>
      <c r="G13093" s="18" t="str">
        <f>"20176"</f>
        <v>20176</v>
      </c>
      <c r="H13093" s="19" t="s">
        <v>36877</v>
      </c>
      <c r="I13093" s="20">
        <v>15.676</v>
      </c>
      <c r="J13093" s="44" t="s">
        <v>8</v>
      </c>
      <c r="K13093" s="23" t="s">
        <v>8</v>
      </c>
      <c r="L13093" s="23" t="s">
        <v>8</v>
      </c>
      <c r="M13093" s="23" t="s">
        <v>8</v>
      </c>
    </row>
    <row r="13094" spans="1:13" s="21" customFormat="1" x14ac:dyDescent="0.25">
      <c r="A13094" s="22" t="s">
        <v>8</v>
      </c>
      <c r="B13094" s="18" t="str">
        <f>"495262"</f>
        <v>495262</v>
      </c>
      <c r="C13094" s="19" t="s">
        <v>12870</v>
      </c>
      <c r="D13094" s="19" t="s">
        <v>28494</v>
      </c>
      <c r="E13094" s="19" t="s">
        <v>35390</v>
      </c>
      <c r="F13094" s="19" t="s">
        <v>36021</v>
      </c>
      <c r="G13094" s="18" t="str">
        <f>"22939"</f>
        <v>22939</v>
      </c>
      <c r="H13094" s="19" t="s">
        <v>31714</v>
      </c>
      <c r="I13094" s="20">
        <v>20.413</v>
      </c>
      <c r="J13094" s="44" t="s">
        <v>8</v>
      </c>
      <c r="K13094" s="23" t="s">
        <v>8</v>
      </c>
      <c r="L13094" s="23" t="s">
        <v>8</v>
      </c>
      <c r="M13094" s="23" t="s">
        <v>8</v>
      </c>
    </row>
    <row r="13095" spans="1:13" s="21" customFormat="1" x14ac:dyDescent="0.25">
      <c r="A13095" s="22" t="s">
        <v>8</v>
      </c>
      <c r="B13095" s="18" t="str">
        <f>"495264"</f>
        <v>495264</v>
      </c>
      <c r="C13095" s="19" t="s">
        <v>12871</v>
      </c>
      <c r="D13095" s="19" t="s">
        <v>28495</v>
      </c>
      <c r="E13095" s="19" t="s">
        <v>35401</v>
      </c>
      <c r="F13095" s="19" t="s">
        <v>36021</v>
      </c>
      <c r="G13095" s="18" t="str">
        <f>"23662"</f>
        <v>23662</v>
      </c>
      <c r="H13095" s="19" t="s">
        <v>36890</v>
      </c>
      <c r="I13095" s="20">
        <v>16.977</v>
      </c>
      <c r="J13095" s="44" t="s">
        <v>8</v>
      </c>
      <c r="K13095" s="23" t="s">
        <v>8</v>
      </c>
      <c r="L13095" s="23" t="s">
        <v>8</v>
      </c>
      <c r="M13095" s="23" t="s">
        <v>8</v>
      </c>
    </row>
    <row r="13096" spans="1:13" s="21" customFormat="1" x14ac:dyDescent="0.25">
      <c r="A13096" s="22" t="s">
        <v>8</v>
      </c>
      <c r="B13096" s="18" t="str">
        <f>"495266"</f>
        <v>495266</v>
      </c>
      <c r="C13096" s="19" t="s">
        <v>12872</v>
      </c>
      <c r="D13096" s="19" t="s">
        <v>28496</v>
      </c>
      <c r="E13096" s="19" t="s">
        <v>32409</v>
      </c>
      <c r="F13096" s="19" t="s">
        <v>36021</v>
      </c>
      <c r="G13096" s="18" t="str">
        <f>"23111"</f>
        <v>23111</v>
      </c>
      <c r="H13096" s="19" t="s">
        <v>32235</v>
      </c>
      <c r="I13096" s="20">
        <v>17.408999999999999</v>
      </c>
      <c r="J13096" s="44" t="s">
        <v>8</v>
      </c>
      <c r="K13096" s="23" t="s">
        <v>8</v>
      </c>
      <c r="L13096" s="23" t="s">
        <v>8</v>
      </c>
      <c r="M13096" s="23" t="s">
        <v>8</v>
      </c>
    </row>
    <row r="13097" spans="1:13" s="21" customFormat="1" x14ac:dyDescent="0.25">
      <c r="A13097" s="22" t="s">
        <v>8</v>
      </c>
      <c r="B13097" s="18" t="str">
        <f>"495267"</f>
        <v>495267</v>
      </c>
      <c r="C13097" s="19" t="s">
        <v>12873</v>
      </c>
      <c r="D13097" s="19" t="s">
        <v>28497</v>
      </c>
      <c r="E13097" s="19" t="s">
        <v>31737</v>
      </c>
      <c r="F13097" s="19" t="s">
        <v>36021</v>
      </c>
      <c r="G13097" s="18" t="str">
        <f>"20186"</f>
        <v>20186</v>
      </c>
      <c r="H13097" s="19" t="s">
        <v>36885</v>
      </c>
      <c r="I13097" s="20">
        <v>18.193000000000001</v>
      </c>
      <c r="J13097" s="44" t="s">
        <v>8</v>
      </c>
      <c r="K13097" s="23" t="s">
        <v>8</v>
      </c>
      <c r="L13097" s="23" t="s">
        <v>8</v>
      </c>
      <c r="M13097" s="23" t="s">
        <v>8</v>
      </c>
    </row>
    <row r="13098" spans="1:13" s="21" customFormat="1" x14ac:dyDescent="0.25">
      <c r="A13098" s="22" t="s">
        <v>8</v>
      </c>
      <c r="B13098" s="18" t="str">
        <f>"495268"</f>
        <v>495268</v>
      </c>
      <c r="C13098" s="19" t="s">
        <v>12874</v>
      </c>
      <c r="D13098" s="19" t="s">
        <v>28498</v>
      </c>
      <c r="E13098" s="19" t="s">
        <v>35402</v>
      </c>
      <c r="F13098" s="19" t="s">
        <v>36021</v>
      </c>
      <c r="G13098" s="18" t="str">
        <f>"22443"</f>
        <v>22443</v>
      </c>
      <c r="H13098" s="19" t="s">
        <v>32652</v>
      </c>
      <c r="I13098" s="20">
        <v>24.619</v>
      </c>
      <c r="J13098" s="44" t="s">
        <v>8</v>
      </c>
      <c r="K13098" s="23" t="s">
        <v>8</v>
      </c>
      <c r="L13098" s="23" t="s">
        <v>8</v>
      </c>
      <c r="M13098" s="23" t="s">
        <v>8</v>
      </c>
    </row>
    <row r="13099" spans="1:13" s="21" customFormat="1" x14ac:dyDescent="0.25">
      <c r="A13099" s="22" t="s">
        <v>8</v>
      </c>
      <c r="B13099" s="18" t="str">
        <f>"495269"</f>
        <v>495269</v>
      </c>
      <c r="C13099" s="19" t="s">
        <v>12875</v>
      </c>
      <c r="D13099" s="19" t="s">
        <v>28499</v>
      </c>
      <c r="E13099" s="19" t="s">
        <v>33116</v>
      </c>
      <c r="F13099" s="19" t="s">
        <v>36021</v>
      </c>
      <c r="G13099" s="18" t="str">
        <f>"22203"</f>
        <v>22203</v>
      </c>
      <c r="H13099" s="19" t="s">
        <v>33116</v>
      </c>
      <c r="I13099" s="20">
        <v>19.344000000000001</v>
      </c>
      <c r="J13099" s="44" t="s">
        <v>8</v>
      </c>
      <c r="K13099" s="23" t="s">
        <v>8</v>
      </c>
      <c r="L13099" s="23" t="s">
        <v>8</v>
      </c>
      <c r="M13099" s="23" t="s">
        <v>8</v>
      </c>
    </row>
    <row r="13100" spans="1:13" s="21" customFormat="1" x14ac:dyDescent="0.25">
      <c r="A13100" s="22" t="s">
        <v>8</v>
      </c>
      <c r="B13100" s="18" t="str">
        <f>"495270"</f>
        <v>495270</v>
      </c>
      <c r="C13100" s="19" t="s">
        <v>12876</v>
      </c>
      <c r="D13100" s="19" t="s">
        <v>28500</v>
      </c>
      <c r="E13100" s="19" t="s">
        <v>35368</v>
      </c>
      <c r="F13100" s="19" t="s">
        <v>36021</v>
      </c>
      <c r="G13100" s="18" t="str">
        <f>"23452"</f>
        <v>23452</v>
      </c>
      <c r="H13100" s="19" t="s">
        <v>36864</v>
      </c>
      <c r="I13100" s="20">
        <v>21.472000000000001</v>
      </c>
      <c r="J13100" s="44" t="s">
        <v>8</v>
      </c>
      <c r="K13100" s="23" t="s">
        <v>8</v>
      </c>
      <c r="L13100" s="23" t="s">
        <v>8</v>
      </c>
      <c r="M13100" s="23" t="s">
        <v>8</v>
      </c>
    </row>
    <row r="13101" spans="1:13" s="21" customFormat="1" x14ac:dyDescent="0.25">
      <c r="A13101" s="22" t="s">
        <v>8</v>
      </c>
      <c r="B13101" s="18" t="str">
        <f>"495271"</f>
        <v>495271</v>
      </c>
      <c r="C13101" s="19" t="s">
        <v>12877</v>
      </c>
      <c r="D13101" s="19" t="s">
        <v>28501</v>
      </c>
      <c r="E13101" s="19" t="s">
        <v>31795</v>
      </c>
      <c r="F13101" s="19" t="s">
        <v>36021</v>
      </c>
      <c r="G13101" s="18" t="str">
        <f>"24301"</f>
        <v>24301</v>
      </c>
      <c r="H13101" s="19" t="s">
        <v>31795</v>
      </c>
      <c r="I13101" s="20">
        <v>19.07</v>
      </c>
      <c r="J13101" s="44" t="s">
        <v>8</v>
      </c>
      <c r="K13101" s="23" t="s">
        <v>8</v>
      </c>
      <c r="L13101" s="23" t="s">
        <v>8</v>
      </c>
      <c r="M13101" s="23" t="s">
        <v>8</v>
      </c>
    </row>
    <row r="13102" spans="1:13" s="21" customFormat="1" x14ac:dyDescent="0.25">
      <c r="A13102" s="22" t="s">
        <v>8</v>
      </c>
      <c r="B13102" s="18" t="str">
        <f>"495272"</f>
        <v>495272</v>
      </c>
      <c r="C13102" s="19" t="s">
        <v>12878</v>
      </c>
      <c r="D13102" s="19" t="s">
        <v>28502</v>
      </c>
      <c r="E13102" s="19" t="s">
        <v>31178</v>
      </c>
      <c r="F13102" s="19" t="s">
        <v>36021</v>
      </c>
      <c r="G13102" s="18" t="str">
        <f>"23233"</f>
        <v>23233</v>
      </c>
      <c r="H13102" s="19" t="s">
        <v>36859</v>
      </c>
      <c r="I13102" s="20">
        <v>17.178999999999998</v>
      </c>
      <c r="J13102" s="44" t="s">
        <v>8</v>
      </c>
      <c r="K13102" s="23" t="s">
        <v>8</v>
      </c>
      <c r="L13102" s="23" t="s">
        <v>8</v>
      </c>
      <c r="M13102" s="23" t="s">
        <v>8</v>
      </c>
    </row>
    <row r="13103" spans="1:13" s="21" customFormat="1" x14ac:dyDescent="0.25">
      <c r="A13103" s="22" t="s">
        <v>8</v>
      </c>
      <c r="B13103" s="18" t="str">
        <f>"495273"</f>
        <v>495273</v>
      </c>
      <c r="C13103" s="19" t="s">
        <v>12879</v>
      </c>
      <c r="D13103" s="19" t="s">
        <v>28503</v>
      </c>
      <c r="E13103" s="19" t="s">
        <v>33776</v>
      </c>
      <c r="F13103" s="19" t="s">
        <v>36021</v>
      </c>
      <c r="G13103" s="18" t="str">
        <f>"23504"</f>
        <v>23504</v>
      </c>
      <c r="H13103" s="19" t="s">
        <v>36860</v>
      </c>
      <c r="I13103" s="20">
        <v>18.84</v>
      </c>
      <c r="J13103" s="44" t="s">
        <v>8</v>
      </c>
      <c r="K13103" s="23" t="s">
        <v>8</v>
      </c>
      <c r="L13103" s="23" t="s">
        <v>8</v>
      </c>
      <c r="M13103" s="23" t="s">
        <v>8</v>
      </c>
    </row>
    <row r="13104" spans="1:13" s="21" customFormat="1" x14ac:dyDescent="0.25">
      <c r="A13104" s="22" t="s">
        <v>8</v>
      </c>
      <c r="B13104" s="18" t="str">
        <f>"495274"</f>
        <v>495274</v>
      </c>
      <c r="C13104" s="19" t="s">
        <v>12880</v>
      </c>
      <c r="D13104" s="19" t="s">
        <v>28504</v>
      </c>
      <c r="E13104" s="19" t="s">
        <v>30859</v>
      </c>
      <c r="F13104" s="19" t="s">
        <v>36021</v>
      </c>
      <c r="G13104" s="18" t="str">
        <f>"24017"</f>
        <v>24017</v>
      </c>
      <c r="H13104" s="19" t="s">
        <v>36853</v>
      </c>
      <c r="I13104" s="20">
        <v>18.239999999999998</v>
      </c>
      <c r="J13104" s="44" t="s">
        <v>8</v>
      </c>
      <c r="K13104" s="23" t="s">
        <v>8</v>
      </c>
      <c r="L13104" s="23" t="s">
        <v>8</v>
      </c>
      <c r="M13104" s="23" t="s">
        <v>8</v>
      </c>
    </row>
    <row r="13105" spans="1:13" s="21" customFormat="1" x14ac:dyDescent="0.25">
      <c r="A13105" s="22" t="s">
        <v>8</v>
      </c>
      <c r="B13105" s="18" t="str">
        <f>"495275"</f>
        <v>495275</v>
      </c>
      <c r="C13105" s="19" t="s">
        <v>12881</v>
      </c>
      <c r="D13105" s="19" t="s">
        <v>28505</v>
      </c>
      <c r="E13105" s="19" t="s">
        <v>31562</v>
      </c>
      <c r="F13105" s="19" t="s">
        <v>36021</v>
      </c>
      <c r="G13105" s="18" t="str">
        <f>"20176"</f>
        <v>20176</v>
      </c>
      <c r="H13105" s="19" t="s">
        <v>36877</v>
      </c>
      <c r="I13105" s="20">
        <v>17.303999999999998</v>
      </c>
      <c r="J13105" s="44" t="s">
        <v>8</v>
      </c>
      <c r="K13105" s="23" t="s">
        <v>8</v>
      </c>
      <c r="L13105" s="23" t="s">
        <v>8</v>
      </c>
      <c r="M13105" s="23" t="s">
        <v>8</v>
      </c>
    </row>
    <row r="13106" spans="1:13" s="21" customFormat="1" x14ac:dyDescent="0.25">
      <c r="A13106" s="22" t="s">
        <v>8</v>
      </c>
      <c r="B13106" s="18" t="str">
        <f>"495276"</f>
        <v>495276</v>
      </c>
      <c r="C13106" s="19" t="s">
        <v>12882</v>
      </c>
      <c r="D13106" s="19" t="s">
        <v>28506</v>
      </c>
      <c r="E13106" s="19" t="s">
        <v>33089</v>
      </c>
      <c r="F13106" s="19" t="s">
        <v>36021</v>
      </c>
      <c r="G13106" s="18" t="str">
        <f>"23061"</f>
        <v>23061</v>
      </c>
      <c r="H13106" s="19" t="s">
        <v>33089</v>
      </c>
      <c r="I13106" s="20">
        <v>21.021000000000001</v>
      </c>
      <c r="J13106" s="44" t="s">
        <v>8</v>
      </c>
      <c r="K13106" s="23" t="s">
        <v>8</v>
      </c>
      <c r="L13106" s="23" t="s">
        <v>8</v>
      </c>
      <c r="M13106" s="23" t="s">
        <v>8</v>
      </c>
    </row>
    <row r="13107" spans="1:13" s="21" customFormat="1" x14ac:dyDescent="0.25">
      <c r="A13107" s="22" t="s">
        <v>8</v>
      </c>
      <c r="B13107" s="18" t="str">
        <f>"495277"</f>
        <v>495277</v>
      </c>
      <c r="C13107" s="19" t="s">
        <v>12883</v>
      </c>
      <c r="D13107" s="19" t="s">
        <v>28507</v>
      </c>
      <c r="E13107" s="19" t="s">
        <v>35403</v>
      </c>
      <c r="F13107" s="19" t="s">
        <v>36021</v>
      </c>
      <c r="G13107" s="18" t="str">
        <f>"23413"</f>
        <v>23413</v>
      </c>
      <c r="H13107" s="19" t="s">
        <v>33038</v>
      </c>
      <c r="I13107" s="20">
        <v>18.800999999999998</v>
      </c>
      <c r="J13107" s="44" t="s">
        <v>8</v>
      </c>
      <c r="K13107" s="23" t="s">
        <v>8</v>
      </c>
      <c r="L13107" s="23" t="s">
        <v>8</v>
      </c>
      <c r="M13107" s="23" t="s">
        <v>8</v>
      </c>
    </row>
    <row r="13108" spans="1:13" s="21" customFormat="1" x14ac:dyDescent="0.25">
      <c r="A13108" s="22" t="s">
        <v>8</v>
      </c>
      <c r="B13108" s="18" t="str">
        <f>"495279"</f>
        <v>495279</v>
      </c>
      <c r="C13108" s="19" t="s">
        <v>12884</v>
      </c>
      <c r="D13108" s="19" t="s">
        <v>28508</v>
      </c>
      <c r="E13108" s="19" t="s">
        <v>35404</v>
      </c>
      <c r="F13108" s="19" t="s">
        <v>36021</v>
      </c>
      <c r="G13108" s="18" t="str">
        <f>"22701"</f>
        <v>22701</v>
      </c>
      <c r="H13108" s="19" t="s">
        <v>35404</v>
      </c>
      <c r="I13108" s="20">
        <v>23.204999999999998</v>
      </c>
      <c r="J13108" s="44" t="s">
        <v>8</v>
      </c>
      <c r="K13108" s="23" t="s">
        <v>8</v>
      </c>
      <c r="L13108" s="23" t="s">
        <v>8</v>
      </c>
      <c r="M13108" s="23" t="s">
        <v>8</v>
      </c>
    </row>
    <row r="13109" spans="1:13" s="21" customFormat="1" x14ac:dyDescent="0.25">
      <c r="A13109" s="22" t="s">
        <v>8</v>
      </c>
      <c r="B13109" s="18" t="str">
        <f>"495280"</f>
        <v>495280</v>
      </c>
      <c r="C13109" s="19" t="s">
        <v>12885</v>
      </c>
      <c r="D13109" s="19" t="s">
        <v>28509</v>
      </c>
      <c r="E13109" s="19" t="s">
        <v>35405</v>
      </c>
      <c r="F13109" s="19" t="s">
        <v>36021</v>
      </c>
      <c r="G13109" s="18" t="str">
        <f>"22192"</f>
        <v>22192</v>
      </c>
      <c r="H13109" s="19" t="s">
        <v>36858</v>
      </c>
      <c r="I13109" s="20">
        <v>18.321000000000002</v>
      </c>
      <c r="J13109" s="44" t="s">
        <v>8</v>
      </c>
      <c r="K13109" s="23" t="s">
        <v>8</v>
      </c>
      <c r="L13109" s="23" t="s">
        <v>8</v>
      </c>
      <c r="M13109" s="23" t="s">
        <v>8</v>
      </c>
    </row>
    <row r="13110" spans="1:13" s="21" customFormat="1" x14ac:dyDescent="0.25">
      <c r="A13110" s="22" t="s">
        <v>8</v>
      </c>
      <c r="B13110" s="18" t="str">
        <f>"495281"</f>
        <v>495281</v>
      </c>
      <c r="C13110" s="19" t="s">
        <v>12886</v>
      </c>
      <c r="D13110" s="19" t="s">
        <v>28510</v>
      </c>
      <c r="E13110" s="19" t="s">
        <v>32229</v>
      </c>
      <c r="F13110" s="19" t="s">
        <v>36021</v>
      </c>
      <c r="G13110" s="18" t="str">
        <f>"24112"</f>
        <v>24112</v>
      </c>
      <c r="H13110" s="19" t="s">
        <v>36872</v>
      </c>
      <c r="I13110" s="20">
        <v>20.315999999999999</v>
      </c>
      <c r="J13110" s="44" t="s">
        <v>8</v>
      </c>
      <c r="K13110" s="23" t="s">
        <v>8</v>
      </c>
      <c r="L13110" s="23" t="s">
        <v>8</v>
      </c>
      <c r="M13110" s="23" t="s">
        <v>8</v>
      </c>
    </row>
    <row r="13111" spans="1:13" s="21" customFormat="1" x14ac:dyDescent="0.25">
      <c r="A13111" s="22" t="s">
        <v>8</v>
      </c>
      <c r="B13111" s="18" t="str">
        <f>"495282"</f>
        <v>495282</v>
      </c>
      <c r="C13111" s="19" t="s">
        <v>12887</v>
      </c>
      <c r="D13111" s="19" t="s">
        <v>28511</v>
      </c>
      <c r="E13111" s="19" t="s">
        <v>32685</v>
      </c>
      <c r="F13111" s="19" t="s">
        <v>36021</v>
      </c>
      <c r="G13111" s="18" t="str">
        <f>"23093"</f>
        <v>23093</v>
      </c>
      <c r="H13111" s="19" t="s">
        <v>32685</v>
      </c>
      <c r="I13111" s="20">
        <v>20.443000000000001</v>
      </c>
      <c r="J13111" s="44" t="s">
        <v>8</v>
      </c>
      <c r="K13111" s="23" t="s">
        <v>8</v>
      </c>
      <c r="L13111" s="23" t="s">
        <v>8</v>
      </c>
      <c r="M13111" s="23" t="s">
        <v>8</v>
      </c>
    </row>
    <row r="13112" spans="1:13" s="21" customFormat="1" x14ac:dyDescent="0.25">
      <c r="A13112" s="22" t="s">
        <v>8</v>
      </c>
      <c r="B13112" s="18" t="str">
        <f>"495283"</f>
        <v>495283</v>
      </c>
      <c r="C13112" s="19" t="s">
        <v>12888</v>
      </c>
      <c r="D13112" s="19" t="s">
        <v>28512</v>
      </c>
      <c r="E13112" s="19" t="s">
        <v>31178</v>
      </c>
      <c r="F13112" s="19" t="s">
        <v>36021</v>
      </c>
      <c r="G13112" s="18" t="str">
        <f>"23227"</f>
        <v>23227</v>
      </c>
      <c r="H13112" s="19" t="s">
        <v>36859</v>
      </c>
      <c r="I13112" s="20">
        <v>17.175000000000001</v>
      </c>
      <c r="J13112" s="44" t="s">
        <v>8</v>
      </c>
      <c r="K13112" s="23" t="s">
        <v>8</v>
      </c>
      <c r="L13112" s="23" t="s">
        <v>8</v>
      </c>
      <c r="M13112" s="23" t="s">
        <v>8</v>
      </c>
    </row>
    <row r="13113" spans="1:13" s="21" customFormat="1" x14ac:dyDescent="0.25">
      <c r="A13113" s="22" t="s">
        <v>8</v>
      </c>
      <c r="B13113" s="18" t="str">
        <f>"495286"</f>
        <v>495286</v>
      </c>
      <c r="C13113" s="19" t="s">
        <v>12889</v>
      </c>
      <c r="D13113" s="19" t="s">
        <v>28513</v>
      </c>
      <c r="E13113" s="19" t="s">
        <v>35366</v>
      </c>
      <c r="F13113" s="19" t="s">
        <v>36021</v>
      </c>
      <c r="G13113" s="18" t="str">
        <f>"23601"</f>
        <v>23601</v>
      </c>
      <c r="H13113" s="19" t="s">
        <v>36861</v>
      </c>
      <c r="I13113" s="20">
        <v>20.425999999999998</v>
      </c>
      <c r="J13113" s="44" t="s">
        <v>8</v>
      </c>
      <c r="K13113" s="23" t="s">
        <v>8</v>
      </c>
      <c r="L13113" s="23" t="s">
        <v>8</v>
      </c>
      <c r="M13113" s="23" t="s">
        <v>8</v>
      </c>
    </row>
    <row r="13114" spans="1:13" s="21" customFormat="1" x14ac:dyDescent="0.25">
      <c r="A13114" s="22" t="s">
        <v>8</v>
      </c>
      <c r="B13114" s="18" t="str">
        <f>"495287"</f>
        <v>495287</v>
      </c>
      <c r="C13114" s="19" t="s">
        <v>12890</v>
      </c>
      <c r="D13114" s="19" t="s">
        <v>28514</v>
      </c>
      <c r="E13114" s="19" t="s">
        <v>32453</v>
      </c>
      <c r="F13114" s="19" t="s">
        <v>36021</v>
      </c>
      <c r="G13114" s="18" t="str">
        <f>"23666"</f>
        <v>23666</v>
      </c>
      <c r="H13114" s="19" t="s">
        <v>36891</v>
      </c>
      <c r="I13114" s="20">
        <v>22.129000000000001</v>
      </c>
      <c r="J13114" s="44" t="s">
        <v>8</v>
      </c>
      <c r="K13114" s="23" t="s">
        <v>8</v>
      </c>
      <c r="L13114" s="23" t="s">
        <v>8</v>
      </c>
      <c r="M13114" s="23" t="s">
        <v>8</v>
      </c>
    </row>
    <row r="13115" spans="1:13" s="21" customFormat="1" x14ac:dyDescent="0.25">
      <c r="A13115" s="22" t="s">
        <v>8</v>
      </c>
      <c r="B13115" s="18" t="str">
        <f>"495288"</f>
        <v>495288</v>
      </c>
      <c r="C13115" s="19" t="s">
        <v>12891</v>
      </c>
      <c r="D13115" s="19" t="s">
        <v>28515</v>
      </c>
      <c r="E13115" s="19" t="s">
        <v>32288</v>
      </c>
      <c r="F13115" s="19" t="s">
        <v>36021</v>
      </c>
      <c r="G13115" s="18" t="str">
        <f>"22311"</f>
        <v>22311</v>
      </c>
      <c r="H13115" s="19" t="s">
        <v>36856</v>
      </c>
      <c r="I13115" s="20">
        <v>22.146999999999998</v>
      </c>
      <c r="J13115" s="44" t="s">
        <v>8</v>
      </c>
      <c r="K13115" s="23" t="s">
        <v>8</v>
      </c>
      <c r="L13115" s="23" t="s">
        <v>8</v>
      </c>
      <c r="M13115" s="23" t="s">
        <v>8</v>
      </c>
    </row>
    <row r="13116" spans="1:13" s="21" customFormat="1" x14ac:dyDescent="0.25">
      <c r="A13116" s="22" t="s">
        <v>8</v>
      </c>
      <c r="B13116" s="18" t="str">
        <f>"495291"</f>
        <v>495291</v>
      </c>
      <c r="C13116" s="19" t="s">
        <v>12892</v>
      </c>
      <c r="D13116" s="19" t="s">
        <v>28516</v>
      </c>
      <c r="E13116" s="19" t="s">
        <v>31178</v>
      </c>
      <c r="F13116" s="19" t="s">
        <v>36021</v>
      </c>
      <c r="G13116" s="18" t="str">
        <f>"23233"</f>
        <v>23233</v>
      </c>
      <c r="H13116" s="19" t="s">
        <v>36859</v>
      </c>
      <c r="I13116" s="20">
        <v>21.977</v>
      </c>
      <c r="J13116" s="44" t="s">
        <v>8</v>
      </c>
      <c r="K13116" s="23" t="s">
        <v>8</v>
      </c>
      <c r="L13116" s="23" t="s">
        <v>8</v>
      </c>
      <c r="M13116" s="23" t="s">
        <v>8</v>
      </c>
    </row>
    <row r="13117" spans="1:13" s="21" customFormat="1" x14ac:dyDescent="0.25">
      <c r="A13117" s="22" t="s">
        <v>8</v>
      </c>
      <c r="B13117" s="18" t="str">
        <f>"495292"</f>
        <v>495292</v>
      </c>
      <c r="C13117" s="19" t="s">
        <v>12893</v>
      </c>
      <c r="D13117" s="19" t="s">
        <v>28517</v>
      </c>
      <c r="E13117" s="19" t="s">
        <v>35406</v>
      </c>
      <c r="F13117" s="19" t="s">
        <v>36021</v>
      </c>
      <c r="G13117" s="18" t="str">
        <f>"22949"</f>
        <v>22949</v>
      </c>
      <c r="H13117" s="19" t="s">
        <v>36324</v>
      </c>
      <c r="I13117" s="20">
        <v>20.423999999999999</v>
      </c>
      <c r="J13117" s="44" t="s">
        <v>8</v>
      </c>
      <c r="K13117" s="23" t="s">
        <v>8</v>
      </c>
      <c r="L13117" s="23" t="s">
        <v>8</v>
      </c>
      <c r="M13117" s="23" t="s">
        <v>8</v>
      </c>
    </row>
    <row r="13118" spans="1:13" s="21" customFormat="1" x14ac:dyDescent="0.25">
      <c r="A13118" s="22" t="s">
        <v>8</v>
      </c>
      <c r="B13118" s="18" t="str">
        <f>"495293"</f>
        <v>495293</v>
      </c>
      <c r="C13118" s="19" t="s">
        <v>12894</v>
      </c>
      <c r="D13118" s="19" t="s">
        <v>28518</v>
      </c>
      <c r="E13118" s="19" t="s">
        <v>32537</v>
      </c>
      <c r="F13118" s="19" t="s">
        <v>36021</v>
      </c>
      <c r="G13118" s="18" t="str">
        <f>"24179"</f>
        <v>24179</v>
      </c>
      <c r="H13118" s="19" t="s">
        <v>30859</v>
      </c>
      <c r="I13118" s="20">
        <v>16.902000000000001</v>
      </c>
      <c r="J13118" s="44" t="s">
        <v>8</v>
      </c>
      <c r="K13118" s="23" t="s">
        <v>8</v>
      </c>
      <c r="L13118" s="23" t="s">
        <v>8</v>
      </c>
      <c r="M13118" s="23" t="s">
        <v>8</v>
      </c>
    </row>
    <row r="13119" spans="1:13" s="21" customFormat="1" x14ac:dyDescent="0.25">
      <c r="A13119" s="22" t="s">
        <v>8</v>
      </c>
      <c r="B13119" s="18" t="str">
        <f>"495294"</f>
        <v>495294</v>
      </c>
      <c r="C13119" s="19" t="s">
        <v>12895</v>
      </c>
      <c r="D13119" s="19" t="s">
        <v>28519</v>
      </c>
      <c r="E13119" s="19" t="s">
        <v>31795</v>
      </c>
      <c r="F13119" s="19" t="s">
        <v>36021</v>
      </c>
      <c r="G13119" s="18" t="str">
        <f>"24301"</f>
        <v>24301</v>
      </c>
      <c r="H13119" s="19" t="s">
        <v>31795</v>
      </c>
      <c r="I13119" s="20">
        <v>20.445</v>
      </c>
      <c r="J13119" s="44" t="s">
        <v>8</v>
      </c>
      <c r="K13119" s="23" t="s">
        <v>8</v>
      </c>
      <c r="L13119" s="23" t="s">
        <v>8</v>
      </c>
      <c r="M13119" s="23" t="s">
        <v>8</v>
      </c>
    </row>
    <row r="13120" spans="1:13" s="21" customFormat="1" x14ac:dyDescent="0.25">
      <c r="A13120" s="22" t="s">
        <v>8</v>
      </c>
      <c r="B13120" s="18" t="str">
        <f>"495295"</f>
        <v>495295</v>
      </c>
      <c r="C13120" s="19" t="s">
        <v>12896</v>
      </c>
      <c r="D13120" s="19" t="s">
        <v>28520</v>
      </c>
      <c r="E13120" s="19" t="s">
        <v>30981</v>
      </c>
      <c r="F13120" s="19" t="s">
        <v>36021</v>
      </c>
      <c r="G13120" s="18" t="str">
        <f>"24540"</f>
        <v>24540</v>
      </c>
      <c r="H13120" s="19" t="s">
        <v>36855</v>
      </c>
      <c r="I13120" s="20">
        <v>17.170000000000002</v>
      </c>
      <c r="J13120" s="44" t="s">
        <v>8</v>
      </c>
      <c r="K13120" s="23" t="s">
        <v>8</v>
      </c>
      <c r="L13120" s="23" t="s">
        <v>8</v>
      </c>
      <c r="M13120" s="23" t="s">
        <v>8</v>
      </c>
    </row>
    <row r="13121" spans="1:13" s="21" customFormat="1" x14ac:dyDescent="0.25">
      <c r="A13121" s="22" t="s">
        <v>8</v>
      </c>
      <c r="B13121" s="18" t="str">
        <f>"495296"</f>
        <v>495296</v>
      </c>
      <c r="C13121" s="19" t="s">
        <v>12897</v>
      </c>
      <c r="D13121" s="19" t="s">
        <v>28521</v>
      </c>
      <c r="E13121" s="19" t="s">
        <v>35407</v>
      </c>
      <c r="F13121" s="19" t="s">
        <v>36021</v>
      </c>
      <c r="G13121" s="18" t="str">
        <f>"23837"</f>
        <v>23837</v>
      </c>
      <c r="H13121" s="19" t="s">
        <v>34915</v>
      </c>
      <c r="I13121" s="20">
        <v>17.904</v>
      </c>
      <c r="J13121" s="44" t="s">
        <v>8</v>
      </c>
      <c r="K13121" s="23" t="s">
        <v>8</v>
      </c>
      <c r="L13121" s="23" t="s">
        <v>8</v>
      </c>
      <c r="M13121" s="23" t="s">
        <v>8</v>
      </c>
    </row>
    <row r="13122" spans="1:13" s="21" customFormat="1" x14ac:dyDescent="0.25">
      <c r="A13122" s="22" t="s">
        <v>8</v>
      </c>
      <c r="B13122" s="18" t="str">
        <f>"495297"</f>
        <v>495297</v>
      </c>
      <c r="C13122" s="19" t="s">
        <v>12898</v>
      </c>
      <c r="D13122" s="19" t="s">
        <v>28522</v>
      </c>
      <c r="E13122" s="19" t="s">
        <v>32684</v>
      </c>
      <c r="F13122" s="19" t="s">
        <v>36021</v>
      </c>
      <c r="G13122" s="18" t="str">
        <f>"22427"</f>
        <v>22427</v>
      </c>
      <c r="H13122" s="19" t="s">
        <v>36406</v>
      </c>
      <c r="I13122" s="20">
        <v>16.741</v>
      </c>
      <c r="J13122" s="44" t="s">
        <v>8</v>
      </c>
      <c r="K13122" s="23" t="s">
        <v>8</v>
      </c>
      <c r="L13122" s="23" t="s">
        <v>8</v>
      </c>
      <c r="M13122" s="23" t="s">
        <v>8</v>
      </c>
    </row>
    <row r="13123" spans="1:13" s="21" customFormat="1" x14ac:dyDescent="0.25">
      <c r="A13123" s="22" t="s">
        <v>8</v>
      </c>
      <c r="B13123" s="18" t="str">
        <f>"495299"</f>
        <v>495299</v>
      </c>
      <c r="C13123" s="19" t="s">
        <v>12899</v>
      </c>
      <c r="D13123" s="19" t="s">
        <v>28523</v>
      </c>
      <c r="E13123" s="19" t="s">
        <v>35408</v>
      </c>
      <c r="F13123" s="19" t="s">
        <v>36021</v>
      </c>
      <c r="G13123" s="18" t="str">
        <f>"23060"</f>
        <v>23060</v>
      </c>
      <c r="H13123" s="19" t="s">
        <v>36859</v>
      </c>
      <c r="I13123" s="20">
        <v>21.481000000000002</v>
      </c>
      <c r="J13123" s="44" t="s">
        <v>8</v>
      </c>
      <c r="K13123" s="23" t="s">
        <v>8</v>
      </c>
      <c r="L13123" s="23" t="s">
        <v>8</v>
      </c>
      <c r="M13123" s="23" t="s">
        <v>8</v>
      </c>
    </row>
    <row r="13124" spans="1:13" s="21" customFormat="1" x14ac:dyDescent="0.25">
      <c r="A13124" s="22" t="s">
        <v>8</v>
      </c>
      <c r="B13124" s="18" t="str">
        <f>"495300"</f>
        <v>495300</v>
      </c>
      <c r="C13124" s="19" t="s">
        <v>12900</v>
      </c>
      <c r="D13124" s="19" t="s">
        <v>28524</v>
      </c>
      <c r="E13124" s="19" t="s">
        <v>35409</v>
      </c>
      <c r="F13124" s="19" t="s">
        <v>36021</v>
      </c>
      <c r="G13124" s="18" t="str">
        <f>"22485"</f>
        <v>22485</v>
      </c>
      <c r="H13124" s="19" t="s">
        <v>35409</v>
      </c>
      <c r="I13124" s="20">
        <v>21.387</v>
      </c>
      <c r="J13124" s="44" t="s">
        <v>8</v>
      </c>
      <c r="K13124" s="23" t="s">
        <v>8</v>
      </c>
      <c r="L13124" s="23" t="s">
        <v>8</v>
      </c>
      <c r="M13124" s="23" t="s">
        <v>8</v>
      </c>
    </row>
    <row r="13125" spans="1:13" s="21" customFormat="1" x14ac:dyDescent="0.25">
      <c r="A13125" s="22" t="s">
        <v>8</v>
      </c>
      <c r="B13125" s="18" t="str">
        <f>"495301"</f>
        <v>495301</v>
      </c>
      <c r="C13125" s="19" t="s">
        <v>12901</v>
      </c>
      <c r="D13125" s="19" t="s">
        <v>28525</v>
      </c>
      <c r="E13125" s="19" t="s">
        <v>35410</v>
      </c>
      <c r="F13125" s="19" t="s">
        <v>36021</v>
      </c>
      <c r="G13125" s="18" t="str">
        <f>"22630"</f>
        <v>22630</v>
      </c>
      <c r="H13125" s="19" t="s">
        <v>31025</v>
      </c>
      <c r="I13125" s="20">
        <v>18.263000000000002</v>
      </c>
      <c r="J13125" s="44" t="s">
        <v>8</v>
      </c>
      <c r="K13125" s="23" t="s">
        <v>8</v>
      </c>
      <c r="L13125" s="23" t="s">
        <v>8</v>
      </c>
      <c r="M13125" s="23" t="s">
        <v>8</v>
      </c>
    </row>
    <row r="13126" spans="1:13" s="21" customFormat="1" x14ac:dyDescent="0.25">
      <c r="A13126" s="22" t="s">
        <v>8</v>
      </c>
      <c r="B13126" s="18" t="str">
        <f>"495302"</f>
        <v>495302</v>
      </c>
      <c r="C13126" s="19" t="s">
        <v>12902</v>
      </c>
      <c r="D13126" s="19" t="s">
        <v>28526</v>
      </c>
      <c r="E13126" s="19" t="s">
        <v>35173</v>
      </c>
      <c r="F13126" s="19" t="s">
        <v>36021</v>
      </c>
      <c r="G13126" s="18" t="str">
        <f>"24501"</f>
        <v>24501</v>
      </c>
      <c r="H13126" s="19" t="s">
        <v>36862</v>
      </c>
      <c r="I13126" s="20">
        <v>17.286999999999999</v>
      </c>
      <c r="J13126" s="44" t="s">
        <v>8</v>
      </c>
      <c r="K13126" s="23" t="s">
        <v>8</v>
      </c>
      <c r="L13126" s="23" t="s">
        <v>8</v>
      </c>
      <c r="M13126" s="23" t="s">
        <v>8</v>
      </c>
    </row>
    <row r="13127" spans="1:13" s="21" customFormat="1" x14ac:dyDescent="0.25">
      <c r="A13127" s="22" t="s">
        <v>8</v>
      </c>
      <c r="B13127" s="18" t="str">
        <f>"495303"</f>
        <v>495303</v>
      </c>
      <c r="C13127" s="19" t="s">
        <v>12903</v>
      </c>
      <c r="D13127" s="19" t="s">
        <v>28527</v>
      </c>
      <c r="E13127" s="19" t="s">
        <v>32540</v>
      </c>
      <c r="F13127" s="19" t="s">
        <v>36021</v>
      </c>
      <c r="G13127" s="18" t="str">
        <f>"23181"</f>
        <v>23181</v>
      </c>
      <c r="H13127" s="19" t="s">
        <v>36892</v>
      </c>
      <c r="I13127" s="20">
        <v>19.390999999999998</v>
      </c>
      <c r="J13127" s="44" t="s">
        <v>8</v>
      </c>
      <c r="K13127" s="23" t="s">
        <v>8</v>
      </c>
      <c r="L13127" s="23" t="s">
        <v>8</v>
      </c>
      <c r="M13127" s="23" t="s">
        <v>8</v>
      </c>
    </row>
    <row r="13128" spans="1:13" s="21" customFormat="1" x14ac:dyDescent="0.25">
      <c r="A13128" s="22" t="s">
        <v>8</v>
      </c>
      <c r="B13128" s="18" t="str">
        <f>"495305"</f>
        <v>495305</v>
      </c>
      <c r="C13128" s="19" t="s">
        <v>12904</v>
      </c>
      <c r="D13128" s="19" t="s">
        <v>28528</v>
      </c>
      <c r="E13128" s="19" t="s">
        <v>32453</v>
      </c>
      <c r="F13128" s="19" t="s">
        <v>36021</v>
      </c>
      <c r="G13128" s="18" t="str">
        <f>"23666"</f>
        <v>23666</v>
      </c>
      <c r="H13128" s="19" t="s">
        <v>36891</v>
      </c>
      <c r="I13128" s="20">
        <v>19.890999999999998</v>
      </c>
      <c r="J13128" s="44" t="s">
        <v>8</v>
      </c>
      <c r="K13128" s="23" t="s">
        <v>8</v>
      </c>
      <c r="L13128" s="23" t="s">
        <v>8</v>
      </c>
      <c r="M13128" s="23" t="s">
        <v>8</v>
      </c>
    </row>
    <row r="13129" spans="1:13" s="21" customFormat="1" x14ac:dyDescent="0.25">
      <c r="A13129" s="22" t="s">
        <v>8</v>
      </c>
      <c r="B13129" s="18" t="str">
        <f>"495306"</f>
        <v>495306</v>
      </c>
      <c r="C13129" s="19" t="s">
        <v>12905</v>
      </c>
      <c r="D13129" s="19" t="s">
        <v>28529</v>
      </c>
      <c r="E13129" s="19" t="s">
        <v>31552</v>
      </c>
      <c r="F13129" s="19" t="s">
        <v>36021</v>
      </c>
      <c r="G13129" s="18" t="str">
        <f>"24171"</f>
        <v>24171</v>
      </c>
      <c r="H13129" s="19" t="s">
        <v>36893</v>
      </c>
      <c r="I13129" s="20">
        <v>17.167000000000002</v>
      </c>
      <c r="J13129" s="44" t="s">
        <v>8</v>
      </c>
      <c r="K13129" s="23" t="s">
        <v>8</v>
      </c>
      <c r="L13129" s="23" t="s">
        <v>8</v>
      </c>
      <c r="M13129" s="23" t="s">
        <v>8</v>
      </c>
    </row>
    <row r="13130" spans="1:13" s="21" customFormat="1" x14ac:dyDescent="0.25">
      <c r="A13130" s="22" t="s">
        <v>8</v>
      </c>
      <c r="B13130" s="18" t="str">
        <f>"495308"</f>
        <v>495308</v>
      </c>
      <c r="C13130" s="19" t="s">
        <v>12906</v>
      </c>
      <c r="D13130" s="19" t="s">
        <v>28530</v>
      </c>
      <c r="E13130" s="19" t="s">
        <v>32453</v>
      </c>
      <c r="F13130" s="19" t="s">
        <v>36021</v>
      </c>
      <c r="G13130" s="18" t="str">
        <f>"23661"</f>
        <v>23661</v>
      </c>
      <c r="H13130" s="19" t="s">
        <v>36891</v>
      </c>
      <c r="I13130" s="20">
        <v>18.28</v>
      </c>
      <c r="J13130" s="44" t="s">
        <v>8</v>
      </c>
      <c r="K13130" s="23" t="s">
        <v>8</v>
      </c>
      <c r="L13130" s="23" t="s">
        <v>8</v>
      </c>
      <c r="M13130" s="23" t="s">
        <v>8</v>
      </c>
    </row>
    <row r="13131" spans="1:13" s="21" customFormat="1" x14ac:dyDescent="0.25">
      <c r="A13131" s="22" t="s">
        <v>8</v>
      </c>
      <c r="B13131" s="18" t="str">
        <f>"495309"</f>
        <v>495309</v>
      </c>
      <c r="C13131" s="19" t="s">
        <v>12907</v>
      </c>
      <c r="D13131" s="19" t="s">
        <v>28531</v>
      </c>
      <c r="E13131" s="19" t="s">
        <v>33776</v>
      </c>
      <c r="F13131" s="19" t="s">
        <v>36021</v>
      </c>
      <c r="G13131" s="18" t="str">
        <f>"23509"</f>
        <v>23509</v>
      </c>
      <c r="H13131" s="19" t="s">
        <v>36860</v>
      </c>
      <c r="I13131" s="20">
        <v>18.055</v>
      </c>
      <c r="J13131" s="44" t="s">
        <v>8</v>
      </c>
      <c r="K13131" s="23" t="s">
        <v>8</v>
      </c>
      <c r="L13131" s="23" t="s">
        <v>8</v>
      </c>
      <c r="M13131" s="23" t="s">
        <v>8</v>
      </c>
    </row>
    <row r="13132" spans="1:13" s="21" customFormat="1" x14ac:dyDescent="0.25">
      <c r="A13132" s="22" t="s">
        <v>8</v>
      </c>
      <c r="B13132" s="18" t="str">
        <f>"495311"</f>
        <v>495311</v>
      </c>
      <c r="C13132" s="19" t="s">
        <v>12908</v>
      </c>
      <c r="D13132" s="19" t="s">
        <v>28532</v>
      </c>
      <c r="E13132" s="19" t="s">
        <v>31178</v>
      </c>
      <c r="F13132" s="19" t="s">
        <v>36021</v>
      </c>
      <c r="G13132" s="18" t="str">
        <f>"23233"</f>
        <v>23233</v>
      </c>
      <c r="H13132" s="19" t="s">
        <v>36859</v>
      </c>
      <c r="I13132" s="20">
        <v>18.207999999999998</v>
      </c>
      <c r="J13132" s="44" t="s">
        <v>8</v>
      </c>
      <c r="K13132" s="23" t="s">
        <v>8</v>
      </c>
      <c r="L13132" s="23" t="s">
        <v>8</v>
      </c>
      <c r="M13132" s="23" t="s">
        <v>8</v>
      </c>
    </row>
    <row r="13133" spans="1:13" s="21" customFormat="1" x14ac:dyDescent="0.25">
      <c r="A13133" s="22" t="s">
        <v>8</v>
      </c>
      <c r="B13133" s="18" t="str">
        <f>"495312"</f>
        <v>495312</v>
      </c>
      <c r="C13133" s="19" t="s">
        <v>12909</v>
      </c>
      <c r="D13133" s="19" t="s">
        <v>28533</v>
      </c>
      <c r="E13133" s="19" t="s">
        <v>31347</v>
      </c>
      <c r="F13133" s="19" t="s">
        <v>36021</v>
      </c>
      <c r="G13133" s="18" t="str">
        <f>"20165"</f>
        <v>20165</v>
      </c>
      <c r="H13133" s="19" t="s">
        <v>36877</v>
      </c>
      <c r="I13133" s="20">
        <v>20.172000000000001</v>
      </c>
      <c r="J13133" s="44" t="s">
        <v>8</v>
      </c>
      <c r="K13133" s="23" t="s">
        <v>8</v>
      </c>
      <c r="L13133" s="23" t="s">
        <v>8</v>
      </c>
      <c r="M13133" s="23" t="s">
        <v>8</v>
      </c>
    </row>
    <row r="13134" spans="1:13" s="21" customFormat="1" x14ac:dyDescent="0.25">
      <c r="A13134" s="22" t="s">
        <v>8</v>
      </c>
      <c r="B13134" s="18" t="str">
        <f>"495315"</f>
        <v>495315</v>
      </c>
      <c r="C13134" s="19" t="s">
        <v>12910</v>
      </c>
      <c r="D13134" s="19" t="s">
        <v>28534</v>
      </c>
      <c r="E13134" s="19" t="s">
        <v>31766</v>
      </c>
      <c r="F13134" s="19" t="s">
        <v>36021</v>
      </c>
      <c r="G13134" s="18" t="str">
        <f>"22664"</f>
        <v>22664</v>
      </c>
      <c r="H13134" s="19" t="s">
        <v>32529</v>
      </c>
      <c r="I13134" s="20">
        <v>22.018999999999998</v>
      </c>
      <c r="J13134" s="44" t="s">
        <v>8</v>
      </c>
      <c r="K13134" s="23" t="s">
        <v>8</v>
      </c>
      <c r="L13134" s="23" t="s">
        <v>8</v>
      </c>
      <c r="M13134" s="23" t="s">
        <v>8</v>
      </c>
    </row>
    <row r="13135" spans="1:13" s="21" customFormat="1" x14ac:dyDescent="0.25">
      <c r="A13135" s="22" t="s">
        <v>8</v>
      </c>
      <c r="B13135" s="18" t="str">
        <f>"495316"</f>
        <v>495316</v>
      </c>
      <c r="C13135" s="19" t="s">
        <v>12911</v>
      </c>
      <c r="D13135" s="19" t="s">
        <v>28535</v>
      </c>
      <c r="E13135" s="19" t="s">
        <v>35410</v>
      </c>
      <c r="F13135" s="19" t="s">
        <v>36021</v>
      </c>
      <c r="G13135" s="18" t="str">
        <f>"22630"</f>
        <v>22630</v>
      </c>
      <c r="H13135" s="19" t="s">
        <v>31025</v>
      </c>
      <c r="I13135" s="20">
        <v>16.02</v>
      </c>
      <c r="J13135" s="44" t="s">
        <v>8</v>
      </c>
      <c r="K13135" s="23" t="s">
        <v>8</v>
      </c>
      <c r="L13135" s="23" t="s">
        <v>8</v>
      </c>
      <c r="M13135" s="23" t="s">
        <v>8</v>
      </c>
    </row>
    <row r="13136" spans="1:13" s="21" customFormat="1" x14ac:dyDescent="0.25">
      <c r="A13136" s="22" t="s">
        <v>8</v>
      </c>
      <c r="B13136" s="18" t="str">
        <f>"495317"</f>
        <v>495317</v>
      </c>
      <c r="C13136" s="19" t="s">
        <v>12912</v>
      </c>
      <c r="D13136" s="19" t="s">
        <v>28536</v>
      </c>
      <c r="E13136" s="19" t="s">
        <v>35411</v>
      </c>
      <c r="F13136" s="19" t="s">
        <v>36021</v>
      </c>
      <c r="G13136" s="18" t="str">
        <f>"23936"</f>
        <v>23936</v>
      </c>
      <c r="H13136" s="19" t="s">
        <v>34831</v>
      </c>
      <c r="I13136" s="20">
        <v>18.791</v>
      </c>
      <c r="J13136" s="44" t="s">
        <v>8</v>
      </c>
      <c r="K13136" s="23" t="s">
        <v>8</v>
      </c>
      <c r="L13136" s="23" t="s">
        <v>8</v>
      </c>
      <c r="M13136" s="23" t="s">
        <v>8</v>
      </c>
    </row>
    <row r="13137" spans="1:13" s="21" customFormat="1" x14ac:dyDescent="0.25">
      <c r="A13137" s="22" t="s">
        <v>8</v>
      </c>
      <c r="B13137" s="18" t="str">
        <f>"495318"</f>
        <v>495318</v>
      </c>
      <c r="C13137" s="19" t="s">
        <v>12913</v>
      </c>
      <c r="D13137" s="19" t="s">
        <v>28537</v>
      </c>
      <c r="E13137" s="19" t="s">
        <v>35412</v>
      </c>
      <c r="F13137" s="19" t="s">
        <v>36021</v>
      </c>
      <c r="G13137" s="18" t="str">
        <f>"24592"</f>
        <v>24592</v>
      </c>
      <c r="H13137" s="19" t="s">
        <v>36622</v>
      </c>
      <c r="I13137" s="20">
        <v>18.902000000000001</v>
      </c>
      <c r="J13137" s="44" t="s">
        <v>8</v>
      </c>
      <c r="K13137" s="23" t="s">
        <v>8</v>
      </c>
      <c r="L13137" s="23" t="s">
        <v>8</v>
      </c>
      <c r="M13137" s="23" t="s">
        <v>8</v>
      </c>
    </row>
    <row r="13138" spans="1:13" s="21" customFormat="1" x14ac:dyDescent="0.25">
      <c r="A13138" s="22" t="s">
        <v>8</v>
      </c>
      <c r="B13138" s="18" t="str">
        <f>"495319"</f>
        <v>495319</v>
      </c>
      <c r="C13138" s="19" t="s">
        <v>12914</v>
      </c>
      <c r="D13138" s="19" t="s">
        <v>28538</v>
      </c>
      <c r="E13138" s="19" t="s">
        <v>33392</v>
      </c>
      <c r="F13138" s="19" t="s">
        <v>36021</v>
      </c>
      <c r="G13138" s="18" t="str">
        <f>"22031"</f>
        <v>22031</v>
      </c>
      <c r="H13138" s="19" t="s">
        <v>33392</v>
      </c>
      <c r="I13138" s="20">
        <v>16.468</v>
      </c>
      <c r="J13138" s="44" t="s">
        <v>8</v>
      </c>
      <c r="K13138" s="23" t="s">
        <v>8</v>
      </c>
      <c r="L13138" s="23" t="s">
        <v>8</v>
      </c>
      <c r="M13138" s="23" t="s">
        <v>8</v>
      </c>
    </row>
    <row r="13139" spans="1:13" s="21" customFormat="1" x14ac:dyDescent="0.25">
      <c r="A13139" s="22" t="s">
        <v>8</v>
      </c>
      <c r="B13139" s="18" t="str">
        <f>"495320"</f>
        <v>495320</v>
      </c>
      <c r="C13139" s="19" t="s">
        <v>12915</v>
      </c>
      <c r="D13139" s="19" t="s">
        <v>28539</v>
      </c>
      <c r="E13139" s="19" t="s">
        <v>35413</v>
      </c>
      <c r="F13139" s="19" t="s">
        <v>36021</v>
      </c>
      <c r="G13139" s="18" t="str">
        <f>"24228"</f>
        <v>24228</v>
      </c>
      <c r="H13139" s="19" t="s">
        <v>36894</v>
      </c>
      <c r="I13139" s="20">
        <v>21.882000000000001</v>
      </c>
      <c r="J13139" s="44" t="s">
        <v>8</v>
      </c>
      <c r="K13139" s="23" t="s">
        <v>8</v>
      </c>
      <c r="L13139" s="23" t="s">
        <v>8</v>
      </c>
      <c r="M13139" s="23" t="s">
        <v>8</v>
      </c>
    </row>
    <row r="13140" spans="1:13" s="21" customFormat="1" x14ac:dyDescent="0.25">
      <c r="A13140" s="22" t="s">
        <v>8</v>
      </c>
      <c r="B13140" s="18" t="str">
        <f>"495321"</f>
        <v>495321</v>
      </c>
      <c r="C13140" s="19" t="s">
        <v>12916</v>
      </c>
      <c r="D13140" s="19" t="s">
        <v>28540</v>
      </c>
      <c r="E13140" s="19" t="s">
        <v>35414</v>
      </c>
      <c r="F13140" s="19" t="s">
        <v>36021</v>
      </c>
      <c r="G13140" s="18" t="str">
        <f>"24450"</f>
        <v>24450</v>
      </c>
      <c r="H13140" s="19" t="s">
        <v>36857</v>
      </c>
      <c r="I13140" s="20">
        <v>18.056999999999999</v>
      </c>
      <c r="J13140" s="44" t="s">
        <v>8</v>
      </c>
      <c r="K13140" s="23" t="s">
        <v>8</v>
      </c>
      <c r="L13140" s="23" t="s">
        <v>8</v>
      </c>
      <c r="M13140" s="23" t="s">
        <v>8</v>
      </c>
    </row>
    <row r="13141" spans="1:13" s="21" customFormat="1" x14ac:dyDescent="0.25">
      <c r="A13141" s="22" t="s">
        <v>8</v>
      </c>
      <c r="B13141" s="18" t="str">
        <f>"495323"</f>
        <v>495323</v>
      </c>
      <c r="C13141" s="19" t="s">
        <v>12917</v>
      </c>
      <c r="D13141" s="19" t="s">
        <v>28541</v>
      </c>
      <c r="E13141" s="19" t="s">
        <v>35415</v>
      </c>
      <c r="F13141" s="19" t="s">
        <v>36021</v>
      </c>
      <c r="G13141" s="18" t="str">
        <f>"24352"</f>
        <v>24352</v>
      </c>
      <c r="H13141" s="19" t="s">
        <v>32334</v>
      </c>
      <c r="I13141" s="20">
        <v>18.63</v>
      </c>
      <c r="J13141" s="44" t="s">
        <v>8</v>
      </c>
      <c r="K13141" s="23" t="s">
        <v>8</v>
      </c>
      <c r="L13141" s="23" t="s">
        <v>8</v>
      </c>
      <c r="M13141" s="23" t="s">
        <v>8</v>
      </c>
    </row>
    <row r="13142" spans="1:13" s="21" customFormat="1" x14ac:dyDescent="0.25">
      <c r="A13142" s="22" t="s">
        <v>8</v>
      </c>
      <c r="B13142" s="18" t="str">
        <f>"495324"</f>
        <v>495324</v>
      </c>
      <c r="C13142" s="19" t="s">
        <v>12918</v>
      </c>
      <c r="D13142" s="19" t="s">
        <v>28542</v>
      </c>
      <c r="E13142" s="19" t="s">
        <v>35368</v>
      </c>
      <c r="F13142" s="19" t="s">
        <v>36021</v>
      </c>
      <c r="G13142" s="18" t="str">
        <f>"23454"</f>
        <v>23454</v>
      </c>
      <c r="H13142" s="19" t="s">
        <v>36864</v>
      </c>
      <c r="I13142" s="20">
        <v>22.721</v>
      </c>
      <c r="J13142" s="44" t="s">
        <v>8</v>
      </c>
      <c r="K13142" s="23" t="s">
        <v>8</v>
      </c>
      <c r="L13142" s="23" t="s">
        <v>8</v>
      </c>
      <c r="M13142" s="23" t="s">
        <v>8</v>
      </c>
    </row>
    <row r="13143" spans="1:13" s="21" customFormat="1" x14ac:dyDescent="0.25">
      <c r="A13143" s="22" t="s">
        <v>8</v>
      </c>
      <c r="B13143" s="18" t="str">
        <f>"495325"</f>
        <v>495325</v>
      </c>
      <c r="C13143" s="19" t="s">
        <v>12919</v>
      </c>
      <c r="D13143" s="19" t="s">
        <v>28543</v>
      </c>
      <c r="E13143" s="19" t="s">
        <v>30859</v>
      </c>
      <c r="F13143" s="19" t="s">
        <v>36021</v>
      </c>
      <c r="G13143" s="18" t="str">
        <f>"24014"</f>
        <v>24014</v>
      </c>
      <c r="H13143" s="19" t="s">
        <v>36853</v>
      </c>
      <c r="I13143" s="20">
        <v>17.385000000000002</v>
      </c>
      <c r="J13143" s="44" t="s">
        <v>8</v>
      </c>
      <c r="K13143" s="23" t="s">
        <v>8</v>
      </c>
      <c r="L13143" s="23" t="s">
        <v>8</v>
      </c>
      <c r="M13143" s="23" t="s">
        <v>8</v>
      </c>
    </row>
    <row r="13144" spans="1:13" s="21" customFormat="1" x14ac:dyDescent="0.25">
      <c r="A13144" s="22" t="s">
        <v>8</v>
      </c>
      <c r="B13144" s="18" t="str">
        <f>"495326"</f>
        <v>495326</v>
      </c>
      <c r="C13144" s="19" t="s">
        <v>12920</v>
      </c>
      <c r="D13144" s="19" t="s">
        <v>28544</v>
      </c>
      <c r="E13144" s="19" t="s">
        <v>35376</v>
      </c>
      <c r="F13144" s="19" t="s">
        <v>36021</v>
      </c>
      <c r="G13144" s="18" t="str">
        <f>"22901"</f>
        <v>22901</v>
      </c>
      <c r="H13144" s="19" t="s">
        <v>34256</v>
      </c>
      <c r="I13144" s="20">
        <v>18.404</v>
      </c>
      <c r="J13144" s="44" t="s">
        <v>8</v>
      </c>
      <c r="K13144" s="23" t="s">
        <v>8</v>
      </c>
      <c r="L13144" s="23" t="s">
        <v>8</v>
      </c>
      <c r="M13144" s="23" t="s">
        <v>8</v>
      </c>
    </row>
    <row r="13145" spans="1:13" s="21" customFormat="1" x14ac:dyDescent="0.25">
      <c r="A13145" s="22" t="s">
        <v>8</v>
      </c>
      <c r="B13145" s="18" t="str">
        <f>"495327"</f>
        <v>495327</v>
      </c>
      <c r="C13145" s="19" t="s">
        <v>12921</v>
      </c>
      <c r="D13145" s="19" t="s">
        <v>28545</v>
      </c>
      <c r="E13145" s="19" t="s">
        <v>31178</v>
      </c>
      <c r="F13145" s="19" t="s">
        <v>36021</v>
      </c>
      <c r="G13145" s="18" t="str">
        <f>"23225"</f>
        <v>23225</v>
      </c>
      <c r="H13145" s="19" t="s">
        <v>36883</v>
      </c>
      <c r="I13145" s="20">
        <v>18.940000000000001</v>
      </c>
      <c r="J13145" s="44" t="s">
        <v>8</v>
      </c>
      <c r="K13145" s="23" t="s">
        <v>8</v>
      </c>
      <c r="L13145" s="23" t="s">
        <v>8</v>
      </c>
      <c r="M13145" s="23" t="s">
        <v>8</v>
      </c>
    </row>
    <row r="13146" spans="1:13" s="21" customFormat="1" x14ac:dyDescent="0.25">
      <c r="A13146" s="22" t="s">
        <v>8</v>
      </c>
      <c r="B13146" s="18" t="str">
        <f>"495328"</f>
        <v>495328</v>
      </c>
      <c r="C13146" s="19" t="s">
        <v>12922</v>
      </c>
      <c r="D13146" s="19" t="s">
        <v>28546</v>
      </c>
      <c r="E13146" s="19" t="s">
        <v>35416</v>
      </c>
      <c r="F13146" s="19" t="s">
        <v>36021</v>
      </c>
      <c r="G13146" s="18" t="str">
        <f>"22560"</f>
        <v>22560</v>
      </c>
      <c r="H13146" s="19" t="s">
        <v>31458</v>
      </c>
      <c r="I13146" s="20">
        <v>17.998000000000001</v>
      </c>
      <c r="J13146" s="44" t="s">
        <v>8</v>
      </c>
      <c r="K13146" s="23" t="s">
        <v>8</v>
      </c>
      <c r="L13146" s="23" t="s">
        <v>8</v>
      </c>
      <c r="M13146" s="23" t="s">
        <v>8</v>
      </c>
    </row>
    <row r="13147" spans="1:13" s="21" customFormat="1" x14ac:dyDescent="0.25">
      <c r="A13147" s="22" t="s">
        <v>8</v>
      </c>
      <c r="B13147" s="18" t="str">
        <f>"495330"</f>
        <v>495330</v>
      </c>
      <c r="C13147" s="19" t="s">
        <v>12923</v>
      </c>
      <c r="D13147" s="19" t="s">
        <v>28547</v>
      </c>
      <c r="E13147" s="19" t="s">
        <v>35370</v>
      </c>
      <c r="F13147" s="19" t="s">
        <v>36021</v>
      </c>
      <c r="G13147" s="18" t="str">
        <f>"23323"</f>
        <v>23323</v>
      </c>
      <c r="H13147" s="19" t="s">
        <v>36867</v>
      </c>
      <c r="I13147" s="20">
        <v>22.667000000000002</v>
      </c>
      <c r="J13147" s="44" t="s">
        <v>8</v>
      </c>
      <c r="K13147" s="23" t="s">
        <v>8</v>
      </c>
      <c r="L13147" s="23" t="s">
        <v>8</v>
      </c>
      <c r="M13147" s="23" t="s">
        <v>8</v>
      </c>
    </row>
    <row r="13148" spans="1:13" s="21" customFormat="1" x14ac:dyDescent="0.25">
      <c r="A13148" s="22" t="s">
        <v>8</v>
      </c>
      <c r="B13148" s="18" t="str">
        <f>"495331"</f>
        <v>495331</v>
      </c>
      <c r="C13148" s="19" t="s">
        <v>12924</v>
      </c>
      <c r="D13148" s="19" t="s">
        <v>28548</v>
      </c>
      <c r="E13148" s="19" t="s">
        <v>32424</v>
      </c>
      <c r="F13148" s="19" t="s">
        <v>36021</v>
      </c>
      <c r="G13148" s="18" t="str">
        <f>"24348"</f>
        <v>24348</v>
      </c>
      <c r="H13148" s="19" t="s">
        <v>32731</v>
      </c>
      <c r="I13148" s="20">
        <v>16.876999999999999</v>
      </c>
      <c r="J13148" s="44" t="s">
        <v>8</v>
      </c>
      <c r="K13148" s="23" t="s">
        <v>8</v>
      </c>
      <c r="L13148" s="23" t="s">
        <v>8</v>
      </c>
      <c r="M13148" s="23" t="s">
        <v>8</v>
      </c>
    </row>
    <row r="13149" spans="1:13" s="21" customFormat="1" x14ac:dyDescent="0.25">
      <c r="A13149" s="22" t="s">
        <v>8</v>
      </c>
      <c r="B13149" s="18" t="str">
        <f>"495332"</f>
        <v>495332</v>
      </c>
      <c r="C13149" s="19" t="s">
        <v>12925</v>
      </c>
      <c r="D13149" s="19" t="s">
        <v>28549</v>
      </c>
      <c r="E13149" s="19" t="s">
        <v>34276</v>
      </c>
      <c r="F13149" s="19" t="s">
        <v>36021</v>
      </c>
      <c r="G13149" s="18" t="str">
        <f>"23430"</f>
        <v>23430</v>
      </c>
      <c r="H13149" s="19" t="s">
        <v>36895</v>
      </c>
      <c r="I13149" s="20">
        <v>19.376999999999999</v>
      </c>
      <c r="J13149" s="44" t="s">
        <v>8</v>
      </c>
      <c r="K13149" s="23" t="s">
        <v>8</v>
      </c>
      <c r="L13149" s="23" t="s">
        <v>8</v>
      </c>
      <c r="M13149" s="23" t="s">
        <v>8</v>
      </c>
    </row>
    <row r="13150" spans="1:13" s="21" customFormat="1" x14ac:dyDescent="0.25">
      <c r="A13150" s="22" t="s">
        <v>8</v>
      </c>
      <c r="B13150" s="18" t="str">
        <f>"495333"</f>
        <v>495333</v>
      </c>
      <c r="C13150" s="19" t="s">
        <v>12926</v>
      </c>
      <c r="D13150" s="19" t="s">
        <v>28550</v>
      </c>
      <c r="E13150" s="19" t="s">
        <v>31747</v>
      </c>
      <c r="F13150" s="19" t="s">
        <v>36021</v>
      </c>
      <c r="G13150" s="18" t="str">
        <f>"24084"</f>
        <v>24084</v>
      </c>
      <c r="H13150" s="19" t="s">
        <v>31795</v>
      </c>
      <c r="I13150" s="20">
        <v>21.108000000000001</v>
      </c>
      <c r="J13150" s="44" t="s">
        <v>8</v>
      </c>
      <c r="K13150" s="23" t="s">
        <v>8</v>
      </c>
      <c r="L13150" s="23" t="s">
        <v>8</v>
      </c>
      <c r="M13150" s="23" t="s">
        <v>8</v>
      </c>
    </row>
    <row r="13151" spans="1:13" s="21" customFormat="1" x14ac:dyDescent="0.25">
      <c r="A13151" s="22" t="s">
        <v>8</v>
      </c>
      <c r="B13151" s="18" t="str">
        <f>"495334"</f>
        <v>495334</v>
      </c>
      <c r="C13151" s="19" t="s">
        <v>12927</v>
      </c>
      <c r="D13151" s="19" t="s">
        <v>28551</v>
      </c>
      <c r="E13151" s="19" t="s">
        <v>35417</v>
      </c>
      <c r="F13151" s="19" t="s">
        <v>36021</v>
      </c>
      <c r="G13151" s="18" t="str">
        <f>"23421"</f>
        <v>23421</v>
      </c>
      <c r="H13151" s="19" t="s">
        <v>36888</v>
      </c>
      <c r="I13151" s="20">
        <v>19.888000000000002</v>
      </c>
      <c r="J13151" s="44" t="s">
        <v>8</v>
      </c>
      <c r="K13151" s="23" t="s">
        <v>8</v>
      </c>
      <c r="L13151" s="23" t="s">
        <v>8</v>
      </c>
      <c r="M13151" s="23" t="s">
        <v>8</v>
      </c>
    </row>
    <row r="13152" spans="1:13" s="21" customFormat="1" x14ac:dyDescent="0.25">
      <c r="A13152" s="22" t="s">
        <v>8</v>
      </c>
      <c r="B13152" s="18" t="str">
        <f>"495336"</f>
        <v>495336</v>
      </c>
      <c r="C13152" s="19" t="s">
        <v>12928</v>
      </c>
      <c r="D13152" s="19" t="s">
        <v>28552</v>
      </c>
      <c r="E13152" s="19" t="s">
        <v>35390</v>
      </c>
      <c r="F13152" s="19" t="s">
        <v>36021</v>
      </c>
      <c r="G13152" s="18" t="str">
        <f>"22939"</f>
        <v>22939</v>
      </c>
      <c r="H13152" s="19" t="s">
        <v>31714</v>
      </c>
      <c r="I13152" s="20">
        <v>21.402999999999999</v>
      </c>
      <c r="J13152" s="44" t="s">
        <v>8</v>
      </c>
      <c r="K13152" s="23" t="s">
        <v>8</v>
      </c>
      <c r="L13152" s="23" t="s">
        <v>8</v>
      </c>
      <c r="M13152" s="23" t="s">
        <v>8</v>
      </c>
    </row>
    <row r="13153" spans="1:13" s="21" customFormat="1" x14ac:dyDescent="0.25">
      <c r="A13153" s="22" t="s">
        <v>8</v>
      </c>
      <c r="B13153" s="18" t="str">
        <f>"495337"</f>
        <v>495337</v>
      </c>
      <c r="C13153" s="19" t="s">
        <v>12929</v>
      </c>
      <c r="D13153" s="19" t="s">
        <v>28553</v>
      </c>
      <c r="E13153" s="19" t="s">
        <v>33404</v>
      </c>
      <c r="F13153" s="19" t="s">
        <v>36021</v>
      </c>
      <c r="G13153" s="18" t="str">
        <f>"22003"</f>
        <v>22003</v>
      </c>
      <c r="H13153" s="19" t="s">
        <v>33392</v>
      </c>
      <c r="I13153" s="20">
        <v>19.582999999999998</v>
      </c>
      <c r="J13153" s="44" t="s">
        <v>8</v>
      </c>
      <c r="K13153" s="23" t="s">
        <v>8</v>
      </c>
      <c r="L13153" s="23" t="s">
        <v>8</v>
      </c>
      <c r="M13153" s="23" t="s">
        <v>8</v>
      </c>
    </row>
    <row r="13154" spans="1:13" s="21" customFormat="1" x14ac:dyDescent="0.25">
      <c r="A13154" s="22" t="s">
        <v>8</v>
      </c>
      <c r="B13154" s="18" t="str">
        <f>"495338"</f>
        <v>495338</v>
      </c>
      <c r="C13154" s="19" t="s">
        <v>12930</v>
      </c>
      <c r="D13154" s="19" t="s">
        <v>28554</v>
      </c>
      <c r="E13154" s="19" t="s">
        <v>32034</v>
      </c>
      <c r="F13154" s="19" t="s">
        <v>36021</v>
      </c>
      <c r="G13154" s="18" t="str">
        <f>"24210"</f>
        <v>24210</v>
      </c>
      <c r="H13154" s="19" t="s">
        <v>31500</v>
      </c>
      <c r="I13154" s="20">
        <v>20.149999999999999</v>
      </c>
      <c r="J13154" s="44" t="s">
        <v>8</v>
      </c>
      <c r="K13154" s="23" t="s">
        <v>8</v>
      </c>
      <c r="L13154" s="23" t="s">
        <v>8</v>
      </c>
      <c r="M13154" s="23" t="s">
        <v>8</v>
      </c>
    </row>
    <row r="13155" spans="1:13" s="21" customFormat="1" x14ac:dyDescent="0.25">
      <c r="A13155" s="22" t="s">
        <v>8</v>
      </c>
      <c r="B13155" s="18" t="str">
        <f>"495339"</f>
        <v>495339</v>
      </c>
      <c r="C13155" s="19" t="s">
        <v>12931</v>
      </c>
      <c r="D13155" s="19" t="s">
        <v>28555</v>
      </c>
      <c r="E13155" s="19" t="s">
        <v>34328</v>
      </c>
      <c r="F13155" s="19" t="s">
        <v>36021</v>
      </c>
      <c r="G13155" s="18" t="str">
        <f>"23901"</f>
        <v>23901</v>
      </c>
      <c r="H13155" s="19" t="s">
        <v>36889</v>
      </c>
      <c r="I13155" s="20">
        <v>17.027999999999999</v>
      </c>
      <c r="J13155" s="44" t="s">
        <v>8</v>
      </c>
      <c r="K13155" s="23" t="s">
        <v>8</v>
      </c>
      <c r="L13155" s="23" t="s">
        <v>8</v>
      </c>
      <c r="M13155" s="23" t="s">
        <v>8</v>
      </c>
    </row>
    <row r="13156" spans="1:13" s="21" customFormat="1" x14ac:dyDescent="0.25">
      <c r="A13156" s="22" t="s">
        <v>8</v>
      </c>
      <c r="B13156" s="18" t="str">
        <f>"495340"</f>
        <v>495340</v>
      </c>
      <c r="C13156" s="19" t="s">
        <v>12932</v>
      </c>
      <c r="D13156" s="19" t="s">
        <v>28556</v>
      </c>
      <c r="E13156" s="19" t="s">
        <v>35366</v>
      </c>
      <c r="F13156" s="19" t="s">
        <v>36021</v>
      </c>
      <c r="G13156" s="18" t="str">
        <f>"23602"</f>
        <v>23602</v>
      </c>
      <c r="H13156" s="19" t="s">
        <v>36861</v>
      </c>
      <c r="I13156" s="20">
        <v>17.027000000000001</v>
      </c>
      <c r="J13156" s="44" t="s">
        <v>8</v>
      </c>
      <c r="K13156" s="23" t="s">
        <v>8</v>
      </c>
      <c r="L13156" s="23" t="s">
        <v>8</v>
      </c>
      <c r="M13156" s="23" t="s">
        <v>8</v>
      </c>
    </row>
    <row r="13157" spans="1:13" s="21" customFormat="1" x14ac:dyDescent="0.25">
      <c r="A13157" s="22" t="s">
        <v>8</v>
      </c>
      <c r="B13157" s="18" t="str">
        <f>"495342"</f>
        <v>495342</v>
      </c>
      <c r="C13157" s="19" t="s">
        <v>12933</v>
      </c>
      <c r="D13157" s="19" t="s">
        <v>28557</v>
      </c>
      <c r="E13157" s="19" t="s">
        <v>32242</v>
      </c>
      <c r="F13157" s="19" t="s">
        <v>36021</v>
      </c>
      <c r="G13157" s="18" t="str">
        <f>"23692"</f>
        <v>23692</v>
      </c>
      <c r="H13157" s="19" t="s">
        <v>30834</v>
      </c>
      <c r="I13157" s="20">
        <v>18.283999999999999</v>
      </c>
      <c r="J13157" s="44" t="s">
        <v>8</v>
      </c>
      <c r="K13157" s="23" t="s">
        <v>8</v>
      </c>
      <c r="L13157" s="23" t="s">
        <v>8</v>
      </c>
      <c r="M13157" s="23" t="s">
        <v>8</v>
      </c>
    </row>
    <row r="13158" spans="1:13" s="21" customFormat="1" x14ac:dyDescent="0.25">
      <c r="A13158" s="22" t="s">
        <v>8</v>
      </c>
      <c r="B13158" s="18" t="str">
        <f>"495343"</f>
        <v>495343</v>
      </c>
      <c r="C13158" s="19" t="s">
        <v>12934</v>
      </c>
      <c r="D13158" s="19" t="s">
        <v>28558</v>
      </c>
      <c r="E13158" s="19" t="s">
        <v>35418</v>
      </c>
      <c r="F13158" s="19" t="s">
        <v>36021</v>
      </c>
      <c r="G13158" s="18" t="str">
        <f>"22973"</f>
        <v>22973</v>
      </c>
      <c r="H13158" s="19" t="s">
        <v>32455</v>
      </c>
      <c r="I13158" s="20">
        <v>20.54</v>
      </c>
      <c r="J13158" s="44" t="s">
        <v>8</v>
      </c>
      <c r="K13158" s="23" t="s">
        <v>8</v>
      </c>
      <c r="L13158" s="23" t="s">
        <v>8</v>
      </c>
      <c r="M13158" s="23" t="s">
        <v>8</v>
      </c>
    </row>
    <row r="13159" spans="1:13" s="21" customFormat="1" x14ac:dyDescent="0.25">
      <c r="A13159" s="22" t="s">
        <v>8</v>
      </c>
      <c r="B13159" s="18" t="str">
        <f>"495344"</f>
        <v>495344</v>
      </c>
      <c r="C13159" s="19" t="s">
        <v>12935</v>
      </c>
      <c r="D13159" s="19" t="s">
        <v>28559</v>
      </c>
      <c r="E13159" s="19" t="s">
        <v>31960</v>
      </c>
      <c r="F13159" s="19" t="s">
        <v>36021</v>
      </c>
      <c r="G13159" s="18" t="str">
        <f>"24401"</f>
        <v>24401</v>
      </c>
      <c r="H13159" s="19" t="s">
        <v>36887</v>
      </c>
      <c r="I13159" s="20">
        <v>20.073</v>
      </c>
      <c r="J13159" s="44" t="s">
        <v>8</v>
      </c>
      <c r="K13159" s="23" t="s">
        <v>8</v>
      </c>
      <c r="L13159" s="23" t="s">
        <v>8</v>
      </c>
      <c r="M13159" s="23" t="s">
        <v>8</v>
      </c>
    </row>
    <row r="13160" spans="1:13" s="21" customFormat="1" x14ac:dyDescent="0.25">
      <c r="A13160" s="22" t="s">
        <v>8</v>
      </c>
      <c r="B13160" s="18" t="str">
        <f>"495345"</f>
        <v>495345</v>
      </c>
      <c r="C13160" s="19" t="s">
        <v>12936</v>
      </c>
      <c r="D13160" s="19" t="s">
        <v>28560</v>
      </c>
      <c r="E13160" s="19" t="s">
        <v>35419</v>
      </c>
      <c r="F13160" s="19" t="s">
        <v>36021</v>
      </c>
      <c r="G13160" s="18" t="str">
        <f>"22482"</f>
        <v>22482</v>
      </c>
      <c r="H13160" s="19" t="s">
        <v>31184</v>
      </c>
      <c r="I13160" s="20">
        <v>17.206</v>
      </c>
      <c r="J13160" s="44" t="s">
        <v>8</v>
      </c>
      <c r="K13160" s="23" t="s">
        <v>8</v>
      </c>
      <c r="L13160" s="23" t="s">
        <v>8</v>
      </c>
      <c r="M13160" s="23" t="s">
        <v>8</v>
      </c>
    </row>
    <row r="13161" spans="1:13" s="21" customFormat="1" x14ac:dyDescent="0.25">
      <c r="A13161" s="22" t="s">
        <v>8</v>
      </c>
      <c r="B13161" s="18" t="str">
        <f>"495346"</f>
        <v>495346</v>
      </c>
      <c r="C13161" s="19" t="s">
        <v>12937</v>
      </c>
      <c r="D13161" s="19" t="s">
        <v>28561</v>
      </c>
      <c r="E13161" s="19" t="s">
        <v>33776</v>
      </c>
      <c r="F13161" s="19" t="s">
        <v>36021</v>
      </c>
      <c r="G13161" s="18" t="str">
        <f>"23505"</f>
        <v>23505</v>
      </c>
      <c r="H13161" s="19" t="s">
        <v>36860</v>
      </c>
      <c r="I13161" s="20">
        <v>12.077999999999999</v>
      </c>
      <c r="J13161" s="44" t="s">
        <v>8</v>
      </c>
      <c r="K13161" s="23" t="s">
        <v>8</v>
      </c>
      <c r="L13161" s="23" t="s">
        <v>8</v>
      </c>
      <c r="M13161" s="23" t="s">
        <v>8</v>
      </c>
    </row>
    <row r="13162" spans="1:13" s="21" customFormat="1" x14ac:dyDescent="0.25">
      <c r="A13162" s="22" t="s">
        <v>8</v>
      </c>
      <c r="B13162" s="18" t="str">
        <f>"495347"</f>
        <v>495347</v>
      </c>
      <c r="C13162" s="19" t="s">
        <v>12938</v>
      </c>
      <c r="D13162" s="19" t="s">
        <v>28562</v>
      </c>
      <c r="E13162" s="19" t="s">
        <v>31367</v>
      </c>
      <c r="F13162" s="19" t="s">
        <v>36021</v>
      </c>
      <c r="G13162" s="18" t="str">
        <f>"23487"</f>
        <v>23487</v>
      </c>
      <c r="H13162" s="19" t="s">
        <v>36895</v>
      </c>
      <c r="I13162" s="20">
        <v>18.251000000000001</v>
      </c>
      <c r="J13162" s="44" t="s">
        <v>8</v>
      </c>
      <c r="K13162" s="23" t="s">
        <v>8</v>
      </c>
      <c r="L13162" s="23" t="s">
        <v>8</v>
      </c>
      <c r="M13162" s="23" t="s">
        <v>8</v>
      </c>
    </row>
    <row r="13163" spans="1:13" s="21" customFormat="1" x14ac:dyDescent="0.25">
      <c r="A13163" s="22" t="s">
        <v>8</v>
      </c>
      <c r="B13163" s="18" t="str">
        <f>"495348"</f>
        <v>495348</v>
      </c>
      <c r="C13163" s="19" t="s">
        <v>12939</v>
      </c>
      <c r="D13163" s="19" t="s">
        <v>28563</v>
      </c>
      <c r="E13163" s="19" t="s">
        <v>35420</v>
      </c>
      <c r="F13163" s="19" t="s">
        <v>36021</v>
      </c>
      <c r="G13163" s="18" t="str">
        <f>"24091"</f>
        <v>24091</v>
      </c>
      <c r="H13163" s="19" t="s">
        <v>35420</v>
      </c>
      <c r="I13163" s="20">
        <v>17.696000000000002</v>
      </c>
      <c r="J13163" s="44" t="s">
        <v>8</v>
      </c>
      <c r="K13163" s="23" t="s">
        <v>8</v>
      </c>
      <c r="L13163" s="23" t="s">
        <v>8</v>
      </c>
      <c r="M13163" s="23" t="s">
        <v>8</v>
      </c>
    </row>
    <row r="13164" spans="1:13" s="21" customFormat="1" x14ac:dyDescent="0.25">
      <c r="A13164" s="22" t="s">
        <v>8</v>
      </c>
      <c r="B13164" s="18" t="str">
        <f>"495349"</f>
        <v>495349</v>
      </c>
      <c r="C13164" s="19" t="s">
        <v>12940</v>
      </c>
      <c r="D13164" s="19" t="s">
        <v>28564</v>
      </c>
      <c r="E13164" s="19" t="s">
        <v>35363</v>
      </c>
      <c r="F13164" s="19" t="s">
        <v>36021</v>
      </c>
      <c r="G13164" s="18" t="str">
        <f>"24382"</f>
        <v>24382</v>
      </c>
      <c r="H13164" s="19" t="s">
        <v>36851</v>
      </c>
      <c r="I13164" s="20">
        <v>17.940999999999999</v>
      </c>
      <c r="J13164" s="44" t="s">
        <v>8</v>
      </c>
      <c r="K13164" s="23" t="s">
        <v>8</v>
      </c>
      <c r="L13164" s="23" t="s">
        <v>8</v>
      </c>
      <c r="M13164" s="23" t="s">
        <v>8</v>
      </c>
    </row>
    <row r="13165" spans="1:13" s="21" customFormat="1" x14ac:dyDescent="0.25">
      <c r="A13165" s="22" t="s">
        <v>8</v>
      </c>
      <c r="B13165" s="18" t="str">
        <f>"495350"</f>
        <v>495350</v>
      </c>
      <c r="C13165" s="19" t="s">
        <v>12941</v>
      </c>
      <c r="D13165" s="19" t="s">
        <v>28565</v>
      </c>
      <c r="E13165" s="19" t="s">
        <v>35421</v>
      </c>
      <c r="F13165" s="19" t="s">
        <v>36021</v>
      </c>
      <c r="G13165" s="18" t="str">
        <f>"24293"</f>
        <v>24293</v>
      </c>
      <c r="H13165" s="19" t="s">
        <v>35421</v>
      </c>
      <c r="I13165" s="20">
        <v>17.605</v>
      </c>
      <c r="J13165" s="44" t="s">
        <v>8</v>
      </c>
      <c r="K13165" s="23" t="s">
        <v>8</v>
      </c>
      <c r="L13165" s="23" t="s">
        <v>8</v>
      </c>
      <c r="M13165" s="23" t="s">
        <v>8</v>
      </c>
    </row>
    <row r="13166" spans="1:13" s="21" customFormat="1" x14ac:dyDescent="0.25">
      <c r="A13166" s="22" t="s">
        <v>8</v>
      </c>
      <c r="B13166" s="18" t="str">
        <f>"495352"</f>
        <v>495352</v>
      </c>
      <c r="C13166" s="19" t="s">
        <v>12942</v>
      </c>
      <c r="D13166" s="19" t="s">
        <v>28566</v>
      </c>
      <c r="E13166" s="19" t="s">
        <v>35422</v>
      </c>
      <c r="F13166" s="19" t="s">
        <v>36021</v>
      </c>
      <c r="G13166" s="18" t="str">
        <f>"24277"</f>
        <v>24277</v>
      </c>
      <c r="H13166" s="19" t="s">
        <v>33138</v>
      </c>
      <c r="I13166" s="20">
        <v>22.065999999999999</v>
      </c>
      <c r="J13166" s="44" t="s">
        <v>8</v>
      </c>
      <c r="K13166" s="23" t="s">
        <v>8</v>
      </c>
      <c r="L13166" s="23" t="s">
        <v>8</v>
      </c>
      <c r="M13166" s="23" t="s">
        <v>8</v>
      </c>
    </row>
    <row r="13167" spans="1:13" s="21" customFormat="1" x14ac:dyDescent="0.25">
      <c r="A13167" s="22" t="s">
        <v>8</v>
      </c>
      <c r="B13167" s="18" t="str">
        <f>"495353"</f>
        <v>495353</v>
      </c>
      <c r="C13167" s="19" t="s">
        <v>12943</v>
      </c>
      <c r="D13167" s="19" t="s">
        <v>28567</v>
      </c>
      <c r="E13167" s="19" t="s">
        <v>33137</v>
      </c>
      <c r="F13167" s="19" t="s">
        <v>36021</v>
      </c>
      <c r="G13167" s="18" t="str">
        <f>"23824"</f>
        <v>23824</v>
      </c>
      <c r="H13167" s="19" t="s">
        <v>36896</v>
      </c>
      <c r="I13167" s="20">
        <v>17.952000000000002</v>
      </c>
      <c r="J13167" s="44" t="s">
        <v>8</v>
      </c>
      <c r="K13167" s="23" t="s">
        <v>8</v>
      </c>
      <c r="L13167" s="23" t="s">
        <v>8</v>
      </c>
      <c r="M13167" s="23" t="s">
        <v>8</v>
      </c>
    </row>
    <row r="13168" spans="1:13" s="21" customFormat="1" x14ac:dyDescent="0.25">
      <c r="A13168" s="22" t="s">
        <v>8</v>
      </c>
      <c r="B13168" s="18" t="str">
        <f>"495354"</f>
        <v>495354</v>
      </c>
      <c r="C13168" s="19" t="s">
        <v>12944</v>
      </c>
      <c r="D13168" s="19" t="s">
        <v>28568</v>
      </c>
      <c r="E13168" s="19" t="s">
        <v>31717</v>
      </c>
      <c r="F13168" s="19" t="s">
        <v>36021</v>
      </c>
      <c r="G13168" s="18" t="str">
        <f>"22150"</f>
        <v>22150</v>
      </c>
      <c r="H13168" s="19" t="s">
        <v>33392</v>
      </c>
      <c r="I13168" s="20">
        <v>17.898</v>
      </c>
      <c r="J13168" s="44" t="s">
        <v>8</v>
      </c>
      <c r="K13168" s="23" t="s">
        <v>8</v>
      </c>
      <c r="L13168" s="23" t="s">
        <v>8</v>
      </c>
      <c r="M13168" s="23" t="s">
        <v>8</v>
      </c>
    </row>
    <row r="13169" spans="1:13" s="21" customFormat="1" x14ac:dyDescent="0.25">
      <c r="A13169" s="22" t="s">
        <v>8</v>
      </c>
      <c r="B13169" s="18" t="str">
        <f>"495355"</f>
        <v>495355</v>
      </c>
      <c r="C13169" s="19" t="s">
        <v>12945</v>
      </c>
      <c r="D13169" s="19" t="s">
        <v>28569</v>
      </c>
      <c r="E13169" s="19" t="s">
        <v>35423</v>
      </c>
      <c r="F13169" s="19" t="s">
        <v>36021</v>
      </c>
      <c r="G13169" s="18" t="str">
        <f>"24141"</f>
        <v>24141</v>
      </c>
      <c r="H13169" s="19" t="s">
        <v>36897</v>
      </c>
      <c r="I13169" s="20">
        <v>18.420000000000002</v>
      </c>
      <c r="J13169" s="44" t="s">
        <v>8</v>
      </c>
      <c r="K13169" s="23" t="s">
        <v>8</v>
      </c>
      <c r="L13169" s="23" t="s">
        <v>8</v>
      </c>
      <c r="M13169" s="23" t="s">
        <v>8</v>
      </c>
    </row>
    <row r="13170" spans="1:13" s="21" customFormat="1" x14ac:dyDescent="0.25">
      <c r="A13170" s="22" t="s">
        <v>8</v>
      </c>
      <c r="B13170" s="18" t="str">
        <f>"495356"</f>
        <v>495356</v>
      </c>
      <c r="C13170" s="19" t="s">
        <v>12946</v>
      </c>
      <c r="D13170" s="19" t="s">
        <v>28570</v>
      </c>
      <c r="E13170" s="19" t="s">
        <v>35424</v>
      </c>
      <c r="F13170" s="19" t="s">
        <v>36021</v>
      </c>
      <c r="G13170" s="18" t="str">
        <f>"24060"</f>
        <v>24060</v>
      </c>
      <c r="H13170" s="19" t="s">
        <v>30833</v>
      </c>
      <c r="I13170" s="20">
        <v>20.666</v>
      </c>
      <c r="J13170" s="44" t="s">
        <v>8</v>
      </c>
      <c r="K13170" s="23" t="s">
        <v>8</v>
      </c>
      <c r="L13170" s="23" t="s">
        <v>8</v>
      </c>
      <c r="M13170" s="23" t="s">
        <v>8</v>
      </c>
    </row>
    <row r="13171" spans="1:13" s="21" customFormat="1" x14ac:dyDescent="0.25">
      <c r="A13171" s="22" t="s">
        <v>8</v>
      </c>
      <c r="B13171" s="18" t="str">
        <f>"495357"</f>
        <v>495357</v>
      </c>
      <c r="C13171" s="19" t="s">
        <v>12947</v>
      </c>
      <c r="D13171" s="19" t="s">
        <v>28571</v>
      </c>
      <c r="E13171" s="19" t="s">
        <v>30859</v>
      </c>
      <c r="F13171" s="19" t="s">
        <v>36021</v>
      </c>
      <c r="G13171" s="18" t="str">
        <f>"24016"</f>
        <v>24016</v>
      </c>
      <c r="H13171" s="19" t="s">
        <v>36853</v>
      </c>
      <c r="I13171" s="20">
        <v>19.626999999999999</v>
      </c>
      <c r="J13171" s="44" t="s">
        <v>8</v>
      </c>
      <c r="K13171" s="23" t="s">
        <v>8</v>
      </c>
      <c r="L13171" s="23" t="s">
        <v>8</v>
      </c>
      <c r="M13171" s="23" t="s">
        <v>8</v>
      </c>
    </row>
    <row r="13172" spans="1:13" s="21" customFormat="1" x14ac:dyDescent="0.25">
      <c r="A13172" s="22" t="s">
        <v>8</v>
      </c>
      <c r="B13172" s="18" t="str">
        <f>"495358"</f>
        <v>495358</v>
      </c>
      <c r="C13172" s="19" t="s">
        <v>12948</v>
      </c>
      <c r="D13172" s="19" t="s">
        <v>28572</v>
      </c>
      <c r="E13172" s="19" t="s">
        <v>34602</v>
      </c>
      <c r="F13172" s="19" t="s">
        <v>36021</v>
      </c>
      <c r="G13172" s="18" t="str">
        <f>"23002"</f>
        <v>23002</v>
      </c>
      <c r="H13172" s="19" t="s">
        <v>34602</v>
      </c>
      <c r="I13172" s="20">
        <v>21.542000000000002</v>
      </c>
      <c r="J13172" s="44" t="s">
        <v>8</v>
      </c>
      <c r="K13172" s="23" t="s">
        <v>8</v>
      </c>
      <c r="L13172" s="23" t="s">
        <v>8</v>
      </c>
      <c r="M13172" s="23" t="s">
        <v>8</v>
      </c>
    </row>
    <row r="13173" spans="1:13" s="21" customFormat="1" x14ac:dyDescent="0.25">
      <c r="A13173" s="22" t="s">
        <v>8</v>
      </c>
      <c r="B13173" s="18" t="str">
        <f>"495359"</f>
        <v>495359</v>
      </c>
      <c r="C13173" s="19" t="s">
        <v>12949</v>
      </c>
      <c r="D13173" s="19" t="s">
        <v>28573</v>
      </c>
      <c r="E13173" s="19" t="s">
        <v>31169</v>
      </c>
      <c r="F13173" s="19" t="s">
        <v>36021</v>
      </c>
      <c r="G13173" s="18" t="str">
        <f>"22960"</f>
        <v>22960</v>
      </c>
      <c r="H13173" s="19" t="s">
        <v>31169</v>
      </c>
      <c r="I13173" s="20">
        <v>19.806999999999999</v>
      </c>
      <c r="J13173" s="44" t="s">
        <v>8</v>
      </c>
      <c r="K13173" s="23" t="s">
        <v>8</v>
      </c>
      <c r="L13173" s="23" t="s">
        <v>8</v>
      </c>
      <c r="M13173" s="23" t="s">
        <v>8</v>
      </c>
    </row>
    <row r="13174" spans="1:13" s="21" customFormat="1" x14ac:dyDescent="0.25">
      <c r="A13174" s="22" t="s">
        <v>8</v>
      </c>
      <c r="B13174" s="18" t="str">
        <f>"495360"</f>
        <v>495360</v>
      </c>
      <c r="C13174" s="19" t="s">
        <v>12950</v>
      </c>
      <c r="D13174" s="19" t="s">
        <v>28574</v>
      </c>
      <c r="E13174" s="19" t="s">
        <v>35375</v>
      </c>
      <c r="F13174" s="19" t="s">
        <v>36021</v>
      </c>
      <c r="G13174" s="18" t="str">
        <f>"24422"</f>
        <v>24422</v>
      </c>
      <c r="H13174" s="19" t="s">
        <v>36643</v>
      </c>
      <c r="I13174" s="20">
        <v>21.867999999999999</v>
      </c>
      <c r="J13174" s="44" t="s">
        <v>8</v>
      </c>
      <c r="K13174" s="23" t="s">
        <v>8</v>
      </c>
      <c r="L13174" s="23" t="s">
        <v>8</v>
      </c>
      <c r="M13174" s="23" t="s">
        <v>8</v>
      </c>
    </row>
    <row r="13175" spans="1:13" s="21" customFormat="1" x14ac:dyDescent="0.25">
      <c r="A13175" s="22" t="s">
        <v>8</v>
      </c>
      <c r="B13175" s="18" t="str">
        <f>"495361"</f>
        <v>495361</v>
      </c>
      <c r="C13175" s="19" t="s">
        <v>12951</v>
      </c>
      <c r="D13175" s="19" t="s">
        <v>28575</v>
      </c>
      <c r="E13175" s="19" t="s">
        <v>31460</v>
      </c>
      <c r="F13175" s="19" t="s">
        <v>36021</v>
      </c>
      <c r="G13175" s="18" t="str">
        <f>"22191"</f>
        <v>22191</v>
      </c>
      <c r="H13175" s="19" t="s">
        <v>36858</v>
      </c>
      <c r="I13175" s="20">
        <v>21.193000000000001</v>
      </c>
      <c r="J13175" s="44" t="s">
        <v>8</v>
      </c>
      <c r="K13175" s="23" t="s">
        <v>8</v>
      </c>
      <c r="L13175" s="23" t="s">
        <v>8</v>
      </c>
      <c r="M13175" s="23" t="s">
        <v>8</v>
      </c>
    </row>
    <row r="13176" spans="1:13" s="21" customFormat="1" x14ac:dyDescent="0.25">
      <c r="A13176" s="22" t="s">
        <v>8</v>
      </c>
      <c r="B13176" s="18" t="str">
        <f>"495362"</f>
        <v>495362</v>
      </c>
      <c r="C13176" s="19" t="s">
        <v>12952</v>
      </c>
      <c r="D13176" s="19" t="s">
        <v>28576</v>
      </c>
      <c r="E13176" s="19" t="s">
        <v>30809</v>
      </c>
      <c r="F13176" s="19" t="s">
        <v>36021</v>
      </c>
      <c r="G13176" s="18" t="str">
        <f>"23005"</f>
        <v>23005</v>
      </c>
      <c r="H13176" s="19" t="s">
        <v>32235</v>
      </c>
      <c r="I13176" s="20">
        <v>18.042999999999999</v>
      </c>
      <c r="J13176" s="44" t="s">
        <v>8</v>
      </c>
      <c r="K13176" s="23" t="s">
        <v>8</v>
      </c>
      <c r="L13176" s="23" t="s">
        <v>8</v>
      </c>
      <c r="M13176" s="23" t="s">
        <v>8</v>
      </c>
    </row>
    <row r="13177" spans="1:13" s="21" customFormat="1" x14ac:dyDescent="0.25">
      <c r="A13177" s="22" t="s">
        <v>8</v>
      </c>
      <c r="B13177" s="18" t="str">
        <f>"495363"</f>
        <v>495363</v>
      </c>
      <c r="C13177" s="19" t="s">
        <v>12953</v>
      </c>
      <c r="D13177" s="19" t="s">
        <v>28577</v>
      </c>
      <c r="E13177" s="19" t="s">
        <v>33080</v>
      </c>
      <c r="F13177" s="19" t="s">
        <v>36021</v>
      </c>
      <c r="G13177" s="18" t="str">
        <f>"24521"</f>
        <v>24521</v>
      </c>
      <c r="H13177" s="19" t="s">
        <v>33080</v>
      </c>
      <c r="I13177" s="20">
        <v>14.590999999999999</v>
      </c>
      <c r="J13177" s="44" t="s">
        <v>8</v>
      </c>
      <c r="K13177" s="23" t="s">
        <v>8</v>
      </c>
      <c r="L13177" s="23" t="s">
        <v>8</v>
      </c>
      <c r="M13177" s="23" t="s">
        <v>8</v>
      </c>
    </row>
    <row r="13178" spans="1:13" s="21" customFormat="1" x14ac:dyDescent="0.25">
      <c r="A13178" s="22" t="s">
        <v>8</v>
      </c>
      <c r="B13178" s="18" t="str">
        <f>"495364"</f>
        <v>495364</v>
      </c>
      <c r="C13178" s="19" t="s">
        <v>12954</v>
      </c>
      <c r="D13178" s="19" t="s">
        <v>28578</v>
      </c>
      <c r="E13178" s="19" t="s">
        <v>32201</v>
      </c>
      <c r="F13178" s="19" t="s">
        <v>36021</v>
      </c>
      <c r="G13178" s="18" t="str">
        <f>"22572"</f>
        <v>22572</v>
      </c>
      <c r="H13178" s="19" t="s">
        <v>31178</v>
      </c>
      <c r="I13178" s="20">
        <v>17.603999999999999</v>
      </c>
      <c r="J13178" s="44" t="s">
        <v>8</v>
      </c>
      <c r="K13178" s="23" t="s">
        <v>8</v>
      </c>
      <c r="L13178" s="23" t="s">
        <v>8</v>
      </c>
      <c r="M13178" s="23" t="s">
        <v>8</v>
      </c>
    </row>
    <row r="13179" spans="1:13" s="21" customFormat="1" x14ac:dyDescent="0.25">
      <c r="A13179" s="22" t="s">
        <v>8</v>
      </c>
      <c r="B13179" s="18" t="str">
        <f>"495365"</f>
        <v>495365</v>
      </c>
      <c r="C13179" s="19" t="s">
        <v>12955</v>
      </c>
      <c r="D13179" s="19" t="s">
        <v>28579</v>
      </c>
      <c r="E13179" s="19" t="s">
        <v>32035</v>
      </c>
      <c r="F13179" s="19" t="s">
        <v>36021</v>
      </c>
      <c r="G13179" s="18" t="str">
        <f>"24266"</f>
        <v>24266</v>
      </c>
      <c r="H13179" s="19" t="s">
        <v>32602</v>
      </c>
      <c r="I13179" s="20">
        <v>20.968</v>
      </c>
      <c r="J13179" s="44" t="s">
        <v>8</v>
      </c>
      <c r="K13179" s="23" t="s">
        <v>8</v>
      </c>
      <c r="L13179" s="23" t="s">
        <v>8</v>
      </c>
      <c r="M13179" s="23" t="s">
        <v>8</v>
      </c>
    </row>
    <row r="13180" spans="1:13" s="21" customFormat="1" x14ac:dyDescent="0.25">
      <c r="A13180" s="22" t="s">
        <v>8</v>
      </c>
      <c r="B13180" s="18" t="str">
        <f>"495366"</f>
        <v>495366</v>
      </c>
      <c r="C13180" s="19" t="s">
        <v>12956</v>
      </c>
      <c r="D13180" s="19" t="s">
        <v>28580</v>
      </c>
      <c r="E13180" s="19" t="s">
        <v>35389</v>
      </c>
      <c r="F13180" s="19" t="s">
        <v>36021</v>
      </c>
      <c r="G13180" s="18" t="str">
        <f>"23434"</f>
        <v>23434</v>
      </c>
      <c r="H13180" s="19" t="s">
        <v>36881</v>
      </c>
      <c r="I13180" s="20">
        <v>19.622</v>
      </c>
      <c r="J13180" s="44" t="s">
        <v>8</v>
      </c>
      <c r="K13180" s="23" t="s">
        <v>8</v>
      </c>
      <c r="L13180" s="23" t="s">
        <v>8</v>
      </c>
      <c r="M13180" s="23" t="s">
        <v>8</v>
      </c>
    </row>
    <row r="13181" spans="1:13" s="21" customFormat="1" x14ac:dyDescent="0.25">
      <c r="A13181" s="22" t="s">
        <v>8</v>
      </c>
      <c r="B13181" s="18" t="str">
        <f>"495367"</f>
        <v>495367</v>
      </c>
      <c r="C13181" s="19" t="s">
        <v>12957</v>
      </c>
      <c r="D13181" s="19" t="s">
        <v>28581</v>
      </c>
      <c r="E13181" s="19" t="s">
        <v>32453</v>
      </c>
      <c r="F13181" s="19" t="s">
        <v>36021</v>
      </c>
      <c r="G13181" s="18" t="str">
        <f>"23666"</f>
        <v>23666</v>
      </c>
      <c r="H13181" s="19" t="s">
        <v>36891</v>
      </c>
      <c r="I13181" s="20">
        <v>17.187000000000001</v>
      </c>
      <c r="J13181" s="44" t="s">
        <v>8</v>
      </c>
      <c r="K13181" s="23" t="s">
        <v>8</v>
      </c>
      <c r="L13181" s="23" t="s">
        <v>8</v>
      </c>
      <c r="M13181" s="23" t="s">
        <v>8</v>
      </c>
    </row>
    <row r="13182" spans="1:13" s="21" customFormat="1" x14ac:dyDescent="0.25">
      <c r="A13182" s="22" t="s">
        <v>8</v>
      </c>
      <c r="B13182" s="18" t="str">
        <f>"495368"</f>
        <v>495368</v>
      </c>
      <c r="C13182" s="19" t="s">
        <v>12958</v>
      </c>
      <c r="D13182" s="19" t="s">
        <v>28582</v>
      </c>
      <c r="E13182" s="19" t="s">
        <v>35366</v>
      </c>
      <c r="F13182" s="19" t="s">
        <v>36021</v>
      </c>
      <c r="G13182" s="18" t="str">
        <f>"23601"</f>
        <v>23601</v>
      </c>
      <c r="H13182" s="19" t="s">
        <v>36861</v>
      </c>
      <c r="I13182" s="20">
        <v>17.934999999999999</v>
      </c>
      <c r="J13182" s="44" t="s">
        <v>8</v>
      </c>
      <c r="K13182" s="23" t="s">
        <v>8</v>
      </c>
      <c r="L13182" s="23" t="s">
        <v>8</v>
      </c>
      <c r="M13182" s="23" t="s">
        <v>8</v>
      </c>
    </row>
    <row r="13183" spans="1:13" s="21" customFormat="1" x14ac:dyDescent="0.25">
      <c r="A13183" s="22" t="s">
        <v>8</v>
      </c>
      <c r="B13183" s="18" t="str">
        <f>"495369"</f>
        <v>495369</v>
      </c>
      <c r="C13183" s="19" t="s">
        <v>12959</v>
      </c>
      <c r="D13183" s="19" t="s">
        <v>28583</v>
      </c>
      <c r="E13183" s="19" t="s">
        <v>32538</v>
      </c>
      <c r="F13183" s="19" t="s">
        <v>36021</v>
      </c>
      <c r="G13183" s="18" t="str">
        <f>"23188"</f>
        <v>23188</v>
      </c>
      <c r="H13183" s="19" t="s">
        <v>36878</v>
      </c>
      <c r="I13183" s="20">
        <v>16.597000000000001</v>
      </c>
      <c r="J13183" s="44" t="s">
        <v>8</v>
      </c>
      <c r="K13183" s="23" t="s">
        <v>8</v>
      </c>
      <c r="L13183" s="23" t="s">
        <v>8</v>
      </c>
      <c r="M13183" s="23" t="s">
        <v>8</v>
      </c>
    </row>
    <row r="13184" spans="1:13" s="21" customFormat="1" x14ac:dyDescent="0.25">
      <c r="A13184" s="22" t="s">
        <v>8</v>
      </c>
      <c r="B13184" s="18" t="str">
        <f>"495370"</f>
        <v>495370</v>
      </c>
      <c r="C13184" s="19" t="s">
        <v>12960</v>
      </c>
      <c r="D13184" s="19" t="s">
        <v>28584</v>
      </c>
      <c r="E13184" s="19" t="s">
        <v>33120</v>
      </c>
      <c r="F13184" s="19" t="s">
        <v>36021</v>
      </c>
      <c r="G13184" s="18" t="str">
        <f>"22812"</f>
        <v>22812</v>
      </c>
      <c r="H13184" s="19" t="s">
        <v>34326</v>
      </c>
      <c r="I13184" s="20">
        <v>19.885000000000002</v>
      </c>
      <c r="J13184" s="44" t="s">
        <v>8</v>
      </c>
      <c r="K13184" s="23" t="s">
        <v>8</v>
      </c>
      <c r="L13184" s="23" t="s">
        <v>8</v>
      </c>
      <c r="M13184" s="23" t="s">
        <v>8</v>
      </c>
    </row>
    <row r="13185" spans="1:13" s="21" customFormat="1" x14ac:dyDescent="0.25">
      <c r="A13185" s="22" t="s">
        <v>8</v>
      </c>
      <c r="B13185" s="18" t="str">
        <f>"495371"</f>
        <v>495371</v>
      </c>
      <c r="C13185" s="19" t="s">
        <v>12961</v>
      </c>
      <c r="D13185" s="19" t="s">
        <v>28585</v>
      </c>
      <c r="E13185" s="19" t="s">
        <v>35425</v>
      </c>
      <c r="F13185" s="19" t="s">
        <v>36021</v>
      </c>
      <c r="G13185" s="18" t="str">
        <f>"24147"</f>
        <v>24147</v>
      </c>
      <c r="H13185" s="19" t="s">
        <v>36765</v>
      </c>
      <c r="I13185" s="20">
        <v>19.431999999999999</v>
      </c>
      <c r="J13185" s="44" t="s">
        <v>8</v>
      </c>
      <c r="K13185" s="23" t="s">
        <v>8</v>
      </c>
      <c r="L13185" s="23" t="s">
        <v>8</v>
      </c>
      <c r="M13185" s="23" t="s">
        <v>8</v>
      </c>
    </row>
    <row r="13186" spans="1:13" s="21" customFormat="1" x14ac:dyDescent="0.25">
      <c r="A13186" s="22" t="s">
        <v>8</v>
      </c>
      <c r="B13186" s="18" t="str">
        <f>"495372"</f>
        <v>495372</v>
      </c>
      <c r="C13186" s="19" t="s">
        <v>12962</v>
      </c>
      <c r="D13186" s="19" t="s">
        <v>28586</v>
      </c>
      <c r="E13186" s="19" t="s">
        <v>35412</v>
      </c>
      <c r="F13186" s="19" t="s">
        <v>36021</v>
      </c>
      <c r="G13186" s="18" t="str">
        <f>"24592"</f>
        <v>24592</v>
      </c>
      <c r="H13186" s="19" t="s">
        <v>36622</v>
      </c>
      <c r="I13186" s="20">
        <v>19.068999999999999</v>
      </c>
      <c r="J13186" s="44" t="s">
        <v>8</v>
      </c>
      <c r="K13186" s="23" t="s">
        <v>8</v>
      </c>
      <c r="L13186" s="23" t="s">
        <v>8</v>
      </c>
      <c r="M13186" s="23" t="s">
        <v>8</v>
      </c>
    </row>
    <row r="13187" spans="1:13" s="21" customFormat="1" x14ac:dyDescent="0.25">
      <c r="A13187" s="22" t="s">
        <v>8</v>
      </c>
      <c r="B13187" s="18" t="str">
        <f>"495373"</f>
        <v>495373</v>
      </c>
      <c r="C13187" s="19" t="s">
        <v>12963</v>
      </c>
      <c r="D13187" s="19" t="s">
        <v>28587</v>
      </c>
      <c r="E13187" s="19" t="s">
        <v>30859</v>
      </c>
      <c r="F13187" s="19" t="s">
        <v>36021</v>
      </c>
      <c r="G13187" s="18" t="str">
        <f>"24018"</f>
        <v>24018</v>
      </c>
      <c r="H13187" s="19" t="s">
        <v>30859</v>
      </c>
      <c r="I13187" s="20">
        <v>13.269</v>
      </c>
      <c r="J13187" s="44" t="s">
        <v>8</v>
      </c>
      <c r="K13187" s="23" t="s">
        <v>8</v>
      </c>
      <c r="L13187" s="23" t="s">
        <v>8</v>
      </c>
      <c r="M13187" s="23" t="s">
        <v>8</v>
      </c>
    </row>
    <row r="13188" spans="1:13" s="21" customFormat="1" x14ac:dyDescent="0.25">
      <c r="A13188" s="22" t="s">
        <v>8</v>
      </c>
      <c r="B13188" s="18" t="str">
        <f>"495374"</f>
        <v>495374</v>
      </c>
      <c r="C13188" s="19" t="s">
        <v>12964</v>
      </c>
      <c r="D13188" s="19" t="s">
        <v>28588</v>
      </c>
      <c r="E13188" s="19" t="s">
        <v>32665</v>
      </c>
      <c r="F13188" s="19" t="s">
        <v>36021</v>
      </c>
      <c r="G13188" s="18" t="str">
        <f>"24273"</f>
        <v>24273</v>
      </c>
      <c r="H13188" s="19" t="s">
        <v>36847</v>
      </c>
      <c r="I13188" s="20">
        <v>20.922000000000001</v>
      </c>
      <c r="J13188" s="44" t="s">
        <v>8</v>
      </c>
      <c r="K13188" s="23" t="s">
        <v>8</v>
      </c>
      <c r="L13188" s="23" t="s">
        <v>8</v>
      </c>
      <c r="M13188" s="23" t="s">
        <v>8</v>
      </c>
    </row>
    <row r="13189" spans="1:13" s="21" customFormat="1" x14ac:dyDescent="0.25">
      <c r="A13189" s="22" t="s">
        <v>8</v>
      </c>
      <c r="B13189" s="18" t="str">
        <f>"495375"</f>
        <v>495375</v>
      </c>
      <c r="C13189" s="19" t="s">
        <v>12965</v>
      </c>
      <c r="D13189" s="19" t="s">
        <v>28589</v>
      </c>
      <c r="E13189" s="19" t="s">
        <v>32573</v>
      </c>
      <c r="F13189" s="19" t="s">
        <v>36021</v>
      </c>
      <c r="G13189" s="18" t="str">
        <f>"23847"</f>
        <v>23847</v>
      </c>
      <c r="H13189" s="19" t="s">
        <v>36850</v>
      </c>
      <c r="I13189" s="20">
        <v>20.456</v>
      </c>
      <c r="J13189" s="44" t="s">
        <v>8</v>
      </c>
      <c r="K13189" s="23" t="s">
        <v>8</v>
      </c>
      <c r="L13189" s="23" t="s">
        <v>8</v>
      </c>
      <c r="M13189" s="23" t="s">
        <v>8</v>
      </c>
    </row>
    <row r="13190" spans="1:13" s="21" customFormat="1" x14ac:dyDescent="0.25">
      <c r="A13190" s="22" t="s">
        <v>8</v>
      </c>
      <c r="B13190" s="18" t="str">
        <f>"495377"</f>
        <v>495377</v>
      </c>
      <c r="C13190" s="19" t="s">
        <v>12966</v>
      </c>
      <c r="D13190" s="19" t="s">
        <v>28590</v>
      </c>
      <c r="E13190" s="19" t="s">
        <v>35376</v>
      </c>
      <c r="F13190" s="19" t="s">
        <v>36021</v>
      </c>
      <c r="G13190" s="18" t="str">
        <f>"22901"</f>
        <v>22901</v>
      </c>
      <c r="H13190" s="19" t="s">
        <v>34256</v>
      </c>
      <c r="I13190" s="20">
        <v>15.260999999999999</v>
      </c>
      <c r="J13190" s="44" t="s">
        <v>8</v>
      </c>
      <c r="K13190" s="23" t="s">
        <v>8</v>
      </c>
      <c r="L13190" s="23" t="s">
        <v>8</v>
      </c>
      <c r="M13190" s="23" t="s">
        <v>8</v>
      </c>
    </row>
    <row r="13191" spans="1:13" s="21" customFormat="1" x14ac:dyDescent="0.25">
      <c r="A13191" s="22" t="s">
        <v>8</v>
      </c>
      <c r="B13191" s="18" t="str">
        <f>"495378"</f>
        <v>495378</v>
      </c>
      <c r="C13191" s="19" t="s">
        <v>12967</v>
      </c>
      <c r="D13191" s="19" t="s">
        <v>28591</v>
      </c>
      <c r="E13191" s="19" t="s">
        <v>30859</v>
      </c>
      <c r="F13191" s="19" t="s">
        <v>36021</v>
      </c>
      <c r="G13191" s="18" t="str">
        <f>"24012"</f>
        <v>24012</v>
      </c>
      <c r="H13191" s="19" t="s">
        <v>36853</v>
      </c>
      <c r="I13191" s="20">
        <v>18.03</v>
      </c>
      <c r="J13191" s="44" t="s">
        <v>8</v>
      </c>
      <c r="K13191" s="23" t="s">
        <v>8</v>
      </c>
      <c r="L13191" s="23" t="s">
        <v>8</v>
      </c>
      <c r="M13191" s="23" t="s">
        <v>8</v>
      </c>
    </row>
    <row r="13192" spans="1:13" s="21" customFormat="1" x14ac:dyDescent="0.25">
      <c r="A13192" s="22" t="s">
        <v>8</v>
      </c>
      <c r="B13192" s="18" t="str">
        <f>"495379"</f>
        <v>495379</v>
      </c>
      <c r="C13192" s="19" t="s">
        <v>12968</v>
      </c>
      <c r="D13192" s="19" t="s">
        <v>28592</v>
      </c>
      <c r="E13192" s="19" t="s">
        <v>31010</v>
      </c>
      <c r="F13192" s="19" t="s">
        <v>36021</v>
      </c>
      <c r="G13192" s="18" t="str">
        <f>"23927"</f>
        <v>23927</v>
      </c>
      <c r="H13192" s="19" t="s">
        <v>36610</v>
      </c>
      <c r="I13192" s="20">
        <v>16.702999999999999</v>
      </c>
      <c r="J13192" s="44" t="s">
        <v>8</v>
      </c>
      <c r="K13192" s="23" t="s">
        <v>8</v>
      </c>
      <c r="L13192" s="23" t="s">
        <v>8</v>
      </c>
      <c r="M13192" s="23" t="s">
        <v>8</v>
      </c>
    </row>
    <row r="13193" spans="1:13" s="21" customFormat="1" x14ac:dyDescent="0.25">
      <c r="A13193" s="22" t="s">
        <v>8</v>
      </c>
      <c r="B13193" s="18" t="str">
        <f>"495380"</f>
        <v>495380</v>
      </c>
      <c r="C13193" s="19" t="s">
        <v>12969</v>
      </c>
      <c r="D13193" s="19" t="s">
        <v>28593</v>
      </c>
      <c r="E13193" s="19" t="s">
        <v>35426</v>
      </c>
      <c r="F13193" s="19" t="s">
        <v>36021</v>
      </c>
      <c r="G13193" s="18" t="str">
        <f>"23924"</f>
        <v>23924</v>
      </c>
      <c r="H13193" s="19" t="s">
        <v>36610</v>
      </c>
      <c r="I13193" s="20">
        <v>20.489000000000001</v>
      </c>
      <c r="J13193" s="44" t="s">
        <v>8</v>
      </c>
      <c r="K13193" s="23" t="s">
        <v>8</v>
      </c>
      <c r="L13193" s="23" t="s">
        <v>8</v>
      </c>
      <c r="M13193" s="23" t="s">
        <v>8</v>
      </c>
    </row>
    <row r="13194" spans="1:13" s="21" customFormat="1" x14ac:dyDescent="0.25">
      <c r="A13194" s="22" t="s">
        <v>8</v>
      </c>
      <c r="B13194" s="18" t="str">
        <f>"495381"</f>
        <v>495381</v>
      </c>
      <c r="C13194" s="19" t="s">
        <v>12970</v>
      </c>
      <c r="D13194" s="19" t="s">
        <v>28594</v>
      </c>
      <c r="E13194" s="19" t="s">
        <v>35173</v>
      </c>
      <c r="F13194" s="19" t="s">
        <v>36021</v>
      </c>
      <c r="G13194" s="18" t="str">
        <f>"24502"</f>
        <v>24502</v>
      </c>
      <c r="H13194" s="19" t="s">
        <v>36862</v>
      </c>
      <c r="I13194" s="20">
        <v>17.283999999999999</v>
      </c>
      <c r="J13194" s="44" t="s">
        <v>8</v>
      </c>
      <c r="K13194" s="23" t="s">
        <v>8</v>
      </c>
      <c r="L13194" s="23" t="s">
        <v>8</v>
      </c>
      <c r="M13194" s="23" t="s">
        <v>8</v>
      </c>
    </row>
    <row r="13195" spans="1:13" s="21" customFormat="1" x14ac:dyDescent="0.25">
      <c r="A13195" s="22" t="s">
        <v>8</v>
      </c>
      <c r="B13195" s="18" t="str">
        <f>"495383"</f>
        <v>495383</v>
      </c>
      <c r="C13195" s="19" t="s">
        <v>12971</v>
      </c>
      <c r="D13195" s="19" t="s">
        <v>28595</v>
      </c>
      <c r="E13195" s="19" t="s">
        <v>33089</v>
      </c>
      <c r="F13195" s="19" t="s">
        <v>36021</v>
      </c>
      <c r="G13195" s="18" t="str">
        <f>"23061"</f>
        <v>23061</v>
      </c>
      <c r="H13195" s="19" t="s">
        <v>33089</v>
      </c>
      <c r="I13195" s="20">
        <v>15.157</v>
      </c>
      <c r="J13195" s="44" t="s">
        <v>8</v>
      </c>
      <c r="K13195" s="23" t="s">
        <v>8</v>
      </c>
      <c r="L13195" s="23" t="s">
        <v>8</v>
      </c>
      <c r="M13195" s="23" t="s">
        <v>8</v>
      </c>
    </row>
    <row r="13196" spans="1:13" s="21" customFormat="1" x14ac:dyDescent="0.25">
      <c r="A13196" s="22" t="s">
        <v>8</v>
      </c>
      <c r="B13196" s="18" t="str">
        <f>"495384"</f>
        <v>495384</v>
      </c>
      <c r="C13196" s="19" t="s">
        <v>12972</v>
      </c>
      <c r="D13196" s="19" t="s">
        <v>28596</v>
      </c>
      <c r="E13196" s="19" t="s">
        <v>30850</v>
      </c>
      <c r="F13196" s="19" t="s">
        <v>36021</v>
      </c>
      <c r="G13196" s="18" t="str">
        <f>"24354"</f>
        <v>24354</v>
      </c>
      <c r="H13196" s="19" t="s">
        <v>36848</v>
      </c>
      <c r="I13196" s="20">
        <v>19.484999999999999</v>
      </c>
      <c r="J13196" s="44" t="s">
        <v>8</v>
      </c>
      <c r="K13196" s="23" t="s">
        <v>8</v>
      </c>
      <c r="L13196" s="23" t="s">
        <v>8</v>
      </c>
      <c r="M13196" s="23" t="s">
        <v>8</v>
      </c>
    </row>
    <row r="13197" spans="1:13" s="21" customFormat="1" x14ac:dyDescent="0.25">
      <c r="A13197" s="22" t="s">
        <v>8</v>
      </c>
      <c r="B13197" s="18" t="str">
        <f>"495385"</f>
        <v>495385</v>
      </c>
      <c r="C13197" s="19" t="s">
        <v>12973</v>
      </c>
      <c r="D13197" s="19" t="s">
        <v>28597</v>
      </c>
      <c r="E13197" s="19" t="s">
        <v>35369</v>
      </c>
      <c r="F13197" s="19" t="s">
        <v>36021</v>
      </c>
      <c r="G13197" s="18" t="str">
        <f>"22802"</f>
        <v>22802</v>
      </c>
      <c r="H13197" s="19" t="s">
        <v>36865</v>
      </c>
      <c r="I13197" s="20">
        <v>18.696000000000002</v>
      </c>
      <c r="J13197" s="44" t="s">
        <v>8</v>
      </c>
      <c r="K13197" s="23" t="s">
        <v>8</v>
      </c>
      <c r="L13197" s="23" t="s">
        <v>8</v>
      </c>
      <c r="M13197" s="23" t="s">
        <v>8</v>
      </c>
    </row>
    <row r="13198" spans="1:13" s="21" customFormat="1" x14ac:dyDescent="0.25">
      <c r="A13198" s="22" t="s">
        <v>8</v>
      </c>
      <c r="B13198" s="18" t="str">
        <f>"495386"</f>
        <v>495386</v>
      </c>
      <c r="C13198" s="19" t="s">
        <v>12974</v>
      </c>
      <c r="D13198" s="19" t="s">
        <v>28598</v>
      </c>
      <c r="E13198" s="19" t="s">
        <v>35427</v>
      </c>
      <c r="F13198" s="19" t="s">
        <v>36021</v>
      </c>
      <c r="G13198" s="18" t="str">
        <f>"24083"</f>
        <v>24083</v>
      </c>
      <c r="H13198" s="19" t="s">
        <v>36882</v>
      </c>
      <c r="I13198" s="20">
        <v>18.765999999999998</v>
      </c>
      <c r="J13198" s="44" t="s">
        <v>8</v>
      </c>
      <c r="K13198" s="23" t="s">
        <v>8</v>
      </c>
      <c r="L13198" s="23" t="s">
        <v>8</v>
      </c>
      <c r="M13198" s="23" t="s">
        <v>8</v>
      </c>
    </row>
    <row r="13199" spans="1:13" s="21" customFormat="1" x14ac:dyDescent="0.25">
      <c r="A13199" s="22" t="s">
        <v>8</v>
      </c>
      <c r="B13199" s="18" t="str">
        <f>"495387"</f>
        <v>495387</v>
      </c>
      <c r="C13199" s="19" t="s">
        <v>12975</v>
      </c>
      <c r="D13199" s="19" t="s">
        <v>28599</v>
      </c>
      <c r="E13199" s="19" t="s">
        <v>35369</v>
      </c>
      <c r="F13199" s="19" t="s">
        <v>36021</v>
      </c>
      <c r="G13199" s="18" t="str">
        <f>"22801"</f>
        <v>22801</v>
      </c>
      <c r="H13199" s="19" t="s">
        <v>36865</v>
      </c>
      <c r="I13199" s="20">
        <v>17.358000000000001</v>
      </c>
      <c r="J13199" s="44" t="s">
        <v>8</v>
      </c>
      <c r="K13199" s="23" t="s">
        <v>8</v>
      </c>
      <c r="L13199" s="23" t="s">
        <v>8</v>
      </c>
      <c r="M13199" s="23" t="s">
        <v>8</v>
      </c>
    </row>
    <row r="13200" spans="1:13" s="21" customFormat="1" x14ac:dyDescent="0.25">
      <c r="A13200" s="22" t="s">
        <v>8</v>
      </c>
      <c r="B13200" s="18" t="str">
        <f>"495388"</f>
        <v>495388</v>
      </c>
      <c r="C13200" s="19" t="s">
        <v>12976</v>
      </c>
      <c r="D13200" s="19" t="s">
        <v>28600</v>
      </c>
      <c r="E13200" s="19" t="s">
        <v>31537</v>
      </c>
      <c r="F13200" s="19" t="s">
        <v>36021</v>
      </c>
      <c r="G13200" s="18" t="str">
        <f>"20155"</f>
        <v>20155</v>
      </c>
      <c r="H13200" s="19" t="s">
        <v>36858</v>
      </c>
      <c r="I13200" s="20">
        <v>22.603999999999999</v>
      </c>
      <c r="J13200" s="44" t="s">
        <v>8</v>
      </c>
      <c r="K13200" s="23" t="s">
        <v>8</v>
      </c>
      <c r="L13200" s="23" t="s">
        <v>8</v>
      </c>
      <c r="M13200" s="23" t="s">
        <v>8</v>
      </c>
    </row>
    <row r="13201" spans="1:13" s="21" customFormat="1" x14ac:dyDescent="0.25">
      <c r="A13201" s="22" t="s">
        <v>8</v>
      </c>
      <c r="B13201" s="18" t="str">
        <f>"495389"</f>
        <v>495389</v>
      </c>
      <c r="C13201" s="19" t="s">
        <v>12977</v>
      </c>
      <c r="D13201" s="19" t="s">
        <v>28601</v>
      </c>
      <c r="E13201" s="19" t="s">
        <v>32175</v>
      </c>
      <c r="F13201" s="19" t="s">
        <v>36021</v>
      </c>
      <c r="G13201" s="18" t="str">
        <f>"22603"</f>
        <v>22603</v>
      </c>
      <c r="H13201" s="19" t="s">
        <v>32927</v>
      </c>
      <c r="I13201" s="20">
        <v>22.123999999999999</v>
      </c>
      <c r="J13201" s="44" t="s">
        <v>8</v>
      </c>
      <c r="K13201" s="23" t="s">
        <v>8</v>
      </c>
      <c r="L13201" s="23" t="s">
        <v>8</v>
      </c>
      <c r="M13201" s="23" t="s">
        <v>8</v>
      </c>
    </row>
    <row r="13202" spans="1:13" s="21" customFormat="1" x14ac:dyDescent="0.25">
      <c r="A13202" s="22" t="s">
        <v>8</v>
      </c>
      <c r="B13202" s="18" t="str">
        <f>"495390"</f>
        <v>495390</v>
      </c>
      <c r="C13202" s="19" t="s">
        <v>12978</v>
      </c>
      <c r="D13202" s="19" t="s">
        <v>28602</v>
      </c>
      <c r="E13202" s="19" t="s">
        <v>35365</v>
      </c>
      <c r="F13202" s="19" t="s">
        <v>36021</v>
      </c>
      <c r="G13202" s="18" t="str">
        <f>"20110"</f>
        <v>20110</v>
      </c>
      <c r="H13202" s="19" t="s">
        <v>36898</v>
      </c>
      <c r="I13202" s="20">
        <v>16.46</v>
      </c>
      <c r="J13202" s="44" t="s">
        <v>8</v>
      </c>
      <c r="K13202" s="23" t="s">
        <v>8</v>
      </c>
      <c r="L13202" s="23" t="s">
        <v>8</v>
      </c>
      <c r="M13202" s="23" t="s">
        <v>8</v>
      </c>
    </row>
    <row r="13203" spans="1:13" s="21" customFormat="1" x14ac:dyDescent="0.25">
      <c r="A13203" s="22" t="s">
        <v>8</v>
      </c>
      <c r="B13203" s="18" t="str">
        <f>"495391"</f>
        <v>495391</v>
      </c>
      <c r="C13203" s="19" t="s">
        <v>12979</v>
      </c>
      <c r="D13203" s="19" t="s">
        <v>28603</v>
      </c>
      <c r="E13203" s="19" t="s">
        <v>31178</v>
      </c>
      <c r="F13203" s="19" t="s">
        <v>36021</v>
      </c>
      <c r="G13203" s="18" t="str">
        <f>"23226"</f>
        <v>23226</v>
      </c>
      <c r="H13203" s="19" t="s">
        <v>36859</v>
      </c>
      <c r="I13203" s="20">
        <v>17.657</v>
      </c>
      <c r="J13203" s="44" t="s">
        <v>8</v>
      </c>
      <c r="K13203" s="23" t="s">
        <v>8</v>
      </c>
      <c r="L13203" s="23" t="s">
        <v>8</v>
      </c>
      <c r="M13203" s="23" t="s">
        <v>8</v>
      </c>
    </row>
    <row r="13204" spans="1:13" s="21" customFormat="1" x14ac:dyDescent="0.25">
      <c r="A13204" s="22" t="s">
        <v>8</v>
      </c>
      <c r="B13204" s="18" t="str">
        <f>"495392"</f>
        <v>495392</v>
      </c>
      <c r="C13204" s="19" t="s">
        <v>12980</v>
      </c>
      <c r="D13204" s="19" t="s">
        <v>28604</v>
      </c>
      <c r="E13204" s="19" t="s">
        <v>35368</v>
      </c>
      <c r="F13204" s="19" t="s">
        <v>36021</v>
      </c>
      <c r="G13204" s="18" t="str">
        <f>"23454"</f>
        <v>23454</v>
      </c>
      <c r="H13204" s="19" t="s">
        <v>36864</v>
      </c>
      <c r="I13204" s="20">
        <v>21.279</v>
      </c>
      <c r="J13204" s="44" t="s">
        <v>8</v>
      </c>
      <c r="K13204" s="23" t="s">
        <v>8</v>
      </c>
      <c r="L13204" s="23" t="s">
        <v>8</v>
      </c>
      <c r="M13204" s="23" t="s">
        <v>8</v>
      </c>
    </row>
    <row r="13205" spans="1:13" s="21" customFormat="1" x14ac:dyDescent="0.25">
      <c r="A13205" s="22" t="s">
        <v>8</v>
      </c>
      <c r="B13205" s="18" t="str">
        <f>"495393"</f>
        <v>495393</v>
      </c>
      <c r="C13205" s="19" t="s">
        <v>12981</v>
      </c>
      <c r="D13205" s="19" t="s">
        <v>28605</v>
      </c>
      <c r="E13205" s="19" t="s">
        <v>31178</v>
      </c>
      <c r="F13205" s="19" t="s">
        <v>36021</v>
      </c>
      <c r="G13205" s="18" t="str">
        <f>"23224"</f>
        <v>23224</v>
      </c>
      <c r="H13205" s="19" t="s">
        <v>36883</v>
      </c>
      <c r="I13205" s="20">
        <v>16.456</v>
      </c>
      <c r="J13205" s="44" t="s">
        <v>8</v>
      </c>
      <c r="K13205" s="23" t="s">
        <v>8</v>
      </c>
      <c r="L13205" s="23" t="s">
        <v>8</v>
      </c>
      <c r="M13205" s="23" t="s">
        <v>8</v>
      </c>
    </row>
    <row r="13206" spans="1:13" s="21" customFormat="1" x14ac:dyDescent="0.25">
      <c r="A13206" s="22" t="s">
        <v>8</v>
      </c>
      <c r="B13206" s="18" t="str">
        <f>"495394"</f>
        <v>495394</v>
      </c>
      <c r="C13206" s="19" t="s">
        <v>12982</v>
      </c>
      <c r="D13206" s="19" t="s">
        <v>28606</v>
      </c>
      <c r="E13206" s="19" t="s">
        <v>35428</v>
      </c>
      <c r="F13206" s="19" t="s">
        <v>36021</v>
      </c>
      <c r="G13206" s="18" t="str">
        <f>"23235"</f>
        <v>23235</v>
      </c>
      <c r="H13206" s="19" t="s">
        <v>32311</v>
      </c>
      <c r="I13206" s="20">
        <v>18.52</v>
      </c>
      <c r="J13206" s="44" t="s">
        <v>8</v>
      </c>
      <c r="K13206" s="23" t="s">
        <v>8</v>
      </c>
      <c r="L13206" s="23" t="s">
        <v>8</v>
      </c>
      <c r="M13206" s="23" t="s">
        <v>8</v>
      </c>
    </row>
    <row r="13207" spans="1:13" s="21" customFormat="1" x14ac:dyDescent="0.25">
      <c r="A13207" s="22" t="s">
        <v>8</v>
      </c>
      <c r="B13207" s="18" t="str">
        <f>"495395"</f>
        <v>495395</v>
      </c>
      <c r="C13207" s="19" t="s">
        <v>12983</v>
      </c>
      <c r="D13207" s="19" t="s">
        <v>28607</v>
      </c>
      <c r="E13207" s="19" t="s">
        <v>33776</v>
      </c>
      <c r="F13207" s="19" t="s">
        <v>36021</v>
      </c>
      <c r="G13207" s="18" t="str">
        <f>"23510"</f>
        <v>23510</v>
      </c>
      <c r="H13207" s="19" t="s">
        <v>36860</v>
      </c>
      <c r="I13207" s="20">
        <v>18.565999999999999</v>
      </c>
      <c r="J13207" s="44" t="s">
        <v>8</v>
      </c>
      <c r="K13207" s="23" t="s">
        <v>8</v>
      </c>
      <c r="L13207" s="23" t="s">
        <v>8</v>
      </c>
      <c r="M13207" s="23" t="s">
        <v>8</v>
      </c>
    </row>
    <row r="13208" spans="1:13" s="21" customFormat="1" x14ac:dyDescent="0.25">
      <c r="A13208" s="22" t="s">
        <v>8</v>
      </c>
      <c r="B13208" s="18" t="str">
        <f>"495396"</f>
        <v>495396</v>
      </c>
      <c r="C13208" s="19" t="s">
        <v>12984</v>
      </c>
      <c r="D13208" s="19" t="s">
        <v>28608</v>
      </c>
      <c r="E13208" s="19" t="s">
        <v>35242</v>
      </c>
      <c r="F13208" s="19" t="s">
        <v>36021</v>
      </c>
      <c r="G13208" s="18" t="str">
        <f>"22407"</f>
        <v>22407</v>
      </c>
      <c r="H13208" s="19" t="s">
        <v>36886</v>
      </c>
      <c r="I13208" s="20">
        <v>22.302</v>
      </c>
      <c r="J13208" s="44" t="s">
        <v>8</v>
      </c>
      <c r="K13208" s="23" t="s">
        <v>8</v>
      </c>
      <c r="L13208" s="23" t="s">
        <v>8</v>
      </c>
      <c r="M13208" s="23" t="s">
        <v>8</v>
      </c>
    </row>
    <row r="13209" spans="1:13" s="21" customFormat="1" x14ac:dyDescent="0.25">
      <c r="A13209" s="22" t="s">
        <v>8</v>
      </c>
      <c r="B13209" s="18" t="str">
        <f>"495397"</f>
        <v>495397</v>
      </c>
      <c r="C13209" s="19" t="s">
        <v>12985</v>
      </c>
      <c r="D13209" s="19" t="s">
        <v>28609</v>
      </c>
      <c r="E13209" s="19" t="s">
        <v>35366</v>
      </c>
      <c r="F13209" s="19" t="s">
        <v>36021</v>
      </c>
      <c r="G13209" s="18" t="str">
        <f>"23601"</f>
        <v>23601</v>
      </c>
      <c r="H13209" s="19" t="s">
        <v>36861</v>
      </c>
      <c r="I13209" s="20">
        <v>18.853999999999999</v>
      </c>
      <c r="J13209" s="44" t="s">
        <v>8</v>
      </c>
      <c r="K13209" s="23" t="s">
        <v>8</v>
      </c>
      <c r="L13209" s="23" t="s">
        <v>8</v>
      </c>
      <c r="M13209" s="23" t="s">
        <v>8</v>
      </c>
    </row>
    <row r="13210" spans="1:13" s="21" customFormat="1" x14ac:dyDescent="0.25">
      <c r="A13210" s="22" t="s">
        <v>8</v>
      </c>
      <c r="B13210" s="18" t="str">
        <f>"495398"</f>
        <v>495398</v>
      </c>
      <c r="C13210" s="19" t="s">
        <v>12986</v>
      </c>
      <c r="D13210" s="19" t="s">
        <v>28610</v>
      </c>
      <c r="E13210" s="19" t="s">
        <v>32165</v>
      </c>
      <c r="F13210" s="19" t="s">
        <v>36021</v>
      </c>
      <c r="G13210" s="18" t="str">
        <f>"23803"</f>
        <v>23803</v>
      </c>
      <c r="H13210" s="19" t="s">
        <v>36868</v>
      </c>
      <c r="I13210" s="20">
        <v>21.277000000000001</v>
      </c>
      <c r="J13210" s="44" t="s">
        <v>8</v>
      </c>
      <c r="K13210" s="23" t="s">
        <v>8</v>
      </c>
      <c r="L13210" s="23" t="s">
        <v>8</v>
      </c>
      <c r="M13210" s="23" t="s">
        <v>8</v>
      </c>
    </row>
    <row r="13211" spans="1:13" s="21" customFormat="1" x14ac:dyDescent="0.25">
      <c r="A13211" s="22" t="s">
        <v>8</v>
      </c>
      <c r="B13211" s="18" t="str">
        <f>"495399"</f>
        <v>495399</v>
      </c>
      <c r="C13211" s="19" t="s">
        <v>12987</v>
      </c>
      <c r="D13211" s="19" t="s">
        <v>28611</v>
      </c>
      <c r="E13211" s="19" t="s">
        <v>33903</v>
      </c>
      <c r="F13211" s="19" t="s">
        <v>36021</v>
      </c>
      <c r="G13211" s="18" t="str">
        <f>"24531"</f>
        <v>24531</v>
      </c>
      <c r="H13211" s="19" t="s">
        <v>36880</v>
      </c>
      <c r="I13211" s="20">
        <v>18.37</v>
      </c>
      <c r="J13211" s="44" t="s">
        <v>8</v>
      </c>
      <c r="K13211" s="23" t="s">
        <v>8</v>
      </c>
      <c r="L13211" s="23" t="s">
        <v>8</v>
      </c>
      <c r="M13211" s="23" t="s">
        <v>8</v>
      </c>
    </row>
    <row r="13212" spans="1:13" s="21" customFormat="1" x14ac:dyDescent="0.25">
      <c r="A13212" s="22" t="s">
        <v>8</v>
      </c>
      <c r="B13212" s="18" t="str">
        <f>"495400"</f>
        <v>495400</v>
      </c>
      <c r="C13212" s="19" t="s">
        <v>12988</v>
      </c>
      <c r="D13212" s="19" t="s">
        <v>28612</v>
      </c>
      <c r="E13212" s="19" t="s">
        <v>35404</v>
      </c>
      <c r="F13212" s="19" t="s">
        <v>36021</v>
      </c>
      <c r="G13212" s="18" t="str">
        <f>"22701"</f>
        <v>22701</v>
      </c>
      <c r="H13212" s="19" t="s">
        <v>35404</v>
      </c>
      <c r="I13212" s="20">
        <v>21.533999999999999</v>
      </c>
      <c r="J13212" s="44" t="s">
        <v>8</v>
      </c>
      <c r="K13212" s="23" t="s">
        <v>8</v>
      </c>
      <c r="L13212" s="23" t="s">
        <v>8</v>
      </c>
      <c r="M13212" s="23" t="s">
        <v>8</v>
      </c>
    </row>
    <row r="13213" spans="1:13" s="21" customFormat="1" x14ac:dyDescent="0.25">
      <c r="A13213" s="22" t="s">
        <v>8</v>
      </c>
      <c r="B13213" s="18" t="str">
        <f>"495401"</f>
        <v>495401</v>
      </c>
      <c r="C13213" s="19" t="s">
        <v>12989</v>
      </c>
      <c r="D13213" s="19" t="s">
        <v>28613</v>
      </c>
      <c r="E13213" s="19" t="s">
        <v>31396</v>
      </c>
      <c r="F13213" s="19" t="s">
        <v>36021</v>
      </c>
      <c r="G13213" s="18" t="str">
        <f>"23831"</f>
        <v>23831</v>
      </c>
      <c r="H13213" s="19" t="s">
        <v>32311</v>
      </c>
      <c r="I13213" s="20">
        <v>18.341000000000001</v>
      </c>
      <c r="J13213" s="44" t="s">
        <v>8</v>
      </c>
      <c r="K13213" s="23" t="s">
        <v>8</v>
      </c>
      <c r="L13213" s="23" t="s">
        <v>8</v>
      </c>
      <c r="M13213" s="23" t="s">
        <v>8</v>
      </c>
    </row>
    <row r="13214" spans="1:13" s="21" customFormat="1" x14ac:dyDescent="0.25">
      <c r="A13214" s="22" t="s">
        <v>8</v>
      </c>
      <c r="B13214" s="18" t="str">
        <f>"495402"</f>
        <v>495402</v>
      </c>
      <c r="C13214" s="19" t="s">
        <v>12990</v>
      </c>
      <c r="D13214" s="19" t="s">
        <v>28614</v>
      </c>
      <c r="E13214" s="19" t="s">
        <v>32538</v>
      </c>
      <c r="F13214" s="19" t="s">
        <v>36021</v>
      </c>
      <c r="G13214" s="18" t="str">
        <f>"23188"</f>
        <v>23188</v>
      </c>
      <c r="H13214" s="19" t="s">
        <v>36878</v>
      </c>
      <c r="I13214" s="20">
        <v>18.428999999999998</v>
      </c>
      <c r="J13214" s="44" t="s">
        <v>8</v>
      </c>
      <c r="K13214" s="23" t="s">
        <v>8</v>
      </c>
      <c r="L13214" s="23" t="s">
        <v>8</v>
      </c>
      <c r="M13214" s="23" t="s">
        <v>8</v>
      </c>
    </row>
    <row r="13215" spans="1:13" s="21" customFormat="1" x14ac:dyDescent="0.25">
      <c r="A13215" s="22" t="s">
        <v>8</v>
      </c>
      <c r="B13215" s="18" t="str">
        <f>"495403"</f>
        <v>495403</v>
      </c>
      <c r="C13215" s="19" t="s">
        <v>12991</v>
      </c>
      <c r="D13215" s="19" t="s">
        <v>28615</v>
      </c>
      <c r="E13215" s="19" t="s">
        <v>31178</v>
      </c>
      <c r="F13215" s="19" t="s">
        <v>36021</v>
      </c>
      <c r="G13215" s="18" t="str">
        <f>"23238"</f>
        <v>23238</v>
      </c>
      <c r="H13215" s="19" t="s">
        <v>36859</v>
      </c>
      <c r="I13215" s="20">
        <v>18.727</v>
      </c>
      <c r="J13215" s="44" t="s">
        <v>8</v>
      </c>
      <c r="K13215" s="23" t="s">
        <v>8</v>
      </c>
      <c r="L13215" s="23" t="s">
        <v>8</v>
      </c>
      <c r="M13215" s="23" t="s">
        <v>8</v>
      </c>
    </row>
    <row r="13216" spans="1:13" s="21" customFormat="1" x14ac:dyDescent="0.25">
      <c r="A13216" s="22" t="s">
        <v>8</v>
      </c>
      <c r="B13216" s="18" t="str">
        <f>"495404"</f>
        <v>495404</v>
      </c>
      <c r="C13216" s="19" t="s">
        <v>12992</v>
      </c>
      <c r="D13216" s="19" t="s">
        <v>28616</v>
      </c>
      <c r="E13216" s="19" t="s">
        <v>35427</v>
      </c>
      <c r="F13216" s="19" t="s">
        <v>36021</v>
      </c>
      <c r="G13216" s="18" t="str">
        <f>"24083"</f>
        <v>24083</v>
      </c>
      <c r="H13216" s="19" t="s">
        <v>36882</v>
      </c>
      <c r="I13216" s="20">
        <v>16.934000000000001</v>
      </c>
      <c r="J13216" s="44" t="s">
        <v>8</v>
      </c>
      <c r="K13216" s="23" t="s">
        <v>8</v>
      </c>
      <c r="L13216" s="23" t="s">
        <v>8</v>
      </c>
      <c r="M13216" s="23" t="s">
        <v>8</v>
      </c>
    </row>
    <row r="13217" spans="1:13" s="21" customFormat="1" x14ac:dyDescent="0.25">
      <c r="A13217" s="22" t="s">
        <v>8</v>
      </c>
      <c r="B13217" s="18" t="str">
        <f>"495405"</f>
        <v>495405</v>
      </c>
      <c r="C13217" s="19" t="s">
        <v>12993</v>
      </c>
      <c r="D13217" s="19" t="s">
        <v>28617</v>
      </c>
      <c r="E13217" s="19" t="s">
        <v>31701</v>
      </c>
      <c r="F13217" s="19" t="s">
        <v>36021</v>
      </c>
      <c r="G13217" s="18" t="str">
        <f>"22980"</f>
        <v>22980</v>
      </c>
      <c r="H13217" s="19" t="s">
        <v>36873</v>
      </c>
      <c r="I13217" s="20">
        <v>21.15</v>
      </c>
      <c r="J13217" s="44" t="s">
        <v>8</v>
      </c>
      <c r="K13217" s="23" t="s">
        <v>8</v>
      </c>
      <c r="L13217" s="23" t="s">
        <v>8</v>
      </c>
      <c r="M13217" s="23" t="s">
        <v>8</v>
      </c>
    </row>
    <row r="13218" spans="1:13" s="21" customFormat="1" x14ac:dyDescent="0.25">
      <c r="A13218" s="22" t="s">
        <v>8</v>
      </c>
      <c r="B13218" s="18" t="str">
        <f>"495406"</f>
        <v>495406</v>
      </c>
      <c r="C13218" s="19" t="s">
        <v>12994</v>
      </c>
      <c r="D13218" s="19" t="s">
        <v>28618</v>
      </c>
      <c r="E13218" s="19" t="s">
        <v>35424</v>
      </c>
      <c r="F13218" s="19" t="s">
        <v>36021</v>
      </c>
      <c r="G13218" s="18" t="str">
        <f>"24060"</f>
        <v>24060</v>
      </c>
      <c r="H13218" s="19" t="s">
        <v>30833</v>
      </c>
      <c r="I13218" s="20">
        <v>18.152000000000001</v>
      </c>
      <c r="J13218" s="44" t="s">
        <v>8</v>
      </c>
      <c r="K13218" s="23" t="s">
        <v>8</v>
      </c>
      <c r="L13218" s="23" t="s">
        <v>8</v>
      </c>
      <c r="M13218" s="23" t="s">
        <v>8</v>
      </c>
    </row>
    <row r="13219" spans="1:13" s="21" customFormat="1" x14ac:dyDescent="0.25">
      <c r="A13219" s="22" t="s">
        <v>8</v>
      </c>
      <c r="B13219" s="18" t="str">
        <f>"495407"</f>
        <v>495407</v>
      </c>
      <c r="C13219" s="19" t="s">
        <v>12995</v>
      </c>
      <c r="D13219" s="19" t="s">
        <v>28619</v>
      </c>
      <c r="E13219" s="19" t="s">
        <v>35242</v>
      </c>
      <c r="F13219" s="19" t="s">
        <v>36021</v>
      </c>
      <c r="G13219" s="18" t="str">
        <f>"22406"</f>
        <v>22406</v>
      </c>
      <c r="H13219" s="19" t="s">
        <v>32672</v>
      </c>
      <c r="I13219" s="20">
        <v>18.079999999999998</v>
      </c>
      <c r="J13219" s="44" t="s">
        <v>8</v>
      </c>
      <c r="K13219" s="23" t="s">
        <v>8</v>
      </c>
      <c r="L13219" s="23" t="s">
        <v>8</v>
      </c>
      <c r="M13219" s="23" t="s">
        <v>8</v>
      </c>
    </row>
    <row r="13220" spans="1:13" s="21" customFormat="1" x14ac:dyDescent="0.25">
      <c r="A13220" s="22" t="s">
        <v>8</v>
      </c>
      <c r="B13220" s="18" t="str">
        <f>"495408"</f>
        <v>495408</v>
      </c>
      <c r="C13220" s="19" t="s">
        <v>12996</v>
      </c>
      <c r="D13220" s="19" t="s">
        <v>28620</v>
      </c>
      <c r="E13220" s="19" t="s">
        <v>32229</v>
      </c>
      <c r="F13220" s="19" t="s">
        <v>36021</v>
      </c>
      <c r="G13220" s="18" t="str">
        <f>"24112"</f>
        <v>24112</v>
      </c>
      <c r="H13220" s="19" t="s">
        <v>36872</v>
      </c>
      <c r="I13220" s="20">
        <v>19.065999999999999</v>
      </c>
      <c r="J13220" s="44" t="s">
        <v>8</v>
      </c>
      <c r="K13220" s="23" t="s">
        <v>8</v>
      </c>
      <c r="L13220" s="23" t="s">
        <v>8</v>
      </c>
      <c r="M13220" s="23" t="s">
        <v>8</v>
      </c>
    </row>
    <row r="13221" spans="1:13" s="21" customFormat="1" x14ac:dyDescent="0.25">
      <c r="A13221" s="22" t="s">
        <v>8</v>
      </c>
      <c r="B13221" s="18" t="str">
        <f>"495409"</f>
        <v>495409</v>
      </c>
      <c r="C13221" s="19" t="s">
        <v>12997</v>
      </c>
      <c r="D13221" s="19" t="s">
        <v>28621</v>
      </c>
      <c r="E13221" s="19" t="s">
        <v>32034</v>
      </c>
      <c r="F13221" s="19" t="s">
        <v>36021</v>
      </c>
      <c r="G13221" s="18" t="str">
        <f>"24212"</f>
        <v>24212</v>
      </c>
      <c r="H13221" s="19" t="s">
        <v>31500</v>
      </c>
      <c r="I13221" s="20">
        <v>19.683</v>
      </c>
      <c r="J13221" s="44" t="s">
        <v>8</v>
      </c>
      <c r="K13221" s="23" t="s">
        <v>8</v>
      </c>
      <c r="L13221" s="23" t="s">
        <v>8</v>
      </c>
      <c r="M13221" s="23" t="s">
        <v>8</v>
      </c>
    </row>
    <row r="13222" spans="1:13" s="21" customFormat="1" x14ac:dyDescent="0.25">
      <c r="A13222" s="22" t="s">
        <v>8</v>
      </c>
      <c r="B13222" s="18" t="str">
        <f>"495410"</f>
        <v>495410</v>
      </c>
      <c r="C13222" s="19" t="s">
        <v>12998</v>
      </c>
      <c r="D13222" s="19" t="s">
        <v>28622</v>
      </c>
      <c r="E13222" s="19" t="s">
        <v>35429</v>
      </c>
      <c r="F13222" s="19" t="s">
        <v>36021</v>
      </c>
      <c r="G13222" s="18" t="str">
        <f>"22101"</f>
        <v>22101</v>
      </c>
      <c r="H13222" s="19" t="s">
        <v>33392</v>
      </c>
      <c r="I13222" s="20">
        <v>19.286999999999999</v>
      </c>
      <c r="J13222" s="44" t="s">
        <v>8</v>
      </c>
      <c r="K13222" s="23" t="s">
        <v>8</v>
      </c>
      <c r="L13222" s="23" t="s">
        <v>8</v>
      </c>
      <c r="M13222" s="23" t="s">
        <v>8</v>
      </c>
    </row>
    <row r="13223" spans="1:13" s="21" customFormat="1" x14ac:dyDescent="0.25">
      <c r="A13223" s="22" t="s">
        <v>8</v>
      </c>
      <c r="B13223" s="18" t="str">
        <f>"495411"</f>
        <v>495411</v>
      </c>
      <c r="C13223" s="19" t="s">
        <v>12999</v>
      </c>
      <c r="D13223" s="19" t="s">
        <v>28623</v>
      </c>
      <c r="E13223" s="19" t="s">
        <v>35173</v>
      </c>
      <c r="F13223" s="19" t="s">
        <v>36021</v>
      </c>
      <c r="G13223" s="18" t="str">
        <f>"24502"</f>
        <v>24502</v>
      </c>
      <c r="H13223" s="19" t="s">
        <v>36862</v>
      </c>
      <c r="I13223" s="20">
        <v>15.845000000000001</v>
      </c>
      <c r="J13223" s="44" t="s">
        <v>8</v>
      </c>
      <c r="K13223" s="23" t="s">
        <v>8</v>
      </c>
      <c r="L13223" s="23" t="s">
        <v>8</v>
      </c>
      <c r="M13223" s="23" t="s">
        <v>8</v>
      </c>
    </row>
    <row r="13224" spans="1:13" s="21" customFormat="1" x14ac:dyDescent="0.25">
      <c r="A13224" s="22" t="s">
        <v>8</v>
      </c>
      <c r="B13224" s="18" t="str">
        <f>"495412"</f>
        <v>495412</v>
      </c>
      <c r="C13224" s="19" t="s">
        <v>13000</v>
      </c>
      <c r="D13224" s="19" t="s">
        <v>28624</v>
      </c>
      <c r="E13224" s="19" t="s">
        <v>35430</v>
      </c>
      <c r="F13224" s="19" t="s">
        <v>36021</v>
      </c>
      <c r="G13224" s="18" t="str">
        <f>"24290"</f>
        <v>24290</v>
      </c>
      <c r="H13224" s="19" t="s">
        <v>36083</v>
      </c>
      <c r="I13224" s="20">
        <v>18.867000000000001</v>
      </c>
      <c r="J13224" s="44" t="s">
        <v>8</v>
      </c>
      <c r="K13224" s="23" t="s">
        <v>8</v>
      </c>
      <c r="L13224" s="23" t="s">
        <v>8</v>
      </c>
      <c r="M13224" s="23" t="s">
        <v>8</v>
      </c>
    </row>
    <row r="13225" spans="1:13" s="21" customFormat="1" x14ac:dyDescent="0.25">
      <c r="A13225" s="22" t="s">
        <v>8</v>
      </c>
      <c r="B13225" s="18" t="str">
        <f>"495413"</f>
        <v>495413</v>
      </c>
      <c r="C13225" s="19" t="s">
        <v>13001</v>
      </c>
      <c r="D13225" s="19" t="s">
        <v>28625</v>
      </c>
      <c r="E13225" s="19" t="s">
        <v>32409</v>
      </c>
      <c r="F13225" s="19" t="s">
        <v>36021</v>
      </c>
      <c r="G13225" s="18" t="str">
        <f>"23116"</f>
        <v>23116</v>
      </c>
      <c r="H13225" s="19" t="s">
        <v>32235</v>
      </c>
      <c r="I13225" s="20">
        <v>20.448</v>
      </c>
      <c r="J13225" s="44" t="s">
        <v>8</v>
      </c>
      <c r="K13225" s="23" t="s">
        <v>8</v>
      </c>
      <c r="L13225" s="23" t="s">
        <v>8</v>
      </c>
      <c r="M13225" s="23" t="s">
        <v>8</v>
      </c>
    </row>
    <row r="13226" spans="1:13" s="21" customFormat="1" x14ac:dyDescent="0.25">
      <c r="A13226" s="22" t="s">
        <v>8</v>
      </c>
      <c r="B13226" s="18" t="str">
        <f>"495414"</f>
        <v>495414</v>
      </c>
      <c r="C13226" s="19" t="s">
        <v>13002</v>
      </c>
      <c r="D13226" s="19" t="s">
        <v>28626</v>
      </c>
      <c r="E13226" s="19" t="s">
        <v>35389</v>
      </c>
      <c r="F13226" s="19" t="s">
        <v>36021</v>
      </c>
      <c r="G13226" s="18" t="str">
        <f>"23434"</f>
        <v>23434</v>
      </c>
      <c r="H13226" s="19" t="s">
        <v>36881</v>
      </c>
      <c r="I13226" s="20">
        <v>17.108000000000001</v>
      </c>
      <c r="J13226" s="44" t="s">
        <v>8</v>
      </c>
      <c r="K13226" s="23" t="s">
        <v>8</v>
      </c>
      <c r="L13226" s="23" t="s">
        <v>8</v>
      </c>
      <c r="M13226" s="23" t="s">
        <v>8</v>
      </c>
    </row>
    <row r="13227" spans="1:13" s="21" customFormat="1" x14ac:dyDescent="0.25">
      <c r="A13227" s="22" t="s">
        <v>8</v>
      </c>
      <c r="B13227" s="18" t="str">
        <f>"495415"</f>
        <v>495415</v>
      </c>
      <c r="C13227" s="19" t="s">
        <v>13003</v>
      </c>
      <c r="D13227" s="19" t="s">
        <v>28627</v>
      </c>
      <c r="E13227" s="19" t="s">
        <v>32175</v>
      </c>
      <c r="F13227" s="19" t="s">
        <v>36021</v>
      </c>
      <c r="G13227" s="18" t="str">
        <f>"22603"</f>
        <v>22603</v>
      </c>
      <c r="H13227" s="19" t="s">
        <v>32927</v>
      </c>
      <c r="I13227" s="20">
        <v>20.385000000000002</v>
      </c>
      <c r="J13227" s="44" t="s">
        <v>8</v>
      </c>
      <c r="K13227" s="23" t="s">
        <v>8</v>
      </c>
      <c r="L13227" s="23" t="s">
        <v>8</v>
      </c>
      <c r="M13227" s="23" t="s">
        <v>8</v>
      </c>
    </row>
    <row r="13228" spans="1:13" s="21" customFormat="1" x14ac:dyDescent="0.25">
      <c r="A13228" s="22" t="s">
        <v>8</v>
      </c>
      <c r="B13228" s="18" t="str">
        <f>"495416"</f>
        <v>495416</v>
      </c>
      <c r="C13228" s="19" t="s">
        <v>13004</v>
      </c>
      <c r="D13228" s="19" t="s">
        <v>28628</v>
      </c>
      <c r="E13228" s="19" t="s">
        <v>31788</v>
      </c>
      <c r="F13228" s="19" t="s">
        <v>36021</v>
      </c>
      <c r="G13228" s="18" t="str">
        <f>"20147"</f>
        <v>20147</v>
      </c>
      <c r="H13228" s="19" t="s">
        <v>36877</v>
      </c>
      <c r="I13228" s="20">
        <v>16.917999999999999</v>
      </c>
      <c r="J13228" s="44" t="s">
        <v>8</v>
      </c>
      <c r="K13228" s="23" t="s">
        <v>8</v>
      </c>
      <c r="L13228" s="23" t="s">
        <v>8</v>
      </c>
      <c r="M13228" s="23" t="s">
        <v>8</v>
      </c>
    </row>
    <row r="13229" spans="1:13" s="21" customFormat="1" x14ac:dyDescent="0.25">
      <c r="A13229" s="22" t="s">
        <v>8</v>
      </c>
      <c r="B13229" s="18" t="str">
        <f>"495417"</f>
        <v>495417</v>
      </c>
      <c r="C13229" s="19" t="s">
        <v>13005</v>
      </c>
      <c r="D13229" s="19" t="s">
        <v>28629</v>
      </c>
      <c r="E13229" s="19" t="s">
        <v>35431</v>
      </c>
      <c r="F13229" s="19" t="s">
        <v>36021</v>
      </c>
      <c r="G13229" s="18" t="str">
        <f>"24368"</f>
        <v>24368</v>
      </c>
      <c r="H13229" s="19" t="s">
        <v>36851</v>
      </c>
      <c r="I13229" s="20">
        <v>17.513999999999999</v>
      </c>
      <c r="J13229" s="44" t="s">
        <v>8</v>
      </c>
      <c r="K13229" s="23" t="s">
        <v>8</v>
      </c>
      <c r="L13229" s="23" t="s">
        <v>8</v>
      </c>
      <c r="M13229" s="23" t="s">
        <v>8</v>
      </c>
    </row>
    <row r="13230" spans="1:13" s="21" customFormat="1" x14ac:dyDescent="0.25">
      <c r="A13230" s="22" t="s">
        <v>8</v>
      </c>
      <c r="B13230" s="18" t="str">
        <f>"495418"</f>
        <v>495418</v>
      </c>
      <c r="C13230" s="19" t="s">
        <v>13006</v>
      </c>
      <c r="D13230" s="19" t="s">
        <v>28630</v>
      </c>
      <c r="E13230" s="19" t="s">
        <v>35368</v>
      </c>
      <c r="F13230" s="19" t="s">
        <v>36021</v>
      </c>
      <c r="G13230" s="18" t="str">
        <f>"23456"</f>
        <v>23456</v>
      </c>
      <c r="H13230" s="19" t="s">
        <v>36864</v>
      </c>
      <c r="I13230" s="20">
        <v>19.253</v>
      </c>
      <c r="J13230" s="44" t="s">
        <v>8</v>
      </c>
      <c r="K13230" s="23" t="s">
        <v>8</v>
      </c>
      <c r="L13230" s="23" t="s">
        <v>8</v>
      </c>
      <c r="M13230" s="23" t="s">
        <v>8</v>
      </c>
    </row>
    <row r="13231" spans="1:13" s="21" customFormat="1" x14ac:dyDescent="0.25">
      <c r="A13231" s="22" t="s">
        <v>8</v>
      </c>
      <c r="B13231" s="18" t="str">
        <f>"505004"</f>
        <v>505004</v>
      </c>
      <c r="C13231" s="19" t="s">
        <v>13007</v>
      </c>
      <c r="D13231" s="19" t="s">
        <v>28631</v>
      </c>
      <c r="E13231" s="19" t="s">
        <v>35432</v>
      </c>
      <c r="F13231" s="19" t="s">
        <v>36022</v>
      </c>
      <c r="G13231" s="18" t="str">
        <f>"98027"</f>
        <v>98027</v>
      </c>
      <c r="H13231" s="19" t="s">
        <v>34327</v>
      </c>
      <c r="I13231" s="20">
        <v>21.524999999999999</v>
      </c>
      <c r="J13231" s="44" t="s">
        <v>8</v>
      </c>
      <c r="K13231" s="23" t="s">
        <v>8</v>
      </c>
      <c r="L13231" s="23" t="s">
        <v>8</v>
      </c>
      <c r="M13231" s="23" t="s">
        <v>8</v>
      </c>
    </row>
    <row r="13232" spans="1:13" s="21" customFormat="1" x14ac:dyDescent="0.25">
      <c r="A13232" s="22" t="s">
        <v>8</v>
      </c>
      <c r="B13232" s="18" t="str">
        <f>"505009"</f>
        <v>505009</v>
      </c>
      <c r="C13232" s="19" t="s">
        <v>3349</v>
      </c>
      <c r="D13232" s="19" t="s">
        <v>28632</v>
      </c>
      <c r="E13232" s="19" t="s">
        <v>35433</v>
      </c>
      <c r="F13232" s="19" t="s">
        <v>36022</v>
      </c>
      <c r="G13232" s="18" t="str">
        <f>"98155"</f>
        <v>98155</v>
      </c>
      <c r="H13232" s="19" t="s">
        <v>34327</v>
      </c>
      <c r="I13232" s="20">
        <v>14.807</v>
      </c>
      <c r="J13232" s="44" t="s">
        <v>8</v>
      </c>
      <c r="K13232" s="23" t="s">
        <v>8</v>
      </c>
      <c r="L13232" s="23" t="s">
        <v>8</v>
      </c>
      <c r="M13232" s="23" t="s">
        <v>8</v>
      </c>
    </row>
    <row r="13233" spans="1:13" s="21" customFormat="1" x14ac:dyDescent="0.25">
      <c r="A13233" s="22" t="s">
        <v>8</v>
      </c>
      <c r="B13233" s="18" t="str">
        <f>"505010"</f>
        <v>505010</v>
      </c>
      <c r="C13233" s="19" t="s">
        <v>13008</v>
      </c>
      <c r="D13233" s="19" t="s">
        <v>28633</v>
      </c>
      <c r="E13233" s="19" t="s">
        <v>35434</v>
      </c>
      <c r="F13233" s="19" t="s">
        <v>36022</v>
      </c>
      <c r="G13233" s="18" t="str">
        <f>"98902"</f>
        <v>98902</v>
      </c>
      <c r="H13233" s="19" t="s">
        <v>35434</v>
      </c>
      <c r="I13233" s="20">
        <v>18.562000000000001</v>
      </c>
      <c r="J13233" s="44" t="s">
        <v>8</v>
      </c>
      <c r="K13233" s="23" t="s">
        <v>8</v>
      </c>
      <c r="L13233" s="23" t="s">
        <v>8</v>
      </c>
      <c r="M13233" s="23" t="s">
        <v>8</v>
      </c>
    </row>
    <row r="13234" spans="1:13" s="21" customFormat="1" x14ac:dyDescent="0.25">
      <c r="A13234" s="22" t="s">
        <v>8</v>
      </c>
      <c r="B13234" s="18" t="str">
        <f>"505016"</f>
        <v>505016</v>
      </c>
      <c r="C13234" s="19" t="s">
        <v>13009</v>
      </c>
      <c r="D13234" s="19" t="s">
        <v>28634</v>
      </c>
      <c r="E13234" s="19" t="s">
        <v>33521</v>
      </c>
      <c r="F13234" s="19" t="s">
        <v>36022</v>
      </c>
      <c r="G13234" s="18" t="str">
        <f>"98520"</f>
        <v>98520</v>
      </c>
      <c r="H13234" s="19" t="s">
        <v>36899</v>
      </c>
      <c r="I13234" s="20">
        <v>17.093</v>
      </c>
      <c r="J13234" s="44" t="s">
        <v>8</v>
      </c>
      <c r="K13234" s="23" t="s">
        <v>8</v>
      </c>
      <c r="L13234" s="23" t="s">
        <v>8</v>
      </c>
      <c r="M13234" s="23" t="s">
        <v>8</v>
      </c>
    </row>
    <row r="13235" spans="1:13" s="21" customFormat="1" x14ac:dyDescent="0.25">
      <c r="A13235" s="22" t="s">
        <v>8</v>
      </c>
      <c r="B13235" s="18" t="str">
        <f>"505017"</f>
        <v>505017</v>
      </c>
      <c r="C13235" s="19" t="s">
        <v>13010</v>
      </c>
      <c r="D13235" s="19" t="s">
        <v>28635</v>
      </c>
      <c r="E13235" s="19" t="s">
        <v>35433</v>
      </c>
      <c r="F13235" s="19" t="s">
        <v>36022</v>
      </c>
      <c r="G13235" s="18" t="str">
        <f>"98144"</f>
        <v>98144</v>
      </c>
      <c r="H13235" s="19" t="s">
        <v>34327</v>
      </c>
      <c r="I13235" s="20">
        <v>14.885999999999999</v>
      </c>
      <c r="J13235" s="44" t="s">
        <v>8</v>
      </c>
      <c r="K13235" s="23" t="s">
        <v>8</v>
      </c>
      <c r="L13235" s="23" t="s">
        <v>8</v>
      </c>
      <c r="M13235" s="23" t="s">
        <v>8</v>
      </c>
    </row>
    <row r="13236" spans="1:13" s="21" customFormat="1" x14ac:dyDescent="0.25">
      <c r="A13236" s="22" t="s">
        <v>8</v>
      </c>
      <c r="B13236" s="18" t="str">
        <f>"505024"</f>
        <v>505024</v>
      </c>
      <c r="C13236" s="19" t="s">
        <v>13011</v>
      </c>
      <c r="D13236" s="19" t="s">
        <v>28636</v>
      </c>
      <c r="E13236" s="19" t="s">
        <v>35435</v>
      </c>
      <c r="F13236" s="19" t="s">
        <v>36022</v>
      </c>
      <c r="G13236" s="18" t="str">
        <f>"99207"</f>
        <v>99207</v>
      </c>
      <c r="H13236" s="19" t="s">
        <v>35435</v>
      </c>
      <c r="I13236" s="20">
        <v>16.553999999999998</v>
      </c>
      <c r="J13236" s="44" t="s">
        <v>8</v>
      </c>
      <c r="K13236" s="23" t="s">
        <v>8</v>
      </c>
      <c r="L13236" s="23" t="s">
        <v>8</v>
      </c>
      <c r="M13236" s="23" t="s">
        <v>8</v>
      </c>
    </row>
    <row r="13237" spans="1:13" s="21" customFormat="1" x14ac:dyDescent="0.25">
      <c r="A13237" s="22" t="s">
        <v>8</v>
      </c>
      <c r="B13237" s="18" t="str">
        <f>"505027"</f>
        <v>505027</v>
      </c>
      <c r="C13237" s="19" t="s">
        <v>13012</v>
      </c>
      <c r="D13237" s="19" t="s">
        <v>28637</v>
      </c>
      <c r="E13237" s="19" t="s">
        <v>35433</v>
      </c>
      <c r="F13237" s="19" t="s">
        <v>36022</v>
      </c>
      <c r="G13237" s="18" t="str">
        <f>"98103"</f>
        <v>98103</v>
      </c>
      <c r="H13237" s="19" t="s">
        <v>34327</v>
      </c>
      <c r="I13237" s="20">
        <v>16.28</v>
      </c>
      <c r="J13237" s="44" t="s">
        <v>8</v>
      </c>
      <c r="K13237" s="23" t="s">
        <v>8</v>
      </c>
      <c r="L13237" s="23" t="s">
        <v>8</v>
      </c>
      <c r="M13237" s="23" t="s">
        <v>8</v>
      </c>
    </row>
    <row r="13238" spans="1:13" s="21" customFormat="1" x14ac:dyDescent="0.25">
      <c r="A13238" s="22" t="s">
        <v>8</v>
      </c>
      <c r="B13238" s="18" t="str">
        <f>"505033"</f>
        <v>505033</v>
      </c>
      <c r="C13238" s="19" t="s">
        <v>13013</v>
      </c>
      <c r="D13238" s="19" t="s">
        <v>28638</v>
      </c>
      <c r="E13238" s="19" t="s">
        <v>35435</v>
      </c>
      <c r="F13238" s="19" t="s">
        <v>36022</v>
      </c>
      <c r="G13238" s="18" t="str">
        <f>"99223"</f>
        <v>99223</v>
      </c>
      <c r="H13238" s="19" t="s">
        <v>35435</v>
      </c>
      <c r="I13238" s="20">
        <v>19.37</v>
      </c>
      <c r="J13238" s="44" t="s">
        <v>8</v>
      </c>
      <c r="K13238" s="23" t="s">
        <v>8</v>
      </c>
      <c r="L13238" s="23" t="s">
        <v>8</v>
      </c>
      <c r="M13238" s="23" t="s">
        <v>8</v>
      </c>
    </row>
    <row r="13239" spans="1:13" s="21" customFormat="1" x14ac:dyDescent="0.25">
      <c r="A13239" s="22" t="s">
        <v>8</v>
      </c>
      <c r="B13239" s="18" t="str">
        <f>"505042"</f>
        <v>505042</v>
      </c>
      <c r="C13239" s="19" t="s">
        <v>13014</v>
      </c>
      <c r="D13239" s="19" t="s">
        <v>28639</v>
      </c>
      <c r="E13239" s="19" t="s">
        <v>35433</v>
      </c>
      <c r="F13239" s="19" t="s">
        <v>36022</v>
      </c>
      <c r="G13239" s="18" t="str">
        <f>"98117"</f>
        <v>98117</v>
      </c>
      <c r="H13239" s="19" t="s">
        <v>34327</v>
      </c>
      <c r="I13239" s="20">
        <v>16.948</v>
      </c>
      <c r="J13239" s="44" t="s">
        <v>8</v>
      </c>
      <c r="K13239" s="23" t="s">
        <v>8</v>
      </c>
      <c r="L13239" s="23" t="s">
        <v>8</v>
      </c>
      <c r="M13239" s="23" t="s">
        <v>8</v>
      </c>
    </row>
    <row r="13240" spans="1:13" s="21" customFormat="1" x14ac:dyDescent="0.25">
      <c r="A13240" s="22" t="s">
        <v>8</v>
      </c>
      <c r="B13240" s="18" t="str">
        <f>"505059"</f>
        <v>505059</v>
      </c>
      <c r="C13240" s="19" t="s">
        <v>13015</v>
      </c>
      <c r="D13240" s="19" t="s">
        <v>28640</v>
      </c>
      <c r="E13240" s="19" t="s">
        <v>35436</v>
      </c>
      <c r="F13240" s="19" t="s">
        <v>36022</v>
      </c>
      <c r="G13240" s="18" t="str">
        <f>"98503"</f>
        <v>98503</v>
      </c>
      <c r="H13240" s="19" t="s">
        <v>36562</v>
      </c>
      <c r="I13240" s="20">
        <v>16.39</v>
      </c>
      <c r="J13240" s="44" t="s">
        <v>8</v>
      </c>
      <c r="K13240" s="23" t="s">
        <v>8</v>
      </c>
      <c r="L13240" s="23" t="s">
        <v>8</v>
      </c>
      <c r="M13240" s="23" t="s">
        <v>8</v>
      </c>
    </row>
    <row r="13241" spans="1:13" s="21" customFormat="1" x14ac:dyDescent="0.25">
      <c r="A13241" s="22" t="s">
        <v>8</v>
      </c>
      <c r="B13241" s="18" t="str">
        <f>"505069"</f>
        <v>505069</v>
      </c>
      <c r="C13241" s="19" t="s">
        <v>13016</v>
      </c>
      <c r="D13241" s="19" t="s">
        <v>28641</v>
      </c>
      <c r="E13241" s="19" t="s">
        <v>35433</v>
      </c>
      <c r="F13241" s="19" t="s">
        <v>36022</v>
      </c>
      <c r="G13241" s="18" t="str">
        <f>"98133"</f>
        <v>98133</v>
      </c>
      <c r="H13241" s="19" t="s">
        <v>34327</v>
      </c>
      <c r="I13241" s="20">
        <v>13.808</v>
      </c>
      <c r="J13241" s="44" t="s">
        <v>8</v>
      </c>
      <c r="K13241" s="23" t="s">
        <v>8</v>
      </c>
      <c r="L13241" s="23" t="s">
        <v>8</v>
      </c>
      <c r="M13241" s="23" t="s">
        <v>8</v>
      </c>
    </row>
    <row r="13242" spans="1:13" s="21" customFormat="1" x14ac:dyDescent="0.25">
      <c r="A13242" s="22" t="s">
        <v>8</v>
      </c>
      <c r="B13242" s="18" t="str">
        <f>"505070"</f>
        <v>505070</v>
      </c>
      <c r="C13242" s="19" t="s">
        <v>13017</v>
      </c>
      <c r="D13242" s="19" t="s">
        <v>28642</v>
      </c>
      <c r="E13242" s="19" t="s">
        <v>31785</v>
      </c>
      <c r="F13242" s="19" t="s">
        <v>36022</v>
      </c>
      <c r="G13242" s="18" t="str">
        <f>"99352"</f>
        <v>99352</v>
      </c>
      <c r="H13242" s="19" t="s">
        <v>31024</v>
      </c>
      <c r="I13242" s="20">
        <v>20.195</v>
      </c>
      <c r="J13242" s="44" t="s">
        <v>8</v>
      </c>
      <c r="K13242" s="23" t="s">
        <v>8</v>
      </c>
      <c r="L13242" s="23" t="s">
        <v>8</v>
      </c>
      <c r="M13242" s="23" t="s">
        <v>8</v>
      </c>
    </row>
    <row r="13243" spans="1:13" s="21" customFormat="1" x14ac:dyDescent="0.25">
      <c r="A13243" s="22" t="s">
        <v>8</v>
      </c>
      <c r="B13243" s="18" t="str">
        <f>"505074"</f>
        <v>505074</v>
      </c>
      <c r="C13243" s="19" t="s">
        <v>13018</v>
      </c>
      <c r="D13243" s="19" t="s">
        <v>28643</v>
      </c>
      <c r="E13243" s="19" t="s">
        <v>35437</v>
      </c>
      <c r="F13243" s="19" t="s">
        <v>36022</v>
      </c>
      <c r="G13243" s="18" t="str">
        <f>"99362"</f>
        <v>99362</v>
      </c>
      <c r="H13243" s="19" t="s">
        <v>35437</v>
      </c>
      <c r="I13243" s="20">
        <v>18.385000000000002</v>
      </c>
      <c r="J13243" s="44" t="s">
        <v>8</v>
      </c>
      <c r="K13243" s="23" t="s">
        <v>8</v>
      </c>
      <c r="L13243" s="23" t="s">
        <v>8</v>
      </c>
      <c r="M13243" s="23" t="s">
        <v>8</v>
      </c>
    </row>
    <row r="13244" spans="1:13" s="21" customFormat="1" x14ac:dyDescent="0.25">
      <c r="A13244" s="22" t="s">
        <v>8</v>
      </c>
      <c r="B13244" s="18" t="str">
        <f>"505075"</f>
        <v>505075</v>
      </c>
      <c r="C13244" s="19" t="s">
        <v>13019</v>
      </c>
      <c r="D13244" s="19" t="s">
        <v>28644</v>
      </c>
      <c r="E13244" s="19" t="s">
        <v>35438</v>
      </c>
      <c r="F13244" s="19" t="s">
        <v>36022</v>
      </c>
      <c r="G13244" s="18" t="str">
        <f>"99324"</f>
        <v>99324</v>
      </c>
      <c r="H13244" s="19" t="s">
        <v>35437</v>
      </c>
      <c r="I13244" s="20">
        <v>19.134</v>
      </c>
      <c r="J13244" s="44" t="s">
        <v>8</v>
      </c>
      <c r="K13244" s="23" t="s">
        <v>8</v>
      </c>
      <c r="L13244" s="23" t="s">
        <v>8</v>
      </c>
      <c r="M13244" s="23" t="s">
        <v>8</v>
      </c>
    </row>
    <row r="13245" spans="1:13" s="21" customFormat="1" x14ac:dyDescent="0.25">
      <c r="A13245" s="22" t="s">
        <v>8</v>
      </c>
      <c r="B13245" s="18" t="str">
        <f>"505080"</f>
        <v>505080</v>
      </c>
      <c r="C13245" s="19" t="s">
        <v>13020</v>
      </c>
      <c r="D13245" s="19" t="s">
        <v>28645</v>
      </c>
      <c r="E13245" s="19" t="s">
        <v>35439</v>
      </c>
      <c r="F13245" s="19" t="s">
        <v>36022</v>
      </c>
      <c r="G13245" s="18" t="str">
        <f>"99336"</f>
        <v>99336</v>
      </c>
      <c r="H13245" s="19" t="s">
        <v>31024</v>
      </c>
      <c r="I13245" s="20">
        <v>16.274000000000001</v>
      </c>
      <c r="J13245" s="44" t="s">
        <v>8</v>
      </c>
      <c r="K13245" s="23" t="s">
        <v>8</v>
      </c>
      <c r="L13245" s="23" t="s">
        <v>8</v>
      </c>
      <c r="M13245" s="23" t="s">
        <v>8</v>
      </c>
    </row>
    <row r="13246" spans="1:13" s="21" customFormat="1" x14ac:dyDescent="0.25">
      <c r="A13246" s="22" t="s">
        <v>8</v>
      </c>
      <c r="B13246" s="18" t="str">
        <f>"505081"</f>
        <v>505081</v>
      </c>
      <c r="C13246" s="19" t="s">
        <v>13021</v>
      </c>
      <c r="D13246" s="19" t="s">
        <v>28646</v>
      </c>
      <c r="E13246" s="19" t="s">
        <v>35440</v>
      </c>
      <c r="F13246" s="19" t="s">
        <v>36022</v>
      </c>
      <c r="G13246" s="18" t="str">
        <f>"98550"</f>
        <v>98550</v>
      </c>
      <c r="H13246" s="19" t="s">
        <v>36899</v>
      </c>
      <c r="I13246" s="20">
        <v>18.885000000000002</v>
      </c>
      <c r="J13246" s="44" t="s">
        <v>8</v>
      </c>
      <c r="K13246" s="23" t="s">
        <v>8</v>
      </c>
      <c r="L13246" s="23" t="s">
        <v>8</v>
      </c>
      <c r="M13246" s="23" t="s">
        <v>8</v>
      </c>
    </row>
    <row r="13247" spans="1:13" s="21" customFormat="1" x14ac:dyDescent="0.25">
      <c r="A13247" s="22" t="s">
        <v>8</v>
      </c>
      <c r="B13247" s="18" t="str">
        <f>"505085"</f>
        <v>505085</v>
      </c>
      <c r="C13247" s="19" t="s">
        <v>13022</v>
      </c>
      <c r="D13247" s="19" t="s">
        <v>28647</v>
      </c>
      <c r="E13247" s="19" t="s">
        <v>35434</v>
      </c>
      <c r="F13247" s="19" t="s">
        <v>36022</v>
      </c>
      <c r="G13247" s="18" t="str">
        <f>"98908"</f>
        <v>98908</v>
      </c>
      <c r="H13247" s="19" t="s">
        <v>35434</v>
      </c>
      <c r="I13247" s="20">
        <v>16.259</v>
      </c>
      <c r="J13247" s="44" t="s">
        <v>8</v>
      </c>
      <c r="K13247" s="23" t="s">
        <v>8</v>
      </c>
      <c r="L13247" s="23" t="s">
        <v>8</v>
      </c>
      <c r="M13247" s="23" t="s">
        <v>8</v>
      </c>
    </row>
    <row r="13248" spans="1:13" s="21" customFormat="1" x14ac:dyDescent="0.25">
      <c r="A13248" s="22" t="s">
        <v>8</v>
      </c>
      <c r="B13248" s="18" t="str">
        <f>"505086"</f>
        <v>505086</v>
      </c>
      <c r="C13248" s="19" t="s">
        <v>13023</v>
      </c>
      <c r="D13248" s="19" t="s">
        <v>28648</v>
      </c>
      <c r="E13248" s="19" t="s">
        <v>35434</v>
      </c>
      <c r="F13248" s="19" t="s">
        <v>36022</v>
      </c>
      <c r="G13248" s="18" t="str">
        <f>"98902"</f>
        <v>98902</v>
      </c>
      <c r="H13248" s="19" t="s">
        <v>35434</v>
      </c>
      <c r="I13248" s="20">
        <v>17.065000000000001</v>
      </c>
      <c r="J13248" s="44" t="s">
        <v>8</v>
      </c>
      <c r="K13248" s="23" t="s">
        <v>8</v>
      </c>
      <c r="L13248" s="23" t="s">
        <v>8</v>
      </c>
      <c r="M13248" s="23" t="s">
        <v>8</v>
      </c>
    </row>
    <row r="13249" spans="1:13" s="21" customFormat="1" x14ac:dyDescent="0.25">
      <c r="A13249" s="22" t="s">
        <v>8</v>
      </c>
      <c r="B13249" s="18" t="str">
        <f>"505092"</f>
        <v>505092</v>
      </c>
      <c r="C13249" s="19" t="s">
        <v>13024</v>
      </c>
      <c r="D13249" s="19" t="s">
        <v>28649</v>
      </c>
      <c r="E13249" s="19" t="s">
        <v>35441</v>
      </c>
      <c r="F13249" s="19" t="s">
        <v>36022</v>
      </c>
      <c r="G13249" s="18" t="str">
        <f>"98225"</f>
        <v>98225</v>
      </c>
      <c r="H13249" s="19" t="s">
        <v>36900</v>
      </c>
      <c r="I13249" s="20">
        <v>19.811</v>
      </c>
      <c r="J13249" s="44" t="s">
        <v>8</v>
      </c>
      <c r="K13249" s="23" t="s">
        <v>8</v>
      </c>
      <c r="L13249" s="23" t="s">
        <v>8</v>
      </c>
      <c r="M13249" s="23" t="s">
        <v>8</v>
      </c>
    </row>
    <row r="13250" spans="1:13" s="21" customFormat="1" x14ac:dyDescent="0.25">
      <c r="A13250" s="22" t="s">
        <v>8</v>
      </c>
      <c r="B13250" s="18" t="str">
        <f>"505093"</f>
        <v>505093</v>
      </c>
      <c r="C13250" s="19" t="s">
        <v>13025</v>
      </c>
      <c r="D13250" s="19" t="s">
        <v>28650</v>
      </c>
      <c r="E13250" s="19" t="s">
        <v>35442</v>
      </c>
      <c r="F13250" s="19" t="s">
        <v>36022</v>
      </c>
      <c r="G13250" s="18" t="str">
        <f>"98409"</f>
        <v>98409</v>
      </c>
      <c r="H13250" s="19" t="s">
        <v>33791</v>
      </c>
      <c r="I13250" s="20">
        <v>15.663</v>
      </c>
      <c r="J13250" s="44" t="s">
        <v>8</v>
      </c>
      <c r="K13250" s="23" t="s">
        <v>8</v>
      </c>
      <c r="L13250" s="23" t="s">
        <v>8</v>
      </c>
      <c r="M13250" s="23" t="s">
        <v>8</v>
      </c>
    </row>
    <row r="13251" spans="1:13" s="21" customFormat="1" x14ac:dyDescent="0.25">
      <c r="A13251" s="22" t="s">
        <v>8</v>
      </c>
      <c r="B13251" s="18" t="str">
        <f>"505096"</f>
        <v>505096</v>
      </c>
      <c r="C13251" s="19" t="s">
        <v>13026</v>
      </c>
      <c r="D13251" s="19" t="s">
        <v>28651</v>
      </c>
      <c r="E13251" s="19" t="s">
        <v>35443</v>
      </c>
      <c r="F13251" s="19" t="s">
        <v>36022</v>
      </c>
      <c r="G13251" s="18" t="str">
        <f>"98948"</f>
        <v>98948</v>
      </c>
      <c r="H13251" s="19" t="s">
        <v>35434</v>
      </c>
      <c r="I13251" s="20">
        <v>17.576000000000001</v>
      </c>
      <c r="J13251" s="44" t="s">
        <v>8</v>
      </c>
      <c r="K13251" s="23" t="s">
        <v>8</v>
      </c>
      <c r="L13251" s="23" t="s">
        <v>8</v>
      </c>
      <c r="M13251" s="23" t="s">
        <v>8</v>
      </c>
    </row>
    <row r="13252" spans="1:13" s="21" customFormat="1" x14ac:dyDescent="0.25">
      <c r="A13252" s="22" t="s">
        <v>8</v>
      </c>
      <c r="B13252" s="18" t="str">
        <f>"505098"</f>
        <v>505098</v>
      </c>
      <c r="C13252" s="19" t="s">
        <v>13027</v>
      </c>
      <c r="D13252" s="19" t="s">
        <v>28652</v>
      </c>
      <c r="E13252" s="19" t="s">
        <v>35441</v>
      </c>
      <c r="F13252" s="19" t="s">
        <v>36022</v>
      </c>
      <c r="G13252" s="18" t="str">
        <f>"98225"</f>
        <v>98225</v>
      </c>
      <c r="H13252" s="19" t="s">
        <v>36900</v>
      </c>
      <c r="I13252" s="20">
        <v>20.352</v>
      </c>
      <c r="J13252" s="44" t="s">
        <v>8</v>
      </c>
      <c r="K13252" s="23" t="s">
        <v>8</v>
      </c>
      <c r="L13252" s="23" t="s">
        <v>8</v>
      </c>
      <c r="M13252" s="23" t="s">
        <v>8</v>
      </c>
    </row>
    <row r="13253" spans="1:13" s="21" customFormat="1" x14ac:dyDescent="0.25">
      <c r="A13253" s="22" t="s">
        <v>8</v>
      </c>
      <c r="B13253" s="18" t="str">
        <f>"505099"</f>
        <v>505099</v>
      </c>
      <c r="C13253" s="19" t="s">
        <v>13028</v>
      </c>
      <c r="D13253" s="19" t="s">
        <v>28653</v>
      </c>
      <c r="E13253" s="19" t="s">
        <v>35444</v>
      </c>
      <c r="F13253" s="19" t="s">
        <v>36022</v>
      </c>
      <c r="G13253" s="18" t="str">
        <f>"99016"</f>
        <v>99016</v>
      </c>
      <c r="H13253" s="19" t="s">
        <v>35435</v>
      </c>
      <c r="I13253" s="20">
        <v>20.623999999999999</v>
      </c>
      <c r="J13253" s="44" t="s">
        <v>8</v>
      </c>
      <c r="K13253" s="23" t="s">
        <v>8</v>
      </c>
      <c r="L13253" s="23" t="s">
        <v>8</v>
      </c>
      <c r="M13253" s="23" t="s">
        <v>8</v>
      </c>
    </row>
    <row r="13254" spans="1:13" s="21" customFormat="1" x14ac:dyDescent="0.25">
      <c r="A13254" s="22" t="s">
        <v>8</v>
      </c>
      <c r="B13254" s="18" t="str">
        <f>"505114"</f>
        <v>505114</v>
      </c>
      <c r="C13254" s="19" t="s">
        <v>13029</v>
      </c>
      <c r="D13254" s="19" t="s">
        <v>28654</v>
      </c>
      <c r="E13254" s="19" t="s">
        <v>35435</v>
      </c>
      <c r="F13254" s="19" t="s">
        <v>36022</v>
      </c>
      <c r="G13254" s="18" t="str">
        <f>"99206"</f>
        <v>99206</v>
      </c>
      <c r="H13254" s="19" t="s">
        <v>35435</v>
      </c>
      <c r="I13254" s="20">
        <v>20.529</v>
      </c>
      <c r="J13254" s="44" t="s">
        <v>8</v>
      </c>
      <c r="K13254" s="23" t="s">
        <v>8</v>
      </c>
      <c r="L13254" s="23" t="s">
        <v>8</v>
      </c>
      <c r="M13254" s="23" t="s">
        <v>8</v>
      </c>
    </row>
    <row r="13255" spans="1:13" s="21" customFormat="1" x14ac:dyDescent="0.25">
      <c r="A13255" s="22" t="s">
        <v>8</v>
      </c>
      <c r="B13255" s="18" t="str">
        <f>"505123"</f>
        <v>505123</v>
      </c>
      <c r="C13255" s="19" t="s">
        <v>13030</v>
      </c>
      <c r="D13255" s="19" t="s">
        <v>28655</v>
      </c>
      <c r="E13255" s="19" t="s">
        <v>35445</v>
      </c>
      <c r="F13255" s="19" t="s">
        <v>36022</v>
      </c>
      <c r="G13255" s="18" t="str">
        <f>"98310"</f>
        <v>98310</v>
      </c>
      <c r="H13255" s="19" t="s">
        <v>36901</v>
      </c>
      <c r="I13255" s="20">
        <v>17.997</v>
      </c>
      <c r="J13255" s="44" t="s">
        <v>8</v>
      </c>
      <c r="K13255" s="23" t="s">
        <v>8</v>
      </c>
      <c r="L13255" s="23" t="s">
        <v>8</v>
      </c>
      <c r="M13255" s="23" t="s">
        <v>8</v>
      </c>
    </row>
    <row r="13256" spans="1:13" s="21" customFormat="1" x14ac:dyDescent="0.25">
      <c r="A13256" s="22" t="s">
        <v>8</v>
      </c>
      <c r="B13256" s="18" t="str">
        <f>"505126"</f>
        <v>505126</v>
      </c>
      <c r="C13256" s="19" t="s">
        <v>13031</v>
      </c>
      <c r="D13256" s="19" t="s">
        <v>28656</v>
      </c>
      <c r="E13256" s="19" t="s">
        <v>35446</v>
      </c>
      <c r="F13256" s="19" t="s">
        <v>36022</v>
      </c>
      <c r="G13256" s="18" t="str">
        <f>"99301"</f>
        <v>99301</v>
      </c>
      <c r="H13256" s="19" t="s">
        <v>5</v>
      </c>
      <c r="I13256" s="20">
        <v>19.102</v>
      </c>
      <c r="J13256" s="44" t="s">
        <v>8</v>
      </c>
      <c r="K13256" s="23" t="s">
        <v>8</v>
      </c>
      <c r="L13256" s="23" t="s">
        <v>8</v>
      </c>
      <c r="M13256" s="23" t="s">
        <v>8</v>
      </c>
    </row>
    <row r="13257" spans="1:13" s="21" customFormat="1" x14ac:dyDescent="0.25">
      <c r="A13257" s="22" t="s">
        <v>8</v>
      </c>
      <c r="B13257" s="18" t="str">
        <f>"505128"</f>
        <v>505128</v>
      </c>
      <c r="C13257" s="19" t="s">
        <v>13032</v>
      </c>
      <c r="D13257" s="19" t="s">
        <v>28657</v>
      </c>
      <c r="E13257" s="19" t="s">
        <v>35447</v>
      </c>
      <c r="F13257" s="19" t="s">
        <v>36022</v>
      </c>
      <c r="G13257" s="18" t="str">
        <f>"98382"</f>
        <v>98382</v>
      </c>
      <c r="H13257" s="19" t="s">
        <v>36902</v>
      </c>
      <c r="I13257" s="20">
        <v>18.047000000000001</v>
      </c>
      <c r="J13257" s="44" t="s">
        <v>8</v>
      </c>
      <c r="K13257" s="23" t="s">
        <v>8</v>
      </c>
      <c r="L13257" s="23" t="s">
        <v>8</v>
      </c>
      <c r="M13257" s="23" t="s">
        <v>8</v>
      </c>
    </row>
    <row r="13258" spans="1:13" s="21" customFormat="1" x14ac:dyDescent="0.25">
      <c r="A13258" s="22" t="s">
        <v>8</v>
      </c>
      <c r="B13258" s="18" t="str">
        <f>"505140"</f>
        <v>505140</v>
      </c>
      <c r="C13258" s="19" t="s">
        <v>13033</v>
      </c>
      <c r="D13258" s="19" t="s">
        <v>28658</v>
      </c>
      <c r="E13258" s="19" t="s">
        <v>35441</v>
      </c>
      <c r="F13258" s="19" t="s">
        <v>36022</v>
      </c>
      <c r="G13258" s="18" t="str">
        <f>"98225"</f>
        <v>98225</v>
      </c>
      <c r="H13258" s="19" t="s">
        <v>36900</v>
      </c>
      <c r="I13258" s="20">
        <v>17.085999999999999</v>
      </c>
      <c r="J13258" s="44" t="s">
        <v>8</v>
      </c>
      <c r="K13258" s="23" t="s">
        <v>8</v>
      </c>
      <c r="L13258" s="23" t="s">
        <v>8</v>
      </c>
      <c r="M13258" s="23" t="s">
        <v>8</v>
      </c>
    </row>
    <row r="13259" spans="1:13" s="21" customFormat="1" x14ac:dyDescent="0.25">
      <c r="A13259" s="22" t="s">
        <v>8</v>
      </c>
      <c r="B13259" s="18" t="str">
        <f>"505151"</f>
        <v>505151</v>
      </c>
      <c r="C13259" s="19" t="s">
        <v>13034</v>
      </c>
      <c r="D13259" s="19" t="s">
        <v>28659</v>
      </c>
      <c r="E13259" s="19" t="s">
        <v>35448</v>
      </c>
      <c r="F13259" s="19" t="s">
        <v>36022</v>
      </c>
      <c r="G13259" s="18" t="str">
        <f>"98815"</f>
        <v>98815</v>
      </c>
      <c r="H13259" s="19" t="s">
        <v>36903</v>
      </c>
      <c r="I13259" s="20">
        <v>19.562999999999999</v>
      </c>
      <c r="J13259" s="44" t="s">
        <v>8</v>
      </c>
      <c r="K13259" s="23" t="s">
        <v>8</v>
      </c>
      <c r="L13259" s="23" t="s">
        <v>8</v>
      </c>
      <c r="M13259" s="23" t="s">
        <v>8</v>
      </c>
    </row>
    <row r="13260" spans="1:13" s="21" customFormat="1" x14ac:dyDescent="0.25">
      <c r="A13260" s="22" t="s">
        <v>8</v>
      </c>
      <c r="B13260" s="18" t="str">
        <f>"505154"</f>
        <v>505154</v>
      </c>
      <c r="C13260" s="19" t="s">
        <v>13035</v>
      </c>
      <c r="D13260" s="19" t="s">
        <v>28660</v>
      </c>
      <c r="E13260" s="19" t="s">
        <v>35442</v>
      </c>
      <c r="F13260" s="19" t="s">
        <v>36022</v>
      </c>
      <c r="G13260" s="18" t="str">
        <f>"98444"</f>
        <v>98444</v>
      </c>
      <c r="H13260" s="19" t="s">
        <v>33791</v>
      </c>
      <c r="I13260" s="20">
        <v>15.776</v>
      </c>
      <c r="J13260" s="44" t="s">
        <v>8</v>
      </c>
      <c r="K13260" s="23" t="s">
        <v>8</v>
      </c>
      <c r="L13260" s="23" t="s">
        <v>8</v>
      </c>
      <c r="M13260" s="23" t="s">
        <v>8</v>
      </c>
    </row>
    <row r="13261" spans="1:13" s="21" customFormat="1" x14ac:dyDescent="0.25">
      <c r="A13261" s="22" t="s">
        <v>8</v>
      </c>
      <c r="B13261" s="18" t="str">
        <f>"505181"</f>
        <v>505181</v>
      </c>
      <c r="C13261" s="19" t="s">
        <v>13036</v>
      </c>
      <c r="D13261" s="19" t="s">
        <v>28661</v>
      </c>
      <c r="E13261" s="19" t="s">
        <v>34771</v>
      </c>
      <c r="F13261" s="19" t="s">
        <v>36022</v>
      </c>
      <c r="G13261" s="18" t="str">
        <f>"98052"</f>
        <v>98052</v>
      </c>
      <c r="H13261" s="19" t="s">
        <v>34327</v>
      </c>
      <c r="I13261" s="20">
        <v>17.335000000000001</v>
      </c>
      <c r="J13261" s="44" t="s">
        <v>8</v>
      </c>
      <c r="K13261" s="23" t="s">
        <v>8</v>
      </c>
      <c r="L13261" s="23" t="s">
        <v>8</v>
      </c>
      <c r="M13261" s="23" t="s">
        <v>8</v>
      </c>
    </row>
    <row r="13262" spans="1:13" s="21" customFormat="1" x14ac:dyDescent="0.25">
      <c r="A13262" s="22" t="s">
        <v>8</v>
      </c>
      <c r="B13262" s="18" t="str">
        <f>"505182"</f>
        <v>505182</v>
      </c>
      <c r="C13262" s="19" t="s">
        <v>13037</v>
      </c>
      <c r="D13262" s="19" t="s">
        <v>28662</v>
      </c>
      <c r="E13262" s="19" t="s">
        <v>35433</v>
      </c>
      <c r="F13262" s="19" t="s">
        <v>36022</v>
      </c>
      <c r="G13262" s="18" t="str">
        <f>"98126"</f>
        <v>98126</v>
      </c>
      <c r="H13262" s="19" t="s">
        <v>34327</v>
      </c>
      <c r="I13262" s="20">
        <v>15.196999999999999</v>
      </c>
      <c r="J13262" s="44" t="s">
        <v>8</v>
      </c>
      <c r="K13262" s="23" t="s">
        <v>8</v>
      </c>
      <c r="L13262" s="23" t="s">
        <v>8</v>
      </c>
      <c r="M13262" s="23" t="s">
        <v>8</v>
      </c>
    </row>
    <row r="13263" spans="1:13" s="21" customFormat="1" x14ac:dyDescent="0.25">
      <c r="A13263" s="22" t="s">
        <v>8</v>
      </c>
      <c r="B13263" s="18" t="str">
        <f>"505183"</f>
        <v>505183</v>
      </c>
      <c r="C13263" s="19" t="s">
        <v>13038</v>
      </c>
      <c r="D13263" s="19" t="s">
        <v>28663</v>
      </c>
      <c r="E13263" s="19" t="s">
        <v>35442</v>
      </c>
      <c r="F13263" s="19" t="s">
        <v>36022</v>
      </c>
      <c r="G13263" s="18" t="str">
        <f>"98408"</f>
        <v>98408</v>
      </c>
      <c r="H13263" s="19" t="s">
        <v>33791</v>
      </c>
      <c r="I13263" s="20">
        <v>15.539</v>
      </c>
      <c r="J13263" s="44" t="s">
        <v>8</v>
      </c>
      <c r="K13263" s="23" t="s">
        <v>8</v>
      </c>
      <c r="L13263" s="23" t="s">
        <v>8</v>
      </c>
      <c r="M13263" s="23" t="s">
        <v>8</v>
      </c>
    </row>
    <row r="13264" spans="1:13" s="21" customFormat="1" x14ac:dyDescent="0.25">
      <c r="A13264" s="22" t="s">
        <v>8</v>
      </c>
      <c r="B13264" s="18" t="str">
        <f>"505185"</f>
        <v>505185</v>
      </c>
      <c r="C13264" s="19" t="s">
        <v>13039</v>
      </c>
      <c r="D13264" s="19" t="s">
        <v>28664</v>
      </c>
      <c r="E13264" s="19" t="s">
        <v>35449</v>
      </c>
      <c r="F13264" s="19" t="s">
        <v>36022</v>
      </c>
      <c r="G13264" s="18" t="str">
        <f>"98362"</f>
        <v>98362</v>
      </c>
      <c r="H13264" s="19" t="s">
        <v>36902</v>
      </c>
      <c r="I13264" s="20">
        <v>17.074999999999999</v>
      </c>
      <c r="J13264" s="44" t="s">
        <v>8</v>
      </c>
      <c r="K13264" s="23" t="s">
        <v>8</v>
      </c>
      <c r="L13264" s="23" t="s">
        <v>8</v>
      </c>
      <c r="M13264" s="23" t="s">
        <v>8</v>
      </c>
    </row>
    <row r="13265" spans="1:13" s="21" customFormat="1" x14ac:dyDescent="0.25">
      <c r="A13265" s="22" t="s">
        <v>8</v>
      </c>
      <c r="B13265" s="18" t="str">
        <f>"505188"</f>
        <v>505188</v>
      </c>
      <c r="C13265" s="19" t="s">
        <v>13040</v>
      </c>
      <c r="D13265" s="19" t="s">
        <v>28665</v>
      </c>
      <c r="E13265" s="19" t="s">
        <v>35450</v>
      </c>
      <c r="F13265" s="19" t="s">
        <v>36022</v>
      </c>
      <c r="G13265" s="18" t="str">
        <f>"98003"</f>
        <v>98003</v>
      </c>
      <c r="H13265" s="19" t="s">
        <v>34327</v>
      </c>
      <c r="I13265" s="20">
        <v>18.446999999999999</v>
      </c>
      <c r="J13265" s="44" t="s">
        <v>8</v>
      </c>
      <c r="K13265" s="23" t="s">
        <v>8</v>
      </c>
      <c r="L13265" s="23" t="s">
        <v>8</v>
      </c>
      <c r="M13265" s="23" t="s">
        <v>8</v>
      </c>
    </row>
    <row r="13266" spans="1:13" s="21" customFormat="1" x14ac:dyDescent="0.25">
      <c r="A13266" s="22" t="s">
        <v>8</v>
      </c>
      <c r="B13266" s="18" t="str">
        <f>"505195"</f>
        <v>505195</v>
      </c>
      <c r="C13266" s="19" t="s">
        <v>13041</v>
      </c>
      <c r="D13266" s="19" t="s">
        <v>28666</v>
      </c>
      <c r="E13266" s="19" t="s">
        <v>30926</v>
      </c>
      <c r="F13266" s="19" t="s">
        <v>36022</v>
      </c>
      <c r="G13266" s="18" t="str">
        <f>"98002"</f>
        <v>98002</v>
      </c>
      <c r="H13266" s="19" t="s">
        <v>34327</v>
      </c>
      <c r="I13266" s="20">
        <v>18.666</v>
      </c>
      <c r="J13266" s="44" t="s">
        <v>8</v>
      </c>
      <c r="K13266" s="23" t="s">
        <v>8</v>
      </c>
      <c r="L13266" s="23" t="s">
        <v>8</v>
      </c>
      <c r="M13266" s="23" t="s">
        <v>8</v>
      </c>
    </row>
    <row r="13267" spans="1:13" s="21" customFormat="1" x14ac:dyDescent="0.25">
      <c r="A13267" s="22" t="s">
        <v>8</v>
      </c>
      <c r="B13267" s="18" t="str">
        <f>"505202"</f>
        <v>505202</v>
      </c>
      <c r="C13267" s="19" t="s">
        <v>13042</v>
      </c>
      <c r="D13267" s="19" t="s">
        <v>28667</v>
      </c>
      <c r="E13267" s="19" t="s">
        <v>35451</v>
      </c>
      <c r="F13267" s="19" t="s">
        <v>36022</v>
      </c>
      <c r="G13267" s="18" t="str">
        <f>"98055"</f>
        <v>98055</v>
      </c>
      <c r="H13267" s="19" t="s">
        <v>34327</v>
      </c>
      <c r="I13267" s="20">
        <v>18.059000000000001</v>
      </c>
      <c r="J13267" s="44" t="s">
        <v>8</v>
      </c>
      <c r="K13267" s="23" t="s">
        <v>8</v>
      </c>
      <c r="L13267" s="23" t="s">
        <v>8</v>
      </c>
      <c r="M13267" s="23" t="s">
        <v>8</v>
      </c>
    </row>
    <row r="13268" spans="1:13" s="21" customFormat="1" x14ac:dyDescent="0.25">
      <c r="A13268" s="22" t="s">
        <v>8</v>
      </c>
      <c r="B13268" s="18" t="str">
        <f>"505204"</f>
        <v>505204</v>
      </c>
      <c r="C13268" s="19" t="s">
        <v>13043</v>
      </c>
      <c r="D13268" s="19" t="s">
        <v>28668</v>
      </c>
      <c r="E13268" s="19" t="s">
        <v>35433</v>
      </c>
      <c r="F13268" s="19" t="s">
        <v>36022</v>
      </c>
      <c r="G13268" s="18" t="str">
        <f>"98109"</f>
        <v>98109</v>
      </c>
      <c r="H13268" s="19" t="s">
        <v>34327</v>
      </c>
      <c r="I13268" s="20">
        <v>19.303999999999998</v>
      </c>
      <c r="J13268" s="44" t="s">
        <v>8</v>
      </c>
      <c r="K13268" s="23" t="s">
        <v>8</v>
      </c>
      <c r="L13268" s="23" t="s">
        <v>8</v>
      </c>
      <c r="M13268" s="23" t="s">
        <v>8</v>
      </c>
    </row>
    <row r="13269" spans="1:13" s="21" customFormat="1" x14ac:dyDescent="0.25">
      <c r="A13269" s="22" t="s">
        <v>8</v>
      </c>
      <c r="B13269" s="18" t="str">
        <f>"505206"</f>
        <v>505206</v>
      </c>
      <c r="C13269" s="19" t="s">
        <v>13044</v>
      </c>
      <c r="D13269" s="19" t="s">
        <v>28669</v>
      </c>
      <c r="E13269" s="19" t="s">
        <v>35452</v>
      </c>
      <c r="F13269" s="19" t="s">
        <v>36022</v>
      </c>
      <c r="G13269" s="18" t="str">
        <f>"98663"</f>
        <v>98663</v>
      </c>
      <c r="H13269" s="19" t="s">
        <v>33967</v>
      </c>
      <c r="I13269" s="20">
        <v>19.774000000000001</v>
      </c>
      <c r="J13269" s="44" t="s">
        <v>8</v>
      </c>
      <c r="K13269" s="23" t="s">
        <v>8</v>
      </c>
      <c r="L13269" s="23" t="s">
        <v>8</v>
      </c>
      <c r="M13269" s="23" t="s">
        <v>8</v>
      </c>
    </row>
    <row r="13270" spans="1:13" s="21" customFormat="1" x14ac:dyDescent="0.25">
      <c r="A13270" s="22" t="s">
        <v>8</v>
      </c>
      <c r="B13270" s="18" t="str">
        <f>"505210"</f>
        <v>505210</v>
      </c>
      <c r="C13270" s="19" t="s">
        <v>13045</v>
      </c>
      <c r="D13270" s="19" t="s">
        <v>28670</v>
      </c>
      <c r="E13270" s="19" t="s">
        <v>35453</v>
      </c>
      <c r="F13270" s="19" t="s">
        <v>36022</v>
      </c>
      <c r="G13270" s="18" t="str">
        <f>"98366"</f>
        <v>98366</v>
      </c>
      <c r="H13270" s="19" t="s">
        <v>36901</v>
      </c>
      <c r="I13270" s="20">
        <v>16.481999999999999</v>
      </c>
      <c r="J13270" s="44" t="s">
        <v>8</v>
      </c>
      <c r="K13270" s="23" t="s">
        <v>8</v>
      </c>
      <c r="L13270" s="23" t="s">
        <v>8</v>
      </c>
      <c r="M13270" s="23" t="s">
        <v>8</v>
      </c>
    </row>
    <row r="13271" spans="1:13" s="21" customFormat="1" x14ac:dyDescent="0.25">
      <c r="A13271" s="22" t="s">
        <v>8</v>
      </c>
      <c r="B13271" s="18" t="str">
        <f>"505211"</f>
        <v>505211</v>
      </c>
      <c r="C13271" s="19" t="s">
        <v>13046</v>
      </c>
      <c r="D13271" s="19" t="s">
        <v>28671</v>
      </c>
      <c r="E13271" s="19" t="s">
        <v>35454</v>
      </c>
      <c r="F13271" s="19" t="s">
        <v>36022</v>
      </c>
      <c r="G13271" s="18" t="str">
        <f>"98372"</f>
        <v>98372</v>
      </c>
      <c r="H13271" s="19" t="s">
        <v>33791</v>
      </c>
      <c r="I13271" s="20">
        <v>17.47</v>
      </c>
      <c r="J13271" s="44" t="s">
        <v>8</v>
      </c>
      <c r="K13271" s="23" t="s">
        <v>8</v>
      </c>
      <c r="L13271" s="23" t="s">
        <v>8</v>
      </c>
      <c r="M13271" s="23" t="s">
        <v>8</v>
      </c>
    </row>
    <row r="13272" spans="1:13" s="21" customFormat="1" x14ac:dyDescent="0.25">
      <c r="A13272" s="22" t="s">
        <v>8</v>
      </c>
      <c r="B13272" s="18" t="str">
        <f>"505214"</f>
        <v>505214</v>
      </c>
      <c r="C13272" s="19" t="s">
        <v>13047</v>
      </c>
      <c r="D13272" s="19" t="s">
        <v>28672</v>
      </c>
      <c r="E13272" s="19" t="s">
        <v>35433</v>
      </c>
      <c r="F13272" s="19" t="s">
        <v>36022</v>
      </c>
      <c r="G13272" s="18" t="str">
        <f>"98133"</f>
        <v>98133</v>
      </c>
      <c r="H13272" s="19" t="s">
        <v>34327</v>
      </c>
      <c r="I13272" s="20">
        <v>19.071000000000002</v>
      </c>
      <c r="J13272" s="44" t="s">
        <v>8</v>
      </c>
      <c r="K13272" s="23" t="s">
        <v>8</v>
      </c>
      <c r="L13272" s="23" t="s">
        <v>8</v>
      </c>
      <c r="M13272" s="23" t="s">
        <v>8</v>
      </c>
    </row>
    <row r="13273" spans="1:13" s="21" customFormat="1" x14ac:dyDescent="0.25">
      <c r="A13273" s="22" t="s">
        <v>8</v>
      </c>
      <c r="B13273" s="18" t="str">
        <f>"505216"</f>
        <v>505216</v>
      </c>
      <c r="C13273" s="19" t="s">
        <v>13048</v>
      </c>
      <c r="D13273" s="19" t="s">
        <v>28673</v>
      </c>
      <c r="E13273" s="19" t="s">
        <v>35455</v>
      </c>
      <c r="F13273" s="19" t="s">
        <v>36022</v>
      </c>
      <c r="G13273" s="18" t="str">
        <f>"98221"</f>
        <v>98221</v>
      </c>
      <c r="H13273" s="19" t="s">
        <v>36904</v>
      </c>
      <c r="I13273" s="20">
        <v>17.762</v>
      </c>
      <c r="J13273" s="44" t="s">
        <v>8</v>
      </c>
      <c r="K13273" s="23" t="s">
        <v>8</v>
      </c>
      <c r="L13273" s="23" t="s">
        <v>8</v>
      </c>
      <c r="M13273" s="23" t="s">
        <v>8</v>
      </c>
    </row>
    <row r="13274" spans="1:13" s="21" customFormat="1" x14ac:dyDescent="0.25">
      <c r="A13274" s="22" t="s">
        <v>8</v>
      </c>
      <c r="B13274" s="18" t="str">
        <f>"505217"</f>
        <v>505217</v>
      </c>
      <c r="C13274" s="19" t="s">
        <v>13049</v>
      </c>
      <c r="D13274" s="19" t="s">
        <v>28674</v>
      </c>
      <c r="E13274" s="19" t="s">
        <v>35453</v>
      </c>
      <c r="F13274" s="19" t="s">
        <v>36022</v>
      </c>
      <c r="G13274" s="18" t="str">
        <f>"98366"</f>
        <v>98366</v>
      </c>
      <c r="H13274" s="19" t="s">
        <v>36901</v>
      </c>
      <c r="I13274" s="20">
        <v>17.795000000000002</v>
      </c>
      <c r="J13274" s="44" t="s">
        <v>8</v>
      </c>
      <c r="K13274" s="23" t="s">
        <v>8</v>
      </c>
      <c r="L13274" s="23" t="s">
        <v>8</v>
      </c>
      <c r="M13274" s="23" t="s">
        <v>8</v>
      </c>
    </row>
    <row r="13275" spans="1:13" s="21" customFormat="1" x14ac:dyDescent="0.25">
      <c r="A13275" s="22" t="s">
        <v>8</v>
      </c>
      <c r="B13275" s="18" t="str">
        <f>"505223"</f>
        <v>505223</v>
      </c>
      <c r="C13275" s="19" t="s">
        <v>13050</v>
      </c>
      <c r="D13275" s="19" t="s">
        <v>28675</v>
      </c>
      <c r="E13275" s="19" t="s">
        <v>35441</v>
      </c>
      <c r="F13275" s="19" t="s">
        <v>36022</v>
      </c>
      <c r="G13275" s="18" t="str">
        <f>"98225"</f>
        <v>98225</v>
      </c>
      <c r="H13275" s="19" t="s">
        <v>36900</v>
      </c>
      <c r="I13275" s="20">
        <v>19.433</v>
      </c>
      <c r="J13275" s="44" t="s">
        <v>8</v>
      </c>
      <c r="K13275" s="23" t="s">
        <v>8</v>
      </c>
      <c r="L13275" s="23" t="s">
        <v>8</v>
      </c>
      <c r="M13275" s="23" t="s">
        <v>8</v>
      </c>
    </row>
    <row r="13276" spans="1:13" s="21" customFormat="1" x14ac:dyDescent="0.25">
      <c r="A13276" s="22" t="s">
        <v>8</v>
      </c>
      <c r="B13276" s="18" t="str">
        <f>"505226"</f>
        <v>505226</v>
      </c>
      <c r="C13276" s="19" t="s">
        <v>13051</v>
      </c>
      <c r="D13276" s="19" t="s">
        <v>28676</v>
      </c>
      <c r="E13276" s="19" t="s">
        <v>35456</v>
      </c>
      <c r="F13276" s="19" t="s">
        <v>36022</v>
      </c>
      <c r="G13276" s="18" t="str">
        <f>"98944"</f>
        <v>98944</v>
      </c>
      <c r="H13276" s="19" t="s">
        <v>35434</v>
      </c>
      <c r="I13276" s="20">
        <v>14.509</v>
      </c>
      <c r="J13276" s="44" t="s">
        <v>8</v>
      </c>
      <c r="K13276" s="23" t="s">
        <v>8</v>
      </c>
      <c r="L13276" s="23" t="s">
        <v>8</v>
      </c>
      <c r="M13276" s="23" t="s">
        <v>8</v>
      </c>
    </row>
    <row r="13277" spans="1:13" s="21" customFormat="1" x14ac:dyDescent="0.25">
      <c r="A13277" s="22" t="s">
        <v>8</v>
      </c>
      <c r="B13277" s="18" t="str">
        <f>"505230"</f>
        <v>505230</v>
      </c>
      <c r="C13277" s="19" t="s">
        <v>13052</v>
      </c>
      <c r="D13277" s="19" t="s">
        <v>28677</v>
      </c>
      <c r="E13277" s="19" t="s">
        <v>31399</v>
      </c>
      <c r="F13277" s="19" t="s">
        <v>36022</v>
      </c>
      <c r="G13277" s="18" t="str">
        <f>"98584"</f>
        <v>98584</v>
      </c>
      <c r="H13277" s="19" t="s">
        <v>34550</v>
      </c>
      <c r="I13277" s="20">
        <v>18.527999999999999</v>
      </c>
      <c r="J13277" s="44" t="s">
        <v>8</v>
      </c>
      <c r="K13277" s="23" t="s">
        <v>8</v>
      </c>
      <c r="L13277" s="23" t="s">
        <v>8</v>
      </c>
      <c r="M13277" s="23" t="s">
        <v>8</v>
      </c>
    </row>
    <row r="13278" spans="1:13" s="21" customFormat="1" x14ac:dyDescent="0.25">
      <c r="A13278" s="22" t="s">
        <v>8</v>
      </c>
      <c r="B13278" s="18" t="str">
        <f>"505232"</f>
        <v>505232</v>
      </c>
      <c r="C13278" s="19" t="s">
        <v>13053</v>
      </c>
      <c r="D13278" s="19" t="s">
        <v>28678</v>
      </c>
      <c r="E13278" s="19" t="s">
        <v>31202</v>
      </c>
      <c r="F13278" s="19" t="s">
        <v>36022</v>
      </c>
      <c r="G13278" s="18" t="str">
        <f>"98674"</f>
        <v>98674</v>
      </c>
      <c r="H13278" s="19" t="s">
        <v>36905</v>
      </c>
      <c r="I13278" s="20">
        <v>16.404</v>
      </c>
      <c r="J13278" s="44" t="s">
        <v>8</v>
      </c>
      <c r="K13278" s="23" t="s">
        <v>8</v>
      </c>
      <c r="L13278" s="23" t="s">
        <v>8</v>
      </c>
      <c r="M13278" s="23" t="s">
        <v>8</v>
      </c>
    </row>
    <row r="13279" spans="1:13" s="21" customFormat="1" x14ac:dyDescent="0.25">
      <c r="A13279" s="22" t="s">
        <v>8</v>
      </c>
      <c r="B13279" s="18" t="str">
        <f>"505236"</f>
        <v>505236</v>
      </c>
      <c r="C13279" s="19" t="s">
        <v>13054</v>
      </c>
      <c r="D13279" s="19" t="s">
        <v>28679</v>
      </c>
      <c r="E13279" s="19" t="s">
        <v>35457</v>
      </c>
      <c r="F13279" s="19" t="s">
        <v>36022</v>
      </c>
      <c r="G13279" s="18" t="str">
        <f>"98026"</f>
        <v>98026</v>
      </c>
      <c r="H13279" s="19" t="s">
        <v>35477</v>
      </c>
      <c r="I13279" s="20">
        <v>18.419</v>
      </c>
      <c r="J13279" s="44" t="s">
        <v>8</v>
      </c>
      <c r="K13279" s="23" t="s">
        <v>8</v>
      </c>
      <c r="L13279" s="23" t="s">
        <v>8</v>
      </c>
      <c r="M13279" s="23" t="s">
        <v>8</v>
      </c>
    </row>
    <row r="13280" spans="1:13" s="21" customFormat="1" x14ac:dyDescent="0.25">
      <c r="A13280" s="22" t="s">
        <v>8</v>
      </c>
      <c r="B13280" s="18" t="str">
        <f>"505239"</f>
        <v>505239</v>
      </c>
      <c r="C13280" s="19" t="s">
        <v>13055</v>
      </c>
      <c r="D13280" s="19" t="s">
        <v>28680</v>
      </c>
      <c r="E13280" s="19" t="s">
        <v>35442</v>
      </c>
      <c r="F13280" s="19" t="s">
        <v>36022</v>
      </c>
      <c r="G13280" s="18" t="str">
        <f>"98405"</f>
        <v>98405</v>
      </c>
      <c r="H13280" s="19" t="s">
        <v>33791</v>
      </c>
      <c r="I13280" s="20">
        <v>16.02</v>
      </c>
      <c r="J13280" s="44" t="s">
        <v>8</v>
      </c>
      <c r="K13280" s="23" t="s">
        <v>8</v>
      </c>
      <c r="L13280" s="23" t="s">
        <v>8</v>
      </c>
      <c r="M13280" s="23" t="s">
        <v>8</v>
      </c>
    </row>
    <row r="13281" spans="1:13" s="21" customFormat="1" x14ac:dyDescent="0.25">
      <c r="A13281" s="22" t="s">
        <v>8</v>
      </c>
      <c r="B13281" s="18" t="str">
        <f>"505240"</f>
        <v>505240</v>
      </c>
      <c r="C13281" s="19" t="s">
        <v>13056</v>
      </c>
      <c r="D13281" s="19" t="s">
        <v>28681</v>
      </c>
      <c r="E13281" s="19" t="s">
        <v>35445</v>
      </c>
      <c r="F13281" s="19" t="s">
        <v>36022</v>
      </c>
      <c r="G13281" s="18" t="str">
        <f>"98312"</f>
        <v>98312</v>
      </c>
      <c r="H13281" s="19" t="s">
        <v>36901</v>
      </c>
      <c r="I13281" s="20">
        <v>19.861000000000001</v>
      </c>
      <c r="J13281" s="44" t="s">
        <v>8</v>
      </c>
      <c r="K13281" s="23" t="s">
        <v>8</v>
      </c>
      <c r="L13281" s="23" t="s">
        <v>8</v>
      </c>
      <c r="M13281" s="23" t="s">
        <v>8</v>
      </c>
    </row>
    <row r="13282" spans="1:13" s="21" customFormat="1" x14ac:dyDescent="0.25">
      <c r="A13282" s="22" t="s">
        <v>8</v>
      </c>
      <c r="B13282" s="18" t="str">
        <f>"505243"</f>
        <v>505243</v>
      </c>
      <c r="C13282" s="19" t="s">
        <v>13057</v>
      </c>
      <c r="D13282" s="19" t="s">
        <v>28682</v>
      </c>
      <c r="E13282" s="19" t="s">
        <v>35458</v>
      </c>
      <c r="F13282" s="19" t="s">
        <v>36022</v>
      </c>
      <c r="G13282" s="18" t="str">
        <f>"98506"</f>
        <v>98506</v>
      </c>
      <c r="H13282" s="19" t="s">
        <v>36562</v>
      </c>
      <c r="I13282" s="20">
        <v>15.727</v>
      </c>
      <c r="J13282" s="44" t="s">
        <v>8</v>
      </c>
      <c r="K13282" s="23" t="s">
        <v>8</v>
      </c>
      <c r="L13282" s="23" t="s">
        <v>8</v>
      </c>
      <c r="M13282" s="23" t="s">
        <v>8</v>
      </c>
    </row>
    <row r="13283" spans="1:13" s="21" customFormat="1" x14ac:dyDescent="0.25">
      <c r="A13283" s="22" t="s">
        <v>8</v>
      </c>
      <c r="B13283" s="18" t="str">
        <f>"505246"</f>
        <v>505246</v>
      </c>
      <c r="C13283" s="19" t="s">
        <v>13058</v>
      </c>
      <c r="D13283" s="19" t="s">
        <v>28683</v>
      </c>
      <c r="E13283" s="19" t="s">
        <v>35459</v>
      </c>
      <c r="F13283" s="19" t="s">
        <v>36022</v>
      </c>
      <c r="G13283" s="18" t="str">
        <f>"99163"</f>
        <v>99163</v>
      </c>
      <c r="H13283" s="19" t="s">
        <v>36906</v>
      </c>
      <c r="I13283" s="20">
        <v>17.96</v>
      </c>
      <c r="J13283" s="44" t="s">
        <v>8</v>
      </c>
      <c r="K13283" s="23" t="s">
        <v>8</v>
      </c>
      <c r="L13283" s="23" t="s">
        <v>8</v>
      </c>
      <c r="M13283" s="23" t="s">
        <v>8</v>
      </c>
    </row>
    <row r="13284" spans="1:13" s="21" customFormat="1" x14ac:dyDescent="0.25">
      <c r="A13284" s="22" t="s">
        <v>8</v>
      </c>
      <c r="B13284" s="18" t="str">
        <f>"505251"</f>
        <v>505251</v>
      </c>
      <c r="C13284" s="19" t="s">
        <v>13059</v>
      </c>
      <c r="D13284" s="19" t="s">
        <v>28684</v>
      </c>
      <c r="E13284" s="19" t="s">
        <v>32141</v>
      </c>
      <c r="F13284" s="19" t="s">
        <v>36022</v>
      </c>
      <c r="G13284" s="18" t="str">
        <f>"99111"</f>
        <v>99111</v>
      </c>
      <c r="H13284" s="19" t="s">
        <v>36906</v>
      </c>
      <c r="I13284" s="20">
        <v>17.303000000000001</v>
      </c>
      <c r="J13284" s="44" t="s">
        <v>8</v>
      </c>
      <c r="K13284" s="23" t="s">
        <v>8</v>
      </c>
      <c r="L13284" s="23" t="s">
        <v>8</v>
      </c>
      <c r="M13284" s="23" t="s">
        <v>8</v>
      </c>
    </row>
    <row r="13285" spans="1:13" s="21" customFormat="1" x14ac:dyDescent="0.25">
      <c r="A13285" s="22" t="s">
        <v>8</v>
      </c>
      <c r="B13285" s="18" t="str">
        <f>"505252"</f>
        <v>505252</v>
      </c>
      <c r="C13285" s="19" t="s">
        <v>13060</v>
      </c>
      <c r="D13285" s="19" t="s">
        <v>28685</v>
      </c>
      <c r="E13285" s="19" t="s">
        <v>35460</v>
      </c>
      <c r="F13285" s="19" t="s">
        <v>36022</v>
      </c>
      <c r="G13285" s="18" t="str">
        <f>"98146"</f>
        <v>98146</v>
      </c>
      <c r="H13285" s="19" t="s">
        <v>34327</v>
      </c>
      <c r="I13285" s="20">
        <v>16.882999999999999</v>
      </c>
      <c r="J13285" s="44" t="s">
        <v>8</v>
      </c>
      <c r="K13285" s="23" t="s">
        <v>8</v>
      </c>
      <c r="L13285" s="23" t="s">
        <v>8</v>
      </c>
      <c r="M13285" s="23" t="s">
        <v>8</v>
      </c>
    </row>
    <row r="13286" spans="1:13" s="21" customFormat="1" x14ac:dyDescent="0.25">
      <c r="A13286" s="22" t="s">
        <v>8</v>
      </c>
      <c r="B13286" s="18" t="str">
        <f>"505254"</f>
        <v>505254</v>
      </c>
      <c r="C13286" s="19" t="s">
        <v>13061</v>
      </c>
      <c r="D13286" s="19" t="s">
        <v>28686</v>
      </c>
      <c r="E13286" s="19" t="s">
        <v>35436</v>
      </c>
      <c r="F13286" s="19" t="s">
        <v>36022</v>
      </c>
      <c r="G13286" s="18" t="str">
        <f>"98503"</f>
        <v>98503</v>
      </c>
      <c r="H13286" s="19" t="s">
        <v>36562</v>
      </c>
      <c r="I13286" s="20">
        <v>18.297999999999998</v>
      </c>
      <c r="J13286" s="44" t="s">
        <v>8</v>
      </c>
      <c r="K13286" s="23" t="s">
        <v>8</v>
      </c>
      <c r="L13286" s="23" t="s">
        <v>8</v>
      </c>
      <c r="M13286" s="23" t="s">
        <v>8</v>
      </c>
    </row>
    <row r="13287" spans="1:13" s="21" customFormat="1" x14ac:dyDescent="0.25">
      <c r="A13287" s="22" t="s">
        <v>8</v>
      </c>
      <c r="B13287" s="18" t="str">
        <f>"505255"</f>
        <v>505255</v>
      </c>
      <c r="C13287" s="19" t="s">
        <v>13062</v>
      </c>
      <c r="D13287" s="19" t="s">
        <v>28687</v>
      </c>
      <c r="E13287" s="19" t="s">
        <v>35461</v>
      </c>
      <c r="F13287" s="19" t="s">
        <v>36022</v>
      </c>
      <c r="G13287" s="18" t="str">
        <f>"99344"</f>
        <v>99344</v>
      </c>
      <c r="H13287" s="19" t="s">
        <v>33467</v>
      </c>
      <c r="I13287" s="20">
        <v>18.489999999999998</v>
      </c>
      <c r="J13287" s="44" t="s">
        <v>8</v>
      </c>
      <c r="K13287" s="23" t="s">
        <v>8</v>
      </c>
      <c r="L13287" s="23" t="s">
        <v>8</v>
      </c>
      <c r="M13287" s="23" t="s">
        <v>8</v>
      </c>
    </row>
    <row r="13288" spans="1:13" s="21" customFormat="1" x14ac:dyDescent="0.25">
      <c r="A13288" s="22" t="s">
        <v>8</v>
      </c>
      <c r="B13288" s="18" t="str">
        <f>"505257"</f>
        <v>505257</v>
      </c>
      <c r="C13288" s="19" t="s">
        <v>13063</v>
      </c>
      <c r="D13288" s="19" t="s">
        <v>28688</v>
      </c>
      <c r="E13288" s="19" t="s">
        <v>35435</v>
      </c>
      <c r="F13288" s="19" t="s">
        <v>36022</v>
      </c>
      <c r="G13288" s="18" t="str">
        <f>"99202"</f>
        <v>99202</v>
      </c>
      <c r="H13288" s="19" t="s">
        <v>35435</v>
      </c>
      <c r="I13288" s="20">
        <v>17.061</v>
      </c>
      <c r="J13288" s="44" t="s">
        <v>8</v>
      </c>
      <c r="K13288" s="23" t="s">
        <v>8</v>
      </c>
      <c r="L13288" s="23" t="s">
        <v>8</v>
      </c>
      <c r="M13288" s="23" t="s">
        <v>8</v>
      </c>
    </row>
    <row r="13289" spans="1:13" s="21" customFormat="1" x14ac:dyDescent="0.25">
      <c r="A13289" s="22" t="s">
        <v>8</v>
      </c>
      <c r="B13289" s="18" t="str">
        <f>"505260"</f>
        <v>505260</v>
      </c>
      <c r="C13289" s="19" t="s">
        <v>13064</v>
      </c>
      <c r="D13289" s="19" t="s">
        <v>28689</v>
      </c>
      <c r="E13289" s="19" t="s">
        <v>35452</v>
      </c>
      <c r="F13289" s="19" t="s">
        <v>36022</v>
      </c>
      <c r="G13289" s="18" t="str">
        <f>"98664"</f>
        <v>98664</v>
      </c>
      <c r="H13289" s="19" t="s">
        <v>33967</v>
      </c>
      <c r="I13289" s="20">
        <v>19.48</v>
      </c>
      <c r="J13289" s="44" t="s">
        <v>8</v>
      </c>
      <c r="K13289" s="23" t="s">
        <v>8</v>
      </c>
      <c r="L13289" s="23" t="s">
        <v>8</v>
      </c>
      <c r="M13289" s="23" t="s">
        <v>8</v>
      </c>
    </row>
    <row r="13290" spans="1:13" s="21" customFormat="1" x14ac:dyDescent="0.25">
      <c r="A13290" s="22" t="s">
        <v>8</v>
      </c>
      <c r="B13290" s="18" t="str">
        <f>"505261"</f>
        <v>505261</v>
      </c>
      <c r="C13290" s="19" t="s">
        <v>13065</v>
      </c>
      <c r="D13290" s="19" t="s">
        <v>28690</v>
      </c>
      <c r="E13290" s="19" t="s">
        <v>35462</v>
      </c>
      <c r="F13290" s="19" t="s">
        <v>36022</v>
      </c>
      <c r="G13290" s="18" t="str">
        <f>"98837"</f>
        <v>98837</v>
      </c>
      <c r="H13290" s="19" t="s">
        <v>36078</v>
      </c>
      <c r="I13290" s="20">
        <v>18.609000000000002</v>
      </c>
      <c r="J13290" s="44" t="s">
        <v>8</v>
      </c>
      <c r="K13290" s="23" t="s">
        <v>8</v>
      </c>
      <c r="L13290" s="23" t="s">
        <v>8</v>
      </c>
      <c r="M13290" s="23" t="s">
        <v>8</v>
      </c>
    </row>
    <row r="13291" spans="1:13" s="21" customFormat="1" x14ac:dyDescent="0.25">
      <c r="A13291" s="22" t="s">
        <v>8</v>
      </c>
      <c r="B13291" s="18" t="str">
        <f>"505262"</f>
        <v>505262</v>
      </c>
      <c r="C13291" s="19" t="s">
        <v>13066</v>
      </c>
      <c r="D13291" s="19" t="s">
        <v>28691</v>
      </c>
      <c r="E13291" s="19" t="s">
        <v>35433</v>
      </c>
      <c r="F13291" s="19" t="s">
        <v>36022</v>
      </c>
      <c r="G13291" s="18" t="str">
        <f>"98155"</f>
        <v>98155</v>
      </c>
      <c r="H13291" s="19" t="s">
        <v>34327</v>
      </c>
      <c r="I13291" s="20">
        <v>17.503</v>
      </c>
      <c r="J13291" s="44" t="s">
        <v>8</v>
      </c>
      <c r="K13291" s="23" t="s">
        <v>8</v>
      </c>
      <c r="L13291" s="23" t="s">
        <v>8</v>
      </c>
      <c r="M13291" s="23" t="s">
        <v>8</v>
      </c>
    </row>
    <row r="13292" spans="1:13" s="21" customFormat="1" x14ac:dyDescent="0.25">
      <c r="A13292" s="22" t="s">
        <v>8</v>
      </c>
      <c r="B13292" s="18" t="str">
        <f>"505263"</f>
        <v>505263</v>
      </c>
      <c r="C13292" s="19" t="s">
        <v>13067</v>
      </c>
      <c r="D13292" s="19" t="s">
        <v>28692</v>
      </c>
      <c r="E13292" s="19" t="s">
        <v>35463</v>
      </c>
      <c r="F13292" s="19" t="s">
        <v>36022</v>
      </c>
      <c r="G13292" s="18" t="str">
        <f>"98926"</f>
        <v>98926</v>
      </c>
      <c r="H13292" s="19" t="s">
        <v>36907</v>
      </c>
      <c r="I13292" s="20">
        <v>18.539000000000001</v>
      </c>
      <c r="J13292" s="44" t="s">
        <v>8</v>
      </c>
      <c r="K13292" s="23" t="s">
        <v>8</v>
      </c>
      <c r="L13292" s="23" t="s">
        <v>8</v>
      </c>
      <c r="M13292" s="23" t="s">
        <v>8</v>
      </c>
    </row>
    <row r="13293" spans="1:13" s="21" customFormat="1" x14ac:dyDescent="0.25">
      <c r="A13293" s="22" t="s">
        <v>8</v>
      </c>
      <c r="B13293" s="18" t="str">
        <f>"505264"</f>
        <v>505264</v>
      </c>
      <c r="C13293" s="19" t="s">
        <v>13068</v>
      </c>
      <c r="D13293" s="19" t="s">
        <v>28693</v>
      </c>
      <c r="E13293" s="19" t="s">
        <v>35442</v>
      </c>
      <c r="F13293" s="19" t="s">
        <v>36022</v>
      </c>
      <c r="G13293" s="18" t="str">
        <f>"98404"</f>
        <v>98404</v>
      </c>
      <c r="H13293" s="19" t="s">
        <v>33791</v>
      </c>
      <c r="I13293" s="20">
        <v>17.347000000000001</v>
      </c>
      <c r="J13293" s="44" t="s">
        <v>8</v>
      </c>
      <c r="K13293" s="23" t="s">
        <v>8</v>
      </c>
      <c r="L13293" s="23" t="s">
        <v>8</v>
      </c>
      <c r="M13293" s="23" t="s">
        <v>8</v>
      </c>
    </row>
    <row r="13294" spans="1:13" s="21" customFormat="1" x14ac:dyDescent="0.25">
      <c r="A13294" s="22" t="s">
        <v>8</v>
      </c>
      <c r="B13294" s="18" t="str">
        <f>"505265"</f>
        <v>505265</v>
      </c>
      <c r="C13294" s="19" t="s">
        <v>13069</v>
      </c>
      <c r="D13294" s="19" t="s">
        <v>28694</v>
      </c>
      <c r="E13294" s="19" t="s">
        <v>35464</v>
      </c>
      <c r="F13294" s="19" t="s">
        <v>36022</v>
      </c>
      <c r="G13294" s="18" t="str">
        <f>"98951"</f>
        <v>98951</v>
      </c>
      <c r="H13294" s="19" t="s">
        <v>35434</v>
      </c>
      <c r="I13294" s="20">
        <v>18.125</v>
      </c>
      <c r="J13294" s="44" t="s">
        <v>8</v>
      </c>
      <c r="K13294" s="23" t="s">
        <v>8</v>
      </c>
      <c r="L13294" s="23" t="s">
        <v>8</v>
      </c>
      <c r="M13294" s="23" t="s">
        <v>8</v>
      </c>
    </row>
    <row r="13295" spans="1:13" s="21" customFormat="1" x14ac:dyDescent="0.25">
      <c r="A13295" s="22" t="s">
        <v>8</v>
      </c>
      <c r="B13295" s="18" t="str">
        <f>"505269"</f>
        <v>505269</v>
      </c>
      <c r="C13295" s="19" t="s">
        <v>13070</v>
      </c>
      <c r="D13295" s="19" t="s">
        <v>28695</v>
      </c>
      <c r="E13295" s="19" t="s">
        <v>35452</v>
      </c>
      <c r="F13295" s="19" t="s">
        <v>36022</v>
      </c>
      <c r="G13295" s="18" t="str">
        <f>"98664"</f>
        <v>98664</v>
      </c>
      <c r="H13295" s="19" t="s">
        <v>33967</v>
      </c>
      <c r="I13295" s="20">
        <v>19.866</v>
      </c>
      <c r="J13295" s="44" t="s">
        <v>8</v>
      </c>
      <c r="K13295" s="23" t="s">
        <v>8</v>
      </c>
      <c r="L13295" s="23" t="s">
        <v>8</v>
      </c>
      <c r="M13295" s="23" t="s">
        <v>8</v>
      </c>
    </row>
    <row r="13296" spans="1:13" s="21" customFormat="1" x14ac:dyDescent="0.25">
      <c r="A13296" s="22" t="s">
        <v>8</v>
      </c>
      <c r="B13296" s="18" t="str">
        <f>"505270"</f>
        <v>505270</v>
      </c>
      <c r="C13296" s="19" t="s">
        <v>13071</v>
      </c>
      <c r="D13296" s="19" t="s">
        <v>28696</v>
      </c>
      <c r="E13296" s="19" t="s">
        <v>35433</v>
      </c>
      <c r="F13296" s="19" t="s">
        <v>36022</v>
      </c>
      <c r="G13296" s="18" t="str">
        <f>"98116"</f>
        <v>98116</v>
      </c>
      <c r="H13296" s="19" t="s">
        <v>34327</v>
      </c>
      <c r="I13296" s="20">
        <v>14.74</v>
      </c>
      <c r="J13296" s="44" t="s">
        <v>8</v>
      </c>
      <c r="K13296" s="23" t="s">
        <v>8</v>
      </c>
      <c r="L13296" s="23" t="s">
        <v>8</v>
      </c>
      <c r="M13296" s="23" t="s">
        <v>8</v>
      </c>
    </row>
    <row r="13297" spans="1:13" s="21" customFormat="1" x14ac:dyDescent="0.25">
      <c r="A13297" s="22" t="s">
        <v>8</v>
      </c>
      <c r="B13297" s="18" t="str">
        <f>"505271"</f>
        <v>505271</v>
      </c>
      <c r="C13297" s="19" t="s">
        <v>13072</v>
      </c>
      <c r="D13297" s="19" t="s">
        <v>28697</v>
      </c>
      <c r="E13297" s="19" t="s">
        <v>35442</v>
      </c>
      <c r="F13297" s="19" t="s">
        <v>36022</v>
      </c>
      <c r="G13297" s="18" t="str">
        <f>"98498"</f>
        <v>98498</v>
      </c>
      <c r="H13297" s="19" t="s">
        <v>33791</v>
      </c>
      <c r="I13297" s="20">
        <v>19.631</v>
      </c>
      <c r="J13297" s="44" t="s">
        <v>8</v>
      </c>
      <c r="K13297" s="23" t="s">
        <v>8</v>
      </c>
      <c r="L13297" s="23" t="s">
        <v>8</v>
      </c>
      <c r="M13297" s="23" t="s">
        <v>8</v>
      </c>
    </row>
    <row r="13298" spans="1:13" s="21" customFormat="1" x14ac:dyDescent="0.25">
      <c r="A13298" s="22" t="s">
        <v>8</v>
      </c>
      <c r="B13298" s="18" t="str">
        <f>"505272"</f>
        <v>505272</v>
      </c>
      <c r="C13298" s="19" t="s">
        <v>13073</v>
      </c>
      <c r="D13298" s="19" t="s">
        <v>28698</v>
      </c>
      <c r="E13298" s="19" t="s">
        <v>32023</v>
      </c>
      <c r="F13298" s="19" t="s">
        <v>36022</v>
      </c>
      <c r="G13298" s="18" t="str">
        <f>"98273"</f>
        <v>98273</v>
      </c>
      <c r="H13298" s="19" t="s">
        <v>36904</v>
      </c>
      <c r="I13298" s="20">
        <v>17.687000000000001</v>
      </c>
      <c r="J13298" s="44" t="s">
        <v>8</v>
      </c>
      <c r="K13298" s="23" t="s">
        <v>8</v>
      </c>
      <c r="L13298" s="23" t="s">
        <v>8</v>
      </c>
      <c r="M13298" s="23" t="s">
        <v>8</v>
      </c>
    </row>
    <row r="13299" spans="1:13" s="21" customFormat="1" x14ac:dyDescent="0.25">
      <c r="A13299" s="22" t="s">
        <v>8</v>
      </c>
      <c r="B13299" s="18" t="str">
        <f>"505273"</f>
        <v>505273</v>
      </c>
      <c r="C13299" s="19" t="s">
        <v>13074</v>
      </c>
      <c r="D13299" s="19" t="s">
        <v>28699</v>
      </c>
      <c r="E13299" s="19" t="s">
        <v>35465</v>
      </c>
      <c r="F13299" s="19" t="s">
        <v>36022</v>
      </c>
      <c r="G13299" s="18" t="str">
        <f>"98607"</f>
        <v>98607</v>
      </c>
      <c r="H13299" s="19" t="s">
        <v>33967</v>
      </c>
      <c r="I13299" s="20">
        <v>18.984999999999999</v>
      </c>
      <c r="J13299" s="44" t="s">
        <v>8</v>
      </c>
      <c r="K13299" s="23" t="s">
        <v>8</v>
      </c>
      <c r="L13299" s="23" t="s">
        <v>8</v>
      </c>
      <c r="M13299" s="23" t="s">
        <v>8</v>
      </c>
    </row>
    <row r="13300" spans="1:13" s="21" customFormat="1" x14ac:dyDescent="0.25">
      <c r="A13300" s="22" t="s">
        <v>8</v>
      </c>
      <c r="B13300" s="18" t="str">
        <f>"505275"</f>
        <v>505275</v>
      </c>
      <c r="C13300" s="19" t="s">
        <v>13075</v>
      </c>
      <c r="D13300" s="19" t="s">
        <v>28700</v>
      </c>
      <c r="E13300" s="19" t="s">
        <v>35466</v>
      </c>
      <c r="F13300" s="19" t="s">
        <v>36022</v>
      </c>
      <c r="G13300" s="18" t="str">
        <f>"99114"</f>
        <v>99114</v>
      </c>
      <c r="H13300" s="19" t="s">
        <v>34934</v>
      </c>
      <c r="I13300" s="20">
        <v>18.343</v>
      </c>
      <c r="J13300" s="44" t="s">
        <v>8</v>
      </c>
      <c r="K13300" s="23" t="s">
        <v>8</v>
      </c>
      <c r="L13300" s="23" t="s">
        <v>8</v>
      </c>
      <c r="M13300" s="23" t="s">
        <v>8</v>
      </c>
    </row>
    <row r="13301" spans="1:13" s="21" customFormat="1" x14ac:dyDescent="0.25">
      <c r="A13301" s="22" t="s">
        <v>8</v>
      </c>
      <c r="B13301" s="18" t="str">
        <f>"505276"</f>
        <v>505276</v>
      </c>
      <c r="C13301" s="19" t="s">
        <v>13076</v>
      </c>
      <c r="D13301" s="19" t="s">
        <v>28701</v>
      </c>
      <c r="E13301" s="19" t="s">
        <v>35263</v>
      </c>
      <c r="F13301" s="19" t="s">
        <v>36022</v>
      </c>
      <c r="G13301" s="18" t="str">
        <f>"98632"</f>
        <v>98632</v>
      </c>
      <c r="H13301" s="19" t="s">
        <v>36905</v>
      </c>
      <c r="I13301" s="20">
        <v>17.873999999999999</v>
      </c>
      <c r="J13301" s="44" t="s">
        <v>8</v>
      </c>
      <c r="K13301" s="23" t="s">
        <v>8</v>
      </c>
      <c r="L13301" s="23" t="s">
        <v>8</v>
      </c>
      <c r="M13301" s="23" t="s">
        <v>8</v>
      </c>
    </row>
    <row r="13302" spans="1:13" s="21" customFormat="1" x14ac:dyDescent="0.25">
      <c r="A13302" s="22" t="s">
        <v>8</v>
      </c>
      <c r="B13302" s="18" t="str">
        <f>"505278"</f>
        <v>505278</v>
      </c>
      <c r="C13302" s="19" t="s">
        <v>13077</v>
      </c>
      <c r="D13302" s="19" t="s">
        <v>28702</v>
      </c>
      <c r="E13302" s="19" t="s">
        <v>35433</v>
      </c>
      <c r="F13302" s="19" t="s">
        <v>36022</v>
      </c>
      <c r="G13302" s="18" t="str">
        <f>"98133"</f>
        <v>98133</v>
      </c>
      <c r="H13302" s="19" t="s">
        <v>34327</v>
      </c>
      <c r="I13302" s="20">
        <v>17.065999999999999</v>
      </c>
      <c r="J13302" s="44" t="s">
        <v>8</v>
      </c>
      <c r="K13302" s="23" t="s">
        <v>8</v>
      </c>
      <c r="L13302" s="23" t="s">
        <v>8</v>
      </c>
      <c r="M13302" s="23" t="s">
        <v>8</v>
      </c>
    </row>
    <row r="13303" spans="1:13" s="21" customFormat="1" x14ac:dyDescent="0.25">
      <c r="A13303" s="22" t="s">
        <v>8</v>
      </c>
      <c r="B13303" s="18" t="str">
        <f>"505280"</f>
        <v>505280</v>
      </c>
      <c r="C13303" s="19" t="s">
        <v>13078</v>
      </c>
      <c r="D13303" s="19" t="s">
        <v>28703</v>
      </c>
      <c r="E13303" s="19" t="s">
        <v>35451</v>
      </c>
      <c r="F13303" s="19" t="s">
        <v>36022</v>
      </c>
      <c r="G13303" s="18" t="str">
        <f>"98057"</f>
        <v>98057</v>
      </c>
      <c r="H13303" s="19" t="s">
        <v>34327</v>
      </c>
      <c r="I13303" s="20">
        <v>19.131</v>
      </c>
      <c r="J13303" s="44" t="s">
        <v>8</v>
      </c>
      <c r="K13303" s="23" t="s">
        <v>8</v>
      </c>
      <c r="L13303" s="23" t="s">
        <v>8</v>
      </c>
      <c r="M13303" s="23" t="s">
        <v>8</v>
      </c>
    </row>
    <row r="13304" spans="1:13" s="21" customFormat="1" x14ac:dyDescent="0.25">
      <c r="A13304" s="22" t="s">
        <v>8</v>
      </c>
      <c r="B13304" s="18" t="str">
        <f>"505282"</f>
        <v>505282</v>
      </c>
      <c r="C13304" s="19" t="s">
        <v>13079</v>
      </c>
      <c r="D13304" s="19" t="s">
        <v>28704</v>
      </c>
      <c r="E13304" s="19" t="s">
        <v>35467</v>
      </c>
      <c r="F13304" s="19" t="s">
        <v>36022</v>
      </c>
      <c r="G13304" s="18" t="str">
        <f>"99169"</f>
        <v>99169</v>
      </c>
      <c r="H13304" s="19" t="s">
        <v>33467</v>
      </c>
      <c r="I13304" s="20">
        <v>17.901</v>
      </c>
      <c r="J13304" s="44" t="s">
        <v>8</v>
      </c>
      <c r="K13304" s="23" t="s">
        <v>8</v>
      </c>
      <c r="L13304" s="23" t="s">
        <v>8</v>
      </c>
      <c r="M13304" s="23" t="s">
        <v>8</v>
      </c>
    </row>
    <row r="13305" spans="1:13" s="21" customFormat="1" x14ac:dyDescent="0.25">
      <c r="A13305" s="22" t="s">
        <v>8</v>
      </c>
      <c r="B13305" s="18" t="str">
        <f>"505283"</f>
        <v>505283</v>
      </c>
      <c r="C13305" s="19" t="s">
        <v>13080</v>
      </c>
      <c r="D13305" s="19" t="s">
        <v>28705</v>
      </c>
      <c r="E13305" s="19" t="s">
        <v>33265</v>
      </c>
      <c r="F13305" s="19" t="s">
        <v>36022</v>
      </c>
      <c r="G13305" s="18" t="str">
        <f>"99403"</f>
        <v>99403</v>
      </c>
      <c r="H13305" s="19" t="s">
        <v>36908</v>
      </c>
      <c r="I13305" s="20">
        <v>18.783000000000001</v>
      </c>
      <c r="J13305" s="44" t="s">
        <v>8</v>
      </c>
      <c r="K13305" s="23" t="s">
        <v>8</v>
      </c>
      <c r="L13305" s="23" t="s">
        <v>8</v>
      </c>
      <c r="M13305" s="23" t="s">
        <v>8</v>
      </c>
    </row>
    <row r="13306" spans="1:13" s="21" customFormat="1" x14ac:dyDescent="0.25">
      <c r="A13306" s="22" t="s">
        <v>8</v>
      </c>
      <c r="B13306" s="18" t="str">
        <f>"505286"</f>
        <v>505286</v>
      </c>
      <c r="C13306" s="19" t="s">
        <v>13081</v>
      </c>
      <c r="D13306" s="19" t="s">
        <v>28706</v>
      </c>
      <c r="E13306" s="19" t="s">
        <v>35463</v>
      </c>
      <c r="F13306" s="19" t="s">
        <v>36022</v>
      </c>
      <c r="G13306" s="18" t="str">
        <f>"98926"</f>
        <v>98926</v>
      </c>
      <c r="H13306" s="19" t="s">
        <v>36907</v>
      </c>
      <c r="I13306" s="20">
        <v>17.547000000000001</v>
      </c>
      <c r="J13306" s="44" t="s">
        <v>8</v>
      </c>
      <c r="K13306" s="23" t="s">
        <v>8</v>
      </c>
      <c r="L13306" s="23" t="s">
        <v>8</v>
      </c>
      <c r="M13306" s="23" t="s">
        <v>8</v>
      </c>
    </row>
    <row r="13307" spans="1:13" s="21" customFormat="1" x14ac:dyDescent="0.25">
      <c r="A13307" s="22" t="s">
        <v>8</v>
      </c>
      <c r="B13307" s="18" t="str">
        <f>"505288"</f>
        <v>505288</v>
      </c>
      <c r="C13307" s="19" t="s">
        <v>13082</v>
      </c>
      <c r="D13307" s="19" t="s">
        <v>28707</v>
      </c>
      <c r="E13307" s="19" t="s">
        <v>35263</v>
      </c>
      <c r="F13307" s="19" t="s">
        <v>36022</v>
      </c>
      <c r="G13307" s="18" t="str">
        <f>"98632"</f>
        <v>98632</v>
      </c>
      <c r="H13307" s="19" t="s">
        <v>36905</v>
      </c>
      <c r="I13307" s="20">
        <v>18.456</v>
      </c>
      <c r="J13307" s="44" t="s">
        <v>8</v>
      </c>
      <c r="K13307" s="23" t="s">
        <v>8</v>
      </c>
      <c r="L13307" s="23" t="s">
        <v>8</v>
      </c>
      <c r="M13307" s="23" t="s">
        <v>8</v>
      </c>
    </row>
    <row r="13308" spans="1:13" s="21" customFormat="1" x14ac:dyDescent="0.25">
      <c r="A13308" s="22" t="s">
        <v>8</v>
      </c>
      <c r="B13308" s="18" t="str">
        <f>"505289"</f>
        <v>505289</v>
      </c>
      <c r="C13308" s="19" t="s">
        <v>13083</v>
      </c>
      <c r="D13308" s="19" t="s">
        <v>28708</v>
      </c>
      <c r="E13308" s="19" t="s">
        <v>35442</v>
      </c>
      <c r="F13308" s="19" t="s">
        <v>36022</v>
      </c>
      <c r="G13308" s="18" t="str">
        <f>"98409"</f>
        <v>98409</v>
      </c>
      <c r="H13308" s="19" t="s">
        <v>33791</v>
      </c>
      <c r="I13308" s="20">
        <v>16.28</v>
      </c>
      <c r="J13308" s="44" t="s">
        <v>8</v>
      </c>
      <c r="K13308" s="23" t="s">
        <v>8</v>
      </c>
      <c r="L13308" s="23" t="s">
        <v>8</v>
      </c>
      <c r="M13308" s="23" t="s">
        <v>8</v>
      </c>
    </row>
    <row r="13309" spans="1:13" s="21" customFormat="1" x14ac:dyDescent="0.25">
      <c r="A13309" s="22" t="s">
        <v>8</v>
      </c>
      <c r="B13309" s="18" t="str">
        <f>"505290"</f>
        <v>505290</v>
      </c>
      <c r="C13309" s="19" t="s">
        <v>13084</v>
      </c>
      <c r="D13309" s="19" t="s">
        <v>28709</v>
      </c>
      <c r="E13309" s="19" t="s">
        <v>35445</v>
      </c>
      <c r="F13309" s="19" t="s">
        <v>36022</v>
      </c>
      <c r="G13309" s="18" t="str">
        <f>"98310"</f>
        <v>98310</v>
      </c>
      <c r="H13309" s="19" t="s">
        <v>36901</v>
      </c>
      <c r="I13309" s="20">
        <v>14.356999999999999</v>
      </c>
      <c r="J13309" s="44" t="s">
        <v>8</v>
      </c>
      <c r="K13309" s="23" t="s">
        <v>8</v>
      </c>
      <c r="L13309" s="23" t="s">
        <v>8</v>
      </c>
      <c r="M13309" s="23" t="s">
        <v>8</v>
      </c>
    </row>
    <row r="13310" spans="1:13" s="21" customFormat="1" x14ac:dyDescent="0.25">
      <c r="A13310" s="22" t="s">
        <v>8</v>
      </c>
      <c r="B13310" s="18" t="str">
        <f>"505291"</f>
        <v>505291</v>
      </c>
      <c r="C13310" s="19" t="s">
        <v>5312</v>
      </c>
      <c r="D13310" s="19" t="s">
        <v>28710</v>
      </c>
      <c r="E13310" s="19" t="s">
        <v>35435</v>
      </c>
      <c r="F13310" s="19" t="s">
        <v>36022</v>
      </c>
      <c r="G13310" s="18" t="str">
        <f>"99207"</f>
        <v>99207</v>
      </c>
      <c r="H13310" s="19" t="s">
        <v>35435</v>
      </c>
      <c r="I13310" s="20">
        <v>14.23</v>
      </c>
      <c r="J13310" s="44" t="s">
        <v>8</v>
      </c>
      <c r="K13310" s="23" t="s">
        <v>8</v>
      </c>
      <c r="L13310" s="23" t="s">
        <v>8</v>
      </c>
      <c r="M13310" s="23" t="s">
        <v>8</v>
      </c>
    </row>
    <row r="13311" spans="1:13" s="21" customFormat="1" x14ac:dyDescent="0.25">
      <c r="A13311" s="22" t="s">
        <v>8</v>
      </c>
      <c r="B13311" s="18" t="str">
        <f>"505294"</f>
        <v>505294</v>
      </c>
      <c r="C13311" s="19" t="s">
        <v>13085</v>
      </c>
      <c r="D13311" s="19" t="s">
        <v>28711</v>
      </c>
      <c r="E13311" s="19" t="s">
        <v>35263</v>
      </c>
      <c r="F13311" s="19" t="s">
        <v>36022</v>
      </c>
      <c r="G13311" s="18" t="str">
        <f>"98632"</f>
        <v>98632</v>
      </c>
      <c r="H13311" s="19" t="s">
        <v>36905</v>
      </c>
      <c r="I13311" s="20">
        <v>18.140999999999998</v>
      </c>
      <c r="J13311" s="44" t="s">
        <v>8</v>
      </c>
      <c r="K13311" s="23" t="s">
        <v>8</v>
      </c>
      <c r="L13311" s="23" t="s">
        <v>8</v>
      </c>
      <c r="M13311" s="23" t="s">
        <v>8</v>
      </c>
    </row>
    <row r="13312" spans="1:13" s="21" customFormat="1" x14ac:dyDescent="0.25">
      <c r="A13312" s="22" t="s">
        <v>8</v>
      </c>
      <c r="B13312" s="18" t="str">
        <f>"505296"</f>
        <v>505296</v>
      </c>
      <c r="C13312" s="19" t="s">
        <v>13086</v>
      </c>
      <c r="D13312" s="19" t="s">
        <v>28712</v>
      </c>
      <c r="E13312" s="19" t="s">
        <v>35441</v>
      </c>
      <c r="F13312" s="19" t="s">
        <v>36022</v>
      </c>
      <c r="G13312" s="18" t="str">
        <f>"98225"</f>
        <v>98225</v>
      </c>
      <c r="H13312" s="19" t="s">
        <v>36900</v>
      </c>
      <c r="I13312" s="20">
        <v>15.711</v>
      </c>
      <c r="J13312" s="44" t="s">
        <v>8</v>
      </c>
      <c r="K13312" s="23" t="s">
        <v>8</v>
      </c>
      <c r="L13312" s="23" t="s">
        <v>8</v>
      </c>
      <c r="M13312" s="23" t="s">
        <v>8</v>
      </c>
    </row>
    <row r="13313" spans="1:13" s="21" customFormat="1" x14ac:dyDescent="0.25">
      <c r="A13313" s="22" t="s">
        <v>8</v>
      </c>
      <c r="B13313" s="18" t="str">
        <f>"505299"</f>
        <v>505299</v>
      </c>
      <c r="C13313" s="19" t="s">
        <v>13087</v>
      </c>
      <c r="D13313" s="19" t="s">
        <v>28713</v>
      </c>
      <c r="E13313" s="19" t="s">
        <v>35458</v>
      </c>
      <c r="F13313" s="19" t="s">
        <v>36022</v>
      </c>
      <c r="G13313" s="18" t="str">
        <f>"98502"</f>
        <v>98502</v>
      </c>
      <c r="H13313" s="19" t="s">
        <v>36562</v>
      </c>
      <c r="I13313" s="20">
        <v>20.599</v>
      </c>
      <c r="J13313" s="44" t="s">
        <v>8</v>
      </c>
      <c r="K13313" s="23" t="s">
        <v>8</v>
      </c>
      <c r="L13313" s="23" t="s">
        <v>8</v>
      </c>
      <c r="M13313" s="23" t="s">
        <v>8</v>
      </c>
    </row>
    <row r="13314" spans="1:13" s="21" customFormat="1" x14ac:dyDescent="0.25">
      <c r="A13314" s="22" t="s">
        <v>8</v>
      </c>
      <c r="B13314" s="18" t="str">
        <f>"505303"</f>
        <v>505303</v>
      </c>
      <c r="C13314" s="19" t="s">
        <v>13088</v>
      </c>
      <c r="D13314" s="19" t="s">
        <v>28714</v>
      </c>
      <c r="E13314" s="19" t="s">
        <v>35468</v>
      </c>
      <c r="F13314" s="19" t="s">
        <v>36022</v>
      </c>
      <c r="G13314" s="18" t="str">
        <f>"98841"</f>
        <v>98841</v>
      </c>
      <c r="H13314" s="19" t="s">
        <v>36909</v>
      </c>
      <c r="I13314" s="20">
        <v>18.483000000000001</v>
      </c>
      <c r="J13314" s="44" t="s">
        <v>8</v>
      </c>
      <c r="K13314" s="23" t="s">
        <v>8</v>
      </c>
      <c r="L13314" s="23" t="s">
        <v>8</v>
      </c>
      <c r="M13314" s="23" t="s">
        <v>8</v>
      </c>
    </row>
    <row r="13315" spans="1:13" s="21" customFormat="1" x14ac:dyDescent="0.25">
      <c r="A13315" s="22" t="s">
        <v>8</v>
      </c>
      <c r="B13315" s="18" t="str">
        <f>"505304"</f>
        <v>505304</v>
      </c>
      <c r="C13315" s="19" t="s">
        <v>13089</v>
      </c>
      <c r="D13315" s="19" t="s">
        <v>28715</v>
      </c>
      <c r="E13315" s="19" t="s">
        <v>35454</v>
      </c>
      <c r="F13315" s="19" t="s">
        <v>36022</v>
      </c>
      <c r="G13315" s="18" t="str">
        <f>"98372"</f>
        <v>98372</v>
      </c>
      <c r="H13315" s="19" t="s">
        <v>33791</v>
      </c>
      <c r="I13315" s="20">
        <v>18.16</v>
      </c>
      <c r="J13315" s="44" t="s">
        <v>8</v>
      </c>
      <c r="K13315" s="23" t="s">
        <v>8</v>
      </c>
      <c r="L13315" s="23" t="s">
        <v>8</v>
      </c>
      <c r="M13315" s="23" t="s">
        <v>8</v>
      </c>
    </row>
    <row r="13316" spans="1:13" s="21" customFormat="1" x14ac:dyDescent="0.25">
      <c r="A13316" s="22" t="s">
        <v>8</v>
      </c>
      <c r="B13316" s="18" t="str">
        <f>"505306"</f>
        <v>505306</v>
      </c>
      <c r="C13316" s="19" t="s">
        <v>13090</v>
      </c>
      <c r="D13316" s="19" t="s">
        <v>28716</v>
      </c>
      <c r="E13316" s="19" t="s">
        <v>35469</v>
      </c>
      <c r="F13316" s="19" t="s">
        <v>36022</v>
      </c>
      <c r="G13316" s="18" t="str">
        <f>"98368"</f>
        <v>98368</v>
      </c>
      <c r="H13316" s="19" t="s">
        <v>32391</v>
      </c>
      <c r="I13316" s="20">
        <v>16.446999999999999</v>
      </c>
      <c r="J13316" s="44" t="s">
        <v>8</v>
      </c>
      <c r="K13316" s="23" t="s">
        <v>8</v>
      </c>
      <c r="L13316" s="23" t="s">
        <v>8</v>
      </c>
      <c r="M13316" s="23" t="s">
        <v>8</v>
      </c>
    </row>
    <row r="13317" spans="1:13" s="21" customFormat="1" x14ac:dyDescent="0.25">
      <c r="A13317" s="22" t="s">
        <v>8</v>
      </c>
      <c r="B13317" s="18" t="str">
        <f>"505309"</f>
        <v>505309</v>
      </c>
      <c r="C13317" s="19" t="s">
        <v>13091</v>
      </c>
      <c r="D13317" s="19" t="s">
        <v>28717</v>
      </c>
      <c r="E13317" s="19" t="s">
        <v>35470</v>
      </c>
      <c r="F13317" s="19" t="s">
        <v>36022</v>
      </c>
      <c r="G13317" s="18" t="str">
        <f>"98239"</f>
        <v>98239</v>
      </c>
      <c r="H13317" s="19" t="s">
        <v>36910</v>
      </c>
      <c r="I13317" s="20">
        <v>18.873999999999999</v>
      </c>
      <c r="J13317" s="44" t="s">
        <v>8</v>
      </c>
      <c r="K13317" s="23" t="s">
        <v>8</v>
      </c>
      <c r="L13317" s="23" t="s">
        <v>8</v>
      </c>
      <c r="M13317" s="23" t="s">
        <v>8</v>
      </c>
    </row>
    <row r="13318" spans="1:13" s="21" customFormat="1" x14ac:dyDescent="0.25">
      <c r="A13318" s="22" t="s">
        <v>8</v>
      </c>
      <c r="B13318" s="18" t="str">
        <f>"505311"</f>
        <v>505311</v>
      </c>
      <c r="C13318" s="19" t="s">
        <v>13092</v>
      </c>
      <c r="D13318" s="19" t="s">
        <v>28718</v>
      </c>
      <c r="E13318" s="19" t="s">
        <v>35433</v>
      </c>
      <c r="F13318" s="19" t="s">
        <v>36022</v>
      </c>
      <c r="G13318" s="18" t="str">
        <f>"98122"</f>
        <v>98122</v>
      </c>
      <c r="H13318" s="19" t="s">
        <v>34327</v>
      </c>
      <c r="I13318" s="20">
        <v>17.72</v>
      </c>
      <c r="J13318" s="44" t="s">
        <v>8</v>
      </c>
      <c r="K13318" s="23" t="s">
        <v>8</v>
      </c>
      <c r="L13318" s="23" t="s">
        <v>8</v>
      </c>
      <c r="M13318" s="23" t="s">
        <v>8</v>
      </c>
    </row>
    <row r="13319" spans="1:13" s="21" customFormat="1" x14ac:dyDescent="0.25">
      <c r="A13319" s="22" t="s">
        <v>8</v>
      </c>
      <c r="B13319" s="18" t="str">
        <f>"505313"</f>
        <v>505313</v>
      </c>
      <c r="C13319" s="19" t="s">
        <v>13093</v>
      </c>
      <c r="D13319" s="19" t="s">
        <v>28719</v>
      </c>
      <c r="E13319" s="19" t="s">
        <v>35450</v>
      </c>
      <c r="F13319" s="19" t="s">
        <v>36022</v>
      </c>
      <c r="G13319" s="18" t="str">
        <f>"98003"</f>
        <v>98003</v>
      </c>
      <c r="H13319" s="19" t="s">
        <v>34327</v>
      </c>
      <c r="I13319" s="20">
        <v>15.178000000000001</v>
      </c>
      <c r="J13319" s="44" t="s">
        <v>8</v>
      </c>
      <c r="K13319" s="23" t="s">
        <v>8</v>
      </c>
      <c r="L13319" s="23" t="s">
        <v>8</v>
      </c>
      <c r="M13319" s="23" t="s">
        <v>8</v>
      </c>
    </row>
    <row r="13320" spans="1:13" s="21" customFormat="1" x14ac:dyDescent="0.25">
      <c r="A13320" s="22" t="s">
        <v>8</v>
      </c>
      <c r="B13320" s="18" t="str">
        <f>"505315"</f>
        <v>505315</v>
      </c>
      <c r="C13320" s="19" t="s">
        <v>13094</v>
      </c>
      <c r="D13320" s="19" t="s">
        <v>28720</v>
      </c>
      <c r="E13320" s="19" t="s">
        <v>32023</v>
      </c>
      <c r="F13320" s="19" t="s">
        <v>36022</v>
      </c>
      <c r="G13320" s="18" t="str">
        <f>"98274"</f>
        <v>98274</v>
      </c>
      <c r="H13320" s="19" t="s">
        <v>36904</v>
      </c>
      <c r="I13320" s="20">
        <v>14.250999999999999</v>
      </c>
      <c r="J13320" s="44" t="s">
        <v>8</v>
      </c>
      <c r="K13320" s="23" t="s">
        <v>8</v>
      </c>
      <c r="L13320" s="23" t="s">
        <v>8</v>
      </c>
      <c r="M13320" s="23" t="s">
        <v>8</v>
      </c>
    </row>
    <row r="13321" spans="1:13" s="21" customFormat="1" x14ac:dyDescent="0.25">
      <c r="A13321" s="22" t="s">
        <v>8</v>
      </c>
      <c r="B13321" s="18" t="str">
        <f>"505318"</f>
        <v>505318</v>
      </c>
      <c r="C13321" s="19" t="s">
        <v>13095</v>
      </c>
      <c r="D13321" s="19" t="s">
        <v>28721</v>
      </c>
      <c r="E13321" s="19" t="s">
        <v>35471</v>
      </c>
      <c r="F13321" s="19" t="s">
        <v>36022</v>
      </c>
      <c r="G13321" s="18" t="str">
        <f>"98284"</f>
        <v>98284</v>
      </c>
      <c r="H13321" s="19" t="s">
        <v>36904</v>
      </c>
      <c r="I13321" s="20">
        <v>15.224</v>
      </c>
      <c r="J13321" s="44" t="s">
        <v>8</v>
      </c>
      <c r="K13321" s="23" t="s">
        <v>8</v>
      </c>
      <c r="L13321" s="23" t="s">
        <v>8</v>
      </c>
      <c r="M13321" s="23" t="s">
        <v>8</v>
      </c>
    </row>
    <row r="13322" spans="1:13" s="21" customFormat="1" x14ac:dyDescent="0.25">
      <c r="A13322" s="22" t="s">
        <v>8</v>
      </c>
      <c r="B13322" s="18" t="str">
        <f>"505319"</f>
        <v>505319</v>
      </c>
      <c r="C13322" s="19" t="s">
        <v>7914</v>
      </c>
      <c r="D13322" s="19" t="s">
        <v>28722</v>
      </c>
      <c r="E13322" s="19" t="s">
        <v>35472</v>
      </c>
      <c r="F13322" s="19" t="s">
        <v>36022</v>
      </c>
      <c r="G13322" s="18" t="str">
        <f>"98037"</f>
        <v>98037</v>
      </c>
      <c r="H13322" s="19" t="s">
        <v>35477</v>
      </c>
      <c r="I13322" s="20">
        <v>18.521000000000001</v>
      </c>
      <c r="J13322" s="44" t="s">
        <v>8</v>
      </c>
      <c r="K13322" s="23" t="s">
        <v>8</v>
      </c>
      <c r="L13322" s="23" t="s">
        <v>8</v>
      </c>
      <c r="M13322" s="23" t="s">
        <v>8</v>
      </c>
    </row>
    <row r="13323" spans="1:13" s="21" customFormat="1" x14ac:dyDescent="0.25">
      <c r="A13323" s="22" t="s">
        <v>8</v>
      </c>
      <c r="B13323" s="18" t="str">
        <f>"505320"</f>
        <v>505320</v>
      </c>
      <c r="C13323" s="19" t="s">
        <v>13096</v>
      </c>
      <c r="D13323" s="19" t="s">
        <v>28723</v>
      </c>
      <c r="E13323" s="19" t="s">
        <v>35462</v>
      </c>
      <c r="F13323" s="19" t="s">
        <v>36022</v>
      </c>
      <c r="G13323" s="18" t="str">
        <f>"98837"</f>
        <v>98837</v>
      </c>
      <c r="H13323" s="19" t="s">
        <v>36078</v>
      </c>
      <c r="I13323" s="20">
        <v>13.884</v>
      </c>
      <c r="J13323" s="44" t="s">
        <v>8</v>
      </c>
      <c r="K13323" s="23" t="s">
        <v>8</v>
      </c>
      <c r="L13323" s="23" t="s">
        <v>8</v>
      </c>
      <c r="M13323" s="23" t="s">
        <v>8</v>
      </c>
    </row>
    <row r="13324" spans="1:13" s="21" customFormat="1" x14ac:dyDescent="0.25">
      <c r="A13324" s="22" t="s">
        <v>8</v>
      </c>
      <c r="B13324" s="18" t="str">
        <f>"505322"</f>
        <v>505322</v>
      </c>
      <c r="C13324" s="19" t="s">
        <v>13097</v>
      </c>
      <c r="D13324" s="19" t="s">
        <v>28724</v>
      </c>
      <c r="E13324" s="19" t="s">
        <v>35435</v>
      </c>
      <c r="F13324" s="19" t="s">
        <v>36022</v>
      </c>
      <c r="G13324" s="18" t="str">
        <f>"99205"</f>
        <v>99205</v>
      </c>
      <c r="H13324" s="19" t="s">
        <v>35435</v>
      </c>
      <c r="I13324" s="20">
        <v>16.667000000000002</v>
      </c>
      <c r="J13324" s="44" t="s">
        <v>8</v>
      </c>
      <c r="K13324" s="23" t="s">
        <v>8</v>
      </c>
      <c r="L13324" s="23" t="s">
        <v>8</v>
      </c>
      <c r="M13324" s="23" t="s">
        <v>8</v>
      </c>
    </row>
    <row r="13325" spans="1:13" s="21" customFormat="1" x14ac:dyDescent="0.25">
      <c r="A13325" s="22" t="s">
        <v>8</v>
      </c>
      <c r="B13325" s="18" t="str">
        <f>"505324"</f>
        <v>505324</v>
      </c>
      <c r="C13325" s="19" t="s">
        <v>13098</v>
      </c>
      <c r="D13325" s="19" t="s">
        <v>28725</v>
      </c>
      <c r="E13325" s="19" t="s">
        <v>35454</v>
      </c>
      <c r="F13325" s="19" t="s">
        <v>36022</v>
      </c>
      <c r="G13325" s="18" t="str">
        <f>"98372"</f>
        <v>98372</v>
      </c>
      <c r="H13325" s="19" t="s">
        <v>33791</v>
      </c>
      <c r="I13325" s="20">
        <v>17.561</v>
      </c>
      <c r="J13325" s="44" t="s">
        <v>8</v>
      </c>
      <c r="K13325" s="23" t="s">
        <v>8</v>
      </c>
      <c r="L13325" s="23" t="s">
        <v>8</v>
      </c>
      <c r="M13325" s="23" t="s">
        <v>8</v>
      </c>
    </row>
    <row r="13326" spans="1:13" s="21" customFormat="1" x14ac:dyDescent="0.25">
      <c r="A13326" s="22" t="s">
        <v>8</v>
      </c>
      <c r="B13326" s="18" t="str">
        <f>"505325"</f>
        <v>505325</v>
      </c>
      <c r="C13326" s="19" t="s">
        <v>13099</v>
      </c>
      <c r="D13326" s="19" t="s">
        <v>28726</v>
      </c>
      <c r="E13326" s="19" t="s">
        <v>35473</v>
      </c>
      <c r="F13326" s="19" t="s">
        <v>36022</v>
      </c>
      <c r="G13326" s="18" t="str">
        <f>"98110"</f>
        <v>98110</v>
      </c>
      <c r="H13326" s="19" t="s">
        <v>36901</v>
      </c>
      <c r="I13326" s="20">
        <v>17.597000000000001</v>
      </c>
      <c r="J13326" s="44" t="s">
        <v>8</v>
      </c>
      <c r="K13326" s="23" t="s">
        <v>8</v>
      </c>
      <c r="L13326" s="23" t="s">
        <v>8</v>
      </c>
      <c r="M13326" s="23" t="s">
        <v>8</v>
      </c>
    </row>
    <row r="13327" spans="1:13" s="21" customFormat="1" x14ac:dyDescent="0.25">
      <c r="A13327" s="22" t="s">
        <v>8</v>
      </c>
      <c r="B13327" s="18" t="str">
        <f>"505326"</f>
        <v>505326</v>
      </c>
      <c r="C13327" s="19" t="s">
        <v>13100</v>
      </c>
      <c r="D13327" s="19" t="s">
        <v>28727</v>
      </c>
      <c r="E13327" s="19" t="s">
        <v>35442</v>
      </c>
      <c r="F13327" s="19" t="s">
        <v>36022</v>
      </c>
      <c r="G13327" s="18" t="str">
        <f>"98404"</f>
        <v>98404</v>
      </c>
      <c r="H13327" s="19" t="s">
        <v>33791</v>
      </c>
      <c r="I13327" s="20">
        <v>17.346</v>
      </c>
      <c r="J13327" s="44" t="s">
        <v>8</v>
      </c>
      <c r="K13327" s="23" t="s">
        <v>8</v>
      </c>
      <c r="L13327" s="23" t="s">
        <v>8</v>
      </c>
      <c r="M13327" s="23" t="s">
        <v>8</v>
      </c>
    </row>
    <row r="13328" spans="1:13" s="21" customFormat="1" x14ac:dyDescent="0.25">
      <c r="A13328" s="22" t="s">
        <v>8</v>
      </c>
      <c r="B13328" s="18" t="str">
        <f>"505327"</f>
        <v>505327</v>
      </c>
      <c r="C13328" s="19" t="s">
        <v>13101</v>
      </c>
      <c r="D13328" s="19" t="s">
        <v>28728</v>
      </c>
      <c r="E13328" s="19" t="s">
        <v>35447</v>
      </c>
      <c r="F13328" s="19" t="s">
        <v>36022</v>
      </c>
      <c r="G13328" s="18" t="str">
        <f>"98382"</f>
        <v>98382</v>
      </c>
      <c r="H13328" s="19" t="s">
        <v>36902</v>
      </c>
      <c r="I13328" s="20">
        <v>22.564</v>
      </c>
      <c r="J13328" s="44" t="s">
        <v>8</v>
      </c>
      <c r="K13328" s="23" t="s">
        <v>8</v>
      </c>
      <c r="L13328" s="23" t="s">
        <v>8</v>
      </c>
      <c r="M13328" s="23" t="s">
        <v>8</v>
      </c>
    </row>
    <row r="13329" spans="1:13" s="21" customFormat="1" x14ac:dyDescent="0.25">
      <c r="A13329" s="22" t="s">
        <v>8</v>
      </c>
      <c r="B13329" s="18" t="str">
        <f>"505329"</f>
        <v>505329</v>
      </c>
      <c r="C13329" s="19" t="s">
        <v>13102</v>
      </c>
      <c r="D13329" s="19" t="s">
        <v>28729</v>
      </c>
      <c r="E13329" s="19" t="s">
        <v>35466</v>
      </c>
      <c r="F13329" s="19" t="s">
        <v>36022</v>
      </c>
      <c r="G13329" s="18" t="str">
        <f>"99114"</f>
        <v>99114</v>
      </c>
      <c r="H13329" s="19" t="s">
        <v>34934</v>
      </c>
      <c r="I13329" s="20">
        <v>18.048999999999999</v>
      </c>
      <c r="J13329" s="44" t="s">
        <v>8</v>
      </c>
      <c r="K13329" s="23" t="s">
        <v>8</v>
      </c>
      <c r="L13329" s="23" t="s">
        <v>8</v>
      </c>
      <c r="M13329" s="23" t="s">
        <v>8</v>
      </c>
    </row>
    <row r="13330" spans="1:13" s="21" customFormat="1" x14ac:dyDescent="0.25">
      <c r="A13330" s="22" t="s">
        <v>8</v>
      </c>
      <c r="B13330" s="18" t="str">
        <f>"505331"</f>
        <v>505331</v>
      </c>
      <c r="C13330" s="19" t="s">
        <v>13103</v>
      </c>
      <c r="D13330" s="19" t="s">
        <v>28730</v>
      </c>
      <c r="E13330" s="19" t="s">
        <v>35474</v>
      </c>
      <c r="F13330" s="19" t="s">
        <v>36022</v>
      </c>
      <c r="G13330" s="18" t="str">
        <f>"98604"</f>
        <v>98604</v>
      </c>
      <c r="H13330" s="19" t="s">
        <v>33967</v>
      </c>
      <c r="I13330" s="20">
        <v>20.161999999999999</v>
      </c>
      <c r="J13330" s="44" t="s">
        <v>8</v>
      </c>
      <c r="K13330" s="23" t="s">
        <v>8</v>
      </c>
      <c r="L13330" s="23" t="s">
        <v>8</v>
      </c>
      <c r="M13330" s="23" t="s">
        <v>8</v>
      </c>
    </row>
    <row r="13331" spans="1:13" s="21" customFormat="1" x14ac:dyDescent="0.25">
      <c r="A13331" s="22" t="s">
        <v>8</v>
      </c>
      <c r="B13331" s="18" t="str">
        <f>"505332"</f>
        <v>505332</v>
      </c>
      <c r="C13331" s="19" t="s">
        <v>13104</v>
      </c>
      <c r="D13331" s="19" t="s">
        <v>28731</v>
      </c>
      <c r="E13331" s="19" t="s">
        <v>35475</v>
      </c>
      <c r="F13331" s="19" t="s">
        <v>36022</v>
      </c>
      <c r="G13331" s="18" t="str">
        <f>"98250"</f>
        <v>98250</v>
      </c>
      <c r="H13331" s="19" t="s">
        <v>35251</v>
      </c>
      <c r="I13331" s="20">
        <v>17.919</v>
      </c>
      <c r="J13331" s="44" t="s">
        <v>8</v>
      </c>
      <c r="K13331" s="23" t="s">
        <v>8</v>
      </c>
      <c r="L13331" s="23" t="s">
        <v>8</v>
      </c>
      <c r="M13331" s="23" t="s">
        <v>8</v>
      </c>
    </row>
    <row r="13332" spans="1:13" s="21" customFormat="1" x14ac:dyDescent="0.25">
      <c r="A13332" s="22" t="s">
        <v>8</v>
      </c>
      <c r="B13332" s="18" t="str">
        <f>"505334"</f>
        <v>505334</v>
      </c>
      <c r="C13332" s="19" t="s">
        <v>13105</v>
      </c>
      <c r="D13332" s="19" t="s">
        <v>28732</v>
      </c>
      <c r="E13332" s="19" t="s">
        <v>35476</v>
      </c>
      <c r="F13332" s="19" t="s">
        <v>36022</v>
      </c>
      <c r="G13332" s="18" t="str">
        <f>"98034"</f>
        <v>98034</v>
      </c>
      <c r="H13332" s="19" t="s">
        <v>34327</v>
      </c>
      <c r="I13332" s="20">
        <v>16.393000000000001</v>
      </c>
      <c r="J13332" s="44" t="s">
        <v>8</v>
      </c>
      <c r="K13332" s="23" t="s">
        <v>8</v>
      </c>
      <c r="L13332" s="23" t="s">
        <v>8</v>
      </c>
      <c r="M13332" s="23" t="s">
        <v>8</v>
      </c>
    </row>
    <row r="13333" spans="1:13" s="21" customFormat="1" x14ac:dyDescent="0.25">
      <c r="A13333" s="22" t="s">
        <v>8</v>
      </c>
      <c r="B13333" s="18" t="str">
        <f>"505338"</f>
        <v>505338</v>
      </c>
      <c r="C13333" s="19" t="s">
        <v>13106</v>
      </c>
      <c r="D13333" s="19" t="s">
        <v>28733</v>
      </c>
      <c r="E13333" s="19" t="s">
        <v>35477</v>
      </c>
      <c r="F13333" s="19" t="s">
        <v>36022</v>
      </c>
      <c r="G13333" s="18" t="str">
        <f>"98290"</f>
        <v>98290</v>
      </c>
      <c r="H13333" s="19" t="s">
        <v>35477</v>
      </c>
      <c r="I13333" s="20">
        <v>18.762</v>
      </c>
      <c r="J13333" s="44" t="s">
        <v>8</v>
      </c>
      <c r="K13333" s="23" t="s">
        <v>8</v>
      </c>
      <c r="L13333" s="23" t="s">
        <v>8</v>
      </c>
      <c r="M13333" s="23" t="s">
        <v>8</v>
      </c>
    </row>
    <row r="13334" spans="1:13" s="21" customFormat="1" x14ac:dyDescent="0.25">
      <c r="A13334" s="22" t="s">
        <v>8</v>
      </c>
      <c r="B13334" s="18" t="str">
        <f>"505339"</f>
        <v>505339</v>
      </c>
      <c r="C13334" s="19" t="s">
        <v>13107</v>
      </c>
      <c r="D13334" s="19" t="s">
        <v>28734</v>
      </c>
      <c r="E13334" s="19" t="s">
        <v>33825</v>
      </c>
      <c r="F13334" s="19" t="s">
        <v>36022</v>
      </c>
      <c r="G13334" s="18" t="str">
        <f>"98045"</f>
        <v>98045</v>
      </c>
      <c r="H13334" s="19" t="s">
        <v>34327</v>
      </c>
      <c r="I13334" s="20">
        <v>21.599</v>
      </c>
      <c r="J13334" s="44" t="s">
        <v>8</v>
      </c>
      <c r="K13334" s="23" t="s">
        <v>8</v>
      </c>
      <c r="L13334" s="23" t="s">
        <v>8</v>
      </c>
      <c r="M13334" s="23" t="s">
        <v>8</v>
      </c>
    </row>
    <row r="13335" spans="1:13" s="21" customFormat="1" x14ac:dyDescent="0.25">
      <c r="A13335" s="22" t="s">
        <v>8</v>
      </c>
      <c r="B13335" s="18" t="str">
        <f>"505341"</f>
        <v>505341</v>
      </c>
      <c r="C13335" s="19" t="s">
        <v>13108</v>
      </c>
      <c r="D13335" s="19" t="s">
        <v>28735</v>
      </c>
      <c r="E13335" s="19" t="s">
        <v>35452</v>
      </c>
      <c r="F13335" s="19" t="s">
        <v>36022</v>
      </c>
      <c r="G13335" s="18" t="str">
        <f>"98663"</f>
        <v>98663</v>
      </c>
      <c r="H13335" s="19" t="s">
        <v>33967</v>
      </c>
      <c r="I13335" s="20">
        <v>21.341000000000001</v>
      </c>
      <c r="J13335" s="44" t="s">
        <v>8</v>
      </c>
      <c r="K13335" s="23" t="s">
        <v>8</v>
      </c>
      <c r="L13335" s="23" t="s">
        <v>8</v>
      </c>
      <c r="M13335" s="23" t="s">
        <v>8</v>
      </c>
    </row>
    <row r="13336" spans="1:13" s="21" customFormat="1" x14ac:dyDescent="0.25">
      <c r="A13336" s="22" t="s">
        <v>8</v>
      </c>
      <c r="B13336" s="18" t="str">
        <f>"505344"</f>
        <v>505344</v>
      </c>
      <c r="C13336" s="19" t="s">
        <v>13109</v>
      </c>
      <c r="D13336" s="19" t="s">
        <v>28736</v>
      </c>
      <c r="E13336" s="19" t="s">
        <v>30926</v>
      </c>
      <c r="F13336" s="19" t="s">
        <v>36022</v>
      </c>
      <c r="G13336" s="18" t="str">
        <f>"98002"</f>
        <v>98002</v>
      </c>
      <c r="H13336" s="19" t="s">
        <v>34327</v>
      </c>
      <c r="I13336" s="20">
        <v>15.859</v>
      </c>
      <c r="J13336" s="44" t="s">
        <v>8</v>
      </c>
      <c r="K13336" s="23" t="s">
        <v>8</v>
      </c>
      <c r="L13336" s="23" t="s">
        <v>8</v>
      </c>
      <c r="M13336" s="23" t="s">
        <v>8</v>
      </c>
    </row>
    <row r="13337" spans="1:13" s="21" customFormat="1" x14ac:dyDescent="0.25">
      <c r="A13337" s="22" t="s">
        <v>8</v>
      </c>
      <c r="B13337" s="18" t="str">
        <f>"505346"</f>
        <v>505346</v>
      </c>
      <c r="C13337" s="19" t="s">
        <v>13110</v>
      </c>
      <c r="D13337" s="19" t="s">
        <v>28737</v>
      </c>
      <c r="E13337" s="19" t="s">
        <v>32631</v>
      </c>
      <c r="F13337" s="19" t="s">
        <v>36022</v>
      </c>
      <c r="G13337" s="18" t="str">
        <f>"99004"</f>
        <v>99004</v>
      </c>
      <c r="H13337" s="19" t="s">
        <v>35435</v>
      </c>
      <c r="I13337" s="20">
        <v>18.294</v>
      </c>
      <c r="J13337" s="44" t="s">
        <v>8</v>
      </c>
      <c r="K13337" s="23" t="s">
        <v>8</v>
      </c>
      <c r="L13337" s="23" t="s">
        <v>8</v>
      </c>
      <c r="M13337" s="23" t="s">
        <v>8</v>
      </c>
    </row>
    <row r="13338" spans="1:13" s="21" customFormat="1" x14ac:dyDescent="0.25">
      <c r="A13338" s="22" t="s">
        <v>8</v>
      </c>
      <c r="B13338" s="18" t="str">
        <f>"505347"</f>
        <v>505347</v>
      </c>
      <c r="C13338" s="19" t="s">
        <v>13111</v>
      </c>
      <c r="D13338" s="19" t="s">
        <v>28738</v>
      </c>
      <c r="E13338" s="19" t="s">
        <v>35442</v>
      </c>
      <c r="F13338" s="19" t="s">
        <v>36022</v>
      </c>
      <c r="G13338" s="18" t="str">
        <f>"98499"</f>
        <v>98499</v>
      </c>
      <c r="H13338" s="19" t="s">
        <v>33791</v>
      </c>
      <c r="I13338" s="20">
        <v>16.669</v>
      </c>
      <c r="J13338" s="44" t="s">
        <v>8</v>
      </c>
      <c r="K13338" s="23" t="s">
        <v>8</v>
      </c>
      <c r="L13338" s="23" t="s">
        <v>8</v>
      </c>
      <c r="M13338" s="23" t="s">
        <v>8</v>
      </c>
    </row>
    <row r="13339" spans="1:13" s="21" customFormat="1" x14ac:dyDescent="0.25">
      <c r="A13339" s="22" t="s">
        <v>8</v>
      </c>
      <c r="B13339" s="18" t="str">
        <f>"505348"</f>
        <v>505348</v>
      </c>
      <c r="C13339" s="19" t="s">
        <v>13112</v>
      </c>
      <c r="D13339" s="19" t="s">
        <v>28739</v>
      </c>
      <c r="E13339" s="19" t="s">
        <v>35434</v>
      </c>
      <c r="F13339" s="19" t="s">
        <v>36022</v>
      </c>
      <c r="G13339" s="18" t="str">
        <f>"98902"</f>
        <v>98902</v>
      </c>
      <c r="H13339" s="19" t="s">
        <v>35434</v>
      </c>
      <c r="I13339" s="20">
        <v>16.952000000000002</v>
      </c>
      <c r="J13339" s="44" t="s">
        <v>8</v>
      </c>
      <c r="K13339" s="23" t="s">
        <v>8</v>
      </c>
      <c r="L13339" s="23" t="s">
        <v>8</v>
      </c>
      <c r="M13339" s="23" t="s">
        <v>8</v>
      </c>
    </row>
    <row r="13340" spans="1:13" s="21" customFormat="1" x14ac:dyDescent="0.25">
      <c r="A13340" s="22" t="s">
        <v>8</v>
      </c>
      <c r="B13340" s="18" t="str">
        <f>"505349"</f>
        <v>505349</v>
      </c>
      <c r="C13340" s="19" t="s">
        <v>13113</v>
      </c>
      <c r="D13340" s="19" t="s">
        <v>28740</v>
      </c>
      <c r="E13340" s="19" t="s">
        <v>35478</v>
      </c>
      <c r="F13340" s="19" t="s">
        <v>36022</v>
      </c>
      <c r="G13340" s="18" t="str">
        <f>"98577"</f>
        <v>98577</v>
      </c>
      <c r="H13340" s="19" t="s">
        <v>33628</v>
      </c>
      <c r="I13340" s="20">
        <v>17.643000000000001</v>
      </c>
      <c r="J13340" s="44" t="s">
        <v>8</v>
      </c>
      <c r="K13340" s="23" t="s">
        <v>8</v>
      </c>
      <c r="L13340" s="23" t="s">
        <v>8</v>
      </c>
      <c r="M13340" s="23" t="s">
        <v>8</v>
      </c>
    </row>
    <row r="13341" spans="1:13" s="21" customFormat="1" x14ac:dyDescent="0.25">
      <c r="A13341" s="22" t="s">
        <v>8</v>
      </c>
      <c r="B13341" s="18" t="str">
        <f>"505350"</f>
        <v>505350</v>
      </c>
      <c r="C13341" s="19" t="s">
        <v>13114</v>
      </c>
      <c r="D13341" s="19" t="s">
        <v>28741</v>
      </c>
      <c r="E13341" s="19" t="s">
        <v>31711</v>
      </c>
      <c r="F13341" s="19" t="s">
        <v>36022</v>
      </c>
      <c r="G13341" s="18" t="str">
        <f>"98272"</f>
        <v>98272</v>
      </c>
      <c r="H13341" s="19" t="s">
        <v>35477</v>
      </c>
      <c r="I13341" s="20">
        <v>16.867999999999999</v>
      </c>
      <c r="J13341" s="44" t="s">
        <v>8</v>
      </c>
      <c r="K13341" s="23" t="s">
        <v>8</v>
      </c>
      <c r="L13341" s="23" t="s">
        <v>8</v>
      </c>
      <c r="M13341" s="23" t="s">
        <v>8</v>
      </c>
    </row>
    <row r="13342" spans="1:13" s="21" customFormat="1" x14ac:dyDescent="0.25">
      <c r="A13342" s="22" t="s">
        <v>8</v>
      </c>
      <c r="B13342" s="18" t="str">
        <f>"505351"</f>
        <v>505351</v>
      </c>
      <c r="C13342" s="19" t="s">
        <v>13115</v>
      </c>
      <c r="D13342" s="19" t="s">
        <v>28742</v>
      </c>
      <c r="E13342" s="19" t="s">
        <v>33116</v>
      </c>
      <c r="F13342" s="19" t="s">
        <v>36022</v>
      </c>
      <c r="G13342" s="18" t="str">
        <f>"98223"</f>
        <v>98223</v>
      </c>
      <c r="H13342" s="19" t="s">
        <v>35477</v>
      </c>
      <c r="I13342" s="20">
        <v>18.23</v>
      </c>
      <c r="J13342" s="44" t="s">
        <v>8</v>
      </c>
      <c r="K13342" s="23" t="s">
        <v>8</v>
      </c>
      <c r="L13342" s="23" t="s">
        <v>8</v>
      </c>
      <c r="M13342" s="23" t="s">
        <v>8</v>
      </c>
    </row>
    <row r="13343" spans="1:13" s="21" customFormat="1" x14ac:dyDescent="0.25">
      <c r="A13343" s="22" t="s">
        <v>8</v>
      </c>
      <c r="B13343" s="18" t="str">
        <f>"505354"</f>
        <v>505354</v>
      </c>
      <c r="C13343" s="19" t="s">
        <v>13116</v>
      </c>
      <c r="D13343" s="19" t="s">
        <v>28743</v>
      </c>
      <c r="E13343" s="19" t="s">
        <v>35479</v>
      </c>
      <c r="F13343" s="19" t="s">
        <v>36022</v>
      </c>
      <c r="G13343" s="18" t="str">
        <f>"99109"</f>
        <v>99109</v>
      </c>
      <c r="H13343" s="19" t="s">
        <v>34934</v>
      </c>
      <c r="I13343" s="20">
        <v>18.524000000000001</v>
      </c>
      <c r="J13343" s="44" t="s">
        <v>8</v>
      </c>
      <c r="K13343" s="23" t="s">
        <v>8</v>
      </c>
      <c r="L13343" s="23" t="s">
        <v>8</v>
      </c>
      <c r="M13343" s="23" t="s">
        <v>8</v>
      </c>
    </row>
    <row r="13344" spans="1:13" s="21" customFormat="1" x14ac:dyDescent="0.25">
      <c r="A13344" s="22" t="s">
        <v>8</v>
      </c>
      <c r="B13344" s="18" t="str">
        <f>"505355"</f>
        <v>505355</v>
      </c>
      <c r="C13344" s="19" t="s">
        <v>13117</v>
      </c>
      <c r="D13344" s="19" t="s">
        <v>28744</v>
      </c>
      <c r="E13344" s="19" t="s">
        <v>30926</v>
      </c>
      <c r="F13344" s="19" t="s">
        <v>36022</v>
      </c>
      <c r="G13344" s="18" t="str">
        <f>"98002"</f>
        <v>98002</v>
      </c>
      <c r="H13344" s="19" t="s">
        <v>34327</v>
      </c>
      <c r="I13344" s="20">
        <v>18.577999999999999</v>
      </c>
      <c r="J13344" s="44" t="s">
        <v>8</v>
      </c>
      <c r="K13344" s="23" t="s">
        <v>8</v>
      </c>
      <c r="L13344" s="23" t="s">
        <v>8</v>
      </c>
      <c r="M13344" s="23" t="s">
        <v>8</v>
      </c>
    </row>
    <row r="13345" spans="1:13" s="21" customFormat="1" x14ac:dyDescent="0.25">
      <c r="A13345" s="22" t="s">
        <v>8</v>
      </c>
      <c r="B13345" s="18" t="str">
        <f>"505358"</f>
        <v>505358</v>
      </c>
      <c r="C13345" s="19" t="s">
        <v>13118</v>
      </c>
      <c r="D13345" s="19" t="s">
        <v>28745</v>
      </c>
      <c r="E13345" s="19" t="s">
        <v>32063</v>
      </c>
      <c r="F13345" s="19" t="s">
        <v>36022</v>
      </c>
      <c r="G13345" s="18" t="str">
        <f>"98531"</f>
        <v>98531</v>
      </c>
      <c r="H13345" s="19" t="s">
        <v>36336</v>
      </c>
      <c r="I13345" s="20">
        <v>19.039000000000001</v>
      </c>
      <c r="J13345" s="44" t="s">
        <v>8</v>
      </c>
      <c r="K13345" s="23" t="s">
        <v>8</v>
      </c>
      <c r="L13345" s="23" t="s">
        <v>8</v>
      </c>
      <c r="M13345" s="23" t="s">
        <v>8</v>
      </c>
    </row>
    <row r="13346" spans="1:13" s="21" customFormat="1" x14ac:dyDescent="0.25">
      <c r="A13346" s="22" t="s">
        <v>8</v>
      </c>
      <c r="B13346" s="18" t="str">
        <f>"505361"</f>
        <v>505361</v>
      </c>
      <c r="C13346" s="19" t="s">
        <v>13119</v>
      </c>
      <c r="D13346" s="19" t="s">
        <v>28746</v>
      </c>
      <c r="E13346" s="19" t="s">
        <v>35263</v>
      </c>
      <c r="F13346" s="19" t="s">
        <v>36022</v>
      </c>
      <c r="G13346" s="18" t="str">
        <f>"98632"</f>
        <v>98632</v>
      </c>
      <c r="H13346" s="19" t="s">
        <v>36905</v>
      </c>
      <c r="I13346" s="20">
        <v>17.155999999999999</v>
      </c>
      <c r="J13346" s="44" t="s">
        <v>8</v>
      </c>
      <c r="K13346" s="23" t="s">
        <v>8</v>
      </c>
      <c r="L13346" s="23" t="s">
        <v>8</v>
      </c>
      <c r="M13346" s="23" t="s">
        <v>8</v>
      </c>
    </row>
    <row r="13347" spans="1:13" s="21" customFormat="1" x14ac:dyDescent="0.25">
      <c r="A13347" s="22" t="s">
        <v>8</v>
      </c>
      <c r="B13347" s="18" t="str">
        <f>"505362"</f>
        <v>505362</v>
      </c>
      <c r="C13347" s="19" t="s">
        <v>13120</v>
      </c>
      <c r="D13347" s="19" t="s">
        <v>28747</v>
      </c>
      <c r="E13347" s="19" t="s">
        <v>33054</v>
      </c>
      <c r="F13347" s="19" t="s">
        <v>36022</v>
      </c>
      <c r="G13347" s="18" t="str">
        <f>"98203"</f>
        <v>98203</v>
      </c>
      <c r="H13347" s="19" t="s">
        <v>35477</v>
      </c>
      <c r="I13347" s="20">
        <v>16.300999999999998</v>
      </c>
      <c r="J13347" s="44" t="s">
        <v>8</v>
      </c>
      <c r="K13347" s="23" t="s">
        <v>8</v>
      </c>
      <c r="L13347" s="23" t="s">
        <v>8</v>
      </c>
      <c r="M13347" s="23" t="s">
        <v>8</v>
      </c>
    </row>
    <row r="13348" spans="1:13" s="21" customFormat="1" x14ac:dyDescent="0.25">
      <c r="A13348" s="22" t="s">
        <v>8</v>
      </c>
      <c r="B13348" s="18" t="str">
        <f>"505367"</f>
        <v>505367</v>
      </c>
      <c r="C13348" s="19" t="s">
        <v>13121</v>
      </c>
      <c r="D13348" s="19" t="s">
        <v>28748</v>
      </c>
      <c r="E13348" s="19" t="s">
        <v>35434</v>
      </c>
      <c r="F13348" s="19" t="s">
        <v>36022</v>
      </c>
      <c r="G13348" s="18" t="str">
        <f>"98908"</f>
        <v>98908</v>
      </c>
      <c r="H13348" s="19" t="s">
        <v>35434</v>
      </c>
      <c r="I13348" s="20">
        <v>19.143000000000001</v>
      </c>
      <c r="J13348" s="44" t="s">
        <v>8</v>
      </c>
      <c r="K13348" s="23" t="s">
        <v>8</v>
      </c>
      <c r="L13348" s="23" t="s">
        <v>8</v>
      </c>
      <c r="M13348" s="23" t="s">
        <v>8</v>
      </c>
    </row>
    <row r="13349" spans="1:13" s="21" customFormat="1" x14ac:dyDescent="0.25">
      <c r="A13349" s="22" t="s">
        <v>8</v>
      </c>
      <c r="B13349" s="18" t="str">
        <f>"505369"</f>
        <v>505369</v>
      </c>
      <c r="C13349" s="19" t="s">
        <v>13122</v>
      </c>
      <c r="D13349" s="19" t="s">
        <v>28749</v>
      </c>
      <c r="E13349" s="19" t="s">
        <v>35435</v>
      </c>
      <c r="F13349" s="19" t="s">
        <v>36022</v>
      </c>
      <c r="G13349" s="18" t="str">
        <f>"99218"</f>
        <v>99218</v>
      </c>
      <c r="H13349" s="19" t="s">
        <v>35435</v>
      </c>
      <c r="I13349" s="20">
        <v>17.998000000000001</v>
      </c>
      <c r="J13349" s="44" t="s">
        <v>8</v>
      </c>
      <c r="K13349" s="23" t="s">
        <v>8</v>
      </c>
      <c r="L13349" s="23" t="s">
        <v>8</v>
      </c>
      <c r="M13349" s="23" t="s">
        <v>8</v>
      </c>
    </row>
    <row r="13350" spans="1:13" s="21" customFormat="1" x14ac:dyDescent="0.25">
      <c r="A13350" s="22" t="s">
        <v>8</v>
      </c>
      <c r="B13350" s="18" t="str">
        <f>"505371"</f>
        <v>505371</v>
      </c>
      <c r="C13350" s="19" t="s">
        <v>13123</v>
      </c>
      <c r="D13350" s="19" t="s">
        <v>28750</v>
      </c>
      <c r="E13350" s="19" t="s">
        <v>31892</v>
      </c>
      <c r="F13350" s="19" t="s">
        <v>36022</v>
      </c>
      <c r="G13350" s="18" t="str">
        <f>"98004"</f>
        <v>98004</v>
      </c>
      <c r="H13350" s="19" t="s">
        <v>34327</v>
      </c>
      <c r="I13350" s="20">
        <v>20.582000000000001</v>
      </c>
      <c r="J13350" s="44" t="s">
        <v>8</v>
      </c>
      <c r="K13350" s="23" t="s">
        <v>8</v>
      </c>
      <c r="L13350" s="23" t="s">
        <v>8</v>
      </c>
      <c r="M13350" s="23" t="s">
        <v>8</v>
      </c>
    </row>
    <row r="13351" spans="1:13" s="21" customFormat="1" x14ac:dyDescent="0.25">
      <c r="A13351" s="22" t="s">
        <v>8</v>
      </c>
      <c r="B13351" s="18" t="str">
        <f>"505372"</f>
        <v>505372</v>
      </c>
      <c r="C13351" s="19" t="s">
        <v>13124</v>
      </c>
      <c r="D13351" s="19" t="s">
        <v>28751</v>
      </c>
      <c r="E13351" s="19" t="s">
        <v>35439</v>
      </c>
      <c r="F13351" s="19" t="s">
        <v>36022</v>
      </c>
      <c r="G13351" s="18" t="str">
        <f>"99337"</f>
        <v>99337</v>
      </c>
      <c r="H13351" s="19" t="s">
        <v>31024</v>
      </c>
      <c r="I13351" s="20">
        <v>19.82</v>
      </c>
      <c r="J13351" s="44" t="s">
        <v>8</v>
      </c>
      <c r="K13351" s="23" t="s">
        <v>8</v>
      </c>
      <c r="L13351" s="23" t="s">
        <v>8</v>
      </c>
      <c r="M13351" s="23" t="s">
        <v>8</v>
      </c>
    </row>
    <row r="13352" spans="1:13" s="21" customFormat="1" x14ac:dyDescent="0.25">
      <c r="A13352" s="22" t="s">
        <v>8</v>
      </c>
      <c r="B13352" s="18" t="str">
        <f>"505373"</f>
        <v>505373</v>
      </c>
      <c r="C13352" s="19" t="s">
        <v>13125</v>
      </c>
      <c r="D13352" s="19" t="s">
        <v>28752</v>
      </c>
      <c r="E13352" s="19" t="s">
        <v>32063</v>
      </c>
      <c r="F13352" s="19" t="s">
        <v>36022</v>
      </c>
      <c r="G13352" s="18" t="str">
        <f>"98531"</f>
        <v>98531</v>
      </c>
      <c r="H13352" s="19" t="s">
        <v>36336</v>
      </c>
      <c r="I13352" s="20">
        <v>18.074999999999999</v>
      </c>
      <c r="J13352" s="44" t="s">
        <v>8</v>
      </c>
      <c r="K13352" s="23" t="s">
        <v>8</v>
      </c>
      <c r="L13352" s="23" t="s">
        <v>8</v>
      </c>
      <c r="M13352" s="23" t="s">
        <v>8</v>
      </c>
    </row>
    <row r="13353" spans="1:13" s="21" customFormat="1" x14ac:dyDescent="0.25">
      <c r="A13353" s="22" t="s">
        <v>8</v>
      </c>
      <c r="B13353" s="18" t="str">
        <f>"505376"</f>
        <v>505376</v>
      </c>
      <c r="C13353" s="19" t="s">
        <v>13126</v>
      </c>
      <c r="D13353" s="19" t="s">
        <v>28753</v>
      </c>
      <c r="E13353" s="19" t="s">
        <v>35441</v>
      </c>
      <c r="F13353" s="19" t="s">
        <v>36022</v>
      </c>
      <c r="G13353" s="18" t="str">
        <f>"98225"</f>
        <v>98225</v>
      </c>
      <c r="H13353" s="19" t="s">
        <v>36900</v>
      </c>
      <c r="I13353" s="20">
        <v>19.722000000000001</v>
      </c>
      <c r="J13353" s="44" t="s">
        <v>8</v>
      </c>
      <c r="K13353" s="23" t="s">
        <v>8</v>
      </c>
      <c r="L13353" s="23" t="s">
        <v>8</v>
      </c>
      <c r="M13353" s="23" t="s">
        <v>8</v>
      </c>
    </row>
    <row r="13354" spans="1:13" s="21" customFormat="1" x14ac:dyDescent="0.25">
      <c r="A13354" s="22" t="s">
        <v>8</v>
      </c>
      <c r="B13354" s="18" t="str">
        <f>"505377"</f>
        <v>505377</v>
      </c>
      <c r="C13354" s="19" t="s">
        <v>13127</v>
      </c>
      <c r="D13354" s="19" t="s">
        <v>28754</v>
      </c>
      <c r="E13354" s="19" t="s">
        <v>35433</v>
      </c>
      <c r="F13354" s="19" t="s">
        <v>36022</v>
      </c>
      <c r="G13354" s="18" t="str">
        <f>"98133"</f>
        <v>98133</v>
      </c>
      <c r="H13354" s="19" t="s">
        <v>34327</v>
      </c>
      <c r="I13354" s="20">
        <v>13.289</v>
      </c>
      <c r="J13354" s="44" t="s">
        <v>8</v>
      </c>
      <c r="K13354" s="23" t="s">
        <v>8</v>
      </c>
      <c r="L13354" s="23" t="s">
        <v>8</v>
      </c>
      <c r="M13354" s="23" t="s">
        <v>8</v>
      </c>
    </row>
    <row r="13355" spans="1:13" s="21" customFormat="1" x14ac:dyDescent="0.25">
      <c r="A13355" s="22" t="s">
        <v>8</v>
      </c>
      <c r="B13355" s="18" t="str">
        <f>"505378"</f>
        <v>505378</v>
      </c>
      <c r="C13355" s="19" t="s">
        <v>13128</v>
      </c>
      <c r="D13355" s="19" t="s">
        <v>28755</v>
      </c>
      <c r="E13355" s="19" t="s">
        <v>31369</v>
      </c>
      <c r="F13355" s="19" t="s">
        <v>36022</v>
      </c>
      <c r="G13355" s="18" t="str">
        <f>"98233"</f>
        <v>98233</v>
      </c>
      <c r="H13355" s="19" t="s">
        <v>36904</v>
      </c>
      <c r="I13355" s="20">
        <v>17.390999999999998</v>
      </c>
      <c r="J13355" s="44" t="s">
        <v>8</v>
      </c>
      <c r="K13355" s="23" t="s">
        <v>8</v>
      </c>
      <c r="L13355" s="23" t="s">
        <v>8</v>
      </c>
      <c r="M13355" s="23" t="s">
        <v>8</v>
      </c>
    </row>
    <row r="13356" spans="1:13" s="21" customFormat="1" x14ac:dyDescent="0.25">
      <c r="A13356" s="22" t="s">
        <v>8</v>
      </c>
      <c r="B13356" s="18" t="str">
        <f>"505379"</f>
        <v>505379</v>
      </c>
      <c r="C13356" s="19" t="s">
        <v>13129</v>
      </c>
      <c r="D13356" s="19" t="s">
        <v>28756</v>
      </c>
      <c r="E13356" s="19" t="s">
        <v>35435</v>
      </c>
      <c r="F13356" s="19" t="s">
        <v>36022</v>
      </c>
      <c r="G13356" s="18" t="str">
        <f>"99208"</f>
        <v>99208</v>
      </c>
      <c r="H13356" s="19" t="s">
        <v>35435</v>
      </c>
      <c r="I13356" s="20">
        <v>16.884</v>
      </c>
      <c r="J13356" s="44" t="s">
        <v>8</v>
      </c>
      <c r="K13356" s="23" t="s">
        <v>8</v>
      </c>
      <c r="L13356" s="23" t="s">
        <v>8</v>
      </c>
      <c r="M13356" s="23" t="s">
        <v>8</v>
      </c>
    </row>
    <row r="13357" spans="1:13" s="21" customFormat="1" x14ac:dyDescent="0.25">
      <c r="A13357" s="22" t="s">
        <v>8</v>
      </c>
      <c r="B13357" s="18" t="str">
        <f>"505381"</f>
        <v>505381</v>
      </c>
      <c r="C13357" s="19" t="s">
        <v>13130</v>
      </c>
      <c r="D13357" s="19" t="s">
        <v>28757</v>
      </c>
      <c r="E13357" s="19" t="s">
        <v>35455</v>
      </c>
      <c r="F13357" s="19" t="s">
        <v>36022</v>
      </c>
      <c r="G13357" s="18" t="str">
        <f>"98221"</f>
        <v>98221</v>
      </c>
      <c r="H13357" s="19" t="s">
        <v>36904</v>
      </c>
      <c r="I13357" s="20">
        <v>17.608000000000001</v>
      </c>
      <c r="J13357" s="44" t="s">
        <v>8</v>
      </c>
      <c r="K13357" s="23" t="s">
        <v>8</v>
      </c>
      <c r="L13357" s="23" t="s">
        <v>8</v>
      </c>
      <c r="M13357" s="23" t="s">
        <v>8</v>
      </c>
    </row>
    <row r="13358" spans="1:13" s="21" customFormat="1" x14ac:dyDescent="0.25">
      <c r="A13358" s="22" t="s">
        <v>8</v>
      </c>
      <c r="B13358" s="18" t="str">
        <f>"505382"</f>
        <v>505382</v>
      </c>
      <c r="C13358" s="19" t="s">
        <v>13131</v>
      </c>
      <c r="D13358" s="19" t="s">
        <v>28758</v>
      </c>
      <c r="E13358" s="19" t="s">
        <v>35480</v>
      </c>
      <c r="F13358" s="19" t="s">
        <v>36022</v>
      </c>
      <c r="G13358" s="18" t="str">
        <f>"98801"</f>
        <v>98801</v>
      </c>
      <c r="H13358" s="19" t="s">
        <v>36903</v>
      </c>
      <c r="I13358" s="20">
        <v>19.891999999999999</v>
      </c>
      <c r="J13358" s="44" t="s">
        <v>8</v>
      </c>
      <c r="K13358" s="23" t="s">
        <v>8</v>
      </c>
      <c r="L13358" s="23" t="s">
        <v>8</v>
      </c>
      <c r="M13358" s="23" t="s">
        <v>8</v>
      </c>
    </row>
    <row r="13359" spans="1:13" s="21" customFormat="1" x14ac:dyDescent="0.25">
      <c r="A13359" s="22" t="s">
        <v>8</v>
      </c>
      <c r="B13359" s="18" t="str">
        <f>"505383"</f>
        <v>505383</v>
      </c>
      <c r="C13359" s="19" t="s">
        <v>13132</v>
      </c>
      <c r="D13359" s="19" t="s">
        <v>28759</v>
      </c>
      <c r="E13359" s="19" t="s">
        <v>35435</v>
      </c>
      <c r="F13359" s="19" t="s">
        <v>36022</v>
      </c>
      <c r="G13359" s="18" t="str">
        <f>"99216"</f>
        <v>99216</v>
      </c>
      <c r="H13359" s="19" t="s">
        <v>35435</v>
      </c>
      <c r="I13359" s="20">
        <v>16.928000000000001</v>
      </c>
      <c r="J13359" s="44" t="s">
        <v>8</v>
      </c>
      <c r="K13359" s="23" t="s">
        <v>8</v>
      </c>
      <c r="L13359" s="23" t="s">
        <v>8</v>
      </c>
      <c r="M13359" s="23" t="s">
        <v>8</v>
      </c>
    </row>
    <row r="13360" spans="1:13" s="21" customFormat="1" x14ac:dyDescent="0.25">
      <c r="A13360" s="22" t="s">
        <v>8</v>
      </c>
      <c r="B13360" s="18" t="str">
        <f>"505386"</f>
        <v>505386</v>
      </c>
      <c r="C13360" s="19" t="s">
        <v>13133</v>
      </c>
      <c r="D13360" s="19" t="s">
        <v>28760</v>
      </c>
      <c r="E13360" s="19" t="s">
        <v>32618</v>
      </c>
      <c r="F13360" s="19" t="s">
        <v>36022</v>
      </c>
      <c r="G13360" s="18" t="str">
        <f>"98270"</f>
        <v>98270</v>
      </c>
      <c r="H13360" s="19" t="s">
        <v>35477</v>
      </c>
      <c r="I13360" s="20">
        <v>19.035</v>
      </c>
      <c r="J13360" s="44" t="s">
        <v>8</v>
      </c>
      <c r="K13360" s="23" t="s">
        <v>8</v>
      </c>
      <c r="L13360" s="23" t="s">
        <v>8</v>
      </c>
      <c r="M13360" s="23" t="s">
        <v>8</v>
      </c>
    </row>
    <row r="13361" spans="1:13" s="21" customFormat="1" x14ac:dyDescent="0.25">
      <c r="A13361" s="22" t="s">
        <v>8</v>
      </c>
      <c r="B13361" s="18" t="str">
        <f>"505387"</f>
        <v>505387</v>
      </c>
      <c r="C13361" s="19" t="s">
        <v>13134</v>
      </c>
      <c r="D13361" s="19" t="s">
        <v>28761</v>
      </c>
      <c r="E13361" s="19" t="s">
        <v>35458</v>
      </c>
      <c r="F13361" s="19" t="s">
        <v>36022</v>
      </c>
      <c r="G13361" s="18" t="str">
        <f>"98506"</f>
        <v>98506</v>
      </c>
      <c r="H13361" s="19" t="s">
        <v>36562</v>
      </c>
      <c r="I13361" s="20">
        <v>14.398999999999999</v>
      </c>
      <c r="J13361" s="44" t="s">
        <v>8</v>
      </c>
      <c r="K13361" s="23" t="s">
        <v>8</v>
      </c>
      <c r="L13361" s="23" t="s">
        <v>8</v>
      </c>
      <c r="M13361" s="23" t="s">
        <v>8</v>
      </c>
    </row>
    <row r="13362" spans="1:13" s="21" customFormat="1" x14ac:dyDescent="0.25">
      <c r="A13362" s="22" t="s">
        <v>8</v>
      </c>
      <c r="B13362" s="18" t="str">
        <f>"505389"</f>
        <v>505389</v>
      </c>
      <c r="C13362" s="19" t="s">
        <v>13135</v>
      </c>
      <c r="D13362" s="19" t="s">
        <v>28762</v>
      </c>
      <c r="E13362" s="19" t="s">
        <v>35452</v>
      </c>
      <c r="F13362" s="19" t="s">
        <v>36022</v>
      </c>
      <c r="G13362" s="18" t="str">
        <f>"98683"</f>
        <v>98683</v>
      </c>
      <c r="H13362" s="19" t="s">
        <v>33967</v>
      </c>
      <c r="I13362" s="20">
        <v>23.431000000000001</v>
      </c>
      <c r="J13362" s="44" t="s">
        <v>8</v>
      </c>
      <c r="K13362" s="23" t="s">
        <v>8</v>
      </c>
      <c r="L13362" s="23" t="s">
        <v>8</v>
      </c>
      <c r="M13362" s="23" t="s">
        <v>8</v>
      </c>
    </row>
    <row r="13363" spans="1:13" s="21" customFormat="1" x14ac:dyDescent="0.25">
      <c r="A13363" s="22" t="s">
        <v>8</v>
      </c>
      <c r="B13363" s="18" t="str">
        <f>"505390"</f>
        <v>505390</v>
      </c>
      <c r="C13363" s="19" t="s">
        <v>13136</v>
      </c>
      <c r="D13363" s="19" t="s">
        <v>28763</v>
      </c>
      <c r="E13363" s="19" t="s">
        <v>35481</v>
      </c>
      <c r="F13363" s="19" t="s">
        <v>36022</v>
      </c>
      <c r="G13363" s="18" t="str">
        <f>"98851"</f>
        <v>98851</v>
      </c>
      <c r="H13363" s="19" t="s">
        <v>36078</v>
      </c>
      <c r="I13363" s="20">
        <v>19.725000000000001</v>
      </c>
      <c r="J13363" s="44" t="s">
        <v>8</v>
      </c>
      <c r="K13363" s="23" t="s">
        <v>8</v>
      </c>
      <c r="L13363" s="23" t="s">
        <v>8</v>
      </c>
      <c r="M13363" s="23" t="s">
        <v>8</v>
      </c>
    </row>
    <row r="13364" spans="1:13" s="21" customFormat="1" x14ac:dyDescent="0.25">
      <c r="A13364" s="22" t="s">
        <v>8</v>
      </c>
      <c r="B13364" s="18" t="str">
        <f>"505393"</f>
        <v>505393</v>
      </c>
      <c r="C13364" s="19" t="s">
        <v>13137</v>
      </c>
      <c r="D13364" s="19" t="s">
        <v>28764</v>
      </c>
      <c r="E13364" s="19" t="s">
        <v>35441</v>
      </c>
      <c r="F13364" s="19" t="s">
        <v>36022</v>
      </c>
      <c r="G13364" s="18" t="str">
        <f>"98226"</f>
        <v>98226</v>
      </c>
      <c r="H13364" s="19" t="s">
        <v>36900</v>
      </c>
      <c r="I13364" s="20">
        <v>14.67</v>
      </c>
      <c r="J13364" s="44" t="s">
        <v>8</v>
      </c>
      <c r="K13364" s="23" t="s">
        <v>8</v>
      </c>
      <c r="L13364" s="23" t="s">
        <v>8</v>
      </c>
      <c r="M13364" s="23" t="s">
        <v>8</v>
      </c>
    </row>
    <row r="13365" spans="1:13" s="21" customFormat="1" x14ac:dyDescent="0.25">
      <c r="A13365" s="22" t="s">
        <v>8</v>
      </c>
      <c r="B13365" s="18" t="str">
        <f>"505395"</f>
        <v>505395</v>
      </c>
      <c r="C13365" s="19" t="s">
        <v>13138</v>
      </c>
      <c r="D13365" s="19" t="s">
        <v>28765</v>
      </c>
      <c r="E13365" s="19" t="s">
        <v>35482</v>
      </c>
      <c r="F13365" s="19" t="s">
        <v>36022</v>
      </c>
      <c r="G13365" s="18" t="str">
        <f>"98230"</f>
        <v>98230</v>
      </c>
      <c r="H13365" s="19" t="s">
        <v>36900</v>
      </c>
      <c r="I13365" s="20">
        <v>17.547999999999998</v>
      </c>
      <c r="J13365" s="44" t="s">
        <v>8</v>
      </c>
      <c r="K13365" s="23" t="s">
        <v>8</v>
      </c>
      <c r="L13365" s="23" t="s">
        <v>8</v>
      </c>
      <c r="M13365" s="23" t="s">
        <v>8</v>
      </c>
    </row>
    <row r="13366" spans="1:13" s="21" customFormat="1" x14ac:dyDescent="0.25">
      <c r="A13366" s="22" t="s">
        <v>8</v>
      </c>
      <c r="B13366" s="18" t="str">
        <f>"505399"</f>
        <v>505399</v>
      </c>
      <c r="C13366" s="19" t="s">
        <v>13139</v>
      </c>
      <c r="D13366" s="19" t="s">
        <v>28766</v>
      </c>
      <c r="E13366" s="19" t="s">
        <v>35483</v>
      </c>
      <c r="F13366" s="19" t="s">
        <v>36022</v>
      </c>
      <c r="G13366" s="18" t="str">
        <f>"98070"</f>
        <v>98070</v>
      </c>
      <c r="H13366" s="19" t="s">
        <v>34327</v>
      </c>
      <c r="I13366" s="20">
        <v>19.739000000000001</v>
      </c>
      <c r="J13366" s="44" t="s">
        <v>8</v>
      </c>
      <c r="K13366" s="23" t="s">
        <v>8</v>
      </c>
      <c r="L13366" s="23" t="s">
        <v>8</v>
      </c>
      <c r="M13366" s="23" t="s">
        <v>8</v>
      </c>
    </row>
    <row r="13367" spans="1:13" s="21" customFormat="1" x14ac:dyDescent="0.25">
      <c r="A13367" s="22" t="s">
        <v>8</v>
      </c>
      <c r="B13367" s="18" t="str">
        <f>"505400"</f>
        <v>505400</v>
      </c>
      <c r="C13367" s="19" t="s">
        <v>13140</v>
      </c>
      <c r="D13367" s="19" t="s">
        <v>28767</v>
      </c>
      <c r="E13367" s="19" t="s">
        <v>35484</v>
      </c>
      <c r="F13367" s="19" t="s">
        <v>36022</v>
      </c>
      <c r="G13367" s="18" t="str">
        <f>"98022"</f>
        <v>98022</v>
      </c>
      <c r="H13367" s="19" t="s">
        <v>34327</v>
      </c>
      <c r="I13367" s="20">
        <v>15.54</v>
      </c>
      <c r="J13367" s="44" t="s">
        <v>8</v>
      </c>
      <c r="K13367" s="23" t="s">
        <v>8</v>
      </c>
      <c r="L13367" s="23" t="s">
        <v>8</v>
      </c>
      <c r="M13367" s="23" t="s">
        <v>8</v>
      </c>
    </row>
    <row r="13368" spans="1:13" s="21" customFormat="1" x14ac:dyDescent="0.25">
      <c r="A13368" s="22" t="s">
        <v>8</v>
      </c>
      <c r="B13368" s="18" t="str">
        <f>"505401"</f>
        <v>505401</v>
      </c>
      <c r="C13368" s="19" t="s">
        <v>13141</v>
      </c>
      <c r="D13368" s="19" t="s">
        <v>28768</v>
      </c>
      <c r="E13368" s="19" t="s">
        <v>35485</v>
      </c>
      <c r="F13368" s="19" t="s">
        <v>36022</v>
      </c>
      <c r="G13368" s="18" t="str">
        <f>"98903"</f>
        <v>98903</v>
      </c>
      <c r="H13368" s="19" t="s">
        <v>35434</v>
      </c>
      <c r="I13368" s="20">
        <v>17.97</v>
      </c>
      <c r="J13368" s="44" t="s">
        <v>8</v>
      </c>
      <c r="K13368" s="23" t="s">
        <v>8</v>
      </c>
      <c r="L13368" s="23" t="s">
        <v>8</v>
      </c>
      <c r="M13368" s="23" t="s">
        <v>8</v>
      </c>
    </row>
    <row r="13369" spans="1:13" s="21" customFormat="1" x14ac:dyDescent="0.25">
      <c r="A13369" s="22" t="s">
        <v>8</v>
      </c>
      <c r="B13369" s="18" t="str">
        <f>"505403"</f>
        <v>505403</v>
      </c>
      <c r="C13369" s="19" t="s">
        <v>13142</v>
      </c>
      <c r="D13369" s="19" t="s">
        <v>28769</v>
      </c>
      <c r="E13369" s="19" t="s">
        <v>33054</v>
      </c>
      <c r="F13369" s="19" t="s">
        <v>36022</v>
      </c>
      <c r="G13369" s="18" t="str">
        <f>"98208"</f>
        <v>98208</v>
      </c>
      <c r="H13369" s="19" t="s">
        <v>35477</v>
      </c>
      <c r="I13369" s="20">
        <v>18.895</v>
      </c>
      <c r="J13369" s="44" t="s">
        <v>8</v>
      </c>
      <c r="K13369" s="23" t="s">
        <v>8</v>
      </c>
      <c r="L13369" s="23" t="s">
        <v>8</v>
      </c>
      <c r="M13369" s="23" t="s">
        <v>8</v>
      </c>
    </row>
    <row r="13370" spans="1:13" s="21" customFormat="1" x14ac:dyDescent="0.25">
      <c r="A13370" s="22" t="s">
        <v>8</v>
      </c>
      <c r="B13370" s="18" t="str">
        <f>"505404"</f>
        <v>505404</v>
      </c>
      <c r="C13370" s="19" t="s">
        <v>13143</v>
      </c>
      <c r="D13370" s="19" t="s">
        <v>28770</v>
      </c>
      <c r="E13370" s="19" t="s">
        <v>33054</v>
      </c>
      <c r="F13370" s="19" t="s">
        <v>36022</v>
      </c>
      <c r="G13370" s="18" t="str">
        <f>"98201"</f>
        <v>98201</v>
      </c>
      <c r="H13370" s="19" t="s">
        <v>35477</v>
      </c>
      <c r="I13370" s="20">
        <v>15.833</v>
      </c>
      <c r="J13370" s="44" t="s">
        <v>8</v>
      </c>
      <c r="K13370" s="23" t="s">
        <v>8</v>
      </c>
      <c r="L13370" s="23" t="s">
        <v>8</v>
      </c>
      <c r="M13370" s="23" t="s">
        <v>8</v>
      </c>
    </row>
    <row r="13371" spans="1:13" s="21" customFormat="1" x14ac:dyDescent="0.25">
      <c r="A13371" s="22" t="s">
        <v>8</v>
      </c>
      <c r="B13371" s="18" t="str">
        <f>"505405"</f>
        <v>505405</v>
      </c>
      <c r="C13371" s="19" t="s">
        <v>13144</v>
      </c>
      <c r="D13371" s="19" t="s">
        <v>28771</v>
      </c>
      <c r="E13371" s="19" t="s">
        <v>35486</v>
      </c>
      <c r="F13371" s="19" t="s">
        <v>36022</v>
      </c>
      <c r="G13371" s="18" t="str">
        <f>"98292"</f>
        <v>98292</v>
      </c>
      <c r="H13371" s="19" t="s">
        <v>35477</v>
      </c>
      <c r="I13371" s="20">
        <v>16.273</v>
      </c>
      <c r="J13371" s="44" t="s">
        <v>8</v>
      </c>
      <c r="K13371" s="23" t="s">
        <v>8</v>
      </c>
      <c r="L13371" s="23" t="s">
        <v>8</v>
      </c>
      <c r="M13371" s="23" t="s">
        <v>8</v>
      </c>
    </row>
    <row r="13372" spans="1:13" s="21" customFormat="1" x14ac:dyDescent="0.25">
      <c r="A13372" s="22" t="s">
        <v>8</v>
      </c>
      <c r="B13372" s="18" t="str">
        <f>"505406"</f>
        <v>505406</v>
      </c>
      <c r="C13372" s="19" t="s">
        <v>8268</v>
      </c>
      <c r="D13372" s="19" t="s">
        <v>28772</v>
      </c>
      <c r="E13372" s="19" t="s">
        <v>35487</v>
      </c>
      <c r="F13372" s="19" t="s">
        <v>36022</v>
      </c>
      <c r="G13372" s="18" t="str">
        <f>"98264"</f>
        <v>98264</v>
      </c>
      <c r="H13372" s="19" t="s">
        <v>36900</v>
      </c>
      <c r="I13372" s="20">
        <v>14.459</v>
      </c>
      <c r="J13372" s="44" t="s">
        <v>8</v>
      </c>
      <c r="K13372" s="23" t="s">
        <v>8</v>
      </c>
      <c r="L13372" s="23" t="s">
        <v>8</v>
      </c>
      <c r="M13372" s="23" t="s">
        <v>8</v>
      </c>
    </row>
    <row r="13373" spans="1:13" s="21" customFormat="1" x14ac:dyDescent="0.25">
      <c r="A13373" s="22" t="s">
        <v>8</v>
      </c>
      <c r="B13373" s="18" t="str">
        <f>"505407"</f>
        <v>505407</v>
      </c>
      <c r="C13373" s="19" t="s">
        <v>13145</v>
      </c>
      <c r="D13373" s="19" t="s">
        <v>28773</v>
      </c>
      <c r="E13373" s="19" t="s">
        <v>32618</v>
      </c>
      <c r="F13373" s="19" t="s">
        <v>36022</v>
      </c>
      <c r="G13373" s="18" t="str">
        <f>"98270"</f>
        <v>98270</v>
      </c>
      <c r="H13373" s="19" t="s">
        <v>35477</v>
      </c>
      <c r="I13373" s="20">
        <v>18.757000000000001</v>
      </c>
      <c r="J13373" s="44" t="s">
        <v>8</v>
      </c>
      <c r="K13373" s="23" t="s">
        <v>8</v>
      </c>
      <c r="L13373" s="23" t="s">
        <v>8</v>
      </c>
      <c r="M13373" s="23" t="s">
        <v>8</v>
      </c>
    </row>
    <row r="13374" spans="1:13" s="21" customFormat="1" x14ac:dyDescent="0.25">
      <c r="A13374" s="22" t="s">
        <v>8</v>
      </c>
      <c r="B13374" s="18" t="str">
        <f>"505409"</f>
        <v>505409</v>
      </c>
      <c r="C13374" s="19" t="s">
        <v>13146</v>
      </c>
      <c r="D13374" s="19" t="s">
        <v>28774</v>
      </c>
      <c r="E13374" s="19" t="s">
        <v>35434</v>
      </c>
      <c r="F13374" s="19" t="s">
        <v>36022</v>
      </c>
      <c r="G13374" s="18" t="str">
        <f>"98902"</f>
        <v>98902</v>
      </c>
      <c r="H13374" s="19" t="s">
        <v>35434</v>
      </c>
      <c r="I13374" s="20">
        <v>18.952000000000002</v>
      </c>
      <c r="J13374" s="44" t="s">
        <v>8</v>
      </c>
      <c r="K13374" s="23" t="s">
        <v>8</v>
      </c>
      <c r="L13374" s="23" t="s">
        <v>8</v>
      </c>
      <c r="M13374" s="23" t="s">
        <v>8</v>
      </c>
    </row>
    <row r="13375" spans="1:13" s="21" customFormat="1" x14ac:dyDescent="0.25">
      <c r="A13375" s="22" t="s">
        <v>8</v>
      </c>
      <c r="B13375" s="18" t="str">
        <f>"505410"</f>
        <v>505410</v>
      </c>
      <c r="C13375" s="19" t="s">
        <v>13147</v>
      </c>
      <c r="D13375" s="19" t="s">
        <v>28775</v>
      </c>
      <c r="E13375" s="19" t="s">
        <v>35488</v>
      </c>
      <c r="F13375" s="19" t="s">
        <v>36022</v>
      </c>
      <c r="G13375" s="18" t="str">
        <f>"98942"</f>
        <v>98942</v>
      </c>
      <c r="H13375" s="19" t="s">
        <v>35434</v>
      </c>
      <c r="I13375" s="20">
        <v>17.352</v>
      </c>
      <c r="J13375" s="44" t="s">
        <v>8</v>
      </c>
      <c r="K13375" s="23" t="s">
        <v>8</v>
      </c>
      <c r="L13375" s="23" t="s">
        <v>8</v>
      </c>
      <c r="M13375" s="23" t="s">
        <v>8</v>
      </c>
    </row>
    <row r="13376" spans="1:13" s="21" customFormat="1" x14ac:dyDescent="0.25">
      <c r="A13376" s="22" t="s">
        <v>8</v>
      </c>
      <c r="B13376" s="18" t="str">
        <f>"505411"</f>
        <v>505411</v>
      </c>
      <c r="C13376" s="19" t="s">
        <v>13148</v>
      </c>
      <c r="D13376" s="19" t="s">
        <v>28776</v>
      </c>
      <c r="E13376" s="19" t="s">
        <v>35435</v>
      </c>
      <c r="F13376" s="19" t="s">
        <v>36022</v>
      </c>
      <c r="G13376" s="18" t="str">
        <f>"99206"</f>
        <v>99206</v>
      </c>
      <c r="H13376" s="19" t="s">
        <v>35435</v>
      </c>
      <c r="I13376" s="20">
        <v>15.641999999999999</v>
      </c>
      <c r="J13376" s="44" t="s">
        <v>8</v>
      </c>
      <c r="K13376" s="23" t="s">
        <v>8</v>
      </c>
      <c r="L13376" s="23" t="s">
        <v>8</v>
      </c>
      <c r="M13376" s="23" t="s">
        <v>8</v>
      </c>
    </row>
    <row r="13377" spans="1:13" s="21" customFormat="1" x14ac:dyDescent="0.25">
      <c r="A13377" s="22" t="s">
        <v>8</v>
      </c>
      <c r="B13377" s="18" t="str">
        <f>"505413"</f>
        <v>505413</v>
      </c>
      <c r="C13377" s="19" t="s">
        <v>13149</v>
      </c>
      <c r="D13377" s="19" t="s">
        <v>28777</v>
      </c>
      <c r="E13377" s="19" t="s">
        <v>35480</v>
      </c>
      <c r="F13377" s="19" t="s">
        <v>36022</v>
      </c>
      <c r="G13377" s="18" t="str">
        <f>"98801"</f>
        <v>98801</v>
      </c>
      <c r="H13377" s="19" t="s">
        <v>36903</v>
      </c>
      <c r="I13377" s="20">
        <v>13.922000000000001</v>
      </c>
      <c r="J13377" s="44" t="s">
        <v>8</v>
      </c>
      <c r="K13377" s="23" t="s">
        <v>8</v>
      </c>
      <c r="L13377" s="23" t="s">
        <v>8</v>
      </c>
      <c r="M13377" s="23" t="s">
        <v>8</v>
      </c>
    </row>
    <row r="13378" spans="1:13" s="21" customFormat="1" x14ac:dyDescent="0.25">
      <c r="A13378" s="22" t="s">
        <v>8</v>
      </c>
      <c r="B13378" s="18" t="str">
        <f>"505414"</f>
        <v>505414</v>
      </c>
      <c r="C13378" s="19" t="s">
        <v>13150</v>
      </c>
      <c r="D13378" s="19" t="s">
        <v>28778</v>
      </c>
      <c r="E13378" s="19" t="s">
        <v>35435</v>
      </c>
      <c r="F13378" s="19" t="s">
        <v>36022</v>
      </c>
      <c r="G13378" s="18" t="str">
        <f>"99202"</f>
        <v>99202</v>
      </c>
      <c r="H13378" s="19" t="s">
        <v>35435</v>
      </c>
      <c r="I13378" s="20">
        <v>17.622</v>
      </c>
      <c r="J13378" s="44" t="s">
        <v>8</v>
      </c>
      <c r="K13378" s="23" t="s">
        <v>8</v>
      </c>
      <c r="L13378" s="23" t="s">
        <v>8</v>
      </c>
      <c r="M13378" s="23" t="s">
        <v>8</v>
      </c>
    </row>
    <row r="13379" spans="1:13" s="21" customFormat="1" x14ac:dyDescent="0.25">
      <c r="A13379" s="22" t="s">
        <v>8</v>
      </c>
      <c r="B13379" s="18" t="str">
        <f>"505415"</f>
        <v>505415</v>
      </c>
      <c r="C13379" s="19" t="s">
        <v>13151</v>
      </c>
      <c r="D13379" s="19" t="s">
        <v>28779</v>
      </c>
      <c r="E13379" s="19" t="s">
        <v>35489</v>
      </c>
      <c r="F13379" s="19" t="s">
        <v>36022</v>
      </c>
      <c r="G13379" s="18" t="str">
        <f>"99033"</f>
        <v>99033</v>
      </c>
      <c r="H13379" s="19" t="s">
        <v>36906</v>
      </c>
      <c r="I13379" s="20">
        <v>18.588999999999999</v>
      </c>
      <c r="J13379" s="44" t="s">
        <v>8</v>
      </c>
      <c r="K13379" s="23" t="s">
        <v>8</v>
      </c>
      <c r="L13379" s="23" t="s">
        <v>8</v>
      </c>
      <c r="M13379" s="23" t="s">
        <v>8</v>
      </c>
    </row>
    <row r="13380" spans="1:13" s="21" customFormat="1" x14ac:dyDescent="0.25">
      <c r="A13380" s="22" t="s">
        <v>8</v>
      </c>
      <c r="B13380" s="18" t="str">
        <f>"505416"</f>
        <v>505416</v>
      </c>
      <c r="C13380" s="19" t="s">
        <v>13152</v>
      </c>
      <c r="D13380" s="19" t="s">
        <v>28780</v>
      </c>
      <c r="E13380" s="19" t="s">
        <v>35433</v>
      </c>
      <c r="F13380" s="19" t="s">
        <v>36022</v>
      </c>
      <c r="G13380" s="18" t="str">
        <f>"98133"</f>
        <v>98133</v>
      </c>
      <c r="H13380" s="19" t="s">
        <v>34327</v>
      </c>
      <c r="I13380" s="20">
        <v>17.71</v>
      </c>
      <c r="J13380" s="44" t="s">
        <v>8</v>
      </c>
      <c r="K13380" s="23" t="s">
        <v>8</v>
      </c>
      <c r="L13380" s="23" t="s">
        <v>8</v>
      </c>
      <c r="M13380" s="23" t="s">
        <v>8</v>
      </c>
    </row>
    <row r="13381" spans="1:13" s="21" customFormat="1" x14ac:dyDescent="0.25">
      <c r="A13381" s="22" t="s">
        <v>8</v>
      </c>
      <c r="B13381" s="18" t="str">
        <f>"505417"</f>
        <v>505417</v>
      </c>
      <c r="C13381" s="19" t="s">
        <v>13153</v>
      </c>
      <c r="D13381" s="19" t="s">
        <v>28781</v>
      </c>
      <c r="E13381" s="19" t="s">
        <v>35433</v>
      </c>
      <c r="F13381" s="19" t="s">
        <v>36022</v>
      </c>
      <c r="G13381" s="18" t="str">
        <f>"98125"</f>
        <v>98125</v>
      </c>
      <c r="H13381" s="19" t="s">
        <v>34327</v>
      </c>
      <c r="I13381" s="20">
        <v>18.716999999999999</v>
      </c>
      <c r="J13381" s="44" t="s">
        <v>8</v>
      </c>
      <c r="K13381" s="23" t="s">
        <v>8</v>
      </c>
      <c r="L13381" s="23" t="s">
        <v>8</v>
      </c>
      <c r="M13381" s="23" t="s">
        <v>8</v>
      </c>
    </row>
    <row r="13382" spans="1:13" s="21" customFormat="1" x14ac:dyDescent="0.25">
      <c r="A13382" s="22" t="s">
        <v>8</v>
      </c>
      <c r="B13382" s="18" t="str">
        <f>"505418"</f>
        <v>505418</v>
      </c>
      <c r="C13382" s="19" t="s">
        <v>13154</v>
      </c>
      <c r="D13382" s="19" t="s">
        <v>28782</v>
      </c>
      <c r="E13382" s="19" t="s">
        <v>35432</v>
      </c>
      <c r="F13382" s="19" t="s">
        <v>36022</v>
      </c>
      <c r="G13382" s="18" t="str">
        <f>"98029"</f>
        <v>98029</v>
      </c>
      <c r="H13382" s="19" t="s">
        <v>34327</v>
      </c>
      <c r="I13382" s="20">
        <v>20.655000000000001</v>
      </c>
      <c r="J13382" s="44" t="s">
        <v>8</v>
      </c>
      <c r="K13382" s="23" t="s">
        <v>8</v>
      </c>
      <c r="L13382" s="23" t="s">
        <v>8</v>
      </c>
      <c r="M13382" s="23" t="s">
        <v>8</v>
      </c>
    </row>
    <row r="13383" spans="1:13" s="21" customFormat="1" x14ac:dyDescent="0.25">
      <c r="A13383" s="22" t="s">
        <v>8</v>
      </c>
      <c r="B13383" s="18" t="str">
        <f>"505421"</f>
        <v>505421</v>
      </c>
      <c r="C13383" s="19" t="s">
        <v>13155</v>
      </c>
      <c r="D13383" s="19" t="s">
        <v>28783</v>
      </c>
      <c r="E13383" s="19" t="s">
        <v>35437</v>
      </c>
      <c r="F13383" s="19" t="s">
        <v>36022</v>
      </c>
      <c r="G13383" s="18" t="str">
        <f>"99362"</f>
        <v>99362</v>
      </c>
      <c r="H13383" s="19" t="s">
        <v>35437</v>
      </c>
      <c r="I13383" s="20">
        <v>20.288</v>
      </c>
      <c r="J13383" s="44" t="s">
        <v>8</v>
      </c>
      <c r="K13383" s="23" t="s">
        <v>8</v>
      </c>
      <c r="L13383" s="23" t="s">
        <v>8</v>
      </c>
      <c r="M13383" s="23" t="s">
        <v>8</v>
      </c>
    </row>
    <row r="13384" spans="1:13" s="21" customFormat="1" x14ac:dyDescent="0.25">
      <c r="A13384" s="22" t="s">
        <v>8</v>
      </c>
      <c r="B13384" s="18" t="str">
        <f>"505422"</f>
        <v>505422</v>
      </c>
      <c r="C13384" s="19" t="s">
        <v>13156</v>
      </c>
      <c r="D13384" s="19" t="s">
        <v>28784</v>
      </c>
      <c r="E13384" s="19" t="s">
        <v>31058</v>
      </c>
      <c r="F13384" s="19" t="s">
        <v>36022</v>
      </c>
      <c r="G13384" s="18" t="str">
        <f>"99156"</f>
        <v>99156</v>
      </c>
      <c r="H13384" s="19" t="s">
        <v>36911</v>
      </c>
      <c r="I13384" s="20">
        <v>18.542999999999999</v>
      </c>
      <c r="J13384" s="44" t="s">
        <v>8</v>
      </c>
      <c r="K13384" s="23" t="s">
        <v>8</v>
      </c>
      <c r="L13384" s="23" t="s">
        <v>8</v>
      </c>
      <c r="M13384" s="23" t="s">
        <v>8</v>
      </c>
    </row>
    <row r="13385" spans="1:13" s="21" customFormat="1" x14ac:dyDescent="0.25">
      <c r="A13385" s="22" t="s">
        <v>8</v>
      </c>
      <c r="B13385" s="18" t="str">
        <f>"505429"</f>
        <v>505429</v>
      </c>
      <c r="C13385" s="19" t="s">
        <v>927</v>
      </c>
      <c r="D13385" s="19" t="s">
        <v>28785</v>
      </c>
      <c r="E13385" s="19" t="s">
        <v>32063</v>
      </c>
      <c r="F13385" s="19" t="s">
        <v>36022</v>
      </c>
      <c r="G13385" s="18" t="str">
        <f>"98531"</f>
        <v>98531</v>
      </c>
      <c r="H13385" s="19" t="s">
        <v>36336</v>
      </c>
      <c r="I13385" s="20">
        <v>16.327999999999999</v>
      </c>
      <c r="J13385" s="44" t="s">
        <v>8</v>
      </c>
      <c r="K13385" s="23" t="s">
        <v>8</v>
      </c>
      <c r="L13385" s="23" t="s">
        <v>8</v>
      </c>
      <c r="M13385" s="23" t="s">
        <v>8</v>
      </c>
    </row>
    <row r="13386" spans="1:13" s="21" customFormat="1" x14ac:dyDescent="0.25">
      <c r="A13386" s="22" t="s">
        <v>8</v>
      </c>
      <c r="B13386" s="18" t="str">
        <f>"505430"</f>
        <v>505430</v>
      </c>
      <c r="C13386" s="19" t="s">
        <v>13157</v>
      </c>
      <c r="D13386" s="19" t="s">
        <v>28786</v>
      </c>
      <c r="E13386" s="19" t="s">
        <v>33082</v>
      </c>
      <c r="F13386" s="19" t="s">
        <v>36022</v>
      </c>
      <c r="G13386" s="18" t="str">
        <f>"98812"</f>
        <v>98812</v>
      </c>
      <c r="H13386" s="19" t="s">
        <v>36909</v>
      </c>
      <c r="I13386" s="20">
        <v>17.957999999999998</v>
      </c>
      <c r="J13386" s="44" t="s">
        <v>8</v>
      </c>
      <c r="K13386" s="23" t="s">
        <v>8</v>
      </c>
      <c r="L13386" s="23" t="s">
        <v>8</v>
      </c>
      <c r="M13386" s="23" t="s">
        <v>8</v>
      </c>
    </row>
    <row r="13387" spans="1:13" s="21" customFormat="1" x14ac:dyDescent="0.25">
      <c r="A13387" s="22" t="s">
        <v>8</v>
      </c>
      <c r="B13387" s="18" t="str">
        <f>"505431"</f>
        <v>505431</v>
      </c>
      <c r="C13387" s="19" t="s">
        <v>13158</v>
      </c>
      <c r="D13387" s="19" t="s">
        <v>28787</v>
      </c>
      <c r="E13387" s="19" t="s">
        <v>35490</v>
      </c>
      <c r="F13387" s="19" t="s">
        <v>36022</v>
      </c>
      <c r="G13387" s="18" t="str">
        <f>"98021"</f>
        <v>98021</v>
      </c>
      <c r="H13387" s="19" t="s">
        <v>35477</v>
      </c>
      <c r="I13387" s="20">
        <v>17.056999999999999</v>
      </c>
      <c r="J13387" s="44" t="s">
        <v>8</v>
      </c>
      <c r="K13387" s="23" t="s">
        <v>8</v>
      </c>
      <c r="L13387" s="23" t="s">
        <v>8</v>
      </c>
      <c r="M13387" s="23" t="s">
        <v>8</v>
      </c>
    </row>
    <row r="13388" spans="1:13" s="21" customFormat="1" x14ac:dyDescent="0.25">
      <c r="A13388" s="22" t="s">
        <v>8</v>
      </c>
      <c r="B13388" s="18" t="str">
        <f>"505434"</f>
        <v>505434</v>
      </c>
      <c r="C13388" s="19" t="s">
        <v>13159</v>
      </c>
      <c r="D13388" s="19" t="s">
        <v>28788</v>
      </c>
      <c r="E13388" s="19" t="s">
        <v>35472</v>
      </c>
      <c r="F13388" s="19" t="s">
        <v>36022</v>
      </c>
      <c r="G13388" s="18" t="str">
        <f>"98037"</f>
        <v>98037</v>
      </c>
      <c r="H13388" s="19" t="s">
        <v>35477</v>
      </c>
      <c r="I13388" s="20">
        <v>19.463000000000001</v>
      </c>
      <c r="J13388" s="44" t="s">
        <v>8</v>
      </c>
      <c r="K13388" s="23" t="s">
        <v>8</v>
      </c>
      <c r="L13388" s="23" t="s">
        <v>8</v>
      </c>
      <c r="M13388" s="23" t="s">
        <v>8</v>
      </c>
    </row>
    <row r="13389" spans="1:13" s="21" customFormat="1" x14ac:dyDescent="0.25">
      <c r="A13389" s="22" t="s">
        <v>8</v>
      </c>
      <c r="B13389" s="18" t="str">
        <f>"505435"</f>
        <v>505435</v>
      </c>
      <c r="C13389" s="19" t="s">
        <v>13160</v>
      </c>
      <c r="D13389" s="19" t="s">
        <v>28789</v>
      </c>
      <c r="E13389" s="19" t="s">
        <v>35442</v>
      </c>
      <c r="F13389" s="19" t="s">
        <v>36022</v>
      </c>
      <c r="G13389" s="18" t="str">
        <f>"98406"</f>
        <v>98406</v>
      </c>
      <c r="H13389" s="19" t="s">
        <v>33791</v>
      </c>
      <c r="I13389" s="20">
        <v>14.231</v>
      </c>
      <c r="J13389" s="44" t="s">
        <v>8</v>
      </c>
      <c r="K13389" s="23" t="s">
        <v>8</v>
      </c>
      <c r="L13389" s="23" t="s">
        <v>8</v>
      </c>
      <c r="M13389" s="23" t="s">
        <v>8</v>
      </c>
    </row>
    <row r="13390" spans="1:13" s="21" customFormat="1" x14ac:dyDescent="0.25">
      <c r="A13390" s="22" t="s">
        <v>8</v>
      </c>
      <c r="B13390" s="18" t="str">
        <f>"505436"</f>
        <v>505436</v>
      </c>
      <c r="C13390" s="19" t="s">
        <v>13161</v>
      </c>
      <c r="D13390" s="19" t="s">
        <v>28790</v>
      </c>
      <c r="E13390" s="19" t="s">
        <v>35491</v>
      </c>
      <c r="F13390" s="19" t="s">
        <v>36022</v>
      </c>
      <c r="G13390" s="18" t="str">
        <f>"98335"</f>
        <v>98335</v>
      </c>
      <c r="H13390" s="19" t="s">
        <v>33791</v>
      </c>
      <c r="I13390" s="20">
        <v>17.933</v>
      </c>
      <c r="J13390" s="44" t="s">
        <v>8</v>
      </c>
      <c r="K13390" s="23" t="s">
        <v>8</v>
      </c>
      <c r="L13390" s="23" t="s">
        <v>8</v>
      </c>
      <c r="M13390" s="23" t="s">
        <v>8</v>
      </c>
    </row>
    <row r="13391" spans="1:13" s="21" customFormat="1" x14ac:dyDescent="0.25">
      <c r="A13391" s="22" t="s">
        <v>8</v>
      </c>
      <c r="B13391" s="18" t="str">
        <f>"505438"</f>
        <v>505438</v>
      </c>
      <c r="C13391" s="19" t="s">
        <v>13162</v>
      </c>
      <c r="D13391" s="19" t="s">
        <v>28791</v>
      </c>
      <c r="E13391" s="19" t="s">
        <v>35433</v>
      </c>
      <c r="F13391" s="19" t="s">
        <v>36022</v>
      </c>
      <c r="G13391" s="18" t="str">
        <f>"98122"</f>
        <v>98122</v>
      </c>
      <c r="H13391" s="19" t="s">
        <v>34327</v>
      </c>
      <c r="I13391" s="20">
        <v>15.193</v>
      </c>
      <c r="J13391" s="44" t="s">
        <v>8</v>
      </c>
      <c r="K13391" s="23" t="s">
        <v>8</v>
      </c>
      <c r="L13391" s="23" t="s">
        <v>8</v>
      </c>
      <c r="M13391" s="23" t="s">
        <v>8</v>
      </c>
    </row>
    <row r="13392" spans="1:13" s="21" customFormat="1" x14ac:dyDescent="0.25">
      <c r="A13392" s="22" t="s">
        <v>8</v>
      </c>
      <c r="B13392" s="18" t="str">
        <f>"505439"</f>
        <v>505439</v>
      </c>
      <c r="C13392" s="19" t="s">
        <v>11737</v>
      </c>
      <c r="D13392" s="19" t="s">
        <v>28792</v>
      </c>
      <c r="E13392" s="19" t="s">
        <v>35433</v>
      </c>
      <c r="F13392" s="19" t="s">
        <v>36022</v>
      </c>
      <c r="G13392" s="18" t="str">
        <f>"98119"</f>
        <v>98119</v>
      </c>
      <c r="H13392" s="19" t="s">
        <v>34327</v>
      </c>
      <c r="I13392" s="20">
        <v>15.603</v>
      </c>
      <c r="J13392" s="44" t="s">
        <v>8</v>
      </c>
      <c r="K13392" s="23" t="s">
        <v>8</v>
      </c>
      <c r="L13392" s="23" t="s">
        <v>8</v>
      </c>
      <c r="M13392" s="23" t="s">
        <v>8</v>
      </c>
    </row>
    <row r="13393" spans="1:13" s="21" customFormat="1" x14ac:dyDescent="0.25">
      <c r="A13393" s="22" t="s">
        <v>8</v>
      </c>
      <c r="B13393" s="18" t="str">
        <f>"505441"</f>
        <v>505441</v>
      </c>
      <c r="C13393" s="19" t="s">
        <v>13163</v>
      </c>
      <c r="D13393" s="19" t="s">
        <v>28793</v>
      </c>
      <c r="E13393" s="19" t="s">
        <v>35435</v>
      </c>
      <c r="F13393" s="19" t="s">
        <v>36022</v>
      </c>
      <c r="G13393" s="18" t="str">
        <f>"99205"</f>
        <v>99205</v>
      </c>
      <c r="H13393" s="19" t="s">
        <v>35435</v>
      </c>
      <c r="I13393" s="20">
        <v>15.568</v>
      </c>
      <c r="J13393" s="44" t="s">
        <v>8</v>
      </c>
      <c r="K13393" s="23" t="s">
        <v>8</v>
      </c>
      <c r="L13393" s="23" t="s">
        <v>8</v>
      </c>
      <c r="M13393" s="23" t="s">
        <v>8</v>
      </c>
    </row>
    <row r="13394" spans="1:13" s="21" customFormat="1" x14ac:dyDescent="0.25">
      <c r="A13394" s="22" t="s">
        <v>8</v>
      </c>
      <c r="B13394" s="18" t="str">
        <f>"505442"</f>
        <v>505442</v>
      </c>
      <c r="C13394" s="19" t="s">
        <v>13164</v>
      </c>
      <c r="D13394" s="19" t="s">
        <v>28794</v>
      </c>
      <c r="E13394" s="19" t="s">
        <v>35433</v>
      </c>
      <c r="F13394" s="19" t="s">
        <v>36022</v>
      </c>
      <c r="G13394" s="18" t="str">
        <f>"98118"</f>
        <v>98118</v>
      </c>
      <c r="H13394" s="19" t="s">
        <v>34327</v>
      </c>
      <c r="I13394" s="20">
        <v>15.273</v>
      </c>
      <c r="J13394" s="44" t="s">
        <v>8</v>
      </c>
      <c r="K13394" s="23" t="s">
        <v>8</v>
      </c>
      <c r="L13394" s="23" t="s">
        <v>8</v>
      </c>
      <c r="M13394" s="23" t="s">
        <v>8</v>
      </c>
    </row>
    <row r="13395" spans="1:13" s="21" customFormat="1" x14ac:dyDescent="0.25">
      <c r="A13395" s="22" t="s">
        <v>8</v>
      </c>
      <c r="B13395" s="18" t="str">
        <f>"505452"</f>
        <v>505452</v>
      </c>
      <c r="C13395" s="19" t="s">
        <v>13165</v>
      </c>
      <c r="D13395" s="19" t="s">
        <v>28795</v>
      </c>
      <c r="E13395" s="19" t="s">
        <v>35473</v>
      </c>
      <c r="F13395" s="19" t="s">
        <v>36022</v>
      </c>
      <c r="G13395" s="18" t="str">
        <f>"98110"</f>
        <v>98110</v>
      </c>
      <c r="H13395" s="19" t="s">
        <v>36901</v>
      </c>
      <c r="I13395" s="20">
        <v>18.378</v>
      </c>
      <c r="J13395" s="44" t="s">
        <v>8</v>
      </c>
      <c r="K13395" s="23" t="s">
        <v>8</v>
      </c>
      <c r="L13395" s="23" t="s">
        <v>8</v>
      </c>
      <c r="M13395" s="23" t="s">
        <v>8</v>
      </c>
    </row>
    <row r="13396" spans="1:13" s="21" customFormat="1" x14ac:dyDescent="0.25">
      <c r="A13396" s="22" t="s">
        <v>8</v>
      </c>
      <c r="B13396" s="18" t="str">
        <f>"505453"</f>
        <v>505453</v>
      </c>
      <c r="C13396" s="19" t="s">
        <v>13166</v>
      </c>
      <c r="D13396" s="19" t="s">
        <v>28796</v>
      </c>
      <c r="E13396" s="19" t="s">
        <v>35433</v>
      </c>
      <c r="F13396" s="19" t="s">
        <v>36022</v>
      </c>
      <c r="G13396" s="18" t="str">
        <f>"98118"</f>
        <v>98118</v>
      </c>
      <c r="H13396" s="19" t="s">
        <v>34327</v>
      </c>
      <c r="I13396" s="20">
        <v>17.399000000000001</v>
      </c>
      <c r="J13396" s="44" t="s">
        <v>8</v>
      </c>
      <c r="K13396" s="23" t="s">
        <v>8</v>
      </c>
      <c r="L13396" s="23" t="s">
        <v>8</v>
      </c>
      <c r="M13396" s="23" t="s">
        <v>8</v>
      </c>
    </row>
    <row r="13397" spans="1:13" s="21" customFormat="1" x14ac:dyDescent="0.25">
      <c r="A13397" s="22" t="s">
        <v>8</v>
      </c>
      <c r="B13397" s="18" t="str">
        <f>"505454"</f>
        <v>505454</v>
      </c>
      <c r="C13397" s="19" t="s">
        <v>13167</v>
      </c>
      <c r="D13397" s="19" t="s">
        <v>28797</v>
      </c>
      <c r="E13397" s="19" t="s">
        <v>35492</v>
      </c>
      <c r="F13397" s="19" t="s">
        <v>36022</v>
      </c>
      <c r="G13397" s="18" t="str">
        <f>"98855"</f>
        <v>98855</v>
      </c>
      <c r="H13397" s="19" t="s">
        <v>36909</v>
      </c>
      <c r="I13397" s="20">
        <v>18.681999999999999</v>
      </c>
      <c r="J13397" s="44" t="s">
        <v>8</v>
      </c>
      <c r="K13397" s="23" t="s">
        <v>8</v>
      </c>
      <c r="L13397" s="23" t="s">
        <v>8</v>
      </c>
      <c r="M13397" s="23" t="s">
        <v>8</v>
      </c>
    </row>
    <row r="13398" spans="1:13" s="21" customFormat="1" x14ac:dyDescent="0.25">
      <c r="A13398" s="22" t="s">
        <v>8</v>
      </c>
      <c r="B13398" s="18" t="str">
        <f>"505455"</f>
        <v>505455</v>
      </c>
      <c r="C13398" s="19" t="s">
        <v>13168</v>
      </c>
      <c r="D13398" s="19" t="s">
        <v>28798</v>
      </c>
      <c r="E13398" s="19" t="s">
        <v>32339</v>
      </c>
      <c r="F13398" s="19" t="s">
        <v>36022</v>
      </c>
      <c r="G13398" s="18" t="str">
        <f>"98198"</f>
        <v>98198</v>
      </c>
      <c r="H13398" s="19" t="s">
        <v>34327</v>
      </c>
      <c r="I13398" s="20">
        <v>19.812000000000001</v>
      </c>
      <c r="J13398" s="44" t="s">
        <v>8</v>
      </c>
      <c r="K13398" s="23" t="s">
        <v>8</v>
      </c>
      <c r="L13398" s="23" t="s">
        <v>8</v>
      </c>
      <c r="M13398" s="23" t="s">
        <v>8</v>
      </c>
    </row>
    <row r="13399" spans="1:13" s="21" customFormat="1" x14ac:dyDescent="0.25">
      <c r="A13399" s="22" t="s">
        <v>8</v>
      </c>
      <c r="B13399" s="18" t="str">
        <f>"505459"</f>
        <v>505459</v>
      </c>
      <c r="C13399" s="19" t="s">
        <v>13169</v>
      </c>
      <c r="D13399" s="19" t="s">
        <v>28799</v>
      </c>
      <c r="E13399" s="19" t="s">
        <v>35493</v>
      </c>
      <c r="F13399" s="19" t="s">
        <v>36022</v>
      </c>
      <c r="G13399" s="18" t="str">
        <f>"98558"</f>
        <v>98558</v>
      </c>
      <c r="H13399" s="19" t="s">
        <v>33791</v>
      </c>
      <c r="I13399" s="20">
        <v>18.41</v>
      </c>
      <c r="J13399" s="44" t="s">
        <v>8</v>
      </c>
      <c r="K13399" s="23" t="s">
        <v>8</v>
      </c>
      <c r="L13399" s="23" t="s">
        <v>8</v>
      </c>
      <c r="M13399" s="23" t="s">
        <v>8</v>
      </c>
    </row>
    <row r="13400" spans="1:13" s="21" customFormat="1" x14ac:dyDescent="0.25">
      <c r="A13400" s="22" t="s">
        <v>8</v>
      </c>
      <c r="B13400" s="18" t="str">
        <f>"505462"</f>
        <v>505462</v>
      </c>
      <c r="C13400" s="19" t="s">
        <v>13170</v>
      </c>
      <c r="D13400" s="19" t="s">
        <v>28800</v>
      </c>
      <c r="E13400" s="19" t="s">
        <v>35433</v>
      </c>
      <c r="F13400" s="19" t="s">
        <v>36022</v>
      </c>
      <c r="G13400" s="18" t="str">
        <f>"98155"</f>
        <v>98155</v>
      </c>
      <c r="H13400" s="19" t="s">
        <v>34327</v>
      </c>
      <c r="I13400" s="20">
        <v>18.241</v>
      </c>
      <c r="J13400" s="44" t="s">
        <v>8</v>
      </c>
      <c r="K13400" s="23" t="s">
        <v>8</v>
      </c>
      <c r="L13400" s="23" t="s">
        <v>8</v>
      </c>
      <c r="M13400" s="23" t="s">
        <v>8</v>
      </c>
    </row>
    <row r="13401" spans="1:13" s="21" customFormat="1" x14ac:dyDescent="0.25">
      <c r="A13401" s="22" t="s">
        <v>8</v>
      </c>
      <c r="B13401" s="18" t="str">
        <f>"505463"</f>
        <v>505463</v>
      </c>
      <c r="C13401" s="19" t="s">
        <v>13171</v>
      </c>
      <c r="D13401" s="19" t="s">
        <v>28801</v>
      </c>
      <c r="E13401" s="19" t="s">
        <v>33054</v>
      </c>
      <c r="F13401" s="19" t="s">
        <v>36022</v>
      </c>
      <c r="G13401" s="18" t="str">
        <f>"98203"</f>
        <v>98203</v>
      </c>
      <c r="H13401" s="19" t="s">
        <v>35477</v>
      </c>
      <c r="I13401" s="20">
        <v>18.141999999999999</v>
      </c>
      <c r="J13401" s="44" t="s">
        <v>8</v>
      </c>
      <c r="K13401" s="23" t="s">
        <v>8</v>
      </c>
      <c r="L13401" s="23" t="s">
        <v>8</v>
      </c>
      <c r="M13401" s="23" t="s">
        <v>8</v>
      </c>
    </row>
    <row r="13402" spans="1:13" s="21" customFormat="1" x14ac:dyDescent="0.25">
      <c r="A13402" s="22" t="s">
        <v>8</v>
      </c>
      <c r="B13402" s="18" t="str">
        <f>"505465"</f>
        <v>505465</v>
      </c>
      <c r="C13402" s="19" t="s">
        <v>13172</v>
      </c>
      <c r="D13402" s="19" t="s">
        <v>28802</v>
      </c>
      <c r="E13402" s="19" t="s">
        <v>35486</v>
      </c>
      <c r="F13402" s="19" t="s">
        <v>36022</v>
      </c>
      <c r="G13402" s="18" t="str">
        <f>"98292"</f>
        <v>98292</v>
      </c>
      <c r="H13402" s="19" t="s">
        <v>35477</v>
      </c>
      <c r="I13402" s="20">
        <v>16.606000000000002</v>
      </c>
      <c r="J13402" s="44" t="s">
        <v>8</v>
      </c>
      <c r="K13402" s="23" t="s">
        <v>8</v>
      </c>
      <c r="L13402" s="23" t="s">
        <v>8</v>
      </c>
      <c r="M13402" s="23" t="s">
        <v>8</v>
      </c>
    </row>
    <row r="13403" spans="1:13" s="21" customFormat="1" x14ac:dyDescent="0.25">
      <c r="A13403" s="22" t="s">
        <v>8</v>
      </c>
      <c r="B13403" s="18" t="str">
        <f>"505466"</f>
        <v>505466</v>
      </c>
      <c r="C13403" s="19" t="s">
        <v>13173</v>
      </c>
      <c r="D13403" s="19" t="s">
        <v>28803</v>
      </c>
      <c r="E13403" s="19" t="s">
        <v>35433</v>
      </c>
      <c r="F13403" s="19" t="s">
        <v>36022</v>
      </c>
      <c r="G13403" s="18" t="str">
        <f>"98136"</f>
        <v>98136</v>
      </c>
      <c r="H13403" s="19" t="s">
        <v>34327</v>
      </c>
      <c r="I13403" s="20">
        <v>18.094999999999999</v>
      </c>
      <c r="J13403" s="44" t="s">
        <v>8</v>
      </c>
      <c r="K13403" s="23" t="s">
        <v>8</v>
      </c>
      <c r="L13403" s="23" t="s">
        <v>8</v>
      </c>
      <c r="M13403" s="23" t="s">
        <v>8</v>
      </c>
    </row>
    <row r="13404" spans="1:13" s="21" customFormat="1" x14ac:dyDescent="0.25">
      <c r="A13404" s="22" t="s">
        <v>8</v>
      </c>
      <c r="B13404" s="18" t="str">
        <f>"505467"</f>
        <v>505467</v>
      </c>
      <c r="C13404" s="19" t="s">
        <v>13174</v>
      </c>
      <c r="D13404" s="19" t="s">
        <v>28804</v>
      </c>
      <c r="E13404" s="19" t="s">
        <v>35477</v>
      </c>
      <c r="F13404" s="19" t="s">
        <v>36022</v>
      </c>
      <c r="G13404" s="18" t="str">
        <f>"98290"</f>
        <v>98290</v>
      </c>
      <c r="H13404" s="19" t="s">
        <v>35477</v>
      </c>
      <c r="I13404" s="20">
        <v>18.54</v>
      </c>
      <c r="J13404" s="44" t="s">
        <v>8</v>
      </c>
      <c r="K13404" s="23" t="s">
        <v>8</v>
      </c>
      <c r="L13404" s="23" t="s">
        <v>8</v>
      </c>
      <c r="M13404" s="23" t="s">
        <v>8</v>
      </c>
    </row>
    <row r="13405" spans="1:13" s="21" customFormat="1" x14ac:dyDescent="0.25">
      <c r="A13405" s="22" t="s">
        <v>8</v>
      </c>
      <c r="B13405" s="18" t="str">
        <f>"505469"</f>
        <v>505469</v>
      </c>
      <c r="C13405" s="19" t="s">
        <v>13175</v>
      </c>
      <c r="D13405" s="19" t="s">
        <v>28805</v>
      </c>
      <c r="E13405" s="19" t="s">
        <v>35433</v>
      </c>
      <c r="F13405" s="19" t="s">
        <v>36022</v>
      </c>
      <c r="G13405" s="18" t="str">
        <f>"98104"</f>
        <v>98104</v>
      </c>
      <c r="H13405" s="19" t="s">
        <v>34327</v>
      </c>
      <c r="I13405" s="20">
        <v>16.262</v>
      </c>
      <c r="J13405" s="44" t="s">
        <v>8</v>
      </c>
      <c r="K13405" s="23" t="s">
        <v>8</v>
      </c>
      <c r="L13405" s="23" t="s">
        <v>8</v>
      </c>
      <c r="M13405" s="23" t="s">
        <v>8</v>
      </c>
    </row>
    <row r="13406" spans="1:13" s="21" customFormat="1" x14ac:dyDescent="0.25">
      <c r="A13406" s="22" t="s">
        <v>8</v>
      </c>
      <c r="B13406" s="18" t="str">
        <f>"505470"</f>
        <v>505470</v>
      </c>
      <c r="C13406" s="19" t="s">
        <v>13176</v>
      </c>
      <c r="D13406" s="19" t="s">
        <v>28806</v>
      </c>
      <c r="E13406" s="19" t="s">
        <v>35433</v>
      </c>
      <c r="F13406" s="19" t="s">
        <v>36022</v>
      </c>
      <c r="G13406" s="18" t="str">
        <f>"98103"</f>
        <v>98103</v>
      </c>
      <c r="H13406" s="19" t="s">
        <v>34327</v>
      </c>
      <c r="I13406" s="20">
        <v>14.69</v>
      </c>
      <c r="J13406" s="44" t="s">
        <v>8</v>
      </c>
      <c r="K13406" s="23" t="s">
        <v>8</v>
      </c>
      <c r="L13406" s="23" t="s">
        <v>8</v>
      </c>
      <c r="M13406" s="23" t="s">
        <v>8</v>
      </c>
    </row>
    <row r="13407" spans="1:13" s="21" customFormat="1" x14ac:dyDescent="0.25">
      <c r="A13407" s="22" t="s">
        <v>8</v>
      </c>
      <c r="B13407" s="18" t="str">
        <f>"505473"</f>
        <v>505473</v>
      </c>
      <c r="C13407" s="19" t="s">
        <v>13177</v>
      </c>
      <c r="D13407" s="19" t="s">
        <v>28807</v>
      </c>
      <c r="E13407" s="19" t="s">
        <v>35494</v>
      </c>
      <c r="F13407" s="19" t="s">
        <v>36022</v>
      </c>
      <c r="G13407" s="18" t="str">
        <f>"98467"</f>
        <v>98467</v>
      </c>
      <c r="H13407" s="19" t="s">
        <v>33791</v>
      </c>
      <c r="I13407" s="20">
        <v>18.356999999999999</v>
      </c>
      <c r="J13407" s="44" t="s">
        <v>8</v>
      </c>
      <c r="K13407" s="23" t="s">
        <v>8</v>
      </c>
      <c r="L13407" s="23" t="s">
        <v>8</v>
      </c>
      <c r="M13407" s="23" t="s">
        <v>8</v>
      </c>
    </row>
    <row r="13408" spans="1:13" s="21" customFormat="1" x14ac:dyDescent="0.25">
      <c r="A13408" s="22" t="s">
        <v>8</v>
      </c>
      <c r="B13408" s="18" t="str">
        <f>"505474"</f>
        <v>505474</v>
      </c>
      <c r="C13408" s="19" t="s">
        <v>13178</v>
      </c>
      <c r="D13408" s="19" t="s">
        <v>28808</v>
      </c>
      <c r="E13408" s="19" t="s">
        <v>35495</v>
      </c>
      <c r="F13408" s="19" t="s">
        <v>36022</v>
      </c>
      <c r="G13408" s="18" t="str">
        <f>"98370"</f>
        <v>98370</v>
      </c>
      <c r="H13408" s="19" t="s">
        <v>36901</v>
      </c>
      <c r="I13408" s="20">
        <v>14.186999999999999</v>
      </c>
      <c r="J13408" s="44" t="s">
        <v>8</v>
      </c>
      <c r="K13408" s="23" t="s">
        <v>8</v>
      </c>
      <c r="L13408" s="23" t="s">
        <v>8</v>
      </c>
      <c r="M13408" s="23" t="s">
        <v>8</v>
      </c>
    </row>
    <row r="13409" spans="1:13" s="21" customFormat="1" x14ac:dyDescent="0.25">
      <c r="A13409" s="22" t="s">
        <v>8</v>
      </c>
      <c r="B13409" s="18" t="str">
        <f>"505475"</f>
        <v>505475</v>
      </c>
      <c r="C13409" s="19" t="s">
        <v>13179</v>
      </c>
      <c r="D13409" s="19" t="s">
        <v>28809</v>
      </c>
      <c r="E13409" s="19" t="s">
        <v>32339</v>
      </c>
      <c r="F13409" s="19" t="s">
        <v>36022</v>
      </c>
      <c r="G13409" s="18" t="str">
        <f>"98198"</f>
        <v>98198</v>
      </c>
      <c r="H13409" s="19" t="s">
        <v>34327</v>
      </c>
      <c r="I13409" s="20">
        <v>16.706</v>
      </c>
      <c r="J13409" s="44" t="s">
        <v>8</v>
      </c>
      <c r="K13409" s="23" t="s">
        <v>8</v>
      </c>
      <c r="L13409" s="23" t="s">
        <v>8</v>
      </c>
      <c r="M13409" s="23" t="s">
        <v>8</v>
      </c>
    </row>
    <row r="13410" spans="1:13" s="21" customFormat="1" x14ac:dyDescent="0.25">
      <c r="A13410" s="22" t="s">
        <v>8</v>
      </c>
      <c r="B13410" s="18" t="str">
        <f>"505478"</f>
        <v>505478</v>
      </c>
      <c r="C13410" s="19" t="s">
        <v>13180</v>
      </c>
      <c r="D13410" s="19" t="s">
        <v>28810</v>
      </c>
      <c r="E13410" s="19" t="s">
        <v>34771</v>
      </c>
      <c r="F13410" s="19" t="s">
        <v>36022</v>
      </c>
      <c r="G13410" s="18" t="str">
        <f>"98052"</f>
        <v>98052</v>
      </c>
      <c r="H13410" s="19" t="s">
        <v>34327</v>
      </c>
      <c r="I13410" s="20">
        <v>18.212</v>
      </c>
      <c r="J13410" s="44" t="s">
        <v>8</v>
      </c>
      <c r="K13410" s="23" t="s">
        <v>8</v>
      </c>
      <c r="L13410" s="23" t="s">
        <v>8</v>
      </c>
      <c r="M13410" s="23" t="s">
        <v>8</v>
      </c>
    </row>
    <row r="13411" spans="1:13" s="21" customFormat="1" x14ac:dyDescent="0.25">
      <c r="A13411" s="22" t="s">
        <v>8</v>
      </c>
      <c r="B13411" s="18" t="str">
        <f>"505483"</f>
        <v>505483</v>
      </c>
      <c r="C13411" s="19" t="s">
        <v>13181</v>
      </c>
      <c r="D13411" s="19" t="s">
        <v>28811</v>
      </c>
      <c r="E13411" s="19" t="s">
        <v>35442</v>
      </c>
      <c r="F13411" s="19" t="s">
        <v>36022</v>
      </c>
      <c r="G13411" s="18" t="str">
        <f>"98408"</f>
        <v>98408</v>
      </c>
      <c r="H13411" s="19" t="s">
        <v>33791</v>
      </c>
      <c r="I13411" s="20">
        <v>18.844999999999999</v>
      </c>
      <c r="J13411" s="44" t="s">
        <v>8</v>
      </c>
      <c r="K13411" s="23" t="s">
        <v>8</v>
      </c>
      <c r="L13411" s="23" t="s">
        <v>8</v>
      </c>
      <c r="M13411" s="23" t="s">
        <v>8</v>
      </c>
    </row>
    <row r="13412" spans="1:13" s="21" customFormat="1" x14ac:dyDescent="0.25">
      <c r="A13412" s="22" t="s">
        <v>8</v>
      </c>
      <c r="B13412" s="18" t="str">
        <f>"505484"</f>
        <v>505484</v>
      </c>
      <c r="C13412" s="19" t="s">
        <v>13182</v>
      </c>
      <c r="D13412" s="19" t="s">
        <v>28812</v>
      </c>
      <c r="E13412" s="19" t="s">
        <v>35496</v>
      </c>
      <c r="F13412" s="19" t="s">
        <v>36022</v>
      </c>
      <c r="G13412" s="18" t="str">
        <f>"98383"</f>
        <v>98383</v>
      </c>
      <c r="H13412" s="19" t="s">
        <v>36901</v>
      </c>
      <c r="I13412" s="20">
        <v>17</v>
      </c>
      <c r="J13412" s="44" t="s">
        <v>8</v>
      </c>
      <c r="K13412" s="23" t="s">
        <v>8</v>
      </c>
      <c r="L13412" s="23" t="s">
        <v>8</v>
      </c>
      <c r="M13412" s="23" t="s">
        <v>8</v>
      </c>
    </row>
    <row r="13413" spans="1:13" s="21" customFormat="1" x14ac:dyDescent="0.25">
      <c r="A13413" s="22" t="s">
        <v>8</v>
      </c>
      <c r="B13413" s="18" t="str">
        <f>"505485"</f>
        <v>505485</v>
      </c>
      <c r="C13413" s="19" t="s">
        <v>13183</v>
      </c>
      <c r="D13413" s="19" t="s">
        <v>28813</v>
      </c>
      <c r="E13413" s="19" t="s">
        <v>35454</v>
      </c>
      <c r="F13413" s="19" t="s">
        <v>36022</v>
      </c>
      <c r="G13413" s="18" t="str">
        <f>"98373"</f>
        <v>98373</v>
      </c>
      <c r="H13413" s="19" t="s">
        <v>33791</v>
      </c>
      <c r="I13413" s="20">
        <v>17.327999999999999</v>
      </c>
      <c r="J13413" s="44" t="s">
        <v>8</v>
      </c>
      <c r="K13413" s="23" t="s">
        <v>8</v>
      </c>
      <c r="L13413" s="23" t="s">
        <v>8</v>
      </c>
      <c r="M13413" s="23" t="s">
        <v>8</v>
      </c>
    </row>
    <row r="13414" spans="1:13" s="21" customFormat="1" x14ac:dyDescent="0.25">
      <c r="A13414" s="22" t="s">
        <v>8</v>
      </c>
      <c r="B13414" s="18" t="str">
        <f>"505488"</f>
        <v>505488</v>
      </c>
      <c r="C13414" s="19" t="s">
        <v>13184</v>
      </c>
      <c r="D13414" s="19" t="s">
        <v>28814</v>
      </c>
      <c r="E13414" s="19" t="s">
        <v>35433</v>
      </c>
      <c r="F13414" s="19" t="s">
        <v>36022</v>
      </c>
      <c r="G13414" s="18" t="str">
        <f>"98177"</f>
        <v>98177</v>
      </c>
      <c r="H13414" s="19" t="s">
        <v>34327</v>
      </c>
      <c r="I13414" s="20">
        <v>16.030999999999999</v>
      </c>
      <c r="J13414" s="44" t="s">
        <v>8</v>
      </c>
      <c r="K13414" s="23" t="s">
        <v>8</v>
      </c>
      <c r="L13414" s="23" t="s">
        <v>8</v>
      </c>
      <c r="M13414" s="23" t="s">
        <v>8</v>
      </c>
    </row>
    <row r="13415" spans="1:13" s="21" customFormat="1" x14ac:dyDescent="0.25">
      <c r="A13415" s="22" t="s">
        <v>8</v>
      </c>
      <c r="B13415" s="18" t="str">
        <f>"505489"</f>
        <v>505489</v>
      </c>
      <c r="C13415" s="19" t="s">
        <v>13185</v>
      </c>
      <c r="D13415" s="19" t="s">
        <v>28815</v>
      </c>
      <c r="E13415" s="19" t="s">
        <v>35433</v>
      </c>
      <c r="F13415" s="19" t="s">
        <v>36022</v>
      </c>
      <c r="G13415" s="18" t="str">
        <f>"98108"</f>
        <v>98108</v>
      </c>
      <c r="H13415" s="19" t="s">
        <v>34327</v>
      </c>
      <c r="I13415" s="20">
        <v>18.577999999999999</v>
      </c>
      <c r="J13415" s="44" t="s">
        <v>8</v>
      </c>
      <c r="K13415" s="23" t="s">
        <v>8</v>
      </c>
      <c r="L13415" s="23" t="s">
        <v>8</v>
      </c>
      <c r="M13415" s="23" t="s">
        <v>8</v>
      </c>
    </row>
    <row r="13416" spans="1:13" s="21" customFormat="1" x14ac:dyDescent="0.25">
      <c r="A13416" s="22" t="s">
        <v>8</v>
      </c>
      <c r="B13416" s="18" t="str">
        <f>"505491"</f>
        <v>505491</v>
      </c>
      <c r="C13416" s="19" t="s">
        <v>13186</v>
      </c>
      <c r="D13416" s="19" t="s">
        <v>28816</v>
      </c>
      <c r="E13416" s="19" t="s">
        <v>33054</v>
      </c>
      <c r="F13416" s="19" t="s">
        <v>36022</v>
      </c>
      <c r="G13416" s="18" t="str">
        <f>"98204"</f>
        <v>98204</v>
      </c>
      <c r="H13416" s="19" t="s">
        <v>35477</v>
      </c>
      <c r="I13416" s="20">
        <v>18.291</v>
      </c>
      <c r="J13416" s="44" t="s">
        <v>8</v>
      </c>
      <c r="K13416" s="23" t="s">
        <v>8</v>
      </c>
      <c r="L13416" s="23" t="s">
        <v>8</v>
      </c>
      <c r="M13416" s="23" t="s">
        <v>8</v>
      </c>
    </row>
    <row r="13417" spans="1:13" s="21" customFormat="1" x14ac:dyDescent="0.25">
      <c r="A13417" s="22" t="s">
        <v>8</v>
      </c>
      <c r="B13417" s="18" t="str">
        <f>"505493"</f>
        <v>505493</v>
      </c>
      <c r="C13417" s="19" t="s">
        <v>13187</v>
      </c>
      <c r="D13417" s="19" t="s">
        <v>28817</v>
      </c>
      <c r="E13417" s="19" t="s">
        <v>35433</v>
      </c>
      <c r="F13417" s="19" t="s">
        <v>36022</v>
      </c>
      <c r="G13417" s="18" t="str">
        <f>"98112"</f>
        <v>98112</v>
      </c>
      <c r="H13417" s="19" t="s">
        <v>34327</v>
      </c>
      <c r="I13417" s="20">
        <v>16.413</v>
      </c>
      <c r="J13417" s="44" t="s">
        <v>8</v>
      </c>
      <c r="K13417" s="23" t="s">
        <v>8</v>
      </c>
      <c r="L13417" s="23" t="s">
        <v>8</v>
      </c>
      <c r="M13417" s="23" t="s">
        <v>8</v>
      </c>
    </row>
    <row r="13418" spans="1:13" s="21" customFormat="1" x14ac:dyDescent="0.25">
      <c r="A13418" s="22" t="s">
        <v>8</v>
      </c>
      <c r="B13418" s="18" t="str">
        <f>"505496"</f>
        <v>505496</v>
      </c>
      <c r="C13418" s="19" t="s">
        <v>13188</v>
      </c>
      <c r="D13418" s="19" t="s">
        <v>28818</v>
      </c>
      <c r="E13418" s="19" t="s">
        <v>35435</v>
      </c>
      <c r="F13418" s="19" t="s">
        <v>36022</v>
      </c>
      <c r="G13418" s="18" t="str">
        <f>"99218"</f>
        <v>99218</v>
      </c>
      <c r="H13418" s="19" t="s">
        <v>35435</v>
      </c>
      <c r="I13418" s="20">
        <v>15.379</v>
      </c>
      <c r="J13418" s="44" t="s">
        <v>8</v>
      </c>
      <c r="K13418" s="23" t="s">
        <v>8</v>
      </c>
      <c r="L13418" s="23" t="s">
        <v>8</v>
      </c>
      <c r="M13418" s="23" t="s">
        <v>8</v>
      </c>
    </row>
    <row r="13419" spans="1:13" s="21" customFormat="1" x14ac:dyDescent="0.25">
      <c r="A13419" s="22" t="s">
        <v>8</v>
      </c>
      <c r="B13419" s="18" t="str">
        <f>"505498"</f>
        <v>505498</v>
      </c>
      <c r="C13419" s="19" t="s">
        <v>13189</v>
      </c>
      <c r="D13419" s="19" t="s">
        <v>28819</v>
      </c>
      <c r="E13419" s="19" t="s">
        <v>35435</v>
      </c>
      <c r="F13419" s="19" t="s">
        <v>36022</v>
      </c>
      <c r="G13419" s="18" t="str">
        <f>"99203"</f>
        <v>99203</v>
      </c>
      <c r="H13419" s="19" t="s">
        <v>35435</v>
      </c>
      <c r="I13419" s="20">
        <v>17.98</v>
      </c>
      <c r="J13419" s="44" t="s">
        <v>8</v>
      </c>
      <c r="K13419" s="23" t="s">
        <v>8</v>
      </c>
      <c r="L13419" s="23" t="s">
        <v>8</v>
      </c>
      <c r="M13419" s="23" t="s">
        <v>8</v>
      </c>
    </row>
    <row r="13420" spans="1:13" s="21" customFormat="1" x14ac:dyDescent="0.25">
      <c r="A13420" s="22" t="s">
        <v>8</v>
      </c>
      <c r="B13420" s="18" t="str">
        <f>"505499"</f>
        <v>505499</v>
      </c>
      <c r="C13420" s="19" t="s">
        <v>13190</v>
      </c>
      <c r="D13420" s="19" t="s">
        <v>28820</v>
      </c>
      <c r="E13420" s="19" t="s">
        <v>35491</v>
      </c>
      <c r="F13420" s="19" t="s">
        <v>36022</v>
      </c>
      <c r="G13420" s="18" t="str">
        <f>"98335"</f>
        <v>98335</v>
      </c>
      <c r="H13420" s="19" t="s">
        <v>33791</v>
      </c>
      <c r="I13420" s="20">
        <v>14.955</v>
      </c>
      <c r="J13420" s="44" t="s">
        <v>8</v>
      </c>
      <c r="K13420" s="23" t="s">
        <v>8</v>
      </c>
      <c r="L13420" s="23" t="s">
        <v>8</v>
      </c>
      <c r="M13420" s="23" t="s">
        <v>8</v>
      </c>
    </row>
    <row r="13421" spans="1:13" s="21" customFormat="1" x14ac:dyDescent="0.25">
      <c r="A13421" s="22" t="s">
        <v>8</v>
      </c>
      <c r="B13421" s="18" t="str">
        <f>"505500"</f>
        <v>505500</v>
      </c>
      <c r="C13421" s="19" t="s">
        <v>13191</v>
      </c>
      <c r="D13421" s="19" t="s">
        <v>28821</v>
      </c>
      <c r="E13421" s="19" t="s">
        <v>31892</v>
      </c>
      <c r="F13421" s="19" t="s">
        <v>36022</v>
      </c>
      <c r="G13421" s="18" t="str">
        <f>"98007"</f>
        <v>98007</v>
      </c>
      <c r="H13421" s="19" t="s">
        <v>34327</v>
      </c>
      <c r="I13421" s="20">
        <v>17.361999999999998</v>
      </c>
      <c r="J13421" s="44" t="s">
        <v>8</v>
      </c>
      <c r="K13421" s="23" t="s">
        <v>8</v>
      </c>
      <c r="L13421" s="23" t="s">
        <v>8</v>
      </c>
      <c r="M13421" s="23" t="s">
        <v>8</v>
      </c>
    </row>
    <row r="13422" spans="1:13" s="21" customFormat="1" x14ac:dyDescent="0.25">
      <c r="A13422" s="22" t="s">
        <v>8</v>
      </c>
      <c r="B13422" s="18" t="str">
        <f>"505503"</f>
        <v>505503</v>
      </c>
      <c r="C13422" s="19" t="s">
        <v>13192</v>
      </c>
      <c r="D13422" s="19" t="s">
        <v>28822</v>
      </c>
      <c r="E13422" s="19" t="s">
        <v>35497</v>
      </c>
      <c r="F13422" s="19" t="s">
        <v>36022</v>
      </c>
      <c r="G13422" s="18" t="str">
        <f>"98563"</f>
        <v>98563</v>
      </c>
      <c r="H13422" s="19" t="s">
        <v>36899</v>
      </c>
      <c r="I13422" s="20">
        <v>19.219000000000001</v>
      </c>
      <c r="J13422" s="44" t="s">
        <v>8</v>
      </c>
      <c r="K13422" s="23" t="s">
        <v>8</v>
      </c>
      <c r="L13422" s="23" t="s">
        <v>8</v>
      </c>
      <c r="M13422" s="23" t="s">
        <v>8</v>
      </c>
    </row>
    <row r="13423" spans="1:13" s="21" customFormat="1" x14ac:dyDescent="0.25">
      <c r="A13423" s="22" t="s">
        <v>8</v>
      </c>
      <c r="B13423" s="18" t="str">
        <f>"505504"</f>
        <v>505504</v>
      </c>
      <c r="C13423" s="19" t="s">
        <v>13193</v>
      </c>
      <c r="D13423" s="19" t="s">
        <v>28823</v>
      </c>
      <c r="E13423" s="19" t="s">
        <v>35498</v>
      </c>
      <c r="F13423" s="19" t="s">
        <v>36022</v>
      </c>
      <c r="G13423" s="18" t="str">
        <f>"98040"</f>
        <v>98040</v>
      </c>
      <c r="H13423" s="19" t="s">
        <v>34327</v>
      </c>
      <c r="I13423" s="20">
        <v>16.477</v>
      </c>
      <c r="J13423" s="44" t="s">
        <v>8</v>
      </c>
      <c r="K13423" s="23" t="s">
        <v>8</v>
      </c>
      <c r="L13423" s="23" t="s">
        <v>8</v>
      </c>
      <c r="M13423" s="23" t="s">
        <v>8</v>
      </c>
    </row>
    <row r="13424" spans="1:13" s="21" customFormat="1" x14ac:dyDescent="0.25">
      <c r="A13424" s="22" t="s">
        <v>8</v>
      </c>
      <c r="B13424" s="18" t="str">
        <f>"505505"</f>
        <v>505505</v>
      </c>
      <c r="C13424" s="19" t="s">
        <v>13194</v>
      </c>
      <c r="D13424" s="19" t="s">
        <v>28824</v>
      </c>
      <c r="E13424" s="19" t="s">
        <v>33054</v>
      </c>
      <c r="F13424" s="19" t="s">
        <v>36022</v>
      </c>
      <c r="G13424" s="18" t="str">
        <f>"98201"</f>
        <v>98201</v>
      </c>
      <c r="H13424" s="19" t="s">
        <v>35477</v>
      </c>
      <c r="I13424" s="20">
        <v>16.22</v>
      </c>
      <c r="J13424" s="44" t="s">
        <v>8</v>
      </c>
      <c r="K13424" s="23" t="s">
        <v>8</v>
      </c>
      <c r="L13424" s="23" t="s">
        <v>8</v>
      </c>
      <c r="M13424" s="23" t="s">
        <v>8</v>
      </c>
    </row>
    <row r="13425" spans="1:13" s="21" customFormat="1" x14ac:dyDescent="0.25">
      <c r="A13425" s="22" t="s">
        <v>8</v>
      </c>
      <c r="B13425" s="18" t="str">
        <f>"505507"</f>
        <v>505507</v>
      </c>
      <c r="C13425" s="19" t="s">
        <v>13195</v>
      </c>
      <c r="D13425" s="19" t="s">
        <v>28825</v>
      </c>
      <c r="E13425" s="19" t="s">
        <v>31399</v>
      </c>
      <c r="F13425" s="19" t="s">
        <v>36022</v>
      </c>
      <c r="G13425" s="18" t="str">
        <f>"98584"</f>
        <v>98584</v>
      </c>
      <c r="H13425" s="19" t="s">
        <v>34550</v>
      </c>
      <c r="I13425" s="20">
        <v>16.88</v>
      </c>
      <c r="J13425" s="44" t="s">
        <v>8</v>
      </c>
      <c r="K13425" s="23" t="s">
        <v>8</v>
      </c>
      <c r="L13425" s="23" t="s">
        <v>8</v>
      </c>
      <c r="M13425" s="23" t="s">
        <v>8</v>
      </c>
    </row>
    <row r="13426" spans="1:13" s="21" customFormat="1" x14ac:dyDescent="0.25">
      <c r="A13426" s="22" t="s">
        <v>8</v>
      </c>
      <c r="B13426" s="18" t="str">
        <f>"505508"</f>
        <v>505508</v>
      </c>
      <c r="C13426" s="19" t="s">
        <v>13196</v>
      </c>
      <c r="D13426" s="19" t="s">
        <v>28826</v>
      </c>
      <c r="E13426" s="19" t="s">
        <v>35435</v>
      </c>
      <c r="F13426" s="19" t="s">
        <v>36022</v>
      </c>
      <c r="G13426" s="18" t="str">
        <f>"99218"</f>
        <v>99218</v>
      </c>
      <c r="H13426" s="19" t="s">
        <v>35435</v>
      </c>
      <c r="I13426" s="20">
        <v>18.719000000000001</v>
      </c>
      <c r="J13426" s="44" t="s">
        <v>8</v>
      </c>
      <c r="K13426" s="23" t="s">
        <v>8</v>
      </c>
      <c r="L13426" s="23" t="s">
        <v>8</v>
      </c>
      <c r="M13426" s="23" t="s">
        <v>8</v>
      </c>
    </row>
    <row r="13427" spans="1:13" s="21" customFormat="1" x14ac:dyDescent="0.25">
      <c r="A13427" s="22" t="s">
        <v>8</v>
      </c>
      <c r="B13427" s="18" t="str">
        <f>"505509"</f>
        <v>505509</v>
      </c>
      <c r="C13427" s="19" t="s">
        <v>13197</v>
      </c>
      <c r="D13427" s="19" t="s">
        <v>28827</v>
      </c>
      <c r="E13427" s="19" t="s">
        <v>35435</v>
      </c>
      <c r="F13427" s="19" t="s">
        <v>36022</v>
      </c>
      <c r="G13427" s="18" t="str">
        <f>"99202"</f>
        <v>99202</v>
      </c>
      <c r="H13427" s="19" t="s">
        <v>35435</v>
      </c>
      <c r="I13427" s="20">
        <v>16.167000000000002</v>
      </c>
      <c r="J13427" s="44" t="s">
        <v>8</v>
      </c>
      <c r="K13427" s="23" t="s">
        <v>8</v>
      </c>
      <c r="L13427" s="23" t="s">
        <v>8</v>
      </c>
      <c r="M13427" s="23" t="s">
        <v>8</v>
      </c>
    </row>
    <row r="13428" spans="1:13" s="21" customFormat="1" x14ac:dyDescent="0.25">
      <c r="A13428" s="22" t="s">
        <v>8</v>
      </c>
      <c r="B13428" s="18" t="str">
        <f>"505510"</f>
        <v>505510</v>
      </c>
      <c r="C13428" s="19" t="s">
        <v>13198</v>
      </c>
      <c r="D13428" s="19" t="s">
        <v>28828</v>
      </c>
      <c r="E13428" s="19" t="s">
        <v>35450</v>
      </c>
      <c r="F13428" s="19" t="s">
        <v>36022</v>
      </c>
      <c r="G13428" s="18" t="str">
        <f>"98003"</f>
        <v>98003</v>
      </c>
      <c r="H13428" s="19" t="s">
        <v>34327</v>
      </c>
      <c r="I13428" s="20">
        <v>16.015999999999998</v>
      </c>
      <c r="J13428" s="44" t="s">
        <v>8</v>
      </c>
      <c r="K13428" s="23" t="s">
        <v>8</v>
      </c>
      <c r="L13428" s="23" t="s">
        <v>8</v>
      </c>
      <c r="M13428" s="23" t="s">
        <v>8</v>
      </c>
    </row>
    <row r="13429" spans="1:13" s="21" customFormat="1" x14ac:dyDescent="0.25">
      <c r="A13429" s="22" t="s">
        <v>8</v>
      </c>
      <c r="B13429" s="18" t="str">
        <f>"505511"</f>
        <v>505511</v>
      </c>
      <c r="C13429" s="19" t="s">
        <v>13199</v>
      </c>
      <c r="D13429" s="19" t="s">
        <v>28829</v>
      </c>
      <c r="E13429" s="19" t="s">
        <v>35433</v>
      </c>
      <c r="F13429" s="19" t="s">
        <v>36022</v>
      </c>
      <c r="G13429" s="18" t="str">
        <f>"98144"</f>
        <v>98144</v>
      </c>
      <c r="H13429" s="19" t="s">
        <v>34327</v>
      </c>
      <c r="I13429" s="20">
        <v>17.690999999999999</v>
      </c>
      <c r="J13429" s="44" t="s">
        <v>8</v>
      </c>
      <c r="K13429" s="23" t="s">
        <v>8</v>
      </c>
      <c r="L13429" s="23" t="s">
        <v>8</v>
      </c>
      <c r="M13429" s="23" t="s">
        <v>8</v>
      </c>
    </row>
    <row r="13430" spans="1:13" s="21" customFormat="1" x14ac:dyDescent="0.25">
      <c r="A13430" s="22" t="s">
        <v>8</v>
      </c>
      <c r="B13430" s="18" t="str">
        <f>"505512"</f>
        <v>505512</v>
      </c>
      <c r="C13430" s="19" t="s">
        <v>13200</v>
      </c>
      <c r="D13430" s="19" t="s">
        <v>28830</v>
      </c>
      <c r="E13430" s="19" t="s">
        <v>35450</v>
      </c>
      <c r="F13430" s="19" t="s">
        <v>36022</v>
      </c>
      <c r="G13430" s="18" t="str">
        <f>"98003"</f>
        <v>98003</v>
      </c>
      <c r="H13430" s="19" t="s">
        <v>34327</v>
      </c>
      <c r="I13430" s="20">
        <v>14.548999999999999</v>
      </c>
      <c r="J13430" s="44" t="s">
        <v>8</v>
      </c>
      <c r="K13430" s="23" t="s">
        <v>8</v>
      </c>
      <c r="L13430" s="23" t="s">
        <v>8</v>
      </c>
      <c r="M13430" s="23" t="s">
        <v>8</v>
      </c>
    </row>
    <row r="13431" spans="1:13" s="21" customFormat="1" x14ac:dyDescent="0.25">
      <c r="A13431" s="22" t="s">
        <v>8</v>
      </c>
      <c r="B13431" s="18" t="str">
        <f>"505513"</f>
        <v>505513</v>
      </c>
      <c r="C13431" s="19" t="s">
        <v>13201</v>
      </c>
      <c r="D13431" s="19" t="s">
        <v>28831</v>
      </c>
      <c r="E13431" s="19" t="s">
        <v>32339</v>
      </c>
      <c r="F13431" s="19" t="s">
        <v>36022</v>
      </c>
      <c r="G13431" s="18" t="str">
        <f>"98198"</f>
        <v>98198</v>
      </c>
      <c r="H13431" s="19" t="s">
        <v>34327</v>
      </c>
      <c r="I13431" s="20">
        <v>17.245000000000001</v>
      </c>
      <c r="J13431" s="44" t="s">
        <v>8</v>
      </c>
      <c r="K13431" s="23" t="s">
        <v>8</v>
      </c>
      <c r="L13431" s="23" t="s">
        <v>8</v>
      </c>
      <c r="M13431" s="23" t="s">
        <v>8</v>
      </c>
    </row>
    <row r="13432" spans="1:13" s="21" customFormat="1" x14ac:dyDescent="0.25">
      <c r="A13432" s="22" t="s">
        <v>8</v>
      </c>
      <c r="B13432" s="18" t="str">
        <f>"505514"</f>
        <v>505514</v>
      </c>
      <c r="C13432" s="19" t="s">
        <v>13202</v>
      </c>
      <c r="D13432" s="19" t="s">
        <v>28832</v>
      </c>
      <c r="E13432" s="19" t="s">
        <v>31785</v>
      </c>
      <c r="F13432" s="19" t="s">
        <v>36022</v>
      </c>
      <c r="G13432" s="18" t="str">
        <f>"99352"</f>
        <v>99352</v>
      </c>
      <c r="H13432" s="19" t="s">
        <v>31024</v>
      </c>
      <c r="I13432" s="20">
        <v>20.74</v>
      </c>
      <c r="J13432" s="44" t="s">
        <v>8</v>
      </c>
      <c r="K13432" s="23" t="s">
        <v>8</v>
      </c>
      <c r="L13432" s="23" t="s">
        <v>8</v>
      </c>
      <c r="M13432" s="23" t="s">
        <v>8</v>
      </c>
    </row>
    <row r="13433" spans="1:13" s="21" customFormat="1" x14ac:dyDescent="0.25">
      <c r="A13433" s="22" t="s">
        <v>8</v>
      </c>
      <c r="B13433" s="18" t="str">
        <f>"505515"</f>
        <v>505515</v>
      </c>
      <c r="C13433" s="19" t="s">
        <v>13203</v>
      </c>
      <c r="D13433" s="19" t="s">
        <v>28833</v>
      </c>
      <c r="E13433" s="19" t="s">
        <v>35458</v>
      </c>
      <c r="F13433" s="19" t="s">
        <v>36022</v>
      </c>
      <c r="G13433" s="18" t="str">
        <f>"98501"</f>
        <v>98501</v>
      </c>
      <c r="H13433" s="19" t="s">
        <v>36562</v>
      </c>
      <c r="I13433" s="20">
        <v>18.556999999999999</v>
      </c>
      <c r="J13433" s="44" t="s">
        <v>8</v>
      </c>
      <c r="K13433" s="23" t="s">
        <v>8</v>
      </c>
      <c r="L13433" s="23" t="s">
        <v>8</v>
      </c>
      <c r="M13433" s="23" t="s">
        <v>8</v>
      </c>
    </row>
    <row r="13434" spans="1:13" s="21" customFormat="1" x14ac:dyDescent="0.25">
      <c r="A13434" s="22" t="s">
        <v>8</v>
      </c>
      <c r="B13434" s="18" t="str">
        <f>"505516"</f>
        <v>505516</v>
      </c>
      <c r="C13434" s="19" t="s">
        <v>13204</v>
      </c>
      <c r="D13434" s="19" t="s">
        <v>28834</v>
      </c>
      <c r="E13434" s="19" t="s">
        <v>35499</v>
      </c>
      <c r="F13434" s="19" t="s">
        <v>36022</v>
      </c>
      <c r="G13434" s="18" t="str">
        <f>"98360"</f>
        <v>98360</v>
      </c>
      <c r="H13434" s="19" t="s">
        <v>33791</v>
      </c>
      <c r="I13434" s="20">
        <v>20.231999999999999</v>
      </c>
      <c r="J13434" s="44" t="s">
        <v>8</v>
      </c>
      <c r="K13434" s="23" t="s">
        <v>8</v>
      </c>
      <c r="L13434" s="23" t="s">
        <v>8</v>
      </c>
      <c r="M13434" s="23" t="s">
        <v>8</v>
      </c>
    </row>
    <row r="13435" spans="1:13" s="21" customFormat="1" x14ac:dyDescent="0.25">
      <c r="A13435" s="22" t="s">
        <v>8</v>
      </c>
      <c r="B13435" s="18" t="str">
        <f>"505517"</f>
        <v>505517</v>
      </c>
      <c r="C13435" s="19" t="s">
        <v>13205</v>
      </c>
      <c r="D13435" s="19" t="s">
        <v>28835</v>
      </c>
      <c r="E13435" s="19" t="s">
        <v>35500</v>
      </c>
      <c r="F13435" s="19" t="s">
        <v>36022</v>
      </c>
      <c r="G13435" s="18" t="str">
        <f>"98378"</f>
        <v>98378</v>
      </c>
      <c r="H13435" s="19" t="s">
        <v>36901</v>
      </c>
      <c r="I13435" s="20">
        <v>17.312000000000001</v>
      </c>
      <c r="J13435" s="44" t="s">
        <v>8</v>
      </c>
      <c r="K13435" s="23" t="s">
        <v>8</v>
      </c>
      <c r="L13435" s="23" t="s">
        <v>8</v>
      </c>
      <c r="M13435" s="23" t="s">
        <v>8</v>
      </c>
    </row>
    <row r="13436" spans="1:13" s="21" customFormat="1" x14ac:dyDescent="0.25">
      <c r="A13436" s="22" t="s">
        <v>8</v>
      </c>
      <c r="B13436" s="18" t="str">
        <f>"505518"</f>
        <v>505518</v>
      </c>
      <c r="C13436" s="19" t="s">
        <v>13206</v>
      </c>
      <c r="D13436" s="19" t="s">
        <v>28836</v>
      </c>
      <c r="E13436" s="19" t="s">
        <v>35432</v>
      </c>
      <c r="F13436" s="19" t="s">
        <v>36022</v>
      </c>
      <c r="G13436" s="18" t="str">
        <f>"98027"</f>
        <v>98027</v>
      </c>
      <c r="H13436" s="19" t="s">
        <v>34327</v>
      </c>
      <c r="I13436" s="20">
        <v>17.545000000000002</v>
      </c>
      <c r="J13436" s="44" t="s">
        <v>8</v>
      </c>
      <c r="K13436" s="23" t="s">
        <v>8</v>
      </c>
      <c r="L13436" s="23" t="s">
        <v>8</v>
      </c>
      <c r="M13436" s="23" t="s">
        <v>8</v>
      </c>
    </row>
    <row r="13437" spans="1:13" s="21" customFormat="1" x14ac:dyDescent="0.25">
      <c r="A13437" s="22" t="s">
        <v>8</v>
      </c>
      <c r="B13437" s="18" t="str">
        <f>"505519"</f>
        <v>505519</v>
      </c>
      <c r="C13437" s="19" t="s">
        <v>13207</v>
      </c>
      <c r="D13437" s="19" t="s">
        <v>28837</v>
      </c>
      <c r="E13437" s="19" t="s">
        <v>31478</v>
      </c>
      <c r="F13437" s="19" t="s">
        <v>36022</v>
      </c>
      <c r="G13437" s="18" t="str">
        <f>"98031"</f>
        <v>98031</v>
      </c>
      <c r="H13437" s="19" t="s">
        <v>34327</v>
      </c>
      <c r="I13437" s="20">
        <v>17.600000000000001</v>
      </c>
      <c r="J13437" s="44" t="s">
        <v>8</v>
      </c>
      <c r="K13437" s="23" t="s">
        <v>8</v>
      </c>
      <c r="L13437" s="23" t="s">
        <v>8</v>
      </c>
      <c r="M13437" s="23" t="s">
        <v>8</v>
      </c>
    </row>
    <row r="13438" spans="1:13" s="21" customFormat="1" x14ac:dyDescent="0.25">
      <c r="A13438" s="22" t="s">
        <v>8</v>
      </c>
      <c r="B13438" s="18" t="str">
        <f>"505520"</f>
        <v>505520</v>
      </c>
      <c r="C13438" s="19" t="s">
        <v>13208</v>
      </c>
      <c r="D13438" s="19" t="s">
        <v>28838</v>
      </c>
      <c r="E13438" s="19" t="s">
        <v>35433</v>
      </c>
      <c r="F13438" s="19" t="s">
        <v>36022</v>
      </c>
      <c r="G13438" s="18" t="str">
        <f>"98109"</f>
        <v>98109</v>
      </c>
      <c r="H13438" s="19" t="s">
        <v>34327</v>
      </c>
      <c r="I13438" s="20">
        <v>17.466999999999999</v>
      </c>
      <c r="J13438" s="44" t="s">
        <v>8</v>
      </c>
      <c r="K13438" s="23" t="s">
        <v>8</v>
      </c>
      <c r="L13438" s="23" t="s">
        <v>8</v>
      </c>
      <c r="M13438" s="23" t="s">
        <v>8</v>
      </c>
    </row>
    <row r="13439" spans="1:13" s="21" customFormat="1" x14ac:dyDescent="0.25">
      <c r="A13439" s="22" t="s">
        <v>8</v>
      </c>
      <c r="B13439" s="18" t="str">
        <f>"505521"</f>
        <v>505521</v>
      </c>
      <c r="C13439" s="19" t="s">
        <v>13209</v>
      </c>
      <c r="D13439" s="19" t="s">
        <v>28839</v>
      </c>
      <c r="E13439" s="19" t="s">
        <v>35433</v>
      </c>
      <c r="F13439" s="19" t="s">
        <v>36022</v>
      </c>
      <c r="G13439" s="18" t="str">
        <f>"98125"</f>
        <v>98125</v>
      </c>
      <c r="H13439" s="19" t="s">
        <v>34327</v>
      </c>
      <c r="I13439" s="20">
        <v>16.678999999999998</v>
      </c>
      <c r="J13439" s="44" t="s">
        <v>8</v>
      </c>
      <c r="K13439" s="23" t="s">
        <v>8</v>
      </c>
      <c r="L13439" s="23" t="s">
        <v>8</v>
      </c>
      <c r="M13439" s="23" t="s">
        <v>8</v>
      </c>
    </row>
    <row r="13440" spans="1:13" s="21" customFormat="1" x14ac:dyDescent="0.25">
      <c r="A13440" s="22" t="s">
        <v>8</v>
      </c>
      <c r="B13440" s="18" t="str">
        <f>"505522"</f>
        <v>505522</v>
      </c>
      <c r="C13440" s="19" t="s">
        <v>13210</v>
      </c>
      <c r="D13440" s="19" t="s">
        <v>28840</v>
      </c>
      <c r="E13440" s="19" t="s">
        <v>35452</v>
      </c>
      <c r="F13440" s="19" t="s">
        <v>36022</v>
      </c>
      <c r="G13440" s="18" t="str">
        <f>"98686"</f>
        <v>98686</v>
      </c>
      <c r="H13440" s="19" t="s">
        <v>33967</v>
      </c>
      <c r="I13440" s="20">
        <v>18.581</v>
      </c>
      <c r="J13440" s="44" t="s">
        <v>8</v>
      </c>
      <c r="K13440" s="23" t="s">
        <v>8</v>
      </c>
      <c r="L13440" s="23" t="s">
        <v>8</v>
      </c>
      <c r="M13440" s="23" t="s">
        <v>8</v>
      </c>
    </row>
    <row r="13441" spans="1:13" s="21" customFormat="1" x14ac:dyDescent="0.25">
      <c r="A13441" s="22" t="s">
        <v>8</v>
      </c>
      <c r="B13441" s="18" t="str">
        <f>"505523"</f>
        <v>505523</v>
      </c>
      <c r="C13441" s="19" t="s">
        <v>13211</v>
      </c>
      <c r="D13441" s="19" t="s">
        <v>28841</v>
      </c>
      <c r="E13441" s="19" t="s">
        <v>35480</v>
      </c>
      <c r="F13441" s="19" t="s">
        <v>36022</v>
      </c>
      <c r="G13441" s="18" t="str">
        <f>"98801"</f>
        <v>98801</v>
      </c>
      <c r="H13441" s="19" t="s">
        <v>36903</v>
      </c>
      <c r="I13441" s="20">
        <v>15.326000000000001</v>
      </c>
      <c r="J13441" s="44" t="s">
        <v>8</v>
      </c>
      <c r="K13441" s="23" t="s">
        <v>8</v>
      </c>
      <c r="L13441" s="23" t="s">
        <v>8</v>
      </c>
      <c r="M13441" s="23" t="s">
        <v>8</v>
      </c>
    </row>
    <row r="13442" spans="1:13" s="21" customFormat="1" x14ac:dyDescent="0.25">
      <c r="A13442" s="22" t="s">
        <v>8</v>
      </c>
      <c r="B13442" s="18" t="str">
        <f>"505524"</f>
        <v>505524</v>
      </c>
      <c r="C13442" s="19" t="s">
        <v>13212</v>
      </c>
      <c r="D13442" s="19" t="s">
        <v>28842</v>
      </c>
      <c r="E13442" s="19" t="s">
        <v>35433</v>
      </c>
      <c r="F13442" s="19" t="s">
        <v>36022</v>
      </c>
      <c r="G13442" s="18" t="str">
        <f>"98101"</f>
        <v>98101</v>
      </c>
      <c r="H13442" s="19" t="s">
        <v>34327</v>
      </c>
      <c r="I13442" s="20">
        <v>19.946999999999999</v>
      </c>
      <c r="J13442" s="44" t="s">
        <v>8</v>
      </c>
      <c r="K13442" s="23" t="s">
        <v>8</v>
      </c>
      <c r="L13442" s="23" t="s">
        <v>8</v>
      </c>
      <c r="M13442" s="23" t="s">
        <v>8</v>
      </c>
    </row>
    <row r="13443" spans="1:13" s="21" customFormat="1" x14ac:dyDescent="0.25">
      <c r="A13443" s="22" t="s">
        <v>8</v>
      </c>
      <c r="B13443" s="18" t="str">
        <f>"505525"</f>
        <v>505525</v>
      </c>
      <c r="C13443" s="19" t="s">
        <v>13213</v>
      </c>
      <c r="D13443" s="19" t="s">
        <v>28843</v>
      </c>
      <c r="E13443" s="19" t="s">
        <v>35436</v>
      </c>
      <c r="F13443" s="19" t="s">
        <v>36022</v>
      </c>
      <c r="G13443" s="18" t="str">
        <f>"98503"</f>
        <v>98503</v>
      </c>
      <c r="H13443" s="19" t="s">
        <v>36562</v>
      </c>
      <c r="I13443" s="20">
        <v>18.832999999999998</v>
      </c>
      <c r="J13443" s="44" t="s">
        <v>8</v>
      </c>
      <c r="K13443" s="23" t="s">
        <v>8</v>
      </c>
      <c r="L13443" s="23" t="s">
        <v>8</v>
      </c>
      <c r="M13443" s="23" t="s">
        <v>8</v>
      </c>
    </row>
    <row r="13444" spans="1:13" s="21" customFormat="1" x14ac:dyDescent="0.25">
      <c r="A13444" s="22" t="s">
        <v>8</v>
      </c>
      <c r="B13444" s="18" t="str">
        <f>"505526"</f>
        <v>505526</v>
      </c>
      <c r="C13444" s="19" t="s">
        <v>13214</v>
      </c>
      <c r="D13444" s="19" t="s">
        <v>28844</v>
      </c>
      <c r="E13444" s="19" t="s">
        <v>35454</v>
      </c>
      <c r="F13444" s="19" t="s">
        <v>36022</v>
      </c>
      <c r="G13444" s="18" t="str">
        <f>"98374"</f>
        <v>98374</v>
      </c>
      <c r="H13444" s="19" t="s">
        <v>33791</v>
      </c>
      <c r="I13444" s="20">
        <v>13.704000000000001</v>
      </c>
      <c r="J13444" s="44" t="s">
        <v>8</v>
      </c>
      <c r="K13444" s="23" t="s">
        <v>8</v>
      </c>
      <c r="L13444" s="23" t="s">
        <v>8</v>
      </c>
      <c r="M13444" s="23" t="s">
        <v>8</v>
      </c>
    </row>
    <row r="13445" spans="1:13" s="21" customFormat="1" x14ac:dyDescent="0.25">
      <c r="A13445" s="22" t="s">
        <v>8</v>
      </c>
      <c r="B13445" s="18" t="s">
        <v>15432</v>
      </c>
      <c r="C13445" s="19" t="s">
        <v>13215</v>
      </c>
      <c r="D13445" s="19" t="s">
        <v>28845</v>
      </c>
      <c r="E13445" s="19" t="s">
        <v>35501</v>
      </c>
      <c r="F13445" s="19" t="s">
        <v>36023</v>
      </c>
      <c r="G13445" s="18" t="str">
        <f>"24970"</f>
        <v>24970</v>
      </c>
      <c r="H13445" s="19" t="s">
        <v>31071</v>
      </c>
      <c r="I13445" s="20">
        <v>19.484999999999999</v>
      </c>
      <c r="J13445" s="44" t="s">
        <v>8</v>
      </c>
      <c r="K13445" s="23" t="s">
        <v>8</v>
      </c>
      <c r="L13445" s="23" t="s">
        <v>8</v>
      </c>
      <c r="M13445" s="23" t="s">
        <v>8</v>
      </c>
    </row>
    <row r="13446" spans="1:13" s="21" customFormat="1" x14ac:dyDescent="0.25">
      <c r="A13446" s="22" t="s">
        <v>8</v>
      </c>
      <c r="B13446" s="18" t="s">
        <v>15433</v>
      </c>
      <c r="C13446" s="19" t="s">
        <v>13216</v>
      </c>
      <c r="D13446" s="19" t="s">
        <v>28846</v>
      </c>
      <c r="E13446" s="19" t="s">
        <v>32373</v>
      </c>
      <c r="F13446" s="19" t="s">
        <v>36023</v>
      </c>
      <c r="G13446" s="18" t="str">
        <f>"25601"</f>
        <v>25601</v>
      </c>
      <c r="H13446" s="19" t="s">
        <v>32373</v>
      </c>
      <c r="I13446" s="20">
        <v>19.265000000000001</v>
      </c>
      <c r="J13446" s="44" t="s">
        <v>8</v>
      </c>
      <c r="K13446" s="23" t="s">
        <v>8</v>
      </c>
      <c r="L13446" s="23" t="s">
        <v>8</v>
      </c>
      <c r="M13446" s="23" t="s">
        <v>8</v>
      </c>
    </row>
    <row r="13447" spans="1:13" s="21" customFormat="1" x14ac:dyDescent="0.25">
      <c r="A13447" s="22" t="s">
        <v>8</v>
      </c>
      <c r="B13447" s="18" t="s">
        <v>15434</v>
      </c>
      <c r="C13447" s="19" t="s">
        <v>13217</v>
      </c>
      <c r="D13447" s="19" t="s">
        <v>28847</v>
      </c>
      <c r="E13447" s="19" t="s">
        <v>35502</v>
      </c>
      <c r="F13447" s="19" t="s">
        <v>36023</v>
      </c>
      <c r="G13447" s="18" t="str">
        <f>"26155"</f>
        <v>26155</v>
      </c>
      <c r="H13447" s="19" t="s">
        <v>36912</v>
      </c>
      <c r="I13447" s="20">
        <v>19.535</v>
      </c>
      <c r="J13447" s="44" t="s">
        <v>8</v>
      </c>
      <c r="K13447" s="23" t="s">
        <v>8</v>
      </c>
      <c r="L13447" s="23" t="s">
        <v>8</v>
      </c>
      <c r="M13447" s="23" t="s">
        <v>8</v>
      </c>
    </row>
    <row r="13448" spans="1:13" s="21" customFormat="1" x14ac:dyDescent="0.25">
      <c r="A13448" s="22" t="s">
        <v>8</v>
      </c>
      <c r="B13448" s="18" t="s">
        <v>15435</v>
      </c>
      <c r="C13448" s="19" t="s">
        <v>13218</v>
      </c>
      <c r="D13448" s="19" t="s">
        <v>28848</v>
      </c>
      <c r="E13448" s="19" t="s">
        <v>35503</v>
      </c>
      <c r="F13448" s="19" t="s">
        <v>36023</v>
      </c>
      <c r="G13448" s="18" t="str">
        <f>"26651"</f>
        <v>26651</v>
      </c>
      <c r="H13448" s="19" t="s">
        <v>36318</v>
      </c>
      <c r="I13448" s="20">
        <v>19.004000000000001</v>
      </c>
      <c r="J13448" s="44" t="s">
        <v>8</v>
      </c>
      <c r="K13448" s="23" t="s">
        <v>8</v>
      </c>
      <c r="L13448" s="23" t="s">
        <v>8</v>
      </c>
      <c r="M13448" s="23" t="s">
        <v>8</v>
      </c>
    </row>
    <row r="13449" spans="1:13" s="21" customFormat="1" x14ac:dyDescent="0.25">
      <c r="A13449" s="22" t="s">
        <v>8</v>
      </c>
      <c r="B13449" s="18" t="str">
        <f>"515001"</f>
        <v>515001</v>
      </c>
      <c r="C13449" s="19" t="s">
        <v>13219</v>
      </c>
      <c r="D13449" s="19" t="s">
        <v>28849</v>
      </c>
      <c r="E13449" s="19" t="s">
        <v>35504</v>
      </c>
      <c r="F13449" s="19" t="s">
        <v>36023</v>
      </c>
      <c r="G13449" s="18" t="str">
        <f>"25801"</f>
        <v>25801</v>
      </c>
      <c r="H13449" s="19" t="s">
        <v>33576</v>
      </c>
      <c r="I13449" s="20">
        <v>20.25</v>
      </c>
      <c r="J13449" s="44" t="s">
        <v>8</v>
      </c>
      <c r="K13449" s="23" t="s">
        <v>8</v>
      </c>
      <c r="L13449" s="23" t="s">
        <v>8</v>
      </c>
      <c r="M13449" s="23" t="s">
        <v>8</v>
      </c>
    </row>
    <row r="13450" spans="1:13" s="21" customFormat="1" x14ac:dyDescent="0.25">
      <c r="A13450" s="22" t="s">
        <v>8</v>
      </c>
      <c r="B13450" s="18" t="str">
        <f>"515002"</f>
        <v>515002</v>
      </c>
      <c r="C13450" s="19" t="s">
        <v>13220</v>
      </c>
      <c r="D13450" s="19" t="s">
        <v>28850</v>
      </c>
      <c r="E13450" s="19" t="s">
        <v>32079</v>
      </c>
      <c r="F13450" s="19" t="s">
        <v>36023</v>
      </c>
      <c r="G13450" s="18" t="str">
        <f>"26003"</f>
        <v>26003</v>
      </c>
      <c r="H13450" s="19" t="s">
        <v>36265</v>
      </c>
      <c r="I13450" s="20">
        <v>21.878</v>
      </c>
      <c r="J13450" s="44" t="s">
        <v>8</v>
      </c>
      <c r="K13450" s="23" t="s">
        <v>8</v>
      </c>
      <c r="L13450" s="23" t="s">
        <v>8</v>
      </c>
      <c r="M13450" s="23" t="s">
        <v>8</v>
      </c>
    </row>
    <row r="13451" spans="1:13" s="21" customFormat="1" x14ac:dyDescent="0.25">
      <c r="A13451" s="22" t="s">
        <v>8</v>
      </c>
      <c r="B13451" s="18" t="str">
        <f>"515007"</f>
        <v>515007</v>
      </c>
      <c r="C13451" s="19" t="s">
        <v>13221</v>
      </c>
      <c r="D13451" s="19" t="s">
        <v>28851</v>
      </c>
      <c r="E13451" s="19" t="s">
        <v>32207</v>
      </c>
      <c r="F13451" s="19" t="s">
        <v>36023</v>
      </c>
      <c r="G13451" s="18" t="str">
        <f>"25701"</f>
        <v>25701</v>
      </c>
      <c r="H13451" s="19" t="s">
        <v>36913</v>
      </c>
      <c r="I13451" s="20">
        <v>16.896000000000001</v>
      </c>
      <c r="J13451" s="44" t="s">
        <v>8</v>
      </c>
      <c r="K13451" s="23" t="s">
        <v>8</v>
      </c>
      <c r="L13451" s="23" t="s">
        <v>8</v>
      </c>
      <c r="M13451" s="23" t="s">
        <v>8</v>
      </c>
    </row>
    <row r="13452" spans="1:13" s="21" customFormat="1" x14ac:dyDescent="0.25">
      <c r="A13452" s="22" t="s">
        <v>8</v>
      </c>
      <c r="B13452" s="18" t="str">
        <f>"515012"</f>
        <v>515012</v>
      </c>
      <c r="C13452" s="19" t="s">
        <v>13222</v>
      </c>
      <c r="D13452" s="19" t="s">
        <v>28852</v>
      </c>
      <c r="E13452" s="19" t="s">
        <v>33315</v>
      </c>
      <c r="F13452" s="19" t="s">
        <v>36023</v>
      </c>
      <c r="G13452" s="18" t="str">
        <f>"26555"</f>
        <v>26555</v>
      </c>
      <c r="H13452" s="19" t="s">
        <v>30850</v>
      </c>
      <c r="I13452" s="20">
        <v>18.245999999999999</v>
      </c>
      <c r="J13452" s="44" t="s">
        <v>8</v>
      </c>
      <c r="K13452" s="23" t="s">
        <v>8</v>
      </c>
      <c r="L13452" s="23" t="s">
        <v>8</v>
      </c>
      <c r="M13452" s="23" t="s">
        <v>8</v>
      </c>
    </row>
    <row r="13453" spans="1:13" s="21" customFormat="1" x14ac:dyDescent="0.25">
      <c r="A13453" s="22" t="s">
        <v>8</v>
      </c>
      <c r="B13453" s="18" t="str">
        <f>"515025"</f>
        <v>515025</v>
      </c>
      <c r="C13453" s="19" t="s">
        <v>13223</v>
      </c>
      <c r="D13453" s="19" t="s">
        <v>28853</v>
      </c>
      <c r="E13453" s="19" t="s">
        <v>35505</v>
      </c>
      <c r="F13453" s="19" t="s">
        <v>36023</v>
      </c>
      <c r="G13453" s="18" t="str">
        <f>"26241"</f>
        <v>26241</v>
      </c>
      <c r="H13453" s="19" t="s">
        <v>33068</v>
      </c>
      <c r="I13453" s="20">
        <v>18.030999999999999</v>
      </c>
      <c r="J13453" s="44" t="s">
        <v>8</v>
      </c>
      <c r="K13453" s="23" t="s">
        <v>8</v>
      </c>
      <c r="L13453" s="23" t="s">
        <v>8</v>
      </c>
      <c r="M13453" s="23" t="s">
        <v>8</v>
      </c>
    </row>
    <row r="13454" spans="1:13" s="21" customFormat="1" x14ac:dyDescent="0.25">
      <c r="A13454" s="22" t="s">
        <v>8</v>
      </c>
      <c r="B13454" s="18" t="str">
        <f>"515028"</f>
        <v>515028</v>
      </c>
      <c r="C13454" s="19" t="s">
        <v>13224</v>
      </c>
      <c r="D13454" s="19" t="s">
        <v>28854</v>
      </c>
      <c r="E13454" s="19" t="s">
        <v>31998</v>
      </c>
      <c r="F13454" s="19" t="s">
        <v>36023</v>
      </c>
      <c r="G13454" s="18" t="str">
        <f>"24740"</f>
        <v>24740</v>
      </c>
      <c r="H13454" s="19" t="s">
        <v>34991</v>
      </c>
      <c r="I13454" s="20">
        <v>19.488</v>
      </c>
      <c r="J13454" s="44" t="s">
        <v>8</v>
      </c>
      <c r="K13454" s="23" t="s">
        <v>8</v>
      </c>
      <c r="L13454" s="23" t="s">
        <v>8</v>
      </c>
      <c r="M13454" s="23" t="s">
        <v>8</v>
      </c>
    </row>
    <row r="13455" spans="1:13" s="21" customFormat="1" x14ac:dyDescent="0.25">
      <c r="A13455" s="22" t="s">
        <v>8</v>
      </c>
      <c r="B13455" s="18" t="str">
        <f>"515029"</f>
        <v>515029</v>
      </c>
      <c r="C13455" s="19" t="s">
        <v>13225</v>
      </c>
      <c r="D13455" s="19" t="s">
        <v>28848</v>
      </c>
      <c r="E13455" s="19" t="s">
        <v>35503</v>
      </c>
      <c r="F13455" s="19" t="s">
        <v>36023</v>
      </c>
      <c r="G13455" s="18" t="str">
        <f>"26651"</f>
        <v>26651</v>
      </c>
      <c r="H13455" s="19" t="s">
        <v>36318</v>
      </c>
      <c r="I13455" s="20">
        <v>17.760000000000002</v>
      </c>
      <c r="J13455" s="44" t="s">
        <v>8</v>
      </c>
      <c r="K13455" s="23" t="s">
        <v>8</v>
      </c>
      <c r="L13455" s="23" t="s">
        <v>8</v>
      </c>
      <c r="M13455" s="23" t="s">
        <v>8</v>
      </c>
    </row>
    <row r="13456" spans="1:13" s="21" customFormat="1" x14ac:dyDescent="0.25">
      <c r="A13456" s="22" t="s">
        <v>8</v>
      </c>
      <c r="B13456" s="18" t="str">
        <f>"515035"</f>
        <v>515035</v>
      </c>
      <c r="C13456" s="19" t="s">
        <v>13226</v>
      </c>
      <c r="D13456" s="19" t="s">
        <v>28855</v>
      </c>
      <c r="E13456" s="19" t="s">
        <v>35354</v>
      </c>
      <c r="F13456" s="19" t="s">
        <v>36023</v>
      </c>
      <c r="G13456" s="18" t="str">
        <f>"25177"</f>
        <v>25177</v>
      </c>
      <c r="H13456" s="19" t="s">
        <v>32512</v>
      </c>
      <c r="I13456" s="20">
        <v>20.893999999999998</v>
      </c>
      <c r="J13456" s="44" t="s">
        <v>8</v>
      </c>
      <c r="K13456" s="23" t="s">
        <v>8</v>
      </c>
      <c r="L13456" s="23" t="s">
        <v>8</v>
      </c>
      <c r="M13456" s="23" t="s">
        <v>8</v>
      </c>
    </row>
    <row r="13457" spans="1:13" s="21" customFormat="1" x14ac:dyDescent="0.25">
      <c r="A13457" s="22" t="s">
        <v>8</v>
      </c>
      <c r="B13457" s="18" t="str">
        <f>"515037"</f>
        <v>515037</v>
      </c>
      <c r="C13457" s="19" t="s">
        <v>13227</v>
      </c>
      <c r="D13457" s="19" t="s">
        <v>28856</v>
      </c>
      <c r="E13457" s="19" t="s">
        <v>35506</v>
      </c>
      <c r="F13457" s="19" t="s">
        <v>36023</v>
      </c>
      <c r="G13457" s="18" t="str">
        <f>"26062"</f>
        <v>26062</v>
      </c>
      <c r="H13457" s="19" t="s">
        <v>33144</v>
      </c>
      <c r="I13457" s="20">
        <v>19.884</v>
      </c>
      <c r="J13457" s="44" t="s">
        <v>8</v>
      </c>
      <c r="K13457" s="23" t="s">
        <v>8</v>
      </c>
      <c r="L13457" s="23" t="s">
        <v>8</v>
      </c>
      <c r="M13457" s="23" t="s">
        <v>8</v>
      </c>
    </row>
    <row r="13458" spans="1:13" s="21" customFormat="1" x14ac:dyDescent="0.25">
      <c r="A13458" s="22" t="s">
        <v>8</v>
      </c>
      <c r="B13458" s="18" t="str">
        <f>"515038"</f>
        <v>515038</v>
      </c>
      <c r="C13458" s="19" t="s">
        <v>13228</v>
      </c>
      <c r="D13458" s="19" t="s">
        <v>28857</v>
      </c>
      <c r="E13458" s="19" t="s">
        <v>32079</v>
      </c>
      <c r="F13458" s="19" t="s">
        <v>36023</v>
      </c>
      <c r="G13458" s="18" t="str">
        <f>"26003"</f>
        <v>26003</v>
      </c>
      <c r="H13458" s="19" t="s">
        <v>36265</v>
      </c>
      <c r="I13458" s="20">
        <v>16.811</v>
      </c>
      <c r="J13458" s="44" t="s">
        <v>8</v>
      </c>
      <c r="K13458" s="23" t="s">
        <v>8</v>
      </c>
      <c r="L13458" s="23" t="s">
        <v>8</v>
      </c>
      <c r="M13458" s="23" t="s">
        <v>8</v>
      </c>
    </row>
    <row r="13459" spans="1:13" s="21" customFormat="1" x14ac:dyDescent="0.25">
      <c r="A13459" s="22" t="s">
        <v>8</v>
      </c>
      <c r="B13459" s="18" t="str">
        <f>"515039"</f>
        <v>515039</v>
      </c>
      <c r="C13459" s="19" t="s">
        <v>13229</v>
      </c>
      <c r="D13459" s="19" t="s">
        <v>28858</v>
      </c>
      <c r="E13459" s="19" t="s">
        <v>34931</v>
      </c>
      <c r="F13459" s="19" t="s">
        <v>36023</v>
      </c>
      <c r="G13459" s="18" t="str">
        <f>"25404"</f>
        <v>25404</v>
      </c>
      <c r="H13459" s="19" t="s">
        <v>31248</v>
      </c>
      <c r="I13459" s="20">
        <v>21.972999999999999</v>
      </c>
      <c r="J13459" s="44" t="s">
        <v>8</v>
      </c>
      <c r="K13459" s="23" t="s">
        <v>8</v>
      </c>
      <c r="L13459" s="23" t="s">
        <v>8</v>
      </c>
      <c r="M13459" s="23" t="s">
        <v>8</v>
      </c>
    </row>
    <row r="13460" spans="1:13" s="21" customFormat="1" x14ac:dyDescent="0.25">
      <c r="A13460" s="22" t="s">
        <v>8</v>
      </c>
      <c r="B13460" s="18" t="str">
        <f>"515045"</f>
        <v>515045</v>
      </c>
      <c r="C13460" s="19" t="s">
        <v>13230</v>
      </c>
      <c r="D13460" s="19" t="s">
        <v>28859</v>
      </c>
      <c r="E13460" s="19" t="s">
        <v>32165</v>
      </c>
      <c r="F13460" s="19" t="s">
        <v>36023</v>
      </c>
      <c r="G13460" s="18" t="str">
        <f>"26847"</f>
        <v>26847</v>
      </c>
      <c r="H13460" s="19" t="s">
        <v>36078</v>
      </c>
      <c r="I13460" s="20">
        <v>18.03</v>
      </c>
      <c r="J13460" s="44" t="s">
        <v>8</v>
      </c>
      <c r="K13460" s="23" t="s">
        <v>8</v>
      </c>
      <c r="L13460" s="23" t="s">
        <v>8</v>
      </c>
      <c r="M13460" s="23" t="s">
        <v>8</v>
      </c>
    </row>
    <row r="13461" spans="1:13" s="21" customFormat="1" x14ac:dyDescent="0.25">
      <c r="A13461" s="22" t="s">
        <v>8</v>
      </c>
      <c r="B13461" s="18" t="str">
        <f>"515047"</f>
        <v>515047</v>
      </c>
      <c r="C13461" s="19" t="s">
        <v>13231</v>
      </c>
      <c r="D13461" s="19" t="s">
        <v>28860</v>
      </c>
      <c r="E13461" s="19" t="s">
        <v>35507</v>
      </c>
      <c r="F13461" s="19" t="s">
        <v>36023</v>
      </c>
      <c r="G13461" s="18" t="str">
        <f>"26104"</f>
        <v>26104</v>
      </c>
      <c r="H13461" s="19" t="s">
        <v>36673</v>
      </c>
      <c r="I13461" s="20">
        <v>16.963000000000001</v>
      </c>
      <c r="J13461" s="44" t="s">
        <v>8</v>
      </c>
      <c r="K13461" s="23" t="s">
        <v>8</v>
      </c>
      <c r="L13461" s="23" t="s">
        <v>8</v>
      </c>
      <c r="M13461" s="23" t="s">
        <v>8</v>
      </c>
    </row>
    <row r="13462" spans="1:13" s="21" customFormat="1" x14ac:dyDescent="0.25">
      <c r="A13462" s="22" t="s">
        <v>8</v>
      </c>
      <c r="B13462" s="18" t="str">
        <f>"515049"</f>
        <v>515049</v>
      </c>
      <c r="C13462" s="19" t="s">
        <v>13232</v>
      </c>
      <c r="D13462" s="19" t="s">
        <v>28861</v>
      </c>
      <c r="E13462" s="19" t="s">
        <v>32688</v>
      </c>
      <c r="F13462" s="19" t="s">
        <v>36023</v>
      </c>
      <c r="G13462" s="18" t="str">
        <f>"26505"</f>
        <v>26505</v>
      </c>
      <c r="H13462" s="19" t="s">
        <v>36914</v>
      </c>
      <c r="I13462" s="20">
        <v>17.777000000000001</v>
      </c>
      <c r="J13462" s="44" t="s">
        <v>8</v>
      </c>
      <c r="K13462" s="23" t="s">
        <v>8</v>
      </c>
      <c r="L13462" s="23" t="s">
        <v>8</v>
      </c>
      <c r="M13462" s="23" t="s">
        <v>8</v>
      </c>
    </row>
    <row r="13463" spans="1:13" s="21" customFormat="1" x14ac:dyDescent="0.25">
      <c r="A13463" s="22" t="s">
        <v>8</v>
      </c>
      <c r="B13463" s="18" t="str">
        <f>"515051"</f>
        <v>515051</v>
      </c>
      <c r="C13463" s="19" t="s">
        <v>13233</v>
      </c>
      <c r="D13463" s="19" t="s">
        <v>28862</v>
      </c>
      <c r="E13463" s="19" t="s">
        <v>35508</v>
      </c>
      <c r="F13463" s="19" t="s">
        <v>36023</v>
      </c>
      <c r="G13463" s="18" t="str">
        <f>"26201"</f>
        <v>26201</v>
      </c>
      <c r="H13463" s="19" t="s">
        <v>36915</v>
      </c>
      <c r="I13463" s="20">
        <v>19.901</v>
      </c>
      <c r="J13463" s="44" t="s">
        <v>8</v>
      </c>
      <c r="K13463" s="23" t="s">
        <v>8</v>
      </c>
      <c r="L13463" s="23" t="s">
        <v>8</v>
      </c>
      <c r="M13463" s="23" t="s">
        <v>8</v>
      </c>
    </row>
    <row r="13464" spans="1:13" s="21" customFormat="1" x14ac:dyDescent="0.25">
      <c r="A13464" s="22" t="s">
        <v>8</v>
      </c>
      <c r="B13464" s="18" t="str">
        <f>"515052"</f>
        <v>515052</v>
      </c>
      <c r="C13464" s="19" t="s">
        <v>13234</v>
      </c>
      <c r="D13464" s="19" t="s">
        <v>28863</v>
      </c>
      <c r="E13464" s="19" t="s">
        <v>35387</v>
      </c>
      <c r="F13464" s="19" t="s">
        <v>36023</v>
      </c>
      <c r="G13464" s="18" t="str">
        <f>"24701"</f>
        <v>24701</v>
      </c>
      <c r="H13464" s="19" t="s">
        <v>34991</v>
      </c>
      <c r="I13464" s="20">
        <v>17.812999999999999</v>
      </c>
      <c r="J13464" s="44" t="s">
        <v>8</v>
      </c>
      <c r="K13464" s="23" t="s">
        <v>8</v>
      </c>
      <c r="L13464" s="23" t="s">
        <v>8</v>
      </c>
      <c r="M13464" s="23" t="s">
        <v>8</v>
      </c>
    </row>
    <row r="13465" spans="1:13" s="21" customFormat="1" x14ac:dyDescent="0.25">
      <c r="A13465" s="22" t="s">
        <v>8</v>
      </c>
      <c r="B13465" s="18" t="str">
        <f>"515053"</f>
        <v>515053</v>
      </c>
      <c r="C13465" s="19" t="s">
        <v>13235</v>
      </c>
      <c r="D13465" s="19" t="s">
        <v>28864</v>
      </c>
      <c r="E13465" s="19" t="s">
        <v>33315</v>
      </c>
      <c r="F13465" s="19" t="s">
        <v>36023</v>
      </c>
      <c r="G13465" s="18" t="str">
        <f>"26554"</f>
        <v>26554</v>
      </c>
      <c r="H13465" s="19" t="s">
        <v>30850</v>
      </c>
      <c r="I13465" s="20">
        <v>19.091000000000001</v>
      </c>
      <c r="J13465" s="44" t="s">
        <v>8</v>
      </c>
      <c r="K13465" s="23" t="s">
        <v>8</v>
      </c>
      <c r="L13465" s="23" t="s">
        <v>8</v>
      </c>
      <c r="M13465" s="23" t="s">
        <v>8</v>
      </c>
    </row>
    <row r="13466" spans="1:13" s="21" customFormat="1" x14ac:dyDescent="0.25">
      <c r="A13466" s="22" t="s">
        <v>8</v>
      </c>
      <c r="B13466" s="18" t="str">
        <f>"515055"</f>
        <v>515055</v>
      </c>
      <c r="C13466" s="19" t="s">
        <v>13236</v>
      </c>
      <c r="D13466" s="19" t="s">
        <v>28865</v>
      </c>
      <c r="E13466" s="19" t="s">
        <v>32079</v>
      </c>
      <c r="F13466" s="19" t="s">
        <v>36023</v>
      </c>
      <c r="G13466" s="18" t="str">
        <f>"26003"</f>
        <v>26003</v>
      </c>
      <c r="H13466" s="19" t="s">
        <v>36265</v>
      </c>
      <c r="I13466" s="20">
        <v>20.012</v>
      </c>
      <c r="J13466" s="44" t="s">
        <v>8</v>
      </c>
      <c r="K13466" s="23" t="s">
        <v>8</v>
      </c>
      <c r="L13466" s="23" t="s">
        <v>8</v>
      </c>
      <c r="M13466" s="23" t="s">
        <v>8</v>
      </c>
    </row>
    <row r="13467" spans="1:13" s="21" customFormat="1" x14ac:dyDescent="0.25">
      <c r="A13467" s="22" t="s">
        <v>8</v>
      </c>
      <c r="B13467" s="18" t="str">
        <f>"515058"</f>
        <v>515058</v>
      </c>
      <c r="C13467" s="19" t="s">
        <v>13237</v>
      </c>
      <c r="D13467" s="19" t="s">
        <v>28866</v>
      </c>
      <c r="E13467" s="19" t="s">
        <v>32688</v>
      </c>
      <c r="F13467" s="19" t="s">
        <v>36023</v>
      </c>
      <c r="G13467" s="18" t="str">
        <f>"26505"</f>
        <v>26505</v>
      </c>
      <c r="H13467" s="19" t="s">
        <v>36914</v>
      </c>
      <c r="I13467" s="20">
        <v>16.655999999999999</v>
      </c>
      <c r="J13467" s="44" t="s">
        <v>8</v>
      </c>
      <c r="K13467" s="23" t="s">
        <v>8</v>
      </c>
      <c r="L13467" s="23" t="s">
        <v>8</v>
      </c>
      <c r="M13467" s="23" t="s">
        <v>8</v>
      </c>
    </row>
    <row r="13468" spans="1:13" s="21" customFormat="1" x14ac:dyDescent="0.25">
      <c r="A13468" s="22" t="s">
        <v>8</v>
      </c>
      <c r="B13468" s="18" t="str">
        <f>"515060"</f>
        <v>515060</v>
      </c>
      <c r="C13468" s="19" t="s">
        <v>3667</v>
      </c>
      <c r="D13468" s="19" t="s">
        <v>28867</v>
      </c>
      <c r="E13468" s="19" t="s">
        <v>32207</v>
      </c>
      <c r="F13468" s="19" t="s">
        <v>36023</v>
      </c>
      <c r="G13468" s="18" t="str">
        <f>"25701"</f>
        <v>25701</v>
      </c>
      <c r="H13468" s="19" t="s">
        <v>36913</v>
      </c>
      <c r="I13468" s="20">
        <v>17.315999999999999</v>
      </c>
      <c r="J13468" s="44" t="s">
        <v>8</v>
      </c>
      <c r="K13468" s="23" t="s">
        <v>8</v>
      </c>
      <c r="L13468" s="23" t="s">
        <v>8</v>
      </c>
      <c r="M13468" s="23" t="s">
        <v>8</v>
      </c>
    </row>
    <row r="13469" spans="1:13" s="21" customFormat="1" x14ac:dyDescent="0.25">
      <c r="A13469" s="22" t="s">
        <v>8</v>
      </c>
      <c r="B13469" s="18" t="str">
        <f>"515061"</f>
        <v>515061</v>
      </c>
      <c r="C13469" s="19" t="s">
        <v>13238</v>
      </c>
      <c r="D13469" s="19" t="s">
        <v>28868</v>
      </c>
      <c r="E13469" s="19" t="s">
        <v>35509</v>
      </c>
      <c r="F13469" s="19" t="s">
        <v>36023</v>
      </c>
      <c r="G13469" s="18" t="str">
        <f>"25855"</f>
        <v>25855</v>
      </c>
      <c r="H13469" s="19" t="s">
        <v>30805</v>
      </c>
      <c r="I13469" s="20">
        <v>19.765000000000001</v>
      </c>
      <c r="J13469" s="44" t="s">
        <v>8</v>
      </c>
      <c r="K13469" s="23" t="s">
        <v>8</v>
      </c>
      <c r="L13469" s="23" t="s">
        <v>8</v>
      </c>
      <c r="M13469" s="23" t="s">
        <v>8</v>
      </c>
    </row>
    <row r="13470" spans="1:13" s="21" customFormat="1" x14ac:dyDescent="0.25">
      <c r="A13470" s="22" t="s">
        <v>8</v>
      </c>
      <c r="B13470" s="18" t="str">
        <f>"515063"</f>
        <v>515063</v>
      </c>
      <c r="C13470" s="19" t="s">
        <v>13239</v>
      </c>
      <c r="D13470" s="19" t="s">
        <v>28869</v>
      </c>
      <c r="E13470" s="19" t="s">
        <v>35510</v>
      </c>
      <c r="F13470" s="19" t="s">
        <v>36023</v>
      </c>
      <c r="G13470" s="18" t="str">
        <f>"26292"</f>
        <v>26292</v>
      </c>
      <c r="H13470" s="19" t="s">
        <v>31738</v>
      </c>
      <c r="I13470" s="20">
        <v>16.991</v>
      </c>
      <c r="J13470" s="44" t="s">
        <v>8</v>
      </c>
      <c r="K13470" s="23" t="s">
        <v>8</v>
      </c>
      <c r="L13470" s="23" t="s">
        <v>8</v>
      </c>
      <c r="M13470" s="23" t="s">
        <v>8</v>
      </c>
    </row>
    <row r="13471" spans="1:13" s="21" customFormat="1" x14ac:dyDescent="0.25">
      <c r="A13471" s="22" t="s">
        <v>8</v>
      </c>
      <c r="B13471" s="18" t="str">
        <f>"515064"</f>
        <v>515064</v>
      </c>
      <c r="C13471" s="19" t="s">
        <v>13240</v>
      </c>
      <c r="D13471" s="19" t="s">
        <v>28870</v>
      </c>
      <c r="E13471" s="19" t="s">
        <v>35511</v>
      </c>
      <c r="F13471" s="19" t="s">
        <v>36023</v>
      </c>
      <c r="G13471" s="18" t="str">
        <f>"25550"</f>
        <v>25550</v>
      </c>
      <c r="H13471" s="19" t="s">
        <v>34550</v>
      </c>
      <c r="I13471" s="20">
        <v>19.471</v>
      </c>
      <c r="J13471" s="44" t="s">
        <v>8</v>
      </c>
      <c r="K13471" s="23" t="s">
        <v>8</v>
      </c>
      <c r="L13471" s="23" t="s">
        <v>8</v>
      </c>
      <c r="M13471" s="23" t="s">
        <v>8</v>
      </c>
    </row>
    <row r="13472" spans="1:13" s="21" customFormat="1" x14ac:dyDescent="0.25">
      <c r="A13472" s="22" t="s">
        <v>8</v>
      </c>
      <c r="B13472" s="18" t="str">
        <f>"515065"</f>
        <v>515065</v>
      </c>
      <c r="C13472" s="19" t="s">
        <v>13241</v>
      </c>
      <c r="D13472" s="19" t="s">
        <v>28871</v>
      </c>
      <c r="E13472" s="19" t="s">
        <v>33524</v>
      </c>
      <c r="F13472" s="19" t="s">
        <v>36023</v>
      </c>
      <c r="G13472" s="18" t="str">
        <f>"25271"</f>
        <v>25271</v>
      </c>
      <c r="H13472" s="19" t="s">
        <v>30816</v>
      </c>
      <c r="I13472" s="20">
        <v>18.824000000000002</v>
      </c>
      <c r="J13472" s="44" t="s">
        <v>8</v>
      </c>
      <c r="K13472" s="23" t="s">
        <v>8</v>
      </c>
      <c r="L13472" s="23" t="s">
        <v>8</v>
      </c>
      <c r="M13472" s="23" t="s">
        <v>8</v>
      </c>
    </row>
    <row r="13473" spans="1:13" s="21" customFormat="1" x14ac:dyDescent="0.25">
      <c r="A13473" s="22" t="s">
        <v>8</v>
      </c>
      <c r="B13473" s="18" t="str">
        <f>"515066"</f>
        <v>515066</v>
      </c>
      <c r="C13473" s="19" t="s">
        <v>13242</v>
      </c>
      <c r="D13473" s="19" t="s">
        <v>28872</v>
      </c>
      <c r="E13473" s="19" t="s">
        <v>35512</v>
      </c>
      <c r="F13473" s="19" t="s">
        <v>36023</v>
      </c>
      <c r="G13473" s="18" t="str">
        <f>"25064"</f>
        <v>25064</v>
      </c>
      <c r="H13473" s="19" t="s">
        <v>32512</v>
      </c>
      <c r="I13473" s="20">
        <v>18.422000000000001</v>
      </c>
      <c r="J13473" s="44" t="s">
        <v>8</v>
      </c>
      <c r="K13473" s="23" t="s">
        <v>8</v>
      </c>
      <c r="L13473" s="23" t="s">
        <v>8</v>
      </c>
      <c r="M13473" s="23" t="s">
        <v>8</v>
      </c>
    </row>
    <row r="13474" spans="1:13" s="21" customFormat="1" x14ac:dyDescent="0.25">
      <c r="A13474" s="22" t="s">
        <v>8</v>
      </c>
      <c r="B13474" s="18" t="str">
        <f>"515067"</f>
        <v>515067</v>
      </c>
      <c r="C13474" s="19" t="s">
        <v>13243</v>
      </c>
      <c r="D13474" s="19" t="s">
        <v>28873</v>
      </c>
      <c r="E13474" s="19" t="s">
        <v>35513</v>
      </c>
      <c r="F13474" s="19" t="s">
        <v>36023</v>
      </c>
      <c r="G13474" s="18" t="str">
        <f>"26041"</f>
        <v>26041</v>
      </c>
      <c r="H13474" s="19" t="s">
        <v>31063</v>
      </c>
      <c r="I13474" s="20">
        <v>19.562000000000001</v>
      </c>
      <c r="J13474" s="44" t="s">
        <v>8</v>
      </c>
      <c r="K13474" s="23" t="s">
        <v>8</v>
      </c>
      <c r="L13474" s="23" t="s">
        <v>8</v>
      </c>
      <c r="M13474" s="23" t="s">
        <v>8</v>
      </c>
    </row>
    <row r="13475" spans="1:13" s="21" customFormat="1" x14ac:dyDescent="0.25">
      <c r="A13475" s="22" t="s">
        <v>8</v>
      </c>
      <c r="B13475" s="18" t="str">
        <f>"515069"</f>
        <v>515069</v>
      </c>
      <c r="C13475" s="19" t="s">
        <v>13244</v>
      </c>
      <c r="D13475" s="19" t="s">
        <v>28874</v>
      </c>
      <c r="E13475" s="19" t="s">
        <v>35514</v>
      </c>
      <c r="F13475" s="19" t="s">
        <v>36023</v>
      </c>
      <c r="G13475" s="18" t="str">
        <f>"25661"</f>
        <v>25661</v>
      </c>
      <c r="H13475" s="19" t="s">
        <v>36916</v>
      </c>
      <c r="I13475" s="20">
        <v>20.189</v>
      </c>
      <c r="J13475" s="44" t="s">
        <v>8</v>
      </c>
      <c r="K13475" s="23" t="s">
        <v>8</v>
      </c>
      <c r="L13475" s="23" t="s">
        <v>8</v>
      </c>
      <c r="M13475" s="23" t="s">
        <v>8</v>
      </c>
    </row>
    <row r="13476" spans="1:13" s="21" customFormat="1" x14ac:dyDescent="0.25">
      <c r="A13476" s="22" t="s">
        <v>8</v>
      </c>
      <c r="B13476" s="18" t="str">
        <f>"515070"</f>
        <v>515070</v>
      </c>
      <c r="C13476" s="19" t="s">
        <v>13245</v>
      </c>
      <c r="D13476" s="19" t="s">
        <v>28875</v>
      </c>
      <c r="E13476" s="19" t="s">
        <v>35336</v>
      </c>
      <c r="F13476" s="19" t="s">
        <v>36023</v>
      </c>
      <c r="G13476" s="18" t="str">
        <f>"25526"</f>
        <v>25526</v>
      </c>
      <c r="H13476" s="19" t="s">
        <v>31482</v>
      </c>
      <c r="I13476" s="20">
        <v>19.731999999999999</v>
      </c>
      <c r="J13476" s="44" t="s">
        <v>8</v>
      </c>
      <c r="K13476" s="23" t="s">
        <v>8</v>
      </c>
      <c r="L13476" s="23" t="s">
        <v>8</v>
      </c>
      <c r="M13476" s="23" t="s">
        <v>8</v>
      </c>
    </row>
    <row r="13477" spans="1:13" s="21" customFormat="1" x14ac:dyDescent="0.25">
      <c r="A13477" s="22" t="s">
        <v>8</v>
      </c>
      <c r="B13477" s="18" t="str">
        <f>"515071"</f>
        <v>515071</v>
      </c>
      <c r="C13477" s="19" t="s">
        <v>13246</v>
      </c>
      <c r="D13477" s="19" t="s">
        <v>28876</v>
      </c>
      <c r="E13477" s="19" t="s">
        <v>31038</v>
      </c>
      <c r="F13477" s="19" t="s">
        <v>36023</v>
      </c>
      <c r="G13477" s="18" t="str">
        <f>"26426"</f>
        <v>26426</v>
      </c>
      <c r="H13477" s="19" t="s">
        <v>31020</v>
      </c>
      <c r="I13477" s="20">
        <v>20.134</v>
      </c>
      <c r="J13477" s="44" t="s">
        <v>8</v>
      </c>
      <c r="K13477" s="23" t="s">
        <v>8</v>
      </c>
      <c r="L13477" s="23" t="s">
        <v>8</v>
      </c>
      <c r="M13477" s="23" t="s">
        <v>8</v>
      </c>
    </row>
    <row r="13478" spans="1:13" s="21" customFormat="1" x14ac:dyDescent="0.25">
      <c r="A13478" s="22" t="s">
        <v>8</v>
      </c>
      <c r="B13478" s="18" t="str">
        <f>"515072"</f>
        <v>515072</v>
      </c>
      <c r="C13478" s="19" t="s">
        <v>13247</v>
      </c>
      <c r="D13478" s="19" t="s">
        <v>28877</v>
      </c>
      <c r="E13478" s="19" t="s">
        <v>35515</v>
      </c>
      <c r="F13478" s="19" t="s">
        <v>36023</v>
      </c>
      <c r="G13478" s="18" t="str">
        <f>"26537"</f>
        <v>26537</v>
      </c>
      <c r="H13478" s="19" t="s">
        <v>31887</v>
      </c>
      <c r="I13478" s="20">
        <v>16.728000000000002</v>
      </c>
      <c r="J13478" s="44" t="s">
        <v>8</v>
      </c>
      <c r="K13478" s="23" t="s">
        <v>8</v>
      </c>
      <c r="L13478" s="23" t="s">
        <v>8</v>
      </c>
      <c r="M13478" s="23" t="s">
        <v>8</v>
      </c>
    </row>
    <row r="13479" spans="1:13" s="21" customFormat="1" x14ac:dyDescent="0.25">
      <c r="A13479" s="22" t="s">
        <v>8</v>
      </c>
      <c r="B13479" s="18" t="str">
        <f>"515074"</f>
        <v>515074</v>
      </c>
      <c r="C13479" s="19" t="s">
        <v>13248</v>
      </c>
      <c r="D13479" s="19" t="s">
        <v>28878</v>
      </c>
      <c r="E13479" s="19" t="s">
        <v>35502</v>
      </c>
      <c r="F13479" s="19" t="s">
        <v>36023</v>
      </c>
      <c r="G13479" s="18" t="str">
        <f>"26155"</f>
        <v>26155</v>
      </c>
      <c r="H13479" s="19" t="s">
        <v>36912</v>
      </c>
      <c r="I13479" s="20">
        <v>17.573</v>
      </c>
      <c r="J13479" s="44" t="s">
        <v>8</v>
      </c>
      <c r="K13479" s="23" t="s">
        <v>8</v>
      </c>
      <c r="L13479" s="23" t="s">
        <v>8</v>
      </c>
      <c r="M13479" s="23" t="s">
        <v>8</v>
      </c>
    </row>
    <row r="13480" spans="1:13" s="21" customFormat="1" x14ac:dyDescent="0.25">
      <c r="A13480" s="22" t="s">
        <v>8</v>
      </c>
      <c r="B13480" s="18" t="str">
        <f>"515076"</f>
        <v>515076</v>
      </c>
      <c r="C13480" s="19" t="s">
        <v>13249</v>
      </c>
      <c r="D13480" s="19" t="s">
        <v>28879</v>
      </c>
      <c r="E13480" s="19" t="s">
        <v>35508</v>
      </c>
      <c r="F13480" s="19" t="s">
        <v>36023</v>
      </c>
      <c r="G13480" s="18" t="str">
        <f>"26201"</f>
        <v>26201</v>
      </c>
      <c r="H13480" s="19" t="s">
        <v>36915</v>
      </c>
      <c r="I13480" s="20">
        <v>20.731000000000002</v>
      </c>
      <c r="J13480" s="44" t="s">
        <v>8</v>
      </c>
      <c r="K13480" s="23" t="s">
        <v>8</v>
      </c>
      <c r="L13480" s="23" t="s">
        <v>8</v>
      </c>
      <c r="M13480" s="23" t="s">
        <v>8</v>
      </c>
    </row>
    <row r="13481" spans="1:13" s="21" customFormat="1" x14ac:dyDescent="0.25">
      <c r="A13481" s="22" t="s">
        <v>8</v>
      </c>
      <c r="B13481" s="18" t="str">
        <f>"515077"</f>
        <v>515077</v>
      </c>
      <c r="C13481" s="19" t="s">
        <v>13250</v>
      </c>
      <c r="D13481" s="19" t="s">
        <v>28880</v>
      </c>
      <c r="E13481" s="19" t="s">
        <v>35506</v>
      </c>
      <c r="F13481" s="19" t="s">
        <v>36023</v>
      </c>
      <c r="G13481" s="18" t="str">
        <f>"26062"</f>
        <v>26062</v>
      </c>
      <c r="H13481" s="19" t="s">
        <v>33144</v>
      </c>
      <c r="I13481" s="20">
        <v>20.251999999999999</v>
      </c>
      <c r="J13481" s="44" t="s">
        <v>8</v>
      </c>
      <c r="K13481" s="23" t="s">
        <v>8</v>
      </c>
      <c r="L13481" s="23" t="s">
        <v>8</v>
      </c>
      <c r="M13481" s="23" t="s">
        <v>8</v>
      </c>
    </row>
    <row r="13482" spans="1:13" s="21" customFormat="1" x14ac:dyDescent="0.25">
      <c r="A13482" s="22" t="s">
        <v>8</v>
      </c>
      <c r="B13482" s="18" t="str">
        <f>"515080"</f>
        <v>515080</v>
      </c>
      <c r="C13482" s="19" t="s">
        <v>13251</v>
      </c>
      <c r="D13482" s="19" t="s">
        <v>28881</v>
      </c>
      <c r="E13482" s="19" t="s">
        <v>35516</v>
      </c>
      <c r="F13482" s="19" t="s">
        <v>36023</v>
      </c>
      <c r="G13482" s="18" t="str">
        <f>"26757"</f>
        <v>26757</v>
      </c>
      <c r="H13482" s="19" t="s">
        <v>36412</v>
      </c>
      <c r="I13482" s="20">
        <v>18.882000000000001</v>
      </c>
      <c r="J13482" s="44" t="s">
        <v>8</v>
      </c>
      <c r="K13482" s="23" t="s">
        <v>8</v>
      </c>
      <c r="L13482" s="23" t="s">
        <v>8</v>
      </c>
      <c r="M13482" s="23" t="s">
        <v>8</v>
      </c>
    </row>
    <row r="13483" spans="1:13" s="21" customFormat="1" x14ac:dyDescent="0.25">
      <c r="A13483" s="22" t="s">
        <v>8</v>
      </c>
      <c r="B13483" s="18" t="str">
        <f>"515081"</f>
        <v>515081</v>
      </c>
      <c r="C13483" s="19" t="s">
        <v>13252</v>
      </c>
      <c r="D13483" s="19" t="s">
        <v>28882</v>
      </c>
      <c r="E13483" s="19" t="s">
        <v>30833</v>
      </c>
      <c r="F13483" s="19" t="s">
        <v>36023</v>
      </c>
      <c r="G13483" s="18" t="str">
        <f>"25136"</f>
        <v>25136</v>
      </c>
      <c r="H13483" s="19" t="s">
        <v>30805</v>
      </c>
      <c r="I13483" s="20">
        <v>18.167999999999999</v>
      </c>
      <c r="J13483" s="44" t="s">
        <v>8</v>
      </c>
      <c r="K13483" s="23" t="s">
        <v>8</v>
      </c>
      <c r="L13483" s="23" t="s">
        <v>8</v>
      </c>
      <c r="M13483" s="23" t="s">
        <v>8</v>
      </c>
    </row>
    <row r="13484" spans="1:13" s="21" customFormat="1" x14ac:dyDescent="0.25">
      <c r="A13484" s="22" t="s">
        <v>8</v>
      </c>
      <c r="B13484" s="18" t="str">
        <f>"515083"</f>
        <v>515083</v>
      </c>
      <c r="C13484" s="19" t="s">
        <v>13253</v>
      </c>
      <c r="D13484" s="19" t="s">
        <v>28883</v>
      </c>
      <c r="E13484" s="19" t="s">
        <v>32688</v>
      </c>
      <c r="F13484" s="19" t="s">
        <v>36023</v>
      </c>
      <c r="G13484" s="18" t="str">
        <f>"26505"</f>
        <v>26505</v>
      </c>
      <c r="H13484" s="19" t="s">
        <v>36914</v>
      </c>
      <c r="I13484" s="20">
        <v>21.728999999999999</v>
      </c>
      <c r="J13484" s="44" t="s">
        <v>8</v>
      </c>
      <c r="K13484" s="23" t="s">
        <v>8</v>
      </c>
      <c r="L13484" s="23" t="s">
        <v>8</v>
      </c>
      <c r="M13484" s="23" t="s">
        <v>8</v>
      </c>
    </row>
    <row r="13485" spans="1:13" s="21" customFormat="1" x14ac:dyDescent="0.25">
      <c r="A13485" s="22" t="s">
        <v>8</v>
      </c>
      <c r="B13485" s="18" t="str">
        <f>"515085"</f>
        <v>515085</v>
      </c>
      <c r="C13485" s="19" t="s">
        <v>13254</v>
      </c>
      <c r="D13485" s="19" t="s">
        <v>28884</v>
      </c>
      <c r="E13485" s="19" t="s">
        <v>35507</v>
      </c>
      <c r="F13485" s="19" t="s">
        <v>36023</v>
      </c>
      <c r="G13485" s="18" t="str">
        <f>"26101"</f>
        <v>26101</v>
      </c>
      <c r="H13485" s="19" t="s">
        <v>36673</v>
      </c>
      <c r="I13485" s="20">
        <v>17.053999999999998</v>
      </c>
      <c r="J13485" s="44" t="s">
        <v>8</v>
      </c>
      <c r="K13485" s="23" t="s">
        <v>8</v>
      </c>
      <c r="L13485" s="23" t="s">
        <v>8</v>
      </c>
      <c r="M13485" s="23" t="s">
        <v>8</v>
      </c>
    </row>
    <row r="13486" spans="1:13" s="21" customFormat="1" x14ac:dyDescent="0.25">
      <c r="A13486" s="22" t="s">
        <v>8</v>
      </c>
      <c r="B13486" s="18" t="str">
        <f>"515086"</f>
        <v>515086</v>
      </c>
      <c r="C13486" s="19" t="s">
        <v>13255</v>
      </c>
      <c r="D13486" s="19" t="s">
        <v>28885</v>
      </c>
      <c r="E13486" s="19" t="s">
        <v>35504</v>
      </c>
      <c r="F13486" s="19" t="s">
        <v>36023</v>
      </c>
      <c r="G13486" s="18" t="str">
        <f>"25801"</f>
        <v>25801</v>
      </c>
      <c r="H13486" s="19" t="s">
        <v>33576</v>
      </c>
      <c r="I13486" s="20">
        <v>19.652999999999999</v>
      </c>
      <c r="J13486" s="44" t="s">
        <v>8</v>
      </c>
      <c r="K13486" s="23" t="s">
        <v>8</v>
      </c>
      <c r="L13486" s="23" t="s">
        <v>8</v>
      </c>
      <c r="M13486" s="23" t="s">
        <v>8</v>
      </c>
    </row>
    <row r="13487" spans="1:13" s="21" customFormat="1" x14ac:dyDescent="0.25">
      <c r="A13487" s="22" t="s">
        <v>8</v>
      </c>
      <c r="B13487" s="18" t="str">
        <f>"515087"</f>
        <v>515087</v>
      </c>
      <c r="C13487" s="19" t="s">
        <v>5447</v>
      </c>
      <c r="D13487" s="19" t="s">
        <v>28886</v>
      </c>
      <c r="E13487" s="19" t="s">
        <v>35517</v>
      </c>
      <c r="F13487" s="19" t="s">
        <v>36023</v>
      </c>
      <c r="G13487" s="18" t="str">
        <f>"25320"</f>
        <v>25320</v>
      </c>
      <c r="H13487" s="19" t="s">
        <v>32512</v>
      </c>
      <c r="I13487" s="20">
        <v>20.495999999999999</v>
      </c>
      <c r="J13487" s="44" t="s">
        <v>8</v>
      </c>
      <c r="K13487" s="23" t="s">
        <v>8</v>
      </c>
      <c r="L13487" s="23" t="s">
        <v>8</v>
      </c>
      <c r="M13487" s="23" t="s">
        <v>8</v>
      </c>
    </row>
    <row r="13488" spans="1:13" s="21" customFormat="1" x14ac:dyDescent="0.25">
      <c r="A13488" s="22" t="s">
        <v>8</v>
      </c>
      <c r="B13488" s="18" t="str">
        <f>"515088"</f>
        <v>515088</v>
      </c>
      <c r="C13488" s="19" t="s">
        <v>13256</v>
      </c>
      <c r="D13488" s="19" t="s">
        <v>28887</v>
      </c>
      <c r="E13488" s="19" t="s">
        <v>35518</v>
      </c>
      <c r="F13488" s="19" t="s">
        <v>36023</v>
      </c>
      <c r="G13488" s="18" t="str">
        <f>"25832"</f>
        <v>25832</v>
      </c>
      <c r="H13488" s="19" t="s">
        <v>33576</v>
      </c>
      <c r="I13488" s="20">
        <v>18.579999999999998</v>
      </c>
      <c r="J13488" s="44" t="s">
        <v>8</v>
      </c>
      <c r="K13488" s="23" t="s">
        <v>8</v>
      </c>
      <c r="L13488" s="23" t="s">
        <v>8</v>
      </c>
      <c r="M13488" s="23" t="s">
        <v>8</v>
      </c>
    </row>
    <row r="13489" spans="1:13" s="21" customFormat="1" x14ac:dyDescent="0.25">
      <c r="A13489" s="22" t="s">
        <v>8</v>
      </c>
      <c r="B13489" s="18" t="str">
        <f>"515089"</f>
        <v>515089</v>
      </c>
      <c r="C13489" s="19" t="s">
        <v>13257</v>
      </c>
      <c r="D13489" s="19" t="s">
        <v>28888</v>
      </c>
      <c r="E13489" s="19" t="s">
        <v>31091</v>
      </c>
      <c r="F13489" s="19" t="s">
        <v>36023</v>
      </c>
      <c r="G13489" s="18" t="str">
        <f>"25304"</f>
        <v>25304</v>
      </c>
      <c r="H13489" s="19" t="s">
        <v>32512</v>
      </c>
      <c r="I13489" s="20">
        <v>17.3</v>
      </c>
      <c r="J13489" s="44" t="s">
        <v>8</v>
      </c>
      <c r="K13489" s="23" t="s">
        <v>8</v>
      </c>
      <c r="L13489" s="23" t="s">
        <v>8</v>
      </c>
      <c r="M13489" s="23" t="s">
        <v>8</v>
      </c>
    </row>
    <row r="13490" spans="1:13" s="21" customFormat="1" x14ac:dyDescent="0.25">
      <c r="A13490" s="22" t="s">
        <v>8</v>
      </c>
      <c r="B13490" s="18" t="str">
        <f>"515100"</f>
        <v>515100</v>
      </c>
      <c r="C13490" s="19" t="s">
        <v>13258</v>
      </c>
      <c r="D13490" s="19" t="s">
        <v>28889</v>
      </c>
      <c r="E13490" s="19" t="s">
        <v>35519</v>
      </c>
      <c r="F13490" s="19" t="s">
        <v>36023</v>
      </c>
      <c r="G13490" s="18" t="str">
        <f>"24986"</f>
        <v>24986</v>
      </c>
      <c r="H13490" s="19" t="s">
        <v>31071</v>
      </c>
      <c r="I13490" s="20">
        <v>18.414999999999999</v>
      </c>
      <c r="J13490" s="44" t="s">
        <v>8</v>
      </c>
      <c r="K13490" s="23" t="s">
        <v>8</v>
      </c>
      <c r="L13490" s="23" t="s">
        <v>8</v>
      </c>
      <c r="M13490" s="23" t="s">
        <v>8</v>
      </c>
    </row>
    <row r="13491" spans="1:13" s="21" customFormat="1" x14ac:dyDescent="0.25">
      <c r="A13491" s="22" t="s">
        <v>8</v>
      </c>
      <c r="B13491" s="18" t="str">
        <f>"515102"</f>
        <v>515102</v>
      </c>
      <c r="C13491" s="19" t="s">
        <v>13259</v>
      </c>
      <c r="D13491" s="19" t="s">
        <v>28890</v>
      </c>
      <c r="E13491" s="19" t="s">
        <v>35507</v>
      </c>
      <c r="F13491" s="19" t="s">
        <v>36023</v>
      </c>
      <c r="G13491" s="18" t="str">
        <f>"26101"</f>
        <v>26101</v>
      </c>
      <c r="H13491" s="19" t="s">
        <v>36673</v>
      </c>
      <c r="I13491" s="20">
        <v>18.399999999999999</v>
      </c>
      <c r="J13491" s="44" t="s">
        <v>8</v>
      </c>
      <c r="K13491" s="23" t="s">
        <v>8</v>
      </c>
      <c r="L13491" s="23" t="s">
        <v>8</v>
      </c>
      <c r="M13491" s="23" t="s">
        <v>8</v>
      </c>
    </row>
    <row r="13492" spans="1:13" s="21" customFormat="1" x14ac:dyDescent="0.25">
      <c r="A13492" s="22" t="s">
        <v>8</v>
      </c>
      <c r="B13492" s="18" t="str">
        <f>"515103"</f>
        <v>515103</v>
      </c>
      <c r="C13492" s="19" t="s">
        <v>13260</v>
      </c>
      <c r="D13492" s="19" t="s">
        <v>28891</v>
      </c>
      <c r="E13492" s="19" t="s">
        <v>35520</v>
      </c>
      <c r="F13492" s="19" t="s">
        <v>36023</v>
      </c>
      <c r="G13492" s="18" t="str">
        <f>"26351"</f>
        <v>26351</v>
      </c>
      <c r="H13492" s="19" t="s">
        <v>35875</v>
      </c>
      <c r="I13492" s="20">
        <v>17.616</v>
      </c>
      <c r="J13492" s="44" t="s">
        <v>8</v>
      </c>
      <c r="K13492" s="23" t="s">
        <v>8</v>
      </c>
      <c r="L13492" s="23" t="s">
        <v>8</v>
      </c>
      <c r="M13492" s="23" t="s">
        <v>8</v>
      </c>
    </row>
    <row r="13493" spans="1:13" s="21" customFormat="1" x14ac:dyDescent="0.25">
      <c r="A13493" s="22" t="s">
        <v>8</v>
      </c>
      <c r="B13493" s="18" t="str">
        <f>"515104"</f>
        <v>515104</v>
      </c>
      <c r="C13493" s="19" t="s">
        <v>13261</v>
      </c>
      <c r="D13493" s="19" t="s">
        <v>28892</v>
      </c>
      <c r="E13493" s="19" t="s">
        <v>32688</v>
      </c>
      <c r="F13493" s="19" t="s">
        <v>36023</v>
      </c>
      <c r="G13493" s="18" t="str">
        <f>"26508"</f>
        <v>26508</v>
      </c>
      <c r="H13493" s="19" t="s">
        <v>36914</v>
      </c>
      <c r="I13493" s="20">
        <v>21.334</v>
      </c>
      <c r="J13493" s="44" t="s">
        <v>8</v>
      </c>
      <c r="K13493" s="23" t="s">
        <v>8</v>
      </c>
      <c r="L13493" s="23" t="s">
        <v>8</v>
      </c>
      <c r="M13493" s="23" t="s">
        <v>8</v>
      </c>
    </row>
    <row r="13494" spans="1:13" s="21" customFormat="1" x14ac:dyDescent="0.25">
      <c r="A13494" s="22" t="s">
        <v>8</v>
      </c>
      <c r="B13494" s="18" t="str">
        <f>"515105"</f>
        <v>515105</v>
      </c>
      <c r="C13494" s="19" t="s">
        <v>13262</v>
      </c>
      <c r="D13494" s="19" t="s">
        <v>28893</v>
      </c>
      <c r="E13494" s="19" t="s">
        <v>34391</v>
      </c>
      <c r="F13494" s="19" t="s">
        <v>36023</v>
      </c>
      <c r="G13494" s="18" t="str">
        <f>"26354"</f>
        <v>26354</v>
      </c>
      <c r="H13494" s="19" t="s">
        <v>31080</v>
      </c>
      <c r="I13494" s="20">
        <v>18.887</v>
      </c>
      <c r="J13494" s="44" t="s">
        <v>8</v>
      </c>
      <c r="K13494" s="23" t="s">
        <v>8</v>
      </c>
      <c r="L13494" s="23" t="s">
        <v>8</v>
      </c>
      <c r="M13494" s="23" t="s">
        <v>8</v>
      </c>
    </row>
    <row r="13495" spans="1:13" s="21" customFormat="1" x14ac:dyDescent="0.25">
      <c r="A13495" s="22" t="s">
        <v>8</v>
      </c>
      <c r="B13495" s="18" t="str">
        <f>"515106"</f>
        <v>515106</v>
      </c>
      <c r="C13495" s="19" t="s">
        <v>13263</v>
      </c>
      <c r="D13495" s="19" t="s">
        <v>28894</v>
      </c>
      <c r="E13495" s="19" t="s">
        <v>35336</v>
      </c>
      <c r="F13495" s="19" t="s">
        <v>36023</v>
      </c>
      <c r="G13495" s="18" t="str">
        <f>"25526"</f>
        <v>25526</v>
      </c>
      <c r="H13495" s="19" t="s">
        <v>31482</v>
      </c>
      <c r="I13495" s="20">
        <v>16.939</v>
      </c>
      <c r="J13495" s="44" t="s">
        <v>8</v>
      </c>
      <c r="K13495" s="23" t="s">
        <v>8</v>
      </c>
      <c r="L13495" s="23" t="s">
        <v>8</v>
      </c>
      <c r="M13495" s="23" t="s">
        <v>8</v>
      </c>
    </row>
    <row r="13496" spans="1:13" s="21" customFormat="1" x14ac:dyDescent="0.25">
      <c r="A13496" s="22" t="s">
        <v>8</v>
      </c>
      <c r="B13496" s="18" t="str">
        <f>"515107"</f>
        <v>515107</v>
      </c>
      <c r="C13496" s="19" t="s">
        <v>13264</v>
      </c>
      <c r="D13496" s="19" t="s">
        <v>28895</v>
      </c>
      <c r="E13496" s="19" t="s">
        <v>30920</v>
      </c>
      <c r="F13496" s="19" t="s">
        <v>36023</v>
      </c>
      <c r="G13496" s="18" t="str">
        <f>"26330"</f>
        <v>26330</v>
      </c>
      <c r="H13496" s="19" t="s">
        <v>31020</v>
      </c>
      <c r="I13496" s="20">
        <v>15.757</v>
      </c>
      <c r="J13496" s="44" t="s">
        <v>8</v>
      </c>
      <c r="K13496" s="23" t="s">
        <v>8</v>
      </c>
      <c r="L13496" s="23" t="s">
        <v>8</v>
      </c>
      <c r="M13496" s="23" t="s">
        <v>8</v>
      </c>
    </row>
    <row r="13497" spans="1:13" s="21" customFormat="1" x14ac:dyDescent="0.25">
      <c r="A13497" s="22" t="s">
        <v>8</v>
      </c>
      <c r="B13497" s="18" t="str">
        <f>"515110"</f>
        <v>515110</v>
      </c>
      <c r="C13497" s="19" t="s">
        <v>13265</v>
      </c>
      <c r="D13497" s="19" t="s">
        <v>28896</v>
      </c>
      <c r="E13497" s="19" t="s">
        <v>31091</v>
      </c>
      <c r="F13497" s="19" t="s">
        <v>36023</v>
      </c>
      <c r="G13497" s="18" t="str">
        <f>"25322"</f>
        <v>25322</v>
      </c>
      <c r="H13497" s="19" t="s">
        <v>32512</v>
      </c>
      <c r="I13497" s="20">
        <v>20.312999999999999</v>
      </c>
      <c r="J13497" s="44" t="s">
        <v>8</v>
      </c>
      <c r="K13497" s="23" t="s">
        <v>8</v>
      </c>
      <c r="L13497" s="23" t="s">
        <v>8</v>
      </c>
      <c r="M13497" s="23" t="s">
        <v>8</v>
      </c>
    </row>
    <row r="13498" spans="1:13" s="21" customFormat="1" x14ac:dyDescent="0.25">
      <c r="A13498" s="22" t="s">
        <v>8</v>
      </c>
      <c r="B13498" s="18" t="str">
        <f>"515112"</f>
        <v>515112</v>
      </c>
      <c r="C13498" s="19" t="s">
        <v>13266</v>
      </c>
      <c r="D13498" s="19" t="s">
        <v>28897</v>
      </c>
      <c r="E13498" s="19" t="s">
        <v>35521</v>
      </c>
      <c r="F13498" s="19" t="s">
        <v>36023</v>
      </c>
      <c r="G13498" s="18" t="str">
        <f>"26038"</f>
        <v>26038</v>
      </c>
      <c r="H13498" s="19" t="s">
        <v>31063</v>
      </c>
      <c r="I13498" s="20">
        <v>19.824999999999999</v>
      </c>
      <c r="J13498" s="44" t="s">
        <v>8</v>
      </c>
      <c r="K13498" s="23" t="s">
        <v>8</v>
      </c>
      <c r="L13498" s="23" t="s">
        <v>8</v>
      </c>
      <c r="M13498" s="23" t="s">
        <v>8</v>
      </c>
    </row>
    <row r="13499" spans="1:13" s="21" customFormat="1" x14ac:dyDescent="0.25">
      <c r="A13499" s="22" t="s">
        <v>8</v>
      </c>
      <c r="B13499" s="18" t="str">
        <f>"515113"</f>
        <v>515113</v>
      </c>
      <c r="C13499" s="19" t="s">
        <v>13267</v>
      </c>
      <c r="D13499" s="19" t="s">
        <v>28898</v>
      </c>
      <c r="E13499" s="19" t="s">
        <v>32207</v>
      </c>
      <c r="F13499" s="19" t="s">
        <v>36023</v>
      </c>
      <c r="G13499" s="18" t="str">
        <f>"25702"</f>
        <v>25702</v>
      </c>
      <c r="H13499" s="19" t="s">
        <v>36913</v>
      </c>
      <c r="I13499" s="20">
        <v>19.567</v>
      </c>
      <c r="J13499" s="44" t="s">
        <v>8</v>
      </c>
      <c r="K13499" s="23" t="s">
        <v>8</v>
      </c>
      <c r="L13499" s="23" t="s">
        <v>8</v>
      </c>
      <c r="M13499" s="23" t="s">
        <v>8</v>
      </c>
    </row>
    <row r="13500" spans="1:13" s="21" customFormat="1" x14ac:dyDescent="0.25">
      <c r="A13500" s="22" t="s">
        <v>8</v>
      </c>
      <c r="B13500" s="18" t="str">
        <f>"515116"</f>
        <v>515116</v>
      </c>
      <c r="C13500" s="19" t="s">
        <v>13268</v>
      </c>
      <c r="D13500" s="19" t="s">
        <v>28899</v>
      </c>
      <c r="E13500" s="19" t="s">
        <v>35522</v>
      </c>
      <c r="F13500" s="19" t="s">
        <v>36023</v>
      </c>
      <c r="G13500" s="18" t="str">
        <f>"26250"</f>
        <v>26250</v>
      </c>
      <c r="H13500" s="19" t="s">
        <v>36029</v>
      </c>
      <c r="I13500" s="20">
        <v>21.667999999999999</v>
      </c>
      <c r="J13500" s="44" t="s">
        <v>8</v>
      </c>
      <c r="K13500" s="23" t="s">
        <v>8</v>
      </c>
      <c r="L13500" s="23" t="s">
        <v>8</v>
      </c>
      <c r="M13500" s="23" t="s">
        <v>8</v>
      </c>
    </row>
    <row r="13501" spans="1:13" s="21" customFormat="1" x14ac:dyDescent="0.25">
      <c r="A13501" s="22" t="s">
        <v>8</v>
      </c>
      <c r="B13501" s="18" t="str">
        <f>"515117"</f>
        <v>515117</v>
      </c>
      <c r="C13501" s="19" t="s">
        <v>4231</v>
      </c>
      <c r="D13501" s="19" t="s">
        <v>28900</v>
      </c>
      <c r="E13501" s="19" t="s">
        <v>30981</v>
      </c>
      <c r="F13501" s="19" t="s">
        <v>36023</v>
      </c>
      <c r="G13501" s="18" t="str">
        <f>"25053"</f>
        <v>25053</v>
      </c>
      <c r="H13501" s="19" t="s">
        <v>32513</v>
      </c>
      <c r="I13501" s="20">
        <v>17.347000000000001</v>
      </c>
      <c r="J13501" s="44" t="s">
        <v>8</v>
      </c>
      <c r="K13501" s="23" t="s">
        <v>8</v>
      </c>
      <c r="L13501" s="23" t="s">
        <v>8</v>
      </c>
      <c r="M13501" s="23" t="s">
        <v>8</v>
      </c>
    </row>
    <row r="13502" spans="1:13" s="21" customFormat="1" x14ac:dyDescent="0.25">
      <c r="A13502" s="22" t="s">
        <v>8</v>
      </c>
      <c r="B13502" s="18" t="str">
        <f>"515118"</f>
        <v>515118</v>
      </c>
      <c r="C13502" s="19" t="s">
        <v>13269</v>
      </c>
      <c r="D13502" s="19" t="s">
        <v>22924</v>
      </c>
      <c r="E13502" s="19" t="s">
        <v>32695</v>
      </c>
      <c r="F13502" s="19" t="s">
        <v>36023</v>
      </c>
      <c r="G13502" s="18" t="str">
        <f>"25086"</f>
        <v>25086</v>
      </c>
      <c r="H13502" s="19" t="s">
        <v>32512</v>
      </c>
      <c r="I13502" s="20">
        <v>16.849</v>
      </c>
      <c r="J13502" s="44" t="s">
        <v>8</v>
      </c>
      <c r="K13502" s="23" t="s">
        <v>8</v>
      </c>
      <c r="L13502" s="23" t="s">
        <v>8</v>
      </c>
      <c r="M13502" s="23" t="s">
        <v>8</v>
      </c>
    </row>
    <row r="13503" spans="1:13" s="21" customFormat="1" x14ac:dyDescent="0.25">
      <c r="A13503" s="22" t="s">
        <v>8</v>
      </c>
      <c r="B13503" s="18" t="str">
        <f>"515120"</f>
        <v>515120</v>
      </c>
      <c r="C13503" s="19" t="s">
        <v>13270</v>
      </c>
      <c r="D13503" s="19" t="s">
        <v>28901</v>
      </c>
      <c r="E13503" s="19" t="s">
        <v>35523</v>
      </c>
      <c r="F13503" s="19" t="s">
        <v>36023</v>
      </c>
      <c r="G13503" s="18" t="str">
        <f>"26301"</f>
        <v>26301</v>
      </c>
      <c r="H13503" s="19" t="s">
        <v>31020</v>
      </c>
      <c r="I13503" s="20">
        <v>21.344000000000001</v>
      </c>
      <c r="J13503" s="44" t="s">
        <v>8</v>
      </c>
      <c r="K13503" s="23" t="s">
        <v>8</v>
      </c>
      <c r="L13503" s="23" t="s">
        <v>8</v>
      </c>
      <c r="M13503" s="23" t="s">
        <v>8</v>
      </c>
    </row>
    <row r="13504" spans="1:13" s="21" customFormat="1" x14ac:dyDescent="0.25">
      <c r="A13504" s="22" t="s">
        <v>8</v>
      </c>
      <c r="B13504" s="18" t="str">
        <f>"515121"</f>
        <v>515121</v>
      </c>
      <c r="C13504" s="19" t="s">
        <v>13271</v>
      </c>
      <c r="D13504" s="19" t="s">
        <v>28902</v>
      </c>
      <c r="E13504" s="19" t="s">
        <v>35524</v>
      </c>
      <c r="F13504" s="19" t="s">
        <v>36023</v>
      </c>
      <c r="G13504" s="18" t="str">
        <f>"25962"</f>
        <v>25962</v>
      </c>
      <c r="H13504" s="19" t="s">
        <v>31071</v>
      </c>
      <c r="I13504" s="20">
        <v>20.414999999999999</v>
      </c>
      <c r="J13504" s="44" t="s">
        <v>8</v>
      </c>
      <c r="K13504" s="23" t="s">
        <v>8</v>
      </c>
      <c r="L13504" s="23" t="s">
        <v>8</v>
      </c>
      <c r="M13504" s="23" t="s">
        <v>8</v>
      </c>
    </row>
    <row r="13505" spans="1:13" s="21" customFormat="1" x14ac:dyDescent="0.25">
      <c r="A13505" s="22" t="s">
        <v>8</v>
      </c>
      <c r="B13505" s="18" t="str">
        <f>"515122"</f>
        <v>515122</v>
      </c>
      <c r="C13505" s="19" t="s">
        <v>13272</v>
      </c>
      <c r="D13505" s="19" t="s">
        <v>28903</v>
      </c>
      <c r="E13505" s="19" t="s">
        <v>35525</v>
      </c>
      <c r="F13505" s="19" t="s">
        <v>36023</v>
      </c>
      <c r="G13505" s="18" t="str">
        <f>"26726"</f>
        <v>26726</v>
      </c>
      <c r="H13505" s="19" t="s">
        <v>36568</v>
      </c>
      <c r="I13505" s="20">
        <v>21.018999999999998</v>
      </c>
      <c r="J13505" s="44" t="s">
        <v>8</v>
      </c>
      <c r="K13505" s="23" t="s">
        <v>8</v>
      </c>
      <c r="L13505" s="23" t="s">
        <v>8</v>
      </c>
      <c r="M13505" s="23" t="s">
        <v>8</v>
      </c>
    </row>
    <row r="13506" spans="1:13" s="21" customFormat="1" x14ac:dyDescent="0.25">
      <c r="A13506" s="22" t="s">
        <v>8</v>
      </c>
      <c r="B13506" s="18" t="str">
        <f>"515123"</f>
        <v>515123</v>
      </c>
      <c r="C13506" s="19" t="s">
        <v>13273</v>
      </c>
      <c r="D13506" s="19" t="s">
        <v>28904</v>
      </c>
      <c r="E13506" s="19" t="s">
        <v>35526</v>
      </c>
      <c r="F13506" s="19" t="s">
        <v>36023</v>
      </c>
      <c r="G13506" s="18" t="str">
        <f>"26070"</f>
        <v>26070</v>
      </c>
      <c r="H13506" s="19" t="s">
        <v>36917</v>
      </c>
      <c r="I13506" s="20">
        <v>21.66</v>
      </c>
      <c r="J13506" s="44" t="s">
        <v>8</v>
      </c>
      <c r="K13506" s="23" t="s">
        <v>8</v>
      </c>
      <c r="L13506" s="23" t="s">
        <v>8</v>
      </c>
      <c r="M13506" s="23" t="s">
        <v>8</v>
      </c>
    </row>
    <row r="13507" spans="1:13" s="21" customFormat="1" x14ac:dyDescent="0.25">
      <c r="A13507" s="22" t="s">
        <v>8</v>
      </c>
      <c r="B13507" s="18" t="str">
        <f>"515124"</f>
        <v>515124</v>
      </c>
      <c r="C13507" s="19" t="s">
        <v>13274</v>
      </c>
      <c r="D13507" s="19" t="s">
        <v>28905</v>
      </c>
      <c r="E13507" s="19" t="s">
        <v>5</v>
      </c>
      <c r="F13507" s="19" t="s">
        <v>36023</v>
      </c>
      <c r="G13507" s="18" t="str">
        <f>"26807"</f>
        <v>26807</v>
      </c>
      <c r="H13507" s="19" t="s">
        <v>32262</v>
      </c>
      <c r="I13507" s="20">
        <v>18.416</v>
      </c>
      <c r="J13507" s="44" t="s">
        <v>8</v>
      </c>
      <c r="K13507" s="23" t="s">
        <v>8</v>
      </c>
      <c r="L13507" s="23" t="s">
        <v>8</v>
      </c>
      <c r="M13507" s="23" t="s">
        <v>8</v>
      </c>
    </row>
    <row r="13508" spans="1:13" s="21" customFormat="1" x14ac:dyDescent="0.25">
      <c r="A13508" s="22" t="s">
        <v>8</v>
      </c>
      <c r="B13508" s="18" t="str">
        <f>"515125"</f>
        <v>515125</v>
      </c>
      <c r="C13508" s="19" t="s">
        <v>13275</v>
      </c>
      <c r="D13508" s="19" t="s">
        <v>28906</v>
      </c>
      <c r="E13508" s="19" t="s">
        <v>33578</v>
      </c>
      <c r="F13508" s="19" t="s">
        <v>36023</v>
      </c>
      <c r="G13508" s="18" t="str">
        <f>"26033"</f>
        <v>26033</v>
      </c>
      <c r="H13508" s="19" t="s">
        <v>31063</v>
      </c>
      <c r="I13508" s="20">
        <v>17.126000000000001</v>
      </c>
      <c r="J13508" s="44" t="s">
        <v>8</v>
      </c>
      <c r="K13508" s="23" t="s">
        <v>8</v>
      </c>
      <c r="L13508" s="23" t="s">
        <v>8</v>
      </c>
      <c r="M13508" s="23" t="s">
        <v>8</v>
      </c>
    </row>
    <row r="13509" spans="1:13" s="21" customFormat="1" x14ac:dyDescent="0.25">
      <c r="A13509" s="22" t="s">
        <v>8</v>
      </c>
      <c r="B13509" s="18" t="str">
        <f>"515126"</f>
        <v>515126</v>
      </c>
      <c r="C13509" s="19" t="s">
        <v>13276</v>
      </c>
      <c r="D13509" s="19" t="s">
        <v>28907</v>
      </c>
      <c r="E13509" s="19" t="s">
        <v>32207</v>
      </c>
      <c r="F13509" s="19" t="s">
        <v>36023</v>
      </c>
      <c r="G13509" s="18" t="str">
        <f>"25701"</f>
        <v>25701</v>
      </c>
      <c r="H13509" s="19" t="s">
        <v>36913</v>
      </c>
      <c r="I13509" s="20">
        <v>20.195</v>
      </c>
      <c r="J13509" s="44" t="s">
        <v>8</v>
      </c>
      <c r="K13509" s="23" t="s">
        <v>8</v>
      </c>
      <c r="L13509" s="23" t="s">
        <v>8</v>
      </c>
      <c r="M13509" s="23" t="s">
        <v>8</v>
      </c>
    </row>
    <row r="13510" spans="1:13" s="21" customFormat="1" x14ac:dyDescent="0.25">
      <c r="A13510" s="22" t="s">
        <v>8</v>
      </c>
      <c r="B13510" s="18" t="str">
        <f>"515128"</f>
        <v>515128</v>
      </c>
      <c r="C13510" s="19" t="s">
        <v>13277</v>
      </c>
      <c r="D13510" s="19" t="s">
        <v>28908</v>
      </c>
      <c r="E13510" s="19" t="s">
        <v>35527</v>
      </c>
      <c r="F13510" s="19" t="s">
        <v>36023</v>
      </c>
      <c r="G13510" s="18" t="str">
        <f>"26037"</f>
        <v>26037</v>
      </c>
      <c r="H13510" s="19" t="s">
        <v>36917</v>
      </c>
      <c r="I13510" s="20">
        <v>19.132000000000001</v>
      </c>
      <c r="J13510" s="44" t="s">
        <v>8</v>
      </c>
      <c r="K13510" s="23" t="s">
        <v>8</v>
      </c>
      <c r="L13510" s="23" t="s">
        <v>8</v>
      </c>
      <c r="M13510" s="23" t="s">
        <v>8</v>
      </c>
    </row>
    <row r="13511" spans="1:13" s="21" customFormat="1" x14ac:dyDescent="0.25">
      <c r="A13511" s="22" t="s">
        <v>8</v>
      </c>
      <c r="B13511" s="18" t="str">
        <f>"515129"</f>
        <v>515129</v>
      </c>
      <c r="C13511" s="19" t="s">
        <v>13278</v>
      </c>
      <c r="D13511" s="19" t="s">
        <v>28909</v>
      </c>
      <c r="E13511" s="19" t="s">
        <v>35528</v>
      </c>
      <c r="F13511" s="19" t="s">
        <v>36023</v>
      </c>
      <c r="G13511" s="18" t="str">
        <f>"26416"</f>
        <v>26416</v>
      </c>
      <c r="H13511" s="19" t="s">
        <v>36029</v>
      </c>
      <c r="I13511" s="20">
        <v>17.417999999999999</v>
      </c>
      <c r="J13511" s="44" t="s">
        <v>8</v>
      </c>
      <c r="K13511" s="23" t="s">
        <v>8</v>
      </c>
      <c r="L13511" s="23" t="s">
        <v>8</v>
      </c>
      <c r="M13511" s="23" t="s">
        <v>8</v>
      </c>
    </row>
    <row r="13512" spans="1:13" s="21" customFormat="1" x14ac:dyDescent="0.25">
      <c r="A13512" s="22" t="s">
        <v>8</v>
      </c>
      <c r="B13512" s="18" t="str">
        <f>"515130"</f>
        <v>515130</v>
      </c>
      <c r="C13512" s="19" t="s">
        <v>13279</v>
      </c>
      <c r="D13512" s="19" t="s">
        <v>28910</v>
      </c>
      <c r="E13512" s="19" t="s">
        <v>31396</v>
      </c>
      <c r="F13512" s="19" t="s">
        <v>36023</v>
      </c>
      <c r="G13512" s="18" t="str">
        <f>"26034"</f>
        <v>26034</v>
      </c>
      <c r="H13512" s="19" t="s">
        <v>33144</v>
      </c>
      <c r="I13512" s="20">
        <v>22.702000000000002</v>
      </c>
      <c r="J13512" s="44" t="s">
        <v>8</v>
      </c>
      <c r="K13512" s="23" t="s">
        <v>8</v>
      </c>
      <c r="L13512" s="23" t="s">
        <v>8</v>
      </c>
      <c r="M13512" s="23" t="s">
        <v>8</v>
      </c>
    </row>
    <row r="13513" spans="1:13" s="21" customFormat="1" x14ac:dyDescent="0.25">
      <c r="A13513" s="22" t="s">
        <v>8</v>
      </c>
      <c r="B13513" s="18" t="str">
        <f>"515131"</f>
        <v>515131</v>
      </c>
      <c r="C13513" s="19" t="s">
        <v>13280</v>
      </c>
      <c r="D13513" s="19" t="s">
        <v>28911</v>
      </c>
      <c r="E13513" s="19" t="s">
        <v>35529</v>
      </c>
      <c r="F13513" s="19" t="s">
        <v>36023</v>
      </c>
      <c r="G13513" s="18" t="str">
        <f>"26175"</f>
        <v>26175</v>
      </c>
      <c r="H13513" s="19" t="s">
        <v>33401</v>
      </c>
      <c r="I13513" s="20">
        <v>18.463000000000001</v>
      </c>
      <c r="J13513" s="44" t="s">
        <v>8</v>
      </c>
      <c r="K13513" s="23" t="s">
        <v>8</v>
      </c>
      <c r="L13513" s="23" t="s">
        <v>8</v>
      </c>
      <c r="M13513" s="23" t="s">
        <v>8</v>
      </c>
    </row>
    <row r="13514" spans="1:13" s="21" customFormat="1" x14ac:dyDescent="0.25">
      <c r="A13514" s="22" t="s">
        <v>8</v>
      </c>
      <c r="B13514" s="18" t="str">
        <f>"515133"</f>
        <v>515133</v>
      </c>
      <c r="C13514" s="19" t="s">
        <v>13281</v>
      </c>
      <c r="D13514" s="19" t="s">
        <v>28912</v>
      </c>
      <c r="E13514" s="19" t="s">
        <v>35530</v>
      </c>
      <c r="F13514" s="19" t="s">
        <v>36023</v>
      </c>
      <c r="G13514" s="18" t="str">
        <f>"25812"</f>
        <v>25812</v>
      </c>
      <c r="H13514" s="19" t="s">
        <v>30805</v>
      </c>
      <c r="I13514" s="20">
        <v>19.969000000000001</v>
      </c>
      <c r="J13514" s="44" t="s">
        <v>8</v>
      </c>
      <c r="K13514" s="23" t="s">
        <v>8</v>
      </c>
      <c r="L13514" s="23" t="s">
        <v>8</v>
      </c>
      <c r="M13514" s="23" t="s">
        <v>8</v>
      </c>
    </row>
    <row r="13515" spans="1:13" s="21" customFormat="1" x14ac:dyDescent="0.25">
      <c r="A13515" s="22" t="s">
        <v>8</v>
      </c>
      <c r="B13515" s="18" t="str">
        <f>"515134"</f>
        <v>515134</v>
      </c>
      <c r="C13515" s="19" t="s">
        <v>13282</v>
      </c>
      <c r="D13515" s="19" t="s">
        <v>28913</v>
      </c>
      <c r="E13515" s="19" t="s">
        <v>31091</v>
      </c>
      <c r="F13515" s="19" t="s">
        <v>36023</v>
      </c>
      <c r="G13515" s="18" t="str">
        <f>"25311"</f>
        <v>25311</v>
      </c>
      <c r="H13515" s="19" t="s">
        <v>32512</v>
      </c>
      <c r="I13515" s="20">
        <v>17.178000000000001</v>
      </c>
      <c r="J13515" s="44" t="s">
        <v>8</v>
      </c>
      <c r="K13515" s="23" t="s">
        <v>8</v>
      </c>
      <c r="L13515" s="23" t="s">
        <v>8</v>
      </c>
      <c r="M13515" s="23" t="s">
        <v>8</v>
      </c>
    </row>
    <row r="13516" spans="1:13" s="21" customFormat="1" x14ac:dyDescent="0.25">
      <c r="A13516" s="22" t="s">
        <v>8</v>
      </c>
      <c r="B13516" s="18" t="str">
        <f>"515137"</f>
        <v>515137</v>
      </c>
      <c r="C13516" s="19" t="s">
        <v>13283</v>
      </c>
      <c r="D13516" s="19" t="s">
        <v>28914</v>
      </c>
      <c r="E13516" s="19" t="s">
        <v>35531</v>
      </c>
      <c r="F13516" s="19" t="s">
        <v>36023</v>
      </c>
      <c r="G13516" s="18" t="str">
        <f>"25411"</f>
        <v>25411</v>
      </c>
      <c r="H13516" s="19" t="s">
        <v>33505</v>
      </c>
      <c r="I13516" s="20">
        <v>20.21</v>
      </c>
      <c r="J13516" s="44" t="s">
        <v>8</v>
      </c>
      <c r="K13516" s="23" t="s">
        <v>8</v>
      </c>
      <c r="L13516" s="23" t="s">
        <v>8</v>
      </c>
      <c r="M13516" s="23" t="s">
        <v>8</v>
      </c>
    </row>
    <row r="13517" spans="1:13" s="21" customFormat="1" x14ac:dyDescent="0.25">
      <c r="A13517" s="22" t="s">
        <v>8</v>
      </c>
      <c r="B13517" s="18" t="str">
        <f>"515140"</f>
        <v>515140</v>
      </c>
      <c r="C13517" s="19" t="s">
        <v>13284</v>
      </c>
      <c r="D13517" s="19" t="s">
        <v>28915</v>
      </c>
      <c r="E13517" s="19" t="s">
        <v>32373</v>
      </c>
      <c r="F13517" s="19" t="s">
        <v>36023</v>
      </c>
      <c r="G13517" s="18" t="str">
        <f>"25601"</f>
        <v>25601</v>
      </c>
      <c r="H13517" s="19" t="s">
        <v>32373</v>
      </c>
      <c r="I13517" s="20">
        <v>20.167000000000002</v>
      </c>
      <c r="J13517" s="44" t="s">
        <v>8</v>
      </c>
      <c r="K13517" s="23" t="s">
        <v>8</v>
      </c>
      <c r="L13517" s="23" t="s">
        <v>8</v>
      </c>
      <c r="M13517" s="23" t="s">
        <v>8</v>
      </c>
    </row>
    <row r="13518" spans="1:13" s="21" customFormat="1" x14ac:dyDescent="0.25">
      <c r="A13518" s="22" t="s">
        <v>8</v>
      </c>
      <c r="B13518" s="18" t="str">
        <f>"515141"</f>
        <v>515141</v>
      </c>
      <c r="C13518" s="19" t="s">
        <v>13285</v>
      </c>
      <c r="D13518" s="19" t="s">
        <v>28916</v>
      </c>
      <c r="E13518" s="19" t="s">
        <v>30920</v>
      </c>
      <c r="F13518" s="19" t="s">
        <v>36023</v>
      </c>
      <c r="G13518" s="18" t="str">
        <f>"26330"</f>
        <v>26330</v>
      </c>
      <c r="H13518" s="19" t="s">
        <v>31020</v>
      </c>
      <c r="I13518" s="20">
        <v>20.087</v>
      </c>
      <c r="J13518" s="44" t="s">
        <v>8</v>
      </c>
      <c r="K13518" s="23" t="s">
        <v>8</v>
      </c>
      <c r="L13518" s="23" t="s">
        <v>8</v>
      </c>
      <c r="M13518" s="23" t="s">
        <v>8</v>
      </c>
    </row>
    <row r="13519" spans="1:13" s="21" customFormat="1" x14ac:dyDescent="0.25">
      <c r="A13519" s="22" t="s">
        <v>8</v>
      </c>
      <c r="B13519" s="18" t="str">
        <f>"515142"</f>
        <v>515142</v>
      </c>
      <c r="C13519" s="19" t="s">
        <v>13286</v>
      </c>
      <c r="D13519" s="19" t="s">
        <v>28917</v>
      </c>
      <c r="E13519" s="19" t="s">
        <v>35532</v>
      </c>
      <c r="F13519" s="19" t="s">
        <v>36023</v>
      </c>
      <c r="G13519" s="18" t="str">
        <f>"25113"</f>
        <v>25113</v>
      </c>
      <c r="H13519" s="19" t="s">
        <v>36030</v>
      </c>
      <c r="I13519" s="20">
        <v>19.209</v>
      </c>
      <c r="J13519" s="44" t="s">
        <v>8</v>
      </c>
      <c r="K13519" s="23" t="s">
        <v>8</v>
      </c>
      <c r="L13519" s="23" t="s">
        <v>8</v>
      </c>
      <c r="M13519" s="23" t="s">
        <v>8</v>
      </c>
    </row>
    <row r="13520" spans="1:13" s="21" customFormat="1" x14ac:dyDescent="0.25">
      <c r="A13520" s="22" t="s">
        <v>8</v>
      </c>
      <c r="B13520" s="18" t="str">
        <f>"515144"</f>
        <v>515144</v>
      </c>
      <c r="C13520" s="19" t="s">
        <v>13287</v>
      </c>
      <c r="D13520" s="19" t="s">
        <v>28918</v>
      </c>
      <c r="E13520" s="19" t="s">
        <v>35501</v>
      </c>
      <c r="F13520" s="19" t="s">
        <v>36023</v>
      </c>
      <c r="G13520" s="18" t="str">
        <f>"24970"</f>
        <v>24970</v>
      </c>
      <c r="H13520" s="19" t="s">
        <v>31071</v>
      </c>
      <c r="I13520" s="20">
        <v>15.382999999999999</v>
      </c>
      <c r="J13520" s="44" t="s">
        <v>8</v>
      </c>
      <c r="K13520" s="23" t="s">
        <v>8</v>
      </c>
      <c r="L13520" s="23" t="s">
        <v>8</v>
      </c>
      <c r="M13520" s="23" t="s">
        <v>8</v>
      </c>
    </row>
    <row r="13521" spans="1:13" s="21" customFormat="1" x14ac:dyDescent="0.25">
      <c r="A13521" s="22" t="s">
        <v>8</v>
      </c>
      <c r="B13521" s="18" t="str">
        <f>"515146"</f>
        <v>515146</v>
      </c>
      <c r="C13521" s="19" t="s">
        <v>13288</v>
      </c>
      <c r="D13521" s="19" t="s">
        <v>28919</v>
      </c>
      <c r="E13521" s="19" t="s">
        <v>35533</v>
      </c>
      <c r="F13521" s="19" t="s">
        <v>36023</v>
      </c>
      <c r="G13521" s="18" t="str">
        <f>"25315"</f>
        <v>25315</v>
      </c>
      <c r="H13521" s="19" t="s">
        <v>32512</v>
      </c>
      <c r="I13521" s="20">
        <v>18.571999999999999</v>
      </c>
      <c r="J13521" s="44" t="s">
        <v>8</v>
      </c>
      <c r="K13521" s="23" t="s">
        <v>8</v>
      </c>
      <c r="L13521" s="23" t="s">
        <v>8</v>
      </c>
      <c r="M13521" s="23" t="s">
        <v>8</v>
      </c>
    </row>
    <row r="13522" spans="1:13" s="21" customFormat="1" x14ac:dyDescent="0.25">
      <c r="A13522" s="22" t="s">
        <v>8</v>
      </c>
      <c r="B13522" s="18" t="str">
        <f>"515147"</f>
        <v>515147</v>
      </c>
      <c r="C13522" s="19" t="s">
        <v>13289</v>
      </c>
      <c r="D13522" s="19" t="s">
        <v>28920</v>
      </c>
      <c r="E13522" s="19" t="s">
        <v>3083</v>
      </c>
      <c r="F13522" s="19" t="s">
        <v>36023</v>
      </c>
      <c r="G13522" s="18" t="str">
        <f>"25901"</f>
        <v>25901</v>
      </c>
      <c r="H13522" s="19" t="s">
        <v>30805</v>
      </c>
      <c r="I13522" s="20">
        <v>17.806999999999999</v>
      </c>
      <c r="J13522" s="44" t="s">
        <v>8</v>
      </c>
      <c r="K13522" s="23" t="s">
        <v>8</v>
      </c>
      <c r="L13522" s="23" t="s">
        <v>8</v>
      </c>
      <c r="M13522" s="23" t="s">
        <v>8</v>
      </c>
    </row>
    <row r="13523" spans="1:13" s="21" customFormat="1" x14ac:dyDescent="0.25">
      <c r="A13523" s="22" t="s">
        <v>8</v>
      </c>
      <c r="B13523" s="18" t="str">
        <f>"515151"</f>
        <v>515151</v>
      </c>
      <c r="C13523" s="19" t="s">
        <v>13290</v>
      </c>
      <c r="D13523" s="19" t="s">
        <v>28921</v>
      </c>
      <c r="E13523" s="19" t="s">
        <v>32165</v>
      </c>
      <c r="F13523" s="19" t="s">
        <v>36023</v>
      </c>
      <c r="G13523" s="18" t="str">
        <f>"26847"</f>
        <v>26847</v>
      </c>
      <c r="H13523" s="19" t="s">
        <v>36078</v>
      </c>
      <c r="I13523" s="20">
        <v>18.677</v>
      </c>
      <c r="J13523" s="44" t="s">
        <v>8</v>
      </c>
      <c r="K13523" s="23" t="s">
        <v>8</v>
      </c>
      <c r="L13523" s="23" t="s">
        <v>8</v>
      </c>
      <c r="M13523" s="23" t="s">
        <v>8</v>
      </c>
    </row>
    <row r="13524" spans="1:13" s="21" customFormat="1" x14ac:dyDescent="0.25">
      <c r="A13524" s="22" t="s">
        <v>8</v>
      </c>
      <c r="B13524" s="18" t="str">
        <f>"515152"</f>
        <v>515152</v>
      </c>
      <c r="C13524" s="19" t="s">
        <v>13291</v>
      </c>
      <c r="D13524" s="19" t="s">
        <v>28922</v>
      </c>
      <c r="E13524" s="19" t="s">
        <v>30833</v>
      </c>
      <c r="F13524" s="19" t="s">
        <v>36023</v>
      </c>
      <c r="G13524" s="18" t="str">
        <f>"25136"</f>
        <v>25136</v>
      </c>
      <c r="H13524" s="19" t="s">
        <v>30805</v>
      </c>
      <c r="I13524" s="20">
        <v>19.777000000000001</v>
      </c>
      <c r="J13524" s="44" t="s">
        <v>8</v>
      </c>
      <c r="K13524" s="23" t="s">
        <v>8</v>
      </c>
      <c r="L13524" s="23" t="s">
        <v>8</v>
      </c>
      <c r="M13524" s="23" t="s">
        <v>8</v>
      </c>
    </row>
    <row r="13525" spans="1:13" s="21" customFormat="1" x14ac:dyDescent="0.25">
      <c r="A13525" s="22" t="s">
        <v>8</v>
      </c>
      <c r="B13525" s="18" t="str">
        <f>"515153"</f>
        <v>515153</v>
      </c>
      <c r="C13525" s="19" t="s">
        <v>13292</v>
      </c>
      <c r="D13525" s="19" t="s">
        <v>28923</v>
      </c>
      <c r="E13525" s="19" t="s">
        <v>30991</v>
      </c>
      <c r="F13525" s="19" t="s">
        <v>36023</v>
      </c>
      <c r="G13525" s="18" t="str">
        <f>"25840"</f>
        <v>25840</v>
      </c>
      <c r="H13525" s="19" t="s">
        <v>30805</v>
      </c>
      <c r="I13525" s="20">
        <v>20.785</v>
      </c>
      <c r="J13525" s="44" t="s">
        <v>8</v>
      </c>
      <c r="K13525" s="23" t="s">
        <v>8</v>
      </c>
      <c r="L13525" s="23" t="s">
        <v>8</v>
      </c>
      <c r="M13525" s="23" t="s">
        <v>8</v>
      </c>
    </row>
    <row r="13526" spans="1:13" s="21" customFormat="1" x14ac:dyDescent="0.25">
      <c r="A13526" s="22" t="s">
        <v>8</v>
      </c>
      <c r="B13526" s="18" t="str">
        <f>"515155"</f>
        <v>515155</v>
      </c>
      <c r="C13526" s="19" t="s">
        <v>13293</v>
      </c>
      <c r="D13526" s="19" t="s">
        <v>28924</v>
      </c>
      <c r="E13526" s="19" t="s">
        <v>33315</v>
      </c>
      <c r="F13526" s="19" t="s">
        <v>36023</v>
      </c>
      <c r="G13526" s="18" t="str">
        <f>"26554"</f>
        <v>26554</v>
      </c>
      <c r="H13526" s="19" t="s">
        <v>30850</v>
      </c>
      <c r="I13526" s="20">
        <v>20.314</v>
      </c>
      <c r="J13526" s="44" t="s">
        <v>8</v>
      </c>
      <c r="K13526" s="23" t="s">
        <v>8</v>
      </c>
      <c r="L13526" s="23" t="s">
        <v>8</v>
      </c>
      <c r="M13526" s="23" t="s">
        <v>8</v>
      </c>
    </row>
    <row r="13527" spans="1:13" s="21" customFormat="1" x14ac:dyDescent="0.25">
      <c r="A13527" s="22" t="s">
        <v>8</v>
      </c>
      <c r="B13527" s="18" t="str">
        <f>"515156"</f>
        <v>515156</v>
      </c>
      <c r="C13527" s="19" t="s">
        <v>13294</v>
      </c>
      <c r="D13527" s="19" t="s">
        <v>28925</v>
      </c>
      <c r="E13527" s="19" t="s">
        <v>35534</v>
      </c>
      <c r="F13527" s="19" t="s">
        <v>36023</v>
      </c>
      <c r="G13527" s="18" t="str">
        <f>"25414"</f>
        <v>25414</v>
      </c>
      <c r="H13527" s="19" t="s">
        <v>32391</v>
      </c>
      <c r="I13527" s="20">
        <v>18.847000000000001</v>
      </c>
      <c r="J13527" s="44" t="s">
        <v>8</v>
      </c>
      <c r="K13527" s="23" t="s">
        <v>8</v>
      </c>
      <c r="L13527" s="23" t="s">
        <v>8</v>
      </c>
      <c r="M13527" s="23" t="s">
        <v>8</v>
      </c>
    </row>
    <row r="13528" spans="1:13" s="21" customFormat="1" x14ac:dyDescent="0.25">
      <c r="A13528" s="22" t="s">
        <v>8</v>
      </c>
      <c r="B13528" s="18" t="str">
        <f>"515159"</f>
        <v>515159</v>
      </c>
      <c r="C13528" s="19" t="s">
        <v>13295</v>
      </c>
      <c r="D13528" s="19" t="s">
        <v>28926</v>
      </c>
      <c r="E13528" s="19" t="s">
        <v>35507</v>
      </c>
      <c r="F13528" s="19" t="s">
        <v>36023</v>
      </c>
      <c r="G13528" s="18" t="str">
        <f>"26101"</f>
        <v>26101</v>
      </c>
      <c r="H13528" s="19" t="s">
        <v>36673</v>
      </c>
      <c r="I13528" s="20">
        <v>15.372</v>
      </c>
      <c r="J13528" s="44" t="s">
        <v>8</v>
      </c>
      <c r="K13528" s="23" t="s">
        <v>8</v>
      </c>
      <c r="L13528" s="23" t="s">
        <v>8</v>
      </c>
      <c r="M13528" s="23" t="s">
        <v>8</v>
      </c>
    </row>
    <row r="13529" spans="1:13" s="21" customFormat="1" x14ac:dyDescent="0.25">
      <c r="A13529" s="22" t="s">
        <v>8</v>
      </c>
      <c r="B13529" s="18" t="str">
        <f>"515160"</f>
        <v>515160</v>
      </c>
      <c r="C13529" s="19" t="s">
        <v>13296</v>
      </c>
      <c r="D13529" s="19" t="s">
        <v>28927</v>
      </c>
      <c r="E13529" s="19" t="s">
        <v>35535</v>
      </c>
      <c r="F13529" s="19" t="s">
        <v>36023</v>
      </c>
      <c r="G13529" s="18" t="str">
        <f>"26378"</f>
        <v>26378</v>
      </c>
      <c r="H13529" s="19" t="s">
        <v>36336</v>
      </c>
      <c r="I13529" s="20">
        <v>17.625</v>
      </c>
      <c r="J13529" s="44" t="s">
        <v>8</v>
      </c>
      <c r="K13529" s="23" t="s">
        <v>8</v>
      </c>
      <c r="L13529" s="23" t="s">
        <v>8</v>
      </c>
      <c r="M13529" s="23" t="s">
        <v>8</v>
      </c>
    </row>
    <row r="13530" spans="1:13" s="21" customFormat="1" x14ac:dyDescent="0.25">
      <c r="A13530" s="22" t="s">
        <v>8</v>
      </c>
      <c r="B13530" s="18" t="str">
        <f>"515162"</f>
        <v>515162</v>
      </c>
      <c r="C13530" s="19" t="s">
        <v>13297</v>
      </c>
      <c r="D13530" s="19" t="s">
        <v>28928</v>
      </c>
      <c r="E13530" s="19" t="s">
        <v>32291</v>
      </c>
      <c r="F13530" s="19" t="s">
        <v>36023</v>
      </c>
      <c r="G13530" s="18" t="str">
        <f>"24836"</f>
        <v>24836</v>
      </c>
      <c r="H13530" s="19" t="s">
        <v>36631</v>
      </c>
      <c r="I13530" s="20">
        <v>19.472000000000001</v>
      </c>
      <c r="J13530" s="44" t="s">
        <v>8</v>
      </c>
      <c r="K13530" s="23" t="s">
        <v>8</v>
      </c>
      <c r="L13530" s="23" t="s">
        <v>8</v>
      </c>
      <c r="M13530" s="23" t="s">
        <v>8</v>
      </c>
    </row>
    <row r="13531" spans="1:13" s="21" customFormat="1" x14ac:dyDescent="0.25">
      <c r="A13531" s="22" t="s">
        <v>8</v>
      </c>
      <c r="B13531" s="18" t="str">
        <f>"515163"</f>
        <v>515163</v>
      </c>
      <c r="C13531" s="19" t="s">
        <v>13298</v>
      </c>
      <c r="D13531" s="19" t="s">
        <v>28929</v>
      </c>
      <c r="E13531" s="19" t="s">
        <v>35536</v>
      </c>
      <c r="F13531" s="19" t="s">
        <v>36023</v>
      </c>
      <c r="G13531" s="18" t="str">
        <f>"26719"</f>
        <v>26719</v>
      </c>
      <c r="H13531" s="19" t="s">
        <v>36568</v>
      </c>
      <c r="I13531" s="20">
        <v>19.077000000000002</v>
      </c>
      <c r="J13531" s="44" t="s">
        <v>8</v>
      </c>
      <c r="K13531" s="23" t="s">
        <v>8</v>
      </c>
      <c r="L13531" s="23" t="s">
        <v>8</v>
      </c>
      <c r="M13531" s="23" t="s">
        <v>8</v>
      </c>
    </row>
    <row r="13532" spans="1:13" s="21" customFormat="1" x14ac:dyDescent="0.25">
      <c r="A13532" s="22" t="s">
        <v>8</v>
      </c>
      <c r="B13532" s="18" t="str">
        <f>"515164"</f>
        <v>515164</v>
      </c>
      <c r="C13532" s="19" t="s">
        <v>13299</v>
      </c>
      <c r="D13532" s="19" t="s">
        <v>28930</v>
      </c>
      <c r="E13532" s="19" t="s">
        <v>35537</v>
      </c>
      <c r="F13532" s="19" t="s">
        <v>36023</v>
      </c>
      <c r="G13532" s="18" t="str">
        <f>"24867"</f>
        <v>24867</v>
      </c>
      <c r="H13532" s="19" t="s">
        <v>33261</v>
      </c>
      <c r="I13532" s="20">
        <v>21.035</v>
      </c>
      <c r="J13532" s="44" t="s">
        <v>8</v>
      </c>
      <c r="K13532" s="23" t="s">
        <v>8</v>
      </c>
      <c r="L13532" s="23" t="s">
        <v>8</v>
      </c>
      <c r="M13532" s="23" t="s">
        <v>8</v>
      </c>
    </row>
    <row r="13533" spans="1:13" s="21" customFormat="1" x14ac:dyDescent="0.25">
      <c r="A13533" s="22" t="s">
        <v>8</v>
      </c>
      <c r="B13533" s="18" t="str">
        <f>"515165"</f>
        <v>515165</v>
      </c>
      <c r="C13533" s="19" t="s">
        <v>13300</v>
      </c>
      <c r="D13533" s="19" t="s">
        <v>28931</v>
      </c>
      <c r="E13533" s="19" t="s">
        <v>35538</v>
      </c>
      <c r="F13533" s="19" t="s">
        <v>36023</v>
      </c>
      <c r="G13533" s="18" t="str">
        <f>"26206"</f>
        <v>26206</v>
      </c>
      <c r="H13533" s="19" t="s">
        <v>33048</v>
      </c>
      <c r="I13533" s="20">
        <v>18.692</v>
      </c>
      <c r="J13533" s="44" t="s">
        <v>8</v>
      </c>
      <c r="K13533" s="23" t="s">
        <v>8</v>
      </c>
      <c r="L13533" s="23" t="s">
        <v>8</v>
      </c>
      <c r="M13533" s="23" t="s">
        <v>8</v>
      </c>
    </row>
    <row r="13534" spans="1:13" s="21" customFormat="1" x14ac:dyDescent="0.25">
      <c r="A13534" s="22" t="s">
        <v>8</v>
      </c>
      <c r="B13534" s="18" t="str">
        <f>"515166"</f>
        <v>515166</v>
      </c>
      <c r="C13534" s="19" t="s">
        <v>13301</v>
      </c>
      <c r="D13534" s="19" t="s">
        <v>28932</v>
      </c>
      <c r="E13534" s="19" t="s">
        <v>35523</v>
      </c>
      <c r="F13534" s="19" t="s">
        <v>36023</v>
      </c>
      <c r="G13534" s="18" t="str">
        <f>"26301"</f>
        <v>26301</v>
      </c>
      <c r="H13534" s="19" t="s">
        <v>31020</v>
      </c>
      <c r="I13534" s="20">
        <v>19.282</v>
      </c>
      <c r="J13534" s="44" t="s">
        <v>8</v>
      </c>
      <c r="K13534" s="23" t="s">
        <v>8</v>
      </c>
      <c r="L13534" s="23" t="s">
        <v>8</v>
      </c>
      <c r="M13534" s="23" t="s">
        <v>8</v>
      </c>
    </row>
    <row r="13535" spans="1:13" s="21" customFormat="1" x14ac:dyDescent="0.25">
      <c r="A13535" s="22" t="s">
        <v>8</v>
      </c>
      <c r="B13535" s="18" t="str">
        <f>"515167"</f>
        <v>515167</v>
      </c>
      <c r="C13535" s="19" t="s">
        <v>13302</v>
      </c>
      <c r="D13535" s="19" t="s">
        <v>28933</v>
      </c>
      <c r="E13535" s="19" t="s">
        <v>35534</v>
      </c>
      <c r="F13535" s="19" t="s">
        <v>36023</v>
      </c>
      <c r="G13535" s="18" t="str">
        <f>"25414"</f>
        <v>25414</v>
      </c>
      <c r="H13535" s="19" t="s">
        <v>32391</v>
      </c>
      <c r="I13535" s="20">
        <v>19.805</v>
      </c>
      <c r="J13535" s="44" t="s">
        <v>8</v>
      </c>
      <c r="K13535" s="23" t="s">
        <v>8</v>
      </c>
      <c r="L13535" s="23" t="s">
        <v>8</v>
      </c>
      <c r="M13535" s="23" t="s">
        <v>8</v>
      </c>
    </row>
    <row r="13536" spans="1:13" s="21" customFormat="1" x14ac:dyDescent="0.25">
      <c r="A13536" s="22" t="s">
        <v>8</v>
      </c>
      <c r="B13536" s="18" t="str">
        <f>"515168"</f>
        <v>515168</v>
      </c>
      <c r="C13536" s="19" t="s">
        <v>13303</v>
      </c>
      <c r="D13536" s="19" t="s">
        <v>28934</v>
      </c>
      <c r="E13536" s="19" t="s">
        <v>33280</v>
      </c>
      <c r="F13536" s="19" t="s">
        <v>36023</v>
      </c>
      <c r="G13536" s="18" t="str">
        <f>"25570"</f>
        <v>25570</v>
      </c>
      <c r="H13536" s="19" t="s">
        <v>33280</v>
      </c>
      <c r="I13536" s="20">
        <v>20.155000000000001</v>
      </c>
      <c r="J13536" s="44" t="s">
        <v>8</v>
      </c>
      <c r="K13536" s="23" t="s">
        <v>8</v>
      </c>
      <c r="L13536" s="23" t="s">
        <v>8</v>
      </c>
      <c r="M13536" s="23" t="s">
        <v>8</v>
      </c>
    </row>
    <row r="13537" spans="1:13" s="21" customFormat="1" x14ac:dyDescent="0.25">
      <c r="A13537" s="22" t="s">
        <v>8</v>
      </c>
      <c r="B13537" s="18" t="str">
        <f>"515169"</f>
        <v>515169</v>
      </c>
      <c r="C13537" s="19" t="s">
        <v>13304</v>
      </c>
      <c r="D13537" s="19" t="s">
        <v>28935</v>
      </c>
      <c r="E13537" s="19" t="s">
        <v>35539</v>
      </c>
      <c r="F13537" s="19" t="s">
        <v>36023</v>
      </c>
      <c r="G13537" s="18" t="str">
        <f>"25309"</f>
        <v>25309</v>
      </c>
      <c r="H13537" s="19" t="s">
        <v>32512</v>
      </c>
      <c r="I13537" s="20">
        <v>19.425000000000001</v>
      </c>
      <c r="J13537" s="44" t="s">
        <v>8</v>
      </c>
      <c r="K13537" s="23" t="s">
        <v>8</v>
      </c>
      <c r="L13537" s="23" t="s">
        <v>8</v>
      </c>
      <c r="M13537" s="23" t="s">
        <v>8</v>
      </c>
    </row>
    <row r="13538" spans="1:13" s="21" customFormat="1" x14ac:dyDescent="0.25">
      <c r="A13538" s="22" t="s">
        <v>8</v>
      </c>
      <c r="B13538" s="18" t="str">
        <f>"515170"</f>
        <v>515170</v>
      </c>
      <c r="C13538" s="19" t="s">
        <v>13305</v>
      </c>
      <c r="D13538" s="19" t="s">
        <v>28936</v>
      </c>
      <c r="E13538" s="19" t="s">
        <v>35540</v>
      </c>
      <c r="F13538" s="19" t="s">
        <v>36023</v>
      </c>
      <c r="G13538" s="18" t="str">
        <f>"25951"</f>
        <v>25951</v>
      </c>
      <c r="H13538" s="19" t="s">
        <v>36918</v>
      </c>
      <c r="I13538" s="20">
        <v>19.984000000000002</v>
      </c>
      <c r="J13538" s="44" t="s">
        <v>8</v>
      </c>
      <c r="K13538" s="23" t="s">
        <v>8</v>
      </c>
      <c r="L13538" s="23" t="s">
        <v>8</v>
      </c>
      <c r="M13538" s="23" t="s">
        <v>8</v>
      </c>
    </row>
    <row r="13539" spans="1:13" s="21" customFormat="1" x14ac:dyDescent="0.25">
      <c r="A13539" s="22" t="s">
        <v>8</v>
      </c>
      <c r="B13539" s="18" t="str">
        <f>"515171"</f>
        <v>515171</v>
      </c>
      <c r="C13539" s="19" t="s">
        <v>13306</v>
      </c>
      <c r="D13539" s="19" t="s">
        <v>28937</v>
      </c>
      <c r="E13539" s="19" t="s">
        <v>35226</v>
      </c>
      <c r="F13539" s="19" t="s">
        <v>36023</v>
      </c>
      <c r="G13539" s="18" t="str">
        <f>"25523"</f>
        <v>25523</v>
      </c>
      <c r="H13539" s="19" t="s">
        <v>31995</v>
      </c>
      <c r="I13539" s="20">
        <v>17.803000000000001</v>
      </c>
      <c r="J13539" s="44" t="s">
        <v>8</v>
      </c>
      <c r="K13539" s="23" t="s">
        <v>8</v>
      </c>
      <c r="L13539" s="23" t="s">
        <v>8</v>
      </c>
      <c r="M13539" s="23" t="s">
        <v>8</v>
      </c>
    </row>
    <row r="13540" spans="1:13" s="21" customFormat="1" x14ac:dyDescent="0.25">
      <c r="A13540" s="22" t="s">
        <v>8</v>
      </c>
      <c r="B13540" s="18" t="str">
        <f>"515173"</f>
        <v>515173</v>
      </c>
      <c r="C13540" s="19" t="s">
        <v>13307</v>
      </c>
      <c r="D13540" s="19" t="s">
        <v>28938</v>
      </c>
      <c r="E13540" s="19" t="s">
        <v>32860</v>
      </c>
      <c r="F13540" s="19" t="s">
        <v>36023</v>
      </c>
      <c r="G13540" s="18" t="str">
        <f>"26801"</f>
        <v>26801</v>
      </c>
      <c r="H13540" s="19" t="s">
        <v>36919</v>
      </c>
      <c r="I13540" s="20">
        <v>18.884</v>
      </c>
      <c r="J13540" s="44" t="s">
        <v>8</v>
      </c>
      <c r="K13540" s="23" t="s">
        <v>8</v>
      </c>
      <c r="L13540" s="23" t="s">
        <v>8</v>
      </c>
      <c r="M13540" s="23" t="s">
        <v>8</v>
      </c>
    </row>
    <row r="13541" spans="1:13" s="21" customFormat="1" x14ac:dyDescent="0.25">
      <c r="A13541" s="22" t="s">
        <v>8</v>
      </c>
      <c r="B13541" s="18" t="str">
        <f>"515174"</f>
        <v>515174</v>
      </c>
      <c r="C13541" s="19" t="s">
        <v>13308</v>
      </c>
      <c r="D13541" s="19" t="s">
        <v>28939</v>
      </c>
      <c r="E13541" s="19" t="s">
        <v>31091</v>
      </c>
      <c r="F13541" s="19" t="s">
        <v>36023</v>
      </c>
      <c r="G13541" s="18" t="str">
        <f>"25311"</f>
        <v>25311</v>
      </c>
      <c r="H13541" s="19" t="s">
        <v>32512</v>
      </c>
      <c r="I13541" s="20">
        <v>16.094000000000001</v>
      </c>
      <c r="J13541" s="44" t="s">
        <v>8</v>
      </c>
      <c r="K13541" s="23" t="s">
        <v>8</v>
      </c>
      <c r="L13541" s="23" t="s">
        <v>8</v>
      </c>
      <c r="M13541" s="23" t="s">
        <v>8</v>
      </c>
    </row>
    <row r="13542" spans="1:13" s="21" customFormat="1" x14ac:dyDescent="0.25">
      <c r="A13542" s="22" t="s">
        <v>8</v>
      </c>
      <c r="B13542" s="18" t="str">
        <f>"515175"</f>
        <v>515175</v>
      </c>
      <c r="C13542" s="19" t="s">
        <v>13309</v>
      </c>
      <c r="D13542" s="19" t="s">
        <v>28940</v>
      </c>
      <c r="E13542" s="19" t="s">
        <v>32373</v>
      </c>
      <c r="F13542" s="19" t="s">
        <v>36023</v>
      </c>
      <c r="G13542" s="18" t="str">
        <f>"25601"</f>
        <v>25601</v>
      </c>
      <c r="H13542" s="19" t="s">
        <v>32373</v>
      </c>
      <c r="I13542" s="20">
        <v>18.927</v>
      </c>
      <c r="J13542" s="44" t="s">
        <v>8</v>
      </c>
      <c r="K13542" s="23" t="s">
        <v>8</v>
      </c>
      <c r="L13542" s="23" t="s">
        <v>8</v>
      </c>
      <c r="M13542" s="23" t="s">
        <v>8</v>
      </c>
    </row>
    <row r="13543" spans="1:13" s="21" customFormat="1" x14ac:dyDescent="0.25">
      <c r="A13543" s="22" t="s">
        <v>8</v>
      </c>
      <c r="B13543" s="18" t="str">
        <f>"515176"</f>
        <v>515176</v>
      </c>
      <c r="C13543" s="19" t="s">
        <v>13310</v>
      </c>
      <c r="D13543" s="19" t="s">
        <v>28941</v>
      </c>
      <c r="E13543" s="19" t="s">
        <v>35516</v>
      </c>
      <c r="F13543" s="19" t="s">
        <v>36023</v>
      </c>
      <c r="G13543" s="18" t="str">
        <f>"26757"</f>
        <v>26757</v>
      </c>
      <c r="H13543" s="19" t="s">
        <v>36412</v>
      </c>
      <c r="I13543" s="20">
        <v>19.428000000000001</v>
      </c>
      <c r="J13543" s="44" t="s">
        <v>8</v>
      </c>
      <c r="K13543" s="23" t="s">
        <v>8</v>
      </c>
      <c r="L13543" s="23" t="s">
        <v>8</v>
      </c>
      <c r="M13543" s="23" t="s">
        <v>8</v>
      </c>
    </row>
    <row r="13544" spans="1:13" s="21" customFormat="1" x14ac:dyDescent="0.25">
      <c r="A13544" s="22" t="s">
        <v>8</v>
      </c>
      <c r="B13544" s="18" t="str">
        <f>"515177"</f>
        <v>515177</v>
      </c>
      <c r="C13544" s="19" t="s">
        <v>13311</v>
      </c>
      <c r="D13544" s="19" t="s">
        <v>28942</v>
      </c>
      <c r="E13544" s="19" t="s">
        <v>35541</v>
      </c>
      <c r="F13544" s="19" t="s">
        <v>36023</v>
      </c>
      <c r="G13544" s="18" t="str">
        <f>"26164"</f>
        <v>26164</v>
      </c>
      <c r="H13544" s="19" t="s">
        <v>30816</v>
      </c>
      <c r="I13544" s="20">
        <v>17.37</v>
      </c>
      <c r="J13544" s="44" t="s">
        <v>8</v>
      </c>
      <c r="K13544" s="23" t="s">
        <v>8</v>
      </c>
      <c r="L13544" s="23" t="s">
        <v>8</v>
      </c>
      <c r="M13544" s="23" t="s">
        <v>8</v>
      </c>
    </row>
    <row r="13545" spans="1:13" s="21" customFormat="1" x14ac:dyDescent="0.25">
      <c r="A13545" s="22" t="s">
        <v>8</v>
      </c>
      <c r="B13545" s="18" t="str">
        <f>"515178"</f>
        <v>515178</v>
      </c>
      <c r="C13545" s="19" t="s">
        <v>13312</v>
      </c>
      <c r="D13545" s="19" t="s">
        <v>28943</v>
      </c>
      <c r="E13545" s="19" t="s">
        <v>34931</v>
      </c>
      <c r="F13545" s="19" t="s">
        <v>36023</v>
      </c>
      <c r="G13545" s="18" t="str">
        <f>"25401"</f>
        <v>25401</v>
      </c>
      <c r="H13545" s="19" t="s">
        <v>31248</v>
      </c>
      <c r="I13545" s="20">
        <v>17.263999999999999</v>
      </c>
      <c r="J13545" s="44" t="s">
        <v>8</v>
      </c>
      <c r="K13545" s="23" t="s">
        <v>8</v>
      </c>
      <c r="L13545" s="23" t="s">
        <v>8</v>
      </c>
      <c r="M13545" s="23" t="s">
        <v>8</v>
      </c>
    </row>
    <row r="13546" spans="1:13" s="21" customFormat="1" x14ac:dyDescent="0.25">
      <c r="A13546" s="22" t="s">
        <v>8</v>
      </c>
      <c r="B13546" s="18" t="str">
        <f>"515179"</f>
        <v>515179</v>
      </c>
      <c r="C13546" s="19" t="s">
        <v>13313</v>
      </c>
      <c r="D13546" s="19" t="s">
        <v>28944</v>
      </c>
      <c r="E13546" s="19" t="s">
        <v>35542</v>
      </c>
      <c r="F13546" s="19" t="s">
        <v>36023</v>
      </c>
      <c r="G13546" s="18" t="str">
        <f>"25443"</f>
        <v>25443</v>
      </c>
      <c r="H13546" s="19" t="s">
        <v>32391</v>
      </c>
      <c r="I13546" s="20">
        <v>16.95</v>
      </c>
      <c r="J13546" s="44" t="s">
        <v>8</v>
      </c>
      <c r="K13546" s="23" t="s">
        <v>8</v>
      </c>
      <c r="L13546" s="23" t="s">
        <v>8</v>
      </c>
      <c r="M13546" s="23" t="s">
        <v>8</v>
      </c>
    </row>
    <row r="13547" spans="1:13" s="21" customFormat="1" x14ac:dyDescent="0.25">
      <c r="A13547" s="22" t="s">
        <v>8</v>
      </c>
      <c r="B13547" s="18" t="str">
        <f>"515180"</f>
        <v>515180</v>
      </c>
      <c r="C13547" s="19" t="s">
        <v>13314</v>
      </c>
      <c r="D13547" s="19" t="s">
        <v>28945</v>
      </c>
      <c r="E13547" s="19" t="s">
        <v>33834</v>
      </c>
      <c r="F13547" s="19" t="s">
        <v>36023</v>
      </c>
      <c r="G13547" s="18" t="str">
        <f>"26601"</f>
        <v>26601</v>
      </c>
      <c r="H13547" s="19" t="s">
        <v>36920</v>
      </c>
      <c r="I13547" s="20">
        <v>17.529</v>
      </c>
      <c r="J13547" s="44" t="s">
        <v>8</v>
      </c>
      <c r="K13547" s="23" t="s">
        <v>8</v>
      </c>
      <c r="L13547" s="23" t="s">
        <v>8</v>
      </c>
      <c r="M13547" s="23" t="s">
        <v>8</v>
      </c>
    </row>
    <row r="13548" spans="1:13" s="21" customFormat="1" x14ac:dyDescent="0.25">
      <c r="A13548" s="22" t="s">
        <v>8</v>
      </c>
      <c r="B13548" s="18" t="str">
        <f>"515181"</f>
        <v>515181</v>
      </c>
      <c r="C13548" s="19" t="s">
        <v>13315</v>
      </c>
      <c r="D13548" s="19" t="s">
        <v>28946</v>
      </c>
      <c r="E13548" s="19" t="s">
        <v>35507</v>
      </c>
      <c r="F13548" s="19" t="s">
        <v>36023</v>
      </c>
      <c r="G13548" s="18" t="str">
        <f>"26104"</f>
        <v>26104</v>
      </c>
      <c r="H13548" s="19" t="s">
        <v>36673</v>
      </c>
      <c r="I13548" s="20">
        <v>15.766999999999999</v>
      </c>
      <c r="J13548" s="44" t="s">
        <v>8</v>
      </c>
      <c r="K13548" s="23" t="s">
        <v>8</v>
      </c>
      <c r="L13548" s="23" t="s">
        <v>8</v>
      </c>
      <c r="M13548" s="23" t="s">
        <v>8</v>
      </c>
    </row>
    <row r="13549" spans="1:13" s="21" customFormat="1" x14ac:dyDescent="0.25">
      <c r="A13549" s="22" t="s">
        <v>8</v>
      </c>
      <c r="B13549" s="18" t="str">
        <f>"515182"</f>
        <v>515182</v>
      </c>
      <c r="C13549" s="19" t="s">
        <v>13316</v>
      </c>
      <c r="D13549" s="19" t="s">
        <v>28947</v>
      </c>
      <c r="E13549" s="19" t="s">
        <v>32314</v>
      </c>
      <c r="F13549" s="19" t="s">
        <v>36023</v>
      </c>
      <c r="G13549" s="18" t="str">
        <f>"25276"</f>
        <v>25276</v>
      </c>
      <c r="H13549" s="19" t="s">
        <v>36775</v>
      </c>
      <c r="I13549" s="20">
        <v>19.210999999999999</v>
      </c>
      <c r="J13549" s="44" t="s">
        <v>8</v>
      </c>
      <c r="K13549" s="23" t="s">
        <v>8</v>
      </c>
      <c r="L13549" s="23" t="s">
        <v>8</v>
      </c>
      <c r="M13549" s="23" t="s">
        <v>8</v>
      </c>
    </row>
    <row r="13550" spans="1:13" s="21" customFormat="1" x14ac:dyDescent="0.25">
      <c r="A13550" s="22" t="s">
        <v>8</v>
      </c>
      <c r="B13550" s="18" t="str">
        <f>"515183"</f>
        <v>515183</v>
      </c>
      <c r="C13550" s="19" t="s">
        <v>13317</v>
      </c>
      <c r="D13550" s="19" t="s">
        <v>28948</v>
      </c>
      <c r="E13550" s="19" t="s">
        <v>35543</v>
      </c>
      <c r="F13550" s="19" t="s">
        <v>36023</v>
      </c>
      <c r="G13550" s="18" t="str">
        <f>"24954"</f>
        <v>24954</v>
      </c>
      <c r="H13550" s="19" t="s">
        <v>30985</v>
      </c>
      <c r="I13550" s="20">
        <v>18.896000000000001</v>
      </c>
      <c r="J13550" s="44" t="s">
        <v>8</v>
      </c>
      <c r="K13550" s="23" t="s">
        <v>8</v>
      </c>
      <c r="L13550" s="23" t="s">
        <v>8</v>
      </c>
      <c r="M13550" s="23" t="s">
        <v>8</v>
      </c>
    </row>
    <row r="13551" spans="1:13" s="21" customFormat="1" x14ac:dyDescent="0.25">
      <c r="A13551" s="22" t="s">
        <v>8</v>
      </c>
      <c r="B13551" s="18" t="str">
        <f>"515184"</f>
        <v>515184</v>
      </c>
      <c r="C13551" s="19" t="s">
        <v>13318</v>
      </c>
      <c r="D13551" s="19" t="s">
        <v>28949</v>
      </c>
      <c r="E13551" s="19" t="s">
        <v>33306</v>
      </c>
      <c r="F13551" s="19" t="s">
        <v>36023</v>
      </c>
      <c r="G13551" s="18" t="str">
        <f>"26362"</f>
        <v>26362</v>
      </c>
      <c r="H13551" s="19" t="s">
        <v>36921</v>
      </c>
      <c r="I13551" s="20">
        <v>18.141999999999999</v>
      </c>
      <c r="J13551" s="44" t="s">
        <v>8</v>
      </c>
      <c r="K13551" s="23" t="s">
        <v>8</v>
      </c>
      <c r="L13551" s="23" t="s">
        <v>8</v>
      </c>
      <c r="M13551" s="23" t="s">
        <v>8</v>
      </c>
    </row>
    <row r="13552" spans="1:13" s="21" customFormat="1" x14ac:dyDescent="0.25">
      <c r="A13552" s="22" t="s">
        <v>8</v>
      </c>
      <c r="B13552" s="18" t="str">
        <f>"515185"</f>
        <v>515185</v>
      </c>
      <c r="C13552" s="19" t="s">
        <v>13319</v>
      </c>
      <c r="D13552" s="19" t="s">
        <v>28950</v>
      </c>
      <c r="E13552" s="19" t="s">
        <v>34847</v>
      </c>
      <c r="F13552" s="19" t="s">
        <v>36023</v>
      </c>
      <c r="G13552" s="18" t="str">
        <f>"24901"</f>
        <v>24901</v>
      </c>
      <c r="H13552" s="19" t="s">
        <v>31071</v>
      </c>
      <c r="I13552" s="20">
        <v>20.125</v>
      </c>
      <c r="J13552" s="44" t="s">
        <v>8</v>
      </c>
      <c r="K13552" s="23" t="s">
        <v>8</v>
      </c>
      <c r="L13552" s="23" t="s">
        <v>8</v>
      </c>
      <c r="M13552" s="23" t="s">
        <v>8</v>
      </c>
    </row>
    <row r="13553" spans="1:13" s="21" customFormat="1" x14ac:dyDescent="0.25">
      <c r="A13553" s="22" t="s">
        <v>8</v>
      </c>
      <c r="B13553" s="18" t="str">
        <f>"515186"</f>
        <v>515186</v>
      </c>
      <c r="C13553" s="19" t="s">
        <v>13320</v>
      </c>
      <c r="D13553" s="19" t="s">
        <v>28951</v>
      </c>
      <c r="E13553" s="19" t="s">
        <v>35387</v>
      </c>
      <c r="F13553" s="19" t="s">
        <v>36023</v>
      </c>
      <c r="G13553" s="18" t="str">
        <f>"24701"</f>
        <v>24701</v>
      </c>
      <c r="H13553" s="19" t="s">
        <v>34991</v>
      </c>
      <c r="I13553" s="20">
        <v>18.538</v>
      </c>
      <c r="J13553" s="44" t="s">
        <v>8</v>
      </c>
      <c r="K13553" s="23" t="s">
        <v>8</v>
      </c>
      <c r="L13553" s="23" t="s">
        <v>8</v>
      </c>
      <c r="M13553" s="23" t="s">
        <v>8</v>
      </c>
    </row>
    <row r="13554" spans="1:13" s="21" customFormat="1" x14ac:dyDescent="0.25">
      <c r="A13554" s="22" t="s">
        <v>8</v>
      </c>
      <c r="B13554" s="18" t="str">
        <f>"515187"</f>
        <v>515187</v>
      </c>
      <c r="C13554" s="19" t="s">
        <v>13321</v>
      </c>
      <c r="D13554" s="19" t="s">
        <v>28952</v>
      </c>
      <c r="E13554" s="19" t="s">
        <v>31998</v>
      </c>
      <c r="F13554" s="19" t="s">
        <v>36023</v>
      </c>
      <c r="G13554" s="18" t="str">
        <f>"24740"</f>
        <v>24740</v>
      </c>
      <c r="H13554" s="19" t="s">
        <v>34991</v>
      </c>
      <c r="I13554" s="20">
        <v>18.411000000000001</v>
      </c>
      <c r="J13554" s="44" t="s">
        <v>8</v>
      </c>
      <c r="K13554" s="23" t="s">
        <v>8</v>
      </c>
      <c r="L13554" s="23" t="s">
        <v>8</v>
      </c>
      <c r="M13554" s="23" t="s">
        <v>8</v>
      </c>
    </row>
    <row r="13555" spans="1:13" s="21" customFormat="1" x14ac:dyDescent="0.25">
      <c r="A13555" s="22" t="s">
        <v>8</v>
      </c>
      <c r="B13555" s="18" t="str">
        <f>"515188"</f>
        <v>515188</v>
      </c>
      <c r="C13555" s="19" t="s">
        <v>13322</v>
      </c>
      <c r="D13555" s="19" t="s">
        <v>28953</v>
      </c>
      <c r="E13555" s="19" t="s">
        <v>35544</v>
      </c>
      <c r="F13555" s="19" t="s">
        <v>36023</v>
      </c>
      <c r="G13555" s="18" t="str">
        <f>"24951"</f>
        <v>24951</v>
      </c>
      <c r="H13555" s="19" t="s">
        <v>31711</v>
      </c>
      <c r="I13555" s="20">
        <v>17.86</v>
      </c>
      <c r="J13555" s="44" t="s">
        <v>8</v>
      </c>
      <c r="K13555" s="23" t="s">
        <v>8</v>
      </c>
      <c r="L13555" s="23" t="s">
        <v>8</v>
      </c>
      <c r="M13555" s="23" t="s">
        <v>8</v>
      </c>
    </row>
    <row r="13556" spans="1:13" s="21" customFormat="1" x14ac:dyDescent="0.25">
      <c r="A13556" s="22" t="s">
        <v>8</v>
      </c>
      <c r="B13556" s="18" t="str">
        <f>"515189"</f>
        <v>515189</v>
      </c>
      <c r="C13556" s="19" t="s">
        <v>13323</v>
      </c>
      <c r="D13556" s="19" t="s">
        <v>28954</v>
      </c>
      <c r="E13556" s="19" t="s">
        <v>33315</v>
      </c>
      <c r="F13556" s="19" t="s">
        <v>36023</v>
      </c>
      <c r="G13556" s="18" t="str">
        <f>"26554"</f>
        <v>26554</v>
      </c>
      <c r="H13556" s="19" t="s">
        <v>30850</v>
      </c>
      <c r="I13556" s="20">
        <v>17.984000000000002</v>
      </c>
      <c r="J13556" s="44" t="s">
        <v>8</v>
      </c>
      <c r="K13556" s="23" t="s">
        <v>8</v>
      </c>
      <c r="L13556" s="23" t="s">
        <v>8</v>
      </c>
      <c r="M13556" s="23" t="s">
        <v>8</v>
      </c>
    </row>
    <row r="13557" spans="1:13" s="21" customFormat="1" x14ac:dyDescent="0.25">
      <c r="A13557" s="22" t="s">
        <v>8</v>
      </c>
      <c r="B13557" s="18" t="str">
        <f>"515190"</f>
        <v>515190</v>
      </c>
      <c r="C13557" s="19" t="s">
        <v>13324</v>
      </c>
      <c r="D13557" s="19" t="s">
        <v>28955</v>
      </c>
      <c r="E13557" s="19" t="s">
        <v>35545</v>
      </c>
      <c r="F13557" s="19" t="s">
        <v>36023</v>
      </c>
      <c r="G13557" s="18" t="str">
        <f>"26261"</f>
        <v>26261</v>
      </c>
      <c r="H13557" s="19" t="s">
        <v>36318</v>
      </c>
      <c r="I13557" s="20">
        <v>18.640999999999998</v>
      </c>
      <c r="J13557" s="44" t="s">
        <v>8</v>
      </c>
      <c r="K13557" s="23" t="s">
        <v>8</v>
      </c>
      <c r="L13557" s="23" t="s">
        <v>8</v>
      </c>
      <c r="M13557" s="23" t="s">
        <v>8</v>
      </c>
    </row>
    <row r="13558" spans="1:13" s="21" customFormat="1" x14ac:dyDescent="0.25">
      <c r="A13558" s="22" t="s">
        <v>8</v>
      </c>
      <c r="B13558" s="18" t="str">
        <f>"515191"</f>
        <v>515191</v>
      </c>
      <c r="C13558" s="19" t="s">
        <v>13325</v>
      </c>
      <c r="D13558" s="19" t="s">
        <v>28956</v>
      </c>
      <c r="E13558" s="19" t="s">
        <v>33079</v>
      </c>
      <c r="F13558" s="19" t="s">
        <v>36023</v>
      </c>
      <c r="G13558" s="18" t="str">
        <f>"26134"</f>
        <v>26134</v>
      </c>
      <c r="H13558" s="19" t="s">
        <v>36922</v>
      </c>
      <c r="I13558" s="20">
        <v>21.266999999999999</v>
      </c>
      <c r="J13558" s="44" t="s">
        <v>8</v>
      </c>
      <c r="K13558" s="23" t="s">
        <v>8</v>
      </c>
      <c r="L13558" s="23" t="s">
        <v>8</v>
      </c>
      <c r="M13558" s="23" t="s">
        <v>8</v>
      </c>
    </row>
    <row r="13559" spans="1:13" s="21" customFormat="1" x14ac:dyDescent="0.25">
      <c r="A13559" s="22" t="s">
        <v>8</v>
      </c>
      <c r="B13559" s="18" t="str">
        <f>"515192"</f>
        <v>515192</v>
      </c>
      <c r="C13559" s="19" t="s">
        <v>13326</v>
      </c>
      <c r="D13559" s="19" t="s">
        <v>28957</v>
      </c>
      <c r="E13559" s="19" t="s">
        <v>35546</v>
      </c>
      <c r="F13559" s="19" t="s">
        <v>36023</v>
      </c>
      <c r="G13559" s="18" t="str">
        <f>"25510"</f>
        <v>25510</v>
      </c>
      <c r="H13559" s="19" t="s">
        <v>36913</v>
      </c>
      <c r="I13559" s="20">
        <v>18.259</v>
      </c>
      <c r="J13559" s="44" t="s">
        <v>8</v>
      </c>
      <c r="K13559" s="23" t="s">
        <v>8</v>
      </c>
      <c r="L13559" s="23" t="s">
        <v>8</v>
      </c>
      <c r="M13559" s="23" t="s">
        <v>8</v>
      </c>
    </row>
    <row r="13560" spans="1:13" s="21" customFormat="1" x14ac:dyDescent="0.25">
      <c r="A13560" s="22" t="s">
        <v>8</v>
      </c>
      <c r="B13560" s="18" t="str">
        <f>"515193"</f>
        <v>515193</v>
      </c>
      <c r="C13560" s="19" t="s">
        <v>13327</v>
      </c>
      <c r="D13560" s="19" t="s">
        <v>28958</v>
      </c>
      <c r="E13560" s="19" t="s">
        <v>31091</v>
      </c>
      <c r="F13560" s="19" t="s">
        <v>36023</v>
      </c>
      <c r="G13560" s="18" t="str">
        <f>"25302"</f>
        <v>25302</v>
      </c>
      <c r="H13560" s="19" t="s">
        <v>32512</v>
      </c>
      <c r="I13560" s="20">
        <v>17.503</v>
      </c>
      <c r="J13560" s="44" t="s">
        <v>8</v>
      </c>
      <c r="K13560" s="23" t="s">
        <v>8</v>
      </c>
      <c r="L13560" s="23" t="s">
        <v>8</v>
      </c>
      <c r="M13560" s="23" t="s">
        <v>8</v>
      </c>
    </row>
    <row r="13561" spans="1:13" s="21" customFormat="1" x14ac:dyDescent="0.25">
      <c r="A13561" s="22" t="s">
        <v>8</v>
      </c>
      <c r="B13561" s="18" t="s">
        <v>15436</v>
      </c>
      <c r="C13561" s="19" t="s">
        <v>13328</v>
      </c>
      <c r="D13561" s="19" t="s">
        <v>28959</v>
      </c>
      <c r="E13561" s="19" t="s">
        <v>32230</v>
      </c>
      <c r="F13561" s="19" t="s">
        <v>36024</v>
      </c>
      <c r="G13561" s="18" t="str">
        <f>"53901"</f>
        <v>53901</v>
      </c>
      <c r="H13561" s="19" t="s">
        <v>32076</v>
      </c>
      <c r="I13561" s="20">
        <v>18.850999999999999</v>
      </c>
      <c r="J13561" s="44" t="s">
        <v>8</v>
      </c>
      <c r="K13561" s="23" t="s">
        <v>8</v>
      </c>
      <c r="L13561" s="23" t="s">
        <v>8</v>
      </c>
      <c r="M13561" s="23" t="s">
        <v>8</v>
      </c>
    </row>
    <row r="13562" spans="1:13" s="21" customFormat="1" x14ac:dyDescent="0.25">
      <c r="A13562" s="22" t="s">
        <v>8</v>
      </c>
      <c r="B13562" s="18" t="s">
        <v>15437</v>
      </c>
      <c r="C13562" s="19" t="s">
        <v>13329</v>
      </c>
      <c r="D13562" s="19" t="s">
        <v>28960</v>
      </c>
      <c r="E13562" s="19" t="s">
        <v>35547</v>
      </c>
      <c r="F13562" s="19" t="s">
        <v>36024</v>
      </c>
      <c r="G13562" s="18" t="str">
        <f>"53578"</f>
        <v>53578</v>
      </c>
      <c r="H13562" s="19" t="s">
        <v>36923</v>
      </c>
      <c r="I13562" s="20">
        <v>18.617000000000001</v>
      </c>
      <c r="J13562" s="44" t="s">
        <v>8</v>
      </c>
      <c r="K13562" s="23" t="s">
        <v>8</v>
      </c>
      <c r="L13562" s="23" t="s">
        <v>8</v>
      </c>
      <c r="M13562" s="23" t="s">
        <v>8</v>
      </c>
    </row>
    <row r="13563" spans="1:13" s="21" customFormat="1" x14ac:dyDescent="0.25">
      <c r="A13563" s="22" t="s">
        <v>8</v>
      </c>
      <c r="B13563" s="18" t="str">
        <f>"525009"</f>
        <v>525009</v>
      </c>
      <c r="C13563" s="19" t="s">
        <v>13330</v>
      </c>
      <c r="D13563" s="19" t="s">
        <v>28961</v>
      </c>
      <c r="E13563" s="19" t="s">
        <v>35548</v>
      </c>
      <c r="F13563" s="19" t="s">
        <v>36024</v>
      </c>
      <c r="G13563" s="18" t="str">
        <f>"54301"</f>
        <v>54301</v>
      </c>
      <c r="H13563" s="19" t="s">
        <v>36244</v>
      </c>
      <c r="I13563" s="20">
        <v>23.21</v>
      </c>
      <c r="J13563" s="44" t="s">
        <v>8</v>
      </c>
      <c r="K13563" s="23" t="s">
        <v>8</v>
      </c>
      <c r="L13563" s="23" t="s">
        <v>8</v>
      </c>
      <c r="M13563" s="23" t="s">
        <v>8</v>
      </c>
    </row>
    <row r="13564" spans="1:13" s="21" customFormat="1" x14ac:dyDescent="0.25">
      <c r="A13564" s="22" t="s">
        <v>8</v>
      </c>
      <c r="B13564" s="18" t="str">
        <f>"525019"</f>
        <v>525019</v>
      </c>
      <c r="C13564" s="19" t="s">
        <v>13331</v>
      </c>
      <c r="D13564" s="19" t="s">
        <v>28962</v>
      </c>
      <c r="E13564" s="19" t="s">
        <v>35537</v>
      </c>
      <c r="F13564" s="19" t="s">
        <v>36024</v>
      </c>
      <c r="G13564" s="18" t="str">
        <f>"54017"</f>
        <v>54017</v>
      </c>
      <c r="H13564" s="19" t="s">
        <v>36924</v>
      </c>
      <c r="I13564" s="20">
        <v>18.462</v>
      </c>
      <c r="J13564" s="44" t="s">
        <v>8</v>
      </c>
      <c r="K13564" s="23" t="s">
        <v>8</v>
      </c>
      <c r="L13564" s="23" t="s">
        <v>8</v>
      </c>
      <c r="M13564" s="23" t="s">
        <v>8</v>
      </c>
    </row>
    <row r="13565" spans="1:13" s="21" customFormat="1" x14ac:dyDescent="0.25">
      <c r="A13565" s="22" t="s">
        <v>8</v>
      </c>
      <c r="B13565" s="18" t="str">
        <f>"525040"</f>
        <v>525040</v>
      </c>
      <c r="C13565" s="19" t="s">
        <v>13332</v>
      </c>
      <c r="D13565" s="19" t="s">
        <v>28963</v>
      </c>
      <c r="E13565" s="19" t="s">
        <v>35549</v>
      </c>
      <c r="F13565" s="19" t="s">
        <v>36024</v>
      </c>
      <c r="G13565" s="18" t="str">
        <f>"53072"</f>
        <v>53072</v>
      </c>
      <c r="H13565" s="19" t="s">
        <v>35561</v>
      </c>
      <c r="I13565" s="20">
        <v>18.542000000000002</v>
      </c>
      <c r="J13565" s="44" t="s">
        <v>8</v>
      </c>
      <c r="K13565" s="23" t="s">
        <v>8</v>
      </c>
      <c r="L13565" s="23" t="s">
        <v>8</v>
      </c>
      <c r="M13565" s="23" t="s">
        <v>8</v>
      </c>
    </row>
    <row r="13566" spans="1:13" s="21" customFormat="1" x14ac:dyDescent="0.25">
      <c r="A13566" s="22" t="s">
        <v>8</v>
      </c>
      <c r="B13566" s="18" t="str">
        <f>"525041"</f>
        <v>525041</v>
      </c>
      <c r="C13566" s="19" t="s">
        <v>13333</v>
      </c>
      <c r="D13566" s="19" t="s">
        <v>28964</v>
      </c>
      <c r="E13566" s="19" t="s">
        <v>30899</v>
      </c>
      <c r="F13566" s="19" t="s">
        <v>36024</v>
      </c>
      <c r="G13566" s="18" t="str">
        <f>"53711"</f>
        <v>53711</v>
      </c>
      <c r="H13566" s="19" t="s">
        <v>36925</v>
      </c>
      <c r="I13566" s="20">
        <v>19.975999999999999</v>
      </c>
      <c r="J13566" s="44" t="s">
        <v>8</v>
      </c>
      <c r="K13566" s="23" t="s">
        <v>8</v>
      </c>
      <c r="L13566" s="23" t="s">
        <v>8</v>
      </c>
      <c r="M13566" s="23" t="s">
        <v>8</v>
      </c>
    </row>
    <row r="13567" spans="1:13" s="21" customFormat="1" x14ac:dyDescent="0.25">
      <c r="A13567" s="22" t="s">
        <v>8</v>
      </c>
      <c r="B13567" s="18" t="str">
        <f>"525061"</f>
        <v>525061</v>
      </c>
      <c r="C13567" s="19" t="s">
        <v>13334</v>
      </c>
      <c r="D13567" s="19" t="s">
        <v>28965</v>
      </c>
      <c r="E13567" s="19" t="s">
        <v>35550</v>
      </c>
      <c r="F13567" s="19" t="s">
        <v>36024</v>
      </c>
      <c r="G13567" s="18" t="str">
        <f>"53406"</f>
        <v>53406</v>
      </c>
      <c r="H13567" s="19" t="s">
        <v>35550</v>
      </c>
      <c r="I13567" s="20">
        <v>20.503</v>
      </c>
      <c r="J13567" s="44" t="s">
        <v>8</v>
      </c>
      <c r="K13567" s="23" t="s">
        <v>8</v>
      </c>
      <c r="L13567" s="23" t="s">
        <v>8</v>
      </c>
      <c r="M13567" s="23" t="s">
        <v>8</v>
      </c>
    </row>
    <row r="13568" spans="1:13" s="21" customFormat="1" x14ac:dyDescent="0.25">
      <c r="A13568" s="22" t="s">
        <v>8</v>
      </c>
      <c r="B13568" s="18" t="str">
        <f>"525064"</f>
        <v>525064</v>
      </c>
      <c r="C13568" s="19" t="s">
        <v>13335</v>
      </c>
      <c r="D13568" s="19" t="s">
        <v>28966</v>
      </c>
      <c r="E13568" s="19" t="s">
        <v>34112</v>
      </c>
      <c r="F13568" s="19" t="s">
        <v>36024</v>
      </c>
      <c r="G13568" s="18" t="str">
        <f>"53151"</f>
        <v>53151</v>
      </c>
      <c r="H13568" s="19" t="s">
        <v>35561</v>
      </c>
      <c r="I13568" s="20">
        <v>19.757000000000001</v>
      </c>
      <c r="J13568" s="44" t="s">
        <v>8</v>
      </c>
      <c r="K13568" s="23" t="s">
        <v>8</v>
      </c>
      <c r="L13568" s="23" t="s">
        <v>8</v>
      </c>
      <c r="M13568" s="23" t="s">
        <v>8</v>
      </c>
    </row>
    <row r="13569" spans="1:13" s="21" customFormat="1" x14ac:dyDescent="0.25">
      <c r="A13569" s="22" t="s">
        <v>8</v>
      </c>
      <c r="B13569" s="18" t="str">
        <f>"525069"</f>
        <v>525069</v>
      </c>
      <c r="C13569" s="19" t="s">
        <v>5810</v>
      </c>
      <c r="D13569" s="19" t="s">
        <v>28967</v>
      </c>
      <c r="E13569" s="19" t="s">
        <v>35551</v>
      </c>
      <c r="F13569" s="19" t="s">
        <v>36024</v>
      </c>
      <c r="G13569" s="18" t="str">
        <f>"53227"</f>
        <v>53227</v>
      </c>
      <c r="H13569" s="19" t="s">
        <v>35552</v>
      </c>
      <c r="I13569" s="20">
        <v>17.238</v>
      </c>
      <c r="J13569" s="44" t="s">
        <v>8</v>
      </c>
      <c r="K13569" s="23" t="s">
        <v>8</v>
      </c>
      <c r="L13569" s="23" t="s">
        <v>8</v>
      </c>
      <c r="M13569" s="23" t="s">
        <v>8</v>
      </c>
    </row>
    <row r="13570" spans="1:13" s="21" customFormat="1" x14ac:dyDescent="0.25">
      <c r="A13570" s="22" t="s">
        <v>8</v>
      </c>
      <c r="B13570" s="18" t="str">
        <f>"525072"</f>
        <v>525072</v>
      </c>
      <c r="C13570" s="19" t="s">
        <v>13336</v>
      </c>
      <c r="D13570" s="19" t="s">
        <v>28968</v>
      </c>
      <c r="E13570" s="19" t="s">
        <v>30899</v>
      </c>
      <c r="F13570" s="19" t="s">
        <v>36024</v>
      </c>
      <c r="G13570" s="18" t="str">
        <f>"53714"</f>
        <v>53714</v>
      </c>
      <c r="H13570" s="19" t="s">
        <v>36925</v>
      </c>
      <c r="I13570" s="20">
        <v>19.411999999999999</v>
      </c>
      <c r="J13570" s="44" t="s">
        <v>8</v>
      </c>
      <c r="K13570" s="23" t="s">
        <v>8</v>
      </c>
      <c r="L13570" s="23" t="s">
        <v>8</v>
      </c>
      <c r="M13570" s="23" t="s">
        <v>8</v>
      </c>
    </row>
    <row r="13571" spans="1:13" s="21" customFormat="1" x14ac:dyDescent="0.25">
      <c r="A13571" s="22" t="s">
        <v>8</v>
      </c>
      <c r="B13571" s="18" t="str">
        <f>"525074"</f>
        <v>525074</v>
      </c>
      <c r="C13571" s="19" t="s">
        <v>13337</v>
      </c>
      <c r="D13571" s="19" t="s">
        <v>28969</v>
      </c>
      <c r="E13571" s="19" t="s">
        <v>30899</v>
      </c>
      <c r="F13571" s="19" t="s">
        <v>36024</v>
      </c>
      <c r="G13571" s="18" t="str">
        <f>"53714"</f>
        <v>53714</v>
      </c>
      <c r="H13571" s="19" t="s">
        <v>36925</v>
      </c>
      <c r="I13571" s="20">
        <v>18.123999999999999</v>
      </c>
      <c r="J13571" s="44" t="s">
        <v>8</v>
      </c>
      <c r="K13571" s="23" t="s">
        <v>8</v>
      </c>
      <c r="L13571" s="23" t="s">
        <v>8</v>
      </c>
      <c r="M13571" s="23" t="s">
        <v>8</v>
      </c>
    </row>
    <row r="13572" spans="1:13" s="21" customFormat="1" x14ac:dyDescent="0.25">
      <c r="A13572" s="22" t="s">
        <v>8</v>
      </c>
      <c r="B13572" s="18" t="str">
        <f>"525085"</f>
        <v>525085</v>
      </c>
      <c r="C13572" s="19" t="s">
        <v>13338</v>
      </c>
      <c r="D13572" s="19" t="s">
        <v>28970</v>
      </c>
      <c r="E13572" s="19" t="s">
        <v>35552</v>
      </c>
      <c r="F13572" s="19" t="s">
        <v>36024</v>
      </c>
      <c r="G13572" s="18" t="str">
        <f>"53211"</f>
        <v>53211</v>
      </c>
      <c r="H13572" s="19" t="s">
        <v>35552</v>
      </c>
      <c r="I13572" s="20">
        <v>16.216999999999999</v>
      </c>
      <c r="J13572" s="44" t="s">
        <v>8</v>
      </c>
      <c r="K13572" s="23" t="s">
        <v>8</v>
      </c>
      <c r="L13572" s="23" t="s">
        <v>8</v>
      </c>
      <c r="M13572" s="23" t="s">
        <v>8</v>
      </c>
    </row>
    <row r="13573" spans="1:13" s="21" customFormat="1" x14ac:dyDescent="0.25">
      <c r="A13573" s="22" t="s">
        <v>8</v>
      </c>
      <c r="B13573" s="18" t="str">
        <f>"525088"</f>
        <v>525088</v>
      </c>
      <c r="C13573" s="19" t="s">
        <v>13339</v>
      </c>
      <c r="D13573" s="19" t="s">
        <v>28971</v>
      </c>
      <c r="E13573" s="19" t="s">
        <v>35553</v>
      </c>
      <c r="F13573" s="19" t="s">
        <v>36024</v>
      </c>
      <c r="G13573" s="18" t="str">
        <f>"54469"</f>
        <v>54469</v>
      </c>
      <c r="H13573" s="19" t="s">
        <v>36673</v>
      </c>
      <c r="I13573" s="20">
        <v>18.832000000000001</v>
      </c>
      <c r="J13573" s="44" t="s">
        <v>8</v>
      </c>
      <c r="K13573" s="23" t="s">
        <v>8</v>
      </c>
      <c r="L13573" s="23" t="s">
        <v>8</v>
      </c>
      <c r="M13573" s="23" t="s">
        <v>8</v>
      </c>
    </row>
    <row r="13574" spans="1:13" s="21" customFormat="1" x14ac:dyDescent="0.25">
      <c r="A13574" s="22" t="s">
        <v>8</v>
      </c>
      <c r="B13574" s="18" t="str">
        <f>"525098"</f>
        <v>525098</v>
      </c>
      <c r="C13574" s="19" t="s">
        <v>13340</v>
      </c>
      <c r="D13574" s="19" t="s">
        <v>28972</v>
      </c>
      <c r="E13574" s="19" t="s">
        <v>35554</v>
      </c>
      <c r="F13574" s="19" t="s">
        <v>36024</v>
      </c>
      <c r="G13574" s="18" t="str">
        <f>"53597"</f>
        <v>53597</v>
      </c>
      <c r="H13574" s="19" t="s">
        <v>36925</v>
      </c>
      <c r="I13574" s="20">
        <v>17.219000000000001</v>
      </c>
      <c r="J13574" s="44" t="s">
        <v>8</v>
      </c>
      <c r="K13574" s="23" t="s">
        <v>8</v>
      </c>
      <c r="L13574" s="23" t="s">
        <v>8</v>
      </c>
      <c r="M13574" s="23" t="s">
        <v>8</v>
      </c>
    </row>
    <row r="13575" spans="1:13" s="21" customFormat="1" x14ac:dyDescent="0.25">
      <c r="A13575" s="22" t="s">
        <v>8</v>
      </c>
      <c r="B13575" s="18" t="str">
        <f>"525108"</f>
        <v>525108</v>
      </c>
      <c r="C13575" s="19" t="s">
        <v>13341</v>
      </c>
      <c r="D13575" s="19" t="s">
        <v>28973</v>
      </c>
      <c r="E13575" s="19" t="s">
        <v>35551</v>
      </c>
      <c r="F13575" s="19" t="s">
        <v>36024</v>
      </c>
      <c r="G13575" s="18" t="str">
        <f>"53214"</f>
        <v>53214</v>
      </c>
      <c r="H13575" s="19" t="s">
        <v>35552</v>
      </c>
      <c r="I13575" s="20">
        <v>19.277000000000001</v>
      </c>
      <c r="J13575" s="44" t="s">
        <v>8</v>
      </c>
      <c r="K13575" s="23" t="s">
        <v>8</v>
      </c>
      <c r="L13575" s="23" t="s">
        <v>8</v>
      </c>
      <c r="M13575" s="23" t="s">
        <v>8</v>
      </c>
    </row>
    <row r="13576" spans="1:13" s="21" customFormat="1" x14ac:dyDescent="0.25">
      <c r="A13576" s="22" t="s">
        <v>8</v>
      </c>
      <c r="B13576" s="18" t="str">
        <f>"525114"</f>
        <v>525114</v>
      </c>
      <c r="C13576" s="19" t="s">
        <v>13342</v>
      </c>
      <c r="D13576" s="19" t="s">
        <v>28974</v>
      </c>
      <c r="E13576" s="19" t="s">
        <v>35555</v>
      </c>
      <c r="F13576" s="19" t="s">
        <v>36024</v>
      </c>
      <c r="G13576" s="18" t="str">
        <f>"53959"</f>
        <v>53959</v>
      </c>
      <c r="H13576" s="19" t="s">
        <v>36923</v>
      </c>
      <c r="I13576" s="20">
        <v>16.155000000000001</v>
      </c>
      <c r="J13576" s="44" t="s">
        <v>8</v>
      </c>
      <c r="K13576" s="23" t="s">
        <v>8</v>
      </c>
      <c r="L13576" s="23" t="s">
        <v>8</v>
      </c>
      <c r="M13576" s="23" t="s">
        <v>8</v>
      </c>
    </row>
    <row r="13577" spans="1:13" s="21" customFormat="1" x14ac:dyDescent="0.25">
      <c r="A13577" s="22" t="s">
        <v>8</v>
      </c>
      <c r="B13577" s="18" t="str">
        <f>"525125"</f>
        <v>525125</v>
      </c>
      <c r="C13577" s="19" t="s">
        <v>13343</v>
      </c>
      <c r="D13577" s="19" t="s">
        <v>28975</v>
      </c>
      <c r="E13577" s="19" t="s">
        <v>35556</v>
      </c>
      <c r="F13577" s="19" t="s">
        <v>36024</v>
      </c>
      <c r="G13577" s="18" t="str">
        <f>"53140"</f>
        <v>53140</v>
      </c>
      <c r="H13577" s="19" t="s">
        <v>35556</v>
      </c>
      <c r="I13577" s="20">
        <v>18.103000000000002</v>
      </c>
      <c r="J13577" s="44" t="s">
        <v>8</v>
      </c>
      <c r="K13577" s="23" t="s">
        <v>8</v>
      </c>
      <c r="L13577" s="23" t="s">
        <v>8</v>
      </c>
      <c r="M13577" s="23" t="s">
        <v>8</v>
      </c>
    </row>
    <row r="13578" spans="1:13" s="21" customFormat="1" x14ac:dyDescent="0.25">
      <c r="A13578" s="22" t="s">
        <v>8</v>
      </c>
      <c r="B13578" s="18" t="str">
        <f>"525132"</f>
        <v>525132</v>
      </c>
      <c r="C13578" s="19" t="s">
        <v>13344</v>
      </c>
      <c r="D13578" s="19" t="s">
        <v>28976</v>
      </c>
      <c r="E13578" s="19" t="s">
        <v>35557</v>
      </c>
      <c r="F13578" s="19" t="s">
        <v>36024</v>
      </c>
      <c r="G13578" s="18" t="str">
        <f>"54403"</f>
        <v>54403</v>
      </c>
      <c r="H13578" s="19" t="s">
        <v>36926</v>
      </c>
      <c r="I13578" s="20">
        <v>16.756</v>
      </c>
      <c r="J13578" s="44" t="s">
        <v>8</v>
      </c>
      <c r="K13578" s="23" t="s">
        <v>8</v>
      </c>
      <c r="L13578" s="23" t="s">
        <v>8</v>
      </c>
      <c r="M13578" s="23" t="s">
        <v>8</v>
      </c>
    </row>
    <row r="13579" spans="1:13" s="21" customFormat="1" x14ac:dyDescent="0.25">
      <c r="A13579" s="22" t="s">
        <v>8</v>
      </c>
      <c r="B13579" s="18" t="str">
        <f>"525165"</f>
        <v>525165</v>
      </c>
      <c r="C13579" s="19" t="s">
        <v>13345</v>
      </c>
      <c r="D13579" s="19" t="s">
        <v>28977</v>
      </c>
      <c r="E13579" s="19" t="s">
        <v>32502</v>
      </c>
      <c r="F13579" s="19" t="s">
        <v>36024</v>
      </c>
      <c r="G13579" s="18" t="str">
        <f>"53095"</f>
        <v>53095</v>
      </c>
      <c r="H13579" s="19" t="s">
        <v>31500</v>
      </c>
      <c r="I13579" s="20">
        <v>16.736000000000001</v>
      </c>
      <c r="J13579" s="44" t="s">
        <v>8</v>
      </c>
      <c r="K13579" s="23" t="s">
        <v>8</v>
      </c>
      <c r="L13579" s="23" t="s">
        <v>8</v>
      </c>
      <c r="M13579" s="23" t="s">
        <v>8</v>
      </c>
    </row>
    <row r="13580" spans="1:13" s="21" customFormat="1" x14ac:dyDescent="0.25">
      <c r="A13580" s="22" t="s">
        <v>8</v>
      </c>
      <c r="B13580" s="18" t="str">
        <f>"525172"</f>
        <v>525172</v>
      </c>
      <c r="C13580" s="19" t="s">
        <v>13346</v>
      </c>
      <c r="D13580" s="19" t="s">
        <v>28978</v>
      </c>
      <c r="E13580" s="19" t="s">
        <v>35552</v>
      </c>
      <c r="F13580" s="19" t="s">
        <v>36024</v>
      </c>
      <c r="G13580" s="18" t="str">
        <f>"53202"</f>
        <v>53202</v>
      </c>
      <c r="H13580" s="19" t="s">
        <v>35552</v>
      </c>
      <c r="I13580" s="20">
        <v>16.440000000000001</v>
      </c>
      <c r="J13580" s="44" t="s">
        <v>8</v>
      </c>
      <c r="K13580" s="23" t="s">
        <v>8</v>
      </c>
      <c r="L13580" s="23" t="s">
        <v>8</v>
      </c>
      <c r="M13580" s="23" t="s">
        <v>8</v>
      </c>
    </row>
    <row r="13581" spans="1:13" s="21" customFormat="1" x14ac:dyDescent="0.25">
      <c r="A13581" s="22" t="s">
        <v>8</v>
      </c>
      <c r="B13581" s="18" t="str">
        <f>"525179"</f>
        <v>525179</v>
      </c>
      <c r="C13581" s="19" t="s">
        <v>13347</v>
      </c>
      <c r="D13581" s="19" t="s">
        <v>28979</v>
      </c>
      <c r="E13581" s="19" t="s">
        <v>35556</v>
      </c>
      <c r="F13581" s="19" t="s">
        <v>36024</v>
      </c>
      <c r="G13581" s="18" t="str">
        <f>"53144"</f>
        <v>53144</v>
      </c>
      <c r="H13581" s="19" t="s">
        <v>35556</v>
      </c>
      <c r="I13581" s="20">
        <v>17.922000000000001</v>
      </c>
      <c r="J13581" s="44" t="s">
        <v>8</v>
      </c>
      <c r="K13581" s="23" t="s">
        <v>8</v>
      </c>
      <c r="L13581" s="23" t="s">
        <v>8</v>
      </c>
      <c r="M13581" s="23" t="s">
        <v>8</v>
      </c>
    </row>
    <row r="13582" spans="1:13" s="21" customFormat="1" x14ac:dyDescent="0.25">
      <c r="A13582" s="22" t="s">
        <v>8</v>
      </c>
      <c r="B13582" s="18" t="str">
        <f>"525209"</f>
        <v>525209</v>
      </c>
      <c r="C13582" s="19" t="s">
        <v>13348</v>
      </c>
      <c r="D13582" s="19" t="s">
        <v>28980</v>
      </c>
      <c r="E13582" s="19" t="s">
        <v>35558</v>
      </c>
      <c r="F13582" s="19" t="s">
        <v>36024</v>
      </c>
      <c r="G13582" s="18" t="str">
        <f>"54669"</f>
        <v>54669</v>
      </c>
      <c r="H13582" s="19" t="s">
        <v>32626</v>
      </c>
      <c r="I13582" s="20">
        <v>20.417999999999999</v>
      </c>
      <c r="J13582" s="44" t="s">
        <v>8</v>
      </c>
      <c r="K13582" s="23" t="s">
        <v>8</v>
      </c>
      <c r="L13582" s="23" t="s">
        <v>8</v>
      </c>
      <c r="M13582" s="23" t="s">
        <v>8</v>
      </c>
    </row>
    <row r="13583" spans="1:13" s="21" customFormat="1" x14ac:dyDescent="0.25">
      <c r="A13583" s="22" t="s">
        <v>8</v>
      </c>
      <c r="B13583" s="18" t="str">
        <f>"525212"</f>
        <v>525212</v>
      </c>
      <c r="C13583" s="19" t="s">
        <v>13349</v>
      </c>
      <c r="D13583" s="19" t="s">
        <v>28981</v>
      </c>
      <c r="E13583" s="19" t="s">
        <v>35559</v>
      </c>
      <c r="F13583" s="19" t="s">
        <v>36024</v>
      </c>
      <c r="G13583" s="18" t="str">
        <f>"54494"</f>
        <v>54494</v>
      </c>
      <c r="H13583" s="19" t="s">
        <v>36673</v>
      </c>
      <c r="I13583" s="20">
        <v>20.908999999999999</v>
      </c>
      <c r="J13583" s="44" t="s">
        <v>8</v>
      </c>
      <c r="K13583" s="23" t="s">
        <v>8</v>
      </c>
      <c r="L13583" s="23" t="s">
        <v>8</v>
      </c>
      <c r="M13583" s="23" t="s">
        <v>8</v>
      </c>
    </row>
    <row r="13584" spans="1:13" s="21" customFormat="1" x14ac:dyDescent="0.25">
      <c r="A13584" s="22" t="s">
        <v>8</v>
      </c>
      <c r="B13584" s="18" t="str">
        <f>"525219"</f>
        <v>525219</v>
      </c>
      <c r="C13584" s="19" t="s">
        <v>13350</v>
      </c>
      <c r="D13584" s="19" t="s">
        <v>28982</v>
      </c>
      <c r="E13584" s="19" t="s">
        <v>35560</v>
      </c>
      <c r="F13584" s="19" t="s">
        <v>36024</v>
      </c>
      <c r="G13584" s="18" t="str">
        <f>"53818"</f>
        <v>53818</v>
      </c>
      <c r="H13584" s="19" t="s">
        <v>36078</v>
      </c>
      <c r="I13584" s="20">
        <v>19.103999999999999</v>
      </c>
      <c r="J13584" s="44" t="s">
        <v>8</v>
      </c>
      <c r="K13584" s="23" t="s">
        <v>8</v>
      </c>
      <c r="L13584" s="23" t="s">
        <v>8</v>
      </c>
      <c r="M13584" s="23" t="s">
        <v>8</v>
      </c>
    </row>
    <row r="13585" spans="1:13" s="21" customFormat="1" x14ac:dyDescent="0.25">
      <c r="A13585" s="22" t="s">
        <v>8</v>
      </c>
      <c r="B13585" s="18" t="str">
        <f>"525232"</f>
        <v>525232</v>
      </c>
      <c r="C13585" s="19" t="s">
        <v>13351</v>
      </c>
      <c r="D13585" s="19" t="s">
        <v>28983</v>
      </c>
      <c r="E13585" s="19" t="s">
        <v>35548</v>
      </c>
      <c r="F13585" s="19" t="s">
        <v>36024</v>
      </c>
      <c r="G13585" s="18" t="str">
        <f>"54303"</f>
        <v>54303</v>
      </c>
      <c r="H13585" s="19" t="s">
        <v>36244</v>
      </c>
      <c r="I13585" s="20">
        <v>16.294</v>
      </c>
      <c r="J13585" s="44" t="s">
        <v>8</v>
      </c>
      <c r="K13585" s="23" t="s">
        <v>8</v>
      </c>
      <c r="L13585" s="23" t="s">
        <v>8</v>
      </c>
      <c r="M13585" s="23" t="s">
        <v>8</v>
      </c>
    </row>
    <row r="13586" spans="1:13" s="21" customFormat="1" x14ac:dyDescent="0.25">
      <c r="A13586" s="22" t="s">
        <v>8</v>
      </c>
      <c r="B13586" s="18" t="str">
        <f>"525241"</f>
        <v>525241</v>
      </c>
      <c r="C13586" s="19" t="s">
        <v>13352</v>
      </c>
      <c r="D13586" s="19" t="s">
        <v>28984</v>
      </c>
      <c r="E13586" s="19" t="s">
        <v>33489</v>
      </c>
      <c r="F13586" s="19" t="s">
        <v>36024</v>
      </c>
      <c r="G13586" s="18" t="str">
        <f>"53534"</f>
        <v>53534</v>
      </c>
      <c r="H13586" s="19" t="s">
        <v>36480</v>
      </c>
      <c r="I13586" s="20">
        <v>17.942</v>
      </c>
      <c r="J13586" s="44" t="s">
        <v>8</v>
      </c>
      <c r="K13586" s="23" t="s">
        <v>8</v>
      </c>
      <c r="L13586" s="23" t="s">
        <v>8</v>
      </c>
      <c r="M13586" s="23" t="s">
        <v>8</v>
      </c>
    </row>
    <row r="13587" spans="1:13" s="21" customFormat="1" x14ac:dyDescent="0.25">
      <c r="A13587" s="22" t="s">
        <v>8</v>
      </c>
      <c r="B13587" s="18" t="str">
        <f>"525242"</f>
        <v>525242</v>
      </c>
      <c r="C13587" s="19" t="s">
        <v>13353</v>
      </c>
      <c r="D13587" s="19" t="s">
        <v>28985</v>
      </c>
      <c r="E13587" s="19" t="s">
        <v>35561</v>
      </c>
      <c r="F13587" s="19" t="s">
        <v>36024</v>
      </c>
      <c r="G13587" s="18" t="str">
        <f>"53188"</f>
        <v>53188</v>
      </c>
      <c r="H13587" s="19" t="s">
        <v>35561</v>
      </c>
      <c r="I13587" s="20">
        <v>16.167000000000002</v>
      </c>
      <c r="J13587" s="44" t="s">
        <v>8</v>
      </c>
      <c r="K13587" s="23" t="s">
        <v>8</v>
      </c>
      <c r="L13587" s="23" t="s">
        <v>8</v>
      </c>
      <c r="M13587" s="23" t="s">
        <v>8</v>
      </c>
    </row>
    <row r="13588" spans="1:13" s="21" customFormat="1" x14ac:dyDescent="0.25">
      <c r="A13588" s="22" t="s">
        <v>8</v>
      </c>
      <c r="B13588" s="18" t="str">
        <f>"525262"</f>
        <v>525262</v>
      </c>
      <c r="C13588" s="19" t="s">
        <v>13354</v>
      </c>
      <c r="D13588" s="19" t="s">
        <v>28986</v>
      </c>
      <c r="E13588" s="19" t="s">
        <v>35562</v>
      </c>
      <c r="F13588" s="19" t="s">
        <v>36024</v>
      </c>
      <c r="G13588" s="18" t="str">
        <f>"53538"</f>
        <v>53538</v>
      </c>
      <c r="H13588" s="19" t="s">
        <v>32391</v>
      </c>
      <c r="I13588" s="20">
        <v>16.757000000000001</v>
      </c>
      <c r="J13588" s="44" t="s">
        <v>8</v>
      </c>
      <c r="K13588" s="23" t="s">
        <v>8</v>
      </c>
      <c r="L13588" s="23" t="s">
        <v>8</v>
      </c>
      <c r="M13588" s="23" t="s">
        <v>8</v>
      </c>
    </row>
    <row r="13589" spans="1:13" s="21" customFormat="1" x14ac:dyDescent="0.25">
      <c r="A13589" s="22" t="s">
        <v>8</v>
      </c>
      <c r="B13589" s="18" t="str">
        <f>"525264"</f>
        <v>525264</v>
      </c>
      <c r="C13589" s="19" t="s">
        <v>1990</v>
      </c>
      <c r="D13589" s="19" t="s">
        <v>28987</v>
      </c>
      <c r="E13589" s="19" t="s">
        <v>33345</v>
      </c>
      <c r="F13589" s="19" t="s">
        <v>36024</v>
      </c>
      <c r="G13589" s="18" t="str">
        <f>"54915"</f>
        <v>54915</v>
      </c>
      <c r="H13589" s="19" t="s">
        <v>36927</v>
      </c>
      <c r="I13589" s="20">
        <v>18.831</v>
      </c>
      <c r="J13589" s="44" t="s">
        <v>8</v>
      </c>
      <c r="K13589" s="23" t="s">
        <v>8</v>
      </c>
      <c r="L13589" s="23" t="s">
        <v>8</v>
      </c>
      <c r="M13589" s="23" t="s">
        <v>8</v>
      </c>
    </row>
    <row r="13590" spans="1:13" s="21" customFormat="1" x14ac:dyDescent="0.25">
      <c r="A13590" s="22" t="s">
        <v>8</v>
      </c>
      <c r="B13590" s="18" t="str">
        <f>"525265"</f>
        <v>525265</v>
      </c>
      <c r="C13590" s="19" t="s">
        <v>13355</v>
      </c>
      <c r="D13590" s="19" t="s">
        <v>28988</v>
      </c>
      <c r="E13590" s="19" t="s">
        <v>32626</v>
      </c>
      <c r="F13590" s="19" t="s">
        <v>36024</v>
      </c>
      <c r="G13590" s="18" t="str">
        <f>"54601"</f>
        <v>54601</v>
      </c>
      <c r="H13590" s="19" t="s">
        <v>32626</v>
      </c>
      <c r="I13590" s="20">
        <v>16.18</v>
      </c>
      <c r="J13590" s="44" t="s">
        <v>8</v>
      </c>
      <c r="K13590" s="23" t="s">
        <v>8</v>
      </c>
      <c r="L13590" s="23" t="s">
        <v>8</v>
      </c>
      <c r="M13590" s="23" t="s">
        <v>8</v>
      </c>
    </row>
    <row r="13591" spans="1:13" s="21" customFormat="1" x14ac:dyDescent="0.25">
      <c r="A13591" s="22" t="s">
        <v>8</v>
      </c>
      <c r="B13591" s="18" t="str">
        <f>"525266"</f>
        <v>525266</v>
      </c>
      <c r="C13591" s="19" t="s">
        <v>13356</v>
      </c>
      <c r="D13591" s="19" t="s">
        <v>28989</v>
      </c>
      <c r="E13591" s="19" t="s">
        <v>30899</v>
      </c>
      <c r="F13591" s="19" t="s">
        <v>36024</v>
      </c>
      <c r="G13591" s="18" t="str">
        <f>"53718"</f>
        <v>53718</v>
      </c>
      <c r="H13591" s="19" t="s">
        <v>36925</v>
      </c>
      <c r="I13591" s="20">
        <v>19.553999999999998</v>
      </c>
      <c r="J13591" s="44" t="s">
        <v>8</v>
      </c>
      <c r="K13591" s="23" t="s">
        <v>8</v>
      </c>
      <c r="L13591" s="23" t="s">
        <v>8</v>
      </c>
      <c r="M13591" s="23" t="s">
        <v>8</v>
      </c>
    </row>
    <row r="13592" spans="1:13" s="21" customFormat="1" x14ac:dyDescent="0.25">
      <c r="A13592" s="22" t="s">
        <v>8</v>
      </c>
      <c r="B13592" s="18" t="str">
        <f>"525270"</f>
        <v>525270</v>
      </c>
      <c r="C13592" s="19" t="s">
        <v>13357</v>
      </c>
      <c r="D13592" s="19" t="s">
        <v>28990</v>
      </c>
      <c r="E13592" s="19" t="s">
        <v>35563</v>
      </c>
      <c r="F13592" s="19" t="s">
        <v>36024</v>
      </c>
      <c r="G13592" s="18" t="str">
        <f>"54935"</f>
        <v>54935</v>
      </c>
      <c r="H13592" s="19" t="s">
        <v>35563</v>
      </c>
      <c r="I13592" s="20">
        <v>19.039000000000001</v>
      </c>
      <c r="J13592" s="44" t="s">
        <v>8</v>
      </c>
      <c r="K13592" s="23" t="s">
        <v>8</v>
      </c>
      <c r="L13592" s="23" t="s">
        <v>8</v>
      </c>
      <c r="M13592" s="23" t="s">
        <v>8</v>
      </c>
    </row>
    <row r="13593" spans="1:13" s="21" customFormat="1" x14ac:dyDescent="0.25">
      <c r="A13593" s="22" t="s">
        <v>8</v>
      </c>
      <c r="B13593" s="18" t="str">
        <f>"525271"</f>
        <v>525271</v>
      </c>
      <c r="C13593" s="19" t="s">
        <v>13358</v>
      </c>
      <c r="D13593" s="19" t="s">
        <v>28991</v>
      </c>
      <c r="E13593" s="19" t="s">
        <v>32391</v>
      </c>
      <c r="F13593" s="19" t="s">
        <v>36024</v>
      </c>
      <c r="G13593" s="18" t="str">
        <f>"53549"</f>
        <v>53549</v>
      </c>
      <c r="H13593" s="19" t="s">
        <v>32391</v>
      </c>
      <c r="I13593" s="20">
        <v>17.213000000000001</v>
      </c>
      <c r="J13593" s="44" t="s">
        <v>8</v>
      </c>
      <c r="K13593" s="23" t="s">
        <v>8</v>
      </c>
      <c r="L13593" s="23" t="s">
        <v>8</v>
      </c>
      <c r="M13593" s="23" t="s">
        <v>8</v>
      </c>
    </row>
    <row r="13594" spans="1:13" s="21" customFormat="1" x14ac:dyDescent="0.25">
      <c r="A13594" s="22" t="s">
        <v>8</v>
      </c>
      <c r="B13594" s="18" t="str">
        <f>"525273"</f>
        <v>525273</v>
      </c>
      <c r="C13594" s="19" t="s">
        <v>13359</v>
      </c>
      <c r="D13594" s="19" t="s">
        <v>28992</v>
      </c>
      <c r="E13594" s="19" t="s">
        <v>32617</v>
      </c>
      <c r="F13594" s="19" t="s">
        <v>36024</v>
      </c>
      <c r="G13594" s="18" t="str">
        <f>"53511"</f>
        <v>53511</v>
      </c>
      <c r="H13594" s="19" t="s">
        <v>36480</v>
      </c>
      <c r="I13594" s="20">
        <v>19.152000000000001</v>
      </c>
      <c r="J13594" s="44" t="s">
        <v>8</v>
      </c>
      <c r="K13594" s="23" t="s">
        <v>8</v>
      </c>
      <c r="L13594" s="23" t="s">
        <v>8</v>
      </c>
      <c r="M13594" s="23" t="s">
        <v>8</v>
      </c>
    </row>
    <row r="13595" spans="1:13" s="21" customFormat="1" x14ac:dyDescent="0.25">
      <c r="A13595" s="22" t="s">
        <v>8</v>
      </c>
      <c r="B13595" s="18" t="str">
        <f>"525274"</f>
        <v>525274</v>
      </c>
      <c r="C13595" s="19" t="s">
        <v>1990</v>
      </c>
      <c r="D13595" s="19" t="s">
        <v>28993</v>
      </c>
      <c r="E13595" s="19" t="s">
        <v>35563</v>
      </c>
      <c r="F13595" s="19" t="s">
        <v>36024</v>
      </c>
      <c r="G13595" s="18" t="str">
        <f>"54935"</f>
        <v>54935</v>
      </c>
      <c r="H13595" s="19" t="s">
        <v>35563</v>
      </c>
      <c r="I13595" s="20">
        <v>19.701000000000001</v>
      </c>
      <c r="J13595" s="44" t="s">
        <v>8</v>
      </c>
      <c r="K13595" s="23" t="s">
        <v>8</v>
      </c>
      <c r="L13595" s="23" t="s">
        <v>8</v>
      </c>
      <c r="M13595" s="23" t="s">
        <v>8</v>
      </c>
    </row>
    <row r="13596" spans="1:13" s="21" customFormat="1" x14ac:dyDescent="0.25">
      <c r="A13596" s="22" t="s">
        <v>8</v>
      </c>
      <c r="B13596" s="18" t="str">
        <f>"525276"</f>
        <v>525276</v>
      </c>
      <c r="C13596" s="19" t="s">
        <v>13360</v>
      </c>
      <c r="D13596" s="19" t="s">
        <v>28994</v>
      </c>
      <c r="E13596" s="19" t="s">
        <v>30899</v>
      </c>
      <c r="F13596" s="19" t="s">
        <v>36024</v>
      </c>
      <c r="G13596" s="18" t="str">
        <f>"53719"</f>
        <v>53719</v>
      </c>
      <c r="H13596" s="19" t="s">
        <v>36925</v>
      </c>
      <c r="I13596" s="20">
        <v>15.548</v>
      </c>
      <c r="J13596" s="44" t="s">
        <v>8</v>
      </c>
      <c r="K13596" s="23" t="s">
        <v>8</v>
      </c>
      <c r="L13596" s="23" t="s">
        <v>8</v>
      </c>
      <c r="M13596" s="23" t="s">
        <v>8</v>
      </c>
    </row>
    <row r="13597" spans="1:13" s="21" customFormat="1" x14ac:dyDescent="0.25">
      <c r="A13597" s="22" t="s">
        <v>8</v>
      </c>
      <c r="B13597" s="18" t="str">
        <f>"525279"</f>
        <v>525279</v>
      </c>
      <c r="C13597" s="19" t="s">
        <v>13361</v>
      </c>
      <c r="D13597" s="19" t="s">
        <v>28995</v>
      </c>
      <c r="E13597" s="19" t="s">
        <v>35564</v>
      </c>
      <c r="F13597" s="19" t="s">
        <v>36024</v>
      </c>
      <c r="G13597" s="18" t="str">
        <f>"53150"</f>
        <v>53150</v>
      </c>
      <c r="H13597" s="19" t="s">
        <v>35561</v>
      </c>
      <c r="I13597" s="20">
        <v>21.097000000000001</v>
      </c>
      <c r="J13597" s="44" t="s">
        <v>8</v>
      </c>
      <c r="K13597" s="23" t="s">
        <v>8</v>
      </c>
      <c r="L13597" s="23" t="s">
        <v>8</v>
      </c>
      <c r="M13597" s="23" t="s">
        <v>8</v>
      </c>
    </row>
    <row r="13598" spans="1:13" s="21" customFormat="1" x14ac:dyDescent="0.25">
      <c r="A13598" s="22" t="s">
        <v>8</v>
      </c>
      <c r="B13598" s="18" t="str">
        <f>"525281"</f>
        <v>525281</v>
      </c>
      <c r="C13598" s="19" t="s">
        <v>13362</v>
      </c>
      <c r="D13598" s="19" t="s">
        <v>28996</v>
      </c>
      <c r="E13598" s="19" t="s">
        <v>35556</v>
      </c>
      <c r="F13598" s="19" t="s">
        <v>36024</v>
      </c>
      <c r="G13598" s="18" t="str">
        <f>"53140"</f>
        <v>53140</v>
      </c>
      <c r="H13598" s="19" t="s">
        <v>35556</v>
      </c>
      <c r="I13598" s="20">
        <v>21.245999999999999</v>
      </c>
      <c r="J13598" s="44" t="s">
        <v>8</v>
      </c>
      <c r="K13598" s="23" t="s">
        <v>8</v>
      </c>
      <c r="L13598" s="23" t="s">
        <v>8</v>
      </c>
      <c r="M13598" s="23" t="s">
        <v>8</v>
      </c>
    </row>
    <row r="13599" spans="1:13" s="21" customFormat="1" x14ac:dyDescent="0.25">
      <c r="A13599" s="22" t="s">
        <v>8</v>
      </c>
      <c r="B13599" s="18" t="str">
        <f>"525282"</f>
        <v>525282</v>
      </c>
      <c r="C13599" s="19" t="s">
        <v>13363</v>
      </c>
      <c r="D13599" s="19" t="s">
        <v>28997</v>
      </c>
      <c r="E13599" s="19" t="s">
        <v>35556</v>
      </c>
      <c r="F13599" s="19" t="s">
        <v>36024</v>
      </c>
      <c r="G13599" s="18" t="str">
        <f>"53142"</f>
        <v>53142</v>
      </c>
      <c r="H13599" s="19" t="s">
        <v>35556</v>
      </c>
      <c r="I13599" s="20">
        <v>19.803999999999998</v>
      </c>
      <c r="J13599" s="44" t="s">
        <v>8</v>
      </c>
      <c r="K13599" s="23" t="s">
        <v>8</v>
      </c>
      <c r="L13599" s="23" t="s">
        <v>8</v>
      </c>
      <c r="M13599" s="23" t="s">
        <v>8</v>
      </c>
    </row>
    <row r="13600" spans="1:13" s="21" customFormat="1" x14ac:dyDescent="0.25">
      <c r="A13600" s="22" t="s">
        <v>8</v>
      </c>
      <c r="B13600" s="18" t="str">
        <f>"525286"</f>
        <v>525286</v>
      </c>
      <c r="C13600" s="19" t="s">
        <v>13364</v>
      </c>
      <c r="D13600" s="19" t="s">
        <v>28998</v>
      </c>
      <c r="E13600" s="19" t="s">
        <v>32952</v>
      </c>
      <c r="F13600" s="19" t="s">
        <v>36024</v>
      </c>
      <c r="G13600" s="18" t="str">
        <f>"54923"</f>
        <v>54923</v>
      </c>
      <c r="H13600" s="19" t="s">
        <v>36928</v>
      </c>
      <c r="I13600" s="20">
        <v>15.601000000000001</v>
      </c>
      <c r="J13600" s="44" t="s">
        <v>8</v>
      </c>
      <c r="K13600" s="23" t="s">
        <v>8</v>
      </c>
      <c r="L13600" s="23" t="s">
        <v>8</v>
      </c>
      <c r="M13600" s="23" t="s">
        <v>8</v>
      </c>
    </row>
    <row r="13601" spans="1:13" s="21" customFormat="1" x14ac:dyDescent="0.25">
      <c r="A13601" s="22" t="s">
        <v>8</v>
      </c>
      <c r="B13601" s="18" t="str">
        <f>"525290"</f>
        <v>525290</v>
      </c>
      <c r="C13601" s="19" t="s">
        <v>13365</v>
      </c>
      <c r="D13601" s="19" t="s">
        <v>28999</v>
      </c>
      <c r="E13601" s="19" t="s">
        <v>31184</v>
      </c>
      <c r="F13601" s="19" t="s">
        <v>36024</v>
      </c>
      <c r="G13601" s="18" t="str">
        <f>"53813"</f>
        <v>53813</v>
      </c>
      <c r="H13601" s="19" t="s">
        <v>36078</v>
      </c>
      <c r="I13601" s="20">
        <v>17.023</v>
      </c>
      <c r="J13601" s="44" t="s">
        <v>8</v>
      </c>
      <c r="K13601" s="23" t="s">
        <v>8</v>
      </c>
      <c r="L13601" s="23" t="s">
        <v>8</v>
      </c>
      <c r="M13601" s="23" t="s">
        <v>8</v>
      </c>
    </row>
    <row r="13602" spans="1:13" s="21" customFormat="1" x14ac:dyDescent="0.25">
      <c r="A13602" s="22" t="s">
        <v>8</v>
      </c>
      <c r="B13602" s="18" t="str">
        <f>"525292"</f>
        <v>525292</v>
      </c>
      <c r="C13602" s="19" t="s">
        <v>13366</v>
      </c>
      <c r="D13602" s="19" t="s">
        <v>29000</v>
      </c>
      <c r="E13602" s="19" t="s">
        <v>31711</v>
      </c>
      <c r="F13602" s="19" t="s">
        <v>36024</v>
      </c>
      <c r="G13602" s="18" t="str">
        <f>"53566"</f>
        <v>53566</v>
      </c>
      <c r="H13602" s="19" t="s">
        <v>36339</v>
      </c>
      <c r="I13602" s="20">
        <v>19.266999999999999</v>
      </c>
      <c r="J13602" s="44" t="s">
        <v>8</v>
      </c>
      <c r="K13602" s="23" t="s">
        <v>8</v>
      </c>
      <c r="L13602" s="23" t="s">
        <v>8</v>
      </c>
      <c r="M13602" s="23" t="s">
        <v>8</v>
      </c>
    </row>
    <row r="13603" spans="1:13" s="21" customFormat="1" x14ac:dyDescent="0.25">
      <c r="A13603" s="22" t="s">
        <v>8</v>
      </c>
      <c r="B13603" s="18" t="str">
        <f>"525299"</f>
        <v>525299</v>
      </c>
      <c r="C13603" s="19" t="s">
        <v>13367</v>
      </c>
      <c r="D13603" s="19" t="s">
        <v>29001</v>
      </c>
      <c r="E13603" s="19" t="s">
        <v>35565</v>
      </c>
      <c r="F13603" s="19" t="s">
        <v>36024</v>
      </c>
      <c r="G13603" s="18" t="str">
        <f>"54901"</f>
        <v>54901</v>
      </c>
      <c r="H13603" s="19" t="s">
        <v>36233</v>
      </c>
      <c r="I13603" s="20">
        <v>17.891999999999999</v>
      </c>
      <c r="J13603" s="44" t="s">
        <v>8</v>
      </c>
      <c r="K13603" s="23" t="s">
        <v>8</v>
      </c>
      <c r="L13603" s="23" t="s">
        <v>8</v>
      </c>
      <c r="M13603" s="23" t="s">
        <v>8</v>
      </c>
    </row>
    <row r="13604" spans="1:13" s="21" customFormat="1" x14ac:dyDescent="0.25">
      <c r="A13604" s="22" t="s">
        <v>8</v>
      </c>
      <c r="B13604" s="18" t="str">
        <f>"525304"</f>
        <v>525304</v>
      </c>
      <c r="C13604" s="19" t="s">
        <v>13368</v>
      </c>
      <c r="D13604" s="19" t="s">
        <v>29002</v>
      </c>
      <c r="E13604" s="19" t="s">
        <v>33669</v>
      </c>
      <c r="F13604" s="19" t="s">
        <v>36024</v>
      </c>
      <c r="G13604" s="18" t="str">
        <f>"54449"</f>
        <v>54449</v>
      </c>
      <c r="H13604" s="19" t="s">
        <v>36673</v>
      </c>
      <c r="I13604" s="20">
        <v>19.195</v>
      </c>
      <c r="J13604" s="44" t="s">
        <v>8</v>
      </c>
      <c r="K13604" s="23" t="s">
        <v>8</v>
      </c>
      <c r="L13604" s="23" t="s">
        <v>8</v>
      </c>
      <c r="M13604" s="23" t="s">
        <v>8</v>
      </c>
    </row>
    <row r="13605" spans="1:13" s="21" customFormat="1" x14ac:dyDescent="0.25">
      <c r="A13605" s="22" t="s">
        <v>8</v>
      </c>
      <c r="B13605" s="18" t="str">
        <f>"525305"</f>
        <v>525305</v>
      </c>
      <c r="C13605" s="19" t="s">
        <v>13369</v>
      </c>
      <c r="D13605" s="19" t="s">
        <v>29003</v>
      </c>
      <c r="E13605" s="19" t="s">
        <v>30899</v>
      </c>
      <c r="F13605" s="19" t="s">
        <v>36024</v>
      </c>
      <c r="G13605" s="18" t="str">
        <f>"53703"</f>
        <v>53703</v>
      </c>
      <c r="H13605" s="19" t="s">
        <v>36925</v>
      </c>
      <c r="I13605" s="20">
        <v>17.224</v>
      </c>
      <c r="J13605" s="44" t="s">
        <v>8</v>
      </c>
      <c r="K13605" s="23" t="s">
        <v>8</v>
      </c>
      <c r="L13605" s="23" t="s">
        <v>8</v>
      </c>
      <c r="M13605" s="23" t="s">
        <v>8</v>
      </c>
    </row>
    <row r="13606" spans="1:13" s="21" customFormat="1" x14ac:dyDescent="0.25">
      <c r="A13606" s="22" t="s">
        <v>8</v>
      </c>
      <c r="B13606" s="18" t="str">
        <f>"525306"</f>
        <v>525306</v>
      </c>
      <c r="C13606" s="19" t="s">
        <v>13370</v>
      </c>
      <c r="D13606" s="19" t="s">
        <v>29004</v>
      </c>
      <c r="E13606" s="19" t="s">
        <v>35566</v>
      </c>
      <c r="F13606" s="19" t="s">
        <v>36024</v>
      </c>
      <c r="G13606" s="18" t="str">
        <f>"54235"</f>
        <v>54235</v>
      </c>
      <c r="H13606" s="19" t="s">
        <v>36929</v>
      </c>
      <c r="I13606" s="20">
        <v>20.010999999999999</v>
      </c>
      <c r="J13606" s="44" t="s">
        <v>8</v>
      </c>
      <c r="K13606" s="23" t="s">
        <v>8</v>
      </c>
      <c r="L13606" s="23" t="s">
        <v>8</v>
      </c>
      <c r="M13606" s="23" t="s">
        <v>8</v>
      </c>
    </row>
    <row r="13607" spans="1:13" s="21" customFormat="1" x14ac:dyDescent="0.25">
      <c r="A13607" s="22" t="s">
        <v>8</v>
      </c>
      <c r="B13607" s="18" t="str">
        <f>"525307"</f>
        <v>525307</v>
      </c>
      <c r="C13607" s="19" t="s">
        <v>13371</v>
      </c>
      <c r="D13607" s="19" t="s">
        <v>29005</v>
      </c>
      <c r="E13607" s="19" t="s">
        <v>35548</v>
      </c>
      <c r="F13607" s="19" t="s">
        <v>36024</v>
      </c>
      <c r="G13607" s="18" t="str">
        <f>"54311"</f>
        <v>54311</v>
      </c>
      <c r="H13607" s="19" t="s">
        <v>36244</v>
      </c>
      <c r="I13607" s="20">
        <v>18.3</v>
      </c>
      <c r="J13607" s="44" t="s">
        <v>8</v>
      </c>
      <c r="K13607" s="23" t="s">
        <v>8</v>
      </c>
      <c r="L13607" s="23" t="s">
        <v>8</v>
      </c>
      <c r="M13607" s="23" t="s">
        <v>8</v>
      </c>
    </row>
    <row r="13608" spans="1:13" s="21" customFormat="1" x14ac:dyDescent="0.25">
      <c r="A13608" s="22" t="s">
        <v>8</v>
      </c>
      <c r="B13608" s="18" t="str">
        <f>"525309"</f>
        <v>525309</v>
      </c>
      <c r="C13608" s="19" t="s">
        <v>13372</v>
      </c>
      <c r="D13608" s="19" t="s">
        <v>29006</v>
      </c>
      <c r="E13608" s="19" t="s">
        <v>30946</v>
      </c>
      <c r="F13608" s="19" t="s">
        <v>36024</v>
      </c>
      <c r="G13608" s="18" t="str">
        <f>"53209"</f>
        <v>53209</v>
      </c>
      <c r="H13608" s="19" t="s">
        <v>35552</v>
      </c>
      <c r="I13608" s="20">
        <v>17.623000000000001</v>
      </c>
      <c r="J13608" s="44" t="s">
        <v>8</v>
      </c>
      <c r="K13608" s="23" t="s">
        <v>8</v>
      </c>
      <c r="L13608" s="23" t="s">
        <v>8</v>
      </c>
      <c r="M13608" s="23" t="s">
        <v>8</v>
      </c>
    </row>
    <row r="13609" spans="1:13" s="21" customFormat="1" x14ac:dyDescent="0.25">
      <c r="A13609" s="22" t="s">
        <v>8</v>
      </c>
      <c r="B13609" s="18" t="str">
        <f>"525313"</f>
        <v>525313</v>
      </c>
      <c r="C13609" s="19" t="s">
        <v>13373</v>
      </c>
      <c r="D13609" s="19" t="s">
        <v>29007</v>
      </c>
      <c r="E13609" s="19" t="s">
        <v>35567</v>
      </c>
      <c r="F13609" s="19" t="s">
        <v>36024</v>
      </c>
      <c r="G13609" s="18" t="str">
        <f>"53590"</f>
        <v>53590</v>
      </c>
      <c r="H13609" s="19" t="s">
        <v>36925</v>
      </c>
      <c r="I13609" s="20">
        <v>18.748999999999999</v>
      </c>
      <c r="J13609" s="44" t="s">
        <v>8</v>
      </c>
      <c r="K13609" s="23" t="s">
        <v>8</v>
      </c>
      <c r="L13609" s="23" t="s">
        <v>8</v>
      </c>
      <c r="M13609" s="23" t="s">
        <v>8</v>
      </c>
    </row>
    <row r="13610" spans="1:13" s="21" customFormat="1" x14ac:dyDescent="0.25">
      <c r="A13610" s="22" t="s">
        <v>8</v>
      </c>
      <c r="B13610" s="18" t="str">
        <f>"525314"</f>
        <v>525314</v>
      </c>
      <c r="C13610" s="19" t="s">
        <v>13374</v>
      </c>
      <c r="D13610" s="19" t="s">
        <v>29008</v>
      </c>
      <c r="E13610" s="19" t="s">
        <v>32464</v>
      </c>
      <c r="F13610" s="19" t="s">
        <v>36024</v>
      </c>
      <c r="G13610" s="18" t="str">
        <f>"53551"</f>
        <v>53551</v>
      </c>
      <c r="H13610" s="19" t="s">
        <v>32391</v>
      </c>
      <c r="I13610" s="20">
        <v>19.934999999999999</v>
      </c>
      <c r="J13610" s="44" t="s">
        <v>8</v>
      </c>
      <c r="K13610" s="23" t="s">
        <v>8</v>
      </c>
      <c r="L13610" s="23" t="s">
        <v>8</v>
      </c>
      <c r="M13610" s="23" t="s">
        <v>8</v>
      </c>
    </row>
    <row r="13611" spans="1:13" s="21" customFormat="1" x14ac:dyDescent="0.25">
      <c r="A13611" s="22" t="s">
        <v>8</v>
      </c>
      <c r="B13611" s="18" t="str">
        <f>"525315"</f>
        <v>525315</v>
      </c>
      <c r="C13611" s="19" t="s">
        <v>13375</v>
      </c>
      <c r="D13611" s="19" t="s">
        <v>29009</v>
      </c>
      <c r="E13611" s="19" t="s">
        <v>35568</v>
      </c>
      <c r="F13611" s="19" t="s">
        <v>36024</v>
      </c>
      <c r="G13611" s="18" t="str">
        <f>"54983"</f>
        <v>54983</v>
      </c>
      <c r="H13611" s="19" t="s">
        <v>35580</v>
      </c>
      <c r="I13611" s="20">
        <v>18.381</v>
      </c>
      <c r="J13611" s="44" t="s">
        <v>8</v>
      </c>
      <c r="K13611" s="23" t="s">
        <v>8</v>
      </c>
      <c r="L13611" s="23" t="s">
        <v>8</v>
      </c>
      <c r="M13611" s="23" t="s">
        <v>8</v>
      </c>
    </row>
    <row r="13612" spans="1:13" s="21" customFormat="1" x14ac:dyDescent="0.25">
      <c r="A13612" s="22" t="s">
        <v>8</v>
      </c>
      <c r="B13612" s="18" t="str">
        <f>"525316"</f>
        <v>525316</v>
      </c>
      <c r="C13612" s="19" t="s">
        <v>13376</v>
      </c>
      <c r="D13612" s="19" t="s">
        <v>29010</v>
      </c>
      <c r="E13612" s="19" t="s">
        <v>35569</v>
      </c>
      <c r="F13612" s="19" t="s">
        <v>36024</v>
      </c>
      <c r="G13612" s="18" t="str">
        <f>"54949"</f>
        <v>54949</v>
      </c>
      <c r="H13612" s="19" t="s">
        <v>35580</v>
      </c>
      <c r="I13612" s="20">
        <v>18.558</v>
      </c>
      <c r="J13612" s="44" t="s">
        <v>8</v>
      </c>
      <c r="K13612" s="23" t="s">
        <v>8</v>
      </c>
      <c r="L13612" s="23" t="s">
        <v>8</v>
      </c>
      <c r="M13612" s="23" t="s">
        <v>8</v>
      </c>
    </row>
    <row r="13613" spans="1:13" s="21" customFormat="1" x14ac:dyDescent="0.25">
      <c r="A13613" s="22" t="s">
        <v>8</v>
      </c>
      <c r="B13613" s="18" t="str">
        <f>"525317"</f>
        <v>525317</v>
      </c>
      <c r="C13613" s="19" t="s">
        <v>13377</v>
      </c>
      <c r="D13613" s="19" t="s">
        <v>29011</v>
      </c>
      <c r="E13613" s="19" t="s">
        <v>35570</v>
      </c>
      <c r="F13613" s="19" t="s">
        <v>36024</v>
      </c>
      <c r="G13613" s="18" t="str">
        <f>"53913"</f>
        <v>53913</v>
      </c>
      <c r="H13613" s="19" t="s">
        <v>36923</v>
      </c>
      <c r="I13613" s="20">
        <v>14.97</v>
      </c>
      <c r="J13613" s="44" t="s">
        <v>8</v>
      </c>
      <c r="K13613" s="23" t="s">
        <v>8</v>
      </c>
      <c r="L13613" s="23" t="s">
        <v>8</v>
      </c>
      <c r="M13613" s="23" t="s">
        <v>8</v>
      </c>
    </row>
    <row r="13614" spans="1:13" s="21" customFormat="1" x14ac:dyDescent="0.25">
      <c r="A13614" s="22" t="s">
        <v>8</v>
      </c>
      <c r="B13614" s="18" t="str">
        <f>"525318"</f>
        <v>525318</v>
      </c>
      <c r="C13614" s="19" t="s">
        <v>13378</v>
      </c>
      <c r="D13614" s="19" t="s">
        <v>29012</v>
      </c>
      <c r="E13614" s="19" t="s">
        <v>35556</v>
      </c>
      <c r="F13614" s="19" t="s">
        <v>36024</v>
      </c>
      <c r="G13614" s="18" t="str">
        <f>"53143"</f>
        <v>53143</v>
      </c>
      <c r="H13614" s="19" t="s">
        <v>35556</v>
      </c>
      <c r="I13614" s="20">
        <v>17.192</v>
      </c>
      <c r="J13614" s="44" t="s">
        <v>8</v>
      </c>
      <c r="K13614" s="23" t="s">
        <v>8</v>
      </c>
      <c r="L13614" s="23" t="s">
        <v>8</v>
      </c>
      <c r="M13614" s="23" t="s">
        <v>8</v>
      </c>
    </row>
    <row r="13615" spans="1:13" s="21" customFormat="1" x14ac:dyDescent="0.25">
      <c r="A13615" s="22" t="s">
        <v>8</v>
      </c>
      <c r="B13615" s="18" t="str">
        <f>"525319"</f>
        <v>525319</v>
      </c>
      <c r="C13615" s="19" t="s">
        <v>13379</v>
      </c>
      <c r="D13615" s="19" t="s">
        <v>29013</v>
      </c>
      <c r="E13615" s="19" t="s">
        <v>35552</v>
      </c>
      <c r="F13615" s="19" t="s">
        <v>36024</v>
      </c>
      <c r="G13615" s="18" t="str">
        <f>"53202"</f>
        <v>53202</v>
      </c>
      <c r="H13615" s="19" t="s">
        <v>35552</v>
      </c>
      <c r="I13615" s="20">
        <v>17.946000000000002</v>
      </c>
      <c r="J13615" s="44" t="s">
        <v>8</v>
      </c>
      <c r="K13615" s="23" t="s">
        <v>8</v>
      </c>
      <c r="L13615" s="23" t="s">
        <v>8</v>
      </c>
      <c r="M13615" s="23" t="s">
        <v>8</v>
      </c>
    </row>
    <row r="13616" spans="1:13" s="21" customFormat="1" x14ac:dyDescent="0.25">
      <c r="A13616" s="22" t="s">
        <v>8</v>
      </c>
      <c r="B13616" s="18" t="str">
        <f>"525321"</f>
        <v>525321</v>
      </c>
      <c r="C13616" s="19" t="s">
        <v>13380</v>
      </c>
      <c r="D13616" s="19" t="s">
        <v>29014</v>
      </c>
      <c r="E13616" s="19" t="s">
        <v>35571</v>
      </c>
      <c r="F13616" s="19" t="s">
        <v>36024</v>
      </c>
      <c r="G13616" s="18" t="str">
        <f>"53573"</f>
        <v>53573</v>
      </c>
      <c r="H13616" s="19" t="s">
        <v>36078</v>
      </c>
      <c r="I13616" s="20">
        <v>17.716000000000001</v>
      </c>
      <c r="J13616" s="44" t="s">
        <v>8</v>
      </c>
      <c r="K13616" s="23" t="s">
        <v>8</v>
      </c>
      <c r="L13616" s="23" t="s">
        <v>8</v>
      </c>
      <c r="M13616" s="23" t="s">
        <v>8</v>
      </c>
    </row>
    <row r="13617" spans="1:13" s="21" customFormat="1" x14ac:dyDescent="0.25">
      <c r="A13617" s="22" t="s">
        <v>8</v>
      </c>
      <c r="B13617" s="18" t="str">
        <f>"525324"</f>
        <v>525324</v>
      </c>
      <c r="C13617" s="19" t="s">
        <v>13381</v>
      </c>
      <c r="D13617" s="19" t="s">
        <v>29015</v>
      </c>
      <c r="E13617" s="19" t="s">
        <v>35572</v>
      </c>
      <c r="F13617" s="19" t="s">
        <v>36024</v>
      </c>
      <c r="G13617" s="18" t="str">
        <f>"53115"</f>
        <v>53115</v>
      </c>
      <c r="H13617" s="19" t="s">
        <v>35694</v>
      </c>
      <c r="I13617" s="20">
        <v>16.966999999999999</v>
      </c>
      <c r="J13617" s="44" t="s">
        <v>8</v>
      </c>
      <c r="K13617" s="23" t="s">
        <v>8</v>
      </c>
      <c r="L13617" s="23" t="s">
        <v>8</v>
      </c>
      <c r="M13617" s="23" t="s">
        <v>8</v>
      </c>
    </row>
    <row r="13618" spans="1:13" s="21" customFormat="1" x14ac:dyDescent="0.25">
      <c r="A13618" s="22" t="s">
        <v>8</v>
      </c>
      <c r="B13618" s="18" t="str">
        <f>"525325"</f>
        <v>525325</v>
      </c>
      <c r="C13618" s="19" t="s">
        <v>13382</v>
      </c>
      <c r="D13618" s="19" t="s">
        <v>29016</v>
      </c>
      <c r="E13618" s="19" t="s">
        <v>35552</v>
      </c>
      <c r="F13618" s="19" t="s">
        <v>36024</v>
      </c>
      <c r="G13618" s="18" t="str">
        <f>"53223"</f>
        <v>53223</v>
      </c>
      <c r="H13618" s="19" t="s">
        <v>35552</v>
      </c>
      <c r="I13618" s="20">
        <v>16.152000000000001</v>
      </c>
      <c r="J13618" s="44" t="s">
        <v>8</v>
      </c>
      <c r="K13618" s="23" t="s">
        <v>8</v>
      </c>
      <c r="L13618" s="23" t="s">
        <v>8</v>
      </c>
      <c r="M13618" s="23" t="s">
        <v>8</v>
      </c>
    </row>
    <row r="13619" spans="1:13" s="21" customFormat="1" x14ac:dyDescent="0.25">
      <c r="A13619" s="22" t="s">
        <v>8</v>
      </c>
      <c r="B13619" s="18" t="str">
        <f>"525326"</f>
        <v>525326</v>
      </c>
      <c r="C13619" s="19" t="s">
        <v>13383</v>
      </c>
      <c r="D13619" s="19" t="s">
        <v>29017</v>
      </c>
      <c r="E13619" s="19" t="s">
        <v>35573</v>
      </c>
      <c r="F13619" s="19" t="s">
        <v>36024</v>
      </c>
      <c r="G13619" s="18" t="str">
        <f>"54452"</f>
        <v>54452</v>
      </c>
      <c r="H13619" s="19" t="s">
        <v>31995</v>
      </c>
      <c r="I13619" s="20">
        <v>16.59</v>
      </c>
      <c r="J13619" s="44" t="s">
        <v>8</v>
      </c>
      <c r="K13619" s="23" t="s">
        <v>8</v>
      </c>
      <c r="L13619" s="23" t="s">
        <v>8</v>
      </c>
      <c r="M13619" s="23" t="s">
        <v>8</v>
      </c>
    </row>
    <row r="13620" spans="1:13" s="21" customFormat="1" x14ac:dyDescent="0.25">
      <c r="A13620" s="22" t="s">
        <v>8</v>
      </c>
      <c r="B13620" s="18" t="str">
        <f>"525327"</f>
        <v>525327</v>
      </c>
      <c r="C13620" s="19" t="s">
        <v>13384</v>
      </c>
      <c r="D13620" s="19" t="s">
        <v>29018</v>
      </c>
      <c r="E13620" s="19" t="s">
        <v>32220</v>
      </c>
      <c r="F13620" s="19" t="s">
        <v>36024</v>
      </c>
      <c r="G13620" s="18" t="str">
        <f>"53228"</f>
        <v>53228</v>
      </c>
      <c r="H13620" s="19" t="s">
        <v>35552</v>
      </c>
      <c r="I13620" s="20">
        <v>16.55</v>
      </c>
      <c r="J13620" s="44" t="s">
        <v>8</v>
      </c>
      <c r="K13620" s="23" t="s">
        <v>8</v>
      </c>
      <c r="L13620" s="23" t="s">
        <v>8</v>
      </c>
      <c r="M13620" s="23" t="s">
        <v>8</v>
      </c>
    </row>
    <row r="13621" spans="1:13" s="21" customFormat="1" x14ac:dyDescent="0.25">
      <c r="A13621" s="22" t="s">
        <v>8</v>
      </c>
      <c r="B13621" s="18" t="str">
        <f>"525328"</f>
        <v>525328</v>
      </c>
      <c r="C13621" s="19" t="s">
        <v>13385</v>
      </c>
      <c r="D13621" s="19" t="s">
        <v>29019</v>
      </c>
      <c r="E13621" s="19" t="s">
        <v>30809</v>
      </c>
      <c r="F13621" s="19" t="s">
        <v>36024</v>
      </c>
      <c r="G13621" s="18" t="str">
        <f>"54806"</f>
        <v>54806</v>
      </c>
      <c r="H13621" s="19" t="s">
        <v>30809</v>
      </c>
      <c r="I13621" s="20">
        <v>18.21</v>
      </c>
      <c r="J13621" s="44" t="s">
        <v>8</v>
      </c>
      <c r="K13621" s="23" t="s">
        <v>8</v>
      </c>
      <c r="L13621" s="23" t="s">
        <v>8</v>
      </c>
      <c r="M13621" s="23" t="s">
        <v>8</v>
      </c>
    </row>
    <row r="13622" spans="1:13" s="21" customFormat="1" x14ac:dyDescent="0.25">
      <c r="A13622" s="22" t="s">
        <v>8</v>
      </c>
      <c r="B13622" s="18" t="str">
        <f>"525329"</f>
        <v>525329</v>
      </c>
      <c r="C13622" s="19" t="s">
        <v>13386</v>
      </c>
      <c r="D13622" s="19" t="s">
        <v>29020</v>
      </c>
      <c r="E13622" s="19" t="s">
        <v>35574</v>
      </c>
      <c r="F13622" s="19" t="s">
        <v>36024</v>
      </c>
      <c r="G13622" s="18" t="str">
        <f>"54470"</f>
        <v>54470</v>
      </c>
      <c r="H13622" s="19" t="s">
        <v>31080</v>
      </c>
      <c r="I13622" s="20">
        <v>18.254000000000001</v>
      </c>
      <c r="J13622" s="44" t="s">
        <v>8</v>
      </c>
      <c r="K13622" s="23" t="s">
        <v>8</v>
      </c>
      <c r="L13622" s="23" t="s">
        <v>8</v>
      </c>
      <c r="M13622" s="23" t="s">
        <v>8</v>
      </c>
    </row>
    <row r="13623" spans="1:13" s="21" customFormat="1" x14ac:dyDescent="0.25">
      <c r="A13623" s="22" t="s">
        <v>8</v>
      </c>
      <c r="B13623" s="18" t="str">
        <f>"525330"</f>
        <v>525330</v>
      </c>
      <c r="C13623" s="19" t="s">
        <v>13387</v>
      </c>
      <c r="D13623" s="19" t="s">
        <v>29021</v>
      </c>
      <c r="E13623" s="19" t="s">
        <v>35575</v>
      </c>
      <c r="F13623" s="19" t="s">
        <v>36024</v>
      </c>
      <c r="G13623" s="18" t="str">
        <f>"53562"</f>
        <v>53562</v>
      </c>
      <c r="H13623" s="19" t="s">
        <v>36925</v>
      </c>
      <c r="I13623" s="20">
        <v>18.952000000000002</v>
      </c>
      <c r="J13623" s="44" t="s">
        <v>8</v>
      </c>
      <c r="K13623" s="23" t="s">
        <v>8</v>
      </c>
      <c r="L13623" s="23" t="s">
        <v>8</v>
      </c>
      <c r="M13623" s="23" t="s">
        <v>8</v>
      </c>
    </row>
    <row r="13624" spans="1:13" s="21" customFormat="1" x14ac:dyDescent="0.25">
      <c r="A13624" s="22" t="s">
        <v>8</v>
      </c>
      <c r="B13624" s="18" t="str">
        <f>"525331"</f>
        <v>525331</v>
      </c>
      <c r="C13624" s="19" t="s">
        <v>13388</v>
      </c>
      <c r="D13624" s="19" t="s">
        <v>29022</v>
      </c>
      <c r="E13624" s="19" t="s">
        <v>35576</v>
      </c>
      <c r="F13624" s="19" t="s">
        <v>36024</v>
      </c>
      <c r="G13624" s="18" t="str">
        <f>"53572"</f>
        <v>53572</v>
      </c>
      <c r="H13624" s="19" t="s">
        <v>36925</v>
      </c>
      <c r="I13624" s="20">
        <v>19.564</v>
      </c>
      <c r="J13624" s="44" t="s">
        <v>8</v>
      </c>
      <c r="K13624" s="23" t="s">
        <v>8</v>
      </c>
      <c r="L13624" s="23" t="s">
        <v>8</v>
      </c>
      <c r="M13624" s="23" t="s">
        <v>8</v>
      </c>
    </row>
    <row r="13625" spans="1:13" s="21" customFormat="1" x14ac:dyDescent="0.25">
      <c r="A13625" s="22" t="s">
        <v>8</v>
      </c>
      <c r="B13625" s="18" t="str">
        <f>"525332"</f>
        <v>525332</v>
      </c>
      <c r="C13625" s="19" t="s">
        <v>13389</v>
      </c>
      <c r="D13625" s="19" t="s">
        <v>29023</v>
      </c>
      <c r="E13625" s="19" t="s">
        <v>35577</v>
      </c>
      <c r="F13625" s="19" t="s">
        <v>36024</v>
      </c>
      <c r="G13625" s="18" t="str">
        <f>"54487"</f>
        <v>54487</v>
      </c>
      <c r="H13625" s="19" t="s">
        <v>31995</v>
      </c>
      <c r="I13625" s="20">
        <v>18.016999999999999</v>
      </c>
      <c r="J13625" s="44" t="s">
        <v>8</v>
      </c>
      <c r="K13625" s="23" t="s">
        <v>8</v>
      </c>
      <c r="L13625" s="23" t="s">
        <v>8</v>
      </c>
      <c r="M13625" s="23" t="s">
        <v>8</v>
      </c>
    </row>
    <row r="13626" spans="1:13" s="21" customFormat="1" x14ac:dyDescent="0.25">
      <c r="A13626" s="22" t="s">
        <v>8</v>
      </c>
      <c r="B13626" s="18" t="str">
        <f>"525333"</f>
        <v>525333</v>
      </c>
      <c r="C13626" s="19" t="s">
        <v>13390</v>
      </c>
      <c r="D13626" s="19" t="s">
        <v>29024</v>
      </c>
      <c r="E13626" s="19" t="s">
        <v>31419</v>
      </c>
      <c r="F13626" s="19" t="s">
        <v>36024</v>
      </c>
      <c r="G13626" s="18" t="str">
        <f>"53098"</f>
        <v>53098</v>
      </c>
      <c r="H13626" s="19" t="s">
        <v>33824</v>
      </c>
      <c r="I13626" s="20">
        <v>20.445</v>
      </c>
      <c r="J13626" s="44" t="s">
        <v>8</v>
      </c>
      <c r="K13626" s="23" t="s">
        <v>8</v>
      </c>
      <c r="L13626" s="23" t="s">
        <v>8</v>
      </c>
      <c r="M13626" s="23" t="s">
        <v>8</v>
      </c>
    </row>
    <row r="13627" spans="1:13" s="21" customFormat="1" x14ac:dyDescent="0.25">
      <c r="A13627" s="22" t="s">
        <v>8</v>
      </c>
      <c r="B13627" s="18" t="str">
        <f>"525334"</f>
        <v>525334</v>
      </c>
      <c r="C13627" s="19" t="s">
        <v>13391</v>
      </c>
      <c r="D13627" s="19" t="s">
        <v>29025</v>
      </c>
      <c r="E13627" s="19" t="s">
        <v>35577</v>
      </c>
      <c r="F13627" s="19" t="s">
        <v>36024</v>
      </c>
      <c r="G13627" s="18" t="str">
        <f>"54487"</f>
        <v>54487</v>
      </c>
      <c r="H13627" s="19" t="s">
        <v>31995</v>
      </c>
      <c r="I13627" s="20">
        <v>19.335999999999999</v>
      </c>
      <c r="J13627" s="44" t="s">
        <v>8</v>
      </c>
      <c r="K13627" s="23" t="s">
        <v>8</v>
      </c>
      <c r="L13627" s="23" t="s">
        <v>8</v>
      </c>
      <c r="M13627" s="23" t="s">
        <v>8</v>
      </c>
    </row>
    <row r="13628" spans="1:13" s="21" customFormat="1" x14ac:dyDescent="0.25">
      <c r="A13628" s="22" t="s">
        <v>8</v>
      </c>
      <c r="B13628" s="18" t="str">
        <f>"525335"</f>
        <v>525335</v>
      </c>
      <c r="C13628" s="19" t="s">
        <v>13392</v>
      </c>
      <c r="D13628" s="19" t="s">
        <v>29026</v>
      </c>
      <c r="E13628" s="19" t="s">
        <v>35578</v>
      </c>
      <c r="F13628" s="19" t="s">
        <v>36024</v>
      </c>
      <c r="G13628" s="18" t="str">
        <f>"54166"</f>
        <v>54166</v>
      </c>
      <c r="H13628" s="19" t="s">
        <v>35578</v>
      </c>
      <c r="I13628" s="20">
        <v>17.404</v>
      </c>
      <c r="J13628" s="44" t="s">
        <v>8</v>
      </c>
      <c r="K13628" s="23" t="s">
        <v>8</v>
      </c>
      <c r="L13628" s="23" t="s">
        <v>8</v>
      </c>
      <c r="M13628" s="23" t="s">
        <v>8</v>
      </c>
    </row>
    <row r="13629" spans="1:13" s="21" customFormat="1" x14ac:dyDescent="0.25">
      <c r="A13629" s="22" t="s">
        <v>8</v>
      </c>
      <c r="B13629" s="18" t="str">
        <f>"525336"</f>
        <v>525336</v>
      </c>
      <c r="C13629" s="19" t="s">
        <v>13393</v>
      </c>
      <c r="D13629" s="19" t="s">
        <v>29027</v>
      </c>
      <c r="E13629" s="19" t="s">
        <v>35579</v>
      </c>
      <c r="F13629" s="19" t="s">
        <v>36024</v>
      </c>
      <c r="G13629" s="18" t="str">
        <f>"53014"</f>
        <v>53014</v>
      </c>
      <c r="H13629" s="19" t="s">
        <v>36930</v>
      </c>
      <c r="I13629" s="20">
        <v>18.890999999999998</v>
      </c>
      <c r="J13629" s="44" t="s">
        <v>8</v>
      </c>
      <c r="K13629" s="23" t="s">
        <v>8</v>
      </c>
      <c r="L13629" s="23" t="s">
        <v>8</v>
      </c>
      <c r="M13629" s="23" t="s">
        <v>8</v>
      </c>
    </row>
    <row r="13630" spans="1:13" s="21" customFormat="1" x14ac:dyDescent="0.25">
      <c r="A13630" s="22" t="s">
        <v>8</v>
      </c>
      <c r="B13630" s="18" t="str">
        <f>"525337"</f>
        <v>525337</v>
      </c>
      <c r="C13630" s="19" t="s">
        <v>13394</v>
      </c>
      <c r="D13630" s="19" t="s">
        <v>29028</v>
      </c>
      <c r="E13630" s="19" t="s">
        <v>31465</v>
      </c>
      <c r="F13630" s="19" t="s">
        <v>36024</v>
      </c>
      <c r="G13630" s="18" t="str">
        <f>"53073"</f>
        <v>53073</v>
      </c>
      <c r="H13630" s="19" t="s">
        <v>35625</v>
      </c>
      <c r="I13630" s="20">
        <v>18.302</v>
      </c>
      <c r="J13630" s="44" t="s">
        <v>8</v>
      </c>
      <c r="K13630" s="23" t="s">
        <v>8</v>
      </c>
      <c r="L13630" s="23" t="s">
        <v>8</v>
      </c>
      <c r="M13630" s="23" t="s">
        <v>8</v>
      </c>
    </row>
    <row r="13631" spans="1:13" s="21" customFormat="1" x14ac:dyDescent="0.25">
      <c r="A13631" s="22" t="s">
        <v>8</v>
      </c>
      <c r="B13631" s="18" t="str">
        <f>"525338"</f>
        <v>525338</v>
      </c>
      <c r="C13631" s="19" t="s">
        <v>13395</v>
      </c>
      <c r="D13631" s="19" t="s">
        <v>29029</v>
      </c>
      <c r="E13631" s="19" t="s">
        <v>32749</v>
      </c>
      <c r="F13631" s="19" t="s">
        <v>36024</v>
      </c>
      <c r="G13631" s="18" t="str">
        <f>"53916"</f>
        <v>53916</v>
      </c>
      <c r="H13631" s="19" t="s">
        <v>33824</v>
      </c>
      <c r="I13631" s="20">
        <v>20.419</v>
      </c>
      <c r="J13631" s="44" t="s">
        <v>8</v>
      </c>
      <c r="K13631" s="23" t="s">
        <v>8</v>
      </c>
      <c r="L13631" s="23" t="s">
        <v>8</v>
      </c>
      <c r="M13631" s="23" t="s">
        <v>8</v>
      </c>
    </row>
    <row r="13632" spans="1:13" s="21" customFormat="1" x14ac:dyDescent="0.25">
      <c r="A13632" s="22" t="s">
        <v>8</v>
      </c>
      <c r="B13632" s="18" t="str">
        <f>"525339"</f>
        <v>525339</v>
      </c>
      <c r="C13632" s="19" t="s">
        <v>13396</v>
      </c>
      <c r="D13632" s="19" t="s">
        <v>29030</v>
      </c>
      <c r="E13632" s="19" t="s">
        <v>35580</v>
      </c>
      <c r="F13632" s="19" t="s">
        <v>36024</v>
      </c>
      <c r="G13632" s="18" t="str">
        <f>"54981"</f>
        <v>54981</v>
      </c>
      <c r="H13632" s="19" t="s">
        <v>35580</v>
      </c>
      <c r="I13632" s="20">
        <v>18.844999999999999</v>
      </c>
      <c r="J13632" s="44" t="s">
        <v>8</v>
      </c>
      <c r="K13632" s="23" t="s">
        <v>8</v>
      </c>
      <c r="L13632" s="23" t="s">
        <v>8</v>
      </c>
      <c r="M13632" s="23" t="s">
        <v>8</v>
      </c>
    </row>
    <row r="13633" spans="1:13" s="21" customFormat="1" x14ac:dyDescent="0.25">
      <c r="A13633" s="22" t="s">
        <v>8</v>
      </c>
      <c r="B13633" s="18" t="str">
        <f>"525342"</f>
        <v>525342</v>
      </c>
      <c r="C13633" s="19" t="s">
        <v>13397</v>
      </c>
      <c r="D13633" s="19" t="s">
        <v>29031</v>
      </c>
      <c r="E13633" s="19" t="s">
        <v>35548</v>
      </c>
      <c r="F13633" s="19" t="s">
        <v>36024</v>
      </c>
      <c r="G13633" s="18" t="str">
        <f>"54303"</f>
        <v>54303</v>
      </c>
      <c r="H13633" s="19" t="s">
        <v>36244</v>
      </c>
      <c r="I13633" s="20">
        <v>18.331</v>
      </c>
      <c r="J13633" s="44" t="s">
        <v>8</v>
      </c>
      <c r="K13633" s="23" t="s">
        <v>8</v>
      </c>
      <c r="L13633" s="23" t="s">
        <v>8</v>
      </c>
      <c r="M13633" s="23" t="s">
        <v>8</v>
      </c>
    </row>
    <row r="13634" spans="1:13" s="21" customFormat="1" x14ac:dyDescent="0.25">
      <c r="A13634" s="22" t="s">
        <v>8</v>
      </c>
      <c r="B13634" s="18" t="str">
        <f>"525343"</f>
        <v>525343</v>
      </c>
      <c r="C13634" s="19" t="s">
        <v>13398</v>
      </c>
      <c r="D13634" s="19" t="s">
        <v>29032</v>
      </c>
      <c r="E13634" s="19" t="s">
        <v>35578</v>
      </c>
      <c r="F13634" s="19" t="s">
        <v>36024</v>
      </c>
      <c r="G13634" s="18" t="str">
        <f>"54166"</f>
        <v>54166</v>
      </c>
      <c r="H13634" s="19" t="s">
        <v>35578</v>
      </c>
      <c r="I13634" s="20">
        <v>18.492999999999999</v>
      </c>
      <c r="J13634" s="44" t="s">
        <v>8</v>
      </c>
      <c r="K13634" s="23" t="s">
        <v>8</v>
      </c>
      <c r="L13634" s="23" t="s">
        <v>8</v>
      </c>
      <c r="M13634" s="23" t="s">
        <v>8</v>
      </c>
    </row>
    <row r="13635" spans="1:13" s="21" customFormat="1" x14ac:dyDescent="0.25">
      <c r="A13635" s="22" t="s">
        <v>8</v>
      </c>
      <c r="B13635" s="18" t="str">
        <f>"525346"</f>
        <v>525346</v>
      </c>
      <c r="C13635" s="19" t="s">
        <v>13399</v>
      </c>
      <c r="D13635" s="19" t="s">
        <v>29033</v>
      </c>
      <c r="E13635" s="19" t="s">
        <v>35581</v>
      </c>
      <c r="F13635" s="19" t="s">
        <v>36024</v>
      </c>
      <c r="G13635" s="18" t="str">
        <f>"53191"</f>
        <v>53191</v>
      </c>
      <c r="H13635" s="19" t="s">
        <v>35694</v>
      </c>
      <c r="I13635" s="20">
        <v>20.594999999999999</v>
      </c>
      <c r="J13635" s="44" t="s">
        <v>8</v>
      </c>
      <c r="K13635" s="23" t="s">
        <v>8</v>
      </c>
      <c r="L13635" s="23" t="s">
        <v>8</v>
      </c>
      <c r="M13635" s="23" t="s">
        <v>8</v>
      </c>
    </row>
    <row r="13636" spans="1:13" s="21" customFormat="1" x14ac:dyDescent="0.25">
      <c r="A13636" s="22" t="s">
        <v>8</v>
      </c>
      <c r="B13636" s="18" t="str">
        <f>"525348"</f>
        <v>525348</v>
      </c>
      <c r="C13636" s="19" t="s">
        <v>13400</v>
      </c>
      <c r="D13636" s="19" t="s">
        <v>29034</v>
      </c>
      <c r="E13636" s="19" t="s">
        <v>35582</v>
      </c>
      <c r="F13636" s="19" t="s">
        <v>36024</v>
      </c>
      <c r="G13636" s="18" t="str">
        <f>"54929"</f>
        <v>54929</v>
      </c>
      <c r="H13636" s="19" t="s">
        <v>35580</v>
      </c>
      <c r="I13636" s="20">
        <v>18.073</v>
      </c>
      <c r="J13636" s="44" t="s">
        <v>8</v>
      </c>
      <c r="K13636" s="23" t="s">
        <v>8</v>
      </c>
      <c r="L13636" s="23" t="s">
        <v>8</v>
      </c>
      <c r="M13636" s="23" t="s">
        <v>8</v>
      </c>
    </row>
    <row r="13637" spans="1:13" s="21" customFormat="1" x14ac:dyDescent="0.25">
      <c r="A13637" s="22" t="s">
        <v>8</v>
      </c>
      <c r="B13637" s="18" t="str">
        <f>"525350"</f>
        <v>525350</v>
      </c>
      <c r="C13637" s="19" t="s">
        <v>4878</v>
      </c>
      <c r="D13637" s="19" t="s">
        <v>29035</v>
      </c>
      <c r="E13637" s="19" t="s">
        <v>32576</v>
      </c>
      <c r="F13637" s="19" t="s">
        <v>36024</v>
      </c>
      <c r="G13637" s="18" t="str">
        <f>"54421"</f>
        <v>54421</v>
      </c>
      <c r="H13637" s="19" t="s">
        <v>33967</v>
      </c>
      <c r="I13637" s="20">
        <v>18.721</v>
      </c>
      <c r="J13637" s="44" t="s">
        <v>8</v>
      </c>
      <c r="K13637" s="23" t="s">
        <v>8</v>
      </c>
      <c r="L13637" s="23" t="s">
        <v>8</v>
      </c>
      <c r="M13637" s="23" t="s">
        <v>8</v>
      </c>
    </row>
    <row r="13638" spans="1:13" s="21" customFormat="1" x14ac:dyDescent="0.25">
      <c r="A13638" s="22" t="s">
        <v>8</v>
      </c>
      <c r="B13638" s="18" t="str">
        <f>"525351"</f>
        <v>525351</v>
      </c>
      <c r="C13638" s="19" t="s">
        <v>13401</v>
      </c>
      <c r="D13638" s="19" t="s">
        <v>29036</v>
      </c>
      <c r="E13638" s="19" t="s">
        <v>35583</v>
      </c>
      <c r="F13638" s="19" t="s">
        <v>36024</v>
      </c>
      <c r="G13638" s="18" t="str">
        <f>"53934"</f>
        <v>53934</v>
      </c>
      <c r="H13638" s="19" t="s">
        <v>33467</v>
      </c>
      <c r="I13638" s="20">
        <v>16.177</v>
      </c>
      <c r="J13638" s="44" t="s">
        <v>8</v>
      </c>
      <c r="K13638" s="23" t="s">
        <v>8</v>
      </c>
      <c r="L13638" s="23" t="s">
        <v>8</v>
      </c>
      <c r="M13638" s="23" t="s">
        <v>8</v>
      </c>
    </row>
    <row r="13639" spans="1:13" s="21" customFormat="1" x14ac:dyDescent="0.25">
      <c r="A13639" s="22" t="s">
        <v>8</v>
      </c>
      <c r="B13639" s="18" t="str">
        <f>"525352"</f>
        <v>525352</v>
      </c>
      <c r="C13639" s="19" t="s">
        <v>13402</v>
      </c>
      <c r="D13639" s="19" t="s">
        <v>29037</v>
      </c>
      <c r="E13639" s="19" t="s">
        <v>31184</v>
      </c>
      <c r="F13639" s="19" t="s">
        <v>36024</v>
      </c>
      <c r="G13639" s="18" t="str">
        <f>"53813"</f>
        <v>53813</v>
      </c>
      <c r="H13639" s="19" t="s">
        <v>36078</v>
      </c>
      <c r="I13639" s="20">
        <v>18.478000000000002</v>
      </c>
      <c r="J13639" s="44" t="s">
        <v>8</v>
      </c>
      <c r="K13639" s="23" t="s">
        <v>8</v>
      </c>
      <c r="L13639" s="23" t="s">
        <v>8</v>
      </c>
      <c r="M13639" s="23" t="s">
        <v>8</v>
      </c>
    </row>
    <row r="13640" spans="1:13" s="21" customFormat="1" x14ac:dyDescent="0.25">
      <c r="A13640" s="22" t="s">
        <v>8</v>
      </c>
      <c r="B13640" s="18" t="str">
        <f>"525353"</f>
        <v>525353</v>
      </c>
      <c r="C13640" s="19" t="s">
        <v>13403</v>
      </c>
      <c r="D13640" s="19" t="s">
        <v>29038</v>
      </c>
      <c r="E13640" s="19" t="s">
        <v>35584</v>
      </c>
      <c r="F13640" s="19" t="s">
        <v>36024</v>
      </c>
      <c r="G13640" s="18" t="str">
        <f>"54481"</f>
        <v>54481</v>
      </c>
      <c r="H13640" s="19" t="s">
        <v>32230</v>
      </c>
      <c r="I13640" s="20">
        <v>17.878</v>
      </c>
      <c r="J13640" s="44" t="s">
        <v>8</v>
      </c>
      <c r="K13640" s="23" t="s">
        <v>8</v>
      </c>
      <c r="L13640" s="23" t="s">
        <v>8</v>
      </c>
      <c r="M13640" s="23" t="s">
        <v>8</v>
      </c>
    </row>
    <row r="13641" spans="1:13" s="21" customFormat="1" x14ac:dyDescent="0.25">
      <c r="A13641" s="22" t="s">
        <v>8</v>
      </c>
      <c r="B13641" s="18" t="str">
        <f>"525354"</f>
        <v>525354</v>
      </c>
      <c r="C13641" s="19" t="s">
        <v>13404</v>
      </c>
      <c r="D13641" s="19" t="s">
        <v>29039</v>
      </c>
      <c r="E13641" s="19" t="s">
        <v>35585</v>
      </c>
      <c r="F13641" s="19" t="s">
        <v>36024</v>
      </c>
      <c r="G13641" s="18" t="str">
        <f>"53565"</f>
        <v>53565</v>
      </c>
      <c r="H13641" s="19" t="s">
        <v>36288</v>
      </c>
      <c r="I13641" s="20">
        <v>17.29</v>
      </c>
      <c r="J13641" s="44" t="s">
        <v>8</v>
      </c>
      <c r="K13641" s="23" t="s">
        <v>8</v>
      </c>
      <c r="L13641" s="23" t="s">
        <v>8</v>
      </c>
      <c r="M13641" s="23" t="s">
        <v>8</v>
      </c>
    </row>
    <row r="13642" spans="1:13" s="21" customFormat="1" x14ac:dyDescent="0.25">
      <c r="A13642" s="22" t="s">
        <v>8</v>
      </c>
      <c r="B13642" s="18" t="str">
        <f>"525355"</f>
        <v>525355</v>
      </c>
      <c r="C13642" s="19" t="s">
        <v>13405</v>
      </c>
      <c r="D13642" s="19" t="s">
        <v>29040</v>
      </c>
      <c r="E13642" s="19" t="s">
        <v>33068</v>
      </c>
      <c r="F13642" s="19" t="s">
        <v>36024</v>
      </c>
      <c r="G13642" s="18" t="str">
        <f>"53956"</f>
        <v>53956</v>
      </c>
      <c r="H13642" s="19" t="s">
        <v>33824</v>
      </c>
      <c r="I13642" s="20">
        <v>19.466000000000001</v>
      </c>
      <c r="J13642" s="44" t="s">
        <v>8</v>
      </c>
      <c r="K13642" s="23" t="s">
        <v>8</v>
      </c>
      <c r="L13642" s="23" t="s">
        <v>8</v>
      </c>
      <c r="M13642" s="23" t="s">
        <v>8</v>
      </c>
    </row>
    <row r="13643" spans="1:13" s="21" customFormat="1" x14ac:dyDescent="0.25">
      <c r="A13643" s="22" t="s">
        <v>8</v>
      </c>
      <c r="B13643" s="18" t="str">
        <f>"525357"</f>
        <v>525357</v>
      </c>
      <c r="C13643" s="19" t="s">
        <v>13406</v>
      </c>
      <c r="D13643" s="19" t="s">
        <v>29041</v>
      </c>
      <c r="E13643" s="19" t="s">
        <v>35586</v>
      </c>
      <c r="F13643" s="19" t="s">
        <v>36024</v>
      </c>
      <c r="G13643" s="18" t="str">
        <f>"54216"</f>
        <v>54216</v>
      </c>
      <c r="H13643" s="19" t="s">
        <v>35586</v>
      </c>
      <c r="I13643" s="20">
        <v>17.484000000000002</v>
      </c>
      <c r="J13643" s="44" t="s">
        <v>8</v>
      </c>
      <c r="K13643" s="23" t="s">
        <v>8</v>
      </c>
      <c r="L13643" s="23" t="s">
        <v>8</v>
      </c>
      <c r="M13643" s="23" t="s">
        <v>8</v>
      </c>
    </row>
    <row r="13644" spans="1:13" s="21" customFormat="1" x14ac:dyDescent="0.25">
      <c r="A13644" s="22" t="s">
        <v>8</v>
      </c>
      <c r="B13644" s="18" t="str">
        <f>"525358"</f>
        <v>525358</v>
      </c>
      <c r="C13644" s="19" t="s">
        <v>13407</v>
      </c>
      <c r="D13644" s="19" t="s">
        <v>29042</v>
      </c>
      <c r="E13644" s="19" t="s">
        <v>30829</v>
      </c>
      <c r="F13644" s="19" t="s">
        <v>36024</v>
      </c>
      <c r="G13644" s="18" t="str">
        <f>"54121"</f>
        <v>54121</v>
      </c>
      <c r="H13644" s="19" t="s">
        <v>30829</v>
      </c>
      <c r="I13644" s="20">
        <v>19.353999999999999</v>
      </c>
      <c r="J13644" s="44" t="s">
        <v>8</v>
      </c>
      <c r="K13644" s="23" t="s">
        <v>8</v>
      </c>
      <c r="L13644" s="23" t="s">
        <v>8</v>
      </c>
      <c r="M13644" s="23" t="s">
        <v>8</v>
      </c>
    </row>
    <row r="13645" spans="1:13" s="21" customFormat="1" x14ac:dyDescent="0.25">
      <c r="A13645" s="22" t="s">
        <v>8</v>
      </c>
      <c r="B13645" s="18" t="str">
        <f>"525359"</f>
        <v>525359</v>
      </c>
      <c r="C13645" s="19" t="s">
        <v>13408</v>
      </c>
      <c r="D13645" s="19" t="s">
        <v>29043</v>
      </c>
      <c r="E13645" s="19" t="s">
        <v>35552</v>
      </c>
      <c r="F13645" s="19" t="s">
        <v>36024</v>
      </c>
      <c r="G13645" s="18" t="str">
        <f>"53221"</f>
        <v>53221</v>
      </c>
      <c r="H13645" s="19" t="s">
        <v>35552</v>
      </c>
      <c r="I13645" s="20">
        <v>17.614000000000001</v>
      </c>
      <c r="J13645" s="44" t="s">
        <v>8</v>
      </c>
      <c r="K13645" s="23" t="s">
        <v>8</v>
      </c>
      <c r="L13645" s="23" t="s">
        <v>8</v>
      </c>
      <c r="M13645" s="23" t="s">
        <v>8</v>
      </c>
    </row>
    <row r="13646" spans="1:13" s="21" customFormat="1" x14ac:dyDescent="0.25">
      <c r="A13646" s="22" t="s">
        <v>8</v>
      </c>
      <c r="B13646" s="18" t="str">
        <f>"525360"</f>
        <v>525360</v>
      </c>
      <c r="C13646" s="19" t="s">
        <v>13409</v>
      </c>
      <c r="D13646" s="19" t="s">
        <v>29044</v>
      </c>
      <c r="E13646" s="19" t="s">
        <v>35587</v>
      </c>
      <c r="F13646" s="19" t="s">
        <v>36024</v>
      </c>
      <c r="G13646" s="18" t="str">
        <f>"54410"</f>
        <v>54410</v>
      </c>
      <c r="H13646" s="19" t="s">
        <v>36673</v>
      </c>
      <c r="I13646" s="20">
        <v>21.033000000000001</v>
      </c>
      <c r="J13646" s="44" t="s">
        <v>8</v>
      </c>
      <c r="K13646" s="23" t="s">
        <v>8</v>
      </c>
      <c r="L13646" s="23" t="s">
        <v>8</v>
      </c>
      <c r="M13646" s="23" t="s">
        <v>8</v>
      </c>
    </row>
    <row r="13647" spans="1:13" s="21" customFormat="1" x14ac:dyDescent="0.25">
      <c r="A13647" s="22" t="s">
        <v>8</v>
      </c>
      <c r="B13647" s="18" t="str">
        <f>"525362"</f>
        <v>525362</v>
      </c>
      <c r="C13647" s="19" t="s">
        <v>13410</v>
      </c>
      <c r="D13647" s="19" t="s">
        <v>29045</v>
      </c>
      <c r="E13647" s="19" t="s">
        <v>35045</v>
      </c>
      <c r="F13647" s="19" t="s">
        <v>36024</v>
      </c>
      <c r="G13647" s="18" t="str">
        <f>"53530"</f>
        <v>53530</v>
      </c>
      <c r="H13647" s="19" t="s">
        <v>30892</v>
      </c>
      <c r="I13647" s="20">
        <v>17.690999999999999</v>
      </c>
      <c r="J13647" s="44" t="s">
        <v>8</v>
      </c>
      <c r="K13647" s="23" t="s">
        <v>8</v>
      </c>
      <c r="L13647" s="23" t="s">
        <v>8</v>
      </c>
      <c r="M13647" s="23" t="s">
        <v>8</v>
      </c>
    </row>
    <row r="13648" spans="1:13" s="21" customFormat="1" x14ac:dyDescent="0.25">
      <c r="A13648" s="22" t="s">
        <v>8</v>
      </c>
      <c r="B13648" s="18" t="str">
        <f>"525363"</f>
        <v>525363</v>
      </c>
      <c r="C13648" s="19" t="s">
        <v>13411</v>
      </c>
      <c r="D13648" s="19" t="s">
        <v>29046</v>
      </c>
      <c r="E13648" s="19" t="s">
        <v>35588</v>
      </c>
      <c r="F13648" s="19" t="s">
        <v>36024</v>
      </c>
      <c r="G13648" s="18" t="str">
        <f>"54174"</f>
        <v>54174</v>
      </c>
      <c r="H13648" s="19" t="s">
        <v>35690</v>
      </c>
      <c r="I13648" s="20">
        <v>19.364000000000001</v>
      </c>
      <c r="J13648" s="44" t="s">
        <v>8</v>
      </c>
      <c r="K13648" s="23" t="s">
        <v>8</v>
      </c>
      <c r="L13648" s="23" t="s">
        <v>8</v>
      </c>
      <c r="M13648" s="23" t="s">
        <v>8</v>
      </c>
    </row>
    <row r="13649" spans="1:13" s="21" customFormat="1" x14ac:dyDescent="0.25">
      <c r="A13649" s="22" t="s">
        <v>8</v>
      </c>
      <c r="B13649" s="18" t="str">
        <f>"525364"</f>
        <v>525364</v>
      </c>
      <c r="C13649" s="19" t="s">
        <v>13412</v>
      </c>
      <c r="D13649" s="19" t="s">
        <v>29047</v>
      </c>
      <c r="E13649" s="19" t="s">
        <v>35589</v>
      </c>
      <c r="F13649" s="19" t="s">
        <v>36024</v>
      </c>
      <c r="G13649" s="18" t="str">
        <f>"54701"</f>
        <v>54701</v>
      </c>
      <c r="H13649" s="19" t="s">
        <v>35589</v>
      </c>
      <c r="I13649" s="20">
        <v>18.8</v>
      </c>
      <c r="J13649" s="44" t="s">
        <v>8</v>
      </c>
      <c r="K13649" s="23" t="s">
        <v>8</v>
      </c>
      <c r="L13649" s="23" t="s">
        <v>8</v>
      </c>
      <c r="M13649" s="23" t="s">
        <v>8</v>
      </c>
    </row>
    <row r="13650" spans="1:13" s="21" customFormat="1" x14ac:dyDescent="0.25">
      <c r="A13650" s="22" t="s">
        <v>8</v>
      </c>
      <c r="B13650" s="18" t="str">
        <f>"525365"</f>
        <v>525365</v>
      </c>
      <c r="C13650" s="19" t="s">
        <v>13413</v>
      </c>
      <c r="D13650" s="19" t="s">
        <v>29048</v>
      </c>
      <c r="E13650" s="19" t="s">
        <v>35590</v>
      </c>
      <c r="F13650" s="19" t="s">
        <v>36024</v>
      </c>
      <c r="G13650" s="18" t="str">
        <f>"53581"</f>
        <v>53581</v>
      </c>
      <c r="H13650" s="19" t="s">
        <v>31785</v>
      </c>
      <c r="I13650" s="20">
        <v>17.119</v>
      </c>
      <c r="J13650" s="44" t="s">
        <v>8</v>
      </c>
      <c r="K13650" s="23" t="s">
        <v>8</v>
      </c>
      <c r="L13650" s="23" t="s">
        <v>8</v>
      </c>
      <c r="M13650" s="23" t="s">
        <v>8</v>
      </c>
    </row>
    <row r="13651" spans="1:13" s="21" customFormat="1" x14ac:dyDescent="0.25">
      <c r="A13651" s="22" t="s">
        <v>8</v>
      </c>
      <c r="B13651" s="18" t="str">
        <f>"525367"</f>
        <v>525367</v>
      </c>
      <c r="C13651" s="19" t="s">
        <v>13414</v>
      </c>
      <c r="D13651" s="19" t="s">
        <v>29049</v>
      </c>
      <c r="E13651" s="19" t="s">
        <v>35552</v>
      </c>
      <c r="F13651" s="19" t="s">
        <v>36024</v>
      </c>
      <c r="G13651" s="18" t="str">
        <f>"53225"</f>
        <v>53225</v>
      </c>
      <c r="H13651" s="19" t="s">
        <v>35552</v>
      </c>
      <c r="I13651" s="20">
        <v>18.742000000000001</v>
      </c>
      <c r="J13651" s="44" t="s">
        <v>8</v>
      </c>
      <c r="K13651" s="23" t="s">
        <v>8</v>
      </c>
      <c r="L13651" s="23" t="s">
        <v>8</v>
      </c>
      <c r="M13651" s="23" t="s">
        <v>8</v>
      </c>
    </row>
    <row r="13652" spans="1:13" s="21" customFormat="1" x14ac:dyDescent="0.25">
      <c r="A13652" s="22" t="s">
        <v>8</v>
      </c>
      <c r="B13652" s="18" t="str">
        <f>"525369"</f>
        <v>525369</v>
      </c>
      <c r="C13652" s="19" t="s">
        <v>13415</v>
      </c>
      <c r="D13652" s="19" t="s">
        <v>29050</v>
      </c>
      <c r="E13652" s="19" t="s">
        <v>35557</v>
      </c>
      <c r="F13652" s="19" t="s">
        <v>36024</v>
      </c>
      <c r="G13652" s="18" t="str">
        <f>"54401"</f>
        <v>54401</v>
      </c>
      <c r="H13652" s="19" t="s">
        <v>36926</v>
      </c>
      <c r="I13652" s="20">
        <v>20.635999999999999</v>
      </c>
      <c r="J13652" s="44" t="s">
        <v>8</v>
      </c>
      <c r="K13652" s="23" t="s">
        <v>8</v>
      </c>
      <c r="L13652" s="23" t="s">
        <v>8</v>
      </c>
      <c r="M13652" s="23" t="s">
        <v>8</v>
      </c>
    </row>
    <row r="13653" spans="1:13" s="21" customFormat="1" x14ac:dyDescent="0.25">
      <c r="A13653" s="22" t="s">
        <v>8</v>
      </c>
      <c r="B13653" s="18" t="str">
        <f>"525370"</f>
        <v>525370</v>
      </c>
      <c r="C13653" s="19" t="s">
        <v>13416</v>
      </c>
      <c r="D13653" s="19" t="s">
        <v>29051</v>
      </c>
      <c r="E13653" s="19" t="s">
        <v>33806</v>
      </c>
      <c r="F13653" s="19" t="s">
        <v>36024</v>
      </c>
      <c r="G13653" s="18" t="str">
        <f>"54880"</f>
        <v>54880</v>
      </c>
      <c r="H13653" s="19" t="s">
        <v>30966</v>
      </c>
      <c r="I13653" s="20">
        <v>17.503</v>
      </c>
      <c r="J13653" s="44" t="s">
        <v>8</v>
      </c>
      <c r="K13653" s="23" t="s">
        <v>8</v>
      </c>
      <c r="L13653" s="23" t="s">
        <v>8</v>
      </c>
      <c r="M13653" s="23" t="s">
        <v>8</v>
      </c>
    </row>
    <row r="13654" spans="1:13" s="21" customFormat="1" x14ac:dyDescent="0.25">
      <c r="A13654" s="22" t="s">
        <v>8</v>
      </c>
      <c r="B13654" s="18" t="str">
        <f>"525371"</f>
        <v>525371</v>
      </c>
      <c r="C13654" s="19" t="s">
        <v>13417</v>
      </c>
      <c r="D13654" s="19" t="s">
        <v>29052</v>
      </c>
      <c r="E13654" s="19" t="s">
        <v>30946</v>
      </c>
      <c r="F13654" s="19" t="s">
        <v>36024</v>
      </c>
      <c r="G13654" s="18" t="str">
        <f>"53209"</f>
        <v>53209</v>
      </c>
      <c r="H13654" s="19" t="s">
        <v>35552</v>
      </c>
      <c r="I13654" s="20">
        <v>17.018000000000001</v>
      </c>
      <c r="J13654" s="44" t="s">
        <v>8</v>
      </c>
      <c r="K13654" s="23" t="s">
        <v>8</v>
      </c>
      <c r="L13654" s="23" t="s">
        <v>8</v>
      </c>
      <c r="M13654" s="23" t="s">
        <v>8</v>
      </c>
    </row>
    <row r="13655" spans="1:13" s="21" customFormat="1" x14ac:dyDescent="0.25">
      <c r="A13655" s="22" t="s">
        <v>8</v>
      </c>
      <c r="B13655" s="18" t="str">
        <f>"525372"</f>
        <v>525372</v>
      </c>
      <c r="C13655" s="19" t="s">
        <v>13418</v>
      </c>
      <c r="D13655" s="19" t="s">
        <v>29053</v>
      </c>
      <c r="E13655" s="19" t="s">
        <v>35591</v>
      </c>
      <c r="F13655" s="19" t="s">
        <v>36024</v>
      </c>
      <c r="G13655" s="18" t="str">
        <f>"53969"</f>
        <v>53969</v>
      </c>
      <c r="H13655" s="19" t="s">
        <v>32076</v>
      </c>
      <c r="I13655" s="20">
        <v>20.704000000000001</v>
      </c>
      <c r="J13655" s="44" t="s">
        <v>8</v>
      </c>
      <c r="K13655" s="23" t="s">
        <v>8</v>
      </c>
      <c r="L13655" s="23" t="s">
        <v>8</v>
      </c>
      <c r="M13655" s="23" t="s">
        <v>8</v>
      </c>
    </row>
    <row r="13656" spans="1:13" s="21" customFormat="1" x14ac:dyDescent="0.25">
      <c r="A13656" s="22" t="s">
        <v>8</v>
      </c>
      <c r="B13656" s="18" t="str">
        <f>"525373"</f>
        <v>525373</v>
      </c>
      <c r="C13656" s="19" t="s">
        <v>13419</v>
      </c>
      <c r="D13656" s="19" t="s">
        <v>29054</v>
      </c>
      <c r="E13656" s="19" t="s">
        <v>35592</v>
      </c>
      <c r="F13656" s="19" t="s">
        <v>36024</v>
      </c>
      <c r="G13656" s="18" t="str">
        <f>"53805"</f>
        <v>53805</v>
      </c>
      <c r="H13656" s="19" t="s">
        <v>36078</v>
      </c>
      <c r="I13656" s="20">
        <v>18.454999999999998</v>
      </c>
      <c r="J13656" s="44" t="s">
        <v>8</v>
      </c>
      <c r="K13656" s="23" t="s">
        <v>8</v>
      </c>
      <c r="L13656" s="23" t="s">
        <v>8</v>
      </c>
      <c r="M13656" s="23" t="s">
        <v>8</v>
      </c>
    </row>
    <row r="13657" spans="1:13" s="21" customFormat="1" x14ac:dyDescent="0.25">
      <c r="A13657" s="22" t="s">
        <v>8</v>
      </c>
      <c r="B13657" s="18" t="str">
        <f>"525374"</f>
        <v>525374</v>
      </c>
      <c r="C13657" s="19" t="s">
        <v>1006</v>
      </c>
      <c r="D13657" s="19" t="s">
        <v>29055</v>
      </c>
      <c r="E13657" s="19" t="s">
        <v>35593</v>
      </c>
      <c r="F13657" s="19" t="s">
        <v>36024</v>
      </c>
      <c r="G13657" s="18" t="str">
        <f>"54868"</f>
        <v>54868</v>
      </c>
      <c r="H13657" s="19" t="s">
        <v>35681</v>
      </c>
      <c r="I13657" s="20">
        <v>19.167000000000002</v>
      </c>
      <c r="J13657" s="44" t="s">
        <v>8</v>
      </c>
      <c r="K13657" s="23" t="s">
        <v>8</v>
      </c>
      <c r="L13657" s="23" t="s">
        <v>8</v>
      </c>
      <c r="M13657" s="23" t="s">
        <v>8</v>
      </c>
    </row>
    <row r="13658" spans="1:13" s="21" customFormat="1" x14ac:dyDescent="0.25">
      <c r="A13658" s="22" t="s">
        <v>8</v>
      </c>
      <c r="B13658" s="18" t="str">
        <f>"525375"</f>
        <v>525375</v>
      </c>
      <c r="C13658" s="19" t="s">
        <v>13420</v>
      </c>
      <c r="D13658" s="19" t="s">
        <v>29056</v>
      </c>
      <c r="E13658" s="19" t="s">
        <v>30899</v>
      </c>
      <c r="F13658" s="19" t="s">
        <v>36024</v>
      </c>
      <c r="G13658" s="18" t="str">
        <f>"53705"</f>
        <v>53705</v>
      </c>
      <c r="H13658" s="19" t="s">
        <v>36925</v>
      </c>
      <c r="I13658" s="20">
        <v>20.968</v>
      </c>
      <c r="J13658" s="44" t="s">
        <v>8</v>
      </c>
      <c r="K13658" s="23" t="s">
        <v>8</v>
      </c>
      <c r="L13658" s="23" t="s">
        <v>8</v>
      </c>
      <c r="M13658" s="23" t="s">
        <v>8</v>
      </c>
    </row>
    <row r="13659" spans="1:13" s="21" customFormat="1" x14ac:dyDescent="0.25">
      <c r="A13659" s="22" t="s">
        <v>8</v>
      </c>
      <c r="B13659" s="18" t="str">
        <f>"525376"</f>
        <v>525376</v>
      </c>
      <c r="C13659" s="19" t="s">
        <v>13421</v>
      </c>
      <c r="D13659" s="19" t="s">
        <v>29057</v>
      </c>
      <c r="E13659" s="19" t="s">
        <v>35594</v>
      </c>
      <c r="F13659" s="19" t="s">
        <v>36024</v>
      </c>
      <c r="G13659" s="18" t="str">
        <f>"53533"</f>
        <v>53533</v>
      </c>
      <c r="H13659" s="19" t="s">
        <v>36288</v>
      </c>
      <c r="I13659" s="20">
        <v>16.170999999999999</v>
      </c>
      <c r="J13659" s="44" t="s">
        <v>8</v>
      </c>
      <c r="K13659" s="23" t="s">
        <v>8</v>
      </c>
      <c r="L13659" s="23" t="s">
        <v>8</v>
      </c>
      <c r="M13659" s="23" t="s">
        <v>8</v>
      </c>
    </row>
    <row r="13660" spans="1:13" s="21" customFormat="1" x14ac:dyDescent="0.25">
      <c r="A13660" s="22" t="s">
        <v>8</v>
      </c>
      <c r="B13660" s="18" t="str">
        <f>"525377"</f>
        <v>525377</v>
      </c>
      <c r="C13660" s="19" t="s">
        <v>13422</v>
      </c>
      <c r="D13660" s="19" t="s">
        <v>29058</v>
      </c>
      <c r="E13660" s="19" t="s">
        <v>35566</v>
      </c>
      <c r="F13660" s="19" t="s">
        <v>36024</v>
      </c>
      <c r="G13660" s="18" t="str">
        <f>"54235"</f>
        <v>54235</v>
      </c>
      <c r="H13660" s="19" t="s">
        <v>36929</v>
      </c>
      <c r="I13660" s="20">
        <v>19.495999999999999</v>
      </c>
      <c r="J13660" s="44" t="s">
        <v>8</v>
      </c>
      <c r="K13660" s="23" t="s">
        <v>8</v>
      </c>
      <c r="L13660" s="23" t="s">
        <v>8</v>
      </c>
      <c r="M13660" s="23" t="s">
        <v>8</v>
      </c>
    </row>
    <row r="13661" spans="1:13" s="21" customFormat="1" x14ac:dyDescent="0.25">
      <c r="A13661" s="22" t="s">
        <v>8</v>
      </c>
      <c r="B13661" s="18" t="str">
        <f>"525379"</f>
        <v>525379</v>
      </c>
      <c r="C13661" s="19" t="s">
        <v>13423</v>
      </c>
      <c r="D13661" s="19" t="s">
        <v>29059</v>
      </c>
      <c r="E13661" s="19" t="s">
        <v>35595</v>
      </c>
      <c r="F13661" s="19" t="s">
        <v>36024</v>
      </c>
      <c r="G13661" s="18" t="str">
        <f>"54729"</f>
        <v>54729</v>
      </c>
      <c r="H13661" s="19" t="s">
        <v>36439</v>
      </c>
      <c r="I13661" s="20">
        <v>15.599</v>
      </c>
      <c r="J13661" s="44" t="s">
        <v>8</v>
      </c>
      <c r="K13661" s="23" t="s">
        <v>8</v>
      </c>
      <c r="L13661" s="23" t="s">
        <v>8</v>
      </c>
      <c r="M13661" s="23" t="s">
        <v>8</v>
      </c>
    </row>
    <row r="13662" spans="1:13" s="21" customFormat="1" x14ac:dyDescent="0.25">
      <c r="A13662" s="22" t="s">
        <v>8</v>
      </c>
      <c r="B13662" s="18" t="str">
        <f>"525380"</f>
        <v>525380</v>
      </c>
      <c r="C13662" s="19" t="s">
        <v>13424</v>
      </c>
      <c r="D13662" s="19" t="s">
        <v>29060</v>
      </c>
      <c r="E13662" s="19" t="s">
        <v>35567</v>
      </c>
      <c r="F13662" s="19" t="s">
        <v>36024</v>
      </c>
      <c r="G13662" s="18" t="str">
        <f>"53590"</f>
        <v>53590</v>
      </c>
      <c r="H13662" s="19" t="s">
        <v>36925</v>
      </c>
      <c r="I13662" s="20">
        <v>18.765999999999998</v>
      </c>
      <c r="J13662" s="44" t="s">
        <v>8</v>
      </c>
      <c r="K13662" s="23" t="s">
        <v>8</v>
      </c>
      <c r="L13662" s="23" t="s">
        <v>8</v>
      </c>
      <c r="M13662" s="23" t="s">
        <v>8</v>
      </c>
    </row>
    <row r="13663" spans="1:13" s="21" customFormat="1" x14ac:dyDescent="0.25">
      <c r="A13663" s="22" t="s">
        <v>8</v>
      </c>
      <c r="B13663" s="18" t="str">
        <f>"525381"</f>
        <v>525381</v>
      </c>
      <c r="C13663" s="19" t="s">
        <v>13425</v>
      </c>
      <c r="D13663" s="19" t="s">
        <v>29061</v>
      </c>
      <c r="E13663" s="19" t="s">
        <v>32019</v>
      </c>
      <c r="F13663" s="19" t="s">
        <v>36024</v>
      </c>
      <c r="G13663" s="18" t="str">
        <f>"54736"</f>
        <v>54736</v>
      </c>
      <c r="H13663" s="19" t="s">
        <v>35659</v>
      </c>
      <c r="I13663" s="20">
        <v>18.863</v>
      </c>
      <c r="J13663" s="44" t="s">
        <v>8</v>
      </c>
      <c r="K13663" s="23" t="s">
        <v>8</v>
      </c>
      <c r="L13663" s="23" t="s">
        <v>8</v>
      </c>
      <c r="M13663" s="23" t="s">
        <v>8</v>
      </c>
    </row>
    <row r="13664" spans="1:13" s="21" customFormat="1" x14ac:dyDescent="0.25">
      <c r="A13664" s="22" t="s">
        <v>8</v>
      </c>
      <c r="B13664" s="18" t="str">
        <f>"525382"</f>
        <v>525382</v>
      </c>
      <c r="C13664" s="19" t="s">
        <v>5864</v>
      </c>
      <c r="D13664" s="19" t="s">
        <v>29062</v>
      </c>
      <c r="E13664" s="19" t="s">
        <v>35596</v>
      </c>
      <c r="F13664" s="19" t="s">
        <v>36024</v>
      </c>
      <c r="G13664" s="18" t="str">
        <f>"53226"</f>
        <v>53226</v>
      </c>
      <c r="H13664" s="19" t="s">
        <v>35552</v>
      </c>
      <c r="I13664" s="20">
        <v>17.547999999999998</v>
      </c>
      <c r="J13664" s="44" t="s">
        <v>8</v>
      </c>
      <c r="K13664" s="23" t="s">
        <v>8</v>
      </c>
      <c r="L13664" s="23" t="s">
        <v>8</v>
      </c>
      <c r="M13664" s="23" t="s">
        <v>8</v>
      </c>
    </row>
    <row r="13665" spans="1:13" s="21" customFormat="1" x14ac:dyDescent="0.25">
      <c r="A13665" s="22" t="s">
        <v>8</v>
      </c>
      <c r="B13665" s="18" t="str">
        <f>"525383"</f>
        <v>525383</v>
      </c>
      <c r="C13665" s="19" t="s">
        <v>13426</v>
      </c>
      <c r="D13665" s="19" t="s">
        <v>29063</v>
      </c>
      <c r="E13665" s="19" t="s">
        <v>35597</v>
      </c>
      <c r="F13665" s="19" t="s">
        <v>36024</v>
      </c>
      <c r="G13665" s="18" t="str">
        <f>"54755"</f>
        <v>54755</v>
      </c>
      <c r="H13665" s="19" t="s">
        <v>33453</v>
      </c>
      <c r="I13665" s="20">
        <v>18.161999999999999</v>
      </c>
      <c r="J13665" s="44" t="s">
        <v>8</v>
      </c>
      <c r="K13665" s="23" t="s">
        <v>8</v>
      </c>
      <c r="L13665" s="23" t="s">
        <v>8</v>
      </c>
      <c r="M13665" s="23" t="s">
        <v>8</v>
      </c>
    </row>
    <row r="13666" spans="1:13" s="21" customFormat="1" x14ac:dyDescent="0.25">
      <c r="A13666" s="22" t="s">
        <v>8</v>
      </c>
      <c r="B13666" s="18" t="str">
        <f>"525385"</f>
        <v>525385</v>
      </c>
      <c r="C13666" s="19" t="s">
        <v>13427</v>
      </c>
      <c r="D13666" s="19" t="s">
        <v>29064</v>
      </c>
      <c r="E13666" s="19" t="s">
        <v>35598</v>
      </c>
      <c r="F13666" s="19" t="s">
        <v>36024</v>
      </c>
      <c r="G13666" s="18" t="str">
        <f>"54022"</f>
        <v>54022</v>
      </c>
      <c r="H13666" s="19" t="s">
        <v>33791</v>
      </c>
      <c r="I13666" s="20">
        <v>17.568000000000001</v>
      </c>
      <c r="J13666" s="44" t="s">
        <v>8</v>
      </c>
      <c r="K13666" s="23" t="s">
        <v>8</v>
      </c>
      <c r="L13666" s="23" t="s">
        <v>8</v>
      </c>
      <c r="M13666" s="23" t="s">
        <v>8</v>
      </c>
    </row>
    <row r="13667" spans="1:13" s="21" customFormat="1" x14ac:dyDescent="0.25">
      <c r="A13667" s="22" t="s">
        <v>8</v>
      </c>
      <c r="B13667" s="18" t="str">
        <f>"525386"</f>
        <v>525386</v>
      </c>
      <c r="C13667" s="19" t="s">
        <v>13428</v>
      </c>
      <c r="D13667" s="19" t="s">
        <v>29065</v>
      </c>
      <c r="E13667" s="19" t="s">
        <v>30809</v>
      </c>
      <c r="F13667" s="19" t="s">
        <v>36024</v>
      </c>
      <c r="G13667" s="18" t="str">
        <f>"54806"</f>
        <v>54806</v>
      </c>
      <c r="H13667" s="19" t="s">
        <v>30809</v>
      </c>
      <c r="I13667" s="20">
        <v>21.681000000000001</v>
      </c>
      <c r="J13667" s="44" t="s">
        <v>8</v>
      </c>
      <c r="K13667" s="23" t="s">
        <v>8</v>
      </c>
      <c r="L13667" s="23" t="s">
        <v>8</v>
      </c>
      <c r="M13667" s="23" t="s">
        <v>8</v>
      </c>
    </row>
    <row r="13668" spans="1:13" s="21" customFormat="1" x14ac:dyDescent="0.25">
      <c r="A13668" s="22" t="s">
        <v>8</v>
      </c>
      <c r="B13668" s="18" t="str">
        <f>"525387"</f>
        <v>525387</v>
      </c>
      <c r="C13668" s="19" t="s">
        <v>13429</v>
      </c>
      <c r="D13668" s="19" t="s">
        <v>29066</v>
      </c>
      <c r="E13668" s="19" t="s">
        <v>35589</v>
      </c>
      <c r="F13668" s="19" t="s">
        <v>36024</v>
      </c>
      <c r="G13668" s="18" t="str">
        <f>"54703"</f>
        <v>54703</v>
      </c>
      <c r="H13668" s="19" t="s">
        <v>35589</v>
      </c>
      <c r="I13668" s="20">
        <v>19.164000000000001</v>
      </c>
      <c r="J13668" s="44" t="s">
        <v>8</v>
      </c>
      <c r="K13668" s="23" t="s">
        <v>8</v>
      </c>
      <c r="L13668" s="23" t="s">
        <v>8</v>
      </c>
      <c r="M13668" s="23" t="s">
        <v>8</v>
      </c>
    </row>
    <row r="13669" spans="1:13" s="21" customFormat="1" x14ac:dyDescent="0.25">
      <c r="A13669" s="22" t="s">
        <v>8</v>
      </c>
      <c r="B13669" s="18" t="str">
        <f>"525389"</f>
        <v>525389</v>
      </c>
      <c r="C13669" s="19" t="s">
        <v>13430</v>
      </c>
      <c r="D13669" s="19" t="s">
        <v>29067</v>
      </c>
      <c r="E13669" s="19" t="s">
        <v>35599</v>
      </c>
      <c r="F13669" s="19" t="s">
        <v>36024</v>
      </c>
      <c r="G13669" s="18" t="str">
        <f>"54220"</f>
        <v>54220</v>
      </c>
      <c r="H13669" s="19" t="s">
        <v>35599</v>
      </c>
      <c r="I13669" s="20">
        <v>18.387</v>
      </c>
      <c r="J13669" s="44" t="s">
        <v>8</v>
      </c>
      <c r="K13669" s="23" t="s">
        <v>8</v>
      </c>
      <c r="L13669" s="23" t="s">
        <v>8</v>
      </c>
      <c r="M13669" s="23" t="s">
        <v>8</v>
      </c>
    </row>
    <row r="13670" spans="1:13" s="21" customFormat="1" x14ac:dyDescent="0.25">
      <c r="A13670" s="22" t="s">
        <v>8</v>
      </c>
      <c r="B13670" s="18" t="str">
        <f>"525390"</f>
        <v>525390</v>
      </c>
      <c r="C13670" s="19" t="s">
        <v>13431</v>
      </c>
      <c r="D13670" s="19" t="s">
        <v>29068</v>
      </c>
      <c r="E13670" s="19" t="s">
        <v>33440</v>
      </c>
      <c r="F13670" s="19" t="s">
        <v>36024</v>
      </c>
      <c r="G13670" s="18" t="str">
        <f>"53547"</f>
        <v>53547</v>
      </c>
      <c r="H13670" s="19" t="s">
        <v>36480</v>
      </c>
      <c r="I13670" s="20">
        <v>20.087</v>
      </c>
      <c r="J13670" s="44" t="s">
        <v>8</v>
      </c>
      <c r="K13670" s="23" t="s">
        <v>8</v>
      </c>
      <c r="L13670" s="23" t="s">
        <v>8</v>
      </c>
      <c r="M13670" s="23" t="s">
        <v>8</v>
      </c>
    </row>
    <row r="13671" spans="1:13" s="21" customFormat="1" x14ac:dyDescent="0.25">
      <c r="A13671" s="22" t="s">
        <v>8</v>
      </c>
      <c r="B13671" s="18" t="str">
        <f>"525391"</f>
        <v>525391</v>
      </c>
      <c r="C13671" s="19" t="s">
        <v>13432</v>
      </c>
      <c r="D13671" s="19" t="s">
        <v>29069</v>
      </c>
      <c r="E13671" s="19" t="s">
        <v>35600</v>
      </c>
      <c r="F13671" s="19" t="s">
        <v>36024</v>
      </c>
      <c r="G13671" s="18" t="str">
        <f>"53965"</f>
        <v>53965</v>
      </c>
      <c r="H13671" s="19" t="s">
        <v>32076</v>
      </c>
      <c r="I13671" s="20">
        <v>20.277999999999999</v>
      </c>
      <c r="J13671" s="44" t="s">
        <v>8</v>
      </c>
      <c r="K13671" s="23" t="s">
        <v>8</v>
      </c>
      <c r="L13671" s="23" t="s">
        <v>8</v>
      </c>
      <c r="M13671" s="23" t="s">
        <v>8</v>
      </c>
    </row>
    <row r="13672" spans="1:13" s="21" customFormat="1" x14ac:dyDescent="0.25">
      <c r="A13672" s="22" t="s">
        <v>8</v>
      </c>
      <c r="B13672" s="18" t="str">
        <f>"525395"</f>
        <v>525395</v>
      </c>
      <c r="C13672" s="19" t="s">
        <v>13433</v>
      </c>
      <c r="D13672" s="19" t="s">
        <v>29070</v>
      </c>
      <c r="E13672" s="19" t="s">
        <v>35601</v>
      </c>
      <c r="F13672" s="19" t="s">
        <v>36024</v>
      </c>
      <c r="G13672" s="18" t="str">
        <f>"53807"</f>
        <v>53807</v>
      </c>
      <c r="H13672" s="19" t="s">
        <v>36078</v>
      </c>
      <c r="I13672" s="20">
        <v>17.489000000000001</v>
      </c>
      <c r="J13672" s="44" t="s">
        <v>8</v>
      </c>
      <c r="K13672" s="23" t="s">
        <v>8</v>
      </c>
      <c r="L13672" s="23" t="s">
        <v>8</v>
      </c>
      <c r="M13672" s="23" t="s">
        <v>8</v>
      </c>
    </row>
    <row r="13673" spans="1:13" s="21" customFormat="1" x14ac:dyDescent="0.25">
      <c r="A13673" s="22" t="s">
        <v>8</v>
      </c>
      <c r="B13673" s="18" t="str">
        <f>"525396"</f>
        <v>525396</v>
      </c>
      <c r="C13673" s="19" t="s">
        <v>13434</v>
      </c>
      <c r="D13673" s="19" t="s">
        <v>29071</v>
      </c>
      <c r="E13673" s="19" t="s">
        <v>35602</v>
      </c>
      <c r="F13673" s="19" t="s">
        <v>36024</v>
      </c>
      <c r="G13673" s="18" t="str">
        <f>"53588"</f>
        <v>53588</v>
      </c>
      <c r="H13673" s="19" t="s">
        <v>36923</v>
      </c>
      <c r="I13673" s="20">
        <v>19.085000000000001</v>
      </c>
      <c r="J13673" s="44" t="s">
        <v>8</v>
      </c>
      <c r="K13673" s="23" t="s">
        <v>8</v>
      </c>
      <c r="L13673" s="23" t="s">
        <v>8</v>
      </c>
      <c r="M13673" s="23" t="s">
        <v>8</v>
      </c>
    </row>
    <row r="13674" spans="1:13" s="21" customFormat="1" x14ac:dyDescent="0.25">
      <c r="A13674" s="22" t="s">
        <v>8</v>
      </c>
      <c r="B13674" s="18" t="str">
        <f>"525397"</f>
        <v>525397</v>
      </c>
      <c r="C13674" s="19" t="s">
        <v>13435</v>
      </c>
      <c r="D13674" s="19" t="s">
        <v>29072</v>
      </c>
      <c r="E13674" s="19" t="s">
        <v>33806</v>
      </c>
      <c r="F13674" s="19" t="s">
        <v>36024</v>
      </c>
      <c r="G13674" s="18" t="str">
        <f>"54880"</f>
        <v>54880</v>
      </c>
      <c r="H13674" s="19" t="s">
        <v>30966</v>
      </c>
      <c r="I13674" s="20">
        <v>20.878</v>
      </c>
      <c r="J13674" s="44" t="s">
        <v>8</v>
      </c>
      <c r="K13674" s="23" t="s">
        <v>8</v>
      </c>
      <c r="L13674" s="23" t="s">
        <v>8</v>
      </c>
      <c r="M13674" s="23" t="s">
        <v>8</v>
      </c>
    </row>
    <row r="13675" spans="1:13" s="21" customFormat="1" x14ac:dyDescent="0.25">
      <c r="A13675" s="22" t="s">
        <v>8</v>
      </c>
      <c r="B13675" s="18" t="str">
        <f>"525398"</f>
        <v>525398</v>
      </c>
      <c r="C13675" s="19" t="s">
        <v>13436</v>
      </c>
      <c r="D13675" s="19" t="s">
        <v>29073</v>
      </c>
      <c r="E13675" s="19" t="s">
        <v>30956</v>
      </c>
      <c r="F13675" s="19" t="s">
        <v>36024</v>
      </c>
      <c r="G13675" s="18" t="str">
        <f>"54021"</f>
        <v>54021</v>
      </c>
      <c r="H13675" s="19" t="s">
        <v>33791</v>
      </c>
      <c r="I13675" s="20">
        <v>17.547999999999998</v>
      </c>
      <c r="J13675" s="44" t="s">
        <v>8</v>
      </c>
      <c r="K13675" s="23" t="s">
        <v>8</v>
      </c>
      <c r="L13675" s="23" t="s">
        <v>8</v>
      </c>
      <c r="M13675" s="23" t="s">
        <v>8</v>
      </c>
    </row>
    <row r="13676" spans="1:13" s="21" customFormat="1" x14ac:dyDescent="0.25">
      <c r="A13676" s="22" t="s">
        <v>8</v>
      </c>
      <c r="B13676" s="18" t="str">
        <f>"525402"</f>
        <v>525402</v>
      </c>
      <c r="C13676" s="19" t="s">
        <v>13437</v>
      </c>
      <c r="D13676" s="19" t="s">
        <v>29074</v>
      </c>
      <c r="E13676" s="19" t="s">
        <v>35603</v>
      </c>
      <c r="F13676" s="19" t="s">
        <v>36024</v>
      </c>
      <c r="G13676" s="18" t="str">
        <f>"54001"</f>
        <v>54001</v>
      </c>
      <c r="H13676" s="19" t="s">
        <v>36062</v>
      </c>
      <c r="I13676" s="20">
        <v>18.792999999999999</v>
      </c>
      <c r="J13676" s="44" t="s">
        <v>8</v>
      </c>
      <c r="K13676" s="23" t="s">
        <v>8</v>
      </c>
      <c r="L13676" s="23" t="s">
        <v>8</v>
      </c>
      <c r="M13676" s="23" t="s">
        <v>8</v>
      </c>
    </row>
    <row r="13677" spans="1:13" s="21" customFormat="1" x14ac:dyDescent="0.25">
      <c r="A13677" s="22" t="s">
        <v>8</v>
      </c>
      <c r="B13677" s="18" t="str">
        <f>"525403"</f>
        <v>525403</v>
      </c>
      <c r="C13677" s="19" t="s">
        <v>13438</v>
      </c>
      <c r="D13677" s="19" t="s">
        <v>29075</v>
      </c>
      <c r="E13677" s="19" t="s">
        <v>35604</v>
      </c>
      <c r="F13677" s="19" t="s">
        <v>36024</v>
      </c>
      <c r="G13677" s="18" t="str">
        <f>"54460"</f>
        <v>54460</v>
      </c>
      <c r="H13677" s="19" t="s">
        <v>33967</v>
      </c>
      <c r="I13677" s="20">
        <v>18.07</v>
      </c>
      <c r="J13677" s="44" t="s">
        <v>8</v>
      </c>
      <c r="K13677" s="23" t="s">
        <v>8</v>
      </c>
      <c r="L13677" s="23" t="s">
        <v>8</v>
      </c>
      <c r="M13677" s="23" t="s">
        <v>8</v>
      </c>
    </row>
    <row r="13678" spans="1:13" s="21" customFormat="1" x14ac:dyDescent="0.25">
      <c r="A13678" s="22" t="s">
        <v>8</v>
      </c>
      <c r="B13678" s="18" t="str">
        <f>"525405"</f>
        <v>525405</v>
      </c>
      <c r="C13678" s="19" t="s">
        <v>13439</v>
      </c>
      <c r="D13678" s="19" t="s">
        <v>29076</v>
      </c>
      <c r="E13678" s="19" t="s">
        <v>35557</v>
      </c>
      <c r="F13678" s="19" t="s">
        <v>36024</v>
      </c>
      <c r="G13678" s="18" t="str">
        <f>"54403"</f>
        <v>54403</v>
      </c>
      <c r="H13678" s="19" t="s">
        <v>36926</v>
      </c>
      <c r="I13678" s="20">
        <v>16</v>
      </c>
      <c r="J13678" s="44" t="s">
        <v>8</v>
      </c>
      <c r="K13678" s="23" t="s">
        <v>8</v>
      </c>
      <c r="L13678" s="23" t="s">
        <v>8</v>
      </c>
      <c r="M13678" s="23" t="s">
        <v>8</v>
      </c>
    </row>
    <row r="13679" spans="1:13" s="21" customFormat="1" x14ac:dyDescent="0.25">
      <c r="A13679" s="22" t="s">
        <v>8</v>
      </c>
      <c r="B13679" s="18" t="str">
        <f>"525406"</f>
        <v>525406</v>
      </c>
      <c r="C13679" s="19" t="s">
        <v>13440</v>
      </c>
      <c r="D13679" s="19" t="s">
        <v>29077</v>
      </c>
      <c r="E13679" s="19" t="s">
        <v>35605</v>
      </c>
      <c r="F13679" s="19" t="s">
        <v>36024</v>
      </c>
      <c r="G13679" s="18" t="str">
        <f>"54963"</f>
        <v>54963</v>
      </c>
      <c r="H13679" s="19" t="s">
        <v>36233</v>
      </c>
      <c r="I13679" s="20">
        <v>19.446999999999999</v>
      </c>
      <c r="J13679" s="44" t="s">
        <v>8</v>
      </c>
      <c r="K13679" s="23" t="s">
        <v>8</v>
      </c>
      <c r="L13679" s="23" t="s">
        <v>8</v>
      </c>
      <c r="M13679" s="23" t="s">
        <v>8</v>
      </c>
    </row>
    <row r="13680" spans="1:13" s="21" customFormat="1" x14ac:dyDescent="0.25">
      <c r="A13680" s="22" t="s">
        <v>8</v>
      </c>
      <c r="B13680" s="18" t="str">
        <f>"525407"</f>
        <v>525407</v>
      </c>
      <c r="C13680" s="19" t="s">
        <v>13441</v>
      </c>
      <c r="D13680" s="19" t="s">
        <v>29078</v>
      </c>
      <c r="E13680" s="19" t="s">
        <v>33345</v>
      </c>
      <c r="F13680" s="19" t="s">
        <v>36024</v>
      </c>
      <c r="G13680" s="18" t="str">
        <f>"54915"</f>
        <v>54915</v>
      </c>
      <c r="H13680" s="19" t="s">
        <v>36927</v>
      </c>
      <c r="I13680" s="20">
        <v>18.869</v>
      </c>
      <c r="J13680" s="44" t="s">
        <v>8</v>
      </c>
      <c r="K13680" s="23" t="s">
        <v>8</v>
      </c>
      <c r="L13680" s="23" t="s">
        <v>8</v>
      </c>
      <c r="M13680" s="23" t="s">
        <v>8</v>
      </c>
    </row>
    <row r="13681" spans="1:13" s="21" customFormat="1" x14ac:dyDescent="0.25">
      <c r="A13681" s="22" t="s">
        <v>8</v>
      </c>
      <c r="B13681" s="18" t="str">
        <f>"525408"</f>
        <v>525408</v>
      </c>
      <c r="C13681" s="19" t="s">
        <v>13442</v>
      </c>
      <c r="D13681" s="19" t="s">
        <v>29079</v>
      </c>
      <c r="E13681" s="19" t="s">
        <v>35606</v>
      </c>
      <c r="F13681" s="19" t="s">
        <v>36024</v>
      </c>
      <c r="G13681" s="18" t="str">
        <f>"54874"</f>
        <v>54874</v>
      </c>
      <c r="H13681" s="19" t="s">
        <v>30966</v>
      </c>
      <c r="I13681" s="20">
        <v>17.187000000000001</v>
      </c>
      <c r="J13681" s="44" t="s">
        <v>8</v>
      </c>
      <c r="K13681" s="23" t="s">
        <v>8</v>
      </c>
      <c r="L13681" s="23" t="s">
        <v>8</v>
      </c>
      <c r="M13681" s="23" t="s">
        <v>8</v>
      </c>
    </row>
    <row r="13682" spans="1:13" s="21" customFormat="1" x14ac:dyDescent="0.25">
      <c r="A13682" s="22" t="s">
        <v>8</v>
      </c>
      <c r="B13682" s="18" t="str">
        <f>"525409"</f>
        <v>525409</v>
      </c>
      <c r="C13682" s="19" t="s">
        <v>13443</v>
      </c>
      <c r="D13682" s="19" t="s">
        <v>29080</v>
      </c>
      <c r="E13682" s="19" t="s">
        <v>35607</v>
      </c>
      <c r="F13682" s="19" t="s">
        <v>36024</v>
      </c>
      <c r="G13682" s="18" t="str">
        <f>"54615"</f>
        <v>54615</v>
      </c>
      <c r="H13682" s="19" t="s">
        <v>30816</v>
      </c>
      <c r="I13682" s="20">
        <v>16.623999999999999</v>
      </c>
      <c r="J13682" s="44" t="s">
        <v>8</v>
      </c>
      <c r="K13682" s="23" t="s">
        <v>8</v>
      </c>
      <c r="L13682" s="23" t="s">
        <v>8</v>
      </c>
      <c r="M13682" s="23" t="s">
        <v>8</v>
      </c>
    </row>
    <row r="13683" spans="1:13" s="21" customFormat="1" x14ac:dyDescent="0.25">
      <c r="A13683" s="22" t="s">
        <v>8</v>
      </c>
      <c r="B13683" s="18" t="str">
        <f>"525410"</f>
        <v>525410</v>
      </c>
      <c r="C13683" s="19" t="s">
        <v>13444</v>
      </c>
      <c r="D13683" s="19" t="s">
        <v>29081</v>
      </c>
      <c r="E13683" s="19" t="s">
        <v>35608</v>
      </c>
      <c r="F13683" s="19" t="s">
        <v>36024</v>
      </c>
      <c r="G13683" s="18" t="str">
        <f>"54409"</f>
        <v>54409</v>
      </c>
      <c r="H13683" s="19" t="s">
        <v>36931</v>
      </c>
      <c r="I13683" s="20">
        <v>18.431999999999999</v>
      </c>
      <c r="J13683" s="44" t="s">
        <v>8</v>
      </c>
      <c r="K13683" s="23" t="s">
        <v>8</v>
      </c>
      <c r="L13683" s="23" t="s">
        <v>8</v>
      </c>
      <c r="M13683" s="23" t="s">
        <v>8</v>
      </c>
    </row>
    <row r="13684" spans="1:13" s="21" customFormat="1" x14ac:dyDescent="0.25">
      <c r="A13684" s="22" t="s">
        <v>8</v>
      </c>
      <c r="B13684" s="18" t="str">
        <f>"525411"</f>
        <v>525411</v>
      </c>
      <c r="C13684" s="19" t="s">
        <v>13445</v>
      </c>
      <c r="D13684" s="19" t="s">
        <v>29082</v>
      </c>
      <c r="E13684" s="19" t="s">
        <v>35609</v>
      </c>
      <c r="F13684" s="19" t="s">
        <v>36024</v>
      </c>
      <c r="G13684" s="18" t="str">
        <f>"53061"</f>
        <v>53061</v>
      </c>
      <c r="H13684" s="19" t="s">
        <v>36930</v>
      </c>
      <c r="I13684" s="20">
        <v>17.998000000000001</v>
      </c>
      <c r="J13684" s="44" t="s">
        <v>8</v>
      </c>
      <c r="K13684" s="23" t="s">
        <v>8</v>
      </c>
      <c r="L13684" s="23" t="s">
        <v>8</v>
      </c>
      <c r="M13684" s="23" t="s">
        <v>8</v>
      </c>
    </row>
    <row r="13685" spans="1:13" s="21" customFormat="1" x14ac:dyDescent="0.25">
      <c r="A13685" s="22" t="s">
        <v>8</v>
      </c>
      <c r="B13685" s="18" t="str">
        <f>"525412"</f>
        <v>525412</v>
      </c>
      <c r="C13685" s="19" t="s">
        <v>13446</v>
      </c>
      <c r="D13685" s="19" t="s">
        <v>29083</v>
      </c>
      <c r="E13685" s="19" t="s">
        <v>35578</v>
      </c>
      <c r="F13685" s="19" t="s">
        <v>36024</v>
      </c>
      <c r="G13685" s="18" t="str">
        <f>"54166"</f>
        <v>54166</v>
      </c>
      <c r="H13685" s="19" t="s">
        <v>35578</v>
      </c>
      <c r="I13685" s="20">
        <v>19.373000000000001</v>
      </c>
      <c r="J13685" s="44" t="s">
        <v>8</v>
      </c>
      <c r="K13685" s="23" t="s">
        <v>8</v>
      </c>
      <c r="L13685" s="23" t="s">
        <v>8</v>
      </c>
      <c r="M13685" s="23" t="s">
        <v>8</v>
      </c>
    </row>
    <row r="13686" spans="1:13" s="21" customFormat="1" x14ac:dyDescent="0.25">
      <c r="A13686" s="22" t="s">
        <v>8</v>
      </c>
      <c r="B13686" s="18" t="str">
        <f>"525413"</f>
        <v>525413</v>
      </c>
      <c r="C13686" s="19" t="s">
        <v>13447</v>
      </c>
      <c r="D13686" s="19" t="s">
        <v>29084</v>
      </c>
      <c r="E13686" s="19" t="s">
        <v>35610</v>
      </c>
      <c r="F13686" s="19" t="s">
        <v>36024</v>
      </c>
      <c r="G13686" s="18" t="str">
        <f>"53172"</f>
        <v>53172</v>
      </c>
      <c r="H13686" s="19" t="s">
        <v>35552</v>
      </c>
      <c r="I13686" s="20">
        <v>20.577000000000002</v>
      </c>
      <c r="J13686" s="44" t="s">
        <v>8</v>
      </c>
      <c r="K13686" s="23" t="s">
        <v>8</v>
      </c>
      <c r="L13686" s="23" t="s">
        <v>8</v>
      </c>
      <c r="M13686" s="23" t="s">
        <v>8</v>
      </c>
    </row>
    <row r="13687" spans="1:13" s="21" customFormat="1" x14ac:dyDescent="0.25">
      <c r="A13687" s="22" t="s">
        <v>8</v>
      </c>
      <c r="B13687" s="18" t="str">
        <f>"525414"</f>
        <v>525414</v>
      </c>
      <c r="C13687" s="19" t="s">
        <v>13448</v>
      </c>
      <c r="D13687" s="19" t="s">
        <v>29085</v>
      </c>
      <c r="E13687" s="19" t="s">
        <v>35552</v>
      </c>
      <c r="F13687" s="19" t="s">
        <v>36024</v>
      </c>
      <c r="G13687" s="18" t="str">
        <f>"53215"</f>
        <v>53215</v>
      </c>
      <c r="H13687" s="19" t="s">
        <v>35552</v>
      </c>
      <c r="I13687" s="20">
        <v>18.722999999999999</v>
      </c>
      <c r="J13687" s="44" t="s">
        <v>8</v>
      </c>
      <c r="K13687" s="23" t="s">
        <v>8</v>
      </c>
      <c r="L13687" s="23" t="s">
        <v>8</v>
      </c>
      <c r="M13687" s="23" t="s">
        <v>8</v>
      </c>
    </row>
    <row r="13688" spans="1:13" s="21" customFormat="1" x14ac:dyDescent="0.25">
      <c r="A13688" s="22" t="s">
        <v>8</v>
      </c>
      <c r="B13688" s="18" t="str">
        <f>"525415"</f>
        <v>525415</v>
      </c>
      <c r="C13688" s="19" t="s">
        <v>13449</v>
      </c>
      <c r="D13688" s="19" t="s">
        <v>29086</v>
      </c>
      <c r="E13688" s="19" t="s">
        <v>35611</v>
      </c>
      <c r="F13688" s="19" t="s">
        <v>36024</v>
      </c>
      <c r="G13688" s="18" t="str">
        <f>"53051"</f>
        <v>53051</v>
      </c>
      <c r="H13688" s="19" t="s">
        <v>35561</v>
      </c>
      <c r="I13688" s="20">
        <v>18.623999999999999</v>
      </c>
      <c r="J13688" s="44" t="s">
        <v>8</v>
      </c>
      <c r="K13688" s="23" t="s">
        <v>8</v>
      </c>
      <c r="L13688" s="23" t="s">
        <v>8</v>
      </c>
      <c r="M13688" s="23" t="s">
        <v>8</v>
      </c>
    </row>
    <row r="13689" spans="1:13" s="21" customFormat="1" x14ac:dyDescent="0.25">
      <c r="A13689" s="22" t="s">
        <v>8</v>
      </c>
      <c r="B13689" s="18" t="str">
        <f>"525416"</f>
        <v>525416</v>
      </c>
      <c r="C13689" s="19" t="s">
        <v>13450</v>
      </c>
      <c r="D13689" s="19" t="s">
        <v>29087</v>
      </c>
      <c r="E13689" s="19" t="s">
        <v>35612</v>
      </c>
      <c r="F13689" s="19" t="s">
        <v>36024</v>
      </c>
      <c r="G13689" s="18" t="str">
        <f>"54848"</f>
        <v>54848</v>
      </c>
      <c r="H13689" s="19" t="s">
        <v>35296</v>
      </c>
      <c r="I13689" s="20">
        <v>17.196999999999999</v>
      </c>
      <c r="J13689" s="44" t="s">
        <v>8</v>
      </c>
      <c r="K13689" s="23" t="s">
        <v>8</v>
      </c>
      <c r="L13689" s="23" t="s">
        <v>8</v>
      </c>
      <c r="M13689" s="23" t="s">
        <v>8</v>
      </c>
    </row>
    <row r="13690" spans="1:13" s="21" customFormat="1" x14ac:dyDescent="0.25">
      <c r="A13690" s="22" t="s">
        <v>8</v>
      </c>
      <c r="B13690" s="18" t="str">
        <f>"525417"</f>
        <v>525417</v>
      </c>
      <c r="C13690" s="19" t="s">
        <v>13451</v>
      </c>
      <c r="D13690" s="19" t="s">
        <v>29088</v>
      </c>
      <c r="E13690" s="19" t="s">
        <v>35552</v>
      </c>
      <c r="F13690" s="19" t="s">
        <v>36024</v>
      </c>
      <c r="G13690" s="18" t="str">
        <f>"53208"</f>
        <v>53208</v>
      </c>
      <c r="H13690" s="19" t="s">
        <v>35552</v>
      </c>
      <c r="I13690" s="20">
        <v>18.651</v>
      </c>
      <c r="J13690" s="44" t="s">
        <v>8</v>
      </c>
      <c r="K13690" s="23" t="s">
        <v>8</v>
      </c>
      <c r="L13690" s="23" t="s">
        <v>8</v>
      </c>
      <c r="M13690" s="23" t="s">
        <v>8</v>
      </c>
    </row>
    <row r="13691" spans="1:13" s="21" customFormat="1" x14ac:dyDescent="0.25">
      <c r="A13691" s="22" t="s">
        <v>8</v>
      </c>
      <c r="B13691" s="18" t="str">
        <f>"525418"</f>
        <v>525418</v>
      </c>
      <c r="C13691" s="19" t="s">
        <v>13452</v>
      </c>
      <c r="D13691" s="19" t="s">
        <v>29089</v>
      </c>
      <c r="E13691" s="19" t="s">
        <v>32217</v>
      </c>
      <c r="F13691" s="19" t="s">
        <v>36024</v>
      </c>
      <c r="G13691" s="18" t="str">
        <f>"53536"</f>
        <v>53536</v>
      </c>
      <c r="H13691" s="19" t="s">
        <v>36480</v>
      </c>
      <c r="I13691" s="20">
        <v>20.303999999999998</v>
      </c>
      <c r="J13691" s="44" t="s">
        <v>8</v>
      </c>
      <c r="K13691" s="23" t="s">
        <v>8</v>
      </c>
      <c r="L13691" s="23" t="s">
        <v>8</v>
      </c>
      <c r="M13691" s="23" t="s">
        <v>8</v>
      </c>
    </row>
    <row r="13692" spans="1:13" s="21" customFormat="1" x14ac:dyDescent="0.25">
      <c r="A13692" s="22" t="s">
        <v>8</v>
      </c>
      <c r="B13692" s="18" t="str">
        <f>"525419"</f>
        <v>525419</v>
      </c>
      <c r="C13692" s="19" t="s">
        <v>13453</v>
      </c>
      <c r="D13692" s="19" t="s">
        <v>29090</v>
      </c>
      <c r="E13692" s="19" t="s">
        <v>35595</v>
      </c>
      <c r="F13692" s="19" t="s">
        <v>36024</v>
      </c>
      <c r="G13692" s="18" t="str">
        <f>"54729"</f>
        <v>54729</v>
      </c>
      <c r="H13692" s="19" t="s">
        <v>36439</v>
      </c>
      <c r="I13692" s="20">
        <v>17.62</v>
      </c>
      <c r="J13692" s="44" t="s">
        <v>8</v>
      </c>
      <c r="K13692" s="23" t="s">
        <v>8</v>
      </c>
      <c r="L13692" s="23" t="s">
        <v>8</v>
      </c>
      <c r="M13692" s="23" t="s">
        <v>8</v>
      </c>
    </row>
    <row r="13693" spans="1:13" s="21" customFormat="1" x14ac:dyDescent="0.25">
      <c r="A13693" s="22" t="s">
        <v>8</v>
      </c>
      <c r="B13693" s="18" t="str">
        <f>"525420"</f>
        <v>525420</v>
      </c>
      <c r="C13693" s="19" t="s">
        <v>13454</v>
      </c>
      <c r="D13693" s="19" t="s">
        <v>29091</v>
      </c>
      <c r="E13693" s="19" t="s">
        <v>35613</v>
      </c>
      <c r="F13693" s="19" t="s">
        <v>36024</v>
      </c>
      <c r="G13693" s="18" t="str">
        <f>"54476"</f>
        <v>54476</v>
      </c>
      <c r="H13693" s="19" t="s">
        <v>36926</v>
      </c>
      <c r="I13693" s="20">
        <v>18.725000000000001</v>
      </c>
      <c r="J13693" s="44" t="s">
        <v>8</v>
      </c>
      <c r="K13693" s="23" t="s">
        <v>8</v>
      </c>
      <c r="L13693" s="23" t="s">
        <v>8</v>
      </c>
      <c r="M13693" s="23" t="s">
        <v>8</v>
      </c>
    </row>
    <row r="13694" spans="1:13" s="21" customFormat="1" x14ac:dyDescent="0.25">
      <c r="A13694" s="22" t="s">
        <v>8</v>
      </c>
      <c r="B13694" s="18" t="str">
        <f>"525421"</f>
        <v>525421</v>
      </c>
      <c r="C13694" s="19" t="s">
        <v>13455</v>
      </c>
      <c r="D13694" s="19" t="s">
        <v>29092</v>
      </c>
      <c r="E13694" s="19" t="s">
        <v>35611</v>
      </c>
      <c r="F13694" s="19" t="s">
        <v>36024</v>
      </c>
      <c r="G13694" s="18" t="str">
        <f>"53051"</f>
        <v>53051</v>
      </c>
      <c r="H13694" s="19" t="s">
        <v>35561</v>
      </c>
      <c r="I13694" s="20">
        <v>21.093</v>
      </c>
      <c r="J13694" s="44" t="s">
        <v>8</v>
      </c>
      <c r="K13694" s="23" t="s">
        <v>8</v>
      </c>
      <c r="L13694" s="23" t="s">
        <v>8</v>
      </c>
      <c r="M13694" s="23" t="s">
        <v>8</v>
      </c>
    </row>
    <row r="13695" spans="1:13" s="21" customFormat="1" x14ac:dyDescent="0.25">
      <c r="A13695" s="22" t="s">
        <v>8</v>
      </c>
      <c r="B13695" s="18" t="str">
        <f>"525422"</f>
        <v>525422</v>
      </c>
      <c r="C13695" s="19" t="s">
        <v>13456</v>
      </c>
      <c r="D13695" s="19" t="s">
        <v>29093</v>
      </c>
      <c r="E13695" s="19" t="s">
        <v>35561</v>
      </c>
      <c r="F13695" s="19" t="s">
        <v>36024</v>
      </c>
      <c r="G13695" s="18" t="str">
        <f>"53188"</f>
        <v>53188</v>
      </c>
      <c r="H13695" s="19" t="s">
        <v>35561</v>
      </c>
      <c r="I13695" s="20">
        <v>18.134</v>
      </c>
      <c r="J13695" s="44" t="s">
        <v>8</v>
      </c>
      <c r="K13695" s="23" t="s">
        <v>8</v>
      </c>
      <c r="L13695" s="23" t="s">
        <v>8</v>
      </c>
      <c r="M13695" s="23" t="s">
        <v>8</v>
      </c>
    </row>
    <row r="13696" spans="1:13" s="21" customFormat="1" x14ac:dyDescent="0.25">
      <c r="A13696" s="22" t="s">
        <v>8</v>
      </c>
      <c r="B13696" s="18" t="str">
        <f>"525424"</f>
        <v>525424</v>
      </c>
      <c r="C13696" s="19" t="s">
        <v>13457</v>
      </c>
      <c r="D13696" s="19" t="s">
        <v>29094</v>
      </c>
      <c r="E13696" s="19" t="s">
        <v>32105</v>
      </c>
      <c r="F13696" s="19" t="s">
        <v>36024</v>
      </c>
      <c r="G13696" s="18" t="str">
        <f>"53045"</f>
        <v>53045</v>
      </c>
      <c r="H13696" s="19" t="s">
        <v>35561</v>
      </c>
      <c r="I13696" s="20">
        <v>16.585000000000001</v>
      </c>
      <c r="J13696" s="44" t="s">
        <v>8</v>
      </c>
      <c r="K13696" s="23" t="s">
        <v>8</v>
      </c>
      <c r="L13696" s="23" t="s">
        <v>8</v>
      </c>
      <c r="M13696" s="23" t="s">
        <v>8</v>
      </c>
    </row>
    <row r="13697" spans="1:13" s="21" customFormat="1" x14ac:dyDescent="0.25">
      <c r="A13697" s="22" t="s">
        <v>8</v>
      </c>
      <c r="B13697" s="18" t="str">
        <f>"525425"</f>
        <v>525425</v>
      </c>
      <c r="C13697" s="19" t="s">
        <v>13458</v>
      </c>
      <c r="D13697" s="19" t="s">
        <v>29095</v>
      </c>
      <c r="E13697" s="19" t="s">
        <v>35614</v>
      </c>
      <c r="F13697" s="19" t="s">
        <v>36024</v>
      </c>
      <c r="G13697" s="18" t="str">
        <f>"53809"</f>
        <v>53809</v>
      </c>
      <c r="H13697" s="19" t="s">
        <v>36078</v>
      </c>
      <c r="I13697" s="20">
        <v>17.513000000000002</v>
      </c>
      <c r="J13697" s="44" t="s">
        <v>8</v>
      </c>
      <c r="K13697" s="23" t="s">
        <v>8</v>
      </c>
      <c r="L13697" s="23" t="s">
        <v>8</v>
      </c>
      <c r="M13697" s="23" t="s">
        <v>8</v>
      </c>
    </row>
    <row r="13698" spans="1:13" s="21" customFormat="1" x14ac:dyDescent="0.25">
      <c r="A13698" s="22" t="s">
        <v>8</v>
      </c>
      <c r="B13698" s="18" t="str">
        <f>"525426"</f>
        <v>525426</v>
      </c>
      <c r="C13698" s="19" t="s">
        <v>13459</v>
      </c>
      <c r="D13698" s="19" t="s">
        <v>29096</v>
      </c>
      <c r="E13698" s="19" t="s">
        <v>32626</v>
      </c>
      <c r="F13698" s="19" t="s">
        <v>36024</v>
      </c>
      <c r="G13698" s="18" t="str">
        <f>"54601"</f>
        <v>54601</v>
      </c>
      <c r="H13698" s="19" t="s">
        <v>32626</v>
      </c>
      <c r="I13698" s="20">
        <v>18.649999999999999</v>
      </c>
      <c r="J13698" s="44" t="s">
        <v>8</v>
      </c>
      <c r="K13698" s="23" t="s">
        <v>8</v>
      </c>
      <c r="L13698" s="23" t="s">
        <v>8</v>
      </c>
      <c r="M13698" s="23" t="s">
        <v>8</v>
      </c>
    </row>
    <row r="13699" spans="1:13" s="21" customFormat="1" x14ac:dyDescent="0.25">
      <c r="A13699" s="22" t="s">
        <v>8</v>
      </c>
      <c r="B13699" s="18" t="str">
        <f>"525427"</f>
        <v>525427</v>
      </c>
      <c r="C13699" s="19" t="s">
        <v>13460</v>
      </c>
      <c r="D13699" s="19" t="s">
        <v>29097</v>
      </c>
      <c r="E13699" s="19" t="s">
        <v>35548</v>
      </c>
      <c r="F13699" s="19" t="s">
        <v>36024</v>
      </c>
      <c r="G13699" s="18" t="str">
        <f>"54304"</f>
        <v>54304</v>
      </c>
      <c r="H13699" s="19" t="s">
        <v>36244</v>
      </c>
      <c r="I13699" s="20">
        <v>18.841000000000001</v>
      </c>
      <c r="J13699" s="44" t="s">
        <v>8</v>
      </c>
      <c r="K13699" s="23" t="s">
        <v>8</v>
      </c>
      <c r="L13699" s="23" t="s">
        <v>8</v>
      </c>
      <c r="M13699" s="23" t="s">
        <v>8</v>
      </c>
    </row>
    <row r="13700" spans="1:13" s="21" customFormat="1" x14ac:dyDescent="0.25">
      <c r="A13700" s="22" t="s">
        <v>8</v>
      </c>
      <c r="B13700" s="18" t="str">
        <f>"525428"</f>
        <v>525428</v>
      </c>
      <c r="C13700" s="19" t="s">
        <v>13461</v>
      </c>
      <c r="D13700" s="19" t="s">
        <v>29098</v>
      </c>
      <c r="E13700" s="19" t="s">
        <v>35615</v>
      </c>
      <c r="F13700" s="19" t="s">
        <v>36024</v>
      </c>
      <c r="G13700" s="18" t="str">
        <f>"54520"</f>
        <v>54520</v>
      </c>
      <c r="H13700" s="19" t="s">
        <v>36742</v>
      </c>
      <c r="I13700" s="20">
        <v>18.920000000000002</v>
      </c>
      <c r="J13700" s="44" t="s">
        <v>8</v>
      </c>
      <c r="K13700" s="23" t="s">
        <v>8</v>
      </c>
      <c r="L13700" s="23" t="s">
        <v>8</v>
      </c>
      <c r="M13700" s="23" t="s">
        <v>8</v>
      </c>
    </row>
    <row r="13701" spans="1:13" s="21" customFormat="1" x14ac:dyDescent="0.25">
      <c r="A13701" s="22" t="s">
        <v>8</v>
      </c>
      <c r="B13701" s="18" t="str">
        <f>"525429"</f>
        <v>525429</v>
      </c>
      <c r="C13701" s="19" t="s">
        <v>13462</v>
      </c>
      <c r="D13701" s="19" t="s">
        <v>29099</v>
      </c>
      <c r="E13701" s="19" t="s">
        <v>35559</v>
      </c>
      <c r="F13701" s="19" t="s">
        <v>36024</v>
      </c>
      <c r="G13701" s="18" t="str">
        <f>"54494"</f>
        <v>54494</v>
      </c>
      <c r="H13701" s="19" t="s">
        <v>36673</v>
      </c>
      <c r="I13701" s="20">
        <v>17.123999999999999</v>
      </c>
      <c r="J13701" s="44" t="s">
        <v>8</v>
      </c>
      <c r="K13701" s="23" t="s">
        <v>8</v>
      </c>
      <c r="L13701" s="23" t="s">
        <v>8</v>
      </c>
      <c r="M13701" s="23" t="s">
        <v>8</v>
      </c>
    </row>
    <row r="13702" spans="1:13" s="21" customFormat="1" x14ac:dyDescent="0.25">
      <c r="A13702" s="22" t="s">
        <v>8</v>
      </c>
      <c r="B13702" s="18" t="str">
        <f>"525430"</f>
        <v>525430</v>
      </c>
      <c r="C13702" s="19" t="s">
        <v>13463</v>
      </c>
      <c r="D13702" s="19" t="s">
        <v>29100</v>
      </c>
      <c r="E13702" s="19" t="s">
        <v>31756</v>
      </c>
      <c r="F13702" s="19" t="s">
        <v>36024</v>
      </c>
      <c r="G13702" s="18" t="str">
        <f>"54656"</f>
        <v>54656</v>
      </c>
      <c r="H13702" s="19" t="s">
        <v>31711</v>
      </c>
      <c r="I13702" s="20">
        <v>16.75</v>
      </c>
      <c r="J13702" s="44" t="s">
        <v>8</v>
      </c>
      <c r="K13702" s="23" t="s">
        <v>8</v>
      </c>
      <c r="L13702" s="23" t="s">
        <v>8</v>
      </c>
      <c r="M13702" s="23" t="s">
        <v>8</v>
      </c>
    </row>
    <row r="13703" spans="1:13" s="21" customFormat="1" x14ac:dyDescent="0.25">
      <c r="A13703" s="22" t="s">
        <v>8</v>
      </c>
      <c r="B13703" s="18" t="str">
        <f>"525431"</f>
        <v>525431</v>
      </c>
      <c r="C13703" s="19" t="s">
        <v>13464</v>
      </c>
      <c r="D13703" s="19" t="s">
        <v>29101</v>
      </c>
      <c r="E13703" s="19" t="s">
        <v>35556</v>
      </c>
      <c r="F13703" s="19" t="s">
        <v>36024</v>
      </c>
      <c r="G13703" s="18" t="str">
        <f>"53140"</f>
        <v>53140</v>
      </c>
      <c r="H13703" s="19" t="s">
        <v>35556</v>
      </c>
      <c r="I13703" s="20">
        <v>18.131</v>
      </c>
      <c r="J13703" s="44" t="s">
        <v>8</v>
      </c>
      <c r="K13703" s="23" t="s">
        <v>8</v>
      </c>
      <c r="L13703" s="23" t="s">
        <v>8</v>
      </c>
      <c r="M13703" s="23" t="s">
        <v>8</v>
      </c>
    </row>
    <row r="13704" spans="1:13" s="21" customFormat="1" x14ac:dyDescent="0.25">
      <c r="A13704" s="22" t="s">
        <v>8</v>
      </c>
      <c r="B13704" s="18" t="str">
        <f>"525432"</f>
        <v>525432</v>
      </c>
      <c r="C13704" s="19" t="s">
        <v>13465</v>
      </c>
      <c r="D13704" s="19" t="s">
        <v>29102</v>
      </c>
      <c r="E13704" s="19" t="s">
        <v>35551</v>
      </c>
      <c r="F13704" s="19" t="s">
        <v>36024</v>
      </c>
      <c r="G13704" s="18" t="str">
        <f>"53227"</f>
        <v>53227</v>
      </c>
      <c r="H13704" s="19" t="s">
        <v>35552</v>
      </c>
      <c r="I13704" s="20">
        <v>21.745000000000001</v>
      </c>
      <c r="J13704" s="44" t="s">
        <v>8</v>
      </c>
      <c r="K13704" s="23" t="s">
        <v>8</v>
      </c>
      <c r="L13704" s="23" t="s">
        <v>8</v>
      </c>
      <c r="M13704" s="23" t="s">
        <v>8</v>
      </c>
    </row>
    <row r="13705" spans="1:13" s="21" customFormat="1" x14ac:dyDescent="0.25">
      <c r="A13705" s="22" t="s">
        <v>8</v>
      </c>
      <c r="B13705" s="18" t="str">
        <f>"525433"</f>
        <v>525433</v>
      </c>
      <c r="C13705" s="19" t="s">
        <v>13466</v>
      </c>
      <c r="D13705" s="19" t="s">
        <v>29103</v>
      </c>
      <c r="E13705" s="19" t="s">
        <v>35616</v>
      </c>
      <c r="F13705" s="19" t="s">
        <v>36024</v>
      </c>
      <c r="G13705" s="18" t="str">
        <f>"54751"</f>
        <v>54751</v>
      </c>
      <c r="H13705" s="19" t="s">
        <v>34314</v>
      </c>
      <c r="I13705" s="20">
        <v>19.306000000000001</v>
      </c>
      <c r="J13705" s="44" t="s">
        <v>8</v>
      </c>
      <c r="K13705" s="23" t="s">
        <v>8</v>
      </c>
      <c r="L13705" s="23" t="s">
        <v>8</v>
      </c>
      <c r="M13705" s="23" t="s">
        <v>8</v>
      </c>
    </row>
    <row r="13706" spans="1:13" s="21" customFormat="1" x14ac:dyDescent="0.25">
      <c r="A13706" s="22" t="s">
        <v>8</v>
      </c>
      <c r="B13706" s="18" t="str">
        <f>"525434"</f>
        <v>525434</v>
      </c>
      <c r="C13706" s="19" t="s">
        <v>13467</v>
      </c>
      <c r="D13706" s="19" t="s">
        <v>29104</v>
      </c>
      <c r="E13706" s="19" t="s">
        <v>31190</v>
      </c>
      <c r="F13706" s="19" t="s">
        <v>36024</v>
      </c>
      <c r="G13706" s="18" t="str">
        <f>"54843"</f>
        <v>54843</v>
      </c>
      <c r="H13706" s="19" t="s">
        <v>36932</v>
      </c>
      <c r="I13706" s="20">
        <v>17.414999999999999</v>
      </c>
      <c r="J13706" s="44" t="s">
        <v>8</v>
      </c>
      <c r="K13706" s="23" t="s">
        <v>8</v>
      </c>
      <c r="L13706" s="23" t="s">
        <v>8</v>
      </c>
      <c r="M13706" s="23" t="s">
        <v>8</v>
      </c>
    </row>
    <row r="13707" spans="1:13" s="21" customFormat="1" x14ac:dyDescent="0.25">
      <c r="A13707" s="22" t="s">
        <v>8</v>
      </c>
      <c r="B13707" s="18" t="str">
        <f>"525435"</f>
        <v>525435</v>
      </c>
      <c r="C13707" s="19" t="s">
        <v>13468</v>
      </c>
      <c r="D13707" s="19" t="s">
        <v>29105</v>
      </c>
      <c r="E13707" s="19" t="s">
        <v>35617</v>
      </c>
      <c r="F13707" s="19" t="s">
        <v>36024</v>
      </c>
      <c r="G13707" s="18" t="str">
        <f>"54405"</f>
        <v>54405</v>
      </c>
      <c r="H13707" s="19" t="s">
        <v>33967</v>
      </c>
      <c r="I13707" s="20">
        <v>18.581</v>
      </c>
      <c r="J13707" s="44" t="s">
        <v>8</v>
      </c>
      <c r="K13707" s="23" t="s">
        <v>8</v>
      </c>
      <c r="L13707" s="23" t="s">
        <v>8</v>
      </c>
      <c r="M13707" s="23" t="s">
        <v>8</v>
      </c>
    </row>
    <row r="13708" spans="1:13" s="21" customFormat="1" x14ac:dyDescent="0.25">
      <c r="A13708" s="22" t="s">
        <v>8</v>
      </c>
      <c r="B13708" s="18" t="str">
        <f>"525437"</f>
        <v>525437</v>
      </c>
      <c r="C13708" s="19" t="s">
        <v>13469</v>
      </c>
      <c r="D13708" s="19" t="s">
        <v>29106</v>
      </c>
      <c r="E13708" s="19" t="s">
        <v>35618</v>
      </c>
      <c r="F13708" s="19" t="s">
        <v>36024</v>
      </c>
      <c r="G13708" s="18" t="str">
        <f>"53948"</f>
        <v>53948</v>
      </c>
      <c r="H13708" s="19" t="s">
        <v>30935</v>
      </c>
      <c r="I13708" s="20">
        <v>15.537000000000001</v>
      </c>
      <c r="J13708" s="44" t="s">
        <v>8</v>
      </c>
      <c r="K13708" s="23" t="s">
        <v>8</v>
      </c>
      <c r="L13708" s="23" t="s">
        <v>8</v>
      </c>
      <c r="M13708" s="23" t="s">
        <v>8</v>
      </c>
    </row>
    <row r="13709" spans="1:13" s="21" customFormat="1" x14ac:dyDescent="0.25">
      <c r="A13709" s="22" t="s">
        <v>8</v>
      </c>
      <c r="B13709" s="18" t="str">
        <f>"525438"</f>
        <v>525438</v>
      </c>
      <c r="C13709" s="19" t="s">
        <v>13470</v>
      </c>
      <c r="D13709" s="19" t="s">
        <v>29107</v>
      </c>
      <c r="E13709" s="19" t="s">
        <v>32626</v>
      </c>
      <c r="F13709" s="19" t="s">
        <v>36024</v>
      </c>
      <c r="G13709" s="18" t="str">
        <f>"54601"</f>
        <v>54601</v>
      </c>
      <c r="H13709" s="19" t="s">
        <v>32626</v>
      </c>
      <c r="I13709" s="20">
        <v>18.774999999999999</v>
      </c>
      <c r="J13709" s="44" t="s">
        <v>8</v>
      </c>
      <c r="K13709" s="23" t="s">
        <v>8</v>
      </c>
      <c r="L13709" s="23" t="s">
        <v>8</v>
      </c>
      <c r="M13709" s="23" t="s">
        <v>8</v>
      </c>
    </row>
    <row r="13710" spans="1:13" s="21" customFormat="1" x14ac:dyDescent="0.25">
      <c r="A13710" s="22" t="s">
        <v>8</v>
      </c>
      <c r="B13710" s="18" t="str">
        <f>"525440"</f>
        <v>525440</v>
      </c>
      <c r="C13710" s="19" t="s">
        <v>13471</v>
      </c>
      <c r="D13710" s="19" t="s">
        <v>29108</v>
      </c>
      <c r="E13710" s="19" t="s">
        <v>35619</v>
      </c>
      <c r="F13710" s="19" t="s">
        <v>36024</v>
      </c>
      <c r="G13710" s="18" t="str">
        <f>"54761"</f>
        <v>54761</v>
      </c>
      <c r="H13710" s="19" t="s">
        <v>33791</v>
      </c>
      <c r="I13710" s="20">
        <v>17.66</v>
      </c>
      <c r="J13710" s="44" t="s">
        <v>8</v>
      </c>
      <c r="K13710" s="23" t="s">
        <v>8</v>
      </c>
      <c r="L13710" s="23" t="s">
        <v>8</v>
      </c>
      <c r="M13710" s="23" t="s">
        <v>8</v>
      </c>
    </row>
    <row r="13711" spans="1:13" s="21" customFormat="1" x14ac:dyDescent="0.25">
      <c r="A13711" s="22" t="s">
        <v>8</v>
      </c>
      <c r="B13711" s="18" t="str">
        <f>"525441"</f>
        <v>525441</v>
      </c>
      <c r="C13711" s="19" t="s">
        <v>13472</v>
      </c>
      <c r="D13711" s="19" t="s">
        <v>29109</v>
      </c>
      <c r="E13711" s="19" t="s">
        <v>35599</v>
      </c>
      <c r="F13711" s="19" t="s">
        <v>36024</v>
      </c>
      <c r="G13711" s="18" t="str">
        <f>"54220"</f>
        <v>54220</v>
      </c>
      <c r="H13711" s="19" t="s">
        <v>35599</v>
      </c>
      <c r="I13711" s="20">
        <v>15.327999999999999</v>
      </c>
      <c r="J13711" s="44" t="s">
        <v>8</v>
      </c>
      <c r="K13711" s="23" t="s">
        <v>8</v>
      </c>
      <c r="L13711" s="23" t="s">
        <v>8</v>
      </c>
      <c r="M13711" s="23" t="s">
        <v>8</v>
      </c>
    </row>
    <row r="13712" spans="1:13" s="21" customFormat="1" x14ac:dyDescent="0.25">
      <c r="A13712" s="22" t="s">
        <v>8</v>
      </c>
      <c r="B13712" s="18" t="str">
        <f>"525442"</f>
        <v>525442</v>
      </c>
      <c r="C13712" s="19" t="s">
        <v>13473</v>
      </c>
      <c r="D13712" s="19" t="s">
        <v>29110</v>
      </c>
      <c r="E13712" s="19" t="s">
        <v>35620</v>
      </c>
      <c r="F13712" s="19" t="s">
        <v>36024</v>
      </c>
      <c r="G13712" s="18" t="str">
        <f>"54660"</f>
        <v>54660</v>
      </c>
      <c r="H13712" s="19" t="s">
        <v>31711</v>
      </c>
      <c r="I13712" s="20">
        <v>18.643999999999998</v>
      </c>
      <c r="J13712" s="44" t="s">
        <v>8</v>
      </c>
      <c r="K13712" s="23" t="s">
        <v>8</v>
      </c>
      <c r="L13712" s="23" t="s">
        <v>8</v>
      </c>
      <c r="M13712" s="23" t="s">
        <v>8</v>
      </c>
    </row>
    <row r="13713" spans="1:13" s="21" customFormat="1" x14ac:dyDescent="0.25">
      <c r="A13713" s="22" t="s">
        <v>8</v>
      </c>
      <c r="B13713" s="18" t="str">
        <f>"525443"</f>
        <v>525443</v>
      </c>
      <c r="C13713" s="19" t="s">
        <v>13474</v>
      </c>
      <c r="D13713" s="19" t="s">
        <v>29111</v>
      </c>
      <c r="E13713" s="19" t="s">
        <v>35621</v>
      </c>
      <c r="F13713" s="19" t="s">
        <v>36024</v>
      </c>
      <c r="G13713" s="18" t="str">
        <f>"54650"</f>
        <v>54650</v>
      </c>
      <c r="H13713" s="19" t="s">
        <v>32626</v>
      </c>
      <c r="I13713" s="20">
        <v>16.864000000000001</v>
      </c>
      <c r="J13713" s="44" t="s">
        <v>8</v>
      </c>
      <c r="K13713" s="23" t="s">
        <v>8</v>
      </c>
      <c r="L13713" s="23" t="s">
        <v>8</v>
      </c>
      <c r="M13713" s="23" t="s">
        <v>8</v>
      </c>
    </row>
    <row r="13714" spans="1:13" s="21" customFormat="1" x14ac:dyDescent="0.25">
      <c r="A13714" s="22" t="s">
        <v>8</v>
      </c>
      <c r="B13714" s="18" t="str">
        <f>"525445"</f>
        <v>525445</v>
      </c>
      <c r="C13714" s="19" t="s">
        <v>13475</v>
      </c>
      <c r="D13714" s="19" t="s">
        <v>29112</v>
      </c>
      <c r="E13714" s="19" t="s">
        <v>31715</v>
      </c>
      <c r="F13714" s="19" t="s">
        <v>36024</v>
      </c>
      <c r="G13714" s="18" t="str">
        <f>"53925"</f>
        <v>53925</v>
      </c>
      <c r="H13714" s="19" t="s">
        <v>32076</v>
      </c>
      <c r="I13714" s="20">
        <v>18.120999999999999</v>
      </c>
      <c r="J13714" s="44" t="s">
        <v>8</v>
      </c>
      <c r="K13714" s="23" t="s">
        <v>8</v>
      </c>
      <c r="L13714" s="23" t="s">
        <v>8</v>
      </c>
      <c r="M13714" s="23" t="s">
        <v>8</v>
      </c>
    </row>
    <row r="13715" spans="1:13" s="21" customFormat="1" x14ac:dyDescent="0.25">
      <c r="A13715" s="22" t="s">
        <v>8</v>
      </c>
      <c r="B13715" s="18" t="str">
        <f>"525447"</f>
        <v>525447</v>
      </c>
      <c r="C13715" s="19" t="s">
        <v>13476</v>
      </c>
      <c r="D13715" s="19" t="s">
        <v>29113</v>
      </c>
      <c r="E13715" s="19" t="s">
        <v>32749</v>
      </c>
      <c r="F13715" s="19" t="s">
        <v>36024</v>
      </c>
      <c r="G13715" s="18" t="str">
        <f>"53916"</f>
        <v>53916</v>
      </c>
      <c r="H13715" s="19" t="s">
        <v>33824</v>
      </c>
      <c r="I13715" s="20">
        <v>16.768999999999998</v>
      </c>
      <c r="J13715" s="44" t="s">
        <v>8</v>
      </c>
      <c r="K13715" s="23" t="s">
        <v>8</v>
      </c>
      <c r="L13715" s="23" t="s">
        <v>8</v>
      </c>
      <c r="M13715" s="23" t="s">
        <v>8</v>
      </c>
    </row>
    <row r="13716" spans="1:13" s="21" customFormat="1" x14ac:dyDescent="0.25">
      <c r="A13716" s="22" t="s">
        <v>8</v>
      </c>
      <c r="B13716" s="18" t="str">
        <f>"525449"</f>
        <v>525449</v>
      </c>
      <c r="C13716" s="19" t="s">
        <v>13477</v>
      </c>
      <c r="D13716" s="19" t="s">
        <v>29114</v>
      </c>
      <c r="E13716" s="19" t="s">
        <v>35622</v>
      </c>
      <c r="F13716" s="19" t="s">
        <v>36024</v>
      </c>
      <c r="G13716" s="18" t="str">
        <f>"54154"</f>
        <v>54154</v>
      </c>
      <c r="H13716" s="19" t="s">
        <v>35690</v>
      </c>
      <c r="I13716" s="20">
        <v>17.193999999999999</v>
      </c>
      <c r="J13716" s="44" t="s">
        <v>8</v>
      </c>
      <c r="K13716" s="23" t="s">
        <v>8</v>
      </c>
      <c r="L13716" s="23" t="s">
        <v>8</v>
      </c>
      <c r="M13716" s="23" t="s">
        <v>8</v>
      </c>
    </row>
    <row r="13717" spans="1:13" s="21" customFormat="1" x14ac:dyDescent="0.25">
      <c r="A13717" s="22" t="s">
        <v>8</v>
      </c>
      <c r="B13717" s="18" t="str">
        <f>"525451"</f>
        <v>525451</v>
      </c>
      <c r="C13717" s="19" t="s">
        <v>13478</v>
      </c>
      <c r="D13717" s="19" t="s">
        <v>29115</v>
      </c>
      <c r="E13717" s="19" t="s">
        <v>35623</v>
      </c>
      <c r="F13717" s="19" t="s">
        <v>36024</v>
      </c>
      <c r="G13717" s="18" t="str">
        <f>"54157"</f>
        <v>54157</v>
      </c>
      <c r="H13717" s="19" t="s">
        <v>35634</v>
      </c>
      <c r="I13717" s="20">
        <v>17.797999999999998</v>
      </c>
      <c r="J13717" s="44" t="s">
        <v>8</v>
      </c>
      <c r="K13717" s="23" t="s">
        <v>8</v>
      </c>
      <c r="L13717" s="23" t="s">
        <v>8</v>
      </c>
      <c r="M13717" s="23" t="s">
        <v>8</v>
      </c>
    </row>
    <row r="13718" spans="1:13" s="21" customFormat="1" x14ac:dyDescent="0.25">
      <c r="A13718" s="22" t="s">
        <v>8</v>
      </c>
      <c r="B13718" s="18" t="str">
        <f>"525452"</f>
        <v>525452</v>
      </c>
      <c r="C13718" s="19" t="s">
        <v>1006</v>
      </c>
      <c r="D13718" s="19" t="s">
        <v>29116</v>
      </c>
      <c r="E13718" s="19" t="s">
        <v>35624</v>
      </c>
      <c r="F13718" s="19" t="s">
        <v>36024</v>
      </c>
      <c r="G13718" s="18" t="str">
        <f>"53929"</f>
        <v>53929</v>
      </c>
      <c r="H13718" s="19" t="s">
        <v>30935</v>
      </c>
      <c r="I13718" s="20">
        <v>18.105</v>
      </c>
      <c r="J13718" s="44" t="s">
        <v>8</v>
      </c>
      <c r="K13718" s="23" t="s">
        <v>8</v>
      </c>
      <c r="L13718" s="23" t="s">
        <v>8</v>
      </c>
      <c r="M13718" s="23" t="s">
        <v>8</v>
      </c>
    </row>
    <row r="13719" spans="1:13" s="21" customFormat="1" x14ac:dyDescent="0.25">
      <c r="A13719" s="22" t="s">
        <v>8</v>
      </c>
      <c r="B13719" s="18" t="str">
        <f>"525453"</f>
        <v>525453</v>
      </c>
      <c r="C13719" s="19" t="s">
        <v>13479</v>
      </c>
      <c r="D13719" s="19" t="s">
        <v>29117</v>
      </c>
      <c r="E13719" s="19" t="s">
        <v>30935</v>
      </c>
      <c r="F13719" s="19" t="s">
        <v>36024</v>
      </c>
      <c r="G13719" s="18" t="str">
        <f>"53039"</f>
        <v>53039</v>
      </c>
      <c r="H13719" s="19" t="s">
        <v>33824</v>
      </c>
      <c r="I13719" s="20">
        <v>15.888999999999999</v>
      </c>
      <c r="J13719" s="44" t="s">
        <v>8</v>
      </c>
      <c r="K13719" s="23" t="s">
        <v>8</v>
      </c>
      <c r="L13719" s="23" t="s">
        <v>8</v>
      </c>
      <c r="M13719" s="23" t="s">
        <v>8</v>
      </c>
    </row>
    <row r="13720" spans="1:13" s="21" customFormat="1" x14ac:dyDescent="0.25">
      <c r="A13720" s="22" t="s">
        <v>8</v>
      </c>
      <c r="B13720" s="18" t="str">
        <f>"525454"</f>
        <v>525454</v>
      </c>
      <c r="C13720" s="19" t="s">
        <v>13480</v>
      </c>
      <c r="D13720" s="19" t="s">
        <v>29118</v>
      </c>
      <c r="E13720" s="19" t="s">
        <v>30849</v>
      </c>
      <c r="F13720" s="19" t="s">
        <v>36024</v>
      </c>
      <c r="G13720" s="18" t="str">
        <f>"54720"</f>
        <v>54720</v>
      </c>
      <c r="H13720" s="19" t="s">
        <v>35589</v>
      </c>
      <c r="I13720" s="20">
        <v>16.812999999999999</v>
      </c>
      <c r="J13720" s="44" t="s">
        <v>8</v>
      </c>
      <c r="K13720" s="23" t="s">
        <v>8</v>
      </c>
      <c r="L13720" s="23" t="s">
        <v>8</v>
      </c>
      <c r="M13720" s="23" t="s">
        <v>8</v>
      </c>
    </row>
    <row r="13721" spans="1:13" s="21" customFormat="1" x14ac:dyDescent="0.25">
      <c r="A13721" s="22" t="s">
        <v>8</v>
      </c>
      <c r="B13721" s="18" t="str">
        <f>"525455"</f>
        <v>525455</v>
      </c>
      <c r="C13721" s="19" t="s">
        <v>13481</v>
      </c>
      <c r="D13721" s="19" t="s">
        <v>29119</v>
      </c>
      <c r="E13721" s="19" t="s">
        <v>32626</v>
      </c>
      <c r="F13721" s="19" t="s">
        <v>36024</v>
      </c>
      <c r="G13721" s="18" t="str">
        <f>"54601"</f>
        <v>54601</v>
      </c>
      <c r="H13721" s="19" t="s">
        <v>32626</v>
      </c>
      <c r="I13721" s="20">
        <v>18.606000000000002</v>
      </c>
      <c r="J13721" s="44" t="s">
        <v>8</v>
      </c>
      <c r="K13721" s="23" t="s">
        <v>8</v>
      </c>
      <c r="L13721" s="23" t="s">
        <v>8</v>
      </c>
      <c r="M13721" s="23" t="s">
        <v>8</v>
      </c>
    </row>
    <row r="13722" spans="1:13" s="21" customFormat="1" x14ac:dyDescent="0.25">
      <c r="A13722" s="22" t="s">
        <v>8</v>
      </c>
      <c r="B13722" s="18" t="str">
        <f>"525456"</f>
        <v>525456</v>
      </c>
      <c r="C13722" s="19" t="s">
        <v>13482</v>
      </c>
      <c r="D13722" s="19" t="s">
        <v>29120</v>
      </c>
      <c r="E13722" s="19" t="s">
        <v>35625</v>
      </c>
      <c r="F13722" s="19" t="s">
        <v>36024</v>
      </c>
      <c r="G13722" s="18" t="str">
        <f>"53082"</f>
        <v>53082</v>
      </c>
      <c r="H13722" s="19" t="s">
        <v>35625</v>
      </c>
      <c r="I13722" s="20">
        <v>19.396999999999998</v>
      </c>
      <c r="J13722" s="44" t="s">
        <v>8</v>
      </c>
      <c r="K13722" s="23" t="s">
        <v>8</v>
      </c>
      <c r="L13722" s="23" t="s">
        <v>8</v>
      </c>
      <c r="M13722" s="23" t="s">
        <v>8</v>
      </c>
    </row>
    <row r="13723" spans="1:13" s="21" customFormat="1" x14ac:dyDescent="0.25">
      <c r="A13723" s="22" t="s">
        <v>8</v>
      </c>
      <c r="B13723" s="18" t="str">
        <f>"525457"</f>
        <v>525457</v>
      </c>
      <c r="C13723" s="19" t="s">
        <v>13483</v>
      </c>
      <c r="D13723" s="19" t="s">
        <v>29121</v>
      </c>
      <c r="E13723" s="19" t="s">
        <v>35623</v>
      </c>
      <c r="F13723" s="19" t="s">
        <v>36024</v>
      </c>
      <c r="G13723" s="18" t="str">
        <f>"54157"</f>
        <v>54157</v>
      </c>
      <c r="H13723" s="19" t="s">
        <v>35634</v>
      </c>
      <c r="I13723" s="20">
        <v>19.116</v>
      </c>
      <c r="J13723" s="44" t="s">
        <v>8</v>
      </c>
      <c r="K13723" s="23" t="s">
        <v>8</v>
      </c>
      <c r="L13723" s="23" t="s">
        <v>8</v>
      </c>
      <c r="M13723" s="23" t="s">
        <v>8</v>
      </c>
    </row>
    <row r="13724" spans="1:13" s="21" customFormat="1" x14ac:dyDescent="0.25">
      <c r="A13724" s="22" t="s">
        <v>8</v>
      </c>
      <c r="B13724" s="18" t="str">
        <f>"525458"</f>
        <v>525458</v>
      </c>
      <c r="C13724" s="19" t="s">
        <v>13484</v>
      </c>
      <c r="D13724" s="19" t="s">
        <v>29122</v>
      </c>
      <c r="E13724" s="19" t="s">
        <v>35626</v>
      </c>
      <c r="F13724" s="19" t="s">
        <v>36024</v>
      </c>
      <c r="G13724" s="18" t="str">
        <f>"54028"</f>
        <v>54028</v>
      </c>
      <c r="H13724" s="19" t="s">
        <v>36924</v>
      </c>
      <c r="I13724" s="20">
        <v>19.158999999999999</v>
      </c>
      <c r="J13724" s="44" t="s">
        <v>8</v>
      </c>
      <c r="K13724" s="23" t="s">
        <v>8</v>
      </c>
      <c r="L13724" s="23" t="s">
        <v>8</v>
      </c>
      <c r="M13724" s="23" t="s">
        <v>8</v>
      </c>
    </row>
    <row r="13725" spans="1:13" s="21" customFormat="1" x14ac:dyDescent="0.25">
      <c r="A13725" s="22" t="s">
        <v>8</v>
      </c>
      <c r="B13725" s="18" t="str">
        <f>"525459"</f>
        <v>525459</v>
      </c>
      <c r="C13725" s="19" t="s">
        <v>13485</v>
      </c>
      <c r="D13725" s="19" t="s">
        <v>29123</v>
      </c>
      <c r="E13725" s="19" t="s">
        <v>35627</v>
      </c>
      <c r="F13725" s="19" t="s">
        <v>36024</v>
      </c>
      <c r="G13725" s="18" t="str">
        <f>"54501"</f>
        <v>54501</v>
      </c>
      <c r="H13725" s="19" t="s">
        <v>34140</v>
      </c>
      <c r="I13725" s="20">
        <v>18.373999999999999</v>
      </c>
      <c r="J13725" s="44" t="s">
        <v>8</v>
      </c>
      <c r="K13725" s="23" t="s">
        <v>8</v>
      </c>
      <c r="L13725" s="23" t="s">
        <v>8</v>
      </c>
      <c r="M13725" s="23" t="s">
        <v>8</v>
      </c>
    </row>
    <row r="13726" spans="1:13" s="21" customFormat="1" x14ac:dyDescent="0.25">
      <c r="A13726" s="22" t="s">
        <v>8</v>
      </c>
      <c r="B13726" s="18" t="str">
        <f>"525460"</f>
        <v>525460</v>
      </c>
      <c r="C13726" s="19" t="s">
        <v>13486</v>
      </c>
      <c r="D13726" s="19" t="s">
        <v>29124</v>
      </c>
      <c r="E13726" s="19" t="s">
        <v>35628</v>
      </c>
      <c r="F13726" s="19" t="s">
        <v>36024</v>
      </c>
      <c r="G13726" s="18" t="str">
        <f>"54742"</f>
        <v>54742</v>
      </c>
      <c r="H13726" s="19" t="s">
        <v>35589</v>
      </c>
      <c r="I13726" s="20">
        <v>18.02</v>
      </c>
      <c r="J13726" s="44" t="s">
        <v>8</v>
      </c>
      <c r="K13726" s="23" t="s">
        <v>8</v>
      </c>
      <c r="L13726" s="23" t="s">
        <v>8</v>
      </c>
      <c r="M13726" s="23" t="s">
        <v>8</v>
      </c>
    </row>
    <row r="13727" spans="1:13" s="21" customFormat="1" x14ac:dyDescent="0.25">
      <c r="A13727" s="22" t="s">
        <v>8</v>
      </c>
      <c r="B13727" s="18" t="str">
        <f>"525461"</f>
        <v>525461</v>
      </c>
      <c r="C13727" s="19" t="s">
        <v>13487</v>
      </c>
      <c r="D13727" s="19" t="s">
        <v>29125</v>
      </c>
      <c r="E13727" s="19" t="s">
        <v>35629</v>
      </c>
      <c r="F13727" s="19" t="s">
        <v>36024</v>
      </c>
      <c r="G13727" s="18" t="str">
        <f>"53086"</f>
        <v>53086</v>
      </c>
      <c r="H13727" s="19" t="s">
        <v>31500</v>
      </c>
      <c r="I13727" s="20">
        <v>16.657</v>
      </c>
      <c r="J13727" s="44" t="s">
        <v>8</v>
      </c>
      <c r="K13727" s="23" t="s">
        <v>8</v>
      </c>
      <c r="L13727" s="23" t="s">
        <v>8</v>
      </c>
      <c r="M13727" s="23" t="s">
        <v>8</v>
      </c>
    </row>
    <row r="13728" spans="1:13" s="21" customFormat="1" x14ac:dyDescent="0.25">
      <c r="A13728" s="22" t="s">
        <v>8</v>
      </c>
      <c r="B13728" s="18" t="str">
        <f>"525462"</f>
        <v>525462</v>
      </c>
      <c r="C13728" s="19" t="s">
        <v>13488</v>
      </c>
      <c r="D13728" s="19" t="s">
        <v>29126</v>
      </c>
      <c r="E13728" s="19" t="s">
        <v>35630</v>
      </c>
      <c r="F13728" s="19" t="s">
        <v>36024</v>
      </c>
      <c r="G13728" s="18" t="str">
        <f>"53583"</f>
        <v>53583</v>
      </c>
      <c r="H13728" s="19" t="s">
        <v>36923</v>
      </c>
      <c r="I13728" s="20">
        <v>17.050999999999998</v>
      </c>
      <c r="J13728" s="44" t="s">
        <v>8</v>
      </c>
      <c r="K13728" s="23" t="s">
        <v>8</v>
      </c>
      <c r="L13728" s="23" t="s">
        <v>8</v>
      </c>
      <c r="M13728" s="23" t="s">
        <v>8</v>
      </c>
    </row>
    <row r="13729" spans="1:13" s="21" customFormat="1" x14ac:dyDescent="0.25">
      <c r="A13729" s="22" t="s">
        <v>8</v>
      </c>
      <c r="B13729" s="18" t="str">
        <f>"525463"</f>
        <v>525463</v>
      </c>
      <c r="C13729" s="19" t="s">
        <v>13489</v>
      </c>
      <c r="D13729" s="19" t="s">
        <v>29127</v>
      </c>
      <c r="E13729" s="19" t="s">
        <v>35631</v>
      </c>
      <c r="F13729" s="19" t="s">
        <v>36024</v>
      </c>
      <c r="G13729" s="18" t="str">
        <f>"54952"</f>
        <v>54952</v>
      </c>
      <c r="H13729" s="19" t="s">
        <v>36233</v>
      </c>
      <c r="I13729" s="20">
        <v>17.779</v>
      </c>
      <c r="J13729" s="44" t="s">
        <v>8</v>
      </c>
      <c r="K13729" s="23" t="s">
        <v>8</v>
      </c>
      <c r="L13729" s="23" t="s">
        <v>8</v>
      </c>
      <c r="M13729" s="23" t="s">
        <v>8</v>
      </c>
    </row>
    <row r="13730" spans="1:13" s="21" customFormat="1" x14ac:dyDescent="0.25">
      <c r="A13730" s="22" t="s">
        <v>8</v>
      </c>
      <c r="B13730" s="18" t="str">
        <f>"525465"</f>
        <v>525465</v>
      </c>
      <c r="C13730" s="19" t="s">
        <v>13490</v>
      </c>
      <c r="D13730" s="19" t="s">
        <v>29128</v>
      </c>
      <c r="E13730" s="19" t="s">
        <v>32502</v>
      </c>
      <c r="F13730" s="19" t="s">
        <v>36024</v>
      </c>
      <c r="G13730" s="18" t="str">
        <f>"53095"</f>
        <v>53095</v>
      </c>
      <c r="H13730" s="19" t="s">
        <v>31500</v>
      </c>
      <c r="I13730" s="20">
        <v>17.516999999999999</v>
      </c>
      <c r="J13730" s="44" t="s">
        <v>8</v>
      </c>
      <c r="K13730" s="23" t="s">
        <v>8</v>
      </c>
      <c r="L13730" s="23" t="s">
        <v>8</v>
      </c>
      <c r="M13730" s="23" t="s">
        <v>8</v>
      </c>
    </row>
    <row r="13731" spans="1:13" s="21" customFormat="1" x14ac:dyDescent="0.25">
      <c r="A13731" s="22" t="s">
        <v>8</v>
      </c>
      <c r="B13731" s="18" t="str">
        <f>"525466"</f>
        <v>525466</v>
      </c>
      <c r="C13731" s="19" t="s">
        <v>13491</v>
      </c>
      <c r="D13731" s="19" t="s">
        <v>29129</v>
      </c>
      <c r="E13731" s="19" t="s">
        <v>31247</v>
      </c>
      <c r="F13731" s="19" t="s">
        <v>36024</v>
      </c>
      <c r="G13731" s="18" t="str">
        <f>"54767"</f>
        <v>54767</v>
      </c>
      <c r="H13731" s="19" t="s">
        <v>33791</v>
      </c>
      <c r="I13731" s="20">
        <v>17.731000000000002</v>
      </c>
      <c r="J13731" s="44" t="s">
        <v>8</v>
      </c>
      <c r="K13731" s="23" t="s">
        <v>8</v>
      </c>
      <c r="L13731" s="23" t="s">
        <v>8</v>
      </c>
      <c r="M13731" s="23" t="s">
        <v>8</v>
      </c>
    </row>
    <row r="13732" spans="1:13" s="21" customFormat="1" x14ac:dyDescent="0.25">
      <c r="A13732" s="22" t="s">
        <v>8</v>
      </c>
      <c r="B13732" s="18" t="str">
        <f>"525467"</f>
        <v>525467</v>
      </c>
      <c r="C13732" s="19" t="s">
        <v>9539</v>
      </c>
      <c r="D13732" s="19" t="s">
        <v>29130</v>
      </c>
      <c r="E13732" s="19" t="s">
        <v>35632</v>
      </c>
      <c r="F13732" s="19" t="s">
        <v>36024</v>
      </c>
      <c r="G13732" s="18" t="str">
        <f>"54151"</f>
        <v>54151</v>
      </c>
      <c r="H13732" s="19" t="s">
        <v>35634</v>
      </c>
      <c r="I13732" s="20">
        <v>16.597000000000001</v>
      </c>
      <c r="J13732" s="44" t="s">
        <v>8</v>
      </c>
      <c r="K13732" s="23" t="s">
        <v>8</v>
      </c>
      <c r="L13732" s="23" t="s">
        <v>8</v>
      </c>
      <c r="M13732" s="23" t="s">
        <v>8</v>
      </c>
    </row>
    <row r="13733" spans="1:13" s="21" customFormat="1" x14ac:dyDescent="0.25">
      <c r="A13733" s="22" t="s">
        <v>8</v>
      </c>
      <c r="B13733" s="18" t="str">
        <f>"525468"</f>
        <v>525468</v>
      </c>
      <c r="C13733" s="19" t="s">
        <v>13492</v>
      </c>
      <c r="D13733" s="19" t="s">
        <v>29131</v>
      </c>
      <c r="E13733" s="19" t="s">
        <v>35537</v>
      </c>
      <c r="F13733" s="19" t="s">
        <v>36024</v>
      </c>
      <c r="G13733" s="18" t="str">
        <f>"54017"</f>
        <v>54017</v>
      </c>
      <c r="H13733" s="19" t="s">
        <v>36924</v>
      </c>
      <c r="I13733" s="20">
        <v>17.233000000000001</v>
      </c>
      <c r="J13733" s="44" t="s">
        <v>8</v>
      </c>
      <c r="K13733" s="23" t="s">
        <v>8</v>
      </c>
      <c r="L13733" s="23" t="s">
        <v>8</v>
      </c>
      <c r="M13733" s="23" t="s">
        <v>8</v>
      </c>
    </row>
    <row r="13734" spans="1:13" s="21" customFormat="1" x14ac:dyDescent="0.25">
      <c r="A13734" s="22" t="s">
        <v>8</v>
      </c>
      <c r="B13734" s="18" t="str">
        <f>"525472"</f>
        <v>525472</v>
      </c>
      <c r="C13734" s="19" t="s">
        <v>13493</v>
      </c>
      <c r="D13734" s="19" t="s">
        <v>29132</v>
      </c>
      <c r="E13734" s="19" t="s">
        <v>35633</v>
      </c>
      <c r="F13734" s="19" t="s">
        <v>36024</v>
      </c>
      <c r="G13734" s="18" t="str">
        <f>"54771"</f>
        <v>54771</v>
      </c>
      <c r="H13734" s="19" t="s">
        <v>33967</v>
      </c>
      <c r="I13734" s="20">
        <v>17.353000000000002</v>
      </c>
      <c r="J13734" s="44" t="s">
        <v>8</v>
      </c>
      <c r="K13734" s="23" t="s">
        <v>8</v>
      </c>
      <c r="L13734" s="23" t="s">
        <v>8</v>
      </c>
      <c r="M13734" s="23" t="s">
        <v>8</v>
      </c>
    </row>
    <row r="13735" spans="1:13" s="21" customFormat="1" x14ac:dyDescent="0.25">
      <c r="A13735" s="22" t="s">
        <v>8</v>
      </c>
      <c r="B13735" s="18" t="str">
        <f>"525474"</f>
        <v>525474</v>
      </c>
      <c r="C13735" s="19" t="s">
        <v>13494</v>
      </c>
      <c r="D13735" s="19" t="s">
        <v>29133</v>
      </c>
      <c r="E13735" s="19" t="s">
        <v>35594</v>
      </c>
      <c r="F13735" s="19" t="s">
        <v>36024</v>
      </c>
      <c r="G13735" s="18" t="str">
        <f>"53533"</f>
        <v>53533</v>
      </c>
      <c r="H13735" s="19" t="s">
        <v>36288</v>
      </c>
      <c r="I13735" s="20">
        <v>20.577000000000002</v>
      </c>
      <c r="J13735" s="44" t="s">
        <v>8</v>
      </c>
      <c r="K13735" s="23" t="s">
        <v>8</v>
      </c>
      <c r="L13735" s="23" t="s">
        <v>8</v>
      </c>
      <c r="M13735" s="23" t="s">
        <v>8</v>
      </c>
    </row>
    <row r="13736" spans="1:13" s="21" customFormat="1" x14ac:dyDescent="0.25">
      <c r="A13736" s="22" t="s">
        <v>8</v>
      </c>
      <c r="B13736" s="18" t="str">
        <f>"525475"</f>
        <v>525475</v>
      </c>
      <c r="C13736" s="19" t="s">
        <v>13495</v>
      </c>
      <c r="D13736" s="19" t="s">
        <v>29134</v>
      </c>
      <c r="E13736" s="19" t="s">
        <v>35599</v>
      </c>
      <c r="F13736" s="19" t="s">
        <v>36024</v>
      </c>
      <c r="G13736" s="18" t="str">
        <f>"54220"</f>
        <v>54220</v>
      </c>
      <c r="H13736" s="19" t="s">
        <v>35599</v>
      </c>
      <c r="I13736" s="20">
        <v>17.824000000000002</v>
      </c>
      <c r="J13736" s="44" t="s">
        <v>8</v>
      </c>
      <c r="K13736" s="23" t="s">
        <v>8</v>
      </c>
      <c r="L13736" s="23" t="s">
        <v>8</v>
      </c>
      <c r="M13736" s="23" t="s">
        <v>8</v>
      </c>
    </row>
    <row r="13737" spans="1:13" s="21" customFormat="1" x14ac:dyDescent="0.25">
      <c r="A13737" s="22" t="s">
        <v>8</v>
      </c>
      <c r="B13737" s="18" t="str">
        <f>"525476"</f>
        <v>525476</v>
      </c>
      <c r="C13737" s="19" t="s">
        <v>13496</v>
      </c>
      <c r="D13737" s="19" t="s">
        <v>29135</v>
      </c>
      <c r="E13737" s="19" t="s">
        <v>35634</v>
      </c>
      <c r="F13737" s="19" t="s">
        <v>36024</v>
      </c>
      <c r="G13737" s="18" t="str">
        <f>"54143"</f>
        <v>54143</v>
      </c>
      <c r="H13737" s="19" t="s">
        <v>35634</v>
      </c>
      <c r="I13737" s="20">
        <v>19.465</v>
      </c>
      <c r="J13737" s="44" t="s">
        <v>8</v>
      </c>
      <c r="K13737" s="23" t="s">
        <v>8</v>
      </c>
      <c r="L13737" s="23" t="s">
        <v>8</v>
      </c>
      <c r="M13737" s="23" t="s">
        <v>8</v>
      </c>
    </row>
    <row r="13738" spans="1:13" s="21" customFormat="1" x14ac:dyDescent="0.25">
      <c r="A13738" s="22" t="s">
        <v>8</v>
      </c>
      <c r="B13738" s="18" t="str">
        <f>"525477"</f>
        <v>525477</v>
      </c>
      <c r="C13738" s="19" t="s">
        <v>13497</v>
      </c>
      <c r="D13738" s="19" t="s">
        <v>29136</v>
      </c>
      <c r="E13738" s="19" t="s">
        <v>35635</v>
      </c>
      <c r="F13738" s="19" t="s">
        <v>36024</v>
      </c>
      <c r="G13738" s="18" t="str">
        <f>"53235"</f>
        <v>53235</v>
      </c>
      <c r="H13738" s="19" t="s">
        <v>35552</v>
      </c>
      <c r="I13738" s="20">
        <v>19.887</v>
      </c>
      <c r="J13738" s="44" t="s">
        <v>8</v>
      </c>
      <c r="K13738" s="23" t="s">
        <v>8</v>
      </c>
      <c r="L13738" s="23" t="s">
        <v>8</v>
      </c>
      <c r="M13738" s="23" t="s">
        <v>8</v>
      </c>
    </row>
    <row r="13739" spans="1:13" s="21" customFormat="1" x14ac:dyDescent="0.25">
      <c r="A13739" s="22" t="s">
        <v>8</v>
      </c>
      <c r="B13739" s="18" t="str">
        <f>"525479"</f>
        <v>525479</v>
      </c>
      <c r="C13739" s="19" t="s">
        <v>13498</v>
      </c>
      <c r="D13739" s="19" t="s">
        <v>29137</v>
      </c>
      <c r="E13739" s="19" t="s">
        <v>35636</v>
      </c>
      <c r="F13739" s="19" t="s">
        <v>36024</v>
      </c>
      <c r="G13739" s="18" t="str">
        <f>"54724"</f>
        <v>54724</v>
      </c>
      <c r="H13739" s="19" t="s">
        <v>36439</v>
      </c>
      <c r="I13739" s="20">
        <v>18.253</v>
      </c>
      <c r="J13739" s="44" t="s">
        <v>8</v>
      </c>
      <c r="K13739" s="23" t="s">
        <v>8</v>
      </c>
      <c r="L13739" s="23" t="s">
        <v>8</v>
      </c>
      <c r="M13739" s="23" t="s">
        <v>8</v>
      </c>
    </row>
    <row r="13740" spans="1:13" s="21" customFormat="1" x14ac:dyDescent="0.25">
      <c r="A13740" s="22" t="s">
        <v>8</v>
      </c>
      <c r="B13740" s="18" t="str">
        <f>"525480"</f>
        <v>525480</v>
      </c>
      <c r="C13740" s="19" t="s">
        <v>13499</v>
      </c>
      <c r="D13740" s="19" t="s">
        <v>29138</v>
      </c>
      <c r="E13740" s="19" t="s">
        <v>35616</v>
      </c>
      <c r="F13740" s="19" t="s">
        <v>36024</v>
      </c>
      <c r="G13740" s="18" t="str">
        <f>"54751"</f>
        <v>54751</v>
      </c>
      <c r="H13740" s="19" t="s">
        <v>34314</v>
      </c>
      <c r="I13740" s="20">
        <v>16.492999999999999</v>
      </c>
      <c r="J13740" s="44" t="s">
        <v>8</v>
      </c>
      <c r="K13740" s="23" t="s">
        <v>8</v>
      </c>
      <c r="L13740" s="23" t="s">
        <v>8</v>
      </c>
      <c r="M13740" s="23" t="s">
        <v>8</v>
      </c>
    </row>
    <row r="13741" spans="1:13" s="21" customFormat="1" x14ac:dyDescent="0.25">
      <c r="A13741" s="22" t="s">
        <v>8</v>
      </c>
      <c r="B13741" s="18" t="str">
        <f>"525481"</f>
        <v>525481</v>
      </c>
      <c r="C13741" s="19" t="s">
        <v>13500</v>
      </c>
      <c r="D13741" s="19" t="s">
        <v>29139</v>
      </c>
      <c r="E13741" s="19" t="s">
        <v>35637</v>
      </c>
      <c r="F13741" s="19" t="s">
        <v>36024</v>
      </c>
      <c r="G13741" s="18" t="str">
        <f>"54956"</f>
        <v>54956</v>
      </c>
      <c r="H13741" s="19" t="s">
        <v>36233</v>
      </c>
      <c r="I13741" s="20">
        <v>18.905000000000001</v>
      </c>
      <c r="J13741" s="44" t="s">
        <v>8</v>
      </c>
      <c r="K13741" s="23" t="s">
        <v>8</v>
      </c>
      <c r="L13741" s="23" t="s">
        <v>8</v>
      </c>
      <c r="M13741" s="23" t="s">
        <v>8</v>
      </c>
    </row>
    <row r="13742" spans="1:13" s="21" customFormat="1" x14ac:dyDescent="0.25">
      <c r="A13742" s="22" t="s">
        <v>8</v>
      </c>
      <c r="B13742" s="18" t="str">
        <f>"525482"</f>
        <v>525482</v>
      </c>
      <c r="C13742" s="19" t="s">
        <v>13501</v>
      </c>
      <c r="D13742" s="19" t="s">
        <v>29140</v>
      </c>
      <c r="E13742" s="19" t="s">
        <v>31369</v>
      </c>
      <c r="F13742" s="19" t="s">
        <v>36024</v>
      </c>
      <c r="G13742" s="18" t="str">
        <f>"53105"</f>
        <v>53105</v>
      </c>
      <c r="H13742" s="19" t="s">
        <v>35550</v>
      </c>
      <c r="I13742" s="20">
        <v>17.234000000000002</v>
      </c>
      <c r="J13742" s="44" t="s">
        <v>8</v>
      </c>
      <c r="K13742" s="23" t="s">
        <v>8</v>
      </c>
      <c r="L13742" s="23" t="s">
        <v>8</v>
      </c>
      <c r="M13742" s="23" t="s">
        <v>8</v>
      </c>
    </row>
    <row r="13743" spans="1:13" s="21" customFormat="1" x14ac:dyDescent="0.25">
      <c r="A13743" s="22" t="s">
        <v>8</v>
      </c>
      <c r="B13743" s="18" t="str">
        <f>"525483"</f>
        <v>525483</v>
      </c>
      <c r="C13743" s="19" t="s">
        <v>13502</v>
      </c>
      <c r="D13743" s="19" t="s">
        <v>29141</v>
      </c>
      <c r="E13743" s="19" t="s">
        <v>32587</v>
      </c>
      <c r="F13743" s="19" t="s">
        <v>36024</v>
      </c>
      <c r="G13743" s="18" t="str">
        <f>"54011"</f>
        <v>54011</v>
      </c>
      <c r="H13743" s="19" t="s">
        <v>33791</v>
      </c>
      <c r="I13743" s="20">
        <v>17.463000000000001</v>
      </c>
      <c r="J13743" s="44" t="s">
        <v>8</v>
      </c>
      <c r="K13743" s="23" t="s">
        <v>8</v>
      </c>
      <c r="L13743" s="23" t="s">
        <v>8</v>
      </c>
      <c r="M13743" s="23" t="s">
        <v>8</v>
      </c>
    </row>
    <row r="13744" spans="1:13" s="21" customFormat="1" x14ac:dyDescent="0.25">
      <c r="A13744" s="22" t="s">
        <v>8</v>
      </c>
      <c r="B13744" s="18" t="str">
        <f>"525484"</f>
        <v>525484</v>
      </c>
      <c r="C13744" s="19" t="s">
        <v>13503</v>
      </c>
      <c r="D13744" s="19" t="s">
        <v>29142</v>
      </c>
      <c r="E13744" s="19" t="s">
        <v>33345</v>
      </c>
      <c r="F13744" s="19" t="s">
        <v>36024</v>
      </c>
      <c r="G13744" s="18" t="str">
        <f>"54911"</f>
        <v>54911</v>
      </c>
      <c r="H13744" s="19" t="s">
        <v>36927</v>
      </c>
      <c r="I13744" s="20">
        <v>17.36</v>
      </c>
      <c r="J13744" s="44" t="s">
        <v>8</v>
      </c>
      <c r="K13744" s="23" t="s">
        <v>8</v>
      </c>
      <c r="L13744" s="23" t="s">
        <v>8</v>
      </c>
      <c r="M13744" s="23" t="s">
        <v>8</v>
      </c>
    </row>
    <row r="13745" spans="1:13" s="21" customFormat="1" x14ac:dyDescent="0.25">
      <c r="A13745" s="22" t="s">
        <v>8</v>
      </c>
      <c r="B13745" s="18" t="str">
        <f>"525485"</f>
        <v>525485</v>
      </c>
      <c r="C13745" s="19" t="s">
        <v>13504</v>
      </c>
      <c r="D13745" s="19" t="s">
        <v>29143</v>
      </c>
      <c r="E13745" s="19" t="s">
        <v>34971</v>
      </c>
      <c r="F13745" s="19" t="s">
        <v>36024</v>
      </c>
      <c r="G13745" s="18" t="str">
        <f>"53593"</f>
        <v>53593</v>
      </c>
      <c r="H13745" s="19" t="s">
        <v>36925</v>
      </c>
      <c r="I13745" s="20">
        <v>18.521999999999998</v>
      </c>
      <c r="J13745" s="44" t="s">
        <v>8</v>
      </c>
      <c r="K13745" s="23" t="s">
        <v>8</v>
      </c>
      <c r="L13745" s="23" t="s">
        <v>8</v>
      </c>
      <c r="M13745" s="23" t="s">
        <v>8</v>
      </c>
    </row>
    <row r="13746" spans="1:13" s="21" customFormat="1" x14ac:dyDescent="0.25">
      <c r="A13746" s="22" t="s">
        <v>8</v>
      </c>
      <c r="B13746" s="18" t="str">
        <f>"525486"</f>
        <v>525486</v>
      </c>
      <c r="C13746" s="19" t="s">
        <v>13505</v>
      </c>
      <c r="D13746" s="19" t="s">
        <v>29144</v>
      </c>
      <c r="E13746" s="19" t="s">
        <v>35548</v>
      </c>
      <c r="F13746" s="19" t="s">
        <v>36024</v>
      </c>
      <c r="G13746" s="18" t="str">
        <f>"54303"</f>
        <v>54303</v>
      </c>
      <c r="H13746" s="19" t="s">
        <v>36244</v>
      </c>
      <c r="I13746" s="20">
        <v>20.22</v>
      </c>
      <c r="J13746" s="44" t="s">
        <v>8</v>
      </c>
      <c r="K13746" s="23" t="s">
        <v>8</v>
      </c>
      <c r="L13746" s="23" t="s">
        <v>8</v>
      </c>
      <c r="M13746" s="23" t="s">
        <v>8</v>
      </c>
    </row>
    <row r="13747" spans="1:13" s="21" customFormat="1" x14ac:dyDescent="0.25">
      <c r="A13747" s="22" t="s">
        <v>8</v>
      </c>
      <c r="B13747" s="18" t="str">
        <f>"525487"</f>
        <v>525487</v>
      </c>
      <c r="C13747" s="19" t="s">
        <v>13506</v>
      </c>
      <c r="D13747" s="19" t="s">
        <v>29145</v>
      </c>
      <c r="E13747" s="19" t="s">
        <v>32586</v>
      </c>
      <c r="F13747" s="19" t="s">
        <v>36024</v>
      </c>
      <c r="G13747" s="18" t="str">
        <f>"54945"</f>
        <v>54945</v>
      </c>
      <c r="H13747" s="19" t="s">
        <v>35580</v>
      </c>
      <c r="I13747" s="20">
        <v>17.440000000000001</v>
      </c>
      <c r="J13747" s="44" t="s">
        <v>8</v>
      </c>
      <c r="K13747" s="23" t="s">
        <v>8</v>
      </c>
      <c r="L13747" s="23" t="s">
        <v>8</v>
      </c>
      <c r="M13747" s="23" t="s">
        <v>8</v>
      </c>
    </row>
    <row r="13748" spans="1:13" s="21" customFormat="1" x14ac:dyDescent="0.25">
      <c r="A13748" s="22" t="s">
        <v>8</v>
      </c>
      <c r="B13748" s="18" t="str">
        <f>"525488"</f>
        <v>525488</v>
      </c>
      <c r="C13748" s="19" t="s">
        <v>13507</v>
      </c>
      <c r="D13748" s="19" t="s">
        <v>29146</v>
      </c>
      <c r="E13748" s="19" t="s">
        <v>35607</v>
      </c>
      <c r="F13748" s="19" t="s">
        <v>36024</v>
      </c>
      <c r="G13748" s="18" t="str">
        <f>"54615"</f>
        <v>54615</v>
      </c>
      <c r="H13748" s="19" t="s">
        <v>30816</v>
      </c>
      <c r="I13748" s="20">
        <v>18.850000000000001</v>
      </c>
      <c r="J13748" s="44" t="s">
        <v>8</v>
      </c>
      <c r="K13748" s="23" t="s">
        <v>8</v>
      </c>
      <c r="L13748" s="23" t="s">
        <v>8</v>
      </c>
      <c r="M13748" s="23" t="s">
        <v>8</v>
      </c>
    </row>
    <row r="13749" spans="1:13" s="21" customFormat="1" x14ac:dyDescent="0.25">
      <c r="A13749" s="22" t="s">
        <v>8</v>
      </c>
      <c r="B13749" s="18" t="str">
        <f>"525489"</f>
        <v>525489</v>
      </c>
      <c r="C13749" s="19" t="s">
        <v>13508</v>
      </c>
      <c r="D13749" s="19" t="s">
        <v>29147</v>
      </c>
      <c r="E13749" s="19" t="s">
        <v>35638</v>
      </c>
      <c r="F13749" s="19" t="s">
        <v>36024</v>
      </c>
      <c r="G13749" s="18" t="str">
        <f>"54114"</f>
        <v>54114</v>
      </c>
      <c r="H13749" s="19" t="s">
        <v>35634</v>
      </c>
      <c r="I13749" s="20">
        <v>24.327999999999999</v>
      </c>
      <c r="J13749" s="44" t="s">
        <v>8</v>
      </c>
      <c r="K13749" s="23" t="s">
        <v>8</v>
      </c>
      <c r="L13749" s="23" t="s">
        <v>8</v>
      </c>
      <c r="M13749" s="23" t="s">
        <v>8</v>
      </c>
    </row>
    <row r="13750" spans="1:13" s="21" customFormat="1" x14ac:dyDescent="0.25">
      <c r="A13750" s="22" t="s">
        <v>8</v>
      </c>
      <c r="B13750" s="18" t="str">
        <f>"525490"</f>
        <v>525490</v>
      </c>
      <c r="C13750" s="19" t="s">
        <v>13509</v>
      </c>
      <c r="D13750" s="19" t="s">
        <v>29148</v>
      </c>
      <c r="E13750" s="19" t="s">
        <v>35561</v>
      </c>
      <c r="F13750" s="19" t="s">
        <v>36024</v>
      </c>
      <c r="G13750" s="18" t="str">
        <f>"53186"</f>
        <v>53186</v>
      </c>
      <c r="H13750" s="19" t="s">
        <v>35561</v>
      </c>
      <c r="I13750" s="20">
        <v>18.495000000000001</v>
      </c>
      <c r="J13750" s="44" t="s">
        <v>8</v>
      </c>
      <c r="K13750" s="23" t="s">
        <v>8</v>
      </c>
      <c r="L13750" s="23" t="s">
        <v>8</v>
      </c>
      <c r="M13750" s="23" t="s">
        <v>8</v>
      </c>
    </row>
    <row r="13751" spans="1:13" s="21" customFormat="1" x14ac:dyDescent="0.25">
      <c r="A13751" s="22" t="s">
        <v>8</v>
      </c>
      <c r="B13751" s="18" t="str">
        <f>"525493"</f>
        <v>525493</v>
      </c>
      <c r="C13751" s="19" t="s">
        <v>13510</v>
      </c>
      <c r="D13751" s="19" t="s">
        <v>29149</v>
      </c>
      <c r="E13751" s="19" t="s">
        <v>35552</v>
      </c>
      <c r="F13751" s="19" t="s">
        <v>36024</v>
      </c>
      <c r="G13751" s="18" t="str">
        <f>"53220"</f>
        <v>53220</v>
      </c>
      <c r="H13751" s="19" t="s">
        <v>35552</v>
      </c>
      <c r="I13751" s="20">
        <v>17.608000000000001</v>
      </c>
      <c r="J13751" s="44" t="s">
        <v>8</v>
      </c>
      <c r="K13751" s="23" t="s">
        <v>8</v>
      </c>
      <c r="L13751" s="23" t="s">
        <v>8</v>
      </c>
      <c r="M13751" s="23" t="s">
        <v>8</v>
      </c>
    </row>
    <row r="13752" spans="1:13" s="21" customFormat="1" x14ac:dyDescent="0.25">
      <c r="A13752" s="22" t="s">
        <v>8</v>
      </c>
      <c r="B13752" s="18" t="str">
        <f>"525494"</f>
        <v>525494</v>
      </c>
      <c r="C13752" s="19" t="s">
        <v>13511</v>
      </c>
      <c r="D13752" s="19" t="s">
        <v>29150</v>
      </c>
      <c r="E13752" s="19" t="s">
        <v>35639</v>
      </c>
      <c r="F13752" s="19" t="s">
        <v>36024</v>
      </c>
      <c r="G13752" s="18" t="str">
        <f>"54234"</f>
        <v>54234</v>
      </c>
      <c r="H13752" s="19" t="s">
        <v>36929</v>
      </c>
      <c r="I13752" s="20">
        <v>17.317</v>
      </c>
      <c r="J13752" s="44" t="s">
        <v>8</v>
      </c>
      <c r="K13752" s="23" t="s">
        <v>8</v>
      </c>
      <c r="L13752" s="23" t="s">
        <v>8</v>
      </c>
      <c r="M13752" s="23" t="s">
        <v>8</v>
      </c>
    </row>
    <row r="13753" spans="1:13" s="21" customFormat="1" x14ac:dyDescent="0.25">
      <c r="A13753" s="22" t="s">
        <v>8</v>
      </c>
      <c r="B13753" s="18" t="str">
        <f>"525495"</f>
        <v>525495</v>
      </c>
      <c r="C13753" s="19" t="s">
        <v>13512</v>
      </c>
      <c r="D13753" s="19" t="s">
        <v>29151</v>
      </c>
      <c r="E13753" s="19" t="s">
        <v>35550</v>
      </c>
      <c r="F13753" s="19" t="s">
        <v>36024</v>
      </c>
      <c r="G13753" s="18" t="str">
        <f>"53403"</f>
        <v>53403</v>
      </c>
      <c r="H13753" s="19" t="s">
        <v>35550</v>
      </c>
      <c r="I13753" s="20">
        <v>21.942</v>
      </c>
      <c r="J13753" s="44" t="s">
        <v>8</v>
      </c>
      <c r="K13753" s="23" t="s">
        <v>8</v>
      </c>
      <c r="L13753" s="23" t="s">
        <v>8</v>
      </c>
      <c r="M13753" s="23" t="s">
        <v>8</v>
      </c>
    </row>
    <row r="13754" spans="1:13" s="21" customFormat="1" x14ac:dyDescent="0.25">
      <c r="A13754" s="22" t="s">
        <v>8</v>
      </c>
      <c r="B13754" s="18" t="str">
        <f>"525496"</f>
        <v>525496</v>
      </c>
      <c r="C13754" s="19" t="s">
        <v>13513</v>
      </c>
      <c r="D13754" s="19" t="s">
        <v>29152</v>
      </c>
      <c r="E13754" s="19" t="s">
        <v>35640</v>
      </c>
      <c r="F13754" s="19" t="s">
        <v>36024</v>
      </c>
      <c r="G13754" s="18" t="str">
        <f>"54984"</f>
        <v>54984</v>
      </c>
      <c r="H13754" s="19" t="s">
        <v>36933</v>
      </c>
      <c r="I13754" s="20">
        <v>17.27</v>
      </c>
      <c r="J13754" s="44" t="s">
        <v>8</v>
      </c>
      <c r="K13754" s="23" t="s">
        <v>8</v>
      </c>
      <c r="L13754" s="23" t="s">
        <v>8</v>
      </c>
      <c r="M13754" s="23" t="s">
        <v>8</v>
      </c>
    </row>
    <row r="13755" spans="1:13" s="21" customFormat="1" x14ac:dyDescent="0.25">
      <c r="A13755" s="22" t="s">
        <v>8</v>
      </c>
      <c r="B13755" s="18" t="str">
        <f>"525497"</f>
        <v>525497</v>
      </c>
      <c r="C13755" s="19" t="s">
        <v>13514</v>
      </c>
      <c r="D13755" s="19" t="s">
        <v>29153</v>
      </c>
      <c r="E13755" s="19" t="s">
        <v>35582</v>
      </c>
      <c r="F13755" s="19" t="s">
        <v>36024</v>
      </c>
      <c r="G13755" s="18" t="str">
        <f>"54929"</f>
        <v>54929</v>
      </c>
      <c r="H13755" s="19" t="s">
        <v>35580</v>
      </c>
      <c r="I13755" s="20">
        <v>19.596</v>
      </c>
      <c r="J13755" s="44" t="s">
        <v>8</v>
      </c>
      <c r="K13755" s="23" t="s">
        <v>8</v>
      </c>
      <c r="L13755" s="23" t="s">
        <v>8</v>
      </c>
      <c r="M13755" s="23" t="s">
        <v>8</v>
      </c>
    </row>
    <row r="13756" spans="1:13" s="21" customFormat="1" x14ac:dyDescent="0.25">
      <c r="A13756" s="22" t="s">
        <v>8</v>
      </c>
      <c r="B13756" s="18" t="str">
        <f>"525498"</f>
        <v>525498</v>
      </c>
      <c r="C13756" s="19" t="s">
        <v>9144</v>
      </c>
      <c r="D13756" s="19" t="s">
        <v>29154</v>
      </c>
      <c r="E13756" s="19" t="s">
        <v>35552</v>
      </c>
      <c r="F13756" s="19" t="s">
        <v>36024</v>
      </c>
      <c r="G13756" s="18" t="str">
        <f>"53223"</f>
        <v>53223</v>
      </c>
      <c r="H13756" s="19" t="s">
        <v>35552</v>
      </c>
      <c r="I13756" s="20">
        <v>15.247999999999999</v>
      </c>
      <c r="J13756" s="44" t="s">
        <v>8</v>
      </c>
      <c r="K13756" s="23" t="s">
        <v>8</v>
      </c>
      <c r="L13756" s="23" t="s">
        <v>8</v>
      </c>
      <c r="M13756" s="23" t="s">
        <v>8</v>
      </c>
    </row>
    <row r="13757" spans="1:13" s="21" customFormat="1" x14ac:dyDescent="0.25">
      <c r="A13757" s="22" t="s">
        <v>8</v>
      </c>
      <c r="B13757" s="18" t="str">
        <f>"525499"</f>
        <v>525499</v>
      </c>
      <c r="C13757" s="19" t="s">
        <v>13515</v>
      </c>
      <c r="D13757" s="19" t="s">
        <v>29155</v>
      </c>
      <c r="E13757" s="19" t="s">
        <v>32844</v>
      </c>
      <c r="F13757" s="19" t="s">
        <v>36024</v>
      </c>
      <c r="G13757" s="18" t="str">
        <f>"54015"</f>
        <v>54015</v>
      </c>
      <c r="H13757" s="19" t="s">
        <v>36924</v>
      </c>
      <c r="I13757" s="20">
        <v>18.474</v>
      </c>
      <c r="J13757" s="44" t="s">
        <v>8</v>
      </c>
      <c r="K13757" s="23" t="s">
        <v>8</v>
      </c>
      <c r="L13757" s="23" t="s">
        <v>8</v>
      </c>
      <c r="M13757" s="23" t="s">
        <v>8</v>
      </c>
    </row>
    <row r="13758" spans="1:13" s="21" customFormat="1" x14ac:dyDescent="0.25">
      <c r="A13758" s="22" t="s">
        <v>8</v>
      </c>
      <c r="B13758" s="18" t="str">
        <f>"525502"</f>
        <v>525502</v>
      </c>
      <c r="C13758" s="19" t="s">
        <v>13516</v>
      </c>
      <c r="D13758" s="19" t="s">
        <v>29156</v>
      </c>
      <c r="E13758" s="19" t="s">
        <v>31758</v>
      </c>
      <c r="F13758" s="19" t="s">
        <v>36024</v>
      </c>
      <c r="G13758" s="18" t="str">
        <f>"54002"</f>
        <v>54002</v>
      </c>
      <c r="H13758" s="19" t="s">
        <v>36924</v>
      </c>
      <c r="I13758" s="20">
        <v>17.760999999999999</v>
      </c>
      <c r="J13758" s="44" t="s">
        <v>8</v>
      </c>
      <c r="K13758" s="23" t="s">
        <v>8</v>
      </c>
      <c r="L13758" s="23" t="s">
        <v>8</v>
      </c>
      <c r="M13758" s="23" t="s">
        <v>8</v>
      </c>
    </row>
    <row r="13759" spans="1:13" s="21" customFormat="1" x14ac:dyDescent="0.25">
      <c r="A13759" s="22" t="s">
        <v>8</v>
      </c>
      <c r="B13759" s="18" t="str">
        <f>"525503"</f>
        <v>525503</v>
      </c>
      <c r="C13759" s="19" t="s">
        <v>13517</v>
      </c>
      <c r="D13759" s="19" t="s">
        <v>29157</v>
      </c>
      <c r="E13759" s="19" t="s">
        <v>35557</v>
      </c>
      <c r="F13759" s="19" t="s">
        <v>36024</v>
      </c>
      <c r="G13759" s="18" t="str">
        <f>"54401"</f>
        <v>54401</v>
      </c>
      <c r="H13759" s="19" t="s">
        <v>36926</v>
      </c>
      <c r="I13759" s="20">
        <v>17.684999999999999</v>
      </c>
      <c r="J13759" s="44" t="s">
        <v>8</v>
      </c>
      <c r="K13759" s="23" t="s">
        <v>8</v>
      </c>
      <c r="L13759" s="23" t="s">
        <v>8</v>
      </c>
      <c r="M13759" s="23" t="s">
        <v>8</v>
      </c>
    </row>
    <row r="13760" spans="1:13" s="21" customFormat="1" x14ac:dyDescent="0.25">
      <c r="A13760" s="22" t="s">
        <v>8</v>
      </c>
      <c r="B13760" s="18" t="str">
        <f>"525504"</f>
        <v>525504</v>
      </c>
      <c r="C13760" s="19" t="s">
        <v>13518</v>
      </c>
      <c r="D13760" s="19" t="s">
        <v>29158</v>
      </c>
      <c r="E13760" s="19" t="s">
        <v>35552</v>
      </c>
      <c r="F13760" s="19" t="s">
        <v>36024</v>
      </c>
      <c r="G13760" s="18" t="str">
        <f>"53221"</f>
        <v>53221</v>
      </c>
      <c r="H13760" s="19" t="s">
        <v>35552</v>
      </c>
      <c r="I13760" s="20">
        <v>19.177</v>
      </c>
      <c r="J13760" s="44" t="s">
        <v>8</v>
      </c>
      <c r="K13760" s="23" t="s">
        <v>8</v>
      </c>
      <c r="L13760" s="23" t="s">
        <v>8</v>
      </c>
      <c r="M13760" s="23" t="s">
        <v>8</v>
      </c>
    </row>
    <row r="13761" spans="1:13" s="21" customFormat="1" x14ac:dyDescent="0.25">
      <c r="A13761" s="22" t="s">
        <v>8</v>
      </c>
      <c r="B13761" s="18" t="str">
        <f>"525505"</f>
        <v>525505</v>
      </c>
      <c r="C13761" s="19" t="s">
        <v>13519</v>
      </c>
      <c r="D13761" s="19" t="s">
        <v>29159</v>
      </c>
      <c r="E13761" s="19" t="s">
        <v>35589</v>
      </c>
      <c r="F13761" s="19" t="s">
        <v>36024</v>
      </c>
      <c r="G13761" s="18" t="str">
        <f>"54701"</f>
        <v>54701</v>
      </c>
      <c r="H13761" s="19" t="s">
        <v>35589</v>
      </c>
      <c r="I13761" s="20">
        <v>16.957999999999998</v>
      </c>
      <c r="J13761" s="44" t="s">
        <v>8</v>
      </c>
      <c r="K13761" s="23" t="s">
        <v>8</v>
      </c>
      <c r="L13761" s="23" t="s">
        <v>8</v>
      </c>
      <c r="M13761" s="23" t="s">
        <v>8</v>
      </c>
    </row>
    <row r="13762" spans="1:13" s="21" customFormat="1" x14ac:dyDescent="0.25">
      <c r="A13762" s="22" t="s">
        <v>8</v>
      </c>
      <c r="B13762" s="18" t="str">
        <f>"525507"</f>
        <v>525507</v>
      </c>
      <c r="C13762" s="19" t="s">
        <v>13520</v>
      </c>
      <c r="D13762" s="19" t="s">
        <v>29160</v>
      </c>
      <c r="E13762" s="19" t="s">
        <v>35603</v>
      </c>
      <c r="F13762" s="19" t="s">
        <v>36024</v>
      </c>
      <c r="G13762" s="18" t="str">
        <f>"54001"</f>
        <v>54001</v>
      </c>
      <c r="H13762" s="19" t="s">
        <v>36062</v>
      </c>
      <c r="I13762" s="20">
        <v>18.539000000000001</v>
      </c>
      <c r="J13762" s="44" t="s">
        <v>8</v>
      </c>
      <c r="K13762" s="23" t="s">
        <v>8</v>
      </c>
      <c r="L13762" s="23" t="s">
        <v>8</v>
      </c>
      <c r="M13762" s="23" t="s">
        <v>8</v>
      </c>
    </row>
    <row r="13763" spans="1:13" s="21" customFormat="1" x14ac:dyDescent="0.25">
      <c r="A13763" s="22" t="s">
        <v>8</v>
      </c>
      <c r="B13763" s="18" t="str">
        <f>"525508"</f>
        <v>525508</v>
      </c>
      <c r="C13763" s="19" t="s">
        <v>13521</v>
      </c>
      <c r="D13763" s="19" t="s">
        <v>29161</v>
      </c>
      <c r="E13763" s="19" t="s">
        <v>31081</v>
      </c>
      <c r="F13763" s="19" t="s">
        <v>36024</v>
      </c>
      <c r="G13763" s="18" t="str">
        <f>"53525"</f>
        <v>53525</v>
      </c>
      <c r="H13763" s="19" t="s">
        <v>36480</v>
      </c>
      <c r="I13763" s="20">
        <v>18.173999999999999</v>
      </c>
      <c r="J13763" s="44" t="s">
        <v>8</v>
      </c>
      <c r="K13763" s="23" t="s">
        <v>8</v>
      </c>
      <c r="L13763" s="23" t="s">
        <v>8</v>
      </c>
      <c r="M13763" s="23" t="s">
        <v>8</v>
      </c>
    </row>
    <row r="13764" spans="1:13" s="21" customFormat="1" x14ac:dyDescent="0.25">
      <c r="A13764" s="22" t="s">
        <v>8</v>
      </c>
      <c r="B13764" s="18" t="str">
        <f>"525509"</f>
        <v>525509</v>
      </c>
      <c r="C13764" s="19" t="s">
        <v>13522</v>
      </c>
      <c r="D13764" s="19" t="s">
        <v>29162</v>
      </c>
      <c r="E13764" s="19" t="s">
        <v>31477</v>
      </c>
      <c r="F13764" s="19" t="s">
        <v>36024</v>
      </c>
      <c r="G13764" s="18" t="str">
        <f>"54165"</f>
        <v>54165</v>
      </c>
      <c r="H13764" s="19" t="s">
        <v>36927</v>
      </c>
      <c r="I13764" s="20">
        <v>18.41</v>
      </c>
      <c r="J13764" s="44" t="s">
        <v>8</v>
      </c>
      <c r="K13764" s="23" t="s">
        <v>8</v>
      </c>
      <c r="L13764" s="23" t="s">
        <v>8</v>
      </c>
      <c r="M13764" s="23" t="s">
        <v>8</v>
      </c>
    </row>
    <row r="13765" spans="1:13" s="21" customFormat="1" x14ac:dyDescent="0.25">
      <c r="A13765" s="22" t="s">
        <v>8</v>
      </c>
      <c r="B13765" s="18" t="str">
        <f>"525511"</f>
        <v>525511</v>
      </c>
      <c r="C13765" s="19" t="s">
        <v>13523</v>
      </c>
      <c r="D13765" s="19" t="s">
        <v>29163</v>
      </c>
      <c r="E13765" s="19" t="s">
        <v>35625</v>
      </c>
      <c r="F13765" s="19" t="s">
        <v>36024</v>
      </c>
      <c r="G13765" s="18" t="str">
        <f>"53081"</f>
        <v>53081</v>
      </c>
      <c r="H13765" s="19" t="s">
        <v>35625</v>
      </c>
      <c r="I13765" s="20">
        <v>17.817</v>
      </c>
      <c r="J13765" s="44" t="s">
        <v>8</v>
      </c>
      <c r="K13765" s="23" t="s">
        <v>8</v>
      </c>
      <c r="L13765" s="23" t="s">
        <v>8</v>
      </c>
      <c r="M13765" s="23" t="s">
        <v>8</v>
      </c>
    </row>
    <row r="13766" spans="1:13" s="21" customFormat="1" x14ac:dyDescent="0.25">
      <c r="A13766" s="22" t="s">
        <v>8</v>
      </c>
      <c r="B13766" s="18" t="str">
        <f>"525512"</f>
        <v>525512</v>
      </c>
      <c r="C13766" s="19" t="s">
        <v>13524</v>
      </c>
      <c r="D13766" s="19" t="s">
        <v>29164</v>
      </c>
      <c r="E13766" s="19" t="s">
        <v>33087</v>
      </c>
      <c r="F13766" s="19" t="s">
        <v>36024</v>
      </c>
      <c r="G13766" s="18" t="str">
        <f>"53589"</f>
        <v>53589</v>
      </c>
      <c r="H13766" s="19" t="s">
        <v>36925</v>
      </c>
      <c r="I13766" s="20">
        <v>18.283999999999999</v>
      </c>
      <c r="J13766" s="44" t="s">
        <v>8</v>
      </c>
      <c r="K13766" s="23" t="s">
        <v>8</v>
      </c>
      <c r="L13766" s="23" t="s">
        <v>8</v>
      </c>
      <c r="M13766" s="23" t="s">
        <v>8</v>
      </c>
    </row>
    <row r="13767" spans="1:13" s="21" customFormat="1" x14ac:dyDescent="0.25">
      <c r="A13767" s="22" t="s">
        <v>8</v>
      </c>
      <c r="B13767" s="18" t="str">
        <f>"525513"</f>
        <v>525513</v>
      </c>
      <c r="C13767" s="19" t="s">
        <v>13525</v>
      </c>
      <c r="D13767" s="19" t="s">
        <v>29165</v>
      </c>
      <c r="E13767" s="19" t="s">
        <v>35598</v>
      </c>
      <c r="F13767" s="19" t="s">
        <v>36024</v>
      </c>
      <c r="G13767" s="18" t="str">
        <f>"54022"</f>
        <v>54022</v>
      </c>
      <c r="H13767" s="19" t="s">
        <v>33791</v>
      </c>
      <c r="I13767" s="20">
        <v>19.413</v>
      </c>
      <c r="J13767" s="44" t="s">
        <v>8</v>
      </c>
      <c r="K13767" s="23" t="s">
        <v>8</v>
      </c>
      <c r="L13767" s="23" t="s">
        <v>8</v>
      </c>
      <c r="M13767" s="23" t="s">
        <v>8</v>
      </c>
    </row>
    <row r="13768" spans="1:13" s="21" customFormat="1" x14ac:dyDescent="0.25">
      <c r="A13768" s="22" t="s">
        <v>8</v>
      </c>
      <c r="B13768" s="18" t="str">
        <f>"525515"</f>
        <v>525515</v>
      </c>
      <c r="C13768" s="19" t="s">
        <v>13526</v>
      </c>
      <c r="D13768" s="19" t="s">
        <v>29166</v>
      </c>
      <c r="E13768" s="19" t="s">
        <v>35641</v>
      </c>
      <c r="F13768" s="19" t="s">
        <v>36024</v>
      </c>
      <c r="G13768" s="18" t="str">
        <f>"54115"</f>
        <v>54115</v>
      </c>
      <c r="H13768" s="19" t="s">
        <v>36244</v>
      </c>
      <c r="I13768" s="20">
        <v>18.866</v>
      </c>
      <c r="J13768" s="44" t="s">
        <v>8</v>
      </c>
      <c r="K13768" s="23" t="s">
        <v>8</v>
      </c>
      <c r="L13768" s="23" t="s">
        <v>8</v>
      </c>
      <c r="M13768" s="23" t="s">
        <v>8</v>
      </c>
    </row>
    <row r="13769" spans="1:13" s="21" customFormat="1" x14ac:dyDescent="0.25">
      <c r="A13769" s="22" t="s">
        <v>8</v>
      </c>
      <c r="B13769" s="18" t="str">
        <f>"525516"</f>
        <v>525516</v>
      </c>
      <c r="C13769" s="19" t="s">
        <v>13527</v>
      </c>
      <c r="D13769" s="19" t="s">
        <v>29167</v>
      </c>
      <c r="E13769" s="19" t="s">
        <v>34971</v>
      </c>
      <c r="F13769" s="19" t="s">
        <v>36024</v>
      </c>
      <c r="G13769" s="18" t="str">
        <f>"53593"</f>
        <v>53593</v>
      </c>
      <c r="H13769" s="19" t="s">
        <v>36925</v>
      </c>
      <c r="I13769" s="20">
        <v>19.253</v>
      </c>
      <c r="J13769" s="44" t="s">
        <v>8</v>
      </c>
      <c r="K13769" s="23" t="s">
        <v>8</v>
      </c>
      <c r="L13769" s="23" t="s">
        <v>8</v>
      </c>
      <c r="M13769" s="23" t="s">
        <v>8</v>
      </c>
    </row>
    <row r="13770" spans="1:13" s="21" customFormat="1" x14ac:dyDescent="0.25">
      <c r="A13770" s="22" t="s">
        <v>8</v>
      </c>
      <c r="B13770" s="18" t="str">
        <f>"525518"</f>
        <v>525518</v>
      </c>
      <c r="C13770" s="19" t="s">
        <v>13528</v>
      </c>
      <c r="D13770" s="19" t="s">
        <v>29168</v>
      </c>
      <c r="E13770" s="19" t="s">
        <v>32230</v>
      </c>
      <c r="F13770" s="19" t="s">
        <v>36024</v>
      </c>
      <c r="G13770" s="18" t="str">
        <f>"53901"</f>
        <v>53901</v>
      </c>
      <c r="H13770" s="19" t="s">
        <v>32076</v>
      </c>
      <c r="I13770" s="20">
        <v>19.577999999999999</v>
      </c>
      <c r="J13770" s="44" t="s">
        <v>8</v>
      </c>
      <c r="K13770" s="23" t="s">
        <v>8</v>
      </c>
      <c r="L13770" s="23" t="s">
        <v>8</v>
      </c>
      <c r="M13770" s="23" t="s">
        <v>8</v>
      </c>
    </row>
    <row r="13771" spans="1:13" s="21" customFormat="1" x14ac:dyDescent="0.25">
      <c r="A13771" s="22" t="s">
        <v>8</v>
      </c>
      <c r="B13771" s="18" t="str">
        <f>"525519"</f>
        <v>525519</v>
      </c>
      <c r="C13771" s="19" t="s">
        <v>13529</v>
      </c>
      <c r="D13771" s="19" t="s">
        <v>29169</v>
      </c>
      <c r="E13771" s="19" t="s">
        <v>32105</v>
      </c>
      <c r="F13771" s="19" t="s">
        <v>36024</v>
      </c>
      <c r="G13771" s="18" t="str">
        <f>"53045"</f>
        <v>53045</v>
      </c>
      <c r="H13771" s="19" t="s">
        <v>35561</v>
      </c>
      <c r="I13771" s="20">
        <v>18.416</v>
      </c>
      <c r="J13771" s="44" t="s">
        <v>8</v>
      </c>
      <c r="K13771" s="23" t="s">
        <v>8</v>
      </c>
      <c r="L13771" s="23" t="s">
        <v>8</v>
      </c>
      <c r="M13771" s="23" t="s">
        <v>8</v>
      </c>
    </row>
    <row r="13772" spans="1:13" s="21" customFormat="1" x14ac:dyDescent="0.25">
      <c r="A13772" s="22" t="s">
        <v>8</v>
      </c>
      <c r="B13772" s="18" t="str">
        <f>"525520"</f>
        <v>525520</v>
      </c>
      <c r="C13772" s="19" t="s">
        <v>13530</v>
      </c>
      <c r="D13772" s="19" t="s">
        <v>29170</v>
      </c>
      <c r="E13772" s="19" t="s">
        <v>31167</v>
      </c>
      <c r="F13772" s="19" t="s">
        <v>36024</v>
      </c>
      <c r="G13772" s="18" t="str">
        <f>"53555"</f>
        <v>53555</v>
      </c>
      <c r="H13772" s="19" t="s">
        <v>32076</v>
      </c>
      <c r="I13772" s="20">
        <v>18.959</v>
      </c>
      <c r="J13772" s="44" t="s">
        <v>8</v>
      </c>
      <c r="K13772" s="23" t="s">
        <v>8</v>
      </c>
      <c r="L13772" s="23" t="s">
        <v>8</v>
      </c>
      <c r="M13772" s="23" t="s">
        <v>8</v>
      </c>
    </row>
    <row r="13773" spans="1:13" s="21" customFormat="1" x14ac:dyDescent="0.25">
      <c r="A13773" s="22" t="s">
        <v>8</v>
      </c>
      <c r="B13773" s="18" t="str">
        <f>"525521"</f>
        <v>525521</v>
      </c>
      <c r="C13773" s="19" t="s">
        <v>13531</v>
      </c>
      <c r="D13773" s="19" t="s">
        <v>29171</v>
      </c>
      <c r="E13773" s="19" t="s">
        <v>35642</v>
      </c>
      <c r="F13773" s="19" t="s">
        <v>36024</v>
      </c>
      <c r="G13773" s="18" t="str">
        <f>"53515"</f>
        <v>53515</v>
      </c>
      <c r="H13773" s="19" t="s">
        <v>36925</v>
      </c>
      <c r="I13773" s="20">
        <v>18.321999999999999</v>
      </c>
      <c r="J13773" s="44" t="s">
        <v>8</v>
      </c>
      <c r="K13773" s="23" t="s">
        <v>8</v>
      </c>
      <c r="L13773" s="23" t="s">
        <v>8</v>
      </c>
      <c r="M13773" s="23" t="s">
        <v>8</v>
      </c>
    </row>
    <row r="13774" spans="1:13" s="21" customFormat="1" x14ac:dyDescent="0.25">
      <c r="A13774" s="22" t="s">
        <v>8</v>
      </c>
      <c r="B13774" s="18" t="str">
        <f>"525522"</f>
        <v>525522</v>
      </c>
      <c r="C13774" s="19" t="s">
        <v>13532</v>
      </c>
      <c r="D13774" s="19" t="s">
        <v>29172</v>
      </c>
      <c r="E13774" s="19" t="s">
        <v>35563</v>
      </c>
      <c r="F13774" s="19" t="s">
        <v>36024</v>
      </c>
      <c r="G13774" s="18" t="str">
        <f>"54935"</f>
        <v>54935</v>
      </c>
      <c r="H13774" s="19" t="s">
        <v>35563</v>
      </c>
      <c r="I13774" s="20">
        <v>17.341999999999999</v>
      </c>
      <c r="J13774" s="44" t="s">
        <v>8</v>
      </c>
      <c r="K13774" s="23" t="s">
        <v>8</v>
      </c>
      <c r="L13774" s="23" t="s">
        <v>8</v>
      </c>
      <c r="M13774" s="23" t="s">
        <v>8</v>
      </c>
    </row>
    <row r="13775" spans="1:13" s="21" customFormat="1" x14ac:dyDescent="0.25">
      <c r="A13775" s="22" t="s">
        <v>8</v>
      </c>
      <c r="B13775" s="18" t="str">
        <f>"525523"</f>
        <v>525523</v>
      </c>
      <c r="C13775" s="19" t="s">
        <v>13533</v>
      </c>
      <c r="D13775" s="19" t="s">
        <v>29173</v>
      </c>
      <c r="E13775" s="19" t="s">
        <v>35552</v>
      </c>
      <c r="F13775" s="19" t="s">
        <v>36024</v>
      </c>
      <c r="G13775" s="18" t="str">
        <f>"53223"</f>
        <v>53223</v>
      </c>
      <c r="H13775" s="19" t="s">
        <v>35552</v>
      </c>
      <c r="I13775" s="20">
        <v>21.119</v>
      </c>
      <c r="J13775" s="44" t="s">
        <v>8</v>
      </c>
      <c r="K13775" s="23" t="s">
        <v>8</v>
      </c>
      <c r="L13775" s="23" t="s">
        <v>8</v>
      </c>
      <c r="M13775" s="23" t="s">
        <v>8</v>
      </c>
    </row>
    <row r="13776" spans="1:13" s="21" customFormat="1" x14ac:dyDescent="0.25">
      <c r="A13776" s="22" t="s">
        <v>8</v>
      </c>
      <c r="B13776" s="18" t="str">
        <f>"525524"</f>
        <v>525524</v>
      </c>
      <c r="C13776" s="19" t="s">
        <v>13534</v>
      </c>
      <c r="D13776" s="19" t="s">
        <v>29174</v>
      </c>
      <c r="E13776" s="19" t="s">
        <v>35552</v>
      </c>
      <c r="F13776" s="19" t="s">
        <v>36024</v>
      </c>
      <c r="G13776" s="18" t="str">
        <f>"53222"</f>
        <v>53222</v>
      </c>
      <c r="H13776" s="19" t="s">
        <v>35552</v>
      </c>
      <c r="I13776" s="20">
        <v>17.965</v>
      </c>
      <c r="J13776" s="44" t="s">
        <v>8</v>
      </c>
      <c r="K13776" s="23" t="s">
        <v>8</v>
      </c>
      <c r="L13776" s="23" t="s">
        <v>8</v>
      </c>
      <c r="M13776" s="23" t="s">
        <v>8</v>
      </c>
    </row>
    <row r="13777" spans="1:13" s="21" customFormat="1" x14ac:dyDescent="0.25">
      <c r="A13777" s="22" t="s">
        <v>8</v>
      </c>
      <c r="B13777" s="18" t="str">
        <f>"525525"</f>
        <v>525525</v>
      </c>
      <c r="C13777" s="19" t="s">
        <v>13535</v>
      </c>
      <c r="D13777" s="19" t="s">
        <v>29175</v>
      </c>
      <c r="E13777" s="19" t="s">
        <v>35643</v>
      </c>
      <c r="F13777" s="19" t="s">
        <v>36024</v>
      </c>
      <c r="G13777" s="18" t="str">
        <f>"53821"</f>
        <v>53821</v>
      </c>
      <c r="H13777" s="19" t="s">
        <v>31759</v>
      </c>
      <c r="I13777" s="20">
        <v>18.055</v>
      </c>
      <c r="J13777" s="44" t="s">
        <v>8</v>
      </c>
      <c r="K13777" s="23" t="s">
        <v>8</v>
      </c>
      <c r="L13777" s="23" t="s">
        <v>8</v>
      </c>
      <c r="M13777" s="23" t="s">
        <v>8</v>
      </c>
    </row>
    <row r="13778" spans="1:13" s="21" customFormat="1" x14ac:dyDescent="0.25">
      <c r="A13778" s="22" t="s">
        <v>8</v>
      </c>
      <c r="B13778" s="18" t="str">
        <f>"525526"</f>
        <v>525526</v>
      </c>
      <c r="C13778" s="19" t="s">
        <v>10767</v>
      </c>
      <c r="D13778" s="19" t="s">
        <v>29176</v>
      </c>
      <c r="E13778" s="19" t="s">
        <v>35610</v>
      </c>
      <c r="F13778" s="19" t="s">
        <v>36024</v>
      </c>
      <c r="G13778" s="18" t="str">
        <f>"53172"</f>
        <v>53172</v>
      </c>
      <c r="H13778" s="19" t="s">
        <v>35552</v>
      </c>
      <c r="I13778" s="20">
        <v>18.41</v>
      </c>
      <c r="J13778" s="44" t="s">
        <v>8</v>
      </c>
      <c r="K13778" s="23" t="s">
        <v>8</v>
      </c>
      <c r="L13778" s="23" t="s">
        <v>8</v>
      </c>
      <c r="M13778" s="23" t="s">
        <v>8</v>
      </c>
    </row>
    <row r="13779" spans="1:13" s="21" customFormat="1" x14ac:dyDescent="0.25">
      <c r="A13779" s="22" t="s">
        <v>8</v>
      </c>
      <c r="B13779" s="18" t="str">
        <f>"525527"</f>
        <v>525527</v>
      </c>
      <c r="C13779" s="19" t="s">
        <v>13536</v>
      </c>
      <c r="D13779" s="19" t="s">
        <v>29177</v>
      </c>
      <c r="E13779" s="19" t="s">
        <v>35644</v>
      </c>
      <c r="F13779" s="19" t="s">
        <v>36024</v>
      </c>
      <c r="G13779" s="18" t="str">
        <f>"54499"</f>
        <v>54499</v>
      </c>
      <c r="H13779" s="19" t="s">
        <v>35578</v>
      </c>
      <c r="I13779" s="20">
        <v>21.297999999999998</v>
      </c>
      <c r="J13779" s="44" t="s">
        <v>8</v>
      </c>
      <c r="K13779" s="23" t="s">
        <v>8</v>
      </c>
      <c r="L13779" s="23" t="s">
        <v>8</v>
      </c>
      <c r="M13779" s="23" t="s">
        <v>8</v>
      </c>
    </row>
    <row r="13780" spans="1:13" s="21" customFormat="1" x14ac:dyDescent="0.25">
      <c r="A13780" s="22" t="s">
        <v>8</v>
      </c>
      <c r="B13780" s="18" t="str">
        <f>"525528"</f>
        <v>525528</v>
      </c>
      <c r="C13780" s="19" t="s">
        <v>13537</v>
      </c>
      <c r="D13780" s="19" t="s">
        <v>29178</v>
      </c>
      <c r="E13780" s="19" t="s">
        <v>32105</v>
      </c>
      <c r="F13780" s="19" t="s">
        <v>36024</v>
      </c>
      <c r="G13780" s="18" t="str">
        <f>"53045"</f>
        <v>53045</v>
      </c>
      <c r="H13780" s="19" t="s">
        <v>35561</v>
      </c>
      <c r="I13780" s="20">
        <v>17.440000000000001</v>
      </c>
      <c r="J13780" s="44" t="s">
        <v>8</v>
      </c>
      <c r="K13780" s="23" t="s">
        <v>8</v>
      </c>
      <c r="L13780" s="23" t="s">
        <v>8</v>
      </c>
      <c r="M13780" s="23" t="s">
        <v>8</v>
      </c>
    </row>
    <row r="13781" spans="1:13" s="21" customFormat="1" x14ac:dyDescent="0.25">
      <c r="A13781" s="22" t="s">
        <v>8</v>
      </c>
      <c r="B13781" s="18" t="str">
        <f>"525529"</f>
        <v>525529</v>
      </c>
      <c r="C13781" s="19" t="s">
        <v>13538</v>
      </c>
      <c r="D13781" s="19" t="s">
        <v>29179</v>
      </c>
      <c r="E13781" s="19" t="s">
        <v>35552</v>
      </c>
      <c r="F13781" s="19" t="s">
        <v>36024</v>
      </c>
      <c r="G13781" s="18" t="str">
        <f>"53223"</f>
        <v>53223</v>
      </c>
      <c r="H13781" s="19" t="s">
        <v>35552</v>
      </c>
      <c r="I13781" s="20">
        <v>15.417999999999999</v>
      </c>
      <c r="J13781" s="44" t="s">
        <v>8</v>
      </c>
      <c r="K13781" s="23" t="s">
        <v>8</v>
      </c>
      <c r="L13781" s="23" t="s">
        <v>8</v>
      </c>
      <c r="M13781" s="23" t="s">
        <v>8</v>
      </c>
    </row>
    <row r="13782" spans="1:13" s="21" customFormat="1" x14ac:dyDescent="0.25">
      <c r="A13782" s="22" t="s">
        <v>8</v>
      </c>
      <c r="B13782" s="18" t="str">
        <f>"525530"</f>
        <v>525530</v>
      </c>
      <c r="C13782" s="19" t="s">
        <v>13539</v>
      </c>
      <c r="D13782" s="19" t="s">
        <v>29180</v>
      </c>
      <c r="E13782" s="19" t="s">
        <v>35560</v>
      </c>
      <c r="F13782" s="19" t="s">
        <v>36024</v>
      </c>
      <c r="G13782" s="18" t="str">
        <f>"53818"</f>
        <v>53818</v>
      </c>
      <c r="H13782" s="19" t="s">
        <v>36078</v>
      </c>
      <c r="I13782" s="20">
        <v>18.295999999999999</v>
      </c>
      <c r="J13782" s="44" t="s">
        <v>8</v>
      </c>
      <c r="K13782" s="23" t="s">
        <v>8</v>
      </c>
      <c r="L13782" s="23" t="s">
        <v>8</v>
      </c>
      <c r="M13782" s="23" t="s">
        <v>8</v>
      </c>
    </row>
    <row r="13783" spans="1:13" s="21" customFormat="1" x14ac:dyDescent="0.25">
      <c r="A13783" s="22" t="s">
        <v>8</v>
      </c>
      <c r="B13783" s="18" t="str">
        <f>"525531"</f>
        <v>525531</v>
      </c>
      <c r="C13783" s="19" t="s">
        <v>13540</v>
      </c>
      <c r="D13783" s="19" t="s">
        <v>29181</v>
      </c>
      <c r="E13783" s="19" t="s">
        <v>35645</v>
      </c>
      <c r="F13783" s="19" t="s">
        <v>36024</v>
      </c>
      <c r="G13783" s="18" t="str">
        <f>"53963"</f>
        <v>53963</v>
      </c>
      <c r="H13783" s="19" t="s">
        <v>33824</v>
      </c>
      <c r="I13783" s="20">
        <v>16.177</v>
      </c>
      <c r="J13783" s="44" t="s">
        <v>8</v>
      </c>
      <c r="K13783" s="23" t="s">
        <v>8</v>
      </c>
      <c r="L13783" s="23" t="s">
        <v>8</v>
      </c>
      <c r="M13783" s="23" t="s">
        <v>8</v>
      </c>
    </row>
    <row r="13784" spans="1:13" s="21" customFormat="1" x14ac:dyDescent="0.25">
      <c r="A13784" s="22" t="s">
        <v>8</v>
      </c>
      <c r="B13784" s="18" t="str">
        <f>"525532"</f>
        <v>525532</v>
      </c>
      <c r="C13784" s="19" t="s">
        <v>13541</v>
      </c>
      <c r="D13784" s="19" t="s">
        <v>29182</v>
      </c>
      <c r="E13784" s="19" t="s">
        <v>35646</v>
      </c>
      <c r="F13784" s="19" t="s">
        <v>36024</v>
      </c>
      <c r="G13784" s="18" t="str">
        <f>"54024"</f>
        <v>54024</v>
      </c>
      <c r="H13784" s="19" t="s">
        <v>36062</v>
      </c>
      <c r="I13784" s="20">
        <v>16.29</v>
      </c>
      <c r="J13784" s="44" t="s">
        <v>8</v>
      </c>
      <c r="K13784" s="23" t="s">
        <v>8</v>
      </c>
      <c r="L13784" s="23" t="s">
        <v>8</v>
      </c>
      <c r="M13784" s="23" t="s">
        <v>8</v>
      </c>
    </row>
    <row r="13785" spans="1:13" s="21" customFormat="1" x14ac:dyDescent="0.25">
      <c r="A13785" s="22" t="s">
        <v>8</v>
      </c>
      <c r="B13785" s="18" t="str">
        <f>"525533"</f>
        <v>525533</v>
      </c>
      <c r="C13785" s="19" t="s">
        <v>13542</v>
      </c>
      <c r="D13785" s="19" t="s">
        <v>29183</v>
      </c>
      <c r="E13785" s="19" t="s">
        <v>35647</v>
      </c>
      <c r="F13785" s="19" t="s">
        <v>36024</v>
      </c>
      <c r="G13785" s="18" t="str">
        <f>"54201"</f>
        <v>54201</v>
      </c>
      <c r="H13785" s="19" t="s">
        <v>35586</v>
      </c>
      <c r="I13785" s="20">
        <v>18.478000000000002</v>
      </c>
      <c r="J13785" s="44" t="s">
        <v>8</v>
      </c>
      <c r="K13785" s="23" t="s">
        <v>8</v>
      </c>
      <c r="L13785" s="23" t="s">
        <v>8</v>
      </c>
      <c r="M13785" s="23" t="s">
        <v>8</v>
      </c>
    </row>
    <row r="13786" spans="1:13" s="21" customFormat="1" x14ac:dyDescent="0.25">
      <c r="A13786" s="22" t="s">
        <v>8</v>
      </c>
      <c r="B13786" s="18" t="str">
        <f>"525534"</f>
        <v>525534</v>
      </c>
      <c r="C13786" s="19" t="s">
        <v>13543</v>
      </c>
      <c r="D13786" s="19" t="s">
        <v>29184</v>
      </c>
      <c r="E13786" s="19" t="s">
        <v>35563</v>
      </c>
      <c r="F13786" s="19" t="s">
        <v>36024</v>
      </c>
      <c r="G13786" s="18" t="str">
        <f>"54935"</f>
        <v>54935</v>
      </c>
      <c r="H13786" s="19" t="s">
        <v>35563</v>
      </c>
      <c r="I13786" s="20">
        <v>20.702000000000002</v>
      </c>
      <c r="J13786" s="44" t="s">
        <v>8</v>
      </c>
      <c r="K13786" s="23" t="s">
        <v>8</v>
      </c>
      <c r="L13786" s="23" t="s">
        <v>8</v>
      </c>
      <c r="M13786" s="23" t="s">
        <v>8</v>
      </c>
    </row>
    <row r="13787" spans="1:13" s="21" customFormat="1" x14ac:dyDescent="0.25">
      <c r="A13787" s="22" t="s">
        <v>8</v>
      </c>
      <c r="B13787" s="18" t="str">
        <f>"525535"</f>
        <v>525535</v>
      </c>
      <c r="C13787" s="19" t="s">
        <v>13544</v>
      </c>
      <c r="D13787" s="19" t="s">
        <v>29185</v>
      </c>
      <c r="E13787" s="19" t="s">
        <v>31714</v>
      </c>
      <c r="F13787" s="19" t="s">
        <v>36024</v>
      </c>
      <c r="G13787" s="18" t="str">
        <f>"54722"</f>
        <v>54722</v>
      </c>
      <c r="H13787" s="19" t="s">
        <v>35589</v>
      </c>
      <c r="I13787" s="20">
        <v>17.853999999999999</v>
      </c>
      <c r="J13787" s="44" t="s">
        <v>8</v>
      </c>
      <c r="K13787" s="23" t="s">
        <v>8</v>
      </c>
      <c r="L13787" s="23" t="s">
        <v>8</v>
      </c>
      <c r="M13787" s="23" t="s">
        <v>8</v>
      </c>
    </row>
    <row r="13788" spans="1:13" s="21" customFormat="1" x14ac:dyDescent="0.25">
      <c r="A13788" s="22" t="s">
        <v>8</v>
      </c>
      <c r="B13788" s="18" t="str">
        <f>"525536"</f>
        <v>525536</v>
      </c>
      <c r="C13788" s="19" t="s">
        <v>13545</v>
      </c>
      <c r="D13788" s="19" t="s">
        <v>29186</v>
      </c>
      <c r="E13788" s="19" t="s">
        <v>32013</v>
      </c>
      <c r="F13788" s="19" t="s">
        <v>36024</v>
      </c>
      <c r="G13788" s="18" t="str">
        <f>"53575"</f>
        <v>53575</v>
      </c>
      <c r="H13788" s="19" t="s">
        <v>36925</v>
      </c>
      <c r="I13788" s="20">
        <v>18.22</v>
      </c>
      <c r="J13788" s="44" t="s">
        <v>8</v>
      </c>
      <c r="K13788" s="23" t="s">
        <v>8</v>
      </c>
      <c r="L13788" s="23" t="s">
        <v>8</v>
      </c>
      <c r="M13788" s="23" t="s">
        <v>8</v>
      </c>
    </row>
    <row r="13789" spans="1:13" s="21" customFormat="1" x14ac:dyDescent="0.25">
      <c r="A13789" s="22" t="s">
        <v>8</v>
      </c>
      <c r="B13789" s="18" t="str">
        <f>"525537"</f>
        <v>525537</v>
      </c>
      <c r="C13789" s="19" t="s">
        <v>13546</v>
      </c>
      <c r="D13789" s="19" t="s">
        <v>29187</v>
      </c>
      <c r="E13789" s="19" t="s">
        <v>35648</v>
      </c>
      <c r="F13789" s="19" t="s">
        <v>36024</v>
      </c>
      <c r="G13789" s="18" t="str">
        <f>"53012"</f>
        <v>53012</v>
      </c>
      <c r="H13789" s="19" t="s">
        <v>36934</v>
      </c>
      <c r="I13789" s="20">
        <v>17.326000000000001</v>
      </c>
      <c r="J13789" s="44" t="s">
        <v>8</v>
      </c>
      <c r="K13789" s="23" t="s">
        <v>8</v>
      </c>
      <c r="L13789" s="23" t="s">
        <v>8</v>
      </c>
      <c r="M13789" s="23" t="s">
        <v>8</v>
      </c>
    </row>
    <row r="13790" spans="1:13" s="21" customFormat="1" x14ac:dyDescent="0.25">
      <c r="A13790" s="22" t="s">
        <v>8</v>
      </c>
      <c r="B13790" s="18" t="str">
        <f>"525538"</f>
        <v>525538</v>
      </c>
      <c r="C13790" s="19" t="s">
        <v>4516</v>
      </c>
      <c r="D13790" s="19" t="s">
        <v>29188</v>
      </c>
      <c r="E13790" s="19" t="s">
        <v>35580</v>
      </c>
      <c r="F13790" s="19" t="s">
        <v>36024</v>
      </c>
      <c r="G13790" s="18" t="str">
        <f>"54981"</f>
        <v>54981</v>
      </c>
      <c r="H13790" s="19" t="s">
        <v>35580</v>
      </c>
      <c r="I13790" s="20">
        <v>16.414000000000001</v>
      </c>
      <c r="J13790" s="44" t="s">
        <v>8</v>
      </c>
      <c r="K13790" s="23" t="s">
        <v>8</v>
      </c>
      <c r="L13790" s="23" t="s">
        <v>8</v>
      </c>
      <c r="M13790" s="23" t="s">
        <v>8</v>
      </c>
    </row>
    <row r="13791" spans="1:13" s="21" customFormat="1" x14ac:dyDescent="0.25">
      <c r="A13791" s="22" t="s">
        <v>8</v>
      </c>
      <c r="B13791" s="18" t="str">
        <f>"525539"</f>
        <v>525539</v>
      </c>
      <c r="C13791" s="19" t="s">
        <v>13547</v>
      </c>
      <c r="D13791" s="19" t="s">
        <v>29189</v>
      </c>
      <c r="E13791" s="19" t="s">
        <v>35552</v>
      </c>
      <c r="F13791" s="19" t="s">
        <v>36024</v>
      </c>
      <c r="G13791" s="18" t="str">
        <f>"53202"</f>
        <v>53202</v>
      </c>
      <c r="H13791" s="19" t="s">
        <v>35552</v>
      </c>
      <c r="I13791" s="20">
        <v>21.766999999999999</v>
      </c>
      <c r="J13791" s="44" t="s">
        <v>8</v>
      </c>
      <c r="K13791" s="23" t="s">
        <v>8</v>
      </c>
      <c r="L13791" s="23" t="s">
        <v>8</v>
      </c>
      <c r="M13791" s="23" t="s">
        <v>8</v>
      </c>
    </row>
    <row r="13792" spans="1:13" s="21" customFormat="1" x14ac:dyDescent="0.25">
      <c r="A13792" s="22" t="s">
        <v>8</v>
      </c>
      <c r="B13792" s="18" t="str">
        <f>"525540"</f>
        <v>525540</v>
      </c>
      <c r="C13792" s="19" t="s">
        <v>13548</v>
      </c>
      <c r="D13792" s="19" t="s">
        <v>29190</v>
      </c>
      <c r="E13792" s="19" t="s">
        <v>35649</v>
      </c>
      <c r="F13792" s="19" t="s">
        <v>36024</v>
      </c>
      <c r="G13792" s="18" t="str">
        <f>"54534"</f>
        <v>54534</v>
      </c>
      <c r="H13792" s="19" t="s">
        <v>36438</v>
      </c>
      <c r="I13792" s="20">
        <v>18.446000000000002</v>
      </c>
      <c r="J13792" s="44" t="s">
        <v>8</v>
      </c>
      <c r="K13792" s="23" t="s">
        <v>8</v>
      </c>
      <c r="L13792" s="23" t="s">
        <v>8</v>
      </c>
      <c r="M13792" s="23" t="s">
        <v>8</v>
      </c>
    </row>
    <row r="13793" spans="1:13" s="21" customFormat="1" x14ac:dyDescent="0.25">
      <c r="A13793" s="22" t="s">
        <v>8</v>
      </c>
      <c r="B13793" s="18" t="str">
        <f>"525541"</f>
        <v>525541</v>
      </c>
      <c r="C13793" s="19" t="s">
        <v>13549</v>
      </c>
      <c r="D13793" s="19" t="s">
        <v>29191</v>
      </c>
      <c r="E13793" s="19" t="s">
        <v>33790</v>
      </c>
      <c r="F13793" s="19" t="s">
        <v>36024</v>
      </c>
      <c r="G13793" s="18" t="str">
        <f>"53121"</f>
        <v>53121</v>
      </c>
      <c r="H13793" s="19" t="s">
        <v>35694</v>
      </c>
      <c r="I13793" s="20">
        <v>16.071999999999999</v>
      </c>
      <c r="J13793" s="44" t="s">
        <v>8</v>
      </c>
      <c r="K13793" s="23" t="s">
        <v>8</v>
      </c>
      <c r="L13793" s="23" t="s">
        <v>8</v>
      </c>
      <c r="M13793" s="23" t="s">
        <v>8</v>
      </c>
    </row>
    <row r="13794" spans="1:13" s="21" customFormat="1" x14ac:dyDescent="0.25">
      <c r="A13794" s="22" t="s">
        <v>8</v>
      </c>
      <c r="B13794" s="18" t="str">
        <f>"525542"</f>
        <v>525542</v>
      </c>
      <c r="C13794" s="19" t="s">
        <v>13550</v>
      </c>
      <c r="D13794" s="19" t="s">
        <v>29192</v>
      </c>
      <c r="E13794" s="19" t="s">
        <v>35650</v>
      </c>
      <c r="F13794" s="19" t="s">
        <v>36024</v>
      </c>
      <c r="G13794" s="18" t="str">
        <f>"53182"</f>
        <v>53182</v>
      </c>
      <c r="H13794" s="19" t="s">
        <v>35550</v>
      </c>
      <c r="I13794" s="20">
        <v>17.193999999999999</v>
      </c>
      <c r="J13794" s="44" t="s">
        <v>8</v>
      </c>
      <c r="K13794" s="23" t="s">
        <v>8</v>
      </c>
      <c r="L13794" s="23" t="s">
        <v>8</v>
      </c>
      <c r="M13794" s="23" t="s">
        <v>8</v>
      </c>
    </row>
    <row r="13795" spans="1:13" s="21" customFormat="1" x14ac:dyDescent="0.25">
      <c r="A13795" s="22" t="s">
        <v>8</v>
      </c>
      <c r="B13795" s="18" t="str">
        <f>"525543"</f>
        <v>525543</v>
      </c>
      <c r="C13795" s="19" t="s">
        <v>13551</v>
      </c>
      <c r="D13795" s="19" t="s">
        <v>29193</v>
      </c>
      <c r="E13795" s="19" t="s">
        <v>31419</v>
      </c>
      <c r="F13795" s="19" t="s">
        <v>36024</v>
      </c>
      <c r="G13795" s="18" t="str">
        <f>"53098"</f>
        <v>53098</v>
      </c>
      <c r="H13795" s="19" t="s">
        <v>33824</v>
      </c>
      <c r="I13795" s="20">
        <v>17.303999999999998</v>
      </c>
      <c r="J13795" s="44" t="s">
        <v>8</v>
      </c>
      <c r="K13795" s="23" t="s">
        <v>8</v>
      </c>
      <c r="L13795" s="23" t="s">
        <v>8</v>
      </c>
      <c r="M13795" s="23" t="s">
        <v>8</v>
      </c>
    </row>
    <row r="13796" spans="1:13" s="21" customFormat="1" x14ac:dyDescent="0.25">
      <c r="A13796" s="22" t="s">
        <v>8</v>
      </c>
      <c r="B13796" s="18" t="str">
        <f>"525544"</f>
        <v>525544</v>
      </c>
      <c r="C13796" s="19" t="s">
        <v>13552</v>
      </c>
      <c r="D13796" s="19" t="s">
        <v>29194</v>
      </c>
      <c r="E13796" s="19" t="s">
        <v>35651</v>
      </c>
      <c r="F13796" s="19" t="s">
        <v>36024</v>
      </c>
      <c r="G13796" s="18" t="str">
        <f>"54740"</f>
        <v>54740</v>
      </c>
      <c r="H13796" s="19" t="s">
        <v>33791</v>
      </c>
      <c r="I13796" s="20">
        <v>18.5</v>
      </c>
      <c r="J13796" s="44" t="s">
        <v>8</v>
      </c>
      <c r="K13796" s="23" t="s">
        <v>8</v>
      </c>
      <c r="L13796" s="23" t="s">
        <v>8</v>
      </c>
      <c r="M13796" s="23" t="s">
        <v>8</v>
      </c>
    </row>
    <row r="13797" spans="1:13" s="21" customFormat="1" x14ac:dyDescent="0.25">
      <c r="A13797" s="22" t="s">
        <v>8</v>
      </c>
      <c r="B13797" s="18" t="str">
        <f>"525545"</f>
        <v>525545</v>
      </c>
      <c r="C13797" s="19" t="s">
        <v>6915</v>
      </c>
      <c r="D13797" s="19" t="s">
        <v>29195</v>
      </c>
      <c r="E13797" s="19" t="s">
        <v>35596</v>
      </c>
      <c r="F13797" s="19" t="s">
        <v>36024</v>
      </c>
      <c r="G13797" s="18" t="str">
        <f>"53213"</f>
        <v>53213</v>
      </c>
      <c r="H13797" s="19" t="s">
        <v>35552</v>
      </c>
      <c r="I13797" s="20">
        <v>16.411000000000001</v>
      </c>
      <c r="J13797" s="44" t="s">
        <v>8</v>
      </c>
      <c r="K13797" s="23" t="s">
        <v>8</v>
      </c>
      <c r="L13797" s="23" t="s">
        <v>8</v>
      </c>
      <c r="M13797" s="23" t="s">
        <v>8</v>
      </c>
    </row>
    <row r="13798" spans="1:13" s="21" customFormat="1" x14ac:dyDescent="0.25">
      <c r="A13798" s="22" t="s">
        <v>8</v>
      </c>
      <c r="B13798" s="18" t="str">
        <f>"525546"</f>
        <v>525546</v>
      </c>
      <c r="C13798" s="19" t="s">
        <v>13553</v>
      </c>
      <c r="D13798" s="19" t="s">
        <v>29196</v>
      </c>
      <c r="E13798" s="19" t="s">
        <v>35609</v>
      </c>
      <c r="F13798" s="19" t="s">
        <v>36024</v>
      </c>
      <c r="G13798" s="18" t="str">
        <f>"53061"</f>
        <v>53061</v>
      </c>
      <c r="H13798" s="19" t="s">
        <v>36930</v>
      </c>
      <c r="I13798" s="20">
        <v>18.555</v>
      </c>
      <c r="J13798" s="44" t="s">
        <v>8</v>
      </c>
      <c r="K13798" s="23" t="s">
        <v>8</v>
      </c>
      <c r="L13798" s="23" t="s">
        <v>8</v>
      </c>
      <c r="M13798" s="23" t="s">
        <v>8</v>
      </c>
    </row>
    <row r="13799" spans="1:13" s="21" customFormat="1" x14ac:dyDescent="0.25">
      <c r="A13799" s="22" t="s">
        <v>8</v>
      </c>
      <c r="B13799" s="18" t="str">
        <f>"525547"</f>
        <v>525547</v>
      </c>
      <c r="C13799" s="19" t="s">
        <v>13554</v>
      </c>
      <c r="D13799" s="19" t="s">
        <v>29197</v>
      </c>
      <c r="E13799" s="19" t="s">
        <v>30946</v>
      </c>
      <c r="F13799" s="19" t="s">
        <v>36024</v>
      </c>
      <c r="G13799" s="18" t="str">
        <f>"53209"</f>
        <v>53209</v>
      </c>
      <c r="H13799" s="19" t="s">
        <v>35552</v>
      </c>
      <c r="I13799" s="20">
        <v>16.974</v>
      </c>
      <c r="J13799" s="44" t="s">
        <v>8</v>
      </c>
      <c r="K13799" s="23" t="s">
        <v>8</v>
      </c>
      <c r="L13799" s="23" t="s">
        <v>8</v>
      </c>
      <c r="M13799" s="23" t="s">
        <v>8</v>
      </c>
    </row>
    <row r="13800" spans="1:13" s="21" customFormat="1" x14ac:dyDescent="0.25">
      <c r="A13800" s="22" t="s">
        <v>8</v>
      </c>
      <c r="B13800" s="18" t="str">
        <f>"525548"</f>
        <v>525548</v>
      </c>
      <c r="C13800" s="19" t="s">
        <v>13555</v>
      </c>
      <c r="D13800" s="19" t="s">
        <v>29198</v>
      </c>
      <c r="E13800" s="19" t="s">
        <v>33345</v>
      </c>
      <c r="F13800" s="19" t="s">
        <v>36024</v>
      </c>
      <c r="G13800" s="18" t="str">
        <f>"54915"</f>
        <v>54915</v>
      </c>
      <c r="H13800" s="19" t="s">
        <v>36927</v>
      </c>
      <c r="I13800" s="20">
        <v>19.439</v>
      </c>
      <c r="J13800" s="44" t="s">
        <v>8</v>
      </c>
      <c r="K13800" s="23" t="s">
        <v>8</v>
      </c>
      <c r="L13800" s="23" t="s">
        <v>8</v>
      </c>
      <c r="M13800" s="23" t="s">
        <v>8</v>
      </c>
    </row>
    <row r="13801" spans="1:13" s="21" customFormat="1" x14ac:dyDescent="0.25">
      <c r="A13801" s="22" t="s">
        <v>8</v>
      </c>
      <c r="B13801" s="18" t="str">
        <f>"525549"</f>
        <v>525549</v>
      </c>
      <c r="C13801" s="19" t="s">
        <v>13556</v>
      </c>
      <c r="D13801" s="19" t="s">
        <v>29199</v>
      </c>
      <c r="E13801" s="19" t="s">
        <v>35652</v>
      </c>
      <c r="F13801" s="19" t="s">
        <v>36024</v>
      </c>
      <c r="G13801" s="18" t="str">
        <f>"53129"</f>
        <v>53129</v>
      </c>
      <c r="H13801" s="19" t="s">
        <v>35552</v>
      </c>
      <c r="I13801" s="20">
        <v>19.382000000000001</v>
      </c>
      <c r="J13801" s="44" t="s">
        <v>8</v>
      </c>
      <c r="K13801" s="23" t="s">
        <v>8</v>
      </c>
      <c r="L13801" s="23" t="s">
        <v>8</v>
      </c>
      <c r="M13801" s="23" t="s">
        <v>8</v>
      </c>
    </row>
    <row r="13802" spans="1:13" s="21" customFormat="1" x14ac:dyDescent="0.25">
      <c r="A13802" s="22" t="s">
        <v>8</v>
      </c>
      <c r="B13802" s="18" t="str">
        <f>"525550"</f>
        <v>525550</v>
      </c>
      <c r="C13802" s="19" t="s">
        <v>13557</v>
      </c>
      <c r="D13802" s="19" t="s">
        <v>29200</v>
      </c>
      <c r="E13802" s="19" t="s">
        <v>35653</v>
      </c>
      <c r="F13802" s="19" t="s">
        <v>36024</v>
      </c>
      <c r="G13802" s="18" t="str">
        <f>"53946"</f>
        <v>53946</v>
      </c>
      <c r="H13802" s="19" t="s">
        <v>36928</v>
      </c>
      <c r="I13802" s="20">
        <v>17.074000000000002</v>
      </c>
      <c r="J13802" s="44" t="s">
        <v>8</v>
      </c>
      <c r="K13802" s="23" t="s">
        <v>8</v>
      </c>
      <c r="L13802" s="23" t="s">
        <v>8</v>
      </c>
      <c r="M13802" s="23" t="s">
        <v>8</v>
      </c>
    </row>
    <row r="13803" spans="1:13" s="21" customFormat="1" x14ac:dyDescent="0.25">
      <c r="A13803" s="22" t="s">
        <v>8</v>
      </c>
      <c r="B13803" s="18" t="str">
        <f>"525551"</f>
        <v>525551</v>
      </c>
      <c r="C13803" s="19" t="s">
        <v>13558</v>
      </c>
      <c r="D13803" s="19" t="s">
        <v>29201</v>
      </c>
      <c r="E13803" s="19" t="s">
        <v>31244</v>
      </c>
      <c r="F13803" s="19" t="s">
        <v>36024</v>
      </c>
      <c r="G13803" s="18" t="str">
        <f>"54971"</f>
        <v>54971</v>
      </c>
      <c r="H13803" s="19" t="s">
        <v>35563</v>
      </c>
      <c r="I13803" s="20">
        <v>18.285</v>
      </c>
      <c r="J13803" s="44" t="s">
        <v>8</v>
      </c>
      <c r="K13803" s="23" t="s">
        <v>8</v>
      </c>
      <c r="L13803" s="23" t="s">
        <v>8</v>
      </c>
      <c r="M13803" s="23" t="s">
        <v>8</v>
      </c>
    </row>
    <row r="13804" spans="1:13" s="21" customFormat="1" x14ac:dyDescent="0.25">
      <c r="A13804" s="22" t="s">
        <v>8</v>
      </c>
      <c r="B13804" s="18" t="str">
        <f>"525552"</f>
        <v>525552</v>
      </c>
      <c r="C13804" s="19" t="s">
        <v>13559</v>
      </c>
      <c r="D13804" s="19" t="s">
        <v>29202</v>
      </c>
      <c r="E13804" s="19" t="s">
        <v>35552</v>
      </c>
      <c r="F13804" s="19" t="s">
        <v>36024</v>
      </c>
      <c r="G13804" s="18" t="str">
        <f>"53215"</f>
        <v>53215</v>
      </c>
      <c r="H13804" s="19" t="s">
        <v>35552</v>
      </c>
      <c r="I13804" s="20">
        <v>22.356000000000002</v>
      </c>
      <c r="J13804" s="44" t="s">
        <v>8</v>
      </c>
      <c r="K13804" s="23" t="s">
        <v>8</v>
      </c>
      <c r="L13804" s="23" t="s">
        <v>8</v>
      </c>
      <c r="M13804" s="23" t="s">
        <v>8</v>
      </c>
    </row>
    <row r="13805" spans="1:13" s="21" customFormat="1" x14ac:dyDescent="0.25">
      <c r="A13805" s="22" t="s">
        <v>8</v>
      </c>
      <c r="B13805" s="18" t="str">
        <f>"525553"</f>
        <v>525553</v>
      </c>
      <c r="C13805" s="19" t="s">
        <v>13560</v>
      </c>
      <c r="D13805" s="19" t="s">
        <v>29203</v>
      </c>
      <c r="E13805" s="19" t="s">
        <v>35654</v>
      </c>
      <c r="F13805" s="19" t="s">
        <v>36024</v>
      </c>
      <c r="G13805" s="18" t="str">
        <f>"54871"</f>
        <v>54871</v>
      </c>
      <c r="H13805" s="19" t="s">
        <v>35661</v>
      </c>
      <c r="I13805" s="20">
        <v>21.385000000000002</v>
      </c>
      <c r="J13805" s="44" t="s">
        <v>8</v>
      </c>
      <c r="K13805" s="23" t="s">
        <v>8</v>
      </c>
      <c r="L13805" s="23" t="s">
        <v>8</v>
      </c>
      <c r="M13805" s="23" t="s">
        <v>8</v>
      </c>
    </row>
    <row r="13806" spans="1:13" s="21" customFormat="1" x14ac:dyDescent="0.25">
      <c r="A13806" s="22" t="s">
        <v>8</v>
      </c>
      <c r="B13806" s="18" t="str">
        <f>"525554"</f>
        <v>525554</v>
      </c>
      <c r="C13806" s="19" t="s">
        <v>4825</v>
      </c>
      <c r="D13806" s="19" t="s">
        <v>29204</v>
      </c>
      <c r="E13806" s="19" t="s">
        <v>35565</v>
      </c>
      <c r="F13806" s="19" t="s">
        <v>36024</v>
      </c>
      <c r="G13806" s="18" t="str">
        <f>"54902"</f>
        <v>54902</v>
      </c>
      <c r="H13806" s="19" t="s">
        <v>36233</v>
      </c>
      <c r="I13806" s="20">
        <v>17.202999999999999</v>
      </c>
      <c r="J13806" s="44" t="s">
        <v>8</v>
      </c>
      <c r="K13806" s="23" t="s">
        <v>8</v>
      </c>
      <c r="L13806" s="23" t="s">
        <v>8</v>
      </c>
      <c r="M13806" s="23" t="s">
        <v>8</v>
      </c>
    </row>
    <row r="13807" spans="1:13" s="21" customFormat="1" x14ac:dyDescent="0.25">
      <c r="A13807" s="22" t="s">
        <v>8</v>
      </c>
      <c r="B13807" s="18" t="str">
        <f>"525556"</f>
        <v>525556</v>
      </c>
      <c r="C13807" s="19" t="s">
        <v>13561</v>
      </c>
      <c r="D13807" s="19" t="s">
        <v>29205</v>
      </c>
      <c r="E13807" s="19" t="s">
        <v>35556</v>
      </c>
      <c r="F13807" s="19" t="s">
        <v>36024</v>
      </c>
      <c r="G13807" s="18" t="str">
        <f>"53144"</f>
        <v>53144</v>
      </c>
      <c r="H13807" s="19" t="s">
        <v>35556</v>
      </c>
      <c r="I13807" s="20">
        <v>15.337</v>
      </c>
      <c r="J13807" s="44" t="s">
        <v>8</v>
      </c>
      <c r="K13807" s="23" t="s">
        <v>8</v>
      </c>
      <c r="L13807" s="23" t="s">
        <v>8</v>
      </c>
      <c r="M13807" s="23" t="s">
        <v>8</v>
      </c>
    </row>
    <row r="13808" spans="1:13" s="21" customFormat="1" x14ac:dyDescent="0.25">
      <c r="A13808" s="22" t="s">
        <v>8</v>
      </c>
      <c r="B13808" s="18" t="str">
        <f>"525557"</f>
        <v>525557</v>
      </c>
      <c r="C13808" s="19" t="s">
        <v>13562</v>
      </c>
      <c r="D13808" s="19" t="s">
        <v>29206</v>
      </c>
      <c r="E13808" s="19" t="s">
        <v>35548</v>
      </c>
      <c r="F13808" s="19" t="s">
        <v>36024</v>
      </c>
      <c r="G13808" s="18" t="str">
        <f>"54304"</f>
        <v>54304</v>
      </c>
      <c r="H13808" s="19" t="s">
        <v>36244</v>
      </c>
      <c r="I13808" s="20">
        <v>17.635999999999999</v>
      </c>
      <c r="J13808" s="44" t="s">
        <v>8</v>
      </c>
      <c r="K13808" s="23" t="s">
        <v>8</v>
      </c>
      <c r="L13808" s="23" t="s">
        <v>8</v>
      </c>
      <c r="M13808" s="23" t="s">
        <v>8</v>
      </c>
    </row>
    <row r="13809" spans="1:13" s="21" customFormat="1" x14ac:dyDescent="0.25">
      <c r="A13809" s="22" t="s">
        <v>8</v>
      </c>
      <c r="B13809" s="18" t="str">
        <f>"525558"</f>
        <v>525558</v>
      </c>
      <c r="C13809" s="19" t="s">
        <v>13563</v>
      </c>
      <c r="D13809" s="19" t="s">
        <v>29207</v>
      </c>
      <c r="E13809" s="19" t="s">
        <v>35655</v>
      </c>
      <c r="F13809" s="19" t="s">
        <v>36024</v>
      </c>
      <c r="G13809" s="18" t="str">
        <f>"54840"</f>
        <v>54840</v>
      </c>
      <c r="H13809" s="19" t="s">
        <v>36935</v>
      </c>
      <c r="I13809" s="20">
        <v>18.475999999999999</v>
      </c>
      <c r="J13809" s="44" t="s">
        <v>8</v>
      </c>
      <c r="K13809" s="23" t="s">
        <v>8</v>
      </c>
      <c r="L13809" s="23" t="s">
        <v>8</v>
      </c>
      <c r="M13809" s="23" t="s">
        <v>8</v>
      </c>
    </row>
    <row r="13810" spans="1:13" s="21" customFormat="1" x14ac:dyDescent="0.25">
      <c r="A13810" s="22" t="s">
        <v>8</v>
      </c>
      <c r="B13810" s="18" t="str">
        <f>"525559"</f>
        <v>525559</v>
      </c>
      <c r="C13810" s="19" t="s">
        <v>13564</v>
      </c>
      <c r="D13810" s="19" t="s">
        <v>29208</v>
      </c>
      <c r="E13810" s="19" t="s">
        <v>35548</v>
      </c>
      <c r="F13810" s="19" t="s">
        <v>36024</v>
      </c>
      <c r="G13810" s="18" t="str">
        <f>"54301"</f>
        <v>54301</v>
      </c>
      <c r="H13810" s="19" t="s">
        <v>36244</v>
      </c>
      <c r="I13810" s="20">
        <v>17.378</v>
      </c>
      <c r="J13810" s="44" t="s">
        <v>8</v>
      </c>
      <c r="K13810" s="23" t="s">
        <v>8</v>
      </c>
      <c r="L13810" s="23" t="s">
        <v>8</v>
      </c>
      <c r="M13810" s="23" t="s">
        <v>8</v>
      </c>
    </row>
    <row r="13811" spans="1:13" s="21" customFormat="1" x14ac:dyDescent="0.25">
      <c r="A13811" s="22" t="s">
        <v>8</v>
      </c>
      <c r="B13811" s="18" t="str">
        <f>"525560"</f>
        <v>525560</v>
      </c>
      <c r="C13811" s="19" t="s">
        <v>13565</v>
      </c>
      <c r="D13811" s="19" t="s">
        <v>29209</v>
      </c>
      <c r="E13811" s="19" t="s">
        <v>35656</v>
      </c>
      <c r="F13811" s="19" t="s">
        <v>36024</v>
      </c>
      <c r="G13811" s="18" t="str">
        <f>"53066"</f>
        <v>53066</v>
      </c>
      <c r="H13811" s="19" t="s">
        <v>35561</v>
      </c>
      <c r="I13811" s="20">
        <v>16.893999999999998</v>
      </c>
      <c r="J13811" s="44" t="s">
        <v>8</v>
      </c>
      <c r="K13811" s="23" t="s">
        <v>8</v>
      </c>
      <c r="L13811" s="23" t="s">
        <v>8</v>
      </c>
      <c r="M13811" s="23" t="s">
        <v>8</v>
      </c>
    </row>
    <row r="13812" spans="1:13" s="21" customFormat="1" x14ac:dyDescent="0.25">
      <c r="A13812" s="22" t="s">
        <v>8</v>
      </c>
      <c r="B13812" s="18" t="str">
        <f>"525561"</f>
        <v>525561</v>
      </c>
      <c r="C13812" s="19" t="s">
        <v>13566</v>
      </c>
      <c r="D13812" s="19" t="s">
        <v>29210</v>
      </c>
      <c r="E13812" s="19" t="s">
        <v>35657</v>
      </c>
      <c r="F13812" s="19" t="s">
        <v>36024</v>
      </c>
      <c r="G13812" s="18" t="str">
        <f>"53120"</f>
        <v>53120</v>
      </c>
      <c r="H13812" s="19" t="s">
        <v>35694</v>
      </c>
      <c r="I13812" s="20">
        <v>17.573</v>
      </c>
      <c r="J13812" s="44" t="s">
        <v>8</v>
      </c>
      <c r="K13812" s="23" t="s">
        <v>8</v>
      </c>
      <c r="L13812" s="23" t="s">
        <v>8</v>
      </c>
      <c r="M13812" s="23" t="s">
        <v>8</v>
      </c>
    </row>
    <row r="13813" spans="1:13" s="21" customFormat="1" x14ac:dyDescent="0.25">
      <c r="A13813" s="22" t="s">
        <v>8</v>
      </c>
      <c r="B13813" s="18" t="str">
        <f>"525562"</f>
        <v>525562</v>
      </c>
      <c r="C13813" s="19" t="s">
        <v>13567</v>
      </c>
      <c r="D13813" s="19" t="s">
        <v>29211</v>
      </c>
      <c r="E13813" s="19" t="s">
        <v>35658</v>
      </c>
      <c r="F13813" s="19" t="s">
        <v>36024</v>
      </c>
      <c r="G13813" s="18" t="str">
        <f>"54665"</f>
        <v>54665</v>
      </c>
      <c r="H13813" s="19" t="s">
        <v>30903</v>
      </c>
      <c r="I13813" s="20">
        <v>18.783000000000001</v>
      </c>
      <c r="J13813" s="44" t="s">
        <v>8</v>
      </c>
      <c r="K13813" s="23" t="s">
        <v>8</v>
      </c>
      <c r="L13813" s="23" t="s">
        <v>8</v>
      </c>
      <c r="M13813" s="23" t="s">
        <v>8</v>
      </c>
    </row>
    <row r="13814" spans="1:13" s="21" customFormat="1" x14ac:dyDescent="0.25">
      <c r="A13814" s="22" t="s">
        <v>8</v>
      </c>
      <c r="B13814" s="18" t="str">
        <f>"525564"</f>
        <v>525564</v>
      </c>
      <c r="C13814" s="19" t="s">
        <v>13568</v>
      </c>
      <c r="D13814" s="19" t="s">
        <v>29212</v>
      </c>
      <c r="E13814" s="19" t="s">
        <v>35659</v>
      </c>
      <c r="F13814" s="19" t="s">
        <v>36024</v>
      </c>
      <c r="G13814" s="18" t="str">
        <f>"54759"</f>
        <v>54759</v>
      </c>
      <c r="H13814" s="19" t="s">
        <v>35659</v>
      </c>
      <c r="I13814" s="20">
        <v>20.931000000000001</v>
      </c>
      <c r="J13814" s="44" t="s">
        <v>8</v>
      </c>
      <c r="K13814" s="23" t="s">
        <v>8</v>
      </c>
      <c r="L13814" s="23" t="s">
        <v>8</v>
      </c>
      <c r="M13814" s="23" t="s">
        <v>8</v>
      </c>
    </row>
    <row r="13815" spans="1:13" s="21" customFormat="1" x14ac:dyDescent="0.25">
      <c r="A13815" s="22" t="s">
        <v>8</v>
      </c>
      <c r="B13815" s="18" t="str">
        <f>"525565"</f>
        <v>525565</v>
      </c>
      <c r="C13815" s="19" t="s">
        <v>13569</v>
      </c>
      <c r="D13815" s="19" t="s">
        <v>29213</v>
      </c>
      <c r="E13815" s="19" t="s">
        <v>35660</v>
      </c>
      <c r="F13815" s="19" t="s">
        <v>36024</v>
      </c>
      <c r="G13815" s="18" t="str">
        <f>"53147"</f>
        <v>53147</v>
      </c>
      <c r="H13815" s="19" t="s">
        <v>35694</v>
      </c>
      <c r="I13815" s="20">
        <v>16.751999999999999</v>
      </c>
      <c r="J13815" s="44" t="s">
        <v>8</v>
      </c>
      <c r="K13815" s="23" t="s">
        <v>8</v>
      </c>
      <c r="L13815" s="23" t="s">
        <v>8</v>
      </c>
      <c r="M13815" s="23" t="s">
        <v>8</v>
      </c>
    </row>
    <row r="13816" spans="1:13" s="21" customFormat="1" x14ac:dyDescent="0.25">
      <c r="A13816" s="22" t="s">
        <v>8</v>
      </c>
      <c r="B13816" s="18" t="str">
        <f>"525567"</f>
        <v>525567</v>
      </c>
      <c r="C13816" s="19" t="s">
        <v>13570</v>
      </c>
      <c r="D13816" s="19" t="s">
        <v>29214</v>
      </c>
      <c r="E13816" s="19" t="s">
        <v>35661</v>
      </c>
      <c r="F13816" s="19" t="s">
        <v>36024</v>
      </c>
      <c r="G13816" s="18" t="str">
        <f>"54891"</f>
        <v>54891</v>
      </c>
      <c r="H13816" s="19" t="s">
        <v>36936</v>
      </c>
      <c r="I13816" s="20">
        <v>16.835999999999999</v>
      </c>
      <c r="J13816" s="44" t="s">
        <v>8</v>
      </c>
      <c r="K13816" s="23" t="s">
        <v>8</v>
      </c>
      <c r="L13816" s="23" t="s">
        <v>8</v>
      </c>
      <c r="M13816" s="23" t="s">
        <v>8</v>
      </c>
    </row>
    <row r="13817" spans="1:13" s="21" customFormat="1" x14ac:dyDescent="0.25">
      <c r="A13817" s="22" t="s">
        <v>8</v>
      </c>
      <c r="B13817" s="18" t="str">
        <f>"525568"</f>
        <v>525568</v>
      </c>
      <c r="C13817" s="19" t="s">
        <v>13571</v>
      </c>
      <c r="D13817" s="19" t="s">
        <v>29215</v>
      </c>
      <c r="E13817" s="19" t="s">
        <v>35625</v>
      </c>
      <c r="F13817" s="19" t="s">
        <v>36024</v>
      </c>
      <c r="G13817" s="18" t="str">
        <f>"53081"</f>
        <v>53081</v>
      </c>
      <c r="H13817" s="19" t="s">
        <v>35625</v>
      </c>
      <c r="I13817" s="20">
        <v>19.689</v>
      </c>
      <c r="J13817" s="44" t="s">
        <v>8</v>
      </c>
      <c r="K13817" s="23" t="s">
        <v>8</v>
      </c>
      <c r="L13817" s="23" t="s">
        <v>8</v>
      </c>
      <c r="M13817" s="23" t="s">
        <v>8</v>
      </c>
    </row>
    <row r="13818" spans="1:13" s="21" customFormat="1" x14ac:dyDescent="0.25">
      <c r="A13818" s="22" t="s">
        <v>8</v>
      </c>
      <c r="B13818" s="18" t="str">
        <f>"525571"</f>
        <v>525571</v>
      </c>
      <c r="C13818" s="19" t="s">
        <v>13572</v>
      </c>
      <c r="D13818" s="19" t="s">
        <v>29216</v>
      </c>
      <c r="E13818" s="19" t="s">
        <v>35548</v>
      </c>
      <c r="F13818" s="19" t="s">
        <v>36024</v>
      </c>
      <c r="G13818" s="18" t="str">
        <f>"54302"</f>
        <v>54302</v>
      </c>
      <c r="H13818" s="19" t="s">
        <v>36244</v>
      </c>
      <c r="I13818" s="20">
        <v>18.3</v>
      </c>
      <c r="J13818" s="44" t="s">
        <v>8</v>
      </c>
      <c r="K13818" s="23" t="s">
        <v>8</v>
      </c>
      <c r="L13818" s="23" t="s">
        <v>8</v>
      </c>
      <c r="M13818" s="23" t="s">
        <v>8</v>
      </c>
    </row>
    <row r="13819" spans="1:13" s="21" customFormat="1" x14ac:dyDescent="0.25">
      <c r="A13819" s="22" t="s">
        <v>8</v>
      </c>
      <c r="B13819" s="18" t="str">
        <f>"525572"</f>
        <v>525572</v>
      </c>
      <c r="C13819" s="19" t="s">
        <v>13573</v>
      </c>
      <c r="D13819" s="19" t="s">
        <v>17035</v>
      </c>
      <c r="E13819" s="19" t="s">
        <v>35662</v>
      </c>
      <c r="F13819" s="19" t="s">
        <v>36024</v>
      </c>
      <c r="G13819" s="18" t="str">
        <f>"53118"</f>
        <v>53118</v>
      </c>
      <c r="H13819" s="19" t="s">
        <v>35561</v>
      </c>
      <c r="I13819" s="20">
        <v>17.204999999999998</v>
      </c>
      <c r="J13819" s="44" t="s">
        <v>8</v>
      </c>
      <c r="K13819" s="23" t="s">
        <v>8</v>
      </c>
      <c r="L13819" s="23" t="s">
        <v>8</v>
      </c>
      <c r="M13819" s="23" t="s">
        <v>8</v>
      </c>
    </row>
    <row r="13820" spans="1:13" s="21" customFormat="1" x14ac:dyDescent="0.25">
      <c r="A13820" s="22" t="s">
        <v>8</v>
      </c>
      <c r="B13820" s="18" t="str">
        <f>"525573"</f>
        <v>525573</v>
      </c>
      <c r="C13820" s="19" t="s">
        <v>13574</v>
      </c>
      <c r="D13820" s="19" t="s">
        <v>29217</v>
      </c>
      <c r="E13820" s="19" t="s">
        <v>35641</v>
      </c>
      <c r="F13820" s="19" t="s">
        <v>36024</v>
      </c>
      <c r="G13820" s="18" t="str">
        <f>"54115"</f>
        <v>54115</v>
      </c>
      <c r="H13820" s="19" t="s">
        <v>36244</v>
      </c>
      <c r="I13820" s="20">
        <v>16.628</v>
      </c>
      <c r="J13820" s="44" t="s">
        <v>8</v>
      </c>
      <c r="K13820" s="23" t="s">
        <v>8</v>
      </c>
      <c r="L13820" s="23" t="s">
        <v>8</v>
      </c>
      <c r="M13820" s="23" t="s">
        <v>8</v>
      </c>
    </row>
    <row r="13821" spans="1:13" s="21" customFormat="1" x14ac:dyDescent="0.25">
      <c r="A13821" s="22" t="s">
        <v>8</v>
      </c>
      <c r="B13821" s="18" t="str">
        <f>"525574"</f>
        <v>525574</v>
      </c>
      <c r="C13821" s="19" t="s">
        <v>13575</v>
      </c>
      <c r="D13821" s="19" t="s">
        <v>29218</v>
      </c>
      <c r="E13821" s="19" t="s">
        <v>33345</v>
      </c>
      <c r="F13821" s="19" t="s">
        <v>36024</v>
      </c>
      <c r="G13821" s="18" t="str">
        <f>"54914"</f>
        <v>54914</v>
      </c>
      <c r="H13821" s="19" t="s">
        <v>36927</v>
      </c>
      <c r="I13821" s="20">
        <v>18.649000000000001</v>
      </c>
      <c r="J13821" s="44" t="s">
        <v>8</v>
      </c>
      <c r="K13821" s="23" t="s">
        <v>8</v>
      </c>
      <c r="L13821" s="23" t="s">
        <v>8</v>
      </c>
      <c r="M13821" s="23" t="s">
        <v>8</v>
      </c>
    </row>
    <row r="13822" spans="1:13" s="21" customFormat="1" x14ac:dyDescent="0.25">
      <c r="A13822" s="22" t="s">
        <v>8</v>
      </c>
      <c r="B13822" s="18" t="str">
        <f>"525575"</f>
        <v>525575</v>
      </c>
      <c r="C13822" s="19" t="s">
        <v>13576</v>
      </c>
      <c r="D13822" s="19" t="s">
        <v>29219</v>
      </c>
      <c r="E13822" s="19" t="s">
        <v>35599</v>
      </c>
      <c r="F13822" s="19" t="s">
        <v>36024</v>
      </c>
      <c r="G13822" s="18" t="str">
        <f>"54220"</f>
        <v>54220</v>
      </c>
      <c r="H13822" s="19" t="s">
        <v>35599</v>
      </c>
      <c r="I13822" s="20">
        <v>14.398999999999999</v>
      </c>
      <c r="J13822" s="44" t="s">
        <v>8</v>
      </c>
      <c r="K13822" s="23" t="s">
        <v>8</v>
      </c>
      <c r="L13822" s="23" t="s">
        <v>8</v>
      </c>
      <c r="M13822" s="23" t="s">
        <v>8</v>
      </c>
    </row>
    <row r="13823" spans="1:13" s="21" customFormat="1" x14ac:dyDescent="0.25">
      <c r="A13823" s="22" t="s">
        <v>8</v>
      </c>
      <c r="B13823" s="18" t="str">
        <f>"525578"</f>
        <v>525578</v>
      </c>
      <c r="C13823" s="19" t="s">
        <v>13577</v>
      </c>
      <c r="D13823" s="19" t="s">
        <v>29220</v>
      </c>
      <c r="E13823" s="19" t="s">
        <v>35648</v>
      </c>
      <c r="F13823" s="19" t="s">
        <v>36024</v>
      </c>
      <c r="G13823" s="18" t="str">
        <f>"53012"</f>
        <v>53012</v>
      </c>
      <c r="H13823" s="19" t="s">
        <v>36934</v>
      </c>
      <c r="I13823" s="20">
        <v>20.007000000000001</v>
      </c>
      <c r="J13823" s="44" t="s">
        <v>8</v>
      </c>
      <c r="K13823" s="23" t="s">
        <v>8</v>
      </c>
      <c r="L13823" s="23" t="s">
        <v>8</v>
      </c>
      <c r="M13823" s="23" t="s">
        <v>8</v>
      </c>
    </row>
    <row r="13824" spans="1:13" s="21" customFormat="1" x14ac:dyDescent="0.25">
      <c r="A13824" s="22" t="s">
        <v>8</v>
      </c>
      <c r="B13824" s="18" t="str">
        <f>"525579"</f>
        <v>525579</v>
      </c>
      <c r="C13824" s="19" t="s">
        <v>13578</v>
      </c>
      <c r="D13824" s="19" t="s">
        <v>29221</v>
      </c>
      <c r="E13824" s="19" t="s">
        <v>35663</v>
      </c>
      <c r="F13824" s="19" t="s">
        <v>36024</v>
      </c>
      <c r="G13824" s="18" t="str">
        <f>"54140"</f>
        <v>54140</v>
      </c>
      <c r="H13824" s="19" t="s">
        <v>36927</v>
      </c>
      <c r="I13824" s="20">
        <v>18.239000000000001</v>
      </c>
      <c r="J13824" s="44" t="s">
        <v>8</v>
      </c>
      <c r="K13824" s="23" t="s">
        <v>8</v>
      </c>
      <c r="L13824" s="23" t="s">
        <v>8</v>
      </c>
      <c r="M13824" s="23" t="s">
        <v>8</v>
      </c>
    </row>
    <row r="13825" spans="1:13" s="21" customFormat="1" x14ac:dyDescent="0.25">
      <c r="A13825" s="22" t="s">
        <v>8</v>
      </c>
      <c r="B13825" s="18" t="str">
        <f>"525580"</f>
        <v>525580</v>
      </c>
      <c r="C13825" s="19" t="s">
        <v>13579</v>
      </c>
      <c r="D13825" s="19" t="s">
        <v>29222</v>
      </c>
      <c r="E13825" s="19" t="s">
        <v>35636</v>
      </c>
      <c r="F13825" s="19" t="s">
        <v>36024</v>
      </c>
      <c r="G13825" s="18" t="str">
        <f>"54724"</f>
        <v>54724</v>
      </c>
      <c r="H13825" s="19" t="s">
        <v>36439</v>
      </c>
      <c r="I13825" s="20">
        <v>19.231000000000002</v>
      </c>
      <c r="J13825" s="44" t="s">
        <v>8</v>
      </c>
      <c r="K13825" s="23" t="s">
        <v>8</v>
      </c>
      <c r="L13825" s="23" t="s">
        <v>8</v>
      </c>
      <c r="M13825" s="23" t="s">
        <v>8</v>
      </c>
    </row>
    <row r="13826" spans="1:13" s="21" customFormat="1" x14ac:dyDescent="0.25">
      <c r="A13826" s="22" t="s">
        <v>8</v>
      </c>
      <c r="B13826" s="18" t="str">
        <f>"525581"</f>
        <v>525581</v>
      </c>
      <c r="C13826" s="19" t="s">
        <v>13580</v>
      </c>
      <c r="D13826" s="19" t="s">
        <v>29223</v>
      </c>
      <c r="E13826" s="19" t="s">
        <v>35664</v>
      </c>
      <c r="F13826" s="19" t="s">
        <v>36024</v>
      </c>
      <c r="G13826" s="18" t="str">
        <f>"53950"</f>
        <v>53950</v>
      </c>
      <c r="H13826" s="19" t="s">
        <v>30935</v>
      </c>
      <c r="I13826" s="20">
        <v>19.917999999999999</v>
      </c>
      <c r="J13826" s="44" t="s">
        <v>8</v>
      </c>
      <c r="K13826" s="23" t="s">
        <v>8</v>
      </c>
      <c r="L13826" s="23" t="s">
        <v>8</v>
      </c>
      <c r="M13826" s="23" t="s">
        <v>8</v>
      </c>
    </row>
    <row r="13827" spans="1:13" s="21" customFormat="1" x14ac:dyDescent="0.25">
      <c r="A13827" s="22" t="s">
        <v>8</v>
      </c>
      <c r="B13827" s="18" t="str">
        <f>"525583"</f>
        <v>525583</v>
      </c>
      <c r="C13827" s="19" t="s">
        <v>13581</v>
      </c>
      <c r="D13827" s="19" t="s">
        <v>29224</v>
      </c>
      <c r="E13827" s="19" t="s">
        <v>33345</v>
      </c>
      <c r="F13827" s="19" t="s">
        <v>36024</v>
      </c>
      <c r="G13827" s="18" t="str">
        <f>"54911"</f>
        <v>54911</v>
      </c>
      <c r="H13827" s="19" t="s">
        <v>36927</v>
      </c>
      <c r="I13827" s="20">
        <v>18.71</v>
      </c>
      <c r="J13827" s="44" t="s">
        <v>8</v>
      </c>
      <c r="K13827" s="23" t="s">
        <v>8</v>
      </c>
      <c r="L13827" s="23" t="s">
        <v>8</v>
      </c>
      <c r="M13827" s="23" t="s">
        <v>8</v>
      </c>
    </row>
    <row r="13828" spans="1:13" s="21" customFormat="1" x14ac:dyDescent="0.25">
      <c r="A13828" s="22" t="s">
        <v>8</v>
      </c>
      <c r="B13828" s="18" t="str">
        <f>"525586"</f>
        <v>525586</v>
      </c>
      <c r="C13828" s="19" t="s">
        <v>10019</v>
      </c>
      <c r="D13828" s="19" t="s">
        <v>29225</v>
      </c>
      <c r="E13828" s="19" t="s">
        <v>34039</v>
      </c>
      <c r="F13828" s="19" t="s">
        <v>36024</v>
      </c>
      <c r="G13828" s="18" t="str">
        <f>"53074"</f>
        <v>53074</v>
      </c>
      <c r="H13828" s="19" t="s">
        <v>36934</v>
      </c>
      <c r="I13828" s="20">
        <v>16.321999999999999</v>
      </c>
      <c r="J13828" s="44" t="s">
        <v>8</v>
      </c>
      <c r="K13828" s="23" t="s">
        <v>8</v>
      </c>
      <c r="L13828" s="23" t="s">
        <v>8</v>
      </c>
      <c r="M13828" s="23" t="s">
        <v>8</v>
      </c>
    </row>
    <row r="13829" spans="1:13" s="21" customFormat="1" x14ac:dyDescent="0.25">
      <c r="A13829" s="22" t="s">
        <v>8</v>
      </c>
      <c r="B13829" s="18" t="str">
        <f>"525587"</f>
        <v>525587</v>
      </c>
      <c r="C13829" s="19" t="s">
        <v>13582</v>
      </c>
      <c r="D13829" s="19" t="s">
        <v>29226</v>
      </c>
      <c r="E13829" s="19" t="s">
        <v>32646</v>
      </c>
      <c r="F13829" s="19" t="s">
        <v>36024</v>
      </c>
      <c r="G13829" s="18" t="str">
        <f>"53190"</f>
        <v>53190</v>
      </c>
      <c r="H13829" s="19" t="s">
        <v>35694</v>
      </c>
      <c r="I13829" s="20">
        <v>17.234999999999999</v>
      </c>
      <c r="J13829" s="44" t="s">
        <v>8</v>
      </c>
      <c r="K13829" s="23" t="s">
        <v>8</v>
      </c>
      <c r="L13829" s="23" t="s">
        <v>8</v>
      </c>
      <c r="M13829" s="23" t="s">
        <v>8</v>
      </c>
    </row>
    <row r="13830" spans="1:13" s="21" customFormat="1" x14ac:dyDescent="0.25">
      <c r="A13830" s="22" t="s">
        <v>8</v>
      </c>
      <c r="B13830" s="18" t="str">
        <f>"525588"</f>
        <v>525588</v>
      </c>
      <c r="C13830" s="19" t="s">
        <v>13583</v>
      </c>
      <c r="D13830" s="19" t="s">
        <v>29227</v>
      </c>
      <c r="E13830" s="19" t="s">
        <v>35552</v>
      </c>
      <c r="F13830" s="19" t="s">
        <v>36024</v>
      </c>
      <c r="G13830" s="18" t="str">
        <f>"53225"</f>
        <v>53225</v>
      </c>
      <c r="H13830" s="19" t="s">
        <v>35552</v>
      </c>
      <c r="I13830" s="20">
        <v>17.315000000000001</v>
      </c>
      <c r="J13830" s="44" t="s">
        <v>8</v>
      </c>
      <c r="K13830" s="23" t="s">
        <v>8</v>
      </c>
      <c r="L13830" s="23" t="s">
        <v>8</v>
      </c>
      <c r="M13830" s="23" t="s">
        <v>8</v>
      </c>
    </row>
    <row r="13831" spans="1:13" s="21" customFormat="1" x14ac:dyDescent="0.25">
      <c r="A13831" s="22" t="s">
        <v>8</v>
      </c>
      <c r="B13831" s="18" t="str">
        <f>"525589"</f>
        <v>525589</v>
      </c>
      <c r="C13831" s="19" t="s">
        <v>13584</v>
      </c>
      <c r="D13831" s="19" t="s">
        <v>29228</v>
      </c>
      <c r="E13831" s="19" t="s">
        <v>35627</v>
      </c>
      <c r="F13831" s="19" t="s">
        <v>36024</v>
      </c>
      <c r="G13831" s="18" t="str">
        <f>"54501"</f>
        <v>54501</v>
      </c>
      <c r="H13831" s="19" t="s">
        <v>34140</v>
      </c>
      <c r="I13831" s="20">
        <v>17.178000000000001</v>
      </c>
      <c r="J13831" s="44" t="s">
        <v>8</v>
      </c>
      <c r="K13831" s="23" t="s">
        <v>8</v>
      </c>
      <c r="L13831" s="23" t="s">
        <v>8</v>
      </c>
      <c r="M13831" s="23" t="s">
        <v>8</v>
      </c>
    </row>
    <row r="13832" spans="1:13" s="21" customFormat="1" x14ac:dyDescent="0.25">
      <c r="A13832" s="22" t="s">
        <v>8</v>
      </c>
      <c r="B13832" s="18" t="str">
        <f>"525590"</f>
        <v>525590</v>
      </c>
      <c r="C13832" s="19" t="s">
        <v>13585</v>
      </c>
      <c r="D13832" s="19" t="s">
        <v>29229</v>
      </c>
      <c r="E13832" s="19" t="s">
        <v>35548</v>
      </c>
      <c r="F13832" s="19" t="s">
        <v>36024</v>
      </c>
      <c r="G13832" s="18" t="str">
        <f>"54301"</f>
        <v>54301</v>
      </c>
      <c r="H13832" s="19" t="s">
        <v>36244</v>
      </c>
      <c r="I13832" s="20">
        <v>17.814</v>
      </c>
      <c r="J13832" s="44" t="s">
        <v>8</v>
      </c>
      <c r="K13832" s="23" t="s">
        <v>8</v>
      </c>
      <c r="L13832" s="23" t="s">
        <v>8</v>
      </c>
      <c r="M13832" s="23" t="s">
        <v>8</v>
      </c>
    </row>
    <row r="13833" spans="1:13" s="21" customFormat="1" x14ac:dyDescent="0.25">
      <c r="A13833" s="22" t="s">
        <v>8</v>
      </c>
      <c r="B13833" s="18" t="str">
        <f>"525591"</f>
        <v>525591</v>
      </c>
      <c r="C13833" s="19" t="s">
        <v>13586</v>
      </c>
      <c r="D13833" s="19" t="s">
        <v>29230</v>
      </c>
      <c r="E13833" s="19" t="s">
        <v>35658</v>
      </c>
      <c r="F13833" s="19" t="s">
        <v>36024</v>
      </c>
      <c r="G13833" s="18" t="str">
        <f>"54665"</f>
        <v>54665</v>
      </c>
      <c r="H13833" s="19" t="s">
        <v>30903</v>
      </c>
      <c r="I13833" s="20">
        <v>16.413</v>
      </c>
      <c r="J13833" s="44" t="s">
        <v>8</v>
      </c>
      <c r="K13833" s="23" t="s">
        <v>8</v>
      </c>
      <c r="L13833" s="23" t="s">
        <v>8</v>
      </c>
      <c r="M13833" s="23" t="s">
        <v>8</v>
      </c>
    </row>
    <row r="13834" spans="1:13" s="21" customFormat="1" x14ac:dyDescent="0.25">
      <c r="A13834" s="22" t="s">
        <v>8</v>
      </c>
      <c r="B13834" s="18" t="str">
        <f>"525592"</f>
        <v>525592</v>
      </c>
      <c r="C13834" s="19" t="s">
        <v>13587</v>
      </c>
      <c r="D13834" s="19" t="s">
        <v>29231</v>
      </c>
      <c r="E13834" s="19" t="s">
        <v>35612</v>
      </c>
      <c r="F13834" s="19" t="s">
        <v>36024</v>
      </c>
      <c r="G13834" s="18" t="str">
        <f>"54848"</f>
        <v>54848</v>
      </c>
      <c r="H13834" s="19" t="s">
        <v>35296</v>
      </c>
      <c r="I13834" s="20">
        <v>18.236000000000001</v>
      </c>
      <c r="J13834" s="44" t="s">
        <v>8</v>
      </c>
      <c r="K13834" s="23" t="s">
        <v>8</v>
      </c>
      <c r="L13834" s="23" t="s">
        <v>8</v>
      </c>
      <c r="M13834" s="23" t="s">
        <v>8</v>
      </c>
    </row>
    <row r="13835" spans="1:13" s="21" customFormat="1" x14ac:dyDescent="0.25">
      <c r="A13835" s="22" t="s">
        <v>8</v>
      </c>
      <c r="B13835" s="18" t="str">
        <f>"525595"</f>
        <v>525595</v>
      </c>
      <c r="C13835" s="19" t="s">
        <v>6261</v>
      </c>
      <c r="D13835" s="19" t="s">
        <v>29232</v>
      </c>
      <c r="E13835" s="19" t="s">
        <v>35563</v>
      </c>
      <c r="F13835" s="19" t="s">
        <v>36024</v>
      </c>
      <c r="G13835" s="18" t="str">
        <f>"54935"</f>
        <v>54935</v>
      </c>
      <c r="H13835" s="19" t="s">
        <v>35563</v>
      </c>
      <c r="I13835" s="20">
        <v>17.117999999999999</v>
      </c>
      <c r="J13835" s="44" t="s">
        <v>8</v>
      </c>
      <c r="K13835" s="23" t="s">
        <v>8</v>
      </c>
      <c r="L13835" s="23" t="s">
        <v>8</v>
      </c>
      <c r="M13835" s="23" t="s">
        <v>8</v>
      </c>
    </row>
    <row r="13836" spans="1:13" s="21" customFormat="1" x14ac:dyDescent="0.25">
      <c r="A13836" s="22" t="s">
        <v>8</v>
      </c>
      <c r="B13836" s="18" t="str">
        <f>"525596"</f>
        <v>525596</v>
      </c>
      <c r="C13836" s="19" t="s">
        <v>13588</v>
      </c>
      <c r="D13836" s="19" t="s">
        <v>29233</v>
      </c>
      <c r="E13836" s="19" t="s">
        <v>35665</v>
      </c>
      <c r="F13836" s="19" t="s">
        <v>36024</v>
      </c>
      <c r="G13836" s="18" t="str">
        <f>"53130"</f>
        <v>53130</v>
      </c>
      <c r="H13836" s="19" t="s">
        <v>35552</v>
      </c>
      <c r="I13836" s="20">
        <v>15.932</v>
      </c>
      <c r="J13836" s="44" t="s">
        <v>8</v>
      </c>
      <c r="K13836" s="23" t="s">
        <v>8</v>
      </c>
      <c r="L13836" s="23" t="s">
        <v>8</v>
      </c>
      <c r="M13836" s="23" t="s">
        <v>8</v>
      </c>
    </row>
    <row r="13837" spans="1:13" s="21" customFormat="1" x14ac:dyDescent="0.25">
      <c r="A13837" s="22" t="s">
        <v>8</v>
      </c>
      <c r="B13837" s="18" t="str">
        <f>"525598"</f>
        <v>525598</v>
      </c>
      <c r="C13837" s="19" t="s">
        <v>13589</v>
      </c>
      <c r="D13837" s="19" t="s">
        <v>29234</v>
      </c>
      <c r="E13837" s="19" t="s">
        <v>35625</v>
      </c>
      <c r="F13837" s="19" t="s">
        <v>36024</v>
      </c>
      <c r="G13837" s="18" t="str">
        <f>"53083"</f>
        <v>53083</v>
      </c>
      <c r="H13837" s="19" t="s">
        <v>35625</v>
      </c>
      <c r="I13837" s="20">
        <v>17.283000000000001</v>
      </c>
      <c r="J13837" s="44" t="s">
        <v>8</v>
      </c>
      <c r="K13837" s="23" t="s">
        <v>8</v>
      </c>
      <c r="L13837" s="23" t="s">
        <v>8</v>
      </c>
      <c r="M13837" s="23" t="s">
        <v>8</v>
      </c>
    </row>
    <row r="13838" spans="1:13" s="21" customFormat="1" x14ac:dyDescent="0.25">
      <c r="A13838" s="22" t="s">
        <v>8</v>
      </c>
      <c r="B13838" s="18" t="str">
        <f>"525599"</f>
        <v>525599</v>
      </c>
      <c r="C13838" s="19" t="s">
        <v>8006</v>
      </c>
      <c r="D13838" s="19" t="s">
        <v>29235</v>
      </c>
      <c r="E13838" s="19" t="s">
        <v>31423</v>
      </c>
      <c r="F13838" s="19" t="s">
        <v>36024</v>
      </c>
      <c r="G13838" s="18" t="str">
        <f>"54961"</f>
        <v>54961</v>
      </c>
      <c r="H13838" s="19" t="s">
        <v>35580</v>
      </c>
      <c r="I13838" s="20">
        <v>18.582999999999998</v>
      </c>
      <c r="J13838" s="44" t="s">
        <v>8</v>
      </c>
      <c r="K13838" s="23" t="s">
        <v>8</v>
      </c>
      <c r="L13838" s="23" t="s">
        <v>8</v>
      </c>
      <c r="M13838" s="23" t="s">
        <v>8</v>
      </c>
    </row>
    <row r="13839" spans="1:13" s="21" customFormat="1" x14ac:dyDescent="0.25">
      <c r="A13839" s="22" t="s">
        <v>8</v>
      </c>
      <c r="B13839" s="18" t="str">
        <f>"525600"</f>
        <v>525600</v>
      </c>
      <c r="C13839" s="19" t="s">
        <v>3792</v>
      </c>
      <c r="D13839" s="19" t="s">
        <v>29236</v>
      </c>
      <c r="E13839" s="19" t="s">
        <v>35551</v>
      </c>
      <c r="F13839" s="19" t="s">
        <v>36024</v>
      </c>
      <c r="G13839" s="18" t="str">
        <f>"53219"</f>
        <v>53219</v>
      </c>
      <c r="H13839" s="19" t="s">
        <v>35552</v>
      </c>
      <c r="I13839" s="20">
        <v>19.231999999999999</v>
      </c>
      <c r="J13839" s="44" t="s">
        <v>8</v>
      </c>
      <c r="K13839" s="23" t="s">
        <v>8</v>
      </c>
      <c r="L13839" s="23" t="s">
        <v>8</v>
      </c>
      <c r="M13839" s="23" t="s">
        <v>8</v>
      </c>
    </row>
    <row r="13840" spans="1:13" s="21" customFormat="1" x14ac:dyDescent="0.25">
      <c r="A13840" s="22" t="s">
        <v>8</v>
      </c>
      <c r="B13840" s="18" t="str">
        <f>"525602"</f>
        <v>525602</v>
      </c>
      <c r="C13840" s="19" t="s">
        <v>13590</v>
      </c>
      <c r="D13840" s="19" t="s">
        <v>29237</v>
      </c>
      <c r="E13840" s="19" t="s">
        <v>35666</v>
      </c>
      <c r="F13840" s="19" t="s">
        <v>36024</v>
      </c>
      <c r="G13840" s="18" t="str">
        <f>"54013"</f>
        <v>54013</v>
      </c>
      <c r="H13840" s="19" t="s">
        <v>36924</v>
      </c>
      <c r="I13840" s="20">
        <v>18.596</v>
      </c>
      <c r="J13840" s="44" t="s">
        <v>8</v>
      </c>
      <c r="K13840" s="23" t="s">
        <v>8</v>
      </c>
      <c r="L13840" s="23" t="s">
        <v>8</v>
      </c>
      <c r="M13840" s="23" t="s">
        <v>8</v>
      </c>
    </row>
    <row r="13841" spans="1:13" s="21" customFormat="1" x14ac:dyDescent="0.25">
      <c r="A13841" s="22" t="s">
        <v>8</v>
      </c>
      <c r="B13841" s="18" t="str">
        <f>"525603"</f>
        <v>525603</v>
      </c>
      <c r="C13841" s="19" t="s">
        <v>13591</v>
      </c>
      <c r="D13841" s="19" t="s">
        <v>29238</v>
      </c>
      <c r="E13841" s="19" t="s">
        <v>35556</v>
      </c>
      <c r="F13841" s="19" t="s">
        <v>36024</v>
      </c>
      <c r="G13841" s="18" t="str">
        <f>"53143"</f>
        <v>53143</v>
      </c>
      <c r="H13841" s="19" t="s">
        <v>35556</v>
      </c>
      <c r="I13841" s="20">
        <v>17.835000000000001</v>
      </c>
      <c r="J13841" s="44" t="s">
        <v>8</v>
      </c>
      <c r="K13841" s="23" t="s">
        <v>8</v>
      </c>
      <c r="L13841" s="23" t="s">
        <v>8</v>
      </c>
      <c r="M13841" s="23" t="s">
        <v>8</v>
      </c>
    </row>
    <row r="13842" spans="1:13" s="21" customFormat="1" x14ac:dyDescent="0.25">
      <c r="A13842" s="22" t="s">
        <v>8</v>
      </c>
      <c r="B13842" s="18" t="str">
        <f>"525604"</f>
        <v>525604</v>
      </c>
      <c r="C13842" s="19" t="s">
        <v>13592</v>
      </c>
      <c r="D13842" s="19" t="s">
        <v>29239</v>
      </c>
      <c r="E13842" s="19" t="s">
        <v>32220</v>
      </c>
      <c r="F13842" s="19" t="s">
        <v>36024</v>
      </c>
      <c r="G13842" s="18" t="str">
        <f>"53220"</f>
        <v>53220</v>
      </c>
      <c r="H13842" s="19" t="s">
        <v>35552</v>
      </c>
      <c r="I13842" s="20">
        <v>19.395</v>
      </c>
      <c r="J13842" s="44" t="s">
        <v>8</v>
      </c>
      <c r="K13842" s="23" t="s">
        <v>8</v>
      </c>
      <c r="L13842" s="23" t="s">
        <v>8</v>
      </c>
      <c r="M13842" s="23" t="s">
        <v>8</v>
      </c>
    </row>
    <row r="13843" spans="1:13" s="21" customFormat="1" x14ac:dyDescent="0.25">
      <c r="A13843" s="22" t="s">
        <v>8</v>
      </c>
      <c r="B13843" s="18" t="str">
        <f>"525605"</f>
        <v>525605</v>
      </c>
      <c r="C13843" s="19" t="s">
        <v>13593</v>
      </c>
      <c r="D13843" s="19" t="s">
        <v>29240</v>
      </c>
      <c r="E13843" s="19" t="s">
        <v>35625</v>
      </c>
      <c r="F13843" s="19" t="s">
        <v>36024</v>
      </c>
      <c r="G13843" s="18" t="str">
        <f>"53081"</f>
        <v>53081</v>
      </c>
      <c r="H13843" s="19" t="s">
        <v>35625</v>
      </c>
      <c r="I13843" s="20">
        <v>18.870999999999999</v>
      </c>
      <c r="J13843" s="44" t="s">
        <v>8</v>
      </c>
      <c r="K13843" s="23" t="s">
        <v>8</v>
      </c>
      <c r="L13843" s="23" t="s">
        <v>8</v>
      </c>
      <c r="M13843" s="23" t="s">
        <v>8</v>
      </c>
    </row>
    <row r="13844" spans="1:13" s="21" customFormat="1" x14ac:dyDescent="0.25">
      <c r="A13844" s="22" t="s">
        <v>8</v>
      </c>
      <c r="B13844" s="18" t="str">
        <f>"525606"</f>
        <v>525606</v>
      </c>
      <c r="C13844" s="19" t="s">
        <v>13594</v>
      </c>
      <c r="D13844" s="19" t="s">
        <v>29241</v>
      </c>
      <c r="E13844" s="19" t="s">
        <v>35667</v>
      </c>
      <c r="F13844" s="19" t="s">
        <v>36024</v>
      </c>
      <c r="G13844" s="18" t="str">
        <f>"54770"</f>
        <v>54770</v>
      </c>
      <c r="H13844" s="19" t="s">
        <v>36937</v>
      </c>
      <c r="I13844" s="20">
        <v>18.077000000000002</v>
      </c>
      <c r="J13844" s="44" t="s">
        <v>8</v>
      </c>
      <c r="K13844" s="23" t="s">
        <v>8</v>
      </c>
      <c r="L13844" s="23" t="s">
        <v>8</v>
      </c>
      <c r="M13844" s="23" t="s">
        <v>8</v>
      </c>
    </row>
    <row r="13845" spans="1:13" s="21" customFormat="1" x14ac:dyDescent="0.25">
      <c r="A13845" s="22" t="s">
        <v>8</v>
      </c>
      <c r="B13845" s="18" t="str">
        <f>"525607"</f>
        <v>525607</v>
      </c>
      <c r="C13845" s="19" t="s">
        <v>13595</v>
      </c>
      <c r="D13845" s="19" t="s">
        <v>29242</v>
      </c>
      <c r="E13845" s="19" t="s">
        <v>35625</v>
      </c>
      <c r="F13845" s="19" t="s">
        <v>36024</v>
      </c>
      <c r="G13845" s="18" t="str">
        <f>"53083"</f>
        <v>53083</v>
      </c>
      <c r="H13845" s="19" t="s">
        <v>35625</v>
      </c>
      <c r="I13845" s="20">
        <v>17.922000000000001</v>
      </c>
      <c r="J13845" s="44" t="s">
        <v>8</v>
      </c>
      <c r="K13845" s="23" t="s">
        <v>8</v>
      </c>
      <c r="L13845" s="23" t="s">
        <v>8</v>
      </c>
      <c r="M13845" s="23" t="s">
        <v>8</v>
      </c>
    </row>
    <row r="13846" spans="1:13" s="21" customFormat="1" x14ac:dyDescent="0.25">
      <c r="A13846" s="22" t="s">
        <v>8</v>
      </c>
      <c r="B13846" s="18" t="str">
        <f>"525608"</f>
        <v>525608</v>
      </c>
      <c r="C13846" s="19" t="s">
        <v>13596</v>
      </c>
      <c r="D13846" s="19" t="s">
        <v>29243</v>
      </c>
      <c r="E13846" s="19" t="s">
        <v>35550</v>
      </c>
      <c r="F13846" s="19" t="s">
        <v>36024</v>
      </c>
      <c r="G13846" s="18" t="str">
        <f>"53406"</f>
        <v>53406</v>
      </c>
      <c r="H13846" s="19" t="s">
        <v>35550</v>
      </c>
      <c r="I13846" s="20">
        <v>18.986999999999998</v>
      </c>
      <c r="J13846" s="44" t="s">
        <v>8</v>
      </c>
      <c r="K13846" s="23" t="s">
        <v>8</v>
      </c>
      <c r="L13846" s="23" t="s">
        <v>8</v>
      </c>
      <c r="M13846" s="23" t="s">
        <v>8</v>
      </c>
    </row>
    <row r="13847" spans="1:13" s="21" customFormat="1" x14ac:dyDescent="0.25">
      <c r="A13847" s="22" t="s">
        <v>8</v>
      </c>
      <c r="B13847" s="18" t="str">
        <f>"525609"</f>
        <v>525609</v>
      </c>
      <c r="C13847" s="19" t="s">
        <v>13597</v>
      </c>
      <c r="D13847" s="19" t="s">
        <v>29244</v>
      </c>
      <c r="E13847" s="19" t="s">
        <v>35599</v>
      </c>
      <c r="F13847" s="19" t="s">
        <v>36024</v>
      </c>
      <c r="G13847" s="18" t="str">
        <f>"54220"</f>
        <v>54220</v>
      </c>
      <c r="H13847" s="19" t="s">
        <v>35599</v>
      </c>
      <c r="I13847" s="20">
        <v>16.091999999999999</v>
      </c>
      <c r="J13847" s="44" t="s">
        <v>8</v>
      </c>
      <c r="K13847" s="23" t="s">
        <v>8</v>
      </c>
      <c r="L13847" s="23" t="s">
        <v>8</v>
      </c>
      <c r="M13847" s="23" t="s">
        <v>8</v>
      </c>
    </row>
    <row r="13848" spans="1:13" s="21" customFormat="1" x14ac:dyDescent="0.25">
      <c r="A13848" s="22" t="s">
        <v>8</v>
      </c>
      <c r="B13848" s="18" t="str">
        <f>"525611"</f>
        <v>525611</v>
      </c>
      <c r="C13848" s="19" t="s">
        <v>13598</v>
      </c>
      <c r="D13848" s="19" t="s">
        <v>29245</v>
      </c>
      <c r="E13848" s="19" t="s">
        <v>35584</v>
      </c>
      <c r="F13848" s="19" t="s">
        <v>36024</v>
      </c>
      <c r="G13848" s="18" t="str">
        <f>"54481"</f>
        <v>54481</v>
      </c>
      <c r="H13848" s="19" t="s">
        <v>32230</v>
      </c>
      <c r="I13848" s="20">
        <v>20.835000000000001</v>
      </c>
      <c r="J13848" s="44" t="s">
        <v>8</v>
      </c>
      <c r="K13848" s="23" t="s">
        <v>8</v>
      </c>
      <c r="L13848" s="23" t="s">
        <v>8</v>
      </c>
      <c r="M13848" s="23" t="s">
        <v>8</v>
      </c>
    </row>
    <row r="13849" spans="1:13" s="21" customFormat="1" x14ac:dyDescent="0.25">
      <c r="A13849" s="22" t="s">
        <v>8</v>
      </c>
      <c r="B13849" s="18" t="str">
        <f>"525612"</f>
        <v>525612</v>
      </c>
      <c r="C13849" s="19" t="s">
        <v>13599</v>
      </c>
      <c r="D13849" s="19" t="s">
        <v>29246</v>
      </c>
      <c r="E13849" s="19" t="s">
        <v>35668</v>
      </c>
      <c r="F13849" s="19" t="s">
        <v>36024</v>
      </c>
      <c r="G13849" s="18" t="str">
        <f>"54552"</f>
        <v>54552</v>
      </c>
      <c r="H13849" s="19" t="s">
        <v>35318</v>
      </c>
      <c r="I13849" s="20">
        <v>16.673999999999999</v>
      </c>
      <c r="J13849" s="44" t="s">
        <v>8</v>
      </c>
      <c r="K13849" s="23" t="s">
        <v>8</v>
      </c>
      <c r="L13849" s="23" t="s">
        <v>8</v>
      </c>
      <c r="M13849" s="23" t="s">
        <v>8</v>
      </c>
    </row>
    <row r="13850" spans="1:13" s="21" customFormat="1" x14ac:dyDescent="0.25">
      <c r="A13850" s="22" t="s">
        <v>8</v>
      </c>
      <c r="B13850" s="18" t="str">
        <f>"525613"</f>
        <v>525613</v>
      </c>
      <c r="C13850" s="19" t="s">
        <v>13600</v>
      </c>
      <c r="D13850" s="19" t="s">
        <v>29247</v>
      </c>
      <c r="E13850" s="19" t="s">
        <v>33806</v>
      </c>
      <c r="F13850" s="19" t="s">
        <v>36024</v>
      </c>
      <c r="G13850" s="18" t="str">
        <f>"54880"</f>
        <v>54880</v>
      </c>
      <c r="H13850" s="19" t="s">
        <v>30966</v>
      </c>
      <c r="I13850" s="20">
        <v>17.658000000000001</v>
      </c>
      <c r="J13850" s="44" t="s">
        <v>8</v>
      </c>
      <c r="K13850" s="23" t="s">
        <v>8</v>
      </c>
      <c r="L13850" s="23" t="s">
        <v>8</v>
      </c>
      <c r="M13850" s="23" t="s">
        <v>8</v>
      </c>
    </row>
    <row r="13851" spans="1:13" s="21" customFormat="1" x14ac:dyDescent="0.25">
      <c r="A13851" s="22" t="s">
        <v>8</v>
      </c>
      <c r="B13851" s="18" t="str">
        <f>"525616"</f>
        <v>525616</v>
      </c>
      <c r="C13851" s="19" t="s">
        <v>13601</v>
      </c>
      <c r="D13851" s="19" t="s">
        <v>29248</v>
      </c>
      <c r="E13851" s="19" t="s">
        <v>33302</v>
      </c>
      <c r="F13851" s="19" t="s">
        <v>36024</v>
      </c>
      <c r="G13851" s="18" t="str">
        <f>"53050"</f>
        <v>53050</v>
      </c>
      <c r="H13851" s="19" t="s">
        <v>33824</v>
      </c>
      <c r="I13851" s="20">
        <v>20.957000000000001</v>
      </c>
      <c r="J13851" s="44" t="s">
        <v>8</v>
      </c>
      <c r="K13851" s="23" t="s">
        <v>8</v>
      </c>
      <c r="L13851" s="23" t="s">
        <v>8</v>
      </c>
      <c r="M13851" s="23" t="s">
        <v>8</v>
      </c>
    </row>
    <row r="13852" spans="1:13" s="21" customFormat="1" x14ac:dyDescent="0.25">
      <c r="A13852" s="22" t="s">
        <v>8</v>
      </c>
      <c r="B13852" s="18" t="str">
        <f>"525617"</f>
        <v>525617</v>
      </c>
      <c r="C13852" s="19" t="s">
        <v>13602</v>
      </c>
      <c r="D13852" s="19" t="s">
        <v>29249</v>
      </c>
      <c r="E13852" s="19" t="s">
        <v>35669</v>
      </c>
      <c r="F13852" s="19" t="s">
        <v>36024</v>
      </c>
      <c r="G13852" s="18" t="str">
        <f>"54130"</f>
        <v>54130</v>
      </c>
      <c r="H13852" s="19" t="s">
        <v>36927</v>
      </c>
      <c r="I13852" s="20">
        <v>18.975999999999999</v>
      </c>
      <c r="J13852" s="44" t="s">
        <v>8</v>
      </c>
      <c r="K13852" s="23" t="s">
        <v>8</v>
      </c>
      <c r="L13852" s="23" t="s">
        <v>8</v>
      </c>
      <c r="M13852" s="23" t="s">
        <v>8</v>
      </c>
    </row>
    <row r="13853" spans="1:13" s="21" customFormat="1" x14ac:dyDescent="0.25">
      <c r="A13853" s="22" t="s">
        <v>8</v>
      </c>
      <c r="B13853" s="18" t="str">
        <f>"525618"</f>
        <v>525618</v>
      </c>
      <c r="C13853" s="19" t="s">
        <v>13603</v>
      </c>
      <c r="D13853" s="19" t="s">
        <v>29250</v>
      </c>
      <c r="E13853" s="19" t="s">
        <v>32502</v>
      </c>
      <c r="F13853" s="19" t="s">
        <v>36024</v>
      </c>
      <c r="G13853" s="18" t="str">
        <f>"53095"</f>
        <v>53095</v>
      </c>
      <c r="H13853" s="19" t="s">
        <v>31500</v>
      </c>
      <c r="I13853" s="20">
        <v>19.957999999999998</v>
      </c>
      <c r="J13853" s="44" t="s">
        <v>8</v>
      </c>
      <c r="K13853" s="23" t="s">
        <v>8</v>
      </c>
      <c r="L13853" s="23" t="s">
        <v>8</v>
      </c>
      <c r="M13853" s="23" t="s">
        <v>8</v>
      </c>
    </row>
    <row r="13854" spans="1:13" s="21" customFormat="1" x14ac:dyDescent="0.25">
      <c r="A13854" s="22" t="s">
        <v>8</v>
      </c>
      <c r="B13854" s="18" t="str">
        <f>"525619"</f>
        <v>525619</v>
      </c>
      <c r="C13854" s="19" t="s">
        <v>13604</v>
      </c>
      <c r="D13854" s="19" t="s">
        <v>29251</v>
      </c>
      <c r="E13854" s="19" t="s">
        <v>35670</v>
      </c>
      <c r="F13854" s="19" t="s">
        <v>36024</v>
      </c>
      <c r="G13854" s="18" t="str">
        <f>"54667"</f>
        <v>54667</v>
      </c>
      <c r="H13854" s="19" t="s">
        <v>30903</v>
      </c>
      <c r="I13854" s="20">
        <v>18.157</v>
      </c>
      <c r="J13854" s="44" t="s">
        <v>8</v>
      </c>
      <c r="K13854" s="23" t="s">
        <v>8</v>
      </c>
      <c r="L13854" s="23" t="s">
        <v>8</v>
      </c>
      <c r="M13854" s="23" t="s">
        <v>8</v>
      </c>
    </row>
    <row r="13855" spans="1:13" s="21" customFormat="1" x14ac:dyDescent="0.25">
      <c r="A13855" s="22" t="s">
        <v>8</v>
      </c>
      <c r="B13855" s="18" t="str">
        <f>"525621"</f>
        <v>525621</v>
      </c>
      <c r="C13855" s="19" t="s">
        <v>13605</v>
      </c>
      <c r="D13855" s="19" t="s">
        <v>29252</v>
      </c>
      <c r="E13855" s="19" t="s">
        <v>35671</v>
      </c>
      <c r="F13855" s="19" t="s">
        <v>36024</v>
      </c>
      <c r="G13855" s="18" t="str">
        <f>"53057"</f>
        <v>53057</v>
      </c>
      <c r="H13855" s="19" t="s">
        <v>35563</v>
      </c>
      <c r="I13855" s="20">
        <v>19.491</v>
      </c>
      <c r="J13855" s="44" t="s">
        <v>8</v>
      </c>
      <c r="K13855" s="23" t="s">
        <v>8</v>
      </c>
      <c r="L13855" s="23" t="s">
        <v>8</v>
      </c>
      <c r="M13855" s="23" t="s">
        <v>8</v>
      </c>
    </row>
    <row r="13856" spans="1:13" s="21" customFormat="1" x14ac:dyDescent="0.25">
      <c r="A13856" s="22" t="s">
        <v>8</v>
      </c>
      <c r="B13856" s="18" t="str">
        <f>"525622"</f>
        <v>525622</v>
      </c>
      <c r="C13856" s="19" t="s">
        <v>13606</v>
      </c>
      <c r="D13856" s="19" t="s">
        <v>29253</v>
      </c>
      <c r="E13856" s="19" t="s">
        <v>35672</v>
      </c>
      <c r="F13856" s="19" t="s">
        <v>36024</v>
      </c>
      <c r="G13856" s="18" t="str">
        <f>"54655"</f>
        <v>54655</v>
      </c>
      <c r="H13856" s="19" t="s">
        <v>31759</v>
      </c>
      <c r="I13856" s="20">
        <v>20.882000000000001</v>
      </c>
      <c r="J13856" s="44" t="s">
        <v>8</v>
      </c>
      <c r="K13856" s="23" t="s">
        <v>8</v>
      </c>
      <c r="L13856" s="23" t="s">
        <v>8</v>
      </c>
      <c r="M13856" s="23" t="s">
        <v>8</v>
      </c>
    </row>
    <row r="13857" spans="1:13" s="21" customFormat="1" x14ac:dyDescent="0.25">
      <c r="A13857" s="22" t="s">
        <v>8</v>
      </c>
      <c r="B13857" s="18" t="str">
        <f>"525623"</f>
        <v>525623</v>
      </c>
      <c r="C13857" s="19" t="s">
        <v>13607</v>
      </c>
      <c r="D13857" s="19" t="s">
        <v>29254</v>
      </c>
      <c r="E13857" s="19" t="s">
        <v>35673</v>
      </c>
      <c r="F13857" s="19" t="s">
        <v>36024</v>
      </c>
      <c r="G13857" s="18" t="str">
        <f>"54541"</f>
        <v>54541</v>
      </c>
      <c r="H13857" s="19" t="s">
        <v>36742</v>
      </c>
      <c r="I13857" s="20">
        <v>19.52</v>
      </c>
      <c r="J13857" s="44" t="s">
        <v>8</v>
      </c>
      <c r="K13857" s="23" t="s">
        <v>8</v>
      </c>
      <c r="L13857" s="23" t="s">
        <v>8</v>
      </c>
      <c r="M13857" s="23" t="s">
        <v>8</v>
      </c>
    </row>
    <row r="13858" spans="1:13" s="21" customFormat="1" x14ac:dyDescent="0.25">
      <c r="A13858" s="22" t="s">
        <v>8</v>
      </c>
      <c r="B13858" s="18" t="str">
        <f>"525624"</f>
        <v>525624</v>
      </c>
      <c r="C13858" s="19" t="s">
        <v>13608</v>
      </c>
      <c r="D13858" s="19" t="s">
        <v>29255</v>
      </c>
      <c r="E13858" s="19" t="s">
        <v>33795</v>
      </c>
      <c r="F13858" s="19" t="s">
        <v>36024</v>
      </c>
      <c r="G13858" s="18" t="str">
        <f>"54616"</f>
        <v>54616</v>
      </c>
      <c r="H13858" s="19" t="s">
        <v>36937</v>
      </c>
      <c r="I13858" s="20">
        <v>20.338000000000001</v>
      </c>
      <c r="J13858" s="44" t="s">
        <v>8</v>
      </c>
      <c r="K13858" s="23" t="s">
        <v>8</v>
      </c>
      <c r="L13858" s="23" t="s">
        <v>8</v>
      </c>
      <c r="M13858" s="23" t="s">
        <v>8</v>
      </c>
    </row>
    <row r="13859" spans="1:13" s="21" customFormat="1" x14ac:dyDescent="0.25">
      <c r="A13859" s="22" t="s">
        <v>8</v>
      </c>
      <c r="B13859" s="18" t="str">
        <f>"525625"</f>
        <v>525625</v>
      </c>
      <c r="C13859" s="19" t="s">
        <v>13609</v>
      </c>
      <c r="D13859" s="19" t="s">
        <v>29256</v>
      </c>
      <c r="E13859" s="19" t="s">
        <v>33790</v>
      </c>
      <c r="F13859" s="19" t="s">
        <v>36024</v>
      </c>
      <c r="G13859" s="18" t="str">
        <f>"53121"</f>
        <v>53121</v>
      </c>
      <c r="H13859" s="19" t="s">
        <v>35694</v>
      </c>
      <c r="I13859" s="20">
        <v>16.459</v>
      </c>
      <c r="J13859" s="44" t="s">
        <v>8</v>
      </c>
      <c r="K13859" s="23" t="s">
        <v>8</v>
      </c>
      <c r="L13859" s="23" t="s">
        <v>8</v>
      </c>
      <c r="M13859" s="23" t="s">
        <v>8</v>
      </c>
    </row>
    <row r="13860" spans="1:13" s="21" customFormat="1" x14ac:dyDescent="0.25">
      <c r="A13860" s="22" t="s">
        <v>8</v>
      </c>
      <c r="B13860" s="18" t="str">
        <f>"525626"</f>
        <v>525626</v>
      </c>
      <c r="C13860" s="19" t="s">
        <v>13610</v>
      </c>
      <c r="D13860" s="19" t="s">
        <v>29257</v>
      </c>
      <c r="E13860" s="19" t="s">
        <v>31588</v>
      </c>
      <c r="F13860" s="19" t="s">
        <v>36024</v>
      </c>
      <c r="G13860" s="18" t="str">
        <f>"54016"</f>
        <v>54016</v>
      </c>
      <c r="H13860" s="19" t="s">
        <v>36924</v>
      </c>
      <c r="I13860" s="20">
        <v>17.106000000000002</v>
      </c>
      <c r="J13860" s="44" t="s">
        <v>8</v>
      </c>
      <c r="K13860" s="23" t="s">
        <v>8</v>
      </c>
      <c r="L13860" s="23" t="s">
        <v>8</v>
      </c>
      <c r="M13860" s="23" t="s">
        <v>8</v>
      </c>
    </row>
    <row r="13861" spans="1:13" s="21" customFormat="1" x14ac:dyDescent="0.25">
      <c r="A13861" s="22" t="s">
        <v>8</v>
      </c>
      <c r="B13861" s="18" t="str">
        <f>"525627"</f>
        <v>525627</v>
      </c>
      <c r="C13861" s="19" t="s">
        <v>13611</v>
      </c>
      <c r="D13861" s="19" t="s">
        <v>29258</v>
      </c>
      <c r="E13861" s="19" t="s">
        <v>35674</v>
      </c>
      <c r="F13861" s="19" t="s">
        <v>36024</v>
      </c>
      <c r="G13861" s="18" t="str">
        <f>"54555"</f>
        <v>54555</v>
      </c>
      <c r="H13861" s="19" t="s">
        <v>35318</v>
      </c>
      <c r="I13861" s="20">
        <v>20.722999999999999</v>
      </c>
      <c r="J13861" s="44" t="s">
        <v>8</v>
      </c>
      <c r="K13861" s="23" t="s">
        <v>8</v>
      </c>
      <c r="L13861" s="23" t="s">
        <v>8</v>
      </c>
      <c r="M13861" s="23" t="s">
        <v>8</v>
      </c>
    </row>
    <row r="13862" spans="1:13" s="21" customFormat="1" x14ac:dyDescent="0.25">
      <c r="A13862" s="22" t="s">
        <v>8</v>
      </c>
      <c r="B13862" s="18" t="str">
        <f>"525628"</f>
        <v>525628</v>
      </c>
      <c r="C13862" s="19" t="s">
        <v>13612</v>
      </c>
      <c r="D13862" s="19" t="s">
        <v>29259</v>
      </c>
      <c r="E13862" s="19" t="s">
        <v>35675</v>
      </c>
      <c r="F13862" s="19" t="s">
        <v>36024</v>
      </c>
      <c r="G13862" s="18" t="str">
        <f>"54630"</f>
        <v>54630</v>
      </c>
      <c r="H13862" s="19" t="s">
        <v>36937</v>
      </c>
      <c r="I13862" s="20">
        <v>19.843</v>
      </c>
      <c r="J13862" s="44" t="s">
        <v>8</v>
      </c>
      <c r="K13862" s="23" t="s">
        <v>8</v>
      </c>
      <c r="L13862" s="23" t="s">
        <v>8</v>
      </c>
      <c r="M13862" s="23" t="s">
        <v>8</v>
      </c>
    </row>
    <row r="13863" spans="1:13" s="21" customFormat="1" x14ac:dyDescent="0.25">
      <c r="A13863" s="22" t="s">
        <v>8</v>
      </c>
      <c r="B13863" s="18" t="str">
        <f>"525629"</f>
        <v>525629</v>
      </c>
      <c r="C13863" s="19" t="s">
        <v>13613</v>
      </c>
      <c r="D13863" s="19" t="s">
        <v>29260</v>
      </c>
      <c r="E13863" s="19" t="s">
        <v>35676</v>
      </c>
      <c r="F13863" s="19" t="s">
        <v>36024</v>
      </c>
      <c r="G13863" s="18" t="str">
        <f>"54456"</f>
        <v>54456</v>
      </c>
      <c r="H13863" s="19" t="s">
        <v>33967</v>
      </c>
      <c r="I13863" s="20">
        <v>17.774999999999999</v>
      </c>
      <c r="J13863" s="44" t="s">
        <v>8</v>
      </c>
      <c r="K13863" s="23" t="s">
        <v>8</v>
      </c>
      <c r="L13863" s="23" t="s">
        <v>8</v>
      </c>
      <c r="M13863" s="23" t="s">
        <v>8</v>
      </c>
    </row>
    <row r="13864" spans="1:13" s="21" customFormat="1" x14ac:dyDescent="0.25">
      <c r="A13864" s="22" t="s">
        <v>8</v>
      </c>
      <c r="B13864" s="18" t="str">
        <f>"525630"</f>
        <v>525630</v>
      </c>
      <c r="C13864" s="19" t="s">
        <v>13614</v>
      </c>
      <c r="D13864" s="19" t="s">
        <v>29261</v>
      </c>
      <c r="E13864" s="19" t="s">
        <v>35677</v>
      </c>
      <c r="F13864" s="19" t="s">
        <v>36024</v>
      </c>
      <c r="G13864" s="18" t="str">
        <f>"53574"</f>
        <v>53574</v>
      </c>
      <c r="H13864" s="19" t="s">
        <v>36339</v>
      </c>
      <c r="I13864" s="20">
        <v>17.434000000000001</v>
      </c>
      <c r="J13864" s="44" t="s">
        <v>8</v>
      </c>
      <c r="K13864" s="23" t="s">
        <v>8</v>
      </c>
      <c r="L13864" s="23" t="s">
        <v>8</v>
      </c>
      <c r="M13864" s="23" t="s">
        <v>8</v>
      </c>
    </row>
    <row r="13865" spans="1:13" s="21" customFormat="1" x14ac:dyDescent="0.25">
      <c r="A13865" s="22" t="s">
        <v>8</v>
      </c>
      <c r="B13865" s="18" t="str">
        <f>"525632"</f>
        <v>525632</v>
      </c>
      <c r="C13865" s="19" t="s">
        <v>13615</v>
      </c>
      <c r="D13865" s="19" t="s">
        <v>29262</v>
      </c>
      <c r="E13865" s="19" t="s">
        <v>31190</v>
      </c>
      <c r="F13865" s="19" t="s">
        <v>36024</v>
      </c>
      <c r="G13865" s="18" t="str">
        <f>"54843"</f>
        <v>54843</v>
      </c>
      <c r="H13865" s="19" t="s">
        <v>36932</v>
      </c>
      <c r="I13865" s="20">
        <v>17.010000000000002</v>
      </c>
      <c r="J13865" s="44" t="s">
        <v>8</v>
      </c>
      <c r="K13865" s="23" t="s">
        <v>8</v>
      </c>
      <c r="L13865" s="23" t="s">
        <v>8</v>
      </c>
      <c r="M13865" s="23" t="s">
        <v>8</v>
      </c>
    </row>
    <row r="13866" spans="1:13" s="21" customFormat="1" x14ac:dyDescent="0.25">
      <c r="A13866" s="22" t="s">
        <v>8</v>
      </c>
      <c r="B13866" s="18" t="str">
        <f>"525635"</f>
        <v>525635</v>
      </c>
      <c r="C13866" s="19" t="s">
        <v>13616</v>
      </c>
      <c r="D13866" s="19" t="s">
        <v>29263</v>
      </c>
      <c r="E13866" s="19" t="s">
        <v>35552</v>
      </c>
      <c r="F13866" s="19" t="s">
        <v>36024</v>
      </c>
      <c r="G13866" s="18" t="str">
        <f>"53211"</f>
        <v>53211</v>
      </c>
      <c r="H13866" s="19" t="s">
        <v>35552</v>
      </c>
      <c r="I13866" s="20">
        <v>17.494</v>
      </c>
      <c r="J13866" s="44" t="s">
        <v>8</v>
      </c>
      <c r="K13866" s="23" t="s">
        <v>8</v>
      </c>
      <c r="L13866" s="23" t="s">
        <v>8</v>
      </c>
      <c r="M13866" s="23" t="s">
        <v>8</v>
      </c>
    </row>
    <row r="13867" spans="1:13" s="21" customFormat="1" x14ac:dyDescent="0.25">
      <c r="A13867" s="22" t="s">
        <v>8</v>
      </c>
      <c r="B13867" s="18" t="str">
        <f>"525637"</f>
        <v>525637</v>
      </c>
      <c r="C13867" s="19" t="s">
        <v>13617</v>
      </c>
      <c r="D13867" s="19" t="s">
        <v>29264</v>
      </c>
      <c r="E13867" s="19" t="s">
        <v>35678</v>
      </c>
      <c r="F13867" s="19" t="s">
        <v>36024</v>
      </c>
      <c r="G13867" s="18" t="str">
        <f>"54732"</f>
        <v>54732</v>
      </c>
      <c r="H13867" s="19" t="s">
        <v>36439</v>
      </c>
      <c r="I13867" s="20">
        <v>17.602</v>
      </c>
      <c r="J13867" s="44" t="s">
        <v>8</v>
      </c>
      <c r="K13867" s="23" t="s">
        <v>8</v>
      </c>
      <c r="L13867" s="23" t="s">
        <v>8</v>
      </c>
      <c r="M13867" s="23" t="s">
        <v>8</v>
      </c>
    </row>
    <row r="13868" spans="1:13" s="21" customFormat="1" x14ac:dyDescent="0.25">
      <c r="A13868" s="22" t="s">
        <v>8</v>
      </c>
      <c r="B13868" s="18" t="str">
        <f>"525638"</f>
        <v>525638</v>
      </c>
      <c r="C13868" s="19" t="s">
        <v>13618</v>
      </c>
      <c r="D13868" s="19" t="s">
        <v>29265</v>
      </c>
      <c r="E13868" s="19" t="s">
        <v>35565</v>
      </c>
      <c r="F13868" s="19" t="s">
        <v>36024</v>
      </c>
      <c r="G13868" s="18" t="str">
        <f>"54901"</f>
        <v>54901</v>
      </c>
      <c r="H13868" s="19" t="s">
        <v>36233</v>
      </c>
      <c r="I13868" s="20">
        <v>17.603000000000002</v>
      </c>
      <c r="J13868" s="44" t="s">
        <v>8</v>
      </c>
      <c r="K13868" s="23" t="s">
        <v>8</v>
      </c>
      <c r="L13868" s="23" t="s">
        <v>8</v>
      </c>
      <c r="M13868" s="23" t="s">
        <v>8</v>
      </c>
    </row>
    <row r="13869" spans="1:13" s="21" customFormat="1" x14ac:dyDescent="0.25">
      <c r="A13869" s="22" t="s">
        <v>8</v>
      </c>
      <c r="B13869" s="18" t="str">
        <f>"525639"</f>
        <v>525639</v>
      </c>
      <c r="C13869" s="19" t="s">
        <v>13619</v>
      </c>
      <c r="D13869" s="19" t="s">
        <v>29266</v>
      </c>
      <c r="E13869" s="19" t="s">
        <v>33440</v>
      </c>
      <c r="F13869" s="19" t="s">
        <v>36024</v>
      </c>
      <c r="G13869" s="18" t="str">
        <f>"53545"</f>
        <v>53545</v>
      </c>
      <c r="H13869" s="19" t="s">
        <v>36480</v>
      </c>
      <c r="I13869" s="20">
        <v>17.29</v>
      </c>
      <c r="J13869" s="44" t="s">
        <v>8</v>
      </c>
      <c r="K13869" s="23" t="s">
        <v>8</v>
      </c>
      <c r="L13869" s="23" t="s">
        <v>8</v>
      </c>
      <c r="M13869" s="23" t="s">
        <v>8</v>
      </c>
    </row>
    <row r="13870" spans="1:13" s="21" customFormat="1" x14ac:dyDescent="0.25">
      <c r="A13870" s="22" t="s">
        <v>8</v>
      </c>
      <c r="B13870" s="18" t="str">
        <f>"525640"</f>
        <v>525640</v>
      </c>
      <c r="C13870" s="19" t="s">
        <v>10004</v>
      </c>
      <c r="D13870" s="19" t="s">
        <v>29267</v>
      </c>
      <c r="E13870" s="19" t="s">
        <v>35563</v>
      </c>
      <c r="F13870" s="19" t="s">
        <v>36024</v>
      </c>
      <c r="G13870" s="18" t="str">
        <f>"54935"</f>
        <v>54935</v>
      </c>
      <c r="H13870" s="19" t="s">
        <v>35563</v>
      </c>
      <c r="I13870" s="20">
        <v>18.943999999999999</v>
      </c>
      <c r="J13870" s="44" t="s">
        <v>8</v>
      </c>
      <c r="K13870" s="23" t="s">
        <v>8</v>
      </c>
      <c r="L13870" s="23" t="s">
        <v>8</v>
      </c>
      <c r="M13870" s="23" t="s">
        <v>8</v>
      </c>
    </row>
    <row r="13871" spans="1:13" s="21" customFormat="1" x14ac:dyDescent="0.25">
      <c r="A13871" s="22" t="s">
        <v>8</v>
      </c>
      <c r="B13871" s="18" t="str">
        <f>"525641"</f>
        <v>525641</v>
      </c>
      <c r="C13871" s="19" t="s">
        <v>13620</v>
      </c>
      <c r="D13871" s="19" t="s">
        <v>29268</v>
      </c>
      <c r="E13871" s="19" t="s">
        <v>33063</v>
      </c>
      <c r="F13871" s="19" t="s">
        <v>36024</v>
      </c>
      <c r="G13871" s="18" t="str">
        <f>"54451"</f>
        <v>54451</v>
      </c>
      <c r="H13871" s="19" t="s">
        <v>31080</v>
      </c>
      <c r="I13871" s="20">
        <v>16.785</v>
      </c>
      <c r="J13871" s="44" t="s">
        <v>8</v>
      </c>
      <c r="K13871" s="23" t="s">
        <v>8</v>
      </c>
      <c r="L13871" s="23" t="s">
        <v>8</v>
      </c>
      <c r="M13871" s="23" t="s">
        <v>8</v>
      </c>
    </row>
    <row r="13872" spans="1:13" s="21" customFormat="1" x14ac:dyDescent="0.25">
      <c r="A13872" s="22" t="s">
        <v>8</v>
      </c>
      <c r="B13872" s="18" t="str">
        <f>"525642"</f>
        <v>525642</v>
      </c>
      <c r="C13872" s="19" t="s">
        <v>13621</v>
      </c>
      <c r="D13872" s="19" t="s">
        <v>29269</v>
      </c>
      <c r="E13872" s="19" t="s">
        <v>35679</v>
      </c>
      <c r="F13872" s="19" t="s">
        <v>36024</v>
      </c>
      <c r="G13872" s="18" t="str">
        <f>"53048"</f>
        <v>53048</v>
      </c>
      <c r="H13872" s="19" t="s">
        <v>33824</v>
      </c>
      <c r="I13872" s="20">
        <v>19.564</v>
      </c>
      <c r="J13872" s="44" t="s">
        <v>8</v>
      </c>
      <c r="K13872" s="23" t="s">
        <v>8</v>
      </c>
      <c r="L13872" s="23" t="s">
        <v>8</v>
      </c>
      <c r="M13872" s="23" t="s">
        <v>8</v>
      </c>
    </row>
    <row r="13873" spans="1:13" s="21" customFormat="1" x14ac:dyDescent="0.25">
      <c r="A13873" s="22" t="s">
        <v>8</v>
      </c>
      <c r="B13873" s="18" t="str">
        <f>"525643"</f>
        <v>525643</v>
      </c>
      <c r="C13873" s="19" t="s">
        <v>13622</v>
      </c>
      <c r="D13873" s="19" t="s">
        <v>29270</v>
      </c>
      <c r="E13873" s="19" t="s">
        <v>31711</v>
      </c>
      <c r="F13873" s="19" t="s">
        <v>36024</v>
      </c>
      <c r="G13873" s="18" t="str">
        <f>"53566"</f>
        <v>53566</v>
      </c>
      <c r="H13873" s="19" t="s">
        <v>36339</v>
      </c>
      <c r="I13873" s="20">
        <v>18.638999999999999</v>
      </c>
      <c r="J13873" s="44" t="s">
        <v>8</v>
      </c>
      <c r="K13873" s="23" t="s">
        <v>8</v>
      </c>
      <c r="L13873" s="23" t="s">
        <v>8</v>
      </c>
      <c r="M13873" s="23" t="s">
        <v>8</v>
      </c>
    </row>
    <row r="13874" spans="1:13" s="21" customFormat="1" x14ac:dyDescent="0.25">
      <c r="A13874" s="22" t="s">
        <v>8</v>
      </c>
      <c r="B13874" s="18" t="str">
        <f>"525644"</f>
        <v>525644</v>
      </c>
      <c r="C13874" s="19" t="s">
        <v>13623</v>
      </c>
      <c r="D13874" s="19" t="s">
        <v>29271</v>
      </c>
      <c r="E13874" s="19" t="s">
        <v>35575</v>
      </c>
      <c r="F13874" s="19" t="s">
        <v>36024</v>
      </c>
      <c r="G13874" s="18" t="str">
        <f>"53562"</f>
        <v>53562</v>
      </c>
      <c r="H13874" s="19" t="s">
        <v>36925</v>
      </c>
      <c r="I13874" s="20">
        <v>20.616</v>
      </c>
      <c r="J13874" s="44" t="s">
        <v>8</v>
      </c>
      <c r="K13874" s="23" t="s">
        <v>8</v>
      </c>
      <c r="L13874" s="23" t="s">
        <v>8</v>
      </c>
      <c r="M13874" s="23" t="s">
        <v>8</v>
      </c>
    </row>
    <row r="13875" spans="1:13" s="21" customFormat="1" x14ac:dyDescent="0.25">
      <c r="A13875" s="22" t="s">
        <v>8</v>
      </c>
      <c r="B13875" s="18" t="str">
        <f>"525645"</f>
        <v>525645</v>
      </c>
      <c r="C13875" s="19" t="s">
        <v>13624</v>
      </c>
      <c r="D13875" s="19" t="s">
        <v>29272</v>
      </c>
      <c r="E13875" s="19" t="s">
        <v>35680</v>
      </c>
      <c r="F13875" s="19" t="s">
        <v>36024</v>
      </c>
      <c r="G13875" s="18" t="str">
        <f>"53149"</f>
        <v>53149</v>
      </c>
      <c r="H13875" s="19" t="s">
        <v>35561</v>
      </c>
      <c r="I13875" s="20">
        <v>16.949000000000002</v>
      </c>
      <c r="J13875" s="44" t="s">
        <v>8</v>
      </c>
      <c r="K13875" s="23" t="s">
        <v>8</v>
      </c>
      <c r="L13875" s="23" t="s">
        <v>8</v>
      </c>
      <c r="M13875" s="23" t="s">
        <v>8</v>
      </c>
    </row>
    <row r="13876" spans="1:13" s="21" customFormat="1" x14ac:dyDescent="0.25">
      <c r="A13876" s="22" t="s">
        <v>8</v>
      </c>
      <c r="B13876" s="18" t="str">
        <f>"525646"</f>
        <v>525646</v>
      </c>
      <c r="C13876" s="19" t="s">
        <v>13625</v>
      </c>
      <c r="D13876" s="19" t="s">
        <v>29273</v>
      </c>
      <c r="E13876" s="19" t="s">
        <v>35561</v>
      </c>
      <c r="F13876" s="19" t="s">
        <v>36024</v>
      </c>
      <c r="G13876" s="18" t="str">
        <f>"53188"</f>
        <v>53188</v>
      </c>
      <c r="H13876" s="19" t="s">
        <v>35561</v>
      </c>
      <c r="I13876" s="20">
        <v>19.861999999999998</v>
      </c>
      <c r="J13876" s="44" t="s">
        <v>8</v>
      </c>
      <c r="K13876" s="23" t="s">
        <v>8</v>
      </c>
      <c r="L13876" s="23" t="s">
        <v>8</v>
      </c>
      <c r="M13876" s="23" t="s">
        <v>8</v>
      </c>
    </row>
    <row r="13877" spans="1:13" s="21" customFormat="1" x14ac:dyDescent="0.25">
      <c r="A13877" s="22" t="s">
        <v>8</v>
      </c>
      <c r="B13877" s="18" t="str">
        <f>"525647"</f>
        <v>525647</v>
      </c>
      <c r="C13877" s="19" t="s">
        <v>13626</v>
      </c>
      <c r="D13877" s="19" t="s">
        <v>29274</v>
      </c>
      <c r="E13877" s="19" t="s">
        <v>35565</v>
      </c>
      <c r="F13877" s="19" t="s">
        <v>36024</v>
      </c>
      <c r="G13877" s="18" t="str">
        <f>"54902"</f>
        <v>54902</v>
      </c>
      <c r="H13877" s="19" t="s">
        <v>36233</v>
      </c>
      <c r="I13877" s="20">
        <v>17.038</v>
      </c>
      <c r="J13877" s="44" t="s">
        <v>8</v>
      </c>
      <c r="K13877" s="23" t="s">
        <v>8</v>
      </c>
      <c r="L13877" s="23" t="s">
        <v>8</v>
      </c>
      <c r="M13877" s="23" t="s">
        <v>8</v>
      </c>
    </row>
    <row r="13878" spans="1:13" s="21" customFormat="1" x14ac:dyDescent="0.25">
      <c r="A13878" s="22" t="s">
        <v>8</v>
      </c>
      <c r="B13878" s="18" t="str">
        <f>"525648"</f>
        <v>525648</v>
      </c>
      <c r="C13878" s="19" t="s">
        <v>13627</v>
      </c>
      <c r="D13878" s="19" t="s">
        <v>29275</v>
      </c>
      <c r="E13878" s="19" t="s">
        <v>35681</v>
      </c>
      <c r="F13878" s="19" t="s">
        <v>36024</v>
      </c>
      <c r="G13878" s="18" t="str">
        <f>"54812"</f>
        <v>54812</v>
      </c>
      <c r="H13878" s="19" t="s">
        <v>35681</v>
      </c>
      <c r="I13878" s="20">
        <v>20.015999999999998</v>
      </c>
      <c r="J13878" s="44" t="s">
        <v>8</v>
      </c>
      <c r="K13878" s="23" t="s">
        <v>8</v>
      </c>
      <c r="L13878" s="23" t="s">
        <v>8</v>
      </c>
      <c r="M13878" s="23" t="s">
        <v>8</v>
      </c>
    </row>
    <row r="13879" spans="1:13" s="21" customFormat="1" x14ac:dyDescent="0.25">
      <c r="A13879" s="22" t="s">
        <v>8</v>
      </c>
      <c r="B13879" s="18" t="str">
        <f>"525649"</f>
        <v>525649</v>
      </c>
      <c r="C13879" s="19" t="s">
        <v>13628</v>
      </c>
      <c r="D13879" s="19" t="s">
        <v>29276</v>
      </c>
      <c r="E13879" s="19" t="s">
        <v>33440</v>
      </c>
      <c r="F13879" s="19" t="s">
        <v>36024</v>
      </c>
      <c r="G13879" s="18" t="str">
        <f>"53546"</f>
        <v>53546</v>
      </c>
      <c r="H13879" s="19" t="s">
        <v>36480</v>
      </c>
      <c r="I13879" s="20">
        <v>17.896999999999998</v>
      </c>
      <c r="J13879" s="44" t="s">
        <v>8</v>
      </c>
      <c r="K13879" s="23" t="s">
        <v>8</v>
      </c>
      <c r="L13879" s="23" t="s">
        <v>8</v>
      </c>
      <c r="M13879" s="23" t="s">
        <v>8</v>
      </c>
    </row>
    <row r="13880" spans="1:13" s="21" customFormat="1" x14ac:dyDescent="0.25">
      <c r="A13880" s="22" t="s">
        <v>8</v>
      </c>
      <c r="B13880" s="18" t="str">
        <f>"525652"</f>
        <v>525652</v>
      </c>
      <c r="C13880" s="19" t="s">
        <v>10918</v>
      </c>
      <c r="D13880" s="19" t="s">
        <v>29277</v>
      </c>
      <c r="E13880" s="19" t="s">
        <v>35682</v>
      </c>
      <c r="F13880" s="19" t="s">
        <v>36024</v>
      </c>
      <c r="G13880" s="18" t="str">
        <f>"54762"</f>
        <v>54762</v>
      </c>
      <c r="H13880" s="19" t="s">
        <v>35681</v>
      </c>
      <c r="I13880" s="20">
        <v>17.606000000000002</v>
      </c>
      <c r="J13880" s="44" t="s">
        <v>8</v>
      </c>
      <c r="K13880" s="23" t="s">
        <v>8</v>
      </c>
      <c r="L13880" s="23" t="s">
        <v>8</v>
      </c>
      <c r="M13880" s="23" t="s">
        <v>8</v>
      </c>
    </row>
    <row r="13881" spans="1:13" s="21" customFormat="1" x14ac:dyDescent="0.25">
      <c r="A13881" s="22" t="s">
        <v>8</v>
      </c>
      <c r="B13881" s="18" t="str">
        <f>"525653"</f>
        <v>525653</v>
      </c>
      <c r="C13881" s="19" t="s">
        <v>13629</v>
      </c>
      <c r="D13881" s="19" t="s">
        <v>29278</v>
      </c>
      <c r="E13881" s="19" t="s">
        <v>34604</v>
      </c>
      <c r="F13881" s="19" t="s">
        <v>36024</v>
      </c>
      <c r="G13881" s="18" t="str">
        <f>"53022"</f>
        <v>53022</v>
      </c>
      <c r="H13881" s="19" t="s">
        <v>31500</v>
      </c>
      <c r="I13881" s="20">
        <v>15.923999999999999</v>
      </c>
      <c r="J13881" s="44" t="s">
        <v>8</v>
      </c>
      <c r="K13881" s="23" t="s">
        <v>8</v>
      </c>
      <c r="L13881" s="23" t="s">
        <v>8</v>
      </c>
      <c r="M13881" s="23" t="s">
        <v>8</v>
      </c>
    </row>
    <row r="13882" spans="1:13" s="21" customFormat="1" x14ac:dyDescent="0.25">
      <c r="A13882" s="22" t="s">
        <v>8</v>
      </c>
      <c r="B13882" s="18" t="str">
        <f>"525654"</f>
        <v>525654</v>
      </c>
      <c r="C13882" s="19" t="s">
        <v>13630</v>
      </c>
      <c r="D13882" s="19" t="s">
        <v>29279</v>
      </c>
      <c r="E13882" s="19" t="s">
        <v>35593</v>
      </c>
      <c r="F13882" s="19" t="s">
        <v>36024</v>
      </c>
      <c r="G13882" s="18" t="str">
        <f>"54868"</f>
        <v>54868</v>
      </c>
      <c r="H13882" s="19" t="s">
        <v>35681</v>
      </c>
      <c r="I13882" s="20">
        <v>16.48</v>
      </c>
      <c r="J13882" s="44" t="s">
        <v>8</v>
      </c>
      <c r="K13882" s="23" t="s">
        <v>8</v>
      </c>
      <c r="L13882" s="23" t="s">
        <v>8</v>
      </c>
      <c r="M13882" s="23" t="s">
        <v>8</v>
      </c>
    </row>
    <row r="13883" spans="1:13" s="21" customFormat="1" x14ac:dyDescent="0.25">
      <c r="A13883" s="22" t="s">
        <v>8</v>
      </c>
      <c r="B13883" s="18" t="str">
        <f>"525655"</f>
        <v>525655</v>
      </c>
      <c r="C13883" s="19" t="s">
        <v>13631</v>
      </c>
      <c r="D13883" s="19" t="s">
        <v>29280</v>
      </c>
      <c r="E13883" s="19" t="s">
        <v>35563</v>
      </c>
      <c r="F13883" s="19" t="s">
        <v>36024</v>
      </c>
      <c r="G13883" s="18" t="str">
        <f>"54935"</f>
        <v>54935</v>
      </c>
      <c r="H13883" s="19" t="s">
        <v>35563</v>
      </c>
      <c r="I13883" s="20">
        <v>18.079000000000001</v>
      </c>
      <c r="J13883" s="44" t="s">
        <v>8</v>
      </c>
      <c r="K13883" s="23" t="s">
        <v>8</v>
      </c>
      <c r="L13883" s="23" t="s">
        <v>8</v>
      </c>
      <c r="M13883" s="23" t="s">
        <v>8</v>
      </c>
    </row>
    <row r="13884" spans="1:13" s="21" customFormat="1" x14ac:dyDescent="0.25">
      <c r="A13884" s="22" t="s">
        <v>8</v>
      </c>
      <c r="B13884" s="18" t="str">
        <f>"525656"</f>
        <v>525656</v>
      </c>
      <c r="C13884" s="19" t="s">
        <v>13632</v>
      </c>
      <c r="D13884" s="19" t="s">
        <v>29281</v>
      </c>
      <c r="E13884" s="19" t="s">
        <v>34971</v>
      </c>
      <c r="F13884" s="19" t="s">
        <v>36024</v>
      </c>
      <c r="G13884" s="18" t="str">
        <f>"53593"</f>
        <v>53593</v>
      </c>
      <c r="H13884" s="19" t="s">
        <v>36925</v>
      </c>
      <c r="I13884" s="20">
        <v>18.466000000000001</v>
      </c>
      <c r="J13884" s="44" t="s">
        <v>8</v>
      </c>
      <c r="K13884" s="23" t="s">
        <v>8</v>
      </c>
      <c r="L13884" s="23" t="s">
        <v>8</v>
      </c>
      <c r="M13884" s="23" t="s">
        <v>8</v>
      </c>
    </row>
    <row r="13885" spans="1:13" s="21" customFormat="1" x14ac:dyDescent="0.25">
      <c r="A13885" s="22" t="s">
        <v>8</v>
      </c>
      <c r="B13885" s="18" t="str">
        <f>"525657"</f>
        <v>525657</v>
      </c>
      <c r="C13885" s="19" t="s">
        <v>13633</v>
      </c>
      <c r="D13885" s="19" t="s">
        <v>29282</v>
      </c>
      <c r="E13885" s="19" t="s">
        <v>35683</v>
      </c>
      <c r="F13885" s="19" t="s">
        <v>36024</v>
      </c>
      <c r="G13885" s="18" t="str">
        <f>"53949"</f>
        <v>53949</v>
      </c>
      <c r="H13885" s="19" t="s">
        <v>3713</v>
      </c>
      <c r="I13885" s="20">
        <v>19.683</v>
      </c>
      <c r="J13885" s="44" t="s">
        <v>8</v>
      </c>
      <c r="K13885" s="23" t="s">
        <v>8</v>
      </c>
      <c r="L13885" s="23" t="s">
        <v>8</v>
      </c>
      <c r="M13885" s="23" t="s">
        <v>8</v>
      </c>
    </row>
    <row r="13886" spans="1:13" s="21" customFormat="1" x14ac:dyDescent="0.25">
      <c r="A13886" s="22" t="s">
        <v>8</v>
      </c>
      <c r="B13886" s="18" t="str">
        <f>"525659"</f>
        <v>525659</v>
      </c>
      <c r="C13886" s="19" t="s">
        <v>13634</v>
      </c>
      <c r="D13886" s="19" t="s">
        <v>29283</v>
      </c>
      <c r="E13886" s="19" t="s">
        <v>35684</v>
      </c>
      <c r="F13886" s="19" t="s">
        <v>36024</v>
      </c>
      <c r="G13886" s="18" t="str">
        <f>"53158"</f>
        <v>53158</v>
      </c>
      <c r="H13886" s="19" t="s">
        <v>35556</v>
      </c>
      <c r="I13886" s="20">
        <v>18.209</v>
      </c>
      <c r="J13886" s="44" t="s">
        <v>8</v>
      </c>
      <c r="K13886" s="23" t="s">
        <v>8</v>
      </c>
      <c r="L13886" s="23" t="s">
        <v>8</v>
      </c>
      <c r="M13886" s="23" t="s">
        <v>8</v>
      </c>
    </row>
    <row r="13887" spans="1:13" s="21" customFormat="1" x14ac:dyDescent="0.25">
      <c r="A13887" s="22" t="s">
        <v>8</v>
      </c>
      <c r="B13887" s="18" t="str">
        <f>"525660"</f>
        <v>525660</v>
      </c>
      <c r="C13887" s="19" t="s">
        <v>13635</v>
      </c>
      <c r="D13887" s="19" t="s">
        <v>29284</v>
      </c>
      <c r="E13887" s="19" t="s">
        <v>35685</v>
      </c>
      <c r="F13887" s="19" t="s">
        <v>36024</v>
      </c>
      <c r="G13887" s="18" t="str">
        <f>"53811"</f>
        <v>53811</v>
      </c>
      <c r="H13887" s="19" t="s">
        <v>36078</v>
      </c>
      <c r="I13887" s="20">
        <v>18.029</v>
      </c>
      <c r="J13887" s="44" t="s">
        <v>8</v>
      </c>
      <c r="K13887" s="23" t="s">
        <v>8</v>
      </c>
      <c r="L13887" s="23" t="s">
        <v>8</v>
      </c>
      <c r="M13887" s="23" t="s">
        <v>8</v>
      </c>
    </row>
    <row r="13888" spans="1:13" s="21" customFormat="1" x14ac:dyDescent="0.25">
      <c r="A13888" s="22" t="s">
        <v>8</v>
      </c>
      <c r="B13888" s="18" t="str">
        <f>"525661"</f>
        <v>525661</v>
      </c>
      <c r="C13888" s="19" t="s">
        <v>13636</v>
      </c>
      <c r="D13888" s="19" t="s">
        <v>29285</v>
      </c>
      <c r="E13888" s="19" t="s">
        <v>35686</v>
      </c>
      <c r="F13888" s="19" t="s">
        <v>36024</v>
      </c>
      <c r="G13888" s="18" t="str">
        <f>"54124"</f>
        <v>54124</v>
      </c>
      <c r="H13888" s="19" t="s">
        <v>35690</v>
      </c>
      <c r="I13888" s="20">
        <v>18.890999999999998</v>
      </c>
      <c r="J13888" s="44" t="s">
        <v>8</v>
      </c>
      <c r="K13888" s="23" t="s">
        <v>8</v>
      </c>
      <c r="L13888" s="23" t="s">
        <v>8</v>
      </c>
      <c r="M13888" s="23" t="s">
        <v>8</v>
      </c>
    </row>
    <row r="13889" spans="1:13" s="21" customFormat="1" x14ac:dyDescent="0.25">
      <c r="A13889" s="22" t="s">
        <v>8</v>
      </c>
      <c r="B13889" s="18" t="str">
        <f>"525662"</f>
        <v>525662</v>
      </c>
      <c r="C13889" s="19" t="s">
        <v>13637</v>
      </c>
      <c r="D13889" s="19" t="s">
        <v>29286</v>
      </c>
      <c r="E13889" s="19" t="s">
        <v>31756</v>
      </c>
      <c r="F13889" s="19" t="s">
        <v>36024</v>
      </c>
      <c r="G13889" s="18" t="str">
        <f>"54656"</f>
        <v>54656</v>
      </c>
      <c r="H13889" s="19" t="s">
        <v>31711</v>
      </c>
      <c r="I13889" s="20">
        <v>18.437000000000001</v>
      </c>
      <c r="J13889" s="44" t="s">
        <v>8</v>
      </c>
      <c r="K13889" s="23" t="s">
        <v>8</v>
      </c>
      <c r="L13889" s="23" t="s">
        <v>8</v>
      </c>
      <c r="M13889" s="23" t="s">
        <v>8</v>
      </c>
    </row>
    <row r="13890" spans="1:13" s="21" customFormat="1" x14ac:dyDescent="0.25">
      <c r="A13890" s="22" t="s">
        <v>8</v>
      </c>
      <c r="B13890" s="18" t="str">
        <f>"525663"</f>
        <v>525663</v>
      </c>
      <c r="C13890" s="19" t="s">
        <v>13638</v>
      </c>
      <c r="D13890" s="19" t="s">
        <v>29287</v>
      </c>
      <c r="E13890" s="19" t="s">
        <v>32617</v>
      </c>
      <c r="F13890" s="19" t="s">
        <v>36024</v>
      </c>
      <c r="G13890" s="18" t="str">
        <f>"53511"</f>
        <v>53511</v>
      </c>
      <c r="H13890" s="19" t="s">
        <v>36480</v>
      </c>
      <c r="I13890" s="20">
        <v>16.957000000000001</v>
      </c>
      <c r="J13890" s="44" t="s">
        <v>8</v>
      </c>
      <c r="K13890" s="23" t="s">
        <v>8</v>
      </c>
      <c r="L13890" s="23" t="s">
        <v>8</v>
      </c>
      <c r="M13890" s="23" t="s">
        <v>8</v>
      </c>
    </row>
    <row r="13891" spans="1:13" s="21" customFormat="1" x14ac:dyDescent="0.25">
      <c r="A13891" s="22" t="s">
        <v>8</v>
      </c>
      <c r="B13891" s="18" t="str">
        <f>"525664"</f>
        <v>525664</v>
      </c>
      <c r="C13891" s="19" t="s">
        <v>13639</v>
      </c>
      <c r="D13891" s="19" t="s">
        <v>29288</v>
      </c>
      <c r="E13891" s="19" t="s">
        <v>35687</v>
      </c>
      <c r="F13891" s="19" t="s">
        <v>36024</v>
      </c>
      <c r="G13891" s="18" t="str">
        <f>"54241"</f>
        <v>54241</v>
      </c>
      <c r="H13891" s="19" t="s">
        <v>35599</v>
      </c>
      <c r="I13891" s="20">
        <v>16.835999999999999</v>
      </c>
      <c r="J13891" s="44" t="s">
        <v>8</v>
      </c>
      <c r="K13891" s="23" t="s">
        <v>8</v>
      </c>
      <c r="L13891" s="23" t="s">
        <v>8</v>
      </c>
      <c r="M13891" s="23" t="s">
        <v>8</v>
      </c>
    </row>
    <row r="13892" spans="1:13" s="21" customFormat="1" x14ac:dyDescent="0.25">
      <c r="A13892" s="22" t="s">
        <v>8</v>
      </c>
      <c r="B13892" s="18" t="str">
        <f>"525665"</f>
        <v>525665</v>
      </c>
      <c r="C13892" s="19" t="s">
        <v>13640</v>
      </c>
      <c r="D13892" s="19" t="s">
        <v>29289</v>
      </c>
      <c r="E13892" s="19" t="s">
        <v>35688</v>
      </c>
      <c r="F13892" s="19" t="s">
        <v>36024</v>
      </c>
      <c r="G13892" s="18" t="str">
        <f>"54837"</f>
        <v>54837</v>
      </c>
      <c r="H13892" s="19" t="s">
        <v>36062</v>
      </c>
      <c r="I13892" s="20">
        <v>21.649000000000001</v>
      </c>
      <c r="J13892" s="44" t="s">
        <v>8</v>
      </c>
      <c r="K13892" s="23" t="s">
        <v>8</v>
      </c>
      <c r="L13892" s="23" t="s">
        <v>8</v>
      </c>
      <c r="M13892" s="23" t="s">
        <v>8</v>
      </c>
    </row>
    <row r="13893" spans="1:13" s="21" customFormat="1" x14ac:dyDescent="0.25">
      <c r="A13893" s="22" t="s">
        <v>8</v>
      </c>
      <c r="B13893" s="18" t="str">
        <f>"525666"</f>
        <v>525666</v>
      </c>
      <c r="C13893" s="19" t="s">
        <v>13641</v>
      </c>
      <c r="D13893" s="19" t="s">
        <v>29290</v>
      </c>
      <c r="E13893" s="19" t="s">
        <v>33440</v>
      </c>
      <c r="F13893" s="19" t="s">
        <v>36024</v>
      </c>
      <c r="G13893" s="18" t="str">
        <f>"53547"</f>
        <v>53547</v>
      </c>
      <c r="H13893" s="19" t="s">
        <v>36480</v>
      </c>
      <c r="I13893" s="20">
        <v>20.664000000000001</v>
      </c>
      <c r="J13893" s="44" t="s">
        <v>8</v>
      </c>
      <c r="K13893" s="23" t="s">
        <v>8</v>
      </c>
      <c r="L13893" s="23" t="s">
        <v>8</v>
      </c>
      <c r="M13893" s="23" t="s">
        <v>8</v>
      </c>
    </row>
    <row r="13894" spans="1:13" s="21" customFormat="1" x14ac:dyDescent="0.25">
      <c r="A13894" s="22" t="s">
        <v>8</v>
      </c>
      <c r="B13894" s="18" t="str">
        <f>"525667"</f>
        <v>525667</v>
      </c>
      <c r="C13894" s="19" t="s">
        <v>13642</v>
      </c>
      <c r="D13894" s="19" t="s">
        <v>29291</v>
      </c>
      <c r="E13894" s="19" t="s">
        <v>35555</v>
      </c>
      <c r="F13894" s="19" t="s">
        <v>36024</v>
      </c>
      <c r="G13894" s="18" t="str">
        <f>"53959"</f>
        <v>53959</v>
      </c>
      <c r="H13894" s="19" t="s">
        <v>36923</v>
      </c>
      <c r="I13894" s="20">
        <v>18.327000000000002</v>
      </c>
      <c r="J13894" s="44" t="s">
        <v>8</v>
      </c>
      <c r="K13894" s="23" t="s">
        <v>8</v>
      </c>
      <c r="L13894" s="23" t="s">
        <v>8</v>
      </c>
      <c r="M13894" s="23" t="s">
        <v>8</v>
      </c>
    </row>
    <row r="13895" spans="1:13" s="21" customFormat="1" x14ac:dyDescent="0.25">
      <c r="A13895" s="22" t="s">
        <v>8</v>
      </c>
      <c r="B13895" s="18" t="str">
        <f>"525668"</f>
        <v>525668</v>
      </c>
      <c r="C13895" s="19" t="s">
        <v>13643</v>
      </c>
      <c r="D13895" s="19" t="s">
        <v>29292</v>
      </c>
      <c r="E13895" s="19" t="s">
        <v>35689</v>
      </c>
      <c r="F13895" s="19" t="s">
        <v>36024</v>
      </c>
      <c r="G13895" s="18" t="str">
        <f>"53092"</f>
        <v>53092</v>
      </c>
      <c r="H13895" s="19" t="s">
        <v>36934</v>
      </c>
      <c r="I13895" s="20">
        <v>18.602</v>
      </c>
      <c r="J13895" s="44" t="s">
        <v>8</v>
      </c>
      <c r="K13895" s="23" t="s">
        <v>8</v>
      </c>
      <c r="L13895" s="23" t="s">
        <v>8</v>
      </c>
      <c r="M13895" s="23" t="s">
        <v>8</v>
      </c>
    </row>
    <row r="13896" spans="1:13" s="21" customFormat="1" x14ac:dyDescent="0.25">
      <c r="A13896" s="22" t="s">
        <v>8</v>
      </c>
      <c r="B13896" s="18" t="str">
        <f>"525669"</f>
        <v>525669</v>
      </c>
      <c r="C13896" s="19" t="s">
        <v>13644</v>
      </c>
      <c r="D13896" s="19" t="s">
        <v>29293</v>
      </c>
      <c r="E13896" s="19" t="s">
        <v>35550</v>
      </c>
      <c r="F13896" s="19" t="s">
        <v>36024</v>
      </c>
      <c r="G13896" s="18" t="str">
        <f>"53406"</f>
        <v>53406</v>
      </c>
      <c r="H13896" s="19" t="s">
        <v>35550</v>
      </c>
      <c r="I13896" s="20">
        <v>21.567</v>
      </c>
      <c r="J13896" s="44" t="s">
        <v>8</v>
      </c>
      <c r="K13896" s="23" t="s">
        <v>8</v>
      </c>
      <c r="L13896" s="23" t="s">
        <v>8</v>
      </c>
      <c r="M13896" s="23" t="s">
        <v>8</v>
      </c>
    </row>
    <row r="13897" spans="1:13" s="21" customFormat="1" x14ac:dyDescent="0.25">
      <c r="A13897" s="22" t="s">
        <v>8</v>
      </c>
      <c r="B13897" s="18" t="str">
        <f>"525670"</f>
        <v>525670</v>
      </c>
      <c r="C13897" s="19" t="s">
        <v>13645</v>
      </c>
      <c r="D13897" s="19" t="s">
        <v>29294</v>
      </c>
      <c r="E13897" s="19" t="s">
        <v>35690</v>
      </c>
      <c r="F13897" s="19" t="s">
        <v>36024</v>
      </c>
      <c r="G13897" s="18" t="str">
        <f>"54153"</f>
        <v>54153</v>
      </c>
      <c r="H13897" s="19" t="s">
        <v>35690</v>
      </c>
      <c r="I13897" s="20">
        <v>18.324999999999999</v>
      </c>
      <c r="J13897" s="44" t="s">
        <v>8</v>
      </c>
      <c r="K13897" s="23" t="s">
        <v>8</v>
      </c>
      <c r="L13897" s="23" t="s">
        <v>8</v>
      </c>
      <c r="M13897" s="23" t="s">
        <v>8</v>
      </c>
    </row>
    <row r="13898" spans="1:13" s="21" customFormat="1" x14ac:dyDescent="0.25">
      <c r="A13898" s="22" t="s">
        <v>8</v>
      </c>
      <c r="B13898" s="18" t="str">
        <f>"525671"</f>
        <v>525671</v>
      </c>
      <c r="C13898" s="19" t="s">
        <v>13646</v>
      </c>
      <c r="D13898" s="19" t="s">
        <v>29295</v>
      </c>
      <c r="E13898" s="19" t="s">
        <v>35590</v>
      </c>
      <c r="F13898" s="19" t="s">
        <v>36024</v>
      </c>
      <c r="G13898" s="18" t="str">
        <f>"53581"</f>
        <v>53581</v>
      </c>
      <c r="H13898" s="19" t="s">
        <v>31785</v>
      </c>
      <c r="I13898" s="20">
        <v>17.481999999999999</v>
      </c>
      <c r="J13898" s="44" t="s">
        <v>8</v>
      </c>
      <c r="K13898" s="23" t="s">
        <v>8</v>
      </c>
      <c r="L13898" s="23" t="s">
        <v>8</v>
      </c>
      <c r="M13898" s="23" t="s">
        <v>8</v>
      </c>
    </row>
    <row r="13899" spans="1:13" s="21" customFormat="1" x14ac:dyDescent="0.25">
      <c r="A13899" s="22" t="s">
        <v>8</v>
      </c>
      <c r="B13899" s="18" t="str">
        <f>"525672"</f>
        <v>525672</v>
      </c>
      <c r="C13899" s="19" t="s">
        <v>13647</v>
      </c>
      <c r="D13899" s="19" t="s">
        <v>29296</v>
      </c>
      <c r="E13899" s="19" t="s">
        <v>35691</v>
      </c>
      <c r="F13899" s="19" t="s">
        <v>36024</v>
      </c>
      <c r="G13899" s="18" t="str">
        <f>"54728"</f>
        <v>54728</v>
      </c>
      <c r="H13899" s="19" t="s">
        <v>35681</v>
      </c>
      <c r="I13899" s="20">
        <v>18.411999999999999</v>
      </c>
      <c r="J13899" s="44" t="s">
        <v>8</v>
      </c>
      <c r="K13899" s="23" t="s">
        <v>8</v>
      </c>
      <c r="L13899" s="23" t="s">
        <v>8</v>
      </c>
      <c r="M13899" s="23" t="s">
        <v>8</v>
      </c>
    </row>
    <row r="13900" spans="1:13" s="21" customFormat="1" x14ac:dyDescent="0.25">
      <c r="A13900" s="22" t="s">
        <v>8</v>
      </c>
      <c r="B13900" s="18" t="str">
        <f>"525673"</f>
        <v>525673</v>
      </c>
      <c r="C13900" s="19" t="s">
        <v>13648</v>
      </c>
      <c r="D13900" s="19" t="s">
        <v>29297</v>
      </c>
      <c r="E13900" s="19" t="s">
        <v>35692</v>
      </c>
      <c r="F13900" s="19" t="s">
        <v>36024</v>
      </c>
      <c r="G13900" s="18" t="str">
        <f>"54801"</f>
        <v>54801</v>
      </c>
      <c r="H13900" s="19" t="s">
        <v>35661</v>
      </c>
      <c r="I13900" s="20">
        <v>16.478999999999999</v>
      </c>
      <c r="J13900" s="44" t="s">
        <v>8</v>
      </c>
      <c r="K13900" s="23" t="s">
        <v>8</v>
      </c>
      <c r="L13900" s="23" t="s">
        <v>8</v>
      </c>
      <c r="M13900" s="23" t="s">
        <v>8</v>
      </c>
    </row>
    <row r="13901" spans="1:13" s="21" customFormat="1" x14ac:dyDescent="0.25">
      <c r="A13901" s="22" t="s">
        <v>8</v>
      </c>
      <c r="B13901" s="18" t="str">
        <f>"525676"</f>
        <v>525676</v>
      </c>
      <c r="C13901" s="19" t="s">
        <v>13649</v>
      </c>
      <c r="D13901" s="19" t="s">
        <v>29298</v>
      </c>
      <c r="E13901" s="19" t="s">
        <v>35693</v>
      </c>
      <c r="F13901" s="19" t="s">
        <v>36024</v>
      </c>
      <c r="G13901" s="18" t="str">
        <f>"53085"</f>
        <v>53085</v>
      </c>
      <c r="H13901" s="19" t="s">
        <v>35625</v>
      </c>
      <c r="I13901" s="20">
        <v>17.265000000000001</v>
      </c>
      <c r="J13901" s="44" t="s">
        <v>8</v>
      </c>
      <c r="K13901" s="23" t="s">
        <v>8</v>
      </c>
      <c r="L13901" s="23" t="s">
        <v>8</v>
      </c>
      <c r="M13901" s="23" t="s">
        <v>8</v>
      </c>
    </row>
    <row r="13902" spans="1:13" s="21" customFormat="1" x14ac:dyDescent="0.25">
      <c r="A13902" s="22" t="s">
        <v>8</v>
      </c>
      <c r="B13902" s="18" t="str">
        <f>"525677"</f>
        <v>525677</v>
      </c>
      <c r="C13902" s="19" t="s">
        <v>13650</v>
      </c>
      <c r="D13902" s="19" t="s">
        <v>29299</v>
      </c>
      <c r="E13902" s="19" t="s">
        <v>35694</v>
      </c>
      <c r="F13902" s="19" t="s">
        <v>36024</v>
      </c>
      <c r="G13902" s="18" t="str">
        <f>"53184"</f>
        <v>53184</v>
      </c>
      <c r="H13902" s="19" t="s">
        <v>35694</v>
      </c>
      <c r="I13902" s="20">
        <v>19.247</v>
      </c>
      <c r="J13902" s="44" t="s">
        <v>8</v>
      </c>
      <c r="K13902" s="23" t="s">
        <v>8</v>
      </c>
      <c r="L13902" s="23" t="s">
        <v>8</v>
      </c>
      <c r="M13902" s="23" t="s">
        <v>8</v>
      </c>
    </row>
    <row r="13903" spans="1:13" s="21" customFormat="1" x14ac:dyDescent="0.25">
      <c r="A13903" s="22" t="s">
        <v>8</v>
      </c>
      <c r="B13903" s="18" t="str">
        <f>"525678"</f>
        <v>525678</v>
      </c>
      <c r="C13903" s="19" t="s">
        <v>13651</v>
      </c>
      <c r="D13903" s="19" t="s">
        <v>29300</v>
      </c>
      <c r="E13903" s="19" t="s">
        <v>35695</v>
      </c>
      <c r="F13903" s="19" t="s">
        <v>36024</v>
      </c>
      <c r="G13903" s="18" t="str">
        <f>"54548"</f>
        <v>54548</v>
      </c>
      <c r="H13903" s="19" t="s">
        <v>34140</v>
      </c>
      <c r="I13903" s="20">
        <v>16.524000000000001</v>
      </c>
      <c r="J13903" s="44" t="s">
        <v>8</v>
      </c>
      <c r="K13903" s="23" t="s">
        <v>8</v>
      </c>
      <c r="L13903" s="23" t="s">
        <v>8</v>
      </c>
      <c r="M13903" s="23" t="s">
        <v>8</v>
      </c>
    </row>
    <row r="13904" spans="1:13" s="21" customFormat="1" x14ac:dyDescent="0.25">
      <c r="A13904" s="22" t="s">
        <v>8</v>
      </c>
      <c r="B13904" s="18" t="str">
        <f>"525679"</f>
        <v>525679</v>
      </c>
      <c r="C13904" s="19" t="s">
        <v>13652</v>
      </c>
      <c r="D13904" s="19" t="s">
        <v>29301</v>
      </c>
      <c r="E13904" s="19" t="s">
        <v>33198</v>
      </c>
      <c r="F13904" s="19" t="s">
        <v>36024</v>
      </c>
      <c r="G13904" s="18" t="str">
        <f>"54773"</f>
        <v>54773</v>
      </c>
      <c r="H13904" s="19" t="s">
        <v>36937</v>
      </c>
      <c r="I13904" s="20">
        <v>18.588999999999999</v>
      </c>
      <c r="J13904" s="44" t="s">
        <v>8</v>
      </c>
      <c r="K13904" s="23" t="s">
        <v>8</v>
      </c>
      <c r="L13904" s="23" t="s">
        <v>8</v>
      </c>
      <c r="M13904" s="23" t="s">
        <v>8</v>
      </c>
    </row>
    <row r="13905" spans="1:13" s="21" customFormat="1" x14ac:dyDescent="0.25">
      <c r="A13905" s="22" t="s">
        <v>8</v>
      </c>
      <c r="B13905" s="18" t="str">
        <f>"525680"</f>
        <v>525680</v>
      </c>
      <c r="C13905" s="19" t="s">
        <v>13653</v>
      </c>
      <c r="D13905" s="19" t="s">
        <v>29302</v>
      </c>
      <c r="E13905" s="19" t="s">
        <v>35696</v>
      </c>
      <c r="F13905" s="19" t="s">
        <v>36024</v>
      </c>
      <c r="G13905" s="18" t="str">
        <f>"54853"</f>
        <v>54853</v>
      </c>
      <c r="H13905" s="19" t="s">
        <v>36062</v>
      </c>
      <c r="I13905" s="20">
        <v>18.728000000000002</v>
      </c>
      <c r="J13905" s="44" t="s">
        <v>8</v>
      </c>
      <c r="K13905" s="23" t="s">
        <v>8</v>
      </c>
      <c r="L13905" s="23" t="s">
        <v>8</v>
      </c>
      <c r="M13905" s="23" t="s">
        <v>8</v>
      </c>
    </row>
    <row r="13906" spans="1:13" s="21" customFormat="1" x14ac:dyDescent="0.25">
      <c r="A13906" s="22" t="s">
        <v>8</v>
      </c>
      <c r="B13906" s="18" t="str">
        <f>"525681"</f>
        <v>525681</v>
      </c>
      <c r="C13906" s="19" t="s">
        <v>13654</v>
      </c>
      <c r="D13906" s="19" t="s">
        <v>29303</v>
      </c>
      <c r="E13906" s="19" t="s">
        <v>33087</v>
      </c>
      <c r="F13906" s="19" t="s">
        <v>36024</v>
      </c>
      <c r="G13906" s="18" t="str">
        <f>"53589"</f>
        <v>53589</v>
      </c>
      <c r="H13906" s="19" t="s">
        <v>36925</v>
      </c>
      <c r="I13906" s="20">
        <v>18.215</v>
      </c>
      <c r="J13906" s="44" t="s">
        <v>8</v>
      </c>
      <c r="K13906" s="23" t="s">
        <v>8</v>
      </c>
      <c r="L13906" s="23" t="s">
        <v>8</v>
      </c>
      <c r="M13906" s="23" t="s">
        <v>8</v>
      </c>
    </row>
    <row r="13907" spans="1:13" s="21" customFormat="1" x14ac:dyDescent="0.25">
      <c r="A13907" s="22" t="s">
        <v>8</v>
      </c>
      <c r="B13907" s="18" t="str">
        <f>"525682"</f>
        <v>525682</v>
      </c>
      <c r="C13907" s="19" t="s">
        <v>13655</v>
      </c>
      <c r="D13907" s="19" t="s">
        <v>29304</v>
      </c>
      <c r="E13907" s="19" t="s">
        <v>35689</v>
      </c>
      <c r="F13907" s="19" t="s">
        <v>36024</v>
      </c>
      <c r="G13907" s="18" t="str">
        <f>"53092"</f>
        <v>53092</v>
      </c>
      <c r="H13907" s="19" t="s">
        <v>36934</v>
      </c>
      <c r="I13907" s="20">
        <v>20.349</v>
      </c>
      <c r="J13907" s="44" t="s">
        <v>8</v>
      </c>
      <c r="K13907" s="23" t="s">
        <v>8</v>
      </c>
      <c r="L13907" s="23" t="s">
        <v>8</v>
      </c>
      <c r="M13907" s="23" t="s">
        <v>8</v>
      </c>
    </row>
    <row r="13908" spans="1:13" s="21" customFormat="1" x14ac:dyDescent="0.25">
      <c r="A13908" s="22" t="s">
        <v>8</v>
      </c>
      <c r="B13908" s="18" t="str">
        <f>"525683"</f>
        <v>525683</v>
      </c>
      <c r="C13908" s="19" t="s">
        <v>13656</v>
      </c>
      <c r="D13908" s="19" t="s">
        <v>29305</v>
      </c>
      <c r="E13908" s="19" t="s">
        <v>32727</v>
      </c>
      <c r="F13908" s="19" t="s">
        <v>36024</v>
      </c>
      <c r="G13908" s="18" t="str">
        <f>"53520"</f>
        <v>53520</v>
      </c>
      <c r="H13908" s="19" t="s">
        <v>36339</v>
      </c>
      <c r="I13908" s="20">
        <v>17.827000000000002</v>
      </c>
      <c r="J13908" s="44" t="s">
        <v>8</v>
      </c>
      <c r="K13908" s="23" t="s">
        <v>8</v>
      </c>
      <c r="L13908" s="23" t="s">
        <v>8</v>
      </c>
      <c r="M13908" s="23" t="s">
        <v>8</v>
      </c>
    </row>
    <row r="13909" spans="1:13" s="21" customFormat="1" x14ac:dyDescent="0.25">
      <c r="A13909" s="22" t="s">
        <v>8</v>
      </c>
      <c r="B13909" s="18" t="str">
        <f>"525684"</f>
        <v>525684</v>
      </c>
      <c r="C13909" s="19" t="s">
        <v>13657</v>
      </c>
      <c r="D13909" s="19" t="s">
        <v>29306</v>
      </c>
      <c r="E13909" s="19" t="s">
        <v>33669</v>
      </c>
      <c r="F13909" s="19" t="s">
        <v>36024</v>
      </c>
      <c r="G13909" s="18" t="str">
        <f>"54449"</f>
        <v>54449</v>
      </c>
      <c r="H13909" s="19" t="s">
        <v>36673</v>
      </c>
      <c r="I13909" s="20">
        <v>22.603999999999999</v>
      </c>
      <c r="J13909" s="44" t="s">
        <v>8</v>
      </c>
      <c r="K13909" s="23" t="s">
        <v>8</v>
      </c>
      <c r="L13909" s="23" t="s">
        <v>8</v>
      </c>
      <c r="M13909" s="23" t="s">
        <v>8</v>
      </c>
    </row>
    <row r="13910" spans="1:13" s="21" customFormat="1" x14ac:dyDescent="0.25">
      <c r="A13910" s="22" t="s">
        <v>8</v>
      </c>
      <c r="B13910" s="18" t="str">
        <f>"525685"</f>
        <v>525685</v>
      </c>
      <c r="C13910" s="19" t="s">
        <v>13658</v>
      </c>
      <c r="D13910" s="19" t="s">
        <v>29307</v>
      </c>
      <c r="E13910" s="19" t="s">
        <v>31465</v>
      </c>
      <c r="F13910" s="19" t="s">
        <v>36024</v>
      </c>
      <c r="G13910" s="18" t="str">
        <f>"53073"</f>
        <v>53073</v>
      </c>
      <c r="H13910" s="19" t="s">
        <v>35625</v>
      </c>
      <c r="I13910" s="20">
        <v>18.038</v>
      </c>
      <c r="J13910" s="44" t="s">
        <v>8</v>
      </c>
      <c r="K13910" s="23" t="s">
        <v>8</v>
      </c>
      <c r="L13910" s="23" t="s">
        <v>8</v>
      </c>
      <c r="M13910" s="23" t="s">
        <v>8</v>
      </c>
    </row>
    <row r="13911" spans="1:13" s="21" customFormat="1" x14ac:dyDescent="0.25">
      <c r="A13911" s="22" t="s">
        <v>8</v>
      </c>
      <c r="B13911" s="18" t="str">
        <f>"525686"</f>
        <v>525686</v>
      </c>
      <c r="C13911" s="19" t="s">
        <v>13659</v>
      </c>
      <c r="D13911" s="19" t="s">
        <v>29308</v>
      </c>
      <c r="E13911" s="19" t="s">
        <v>35564</v>
      </c>
      <c r="F13911" s="19" t="s">
        <v>36024</v>
      </c>
      <c r="G13911" s="18" t="str">
        <f>"53150"</f>
        <v>53150</v>
      </c>
      <c r="H13911" s="19" t="s">
        <v>35561</v>
      </c>
      <c r="I13911" s="20">
        <v>20.475000000000001</v>
      </c>
      <c r="J13911" s="44" t="s">
        <v>8</v>
      </c>
      <c r="K13911" s="23" t="s">
        <v>8</v>
      </c>
      <c r="L13911" s="23" t="s">
        <v>8</v>
      </c>
      <c r="M13911" s="23" t="s">
        <v>8</v>
      </c>
    </row>
    <row r="13912" spans="1:13" s="21" customFormat="1" x14ac:dyDescent="0.25">
      <c r="A13912" s="22" t="s">
        <v>8</v>
      </c>
      <c r="B13912" s="18" t="str">
        <f>"525687"</f>
        <v>525687</v>
      </c>
      <c r="C13912" s="19" t="s">
        <v>13660</v>
      </c>
      <c r="D13912" s="19" t="s">
        <v>29309</v>
      </c>
      <c r="E13912" s="19" t="s">
        <v>35697</v>
      </c>
      <c r="F13912" s="19" t="s">
        <v>36024</v>
      </c>
      <c r="G13912" s="18" t="str">
        <f>"54760"</f>
        <v>54760</v>
      </c>
      <c r="H13912" s="19" t="s">
        <v>36937</v>
      </c>
      <c r="I13912" s="20">
        <v>18.099</v>
      </c>
      <c r="J13912" s="44" t="s">
        <v>8</v>
      </c>
      <c r="K13912" s="23" t="s">
        <v>8</v>
      </c>
      <c r="L13912" s="23" t="s">
        <v>8</v>
      </c>
      <c r="M13912" s="23" t="s">
        <v>8</v>
      </c>
    </row>
    <row r="13913" spans="1:13" s="21" customFormat="1" x14ac:dyDescent="0.25">
      <c r="A13913" s="22" t="s">
        <v>8</v>
      </c>
      <c r="B13913" s="18" t="str">
        <f>"525688"</f>
        <v>525688</v>
      </c>
      <c r="C13913" s="19" t="s">
        <v>13661</v>
      </c>
      <c r="D13913" s="19" t="s">
        <v>29310</v>
      </c>
      <c r="E13913" s="19" t="s">
        <v>35650</v>
      </c>
      <c r="F13913" s="19" t="s">
        <v>36024</v>
      </c>
      <c r="G13913" s="18" t="str">
        <f>"53182"</f>
        <v>53182</v>
      </c>
      <c r="H13913" s="19" t="s">
        <v>35550</v>
      </c>
      <c r="I13913" s="20">
        <v>19.95</v>
      </c>
      <c r="J13913" s="44" t="s">
        <v>8</v>
      </c>
      <c r="K13913" s="23" t="s">
        <v>8</v>
      </c>
      <c r="L13913" s="23" t="s">
        <v>8</v>
      </c>
      <c r="M13913" s="23" t="s">
        <v>8</v>
      </c>
    </row>
    <row r="13914" spans="1:13" s="21" customFormat="1" x14ac:dyDescent="0.25">
      <c r="A13914" s="22" t="s">
        <v>8</v>
      </c>
      <c r="B13914" s="18" t="str">
        <f>"525689"</f>
        <v>525689</v>
      </c>
      <c r="C13914" s="19" t="s">
        <v>13662</v>
      </c>
      <c r="D13914" s="19" t="s">
        <v>29311</v>
      </c>
      <c r="E13914" s="19" t="s">
        <v>35578</v>
      </c>
      <c r="F13914" s="19" t="s">
        <v>36024</v>
      </c>
      <c r="G13914" s="18" t="str">
        <f>"54166"</f>
        <v>54166</v>
      </c>
      <c r="H13914" s="19" t="s">
        <v>35578</v>
      </c>
      <c r="I13914" s="20">
        <v>18.13</v>
      </c>
      <c r="J13914" s="44" t="s">
        <v>8</v>
      </c>
      <c r="K13914" s="23" t="s">
        <v>8</v>
      </c>
      <c r="L13914" s="23" t="s">
        <v>8</v>
      </c>
      <c r="M13914" s="23" t="s">
        <v>8</v>
      </c>
    </row>
    <row r="13915" spans="1:13" s="21" customFormat="1" x14ac:dyDescent="0.25">
      <c r="A13915" s="22" t="s">
        <v>8</v>
      </c>
      <c r="B13915" s="18" t="str">
        <f>"525691"</f>
        <v>525691</v>
      </c>
      <c r="C13915" s="19" t="s">
        <v>13663</v>
      </c>
      <c r="D13915" s="19" t="s">
        <v>29312</v>
      </c>
      <c r="E13915" s="19" t="s">
        <v>32141</v>
      </c>
      <c r="F13915" s="19" t="s">
        <v>36024</v>
      </c>
      <c r="G13915" s="18" t="str">
        <f>"54730"</f>
        <v>54730</v>
      </c>
      <c r="H13915" s="19" t="s">
        <v>34314</v>
      </c>
      <c r="I13915" s="20">
        <v>19.87</v>
      </c>
      <c r="J13915" s="44" t="s">
        <v>8</v>
      </c>
      <c r="K13915" s="23" t="s">
        <v>8</v>
      </c>
      <c r="L13915" s="23" t="s">
        <v>8</v>
      </c>
      <c r="M13915" s="23" t="s">
        <v>8</v>
      </c>
    </row>
    <row r="13916" spans="1:13" s="21" customFormat="1" x14ac:dyDescent="0.25">
      <c r="A13916" s="22" t="s">
        <v>8</v>
      </c>
      <c r="B13916" s="18" t="str">
        <f>"525692"</f>
        <v>525692</v>
      </c>
      <c r="C13916" s="19" t="s">
        <v>13664</v>
      </c>
      <c r="D13916" s="19" t="s">
        <v>29313</v>
      </c>
      <c r="E13916" s="19" t="s">
        <v>30899</v>
      </c>
      <c r="F13916" s="19" t="s">
        <v>36024</v>
      </c>
      <c r="G13916" s="18" t="str">
        <f>"53718"</f>
        <v>53718</v>
      </c>
      <c r="H13916" s="19" t="s">
        <v>36925</v>
      </c>
      <c r="I13916" s="20">
        <v>15.956</v>
      </c>
      <c r="J13916" s="44" t="s">
        <v>8</v>
      </c>
      <c r="K13916" s="23" t="s">
        <v>8</v>
      </c>
      <c r="L13916" s="23" t="s">
        <v>8</v>
      </c>
      <c r="M13916" s="23" t="s">
        <v>8</v>
      </c>
    </row>
    <row r="13917" spans="1:13" s="21" customFormat="1" x14ac:dyDescent="0.25">
      <c r="A13917" s="22" t="s">
        <v>8</v>
      </c>
      <c r="B13917" s="18" t="str">
        <f>"525693"</f>
        <v>525693</v>
      </c>
      <c r="C13917" s="19" t="s">
        <v>13665</v>
      </c>
      <c r="D13917" s="19" t="s">
        <v>29314</v>
      </c>
      <c r="E13917" s="19" t="s">
        <v>35548</v>
      </c>
      <c r="F13917" s="19" t="s">
        <v>36024</v>
      </c>
      <c r="G13917" s="18" t="str">
        <f>"54311"</f>
        <v>54311</v>
      </c>
      <c r="H13917" s="19" t="s">
        <v>36244</v>
      </c>
      <c r="I13917" s="20">
        <v>18.88</v>
      </c>
      <c r="J13917" s="44" t="s">
        <v>8</v>
      </c>
      <c r="K13917" s="23" t="s">
        <v>8</v>
      </c>
      <c r="L13917" s="23" t="s">
        <v>8</v>
      </c>
      <c r="M13917" s="23" t="s">
        <v>8</v>
      </c>
    </row>
    <row r="13918" spans="1:13" s="21" customFormat="1" x14ac:dyDescent="0.25">
      <c r="A13918" s="22" t="s">
        <v>8</v>
      </c>
      <c r="B13918" s="18" t="str">
        <f>"525694"</f>
        <v>525694</v>
      </c>
      <c r="C13918" s="19" t="s">
        <v>13666</v>
      </c>
      <c r="D13918" s="19" t="s">
        <v>29315</v>
      </c>
      <c r="E13918" s="19" t="s">
        <v>31723</v>
      </c>
      <c r="F13918" s="19" t="s">
        <v>36024</v>
      </c>
      <c r="G13918" s="18" t="str">
        <f>"54733"</f>
        <v>54733</v>
      </c>
      <c r="H13918" s="19" t="s">
        <v>35681</v>
      </c>
      <c r="I13918" s="20">
        <v>19.364999999999998</v>
      </c>
      <c r="J13918" s="44" t="s">
        <v>8</v>
      </c>
      <c r="K13918" s="23" t="s">
        <v>8</v>
      </c>
      <c r="L13918" s="23" t="s">
        <v>8</v>
      </c>
      <c r="M13918" s="23" t="s">
        <v>8</v>
      </c>
    </row>
    <row r="13919" spans="1:13" s="21" customFormat="1" x14ac:dyDescent="0.25">
      <c r="A13919" s="22" t="s">
        <v>8</v>
      </c>
      <c r="B13919" s="18" t="str">
        <f>"525695"</f>
        <v>525695</v>
      </c>
      <c r="C13919" s="19" t="s">
        <v>13667</v>
      </c>
      <c r="D13919" s="19" t="s">
        <v>29316</v>
      </c>
      <c r="E13919" s="19" t="s">
        <v>34140</v>
      </c>
      <c r="F13919" s="19" t="s">
        <v>36024</v>
      </c>
      <c r="G13919" s="18" t="str">
        <f>"54155"</f>
        <v>54155</v>
      </c>
      <c r="H13919" s="19" t="s">
        <v>36244</v>
      </c>
      <c r="I13919" s="20">
        <v>19.268000000000001</v>
      </c>
      <c r="J13919" s="44" t="s">
        <v>8</v>
      </c>
      <c r="K13919" s="23" t="s">
        <v>8</v>
      </c>
      <c r="L13919" s="23" t="s">
        <v>8</v>
      </c>
      <c r="M13919" s="23" t="s">
        <v>8</v>
      </c>
    </row>
    <row r="13920" spans="1:13" s="21" customFormat="1" x14ac:dyDescent="0.25">
      <c r="A13920" s="22" t="s">
        <v>8</v>
      </c>
      <c r="B13920" s="18" t="str">
        <f>"525697"</f>
        <v>525697</v>
      </c>
      <c r="C13920" s="19" t="s">
        <v>13668</v>
      </c>
      <c r="D13920" s="19" t="s">
        <v>29317</v>
      </c>
      <c r="E13920" s="19" t="s">
        <v>35698</v>
      </c>
      <c r="F13920" s="19" t="s">
        <v>36024</v>
      </c>
      <c r="G13920" s="18" t="str">
        <f>"54546"</f>
        <v>54546</v>
      </c>
      <c r="H13920" s="19" t="s">
        <v>30809</v>
      </c>
      <c r="I13920" s="20">
        <v>18.536999999999999</v>
      </c>
      <c r="J13920" s="44" t="s">
        <v>8</v>
      </c>
      <c r="K13920" s="23" t="s">
        <v>8</v>
      </c>
      <c r="L13920" s="23" t="s">
        <v>8</v>
      </c>
      <c r="M13920" s="23" t="s">
        <v>8</v>
      </c>
    </row>
    <row r="13921" spans="1:13" s="21" customFormat="1" x14ac:dyDescent="0.25">
      <c r="A13921" s="22" t="s">
        <v>8</v>
      </c>
      <c r="B13921" s="18" t="str">
        <f>"525698"</f>
        <v>525698</v>
      </c>
      <c r="C13921" s="19" t="s">
        <v>3659</v>
      </c>
      <c r="D13921" s="19" t="s">
        <v>29318</v>
      </c>
      <c r="E13921" s="19" t="s">
        <v>35568</v>
      </c>
      <c r="F13921" s="19" t="s">
        <v>36024</v>
      </c>
      <c r="G13921" s="18" t="str">
        <f>"54983"</f>
        <v>54983</v>
      </c>
      <c r="H13921" s="19" t="s">
        <v>35580</v>
      </c>
      <c r="I13921" s="20">
        <v>18.207000000000001</v>
      </c>
      <c r="J13921" s="44" t="s">
        <v>8</v>
      </c>
      <c r="K13921" s="23" t="s">
        <v>8</v>
      </c>
      <c r="L13921" s="23" t="s">
        <v>8</v>
      </c>
      <c r="M13921" s="23" t="s">
        <v>8</v>
      </c>
    </row>
    <row r="13922" spans="1:13" s="21" customFormat="1" x14ac:dyDescent="0.25">
      <c r="A13922" s="22" t="s">
        <v>8</v>
      </c>
      <c r="B13922" s="18" t="str">
        <f>"525699"</f>
        <v>525699</v>
      </c>
      <c r="C13922" s="19" t="s">
        <v>13669</v>
      </c>
      <c r="D13922" s="19" t="s">
        <v>29319</v>
      </c>
      <c r="E13922" s="19" t="s">
        <v>33099</v>
      </c>
      <c r="F13922" s="19" t="s">
        <v>36024</v>
      </c>
      <c r="G13922" s="18" t="str">
        <f>"54476"</f>
        <v>54476</v>
      </c>
      <c r="H13922" s="19" t="s">
        <v>36926</v>
      </c>
      <c r="I13922" s="20">
        <v>20.234999999999999</v>
      </c>
      <c r="J13922" s="44" t="s">
        <v>8</v>
      </c>
      <c r="K13922" s="23" t="s">
        <v>8</v>
      </c>
      <c r="L13922" s="23" t="s">
        <v>8</v>
      </c>
      <c r="M13922" s="23" t="s">
        <v>8</v>
      </c>
    </row>
    <row r="13923" spans="1:13" s="21" customFormat="1" x14ac:dyDescent="0.25">
      <c r="A13923" s="22" t="s">
        <v>8</v>
      </c>
      <c r="B13923" s="18" t="str">
        <f>"525700"</f>
        <v>525700</v>
      </c>
      <c r="C13923" s="19" t="s">
        <v>13670</v>
      </c>
      <c r="D13923" s="19" t="s">
        <v>29320</v>
      </c>
      <c r="E13923" s="19" t="s">
        <v>32105</v>
      </c>
      <c r="F13923" s="19" t="s">
        <v>36024</v>
      </c>
      <c r="G13923" s="18" t="str">
        <f>"53005"</f>
        <v>53005</v>
      </c>
      <c r="H13923" s="19" t="s">
        <v>35561</v>
      </c>
      <c r="I13923" s="20">
        <v>16.542000000000002</v>
      </c>
      <c r="J13923" s="44" t="s">
        <v>8</v>
      </c>
      <c r="K13923" s="23" t="s">
        <v>8</v>
      </c>
      <c r="L13923" s="23" t="s">
        <v>8</v>
      </c>
      <c r="M13923" s="23" t="s">
        <v>8</v>
      </c>
    </row>
    <row r="13924" spans="1:13" s="21" customFormat="1" x14ac:dyDescent="0.25">
      <c r="A13924" s="22" t="s">
        <v>8</v>
      </c>
      <c r="B13924" s="18" t="str">
        <f>"525701"</f>
        <v>525701</v>
      </c>
      <c r="C13924" s="19" t="s">
        <v>13671</v>
      </c>
      <c r="D13924" s="19" t="s">
        <v>29321</v>
      </c>
      <c r="E13924" s="19" t="s">
        <v>35589</v>
      </c>
      <c r="F13924" s="19" t="s">
        <v>36024</v>
      </c>
      <c r="G13924" s="18" t="str">
        <f>"54701"</f>
        <v>54701</v>
      </c>
      <c r="H13924" s="19" t="s">
        <v>35589</v>
      </c>
      <c r="I13924" s="20">
        <v>18.859000000000002</v>
      </c>
      <c r="J13924" s="44" t="s">
        <v>8</v>
      </c>
      <c r="K13924" s="23" t="s">
        <v>8</v>
      </c>
      <c r="L13924" s="23" t="s">
        <v>8</v>
      </c>
      <c r="M13924" s="23" t="s">
        <v>8</v>
      </c>
    </row>
    <row r="13925" spans="1:13" s="21" customFormat="1" x14ac:dyDescent="0.25">
      <c r="A13925" s="22" t="s">
        <v>8</v>
      </c>
      <c r="B13925" s="18" t="str">
        <f>"525702"</f>
        <v>525702</v>
      </c>
      <c r="C13925" s="19" t="s">
        <v>13672</v>
      </c>
      <c r="D13925" s="19" t="s">
        <v>29322</v>
      </c>
      <c r="E13925" s="19" t="s">
        <v>35656</v>
      </c>
      <c r="F13925" s="19" t="s">
        <v>36024</v>
      </c>
      <c r="G13925" s="18" t="str">
        <f>"53066"</f>
        <v>53066</v>
      </c>
      <c r="H13925" s="19" t="s">
        <v>35561</v>
      </c>
      <c r="I13925" s="20">
        <v>19.911000000000001</v>
      </c>
      <c r="J13925" s="44" t="s">
        <v>8</v>
      </c>
      <c r="K13925" s="23" t="s">
        <v>8</v>
      </c>
      <c r="L13925" s="23" t="s">
        <v>8</v>
      </c>
      <c r="M13925" s="23" t="s">
        <v>8</v>
      </c>
    </row>
    <row r="13926" spans="1:13" s="21" customFormat="1" x14ac:dyDescent="0.25">
      <c r="A13926" s="22" t="s">
        <v>8</v>
      </c>
      <c r="B13926" s="18" t="str">
        <f>"525703"</f>
        <v>525703</v>
      </c>
      <c r="C13926" s="19" t="s">
        <v>13673</v>
      </c>
      <c r="D13926" s="19" t="s">
        <v>29323</v>
      </c>
      <c r="E13926" s="19" t="s">
        <v>33345</v>
      </c>
      <c r="F13926" s="19" t="s">
        <v>36024</v>
      </c>
      <c r="G13926" s="18" t="str">
        <f>"54913"</f>
        <v>54913</v>
      </c>
      <c r="H13926" s="19" t="s">
        <v>36927</v>
      </c>
      <c r="I13926" s="20">
        <v>18.425999999999998</v>
      </c>
      <c r="J13926" s="44" t="s">
        <v>8</v>
      </c>
      <c r="K13926" s="23" t="s">
        <v>8</v>
      </c>
      <c r="L13926" s="23" t="s">
        <v>8</v>
      </c>
      <c r="M13926" s="23" t="s">
        <v>8</v>
      </c>
    </row>
    <row r="13927" spans="1:13" s="21" customFormat="1" x14ac:dyDescent="0.25">
      <c r="A13927" s="22" t="s">
        <v>8</v>
      </c>
      <c r="B13927" s="18" t="str">
        <f>"525704"</f>
        <v>525704</v>
      </c>
      <c r="C13927" s="19" t="s">
        <v>13674</v>
      </c>
      <c r="D13927" s="19" t="s">
        <v>29324</v>
      </c>
      <c r="E13927" s="19" t="s">
        <v>35565</v>
      </c>
      <c r="F13927" s="19" t="s">
        <v>36024</v>
      </c>
      <c r="G13927" s="18" t="str">
        <f>"54904"</f>
        <v>54904</v>
      </c>
      <c r="H13927" s="19" t="s">
        <v>36233</v>
      </c>
      <c r="I13927" s="20">
        <v>18.093</v>
      </c>
      <c r="J13927" s="44" t="s">
        <v>8</v>
      </c>
      <c r="K13927" s="23" t="s">
        <v>8</v>
      </c>
      <c r="L13927" s="23" t="s">
        <v>8</v>
      </c>
      <c r="M13927" s="23" t="s">
        <v>8</v>
      </c>
    </row>
    <row r="13928" spans="1:13" s="21" customFormat="1" x14ac:dyDescent="0.25">
      <c r="A13928" s="22" t="s">
        <v>8</v>
      </c>
      <c r="B13928" s="18" t="str">
        <f>"525705"</f>
        <v>525705</v>
      </c>
      <c r="C13928" s="19" t="s">
        <v>13675</v>
      </c>
      <c r="D13928" s="19" t="s">
        <v>29325</v>
      </c>
      <c r="E13928" s="19" t="s">
        <v>35552</v>
      </c>
      <c r="F13928" s="19" t="s">
        <v>36024</v>
      </c>
      <c r="G13928" s="18" t="str">
        <f>"53225"</f>
        <v>53225</v>
      </c>
      <c r="H13928" s="19" t="s">
        <v>35552</v>
      </c>
      <c r="I13928" s="20">
        <v>17.100000000000001</v>
      </c>
      <c r="J13928" s="44" t="s">
        <v>8</v>
      </c>
      <c r="K13928" s="23" t="s">
        <v>8</v>
      </c>
      <c r="L13928" s="23" t="s">
        <v>8</v>
      </c>
      <c r="M13928" s="23" t="s">
        <v>8</v>
      </c>
    </row>
    <row r="13929" spans="1:13" s="21" customFormat="1" x14ac:dyDescent="0.25">
      <c r="A13929" s="22" t="s">
        <v>8</v>
      </c>
      <c r="B13929" s="18" t="str">
        <f>"525706"</f>
        <v>525706</v>
      </c>
      <c r="C13929" s="19" t="s">
        <v>13676</v>
      </c>
      <c r="D13929" s="19" t="s">
        <v>29326</v>
      </c>
      <c r="E13929" s="19" t="s">
        <v>31089</v>
      </c>
      <c r="F13929" s="19" t="s">
        <v>36024</v>
      </c>
      <c r="G13929" s="18" t="str">
        <f>"54020"</f>
        <v>54020</v>
      </c>
      <c r="H13929" s="19" t="s">
        <v>36062</v>
      </c>
      <c r="I13929" s="20">
        <v>21.172000000000001</v>
      </c>
      <c r="J13929" s="44" t="s">
        <v>8</v>
      </c>
      <c r="K13929" s="23" t="s">
        <v>8</v>
      </c>
      <c r="L13929" s="23" t="s">
        <v>8</v>
      </c>
      <c r="M13929" s="23" t="s">
        <v>8</v>
      </c>
    </row>
    <row r="13930" spans="1:13" s="21" customFormat="1" x14ac:dyDescent="0.25">
      <c r="A13930" s="22" t="s">
        <v>8</v>
      </c>
      <c r="B13930" s="18" t="str">
        <f>"525707"</f>
        <v>525707</v>
      </c>
      <c r="C13930" s="19" t="s">
        <v>13677</v>
      </c>
      <c r="D13930" s="19" t="s">
        <v>29327</v>
      </c>
      <c r="E13930" s="19" t="s">
        <v>35552</v>
      </c>
      <c r="F13930" s="19" t="s">
        <v>36024</v>
      </c>
      <c r="G13930" s="18" t="str">
        <f>"53225"</f>
        <v>53225</v>
      </c>
      <c r="H13930" s="19" t="s">
        <v>35552</v>
      </c>
      <c r="I13930" s="20">
        <v>19.719000000000001</v>
      </c>
      <c r="J13930" s="44" t="s">
        <v>8</v>
      </c>
      <c r="K13930" s="23" t="s">
        <v>8</v>
      </c>
      <c r="L13930" s="23" t="s">
        <v>8</v>
      </c>
      <c r="M13930" s="23" t="s">
        <v>8</v>
      </c>
    </row>
    <row r="13931" spans="1:13" s="21" customFormat="1" x14ac:dyDescent="0.25">
      <c r="A13931" s="22" t="s">
        <v>8</v>
      </c>
      <c r="B13931" s="18" t="str">
        <f>"525708"</f>
        <v>525708</v>
      </c>
      <c r="C13931" s="19" t="s">
        <v>13678</v>
      </c>
      <c r="D13931" s="19" t="s">
        <v>29328</v>
      </c>
      <c r="E13931" s="19" t="s">
        <v>35595</v>
      </c>
      <c r="F13931" s="19" t="s">
        <v>36024</v>
      </c>
      <c r="G13931" s="18" t="str">
        <f>"54729"</f>
        <v>54729</v>
      </c>
      <c r="H13931" s="19" t="s">
        <v>36439</v>
      </c>
      <c r="I13931" s="20">
        <v>18.303000000000001</v>
      </c>
      <c r="J13931" s="44" t="s">
        <v>8</v>
      </c>
      <c r="K13931" s="23" t="s">
        <v>8</v>
      </c>
      <c r="L13931" s="23" t="s">
        <v>8</v>
      </c>
      <c r="M13931" s="23" t="s">
        <v>8</v>
      </c>
    </row>
    <row r="13932" spans="1:13" s="21" customFormat="1" x14ac:dyDescent="0.25">
      <c r="A13932" s="22" t="s">
        <v>8</v>
      </c>
      <c r="B13932" s="18" t="str">
        <f>"525709"</f>
        <v>525709</v>
      </c>
      <c r="C13932" s="19" t="s">
        <v>13679</v>
      </c>
      <c r="D13932" s="19" t="s">
        <v>29329</v>
      </c>
      <c r="E13932" s="19" t="s">
        <v>35699</v>
      </c>
      <c r="F13932" s="19" t="s">
        <v>36024</v>
      </c>
      <c r="G13932" s="18" t="str">
        <f>"54758"</f>
        <v>54758</v>
      </c>
      <c r="H13932" s="19" t="s">
        <v>36937</v>
      </c>
      <c r="I13932" s="20">
        <v>20.92</v>
      </c>
      <c r="J13932" s="44" t="s">
        <v>8</v>
      </c>
      <c r="K13932" s="23" t="s">
        <v>8</v>
      </c>
      <c r="L13932" s="23" t="s">
        <v>8</v>
      </c>
      <c r="M13932" s="23" t="s">
        <v>8</v>
      </c>
    </row>
    <row r="13933" spans="1:13" s="21" customFormat="1" x14ac:dyDescent="0.25">
      <c r="A13933" s="22" t="s">
        <v>8</v>
      </c>
      <c r="B13933" s="18" t="str">
        <f>"525710"</f>
        <v>525710</v>
      </c>
      <c r="C13933" s="19" t="s">
        <v>13680</v>
      </c>
      <c r="D13933" s="19" t="s">
        <v>29231</v>
      </c>
      <c r="E13933" s="19" t="s">
        <v>35612</v>
      </c>
      <c r="F13933" s="19" t="s">
        <v>36024</v>
      </c>
      <c r="G13933" s="18" t="str">
        <f>"54848"</f>
        <v>54848</v>
      </c>
      <c r="H13933" s="19" t="s">
        <v>35296</v>
      </c>
      <c r="I13933" s="20">
        <v>18.635999999999999</v>
      </c>
      <c r="J13933" s="44" t="s">
        <v>8</v>
      </c>
      <c r="K13933" s="23" t="s">
        <v>8</v>
      </c>
      <c r="L13933" s="23" t="s">
        <v>8</v>
      </c>
      <c r="M13933" s="23" t="s">
        <v>8</v>
      </c>
    </row>
    <row r="13934" spans="1:13" s="21" customFormat="1" x14ac:dyDescent="0.25">
      <c r="A13934" s="22" t="s">
        <v>8</v>
      </c>
      <c r="B13934" s="18" t="str">
        <f>"525711"</f>
        <v>525711</v>
      </c>
      <c r="C13934" s="19" t="s">
        <v>13681</v>
      </c>
      <c r="D13934" s="19" t="s">
        <v>29330</v>
      </c>
      <c r="E13934" s="19" t="s">
        <v>33099</v>
      </c>
      <c r="F13934" s="19" t="s">
        <v>36024</v>
      </c>
      <c r="G13934" s="18" t="str">
        <f>"54476"</f>
        <v>54476</v>
      </c>
      <c r="H13934" s="19" t="s">
        <v>36926</v>
      </c>
      <c r="I13934" s="20">
        <v>18.959</v>
      </c>
      <c r="J13934" s="44" t="s">
        <v>8</v>
      </c>
      <c r="K13934" s="23" t="s">
        <v>8</v>
      </c>
      <c r="L13934" s="23" t="s">
        <v>8</v>
      </c>
      <c r="M13934" s="23" t="s">
        <v>8</v>
      </c>
    </row>
    <row r="13935" spans="1:13" s="21" customFormat="1" x14ac:dyDescent="0.25">
      <c r="A13935" s="22" t="s">
        <v>8</v>
      </c>
      <c r="B13935" s="18" t="str">
        <f>"525712"</f>
        <v>525712</v>
      </c>
      <c r="C13935" s="19" t="s">
        <v>13682</v>
      </c>
      <c r="D13935" s="19" t="s">
        <v>29331</v>
      </c>
      <c r="E13935" s="19" t="s">
        <v>32766</v>
      </c>
      <c r="F13935" s="19" t="s">
        <v>36024</v>
      </c>
      <c r="G13935" s="18" t="str">
        <f>"54829"</f>
        <v>54829</v>
      </c>
      <c r="H13935" s="19" t="s">
        <v>35681</v>
      </c>
      <c r="I13935" s="20">
        <v>19.452000000000002</v>
      </c>
      <c r="J13935" s="44" t="s">
        <v>8</v>
      </c>
      <c r="K13935" s="23" t="s">
        <v>8</v>
      </c>
      <c r="L13935" s="23" t="s">
        <v>8</v>
      </c>
      <c r="M13935" s="23" t="s">
        <v>8</v>
      </c>
    </row>
    <row r="13936" spans="1:13" s="21" customFormat="1" x14ac:dyDescent="0.25">
      <c r="A13936" s="22" t="s">
        <v>8</v>
      </c>
      <c r="B13936" s="18" t="str">
        <f>"525713"</f>
        <v>525713</v>
      </c>
      <c r="C13936" s="19" t="s">
        <v>13683</v>
      </c>
      <c r="D13936" s="19" t="s">
        <v>29332</v>
      </c>
      <c r="E13936" s="19" t="s">
        <v>35616</v>
      </c>
      <c r="F13936" s="19" t="s">
        <v>36024</v>
      </c>
      <c r="G13936" s="18" t="str">
        <f>"54751"</f>
        <v>54751</v>
      </c>
      <c r="H13936" s="19" t="s">
        <v>34314</v>
      </c>
      <c r="I13936" s="20">
        <v>18.361000000000001</v>
      </c>
      <c r="J13936" s="44" t="s">
        <v>8</v>
      </c>
      <c r="K13936" s="23" t="s">
        <v>8</v>
      </c>
      <c r="L13936" s="23" t="s">
        <v>8</v>
      </c>
      <c r="M13936" s="23" t="s">
        <v>8</v>
      </c>
    </row>
    <row r="13937" spans="1:13" s="21" customFormat="1" x14ac:dyDescent="0.25">
      <c r="A13937" s="22" t="s">
        <v>8</v>
      </c>
      <c r="B13937" s="18" t="str">
        <f>"525714"</f>
        <v>525714</v>
      </c>
      <c r="C13937" s="19" t="s">
        <v>13684</v>
      </c>
      <c r="D13937" s="19" t="s">
        <v>29333</v>
      </c>
      <c r="E13937" s="19" t="s">
        <v>35616</v>
      </c>
      <c r="F13937" s="19" t="s">
        <v>36024</v>
      </c>
      <c r="G13937" s="18" t="str">
        <f>"54751"</f>
        <v>54751</v>
      </c>
      <c r="H13937" s="19" t="s">
        <v>34314</v>
      </c>
      <c r="I13937" s="20">
        <v>18.106000000000002</v>
      </c>
      <c r="J13937" s="44" t="s">
        <v>8</v>
      </c>
      <c r="K13937" s="23" t="s">
        <v>8</v>
      </c>
      <c r="L13937" s="23" t="s">
        <v>8</v>
      </c>
      <c r="M13937" s="23" t="s">
        <v>8</v>
      </c>
    </row>
    <row r="13938" spans="1:13" s="21" customFormat="1" x14ac:dyDescent="0.25">
      <c r="A13938" s="22" t="s">
        <v>8</v>
      </c>
      <c r="B13938" s="18" t="str">
        <f>"525715"</f>
        <v>525715</v>
      </c>
      <c r="C13938" s="19" t="s">
        <v>13685</v>
      </c>
      <c r="D13938" s="19" t="s">
        <v>29334</v>
      </c>
      <c r="E13938" s="19" t="s">
        <v>35593</v>
      </c>
      <c r="F13938" s="19" t="s">
        <v>36024</v>
      </c>
      <c r="G13938" s="18" t="str">
        <f>"54868"</f>
        <v>54868</v>
      </c>
      <c r="H13938" s="19" t="s">
        <v>35681</v>
      </c>
      <c r="I13938" s="20">
        <v>19.212</v>
      </c>
      <c r="J13938" s="44" t="s">
        <v>8</v>
      </c>
      <c r="K13938" s="23" t="s">
        <v>8</v>
      </c>
      <c r="L13938" s="23" t="s">
        <v>8</v>
      </c>
      <c r="M13938" s="23" t="s">
        <v>8</v>
      </c>
    </row>
    <row r="13939" spans="1:13" s="21" customFormat="1" x14ac:dyDescent="0.25">
      <c r="A13939" s="22" t="s">
        <v>8</v>
      </c>
      <c r="B13939" s="18" t="str">
        <f>"525716"</f>
        <v>525716</v>
      </c>
      <c r="C13939" s="19" t="s">
        <v>13686</v>
      </c>
      <c r="D13939" s="19" t="s">
        <v>29335</v>
      </c>
      <c r="E13939" s="19" t="s">
        <v>34327</v>
      </c>
      <c r="F13939" s="19" t="s">
        <v>36024</v>
      </c>
      <c r="G13939" s="18" t="str">
        <f>"54946"</f>
        <v>54946</v>
      </c>
      <c r="H13939" s="19" t="s">
        <v>35580</v>
      </c>
      <c r="I13939" s="20">
        <v>16.870999999999999</v>
      </c>
      <c r="J13939" s="44" t="s">
        <v>8</v>
      </c>
      <c r="K13939" s="23" t="s">
        <v>8</v>
      </c>
      <c r="L13939" s="23" t="s">
        <v>8</v>
      </c>
      <c r="M13939" s="23" t="s">
        <v>8</v>
      </c>
    </row>
    <row r="13940" spans="1:13" s="21" customFormat="1" x14ac:dyDescent="0.25">
      <c r="A13940" s="22" t="s">
        <v>8</v>
      </c>
      <c r="B13940" s="18" t="str">
        <f>"525717"</f>
        <v>525717</v>
      </c>
      <c r="C13940" s="19" t="s">
        <v>13687</v>
      </c>
      <c r="D13940" s="19" t="s">
        <v>29335</v>
      </c>
      <c r="E13940" s="19" t="s">
        <v>34327</v>
      </c>
      <c r="F13940" s="19" t="s">
        <v>36024</v>
      </c>
      <c r="G13940" s="18" t="str">
        <f>"54946"</f>
        <v>54946</v>
      </c>
      <c r="H13940" s="19" t="s">
        <v>35580</v>
      </c>
      <c r="I13940" s="20">
        <v>18.632999999999999</v>
      </c>
      <c r="J13940" s="44" t="s">
        <v>8</v>
      </c>
      <c r="K13940" s="23" t="s">
        <v>8</v>
      </c>
      <c r="L13940" s="23" t="s">
        <v>8</v>
      </c>
      <c r="M13940" s="23" t="s">
        <v>8</v>
      </c>
    </row>
    <row r="13941" spans="1:13" s="21" customFormat="1" x14ac:dyDescent="0.25">
      <c r="A13941" s="22" t="s">
        <v>8</v>
      </c>
      <c r="B13941" s="18" t="str">
        <f>"525718"</f>
        <v>525718</v>
      </c>
      <c r="C13941" s="19" t="s">
        <v>13688</v>
      </c>
      <c r="D13941" s="19" t="s">
        <v>29335</v>
      </c>
      <c r="E13941" s="19" t="s">
        <v>34327</v>
      </c>
      <c r="F13941" s="19" t="s">
        <v>36024</v>
      </c>
      <c r="G13941" s="18" t="str">
        <f>"54946"</f>
        <v>54946</v>
      </c>
      <c r="H13941" s="19" t="s">
        <v>35580</v>
      </c>
      <c r="I13941" s="20">
        <v>19.678999999999998</v>
      </c>
      <c r="J13941" s="44" t="s">
        <v>8</v>
      </c>
      <c r="K13941" s="23" t="s">
        <v>8</v>
      </c>
      <c r="L13941" s="23" t="s">
        <v>8</v>
      </c>
      <c r="M13941" s="23" t="s">
        <v>8</v>
      </c>
    </row>
    <row r="13942" spans="1:13" s="21" customFormat="1" x14ac:dyDescent="0.25">
      <c r="A13942" s="22" t="s">
        <v>8</v>
      </c>
      <c r="B13942" s="18" t="str">
        <f>"525719"</f>
        <v>525719</v>
      </c>
      <c r="C13942" s="19" t="s">
        <v>13689</v>
      </c>
      <c r="D13942" s="19" t="s">
        <v>29335</v>
      </c>
      <c r="E13942" s="19" t="s">
        <v>34327</v>
      </c>
      <c r="F13942" s="19" t="s">
        <v>36024</v>
      </c>
      <c r="G13942" s="18" t="str">
        <f>"54946"</f>
        <v>54946</v>
      </c>
      <c r="H13942" s="19" t="s">
        <v>35580</v>
      </c>
      <c r="I13942" s="20">
        <v>19.036000000000001</v>
      </c>
      <c r="J13942" s="44" t="s">
        <v>8</v>
      </c>
      <c r="K13942" s="23" t="s">
        <v>8</v>
      </c>
      <c r="L13942" s="23" t="s">
        <v>8</v>
      </c>
      <c r="M13942" s="23" t="s">
        <v>8</v>
      </c>
    </row>
    <row r="13943" spans="1:13" s="21" customFormat="1" x14ac:dyDescent="0.25">
      <c r="A13943" s="22" t="s">
        <v>8</v>
      </c>
      <c r="B13943" s="18" t="s">
        <v>15438</v>
      </c>
      <c r="C13943" s="19" t="s">
        <v>13690</v>
      </c>
      <c r="D13943" s="19" t="s">
        <v>29336</v>
      </c>
      <c r="E13943" s="19" t="s">
        <v>31039</v>
      </c>
      <c r="F13943" s="19" t="s">
        <v>36025</v>
      </c>
      <c r="G13943" s="18" t="str">
        <f>"82801"</f>
        <v>82801</v>
      </c>
      <c r="H13943" s="19" t="s">
        <v>31039</v>
      </c>
      <c r="I13943" s="20">
        <v>16.074999999999999</v>
      </c>
      <c r="J13943" s="44" t="s">
        <v>8</v>
      </c>
      <c r="K13943" s="23" t="s">
        <v>8</v>
      </c>
      <c r="L13943" s="23" t="s">
        <v>8</v>
      </c>
      <c r="M13943" s="23" t="s">
        <v>8</v>
      </c>
    </row>
    <row r="13944" spans="1:13" s="21" customFormat="1" x14ac:dyDescent="0.25">
      <c r="A13944" s="22" t="s">
        <v>8</v>
      </c>
      <c r="B13944" s="18" t="s">
        <v>15439</v>
      </c>
      <c r="C13944" s="19" t="s">
        <v>13691</v>
      </c>
      <c r="D13944" s="19" t="s">
        <v>29337</v>
      </c>
      <c r="E13944" s="19" t="s">
        <v>30816</v>
      </c>
      <c r="F13944" s="19" t="s">
        <v>36025</v>
      </c>
      <c r="G13944" s="18" t="str">
        <f>"83001"</f>
        <v>83001</v>
      </c>
      <c r="H13944" s="19" t="s">
        <v>36938</v>
      </c>
      <c r="I13944" s="20">
        <v>19.157</v>
      </c>
      <c r="J13944" s="44" t="s">
        <v>8</v>
      </c>
      <c r="K13944" s="23" t="s">
        <v>8</v>
      </c>
      <c r="L13944" s="23" t="s">
        <v>8</v>
      </c>
      <c r="M13944" s="23" t="s">
        <v>8</v>
      </c>
    </row>
    <row r="13945" spans="1:13" s="21" customFormat="1" x14ac:dyDescent="0.25">
      <c r="A13945" s="22" t="s">
        <v>8</v>
      </c>
      <c r="B13945" s="18" t="s">
        <v>15440</v>
      </c>
      <c r="C13945" s="19" t="s">
        <v>13692</v>
      </c>
      <c r="D13945" s="19" t="s">
        <v>29338</v>
      </c>
      <c r="E13945" s="19" t="s">
        <v>35700</v>
      </c>
      <c r="F13945" s="19" t="s">
        <v>36025</v>
      </c>
      <c r="G13945" s="18" t="str">
        <f>"82072"</f>
        <v>82072</v>
      </c>
      <c r="H13945" s="19" t="s">
        <v>31834</v>
      </c>
      <c r="I13945" s="20">
        <v>19.276</v>
      </c>
      <c r="J13945" s="44" t="s">
        <v>8</v>
      </c>
      <c r="K13945" s="23" t="s">
        <v>8</v>
      </c>
      <c r="L13945" s="23" t="s">
        <v>8</v>
      </c>
      <c r="M13945" s="23" t="s">
        <v>8</v>
      </c>
    </row>
    <row r="13946" spans="1:13" s="21" customFormat="1" x14ac:dyDescent="0.25">
      <c r="A13946" s="22" t="s">
        <v>8</v>
      </c>
      <c r="B13946" s="18" t="str">
        <f>"535013"</f>
        <v>535013</v>
      </c>
      <c r="C13946" s="19" t="s">
        <v>13693</v>
      </c>
      <c r="D13946" s="19" t="s">
        <v>29339</v>
      </c>
      <c r="E13946" s="19" t="s">
        <v>35701</v>
      </c>
      <c r="F13946" s="19" t="s">
        <v>36025</v>
      </c>
      <c r="G13946" s="18" t="str">
        <f>"82001"</f>
        <v>82001</v>
      </c>
      <c r="H13946" s="19" t="s">
        <v>35700</v>
      </c>
      <c r="I13946" s="20">
        <v>20.692</v>
      </c>
      <c r="J13946" s="44" t="s">
        <v>8</v>
      </c>
      <c r="K13946" s="23" t="s">
        <v>8</v>
      </c>
      <c r="L13946" s="23" t="s">
        <v>8</v>
      </c>
      <c r="M13946" s="23" t="s">
        <v>8</v>
      </c>
    </row>
    <row r="13947" spans="1:13" s="21" customFormat="1" x14ac:dyDescent="0.25">
      <c r="A13947" s="22" t="s">
        <v>8</v>
      </c>
      <c r="B13947" s="18" t="str">
        <f>"535017"</f>
        <v>535017</v>
      </c>
      <c r="C13947" s="19" t="s">
        <v>13694</v>
      </c>
      <c r="D13947" s="19" t="s">
        <v>29340</v>
      </c>
      <c r="E13947" s="19" t="s">
        <v>35702</v>
      </c>
      <c r="F13947" s="19" t="s">
        <v>36025</v>
      </c>
      <c r="G13947" s="18" t="str">
        <f>"82941"</f>
        <v>82941</v>
      </c>
      <c r="H13947" s="19" t="s">
        <v>36939</v>
      </c>
      <c r="I13947" s="20">
        <v>17.346</v>
      </c>
      <c r="J13947" s="44" t="s">
        <v>8</v>
      </c>
      <c r="K13947" s="23" t="s">
        <v>8</v>
      </c>
      <c r="L13947" s="23" t="s">
        <v>8</v>
      </c>
      <c r="M13947" s="23" t="s">
        <v>8</v>
      </c>
    </row>
    <row r="13948" spans="1:13" s="21" customFormat="1" x14ac:dyDescent="0.25">
      <c r="A13948" s="22" t="s">
        <v>8</v>
      </c>
      <c r="B13948" s="18" t="str">
        <f>"535021"</f>
        <v>535021</v>
      </c>
      <c r="C13948" s="19" t="s">
        <v>13695</v>
      </c>
      <c r="D13948" s="19" t="s">
        <v>29341</v>
      </c>
      <c r="E13948" s="19" t="s">
        <v>35703</v>
      </c>
      <c r="F13948" s="19" t="s">
        <v>36025</v>
      </c>
      <c r="G13948" s="18" t="str">
        <f>"82410"</f>
        <v>82410</v>
      </c>
      <c r="H13948" s="19" t="s">
        <v>36940</v>
      </c>
      <c r="I13948" s="20">
        <v>17.664000000000001</v>
      </c>
      <c r="J13948" s="44" t="s">
        <v>8</v>
      </c>
      <c r="K13948" s="23" t="s">
        <v>8</v>
      </c>
      <c r="L13948" s="23" t="s">
        <v>8</v>
      </c>
      <c r="M13948" s="23" t="s">
        <v>8</v>
      </c>
    </row>
    <row r="13949" spans="1:13" s="21" customFormat="1" x14ac:dyDescent="0.25">
      <c r="A13949" s="22" t="s">
        <v>8</v>
      </c>
      <c r="B13949" s="18" t="str">
        <f>"535022"</f>
        <v>535022</v>
      </c>
      <c r="C13949" s="19" t="s">
        <v>7829</v>
      </c>
      <c r="D13949" s="19" t="s">
        <v>29342</v>
      </c>
      <c r="E13949" s="19" t="s">
        <v>35704</v>
      </c>
      <c r="F13949" s="19" t="s">
        <v>36025</v>
      </c>
      <c r="G13949" s="18" t="str">
        <f>"82716"</f>
        <v>82716</v>
      </c>
      <c r="H13949" s="19" t="s">
        <v>33699</v>
      </c>
      <c r="I13949" s="20">
        <v>18.238</v>
      </c>
      <c r="J13949" s="44" t="s">
        <v>8</v>
      </c>
      <c r="K13949" s="23" t="s">
        <v>8</v>
      </c>
      <c r="L13949" s="23" t="s">
        <v>8</v>
      </c>
      <c r="M13949" s="23" t="s">
        <v>8</v>
      </c>
    </row>
    <row r="13950" spans="1:13" s="21" customFormat="1" x14ac:dyDescent="0.25">
      <c r="A13950" s="22" t="s">
        <v>8</v>
      </c>
      <c r="B13950" s="18" t="str">
        <f>"535024"</f>
        <v>535024</v>
      </c>
      <c r="C13950" s="19" t="s">
        <v>13696</v>
      </c>
      <c r="D13950" s="19" t="s">
        <v>29343</v>
      </c>
      <c r="E13950" s="19" t="s">
        <v>35705</v>
      </c>
      <c r="F13950" s="19" t="s">
        <v>36025</v>
      </c>
      <c r="G13950" s="18" t="str">
        <f>"82601"</f>
        <v>82601</v>
      </c>
      <c r="H13950" s="19" t="s">
        <v>36941</v>
      </c>
      <c r="I13950" s="20">
        <v>16.539000000000001</v>
      </c>
      <c r="J13950" s="44" t="s">
        <v>8</v>
      </c>
      <c r="K13950" s="23" t="s">
        <v>8</v>
      </c>
      <c r="L13950" s="23" t="s">
        <v>8</v>
      </c>
      <c r="M13950" s="23" t="s">
        <v>8</v>
      </c>
    </row>
    <row r="13951" spans="1:13" s="21" customFormat="1" x14ac:dyDescent="0.25">
      <c r="A13951" s="22" t="s">
        <v>8</v>
      </c>
      <c r="B13951" s="18" t="str">
        <f>"535025"</f>
        <v>535025</v>
      </c>
      <c r="C13951" s="19" t="s">
        <v>13697</v>
      </c>
      <c r="D13951" s="19" t="s">
        <v>29344</v>
      </c>
      <c r="E13951" s="19" t="s">
        <v>35701</v>
      </c>
      <c r="F13951" s="19" t="s">
        <v>36025</v>
      </c>
      <c r="G13951" s="18" t="str">
        <f>"82001"</f>
        <v>82001</v>
      </c>
      <c r="H13951" s="19" t="s">
        <v>35700</v>
      </c>
      <c r="I13951" s="20">
        <v>17.695</v>
      </c>
      <c r="J13951" s="44" t="s">
        <v>8</v>
      </c>
      <c r="K13951" s="23" t="s">
        <v>8</v>
      </c>
      <c r="L13951" s="23" t="s">
        <v>8</v>
      </c>
      <c r="M13951" s="23" t="s">
        <v>8</v>
      </c>
    </row>
    <row r="13952" spans="1:13" s="21" customFormat="1" x14ac:dyDescent="0.25">
      <c r="A13952" s="22" t="s">
        <v>8</v>
      </c>
      <c r="B13952" s="18" t="str">
        <f>"535026"</f>
        <v>535026</v>
      </c>
      <c r="C13952" s="19" t="s">
        <v>13698</v>
      </c>
      <c r="D13952" s="19" t="s">
        <v>29345</v>
      </c>
      <c r="E13952" s="19" t="s">
        <v>31039</v>
      </c>
      <c r="F13952" s="19" t="s">
        <v>36025</v>
      </c>
      <c r="G13952" s="18" t="str">
        <f>"82801"</f>
        <v>82801</v>
      </c>
      <c r="H13952" s="19" t="s">
        <v>31039</v>
      </c>
      <c r="I13952" s="20">
        <v>19.201000000000001</v>
      </c>
      <c r="J13952" s="44" t="s">
        <v>8</v>
      </c>
      <c r="K13952" s="23" t="s">
        <v>8</v>
      </c>
      <c r="L13952" s="23" t="s">
        <v>8</v>
      </c>
      <c r="M13952" s="23" t="s">
        <v>8</v>
      </c>
    </row>
    <row r="13953" spans="1:13" s="21" customFormat="1" x14ac:dyDescent="0.25">
      <c r="A13953" s="22" t="s">
        <v>8</v>
      </c>
      <c r="B13953" s="18" t="str">
        <f>"535027"</f>
        <v>535027</v>
      </c>
      <c r="C13953" s="19" t="s">
        <v>13699</v>
      </c>
      <c r="D13953" s="19" t="s">
        <v>29346</v>
      </c>
      <c r="E13953" s="19" t="s">
        <v>35706</v>
      </c>
      <c r="F13953" s="19" t="s">
        <v>36025</v>
      </c>
      <c r="G13953" s="18" t="str">
        <f>"82414"</f>
        <v>82414</v>
      </c>
      <c r="H13953" s="19" t="s">
        <v>36537</v>
      </c>
      <c r="I13953" s="20">
        <v>17.05</v>
      </c>
      <c r="J13953" s="44" t="s">
        <v>8</v>
      </c>
      <c r="K13953" s="23" t="s">
        <v>8</v>
      </c>
      <c r="L13953" s="23" t="s">
        <v>8</v>
      </c>
      <c r="M13953" s="23" t="s">
        <v>8</v>
      </c>
    </row>
    <row r="13954" spans="1:13" s="21" customFormat="1" x14ac:dyDescent="0.25">
      <c r="A13954" s="22" t="s">
        <v>8</v>
      </c>
      <c r="B13954" s="18" t="str">
        <f>"535031"</f>
        <v>535031</v>
      </c>
      <c r="C13954" s="19" t="s">
        <v>13700</v>
      </c>
      <c r="D13954" s="19" t="s">
        <v>29347</v>
      </c>
      <c r="E13954" s="19" t="s">
        <v>33993</v>
      </c>
      <c r="F13954" s="19" t="s">
        <v>36025</v>
      </c>
      <c r="G13954" s="18" t="str">
        <f>"82501"</f>
        <v>82501</v>
      </c>
      <c r="H13954" s="19" t="s">
        <v>31175</v>
      </c>
      <c r="I13954" s="20">
        <v>18.385000000000002</v>
      </c>
      <c r="J13954" s="44" t="s">
        <v>8</v>
      </c>
      <c r="K13954" s="23" t="s">
        <v>8</v>
      </c>
      <c r="L13954" s="23" t="s">
        <v>8</v>
      </c>
      <c r="M13954" s="23" t="s">
        <v>8</v>
      </c>
    </row>
    <row r="13955" spans="1:13" s="21" customFormat="1" x14ac:dyDescent="0.25">
      <c r="A13955" s="22" t="s">
        <v>8</v>
      </c>
      <c r="B13955" s="18" t="str">
        <f>"535032"</f>
        <v>535032</v>
      </c>
      <c r="C13955" s="19" t="s">
        <v>13701</v>
      </c>
      <c r="D13955" s="19" t="s">
        <v>29348</v>
      </c>
      <c r="E13955" s="19" t="s">
        <v>35701</v>
      </c>
      <c r="F13955" s="19" t="s">
        <v>36025</v>
      </c>
      <c r="G13955" s="18" t="str">
        <f>"82009"</f>
        <v>82009</v>
      </c>
      <c r="H13955" s="19" t="s">
        <v>35700</v>
      </c>
      <c r="I13955" s="20">
        <v>19.503</v>
      </c>
      <c r="J13955" s="44" t="s">
        <v>8</v>
      </c>
      <c r="K13955" s="23" t="s">
        <v>8</v>
      </c>
      <c r="L13955" s="23" t="s">
        <v>8</v>
      </c>
      <c r="M13955" s="23" t="s">
        <v>8</v>
      </c>
    </row>
    <row r="13956" spans="1:13" s="21" customFormat="1" x14ac:dyDescent="0.25">
      <c r="A13956" s="22" t="s">
        <v>8</v>
      </c>
      <c r="B13956" s="18" t="str">
        <f>"535033"</f>
        <v>535033</v>
      </c>
      <c r="C13956" s="19" t="s">
        <v>13702</v>
      </c>
      <c r="D13956" s="19" t="s">
        <v>29349</v>
      </c>
      <c r="E13956" s="19" t="s">
        <v>35707</v>
      </c>
      <c r="F13956" s="19" t="s">
        <v>36025</v>
      </c>
      <c r="G13956" s="18" t="str">
        <f>"82935"</f>
        <v>82935</v>
      </c>
      <c r="H13956" s="19" t="s">
        <v>35184</v>
      </c>
      <c r="I13956" s="20">
        <v>14.688000000000001</v>
      </c>
      <c r="J13956" s="44" t="s">
        <v>8</v>
      </c>
      <c r="K13956" s="23" t="s">
        <v>8</v>
      </c>
      <c r="L13956" s="23" t="s">
        <v>8</v>
      </c>
      <c r="M13956" s="23" t="s">
        <v>8</v>
      </c>
    </row>
    <row r="13957" spans="1:13" s="21" customFormat="1" x14ac:dyDescent="0.25">
      <c r="A13957" s="22" t="s">
        <v>8</v>
      </c>
      <c r="B13957" s="18" t="str">
        <f>"535034"</f>
        <v>535034</v>
      </c>
      <c r="C13957" s="19" t="s">
        <v>13703</v>
      </c>
      <c r="D13957" s="19" t="s">
        <v>29350</v>
      </c>
      <c r="E13957" s="19" t="s">
        <v>35708</v>
      </c>
      <c r="F13957" s="19" t="s">
        <v>36025</v>
      </c>
      <c r="G13957" s="18" t="str">
        <f>"82520"</f>
        <v>82520</v>
      </c>
      <c r="H13957" s="19" t="s">
        <v>31175</v>
      </c>
      <c r="I13957" s="20">
        <v>18.152000000000001</v>
      </c>
      <c r="J13957" s="44" t="s">
        <v>8</v>
      </c>
      <c r="K13957" s="23" t="s">
        <v>8</v>
      </c>
      <c r="L13957" s="23" t="s">
        <v>8</v>
      </c>
      <c r="M13957" s="23" t="s">
        <v>8</v>
      </c>
    </row>
    <row r="13958" spans="1:13" s="21" customFormat="1" x14ac:dyDescent="0.25">
      <c r="A13958" s="22" t="s">
        <v>8</v>
      </c>
      <c r="B13958" s="18" t="str">
        <f>"535035"</f>
        <v>535035</v>
      </c>
      <c r="C13958" s="19" t="s">
        <v>13704</v>
      </c>
      <c r="D13958" s="19" t="s">
        <v>29351</v>
      </c>
      <c r="E13958" s="19" t="s">
        <v>35700</v>
      </c>
      <c r="F13958" s="19" t="s">
        <v>36025</v>
      </c>
      <c r="G13958" s="18" t="str">
        <f>"82072"</f>
        <v>82072</v>
      </c>
      <c r="H13958" s="19" t="s">
        <v>31834</v>
      </c>
      <c r="I13958" s="20">
        <v>18.562000000000001</v>
      </c>
      <c r="J13958" s="44" t="s">
        <v>8</v>
      </c>
      <c r="K13958" s="23" t="s">
        <v>8</v>
      </c>
      <c r="L13958" s="23" t="s">
        <v>8</v>
      </c>
      <c r="M13958" s="23" t="s">
        <v>8</v>
      </c>
    </row>
    <row r="13959" spans="1:13" s="21" customFormat="1" x14ac:dyDescent="0.25">
      <c r="A13959" s="22" t="s">
        <v>8</v>
      </c>
      <c r="B13959" s="18" t="str">
        <f>"535036"</f>
        <v>535036</v>
      </c>
      <c r="C13959" s="19" t="s">
        <v>13705</v>
      </c>
      <c r="D13959" s="19" t="s">
        <v>29352</v>
      </c>
      <c r="E13959" s="19" t="s">
        <v>35709</v>
      </c>
      <c r="F13959" s="19" t="s">
        <v>36025</v>
      </c>
      <c r="G13959" s="18" t="str">
        <f>"82301"</f>
        <v>82301</v>
      </c>
      <c r="H13959" s="19" t="s">
        <v>36538</v>
      </c>
      <c r="I13959" s="20">
        <v>18.898</v>
      </c>
      <c r="J13959" s="44" t="s">
        <v>8</v>
      </c>
      <c r="K13959" s="23" t="s">
        <v>8</v>
      </c>
      <c r="L13959" s="23" t="s">
        <v>8</v>
      </c>
      <c r="M13959" s="23" t="s">
        <v>8</v>
      </c>
    </row>
    <row r="13960" spans="1:13" s="21" customFormat="1" x14ac:dyDescent="0.25">
      <c r="A13960" s="22" t="s">
        <v>8</v>
      </c>
      <c r="B13960" s="18" t="str">
        <f>"535037"</f>
        <v>535037</v>
      </c>
      <c r="C13960" s="19" t="s">
        <v>13706</v>
      </c>
      <c r="D13960" s="19" t="s">
        <v>29353</v>
      </c>
      <c r="E13960" s="19" t="s">
        <v>35710</v>
      </c>
      <c r="F13960" s="19" t="s">
        <v>36025</v>
      </c>
      <c r="G13960" s="18" t="str">
        <f>"82901"</f>
        <v>82901</v>
      </c>
      <c r="H13960" s="19" t="s">
        <v>35184</v>
      </c>
      <c r="I13960" s="20">
        <v>19.298999999999999</v>
      </c>
      <c r="J13960" s="44" t="s">
        <v>8</v>
      </c>
      <c r="K13960" s="23" t="s">
        <v>8</v>
      </c>
      <c r="L13960" s="23" t="s">
        <v>8</v>
      </c>
      <c r="M13960" s="23" t="s">
        <v>8</v>
      </c>
    </row>
    <row r="13961" spans="1:13" s="21" customFormat="1" x14ac:dyDescent="0.25">
      <c r="A13961" s="22" t="s">
        <v>8</v>
      </c>
      <c r="B13961" s="18" t="str">
        <f>"535038"</f>
        <v>535038</v>
      </c>
      <c r="C13961" s="19" t="s">
        <v>13707</v>
      </c>
      <c r="D13961" s="19" t="s">
        <v>29354</v>
      </c>
      <c r="E13961" s="19" t="s">
        <v>31917</v>
      </c>
      <c r="F13961" s="19" t="s">
        <v>36025</v>
      </c>
      <c r="G13961" s="18" t="str">
        <f>"82930"</f>
        <v>82930</v>
      </c>
      <c r="H13961" s="19" t="s">
        <v>36942</v>
      </c>
      <c r="I13961" s="20">
        <v>18.733000000000001</v>
      </c>
      <c r="J13961" s="44" t="s">
        <v>8</v>
      </c>
      <c r="K13961" s="23" t="s">
        <v>8</v>
      </c>
      <c r="L13961" s="23" t="s">
        <v>8</v>
      </c>
      <c r="M13961" s="23" t="s">
        <v>8</v>
      </c>
    </row>
    <row r="13962" spans="1:13" s="21" customFormat="1" x14ac:dyDescent="0.25">
      <c r="A13962" s="22" t="s">
        <v>8</v>
      </c>
      <c r="B13962" s="18" t="str">
        <f>"535039"</f>
        <v>535039</v>
      </c>
      <c r="C13962" s="19" t="s">
        <v>13708</v>
      </c>
      <c r="D13962" s="19" t="s">
        <v>29355</v>
      </c>
      <c r="E13962" s="19" t="s">
        <v>31039</v>
      </c>
      <c r="F13962" s="19" t="s">
        <v>36025</v>
      </c>
      <c r="G13962" s="18" t="str">
        <f>"82801"</f>
        <v>82801</v>
      </c>
      <c r="H13962" s="19" t="s">
        <v>31039</v>
      </c>
      <c r="I13962" s="20">
        <v>18.289000000000001</v>
      </c>
      <c r="J13962" s="44" t="s">
        <v>8</v>
      </c>
      <c r="K13962" s="23" t="s">
        <v>8</v>
      </c>
      <c r="L13962" s="23" t="s">
        <v>8</v>
      </c>
      <c r="M13962" s="23" t="s">
        <v>8</v>
      </c>
    </row>
    <row r="13963" spans="1:13" s="21" customFormat="1" x14ac:dyDescent="0.25">
      <c r="A13963" s="22" t="s">
        <v>8</v>
      </c>
      <c r="B13963" s="18" t="str">
        <f>"535040"</f>
        <v>535040</v>
      </c>
      <c r="C13963" s="19" t="s">
        <v>13709</v>
      </c>
      <c r="D13963" s="19" t="s">
        <v>29356</v>
      </c>
      <c r="E13963" s="19" t="s">
        <v>30966</v>
      </c>
      <c r="F13963" s="19" t="s">
        <v>36025</v>
      </c>
      <c r="G13963" s="18" t="str">
        <f>"82633"</f>
        <v>82633</v>
      </c>
      <c r="H13963" s="19" t="s">
        <v>35856</v>
      </c>
      <c r="I13963" s="20">
        <v>19.768000000000001</v>
      </c>
      <c r="J13963" s="44" t="s">
        <v>8</v>
      </c>
      <c r="K13963" s="23" t="s">
        <v>8</v>
      </c>
      <c r="L13963" s="23" t="s">
        <v>8</v>
      </c>
      <c r="M13963" s="23" t="s">
        <v>8</v>
      </c>
    </row>
    <row r="13964" spans="1:13" s="21" customFormat="1" x14ac:dyDescent="0.25">
      <c r="A13964" s="22" t="s">
        <v>8</v>
      </c>
      <c r="B13964" s="18" t="str">
        <f>"535042"</f>
        <v>535042</v>
      </c>
      <c r="C13964" s="19" t="s">
        <v>13710</v>
      </c>
      <c r="D13964" s="19" t="s">
        <v>29357</v>
      </c>
      <c r="E13964" s="19" t="s">
        <v>35705</v>
      </c>
      <c r="F13964" s="19" t="s">
        <v>36025</v>
      </c>
      <c r="G13964" s="18" t="str">
        <f>"82604"</f>
        <v>82604</v>
      </c>
      <c r="H13964" s="19" t="s">
        <v>36941</v>
      </c>
      <c r="I13964" s="20">
        <v>20.135000000000002</v>
      </c>
      <c r="J13964" s="44" t="s">
        <v>8</v>
      </c>
      <c r="K13964" s="23" t="s">
        <v>8</v>
      </c>
      <c r="L13964" s="23" t="s">
        <v>8</v>
      </c>
      <c r="M13964" s="23" t="s">
        <v>8</v>
      </c>
    </row>
    <row r="13965" spans="1:13" s="21" customFormat="1" x14ac:dyDescent="0.25">
      <c r="A13965" s="22" t="s">
        <v>8</v>
      </c>
      <c r="B13965" s="18" t="str">
        <f>"535043"</f>
        <v>535043</v>
      </c>
      <c r="C13965" s="19" t="s">
        <v>13711</v>
      </c>
      <c r="D13965" s="19" t="s">
        <v>29358</v>
      </c>
      <c r="E13965" s="19" t="s">
        <v>35700</v>
      </c>
      <c r="F13965" s="19" t="s">
        <v>36025</v>
      </c>
      <c r="G13965" s="18" t="str">
        <f>"82070"</f>
        <v>82070</v>
      </c>
      <c r="H13965" s="19" t="s">
        <v>31834</v>
      </c>
      <c r="I13965" s="20">
        <v>19.317</v>
      </c>
      <c r="J13965" s="44" t="s">
        <v>8</v>
      </c>
      <c r="K13965" s="23" t="s">
        <v>8</v>
      </c>
      <c r="L13965" s="23" t="s">
        <v>8</v>
      </c>
      <c r="M13965" s="23" t="s">
        <v>8</v>
      </c>
    </row>
    <row r="13966" spans="1:13" s="21" customFormat="1" x14ac:dyDescent="0.25">
      <c r="A13966" s="22" t="s">
        <v>8</v>
      </c>
      <c r="B13966" s="18" t="str">
        <f>"535044"</f>
        <v>535044</v>
      </c>
      <c r="C13966" s="19" t="s">
        <v>13712</v>
      </c>
      <c r="D13966" s="19" t="s">
        <v>29359</v>
      </c>
      <c r="E13966" s="19" t="s">
        <v>35701</v>
      </c>
      <c r="F13966" s="19" t="s">
        <v>36025</v>
      </c>
      <c r="G13966" s="18" t="str">
        <f>"82001"</f>
        <v>82001</v>
      </c>
      <c r="H13966" s="19" t="s">
        <v>35700</v>
      </c>
      <c r="I13966" s="20">
        <v>22.888999999999999</v>
      </c>
      <c r="J13966" s="44" t="s">
        <v>8</v>
      </c>
      <c r="K13966" s="23" t="s">
        <v>8</v>
      </c>
      <c r="L13966" s="23" t="s">
        <v>8</v>
      </c>
      <c r="M13966" s="23" t="s">
        <v>8</v>
      </c>
    </row>
    <row r="13967" spans="1:13" s="21" customFormat="1" x14ac:dyDescent="0.25">
      <c r="A13967" s="22" t="s">
        <v>8</v>
      </c>
      <c r="B13967" s="18" t="str">
        <f>"535046"</f>
        <v>535046</v>
      </c>
      <c r="C13967" s="19" t="s">
        <v>13713</v>
      </c>
      <c r="D13967" s="19" t="s">
        <v>29337</v>
      </c>
      <c r="E13967" s="19" t="s">
        <v>30816</v>
      </c>
      <c r="F13967" s="19" t="s">
        <v>36025</v>
      </c>
      <c r="G13967" s="18" t="str">
        <f>"83001"</f>
        <v>83001</v>
      </c>
      <c r="H13967" s="19" t="s">
        <v>36938</v>
      </c>
      <c r="I13967" s="20">
        <v>17.478999999999999</v>
      </c>
      <c r="J13967" s="44" t="s">
        <v>8</v>
      </c>
      <c r="K13967" s="23" t="s">
        <v>8</v>
      </c>
      <c r="L13967" s="23" t="s">
        <v>8</v>
      </c>
      <c r="M13967" s="23" t="s">
        <v>8</v>
      </c>
    </row>
    <row r="13968" spans="1:13" s="21" customFormat="1" x14ac:dyDescent="0.25">
      <c r="A13968" s="22" t="s">
        <v>8</v>
      </c>
      <c r="B13968" s="18" t="str">
        <f>"535047"</f>
        <v>535047</v>
      </c>
      <c r="C13968" s="19" t="s">
        <v>13714</v>
      </c>
      <c r="D13968" s="19" t="s">
        <v>29360</v>
      </c>
      <c r="E13968" s="19" t="s">
        <v>31201</v>
      </c>
      <c r="F13968" s="19" t="s">
        <v>36025</v>
      </c>
      <c r="G13968" s="18" t="str">
        <f>"82331"</f>
        <v>82331</v>
      </c>
      <c r="H13968" s="19" t="s">
        <v>36538</v>
      </c>
      <c r="I13968" s="20">
        <v>19.744</v>
      </c>
      <c r="J13968" s="44" t="s">
        <v>8</v>
      </c>
      <c r="K13968" s="23" t="s">
        <v>8</v>
      </c>
      <c r="L13968" s="23" t="s">
        <v>8</v>
      </c>
      <c r="M13968" s="23" t="s">
        <v>8</v>
      </c>
    </row>
    <row r="13969" spans="1:13" s="21" customFormat="1" x14ac:dyDescent="0.25">
      <c r="A13969" s="22" t="s">
        <v>8</v>
      </c>
      <c r="B13969" s="18" t="str">
        <f>"535048"</f>
        <v>535048</v>
      </c>
      <c r="C13969" s="19" t="s">
        <v>13715</v>
      </c>
      <c r="D13969" s="19" t="s">
        <v>29361</v>
      </c>
      <c r="E13969" s="19" t="s">
        <v>35711</v>
      </c>
      <c r="F13969" s="19" t="s">
        <v>36025</v>
      </c>
      <c r="G13969" s="18" t="str">
        <f>"82401"</f>
        <v>82401</v>
      </c>
      <c r="H13969" s="19" t="s">
        <v>36943</v>
      </c>
      <c r="I13969" s="20">
        <v>20.053999999999998</v>
      </c>
      <c r="J13969" s="44" t="s">
        <v>8</v>
      </c>
      <c r="K13969" s="23" t="s">
        <v>8</v>
      </c>
      <c r="L13969" s="23" t="s">
        <v>8</v>
      </c>
      <c r="M13969" s="23" t="s">
        <v>8</v>
      </c>
    </row>
    <row r="13970" spans="1:13" s="21" customFormat="1" x14ac:dyDescent="0.25">
      <c r="A13970" s="22" t="s">
        <v>8</v>
      </c>
      <c r="B13970" s="18" t="str">
        <f>"535049"</f>
        <v>535049</v>
      </c>
      <c r="C13970" s="19" t="s">
        <v>13716</v>
      </c>
      <c r="D13970" s="19" t="s">
        <v>29362</v>
      </c>
      <c r="E13970" s="19" t="s">
        <v>35705</v>
      </c>
      <c r="F13970" s="19" t="s">
        <v>36025</v>
      </c>
      <c r="G13970" s="18" t="str">
        <f>"82601"</f>
        <v>82601</v>
      </c>
      <c r="H13970" s="19" t="s">
        <v>36941</v>
      </c>
      <c r="I13970" s="20">
        <v>18.908000000000001</v>
      </c>
      <c r="J13970" s="44" t="s">
        <v>8</v>
      </c>
      <c r="K13970" s="23" t="s">
        <v>8</v>
      </c>
      <c r="L13970" s="23" t="s">
        <v>8</v>
      </c>
      <c r="M13970" s="23" t="s">
        <v>8</v>
      </c>
    </row>
    <row r="13971" spans="1:13" s="21" customFormat="1" x14ac:dyDescent="0.25">
      <c r="A13971" s="22" t="s">
        <v>8</v>
      </c>
      <c r="B13971" s="18" t="str">
        <f>"535050"</f>
        <v>535050</v>
      </c>
      <c r="C13971" s="19" t="s">
        <v>13717</v>
      </c>
      <c r="D13971" s="19" t="s">
        <v>29363</v>
      </c>
      <c r="E13971" s="19" t="s">
        <v>35712</v>
      </c>
      <c r="F13971" s="19" t="s">
        <v>36025</v>
      </c>
      <c r="G13971" s="18" t="str">
        <f>"82514"</f>
        <v>82514</v>
      </c>
      <c r="H13971" s="19" t="s">
        <v>31175</v>
      </c>
      <c r="I13971" s="20">
        <v>18.236999999999998</v>
      </c>
      <c r="J13971" s="44" t="s">
        <v>8</v>
      </c>
      <c r="K13971" s="23" t="s">
        <v>8</v>
      </c>
      <c r="L13971" s="23" t="s">
        <v>8</v>
      </c>
      <c r="M13971" s="23" t="s">
        <v>8</v>
      </c>
    </row>
    <row r="13972" spans="1:13" s="21" customFormat="1" x14ac:dyDescent="0.25">
      <c r="A13972" s="22" t="s">
        <v>8</v>
      </c>
      <c r="B13972" s="18" t="str">
        <f>"535051"</f>
        <v>535051</v>
      </c>
      <c r="C13972" s="19" t="s">
        <v>13718</v>
      </c>
      <c r="D13972" s="19" t="s">
        <v>29364</v>
      </c>
      <c r="E13972" s="19" t="s">
        <v>35713</v>
      </c>
      <c r="F13972" s="19" t="s">
        <v>36025</v>
      </c>
      <c r="G13972" s="18" t="str">
        <f>"82443"</f>
        <v>82443</v>
      </c>
      <c r="H13972" s="19" t="s">
        <v>30990</v>
      </c>
      <c r="I13972" s="20">
        <v>17.978000000000002</v>
      </c>
      <c r="J13972" s="44" t="s">
        <v>8</v>
      </c>
      <c r="K13972" s="23" t="s">
        <v>8</v>
      </c>
      <c r="L13972" s="23" t="s">
        <v>8</v>
      </c>
      <c r="M13972" s="23" t="s">
        <v>8</v>
      </c>
    </row>
    <row r="13973" spans="1:13" s="21" customFormat="1" x14ac:dyDescent="0.25">
      <c r="A13973" s="22" t="s">
        <v>8</v>
      </c>
      <c r="B13973" s="18" t="str">
        <f>"535053"</f>
        <v>535053</v>
      </c>
      <c r="C13973" s="19" t="s">
        <v>13719</v>
      </c>
      <c r="D13973" s="19" t="s">
        <v>29365</v>
      </c>
      <c r="E13973" s="19" t="s">
        <v>32471</v>
      </c>
      <c r="F13973" s="19" t="s">
        <v>36025</v>
      </c>
      <c r="G13973" s="18" t="str">
        <f>"82201"</f>
        <v>82201</v>
      </c>
      <c r="H13973" s="19" t="s">
        <v>36520</v>
      </c>
      <c r="I13973" s="20">
        <v>19.587</v>
      </c>
      <c r="J13973" s="44" t="s">
        <v>8</v>
      </c>
      <c r="K13973" s="23" t="s">
        <v>8</v>
      </c>
      <c r="L13973" s="23" t="s">
        <v>8</v>
      </c>
      <c r="M13973" s="23" t="s">
        <v>8</v>
      </c>
    </row>
    <row r="13974" spans="1:13" s="21" customFormat="1" x14ac:dyDescent="0.25">
      <c r="A13974" s="22" t="s">
        <v>8</v>
      </c>
      <c r="B13974" s="18" t="str">
        <f>"535054"</f>
        <v>535054</v>
      </c>
      <c r="C13974" s="19" t="s">
        <v>13720</v>
      </c>
      <c r="D13974" s="19" t="s">
        <v>29366</v>
      </c>
      <c r="E13974" s="19" t="s">
        <v>31039</v>
      </c>
      <c r="F13974" s="19" t="s">
        <v>36025</v>
      </c>
      <c r="G13974" s="18" t="str">
        <f>"82801"</f>
        <v>82801</v>
      </c>
      <c r="H13974" s="19" t="s">
        <v>31039</v>
      </c>
      <c r="I13974" s="20">
        <v>18.099</v>
      </c>
      <c r="J13974" s="44" t="s">
        <v>8</v>
      </c>
      <c r="K13974" s="23" t="s">
        <v>8</v>
      </c>
      <c r="L13974" s="23" t="s">
        <v>8</v>
      </c>
      <c r="M13974" s="23" t="s">
        <v>8</v>
      </c>
    </row>
    <row r="13975" spans="1:13" s="21" customFormat="1" x14ac:dyDescent="0.25">
      <c r="A13975" s="22" t="s">
        <v>8</v>
      </c>
      <c r="B13975" s="18" t="str">
        <f>"535055"</f>
        <v>535055</v>
      </c>
      <c r="C13975" s="19" t="s">
        <v>13721</v>
      </c>
      <c r="D13975" s="19" t="s">
        <v>29367</v>
      </c>
      <c r="E13975" s="19" t="s">
        <v>31201</v>
      </c>
      <c r="F13975" s="19" t="s">
        <v>36025</v>
      </c>
      <c r="G13975" s="18" t="str">
        <f>"82331"</f>
        <v>82331</v>
      </c>
      <c r="H13975" s="19" t="s">
        <v>36538</v>
      </c>
      <c r="I13975" s="20">
        <v>19.3</v>
      </c>
      <c r="J13975" s="44" t="s">
        <v>8</v>
      </c>
      <c r="K13975" s="23" t="s">
        <v>8</v>
      </c>
      <c r="L13975" s="23" t="s">
        <v>8</v>
      </c>
      <c r="M13975" s="23" t="s">
        <v>8</v>
      </c>
    </row>
    <row r="13976" spans="1:13" s="21" customFormat="1" x14ac:dyDescent="0.25">
      <c r="A13976" s="22" t="s">
        <v>8</v>
      </c>
      <c r="B13976" s="18" t="str">
        <f>"535056"</f>
        <v>535056</v>
      </c>
      <c r="C13976" s="19" t="s">
        <v>13722</v>
      </c>
      <c r="D13976" s="19" t="s">
        <v>29353</v>
      </c>
      <c r="E13976" s="19" t="s">
        <v>35710</v>
      </c>
      <c r="F13976" s="19" t="s">
        <v>36025</v>
      </c>
      <c r="G13976" s="18" t="str">
        <f>"82901"</f>
        <v>82901</v>
      </c>
      <c r="H13976" s="19" t="s">
        <v>35184</v>
      </c>
      <c r="I13976" s="20">
        <v>20.518999999999998</v>
      </c>
      <c r="J13976" s="44" t="s">
        <v>8</v>
      </c>
      <c r="K13976" s="23" t="s">
        <v>8</v>
      </c>
      <c r="L13976" s="23" t="s">
        <v>8</v>
      </c>
      <c r="M13976" s="23" t="s">
        <v>8</v>
      </c>
    </row>
    <row r="13977" spans="1:13" s="21" customFormat="1" x14ac:dyDescent="0.25">
      <c r="A13977" s="22" t="s">
        <v>8</v>
      </c>
      <c r="B13977" s="18" t="str">
        <f>"555004"</f>
        <v>555004</v>
      </c>
      <c r="C13977" s="19" t="s">
        <v>13723</v>
      </c>
      <c r="D13977" s="19" t="s">
        <v>29368</v>
      </c>
      <c r="E13977" s="19" t="s">
        <v>35714</v>
      </c>
      <c r="F13977" s="19" t="s">
        <v>35978</v>
      </c>
      <c r="G13977" s="18" t="str">
        <f>"90293"</f>
        <v>90293</v>
      </c>
      <c r="H13977" s="19" t="s">
        <v>31109</v>
      </c>
      <c r="I13977" s="20">
        <v>21.728999999999999</v>
      </c>
      <c r="J13977" s="44" t="s">
        <v>8</v>
      </c>
      <c r="K13977" s="23" t="s">
        <v>8</v>
      </c>
      <c r="L13977" s="23" t="s">
        <v>8</v>
      </c>
      <c r="M13977" s="23" t="s">
        <v>8</v>
      </c>
    </row>
    <row r="13978" spans="1:13" s="21" customFormat="1" x14ac:dyDescent="0.25">
      <c r="A13978" s="22" t="s">
        <v>8</v>
      </c>
      <c r="B13978" s="18" t="str">
        <f>"555010"</f>
        <v>555010</v>
      </c>
      <c r="C13978" s="19" t="s">
        <v>13724</v>
      </c>
      <c r="D13978" s="19" t="s">
        <v>29369</v>
      </c>
      <c r="E13978" s="19" t="s">
        <v>31111</v>
      </c>
      <c r="F13978" s="19" t="s">
        <v>35978</v>
      </c>
      <c r="G13978" s="18" t="str">
        <f>"90813"</f>
        <v>90813</v>
      </c>
      <c r="H13978" s="19" t="s">
        <v>31109</v>
      </c>
      <c r="I13978" s="20">
        <v>25.14</v>
      </c>
      <c r="J13978" s="44" t="s">
        <v>8</v>
      </c>
      <c r="K13978" s="23" t="s">
        <v>8</v>
      </c>
      <c r="L13978" s="23" t="s">
        <v>8</v>
      </c>
      <c r="M13978" s="23" t="s">
        <v>8</v>
      </c>
    </row>
    <row r="13979" spans="1:13" s="21" customFormat="1" x14ac:dyDescent="0.25">
      <c r="A13979" s="22" t="s">
        <v>8</v>
      </c>
      <c r="B13979" s="18" t="str">
        <f>"555011"</f>
        <v>555011</v>
      </c>
      <c r="C13979" s="19" t="s">
        <v>13725</v>
      </c>
      <c r="D13979" s="19" t="s">
        <v>29370</v>
      </c>
      <c r="E13979" s="19" t="s">
        <v>31153</v>
      </c>
      <c r="F13979" s="19" t="s">
        <v>35978</v>
      </c>
      <c r="G13979" s="18" t="str">
        <f>"91606"</f>
        <v>91606</v>
      </c>
      <c r="H13979" s="19" t="s">
        <v>31109</v>
      </c>
      <c r="I13979" s="20">
        <v>15.148999999999999</v>
      </c>
      <c r="J13979" s="44" t="s">
        <v>8</v>
      </c>
      <c r="K13979" s="23" t="s">
        <v>8</v>
      </c>
      <c r="L13979" s="23" t="s">
        <v>8</v>
      </c>
      <c r="M13979" s="23" t="s">
        <v>8</v>
      </c>
    </row>
    <row r="13980" spans="1:13" s="21" customFormat="1" x14ac:dyDescent="0.25">
      <c r="A13980" s="22" t="s">
        <v>8</v>
      </c>
      <c r="B13980" s="18" t="str">
        <f>"555012"</f>
        <v>555012</v>
      </c>
      <c r="C13980" s="19" t="s">
        <v>13726</v>
      </c>
      <c r="D13980" s="19" t="s">
        <v>29371</v>
      </c>
      <c r="E13980" s="19" t="s">
        <v>31153</v>
      </c>
      <c r="F13980" s="19" t="s">
        <v>35978</v>
      </c>
      <c r="G13980" s="18" t="str">
        <f>"91606"</f>
        <v>91606</v>
      </c>
      <c r="H13980" s="19" t="s">
        <v>31109</v>
      </c>
      <c r="I13980" s="20">
        <v>19.940999999999999</v>
      </c>
      <c r="J13980" s="44" t="s">
        <v>8</v>
      </c>
      <c r="K13980" s="23" t="s">
        <v>8</v>
      </c>
      <c r="L13980" s="23" t="s">
        <v>8</v>
      </c>
      <c r="M13980" s="23" t="s">
        <v>8</v>
      </c>
    </row>
    <row r="13981" spans="1:13" s="21" customFormat="1" x14ac:dyDescent="0.25">
      <c r="A13981" s="22" t="s">
        <v>8</v>
      </c>
      <c r="B13981" s="18" t="str">
        <f>"555016"</f>
        <v>555016</v>
      </c>
      <c r="C13981" s="19" t="s">
        <v>13727</v>
      </c>
      <c r="D13981" s="19" t="s">
        <v>29372</v>
      </c>
      <c r="E13981" s="19" t="s">
        <v>31165</v>
      </c>
      <c r="F13981" s="19" t="s">
        <v>35978</v>
      </c>
      <c r="G13981" s="18" t="str">
        <f>"94546"</f>
        <v>94546</v>
      </c>
      <c r="H13981" s="19" t="s">
        <v>31290</v>
      </c>
      <c r="I13981" s="20">
        <v>17.023</v>
      </c>
      <c r="J13981" s="44" t="s">
        <v>8</v>
      </c>
      <c r="K13981" s="23" t="s">
        <v>8</v>
      </c>
      <c r="L13981" s="23" t="s">
        <v>8</v>
      </c>
      <c r="M13981" s="23" t="s">
        <v>8</v>
      </c>
    </row>
    <row r="13982" spans="1:13" s="21" customFormat="1" x14ac:dyDescent="0.25">
      <c r="A13982" s="22" t="s">
        <v>8</v>
      </c>
      <c r="B13982" s="18" t="str">
        <f>"555017"</f>
        <v>555017</v>
      </c>
      <c r="C13982" s="19" t="s">
        <v>13728</v>
      </c>
      <c r="D13982" s="19" t="s">
        <v>29373</v>
      </c>
      <c r="E13982" s="19" t="s">
        <v>31112</v>
      </c>
      <c r="F13982" s="19" t="s">
        <v>35978</v>
      </c>
      <c r="G13982" s="18" t="str">
        <f>"92503"</f>
        <v>92503</v>
      </c>
      <c r="H13982" s="19" t="s">
        <v>31112</v>
      </c>
      <c r="I13982" s="20">
        <v>17.744</v>
      </c>
      <c r="J13982" s="44" t="s">
        <v>8</v>
      </c>
      <c r="K13982" s="23" t="s">
        <v>8</v>
      </c>
      <c r="L13982" s="23" t="s">
        <v>8</v>
      </c>
      <c r="M13982" s="23" t="s">
        <v>8</v>
      </c>
    </row>
    <row r="13983" spans="1:13" s="21" customFormat="1" x14ac:dyDescent="0.25">
      <c r="A13983" s="22" t="s">
        <v>8</v>
      </c>
      <c r="B13983" s="18" t="str">
        <f>"555019"</f>
        <v>555019</v>
      </c>
      <c r="C13983" s="19" t="s">
        <v>13729</v>
      </c>
      <c r="D13983" s="19" t="s">
        <v>29374</v>
      </c>
      <c r="E13983" s="19" t="s">
        <v>31109</v>
      </c>
      <c r="F13983" s="19" t="s">
        <v>35978</v>
      </c>
      <c r="G13983" s="18" t="str">
        <f>"90026"</f>
        <v>90026</v>
      </c>
      <c r="H13983" s="19" t="s">
        <v>31109</v>
      </c>
      <c r="I13983" s="20">
        <v>18.407</v>
      </c>
      <c r="J13983" s="44" t="s">
        <v>8</v>
      </c>
      <c r="K13983" s="23" t="s">
        <v>8</v>
      </c>
      <c r="L13983" s="23" t="s">
        <v>8</v>
      </c>
      <c r="M13983" s="23" t="s">
        <v>8</v>
      </c>
    </row>
    <row r="13984" spans="1:13" s="21" customFormat="1" x14ac:dyDescent="0.25">
      <c r="A13984" s="22" t="s">
        <v>8</v>
      </c>
      <c r="B13984" s="18" t="str">
        <f>"555020"</f>
        <v>555020</v>
      </c>
      <c r="C13984" s="19" t="s">
        <v>13730</v>
      </c>
      <c r="D13984" s="19" t="s">
        <v>29375</v>
      </c>
      <c r="E13984" s="19" t="s">
        <v>31146</v>
      </c>
      <c r="F13984" s="19" t="s">
        <v>35978</v>
      </c>
      <c r="G13984" s="18" t="str">
        <f>"94116"</f>
        <v>94116</v>
      </c>
      <c r="H13984" s="19" t="s">
        <v>31146</v>
      </c>
      <c r="I13984" s="20">
        <v>16.152999999999999</v>
      </c>
      <c r="J13984" s="44" t="s">
        <v>8</v>
      </c>
      <c r="K13984" s="23" t="s">
        <v>8</v>
      </c>
      <c r="L13984" s="23" t="s">
        <v>8</v>
      </c>
      <c r="M13984" s="23" t="s">
        <v>8</v>
      </c>
    </row>
    <row r="13985" spans="1:13" s="21" customFormat="1" x14ac:dyDescent="0.25">
      <c r="A13985" s="22" t="s">
        <v>8</v>
      </c>
      <c r="B13985" s="18" t="str">
        <f>"555021"</f>
        <v>555021</v>
      </c>
      <c r="C13985" s="19" t="s">
        <v>13731</v>
      </c>
      <c r="D13985" s="19" t="s">
        <v>29376</v>
      </c>
      <c r="E13985" s="19" t="s">
        <v>31232</v>
      </c>
      <c r="F13985" s="19" t="s">
        <v>35978</v>
      </c>
      <c r="G13985" s="18" t="str">
        <f>"92843"</f>
        <v>92843</v>
      </c>
      <c r="H13985" s="19" t="s">
        <v>31169</v>
      </c>
      <c r="I13985" s="20">
        <v>18.109000000000002</v>
      </c>
      <c r="J13985" s="44" t="s">
        <v>8</v>
      </c>
      <c r="K13985" s="23" t="s">
        <v>8</v>
      </c>
      <c r="L13985" s="23" t="s">
        <v>8</v>
      </c>
      <c r="M13985" s="23" t="s">
        <v>8</v>
      </c>
    </row>
    <row r="13986" spans="1:13" s="21" customFormat="1" x14ac:dyDescent="0.25">
      <c r="A13986" s="22" t="s">
        <v>8</v>
      </c>
      <c r="B13986" s="18" t="str">
        <f>"555023"</f>
        <v>555023</v>
      </c>
      <c r="C13986" s="19" t="s">
        <v>13732</v>
      </c>
      <c r="D13986" s="19" t="s">
        <v>29377</v>
      </c>
      <c r="E13986" s="19" t="s">
        <v>31246</v>
      </c>
      <c r="F13986" s="19" t="s">
        <v>35978</v>
      </c>
      <c r="G13986" s="18" t="str">
        <f>"93108"</f>
        <v>93108</v>
      </c>
      <c r="H13986" s="19" t="s">
        <v>31246</v>
      </c>
      <c r="I13986" s="20">
        <v>16.251000000000001</v>
      </c>
      <c r="J13986" s="44" t="s">
        <v>8</v>
      </c>
      <c r="K13986" s="23" t="s">
        <v>8</v>
      </c>
      <c r="L13986" s="23" t="s">
        <v>8</v>
      </c>
      <c r="M13986" s="23" t="s">
        <v>8</v>
      </c>
    </row>
    <row r="13987" spans="1:13" s="21" customFormat="1" x14ac:dyDescent="0.25">
      <c r="A13987" s="22" t="s">
        <v>8</v>
      </c>
      <c r="B13987" s="18" t="str">
        <f>"555025"</f>
        <v>555025</v>
      </c>
      <c r="C13987" s="19" t="s">
        <v>13733</v>
      </c>
      <c r="D13987" s="19" t="s">
        <v>29378</v>
      </c>
      <c r="E13987" s="19" t="s">
        <v>35715</v>
      </c>
      <c r="F13987" s="19" t="s">
        <v>35978</v>
      </c>
      <c r="G13987" s="18" t="str">
        <f>"92359"</f>
        <v>92359</v>
      </c>
      <c r="H13987" s="19" t="s">
        <v>31227</v>
      </c>
      <c r="I13987" s="20">
        <v>18.809999999999999</v>
      </c>
      <c r="J13987" s="44" t="s">
        <v>8</v>
      </c>
      <c r="K13987" s="23" t="s">
        <v>8</v>
      </c>
      <c r="L13987" s="23" t="s">
        <v>8</v>
      </c>
      <c r="M13987" s="23" t="s">
        <v>8</v>
      </c>
    </row>
    <row r="13988" spans="1:13" s="21" customFormat="1" x14ac:dyDescent="0.25">
      <c r="A13988" s="22" t="s">
        <v>8</v>
      </c>
      <c r="B13988" s="18" t="str">
        <f>"555027"</f>
        <v>555027</v>
      </c>
      <c r="C13988" s="19" t="s">
        <v>13734</v>
      </c>
      <c r="D13988" s="19" t="s">
        <v>29379</v>
      </c>
      <c r="E13988" s="19" t="s">
        <v>31266</v>
      </c>
      <c r="F13988" s="19" t="s">
        <v>35978</v>
      </c>
      <c r="G13988" s="18" t="str">
        <f>"92648"</f>
        <v>92648</v>
      </c>
      <c r="H13988" s="19" t="s">
        <v>31169</v>
      </c>
      <c r="I13988" s="20">
        <v>18.727</v>
      </c>
      <c r="J13988" s="44" t="s">
        <v>8</v>
      </c>
      <c r="K13988" s="23" t="s">
        <v>8</v>
      </c>
      <c r="L13988" s="23" t="s">
        <v>8</v>
      </c>
      <c r="M13988" s="23" t="s">
        <v>8</v>
      </c>
    </row>
    <row r="13989" spans="1:13" s="21" customFormat="1" x14ac:dyDescent="0.25">
      <c r="A13989" s="22" t="s">
        <v>8</v>
      </c>
      <c r="B13989" s="18" t="str">
        <f>"555028"</f>
        <v>555028</v>
      </c>
      <c r="C13989" s="19" t="s">
        <v>13735</v>
      </c>
      <c r="D13989" s="19" t="s">
        <v>29380</v>
      </c>
      <c r="E13989" s="19" t="s">
        <v>31173</v>
      </c>
      <c r="F13989" s="19" t="s">
        <v>35978</v>
      </c>
      <c r="G13989" s="18" t="str">
        <f>"90717"</f>
        <v>90717</v>
      </c>
      <c r="H13989" s="19" t="s">
        <v>31109</v>
      </c>
      <c r="I13989" s="20">
        <v>19.434999999999999</v>
      </c>
      <c r="J13989" s="44" t="s">
        <v>8</v>
      </c>
      <c r="K13989" s="23" t="s">
        <v>8</v>
      </c>
      <c r="L13989" s="23" t="s">
        <v>8</v>
      </c>
      <c r="M13989" s="23" t="s">
        <v>8</v>
      </c>
    </row>
    <row r="13990" spans="1:13" s="21" customFormat="1" x14ac:dyDescent="0.25">
      <c r="A13990" s="22" t="s">
        <v>8</v>
      </c>
      <c r="B13990" s="18" t="str">
        <f>"555030"</f>
        <v>555030</v>
      </c>
      <c r="C13990" s="19" t="s">
        <v>13736</v>
      </c>
      <c r="D13990" s="19" t="s">
        <v>29381</v>
      </c>
      <c r="E13990" s="19" t="s">
        <v>31109</v>
      </c>
      <c r="F13990" s="19" t="s">
        <v>35978</v>
      </c>
      <c r="G13990" s="18" t="str">
        <f>"90041"</f>
        <v>90041</v>
      </c>
      <c r="H13990" s="19" t="s">
        <v>31109</v>
      </c>
      <c r="I13990" s="20">
        <v>19.669</v>
      </c>
      <c r="J13990" s="44" t="s">
        <v>8</v>
      </c>
      <c r="K13990" s="23" t="s">
        <v>8</v>
      </c>
      <c r="L13990" s="23" t="s">
        <v>8</v>
      </c>
      <c r="M13990" s="23" t="s">
        <v>8</v>
      </c>
    </row>
    <row r="13991" spans="1:13" s="21" customFormat="1" x14ac:dyDescent="0.25">
      <c r="A13991" s="22" t="s">
        <v>8</v>
      </c>
      <c r="B13991" s="18" t="str">
        <f>"555034"</f>
        <v>555034</v>
      </c>
      <c r="C13991" s="19" t="s">
        <v>13737</v>
      </c>
      <c r="D13991" s="19" t="s">
        <v>29382</v>
      </c>
      <c r="E13991" s="19" t="s">
        <v>31152</v>
      </c>
      <c r="F13991" s="19" t="s">
        <v>35978</v>
      </c>
      <c r="G13991" s="18" t="str">
        <f>"94403"</f>
        <v>94403</v>
      </c>
      <c r="H13991" s="19" t="s">
        <v>31152</v>
      </c>
      <c r="I13991" s="20">
        <v>19.361000000000001</v>
      </c>
      <c r="J13991" s="44" t="s">
        <v>8</v>
      </c>
      <c r="K13991" s="23" t="s">
        <v>8</v>
      </c>
      <c r="L13991" s="23" t="s">
        <v>8</v>
      </c>
      <c r="M13991" s="23" t="s">
        <v>8</v>
      </c>
    </row>
    <row r="13992" spans="1:13" s="21" customFormat="1" x14ac:dyDescent="0.25">
      <c r="A13992" s="22" t="s">
        <v>8</v>
      </c>
      <c r="B13992" s="18" t="str">
        <f>"555035"</f>
        <v>555035</v>
      </c>
      <c r="C13992" s="19" t="s">
        <v>13738</v>
      </c>
      <c r="D13992" s="19" t="s">
        <v>29383</v>
      </c>
      <c r="E13992" s="19" t="s">
        <v>31207</v>
      </c>
      <c r="F13992" s="19" t="s">
        <v>35978</v>
      </c>
      <c r="G13992" s="18" t="str">
        <f>"92804"</f>
        <v>92804</v>
      </c>
      <c r="H13992" s="19" t="s">
        <v>31169</v>
      </c>
      <c r="I13992" s="20">
        <v>18.715</v>
      </c>
      <c r="J13992" s="44" t="s">
        <v>8</v>
      </c>
      <c r="K13992" s="23" t="s">
        <v>8</v>
      </c>
      <c r="L13992" s="23" t="s">
        <v>8</v>
      </c>
      <c r="M13992" s="23" t="s">
        <v>8</v>
      </c>
    </row>
    <row r="13993" spans="1:13" s="21" customFormat="1" x14ac:dyDescent="0.25">
      <c r="A13993" s="22" t="s">
        <v>8</v>
      </c>
      <c r="B13993" s="18" t="str">
        <f>"555039"</f>
        <v>555039</v>
      </c>
      <c r="C13993" s="19" t="s">
        <v>13739</v>
      </c>
      <c r="D13993" s="19" t="s">
        <v>29384</v>
      </c>
      <c r="E13993" s="19" t="s">
        <v>31136</v>
      </c>
      <c r="F13993" s="19" t="s">
        <v>35978</v>
      </c>
      <c r="G13993" s="18" t="str">
        <f>"90403"</f>
        <v>90403</v>
      </c>
      <c r="H13993" s="19" t="s">
        <v>31109</v>
      </c>
      <c r="I13993" s="20">
        <v>20.323</v>
      </c>
      <c r="J13993" s="44" t="s">
        <v>8</v>
      </c>
      <c r="K13993" s="23" t="s">
        <v>8</v>
      </c>
      <c r="L13993" s="23" t="s">
        <v>8</v>
      </c>
      <c r="M13993" s="23" t="s">
        <v>8</v>
      </c>
    </row>
    <row r="13994" spans="1:13" s="21" customFormat="1" x14ac:dyDescent="0.25">
      <c r="A13994" s="22" t="s">
        <v>8</v>
      </c>
      <c r="B13994" s="18" t="str">
        <f>"555040"</f>
        <v>555040</v>
      </c>
      <c r="C13994" s="19" t="s">
        <v>13740</v>
      </c>
      <c r="D13994" s="19" t="s">
        <v>29385</v>
      </c>
      <c r="E13994" s="19" t="s">
        <v>31109</v>
      </c>
      <c r="F13994" s="19" t="s">
        <v>35978</v>
      </c>
      <c r="G13994" s="18" t="str">
        <f>"90043"</f>
        <v>90043</v>
      </c>
      <c r="H13994" s="19" t="s">
        <v>31109</v>
      </c>
      <c r="I13994" s="20">
        <v>18.231999999999999</v>
      </c>
      <c r="J13994" s="44" t="s">
        <v>8</v>
      </c>
      <c r="K13994" s="23" t="s">
        <v>8</v>
      </c>
      <c r="L13994" s="23" t="s">
        <v>8</v>
      </c>
      <c r="M13994" s="23" t="s">
        <v>8</v>
      </c>
    </row>
    <row r="13995" spans="1:13" s="21" customFormat="1" x14ac:dyDescent="0.25">
      <c r="A13995" s="22" t="s">
        <v>8</v>
      </c>
      <c r="B13995" s="18" t="str">
        <f>"555045"</f>
        <v>555045</v>
      </c>
      <c r="C13995" s="19" t="s">
        <v>13741</v>
      </c>
      <c r="D13995" s="19" t="s">
        <v>29386</v>
      </c>
      <c r="E13995" s="19" t="s">
        <v>31261</v>
      </c>
      <c r="F13995" s="19" t="s">
        <v>35978</v>
      </c>
      <c r="G13995" s="18" t="str">
        <f>"91040"</f>
        <v>91040</v>
      </c>
      <c r="H13995" s="19" t="s">
        <v>31109</v>
      </c>
      <c r="I13995" s="20">
        <v>17.689</v>
      </c>
      <c r="J13995" s="44" t="s">
        <v>8</v>
      </c>
      <c r="K13995" s="23" t="s">
        <v>8</v>
      </c>
      <c r="L13995" s="23" t="s">
        <v>8</v>
      </c>
      <c r="M13995" s="23" t="s">
        <v>8</v>
      </c>
    </row>
    <row r="13996" spans="1:13" s="21" customFormat="1" x14ac:dyDescent="0.25">
      <c r="A13996" s="22" t="s">
        <v>8</v>
      </c>
      <c r="B13996" s="18" t="str">
        <f>"555049"</f>
        <v>555049</v>
      </c>
      <c r="C13996" s="19" t="s">
        <v>13742</v>
      </c>
      <c r="D13996" s="19" t="s">
        <v>29387</v>
      </c>
      <c r="E13996" s="19" t="s">
        <v>31167</v>
      </c>
      <c r="F13996" s="19" t="s">
        <v>35978</v>
      </c>
      <c r="G13996" s="18" t="str">
        <f>"95242"</f>
        <v>95242</v>
      </c>
      <c r="H13996" s="19" t="s">
        <v>36087</v>
      </c>
      <c r="I13996" s="20">
        <v>20.085999999999999</v>
      </c>
      <c r="J13996" s="44" t="s">
        <v>8</v>
      </c>
      <c r="K13996" s="23" t="s">
        <v>8</v>
      </c>
      <c r="L13996" s="23" t="s">
        <v>8</v>
      </c>
      <c r="M13996" s="23" t="s">
        <v>8</v>
      </c>
    </row>
    <row r="13997" spans="1:13" s="21" customFormat="1" x14ac:dyDescent="0.25">
      <c r="A13997" s="22" t="s">
        <v>8</v>
      </c>
      <c r="B13997" s="18" t="str">
        <f>"555053"</f>
        <v>555053</v>
      </c>
      <c r="C13997" s="19" t="s">
        <v>13743</v>
      </c>
      <c r="D13997" s="19" t="s">
        <v>29388</v>
      </c>
      <c r="E13997" s="19" t="s">
        <v>31322</v>
      </c>
      <c r="F13997" s="19" t="s">
        <v>35978</v>
      </c>
      <c r="G13997" s="18" t="str">
        <f>"93215"</f>
        <v>93215</v>
      </c>
      <c r="H13997" s="19" t="s">
        <v>36098</v>
      </c>
      <c r="I13997" s="20">
        <v>18.614000000000001</v>
      </c>
      <c r="J13997" s="44" t="s">
        <v>8</v>
      </c>
      <c r="K13997" s="23" t="s">
        <v>8</v>
      </c>
      <c r="L13997" s="23" t="s">
        <v>8</v>
      </c>
      <c r="M13997" s="23" t="s">
        <v>8</v>
      </c>
    </row>
    <row r="13998" spans="1:13" s="21" customFormat="1" x14ac:dyDescent="0.25">
      <c r="A13998" s="22" t="s">
        <v>8</v>
      </c>
      <c r="B13998" s="18" t="str">
        <f>"555054"</f>
        <v>555054</v>
      </c>
      <c r="C13998" s="19" t="s">
        <v>13744</v>
      </c>
      <c r="D13998" s="19" t="s">
        <v>29389</v>
      </c>
      <c r="E13998" s="19" t="s">
        <v>31136</v>
      </c>
      <c r="F13998" s="19" t="s">
        <v>35978</v>
      </c>
      <c r="G13998" s="18" t="str">
        <f>"90404"</f>
        <v>90404</v>
      </c>
      <c r="H13998" s="19" t="s">
        <v>31109</v>
      </c>
      <c r="I13998" s="20">
        <v>20.257999999999999</v>
      </c>
      <c r="J13998" s="44" t="s">
        <v>8</v>
      </c>
      <c r="K13998" s="23" t="s">
        <v>8</v>
      </c>
      <c r="L13998" s="23" t="s">
        <v>8</v>
      </c>
      <c r="M13998" s="23" t="s">
        <v>8</v>
      </c>
    </row>
    <row r="13999" spans="1:13" s="21" customFormat="1" x14ac:dyDescent="0.25">
      <c r="A13999" s="22" t="s">
        <v>8</v>
      </c>
      <c r="B13999" s="18" t="str">
        <f>"555055"</f>
        <v>555055</v>
      </c>
      <c r="C13999" s="19" t="s">
        <v>13745</v>
      </c>
      <c r="D13999" s="19" t="s">
        <v>29390</v>
      </c>
      <c r="E13999" s="19" t="s">
        <v>31179</v>
      </c>
      <c r="F13999" s="19" t="s">
        <v>35978</v>
      </c>
      <c r="G13999" s="18" t="str">
        <f>"91780"</f>
        <v>91780</v>
      </c>
      <c r="H13999" s="19" t="s">
        <v>31109</v>
      </c>
      <c r="I13999" s="20">
        <v>18.556999999999999</v>
      </c>
      <c r="J13999" s="44" t="s">
        <v>8</v>
      </c>
      <c r="K13999" s="23" t="s">
        <v>8</v>
      </c>
      <c r="L13999" s="23" t="s">
        <v>8</v>
      </c>
      <c r="M13999" s="23" t="s">
        <v>8</v>
      </c>
    </row>
    <row r="14000" spans="1:13" s="21" customFormat="1" x14ac:dyDescent="0.25">
      <c r="A14000" s="22" t="s">
        <v>8</v>
      </c>
      <c r="B14000" s="18" t="str">
        <f>"555057"</f>
        <v>555057</v>
      </c>
      <c r="C14000" s="19" t="s">
        <v>13746</v>
      </c>
      <c r="D14000" s="19" t="s">
        <v>29391</v>
      </c>
      <c r="E14000" s="19" t="s">
        <v>31121</v>
      </c>
      <c r="F14000" s="19" t="s">
        <v>35978</v>
      </c>
      <c r="G14000" s="18" t="str">
        <f>"90249"</f>
        <v>90249</v>
      </c>
      <c r="H14000" s="19" t="s">
        <v>31109</v>
      </c>
      <c r="I14000" s="20">
        <v>20.943999999999999</v>
      </c>
      <c r="J14000" s="44" t="s">
        <v>8</v>
      </c>
      <c r="K14000" s="23" t="s">
        <v>8</v>
      </c>
      <c r="L14000" s="23" t="s">
        <v>8</v>
      </c>
      <c r="M14000" s="23" t="s">
        <v>8</v>
      </c>
    </row>
    <row r="14001" spans="1:13" s="21" customFormat="1" x14ac:dyDescent="0.25">
      <c r="A14001" s="22" t="s">
        <v>8</v>
      </c>
      <c r="B14001" s="18" t="str">
        <f>"555060"</f>
        <v>555060</v>
      </c>
      <c r="C14001" s="19" t="s">
        <v>13747</v>
      </c>
      <c r="D14001" s="19" t="s">
        <v>29392</v>
      </c>
      <c r="E14001" s="19" t="s">
        <v>31187</v>
      </c>
      <c r="F14001" s="19" t="s">
        <v>35978</v>
      </c>
      <c r="G14001" s="18" t="str">
        <f>"93906"</f>
        <v>93906</v>
      </c>
      <c r="H14001" s="19" t="s">
        <v>31274</v>
      </c>
      <c r="I14001" s="20">
        <v>18.257000000000001</v>
      </c>
      <c r="J14001" s="44" t="s">
        <v>8</v>
      </c>
      <c r="K14001" s="23" t="s">
        <v>8</v>
      </c>
      <c r="L14001" s="23" t="s">
        <v>8</v>
      </c>
      <c r="M14001" s="23" t="s">
        <v>8</v>
      </c>
    </row>
    <row r="14002" spans="1:13" s="21" customFormat="1" x14ac:dyDescent="0.25">
      <c r="A14002" s="22" t="s">
        <v>8</v>
      </c>
      <c r="B14002" s="18" t="str">
        <f>"555061"</f>
        <v>555061</v>
      </c>
      <c r="C14002" s="19" t="s">
        <v>13748</v>
      </c>
      <c r="D14002" s="19" t="s">
        <v>29393</v>
      </c>
      <c r="E14002" s="19" t="s">
        <v>31136</v>
      </c>
      <c r="F14002" s="19" t="s">
        <v>35978</v>
      </c>
      <c r="G14002" s="18" t="str">
        <f>"90401"</f>
        <v>90401</v>
      </c>
      <c r="H14002" s="19" t="s">
        <v>31109</v>
      </c>
      <c r="I14002" s="20">
        <v>21.332000000000001</v>
      </c>
      <c r="J14002" s="44" t="s">
        <v>8</v>
      </c>
      <c r="K14002" s="23" t="s">
        <v>8</v>
      </c>
      <c r="L14002" s="23" t="s">
        <v>8</v>
      </c>
      <c r="M14002" s="23" t="s">
        <v>8</v>
      </c>
    </row>
    <row r="14003" spans="1:13" s="21" customFormat="1" x14ac:dyDescent="0.25">
      <c r="A14003" s="22" t="s">
        <v>8</v>
      </c>
      <c r="B14003" s="18" t="str">
        <f>"555065"</f>
        <v>555065</v>
      </c>
      <c r="C14003" s="19" t="s">
        <v>13749</v>
      </c>
      <c r="D14003" s="19" t="s">
        <v>29394</v>
      </c>
      <c r="E14003" s="19" t="s">
        <v>31109</v>
      </c>
      <c r="F14003" s="19" t="s">
        <v>35978</v>
      </c>
      <c r="G14003" s="18" t="str">
        <f>"90008"</f>
        <v>90008</v>
      </c>
      <c r="H14003" s="19" t="s">
        <v>31109</v>
      </c>
      <c r="I14003" s="20">
        <v>21.114999999999998</v>
      </c>
      <c r="J14003" s="44" t="s">
        <v>8</v>
      </c>
      <c r="K14003" s="23" t="s">
        <v>8</v>
      </c>
      <c r="L14003" s="23" t="s">
        <v>8</v>
      </c>
      <c r="M14003" s="23" t="s">
        <v>8</v>
      </c>
    </row>
    <row r="14004" spans="1:13" s="21" customFormat="1" x14ac:dyDescent="0.25">
      <c r="A14004" s="22" t="s">
        <v>8</v>
      </c>
      <c r="B14004" s="18" t="str">
        <f>"555066"</f>
        <v>555066</v>
      </c>
      <c r="C14004" s="19" t="s">
        <v>13750</v>
      </c>
      <c r="D14004" s="19" t="s">
        <v>29395</v>
      </c>
      <c r="E14004" s="19" t="s">
        <v>35716</v>
      </c>
      <c r="F14004" s="19" t="s">
        <v>35978</v>
      </c>
      <c r="G14004" s="18" t="str">
        <f>"93015"</f>
        <v>93015</v>
      </c>
      <c r="H14004" s="19" t="s">
        <v>31228</v>
      </c>
      <c r="I14004" s="20">
        <v>21.033999999999999</v>
      </c>
      <c r="J14004" s="44" t="s">
        <v>8</v>
      </c>
      <c r="K14004" s="23" t="s">
        <v>8</v>
      </c>
      <c r="L14004" s="23" t="s">
        <v>8</v>
      </c>
      <c r="M14004" s="23" t="s">
        <v>8</v>
      </c>
    </row>
    <row r="14005" spans="1:13" s="21" customFormat="1" x14ac:dyDescent="0.25">
      <c r="A14005" s="22" t="s">
        <v>8</v>
      </c>
      <c r="B14005" s="18" t="str">
        <f>"555067"</f>
        <v>555067</v>
      </c>
      <c r="C14005" s="19" t="s">
        <v>13751</v>
      </c>
      <c r="D14005" s="19" t="s">
        <v>29396</v>
      </c>
      <c r="E14005" s="19" t="s">
        <v>31143</v>
      </c>
      <c r="F14005" s="19" t="s">
        <v>35978</v>
      </c>
      <c r="G14005" s="18" t="str">
        <f>"94609"</f>
        <v>94609</v>
      </c>
      <c r="H14005" s="19" t="s">
        <v>31290</v>
      </c>
      <c r="I14005" s="20">
        <v>18.318000000000001</v>
      </c>
      <c r="J14005" s="44" t="s">
        <v>8</v>
      </c>
      <c r="K14005" s="23" t="s">
        <v>8</v>
      </c>
      <c r="L14005" s="23" t="s">
        <v>8</v>
      </c>
      <c r="M14005" s="23" t="s">
        <v>8</v>
      </c>
    </row>
    <row r="14006" spans="1:13" s="21" customFormat="1" x14ac:dyDescent="0.25">
      <c r="A14006" s="22" t="s">
        <v>8</v>
      </c>
      <c r="B14006" s="18" t="str">
        <f>"555068"</f>
        <v>555068</v>
      </c>
      <c r="C14006" s="19" t="s">
        <v>13752</v>
      </c>
      <c r="D14006" s="19" t="s">
        <v>29397</v>
      </c>
      <c r="E14006" s="19" t="s">
        <v>31188</v>
      </c>
      <c r="F14006" s="19" t="s">
        <v>35978</v>
      </c>
      <c r="G14006" s="18" t="str">
        <f>"95128"</f>
        <v>95128</v>
      </c>
      <c r="H14006" s="19" t="s">
        <v>31241</v>
      </c>
      <c r="I14006" s="20">
        <v>20.484999999999999</v>
      </c>
      <c r="J14006" s="44" t="s">
        <v>8</v>
      </c>
      <c r="K14006" s="23" t="s">
        <v>8</v>
      </c>
      <c r="L14006" s="23" t="s">
        <v>8</v>
      </c>
      <c r="M14006" s="23" t="s">
        <v>8</v>
      </c>
    </row>
    <row r="14007" spans="1:13" s="21" customFormat="1" x14ac:dyDescent="0.25">
      <c r="A14007" s="22" t="s">
        <v>8</v>
      </c>
      <c r="B14007" s="18" t="str">
        <f>"555069"</f>
        <v>555069</v>
      </c>
      <c r="C14007" s="19" t="s">
        <v>13753</v>
      </c>
      <c r="D14007" s="19" t="s">
        <v>29398</v>
      </c>
      <c r="E14007" s="19" t="s">
        <v>31109</v>
      </c>
      <c r="F14007" s="19" t="s">
        <v>35978</v>
      </c>
      <c r="G14007" s="18" t="str">
        <f>"90018"</f>
        <v>90018</v>
      </c>
      <c r="H14007" s="19" t="s">
        <v>31109</v>
      </c>
      <c r="I14007" s="20">
        <v>21.841999999999999</v>
      </c>
      <c r="J14007" s="44" t="s">
        <v>8</v>
      </c>
      <c r="K14007" s="23" t="s">
        <v>8</v>
      </c>
      <c r="L14007" s="23" t="s">
        <v>8</v>
      </c>
      <c r="M14007" s="23" t="s">
        <v>8</v>
      </c>
    </row>
    <row r="14008" spans="1:13" s="21" customFormat="1" x14ac:dyDescent="0.25">
      <c r="A14008" s="22" t="s">
        <v>8</v>
      </c>
      <c r="B14008" s="18" t="str">
        <f>"555070"</f>
        <v>555070</v>
      </c>
      <c r="C14008" s="19" t="s">
        <v>13754</v>
      </c>
      <c r="D14008" s="19" t="s">
        <v>29399</v>
      </c>
      <c r="E14008" s="19" t="s">
        <v>31181</v>
      </c>
      <c r="F14008" s="19" t="s">
        <v>35978</v>
      </c>
      <c r="G14008" s="18" t="str">
        <f>"90650"</f>
        <v>90650</v>
      </c>
      <c r="H14008" s="19" t="s">
        <v>31109</v>
      </c>
      <c r="I14008" s="20">
        <v>21.074999999999999</v>
      </c>
      <c r="J14008" s="44" t="s">
        <v>8</v>
      </c>
      <c r="K14008" s="23" t="s">
        <v>8</v>
      </c>
      <c r="L14008" s="23" t="s">
        <v>8</v>
      </c>
      <c r="M14008" s="23" t="s">
        <v>8</v>
      </c>
    </row>
    <row r="14009" spans="1:13" s="21" customFormat="1" x14ac:dyDescent="0.25">
      <c r="A14009" s="22" t="s">
        <v>8</v>
      </c>
      <c r="B14009" s="18" t="str">
        <f>"555071"</f>
        <v>555071</v>
      </c>
      <c r="C14009" s="19" t="s">
        <v>13755</v>
      </c>
      <c r="D14009" s="19" t="s">
        <v>29400</v>
      </c>
      <c r="E14009" s="19" t="s">
        <v>31109</v>
      </c>
      <c r="F14009" s="19" t="s">
        <v>35978</v>
      </c>
      <c r="G14009" s="18" t="str">
        <f>"90018"</f>
        <v>90018</v>
      </c>
      <c r="H14009" s="19" t="s">
        <v>31109</v>
      </c>
      <c r="I14009" s="20">
        <v>20.805</v>
      </c>
      <c r="J14009" s="44" t="s">
        <v>8</v>
      </c>
      <c r="K14009" s="23" t="s">
        <v>8</v>
      </c>
      <c r="L14009" s="23" t="s">
        <v>8</v>
      </c>
      <c r="M14009" s="23" t="s">
        <v>8</v>
      </c>
    </row>
    <row r="14010" spans="1:13" s="21" customFormat="1" x14ac:dyDescent="0.25">
      <c r="A14010" s="22" t="s">
        <v>8</v>
      </c>
      <c r="B14010" s="18" t="str">
        <f>"555074"</f>
        <v>555074</v>
      </c>
      <c r="C14010" s="19" t="s">
        <v>13756</v>
      </c>
      <c r="D14010" s="19" t="s">
        <v>29401</v>
      </c>
      <c r="E14010" s="19" t="s">
        <v>35717</v>
      </c>
      <c r="F14010" s="19" t="s">
        <v>35978</v>
      </c>
      <c r="G14010" s="18" t="str">
        <f>"91345"</f>
        <v>91345</v>
      </c>
      <c r="H14010" s="19" t="s">
        <v>31109</v>
      </c>
      <c r="I14010" s="20">
        <v>18.809000000000001</v>
      </c>
      <c r="J14010" s="44" t="s">
        <v>8</v>
      </c>
      <c r="K14010" s="23" t="s">
        <v>8</v>
      </c>
      <c r="L14010" s="23" t="s">
        <v>8</v>
      </c>
      <c r="M14010" s="23" t="s">
        <v>8</v>
      </c>
    </row>
    <row r="14011" spans="1:13" s="21" customFormat="1" x14ac:dyDescent="0.25">
      <c r="A14011" s="22" t="s">
        <v>8</v>
      </c>
      <c r="B14011" s="18" t="str">
        <f>"555076"</f>
        <v>555076</v>
      </c>
      <c r="C14011" s="19" t="s">
        <v>13757</v>
      </c>
      <c r="D14011" s="19" t="s">
        <v>29402</v>
      </c>
      <c r="E14011" s="19" t="s">
        <v>31118</v>
      </c>
      <c r="F14011" s="19" t="s">
        <v>35978</v>
      </c>
      <c r="G14011" s="18" t="str">
        <f>"92020"</f>
        <v>92020</v>
      </c>
      <c r="H14011" s="19" t="s">
        <v>31176</v>
      </c>
      <c r="I14011" s="20">
        <v>19.702000000000002</v>
      </c>
      <c r="J14011" s="44" t="s">
        <v>8</v>
      </c>
      <c r="K14011" s="23" t="s">
        <v>8</v>
      </c>
      <c r="L14011" s="23" t="s">
        <v>8</v>
      </c>
      <c r="M14011" s="23" t="s">
        <v>8</v>
      </c>
    </row>
    <row r="14012" spans="1:13" s="21" customFormat="1" x14ac:dyDescent="0.25">
      <c r="A14012" s="22" t="s">
        <v>8</v>
      </c>
      <c r="B14012" s="18" t="str">
        <f>"555079"</f>
        <v>555079</v>
      </c>
      <c r="C14012" s="19" t="s">
        <v>13758</v>
      </c>
      <c r="D14012" s="19" t="s">
        <v>29403</v>
      </c>
      <c r="E14012" s="19" t="s">
        <v>31167</v>
      </c>
      <c r="F14012" s="19" t="s">
        <v>35978</v>
      </c>
      <c r="G14012" s="18" t="str">
        <f>"95240"</f>
        <v>95240</v>
      </c>
      <c r="H14012" s="19" t="s">
        <v>36087</v>
      </c>
      <c r="I14012" s="20">
        <v>18.239000000000001</v>
      </c>
      <c r="J14012" s="44" t="s">
        <v>8</v>
      </c>
      <c r="K14012" s="23" t="s">
        <v>8</v>
      </c>
      <c r="L14012" s="23" t="s">
        <v>8</v>
      </c>
      <c r="M14012" s="23" t="s">
        <v>8</v>
      </c>
    </row>
    <row r="14013" spans="1:13" s="21" customFormat="1" x14ac:dyDescent="0.25">
      <c r="A14013" s="22" t="s">
        <v>8</v>
      </c>
      <c r="B14013" s="18" t="str">
        <f>"555080"</f>
        <v>555080</v>
      </c>
      <c r="C14013" s="19" t="s">
        <v>13759</v>
      </c>
      <c r="D14013" s="19" t="s">
        <v>29404</v>
      </c>
      <c r="E14013" s="19" t="s">
        <v>33407</v>
      </c>
      <c r="F14013" s="19" t="s">
        <v>35978</v>
      </c>
      <c r="G14013" s="18" t="str">
        <f>"95376"</f>
        <v>95376</v>
      </c>
      <c r="H14013" s="19" t="s">
        <v>36087</v>
      </c>
      <c r="I14013" s="20">
        <v>16.93</v>
      </c>
      <c r="J14013" s="44" t="s">
        <v>8</v>
      </c>
      <c r="K14013" s="23" t="s">
        <v>8</v>
      </c>
      <c r="L14013" s="23" t="s">
        <v>8</v>
      </c>
      <c r="M14013" s="23" t="s">
        <v>8</v>
      </c>
    </row>
    <row r="14014" spans="1:13" s="21" customFormat="1" x14ac:dyDescent="0.25">
      <c r="A14014" s="22" t="s">
        <v>8</v>
      </c>
      <c r="B14014" s="18" t="str">
        <f>"555081"</f>
        <v>555081</v>
      </c>
      <c r="C14014" s="19" t="s">
        <v>13760</v>
      </c>
      <c r="D14014" s="19" t="s">
        <v>29405</v>
      </c>
      <c r="E14014" s="19" t="s">
        <v>31148</v>
      </c>
      <c r="F14014" s="19" t="s">
        <v>35978</v>
      </c>
      <c r="G14014" s="18" t="str">
        <f>"91770"</f>
        <v>91770</v>
      </c>
      <c r="H14014" s="19" t="s">
        <v>31109</v>
      </c>
      <c r="I14014" s="20">
        <v>19.218</v>
      </c>
      <c r="J14014" s="44" t="s">
        <v>8</v>
      </c>
      <c r="K14014" s="23" t="s">
        <v>8</v>
      </c>
      <c r="L14014" s="23" t="s">
        <v>8</v>
      </c>
      <c r="M14014" s="23" t="s">
        <v>8</v>
      </c>
    </row>
    <row r="14015" spans="1:13" s="21" customFormat="1" x14ac:dyDescent="0.25">
      <c r="A14015" s="22" t="s">
        <v>8</v>
      </c>
      <c r="B14015" s="18" t="str">
        <f>"555082"</f>
        <v>555082</v>
      </c>
      <c r="C14015" s="19" t="s">
        <v>13761</v>
      </c>
      <c r="D14015" s="19" t="s">
        <v>29406</v>
      </c>
      <c r="E14015" s="19" t="s">
        <v>31165</v>
      </c>
      <c r="F14015" s="19" t="s">
        <v>35978</v>
      </c>
      <c r="G14015" s="18" t="str">
        <f>"94546"</f>
        <v>94546</v>
      </c>
      <c r="H14015" s="19" t="s">
        <v>31290</v>
      </c>
      <c r="I14015" s="20">
        <v>18.771000000000001</v>
      </c>
      <c r="J14015" s="44" t="s">
        <v>8</v>
      </c>
      <c r="K14015" s="23" t="s">
        <v>8</v>
      </c>
      <c r="L14015" s="23" t="s">
        <v>8</v>
      </c>
      <c r="M14015" s="23" t="s">
        <v>8</v>
      </c>
    </row>
    <row r="14016" spans="1:13" s="21" customFormat="1" x14ac:dyDescent="0.25">
      <c r="A14016" s="22" t="s">
        <v>8</v>
      </c>
      <c r="B14016" s="18" t="str">
        <f>"555083"</f>
        <v>555083</v>
      </c>
      <c r="C14016" s="19" t="s">
        <v>13762</v>
      </c>
      <c r="D14016" s="19" t="s">
        <v>29407</v>
      </c>
      <c r="E14016" s="19" t="s">
        <v>31197</v>
      </c>
      <c r="F14016" s="19" t="s">
        <v>35978</v>
      </c>
      <c r="G14016" s="18" t="str">
        <f>"95608"</f>
        <v>95608</v>
      </c>
      <c r="H14016" s="19" t="s">
        <v>31180</v>
      </c>
      <c r="I14016" s="20">
        <v>18.167999999999999</v>
      </c>
      <c r="J14016" s="44" t="s">
        <v>8</v>
      </c>
      <c r="K14016" s="23" t="s">
        <v>8</v>
      </c>
      <c r="L14016" s="23" t="s">
        <v>8</v>
      </c>
      <c r="M14016" s="23" t="s">
        <v>8</v>
      </c>
    </row>
    <row r="14017" spans="1:13" s="21" customFormat="1" x14ac:dyDescent="0.25">
      <c r="A14017" s="22" t="s">
        <v>8</v>
      </c>
      <c r="B14017" s="18" t="str">
        <f>"555084"</f>
        <v>555084</v>
      </c>
      <c r="C14017" s="19" t="s">
        <v>13763</v>
      </c>
      <c r="D14017" s="19" t="s">
        <v>29408</v>
      </c>
      <c r="E14017" s="19" t="s">
        <v>35718</v>
      </c>
      <c r="F14017" s="19" t="s">
        <v>35978</v>
      </c>
      <c r="G14017" s="18" t="str">
        <f>"92201"</f>
        <v>92201</v>
      </c>
      <c r="H14017" s="19" t="s">
        <v>31112</v>
      </c>
      <c r="I14017" s="20">
        <v>17.405000000000001</v>
      </c>
      <c r="J14017" s="44" t="s">
        <v>8</v>
      </c>
      <c r="K14017" s="23" t="s">
        <v>8</v>
      </c>
      <c r="L14017" s="23" t="s">
        <v>8</v>
      </c>
      <c r="M14017" s="23" t="s">
        <v>8</v>
      </c>
    </row>
    <row r="14018" spans="1:13" s="21" customFormat="1" x14ac:dyDescent="0.25">
      <c r="A14018" s="22" t="s">
        <v>8</v>
      </c>
      <c r="B14018" s="18" t="str">
        <f>"555085"</f>
        <v>555085</v>
      </c>
      <c r="C14018" s="19" t="s">
        <v>13764</v>
      </c>
      <c r="D14018" s="19" t="s">
        <v>29409</v>
      </c>
      <c r="E14018" s="19" t="s">
        <v>31172</v>
      </c>
      <c r="F14018" s="19" t="s">
        <v>35978</v>
      </c>
      <c r="G14018" s="18" t="str">
        <f>"91711"</f>
        <v>91711</v>
      </c>
      <c r="H14018" s="19" t="s">
        <v>31109</v>
      </c>
      <c r="I14018" s="20">
        <v>18.042999999999999</v>
      </c>
      <c r="J14018" s="44" t="s">
        <v>8</v>
      </c>
      <c r="K14018" s="23" t="s">
        <v>8</v>
      </c>
      <c r="L14018" s="23" t="s">
        <v>8</v>
      </c>
      <c r="M14018" s="23" t="s">
        <v>8</v>
      </c>
    </row>
    <row r="14019" spans="1:13" s="21" customFormat="1" x14ac:dyDescent="0.25">
      <c r="A14019" s="22" t="s">
        <v>8</v>
      </c>
      <c r="B14019" s="18" t="str">
        <f>"555086"</f>
        <v>555086</v>
      </c>
      <c r="C14019" s="19" t="s">
        <v>13765</v>
      </c>
      <c r="D14019" s="19" t="s">
        <v>29410</v>
      </c>
      <c r="E14019" s="19" t="s">
        <v>31109</v>
      </c>
      <c r="F14019" s="19" t="s">
        <v>35978</v>
      </c>
      <c r="G14019" s="18" t="str">
        <f>"90029"</f>
        <v>90029</v>
      </c>
      <c r="H14019" s="19" t="s">
        <v>31109</v>
      </c>
      <c r="I14019" s="20">
        <v>17.036000000000001</v>
      </c>
      <c r="J14019" s="44" t="s">
        <v>8</v>
      </c>
      <c r="K14019" s="23" t="s">
        <v>8</v>
      </c>
      <c r="L14019" s="23" t="s">
        <v>8</v>
      </c>
      <c r="M14019" s="23" t="s">
        <v>8</v>
      </c>
    </row>
    <row r="14020" spans="1:13" s="21" customFormat="1" x14ac:dyDescent="0.25">
      <c r="A14020" s="22" t="s">
        <v>8</v>
      </c>
      <c r="B14020" s="18" t="str">
        <f>"555088"</f>
        <v>555088</v>
      </c>
      <c r="C14020" s="19" t="s">
        <v>13766</v>
      </c>
      <c r="D14020" s="19" t="s">
        <v>29411</v>
      </c>
      <c r="E14020" s="19" t="s">
        <v>31131</v>
      </c>
      <c r="F14020" s="19" t="s">
        <v>35978</v>
      </c>
      <c r="G14020" s="18" t="str">
        <f>"91731"</f>
        <v>91731</v>
      </c>
      <c r="H14020" s="19" t="s">
        <v>31109</v>
      </c>
      <c r="I14020" s="20">
        <v>20.238</v>
      </c>
      <c r="J14020" s="44" t="s">
        <v>8</v>
      </c>
      <c r="K14020" s="23" t="s">
        <v>8</v>
      </c>
      <c r="L14020" s="23" t="s">
        <v>8</v>
      </c>
      <c r="M14020" s="23" t="s">
        <v>8</v>
      </c>
    </row>
    <row r="14021" spans="1:13" s="21" customFormat="1" x14ac:dyDescent="0.25">
      <c r="A14021" s="22" t="s">
        <v>8</v>
      </c>
      <c r="B14021" s="18" t="str">
        <f>"555089"</f>
        <v>555089</v>
      </c>
      <c r="C14021" s="19" t="s">
        <v>13767</v>
      </c>
      <c r="D14021" s="19" t="s">
        <v>29412</v>
      </c>
      <c r="E14021" s="19" t="s">
        <v>35719</v>
      </c>
      <c r="F14021" s="19" t="s">
        <v>35978</v>
      </c>
      <c r="G14021" s="18" t="str">
        <f>"92324"</f>
        <v>92324</v>
      </c>
      <c r="H14021" s="19" t="s">
        <v>31227</v>
      </c>
      <c r="I14021" s="20">
        <v>19.045999999999999</v>
      </c>
      <c r="J14021" s="44" t="s">
        <v>8</v>
      </c>
      <c r="K14021" s="23" t="s">
        <v>8</v>
      </c>
      <c r="L14021" s="23" t="s">
        <v>8</v>
      </c>
      <c r="M14021" s="23" t="s">
        <v>8</v>
      </c>
    </row>
    <row r="14022" spans="1:13" s="21" customFormat="1" x14ac:dyDescent="0.25">
      <c r="A14022" s="22" t="s">
        <v>8</v>
      </c>
      <c r="B14022" s="18" t="str">
        <f>"555090"</f>
        <v>555090</v>
      </c>
      <c r="C14022" s="19" t="s">
        <v>13768</v>
      </c>
      <c r="D14022" s="19" t="s">
        <v>29413</v>
      </c>
      <c r="E14022" s="19" t="s">
        <v>31187</v>
      </c>
      <c r="F14022" s="19" t="s">
        <v>35978</v>
      </c>
      <c r="G14022" s="18" t="str">
        <f>"93901"</f>
        <v>93901</v>
      </c>
      <c r="H14022" s="19" t="s">
        <v>31274</v>
      </c>
      <c r="I14022" s="20">
        <v>16.783000000000001</v>
      </c>
      <c r="J14022" s="44" t="s">
        <v>8</v>
      </c>
      <c r="K14022" s="23" t="s">
        <v>8</v>
      </c>
      <c r="L14022" s="23" t="s">
        <v>8</v>
      </c>
      <c r="M14022" s="23" t="s">
        <v>8</v>
      </c>
    </row>
    <row r="14023" spans="1:13" s="21" customFormat="1" x14ac:dyDescent="0.25">
      <c r="A14023" s="22" t="s">
        <v>8</v>
      </c>
      <c r="B14023" s="18" t="str">
        <f>"555093"</f>
        <v>555093</v>
      </c>
      <c r="C14023" s="19" t="s">
        <v>13769</v>
      </c>
      <c r="D14023" s="19" t="s">
        <v>29414</v>
      </c>
      <c r="E14023" s="19" t="s">
        <v>31157</v>
      </c>
      <c r="F14023" s="19" t="s">
        <v>35978</v>
      </c>
      <c r="G14023" s="18" t="str">
        <f>"92706"</f>
        <v>92706</v>
      </c>
      <c r="H14023" s="19" t="s">
        <v>31169</v>
      </c>
      <c r="I14023" s="20">
        <v>17.949000000000002</v>
      </c>
      <c r="J14023" s="44" t="s">
        <v>8</v>
      </c>
      <c r="K14023" s="23" t="s">
        <v>8</v>
      </c>
      <c r="L14023" s="23" t="s">
        <v>8</v>
      </c>
      <c r="M14023" s="23" t="s">
        <v>8</v>
      </c>
    </row>
    <row r="14024" spans="1:13" s="21" customFormat="1" x14ac:dyDescent="0.25">
      <c r="A14024" s="22" t="s">
        <v>8</v>
      </c>
      <c r="B14024" s="18" t="str">
        <f>"555095"</f>
        <v>555095</v>
      </c>
      <c r="C14024" s="19" t="s">
        <v>13770</v>
      </c>
      <c r="D14024" s="19" t="s">
        <v>29415</v>
      </c>
      <c r="E14024" s="19" t="s">
        <v>35720</v>
      </c>
      <c r="F14024" s="19" t="s">
        <v>35978</v>
      </c>
      <c r="G14024" s="18" t="str">
        <f>"94599"</f>
        <v>94599</v>
      </c>
      <c r="H14024" s="19" t="s">
        <v>31299</v>
      </c>
      <c r="I14024" s="20">
        <v>15.205</v>
      </c>
      <c r="J14024" s="44" t="s">
        <v>8</v>
      </c>
      <c r="K14024" s="23" t="s">
        <v>8</v>
      </c>
      <c r="L14024" s="23" t="s">
        <v>8</v>
      </c>
      <c r="M14024" s="23" t="s">
        <v>8</v>
      </c>
    </row>
    <row r="14025" spans="1:13" s="21" customFormat="1" x14ac:dyDescent="0.25">
      <c r="A14025" s="22" t="s">
        <v>8</v>
      </c>
      <c r="B14025" s="18" t="str">
        <f>"555096"</f>
        <v>555096</v>
      </c>
      <c r="C14025" s="19" t="s">
        <v>13771</v>
      </c>
      <c r="D14025" s="19" t="s">
        <v>29416</v>
      </c>
      <c r="E14025" s="19" t="s">
        <v>31191</v>
      </c>
      <c r="F14025" s="19" t="s">
        <v>35978</v>
      </c>
      <c r="G14025" s="18" t="str">
        <f>"91103"</f>
        <v>91103</v>
      </c>
      <c r="H14025" s="19" t="s">
        <v>31109</v>
      </c>
      <c r="I14025" s="20">
        <v>20.306000000000001</v>
      </c>
      <c r="J14025" s="44" t="s">
        <v>8</v>
      </c>
      <c r="K14025" s="23" t="s">
        <v>8</v>
      </c>
      <c r="L14025" s="23" t="s">
        <v>8</v>
      </c>
      <c r="M14025" s="23" t="s">
        <v>8</v>
      </c>
    </row>
    <row r="14026" spans="1:13" s="21" customFormat="1" x14ac:dyDescent="0.25">
      <c r="A14026" s="22" t="s">
        <v>8</v>
      </c>
      <c r="B14026" s="18" t="str">
        <f>"555098"</f>
        <v>555098</v>
      </c>
      <c r="C14026" s="19" t="s">
        <v>13772</v>
      </c>
      <c r="D14026" s="19" t="s">
        <v>29417</v>
      </c>
      <c r="E14026" s="19" t="s">
        <v>31180</v>
      </c>
      <c r="F14026" s="19" t="s">
        <v>35978</v>
      </c>
      <c r="G14026" s="18" t="str">
        <f>"95831"</f>
        <v>95831</v>
      </c>
      <c r="H14026" s="19" t="s">
        <v>31180</v>
      </c>
      <c r="I14026" s="20">
        <v>18.120999999999999</v>
      </c>
      <c r="J14026" s="44" t="s">
        <v>8</v>
      </c>
      <c r="K14026" s="23" t="s">
        <v>8</v>
      </c>
      <c r="L14026" s="23" t="s">
        <v>8</v>
      </c>
      <c r="M14026" s="23" t="s">
        <v>8</v>
      </c>
    </row>
    <row r="14027" spans="1:13" s="21" customFormat="1" x14ac:dyDescent="0.25">
      <c r="A14027" s="22" t="s">
        <v>8</v>
      </c>
      <c r="B14027" s="18" t="str">
        <f>"555099"</f>
        <v>555099</v>
      </c>
      <c r="C14027" s="19" t="s">
        <v>13773</v>
      </c>
      <c r="D14027" s="19" t="s">
        <v>29418</v>
      </c>
      <c r="E14027" s="19" t="s">
        <v>31221</v>
      </c>
      <c r="F14027" s="19" t="s">
        <v>35978</v>
      </c>
      <c r="G14027" s="18" t="str">
        <f>"90242"</f>
        <v>90242</v>
      </c>
      <c r="H14027" s="19" t="s">
        <v>31109</v>
      </c>
      <c r="I14027" s="20">
        <v>21.523</v>
      </c>
      <c r="J14027" s="44" t="s">
        <v>8</v>
      </c>
      <c r="K14027" s="23" t="s">
        <v>8</v>
      </c>
      <c r="L14027" s="23" t="s">
        <v>8</v>
      </c>
      <c r="M14027" s="23" t="s">
        <v>8</v>
      </c>
    </row>
    <row r="14028" spans="1:13" s="21" customFormat="1" x14ac:dyDescent="0.25">
      <c r="A14028" s="22" t="s">
        <v>8</v>
      </c>
      <c r="B14028" s="18" t="str">
        <f>"555103"</f>
        <v>555103</v>
      </c>
      <c r="C14028" s="19" t="s">
        <v>13774</v>
      </c>
      <c r="D14028" s="19" t="s">
        <v>29419</v>
      </c>
      <c r="E14028" s="19" t="s">
        <v>31157</v>
      </c>
      <c r="F14028" s="19" t="s">
        <v>35978</v>
      </c>
      <c r="G14028" s="18" t="str">
        <f>"92701"</f>
        <v>92701</v>
      </c>
      <c r="H14028" s="19" t="s">
        <v>31169</v>
      </c>
      <c r="I14028" s="20">
        <v>18.978999999999999</v>
      </c>
      <c r="J14028" s="44" t="s">
        <v>8</v>
      </c>
      <c r="K14028" s="23" t="s">
        <v>8</v>
      </c>
      <c r="L14028" s="23" t="s">
        <v>8</v>
      </c>
      <c r="M14028" s="23" t="s">
        <v>8</v>
      </c>
    </row>
    <row r="14029" spans="1:13" s="21" customFormat="1" x14ac:dyDescent="0.25">
      <c r="A14029" s="22" t="s">
        <v>8</v>
      </c>
      <c r="B14029" s="18" t="str">
        <f>"555104"</f>
        <v>555104</v>
      </c>
      <c r="C14029" s="19" t="s">
        <v>13775</v>
      </c>
      <c r="D14029" s="19" t="s">
        <v>29420</v>
      </c>
      <c r="E14029" s="19" t="s">
        <v>31141</v>
      </c>
      <c r="F14029" s="19" t="s">
        <v>35978</v>
      </c>
      <c r="G14029" s="18" t="str">
        <f>"94518"</f>
        <v>94518</v>
      </c>
      <c r="H14029" s="19" t="s">
        <v>36088</v>
      </c>
      <c r="I14029" s="20">
        <v>18.975000000000001</v>
      </c>
      <c r="J14029" s="44" t="s">
        <v>8</v>
      </c>
      <c r="K14029" s="23" t="s">
        <v>8</v>
      </c>
      <c r="L14029" s="23" t="s">
        <v>8</v>
      </c>
      <c r="M14029" s="23" t="s">
        <v>8</v>
      </c>
    </row>
    <row r="14030" spans="1:13" s="21" customFormat="1" x14ac:dyDescent="0.25">
      <c r="A14030" s="22" t="s">
        <v>8</v>
      </c>
      <c r="B14030" s="18" t="str">
        <f>"555105"</f>
        <v>555105</v>
      </c>
      <c r="C14030" s="19" t="s">
        <v>13776</v>
      </c>
      <c r="D14030" s="19" t="s">
        <v>29421</v>
      </c>
      <c r="E14030" s="19" t="s">
        <v>31110</v>
      </c>
      <c r="F14030" s="19" t="s">
        <v>35978</v>
      </c>
      <c r="G14030" s="18" t="str">
        <f>"95204"</f>
        <v>95204</v>
      </c>
      <c r="H14030" s="19" t="s">
        <v>36087</v>
      </c>
      <c r="I14030" s="20">
        <v>19.407</v>
      </c>
      <c r="J14030" s="44" t="s">
        <v>8</v>
      </c>
      <c r="K14030" s="23" t="s">
        <v>8</v>
      </c>
      <c r="L14030" s="23" t="s">
        <v>8</v>
      </c>
      <c r="M14030" s="23" t="s">
        <v>8</v>
      </c>
    </row>
    <row r="14031" spans="1:13" s="21" customFormat="1" x14ac:dyDescent="0.25">
      <c r="A14031" s="22" t="s">
        <v>8</v>
      </c>
      <c r="B14031" s="18" t="str">
        <f>"555106"</f>
        <v>555106</v>
      </c>
      <c r="C14031" s="19" t="s">
        <v>13777</v>
      </c>
      <c r="D14031" s="19" t="s">
        <v>29422</v>
      </c>
      <c r="E14031" s="19" t="s">
        <v>31131</v>
      </c>
      <c r="F14031" s="19" t="s">
        <v>35978</v>
      </c>
      <c r="G14031" s="18" t="str">
        <f>"91732"</f>
        <v>91732</v>
      </c>
      <c r="H14031" s="19" t="s">
        <v>31109</v>
      </c>
      <c r="I14031" s="20">
        <v>19.045000000000002</v>
      </c>
      <c r="J14031" s="44" t="s">
        <v>8</v>
      </c>
      <c r="K14031" s="23" t="s">
        <v>8</v>
      </c>
      <c r="L14031" s="23" t="s">
        <v>8</v>
      </c>
      <c r="M14031" s="23" t="s">
        <v>8</v>
      </c>
    </row>
    <row r="14032" spans="1:13" s="21" customFormat="1" x14ac:dyDescent="0.25">
      <c r="A14032" s="22" t="s">
        <v>8</v>
      </c>
      <c r="B14032" s="18" t="str">
        <f>"555107"</f>
        <v>555107</v>
      </c>
      <c r="C14032" s="19" t="s">
        <v>13778</v>
      </c>
      <c r="D14032" s="19" t="s">
        <v>29423</v>
      </c>
      <c r="E14032" s="19" t="s">
        <v>31151</v>
      </c>
      <c r="F14032" s="19" t="s">
        <v>35978</v>
      </c>
      <c r="G14032" s="18" t="str">
        <f>"91706"</f>
        <v>91706</v>
      </c>
      <c r="H14032" s="19" t="s">
        <v>31109</v>
      </c>
      <c r="I14032" s="20">
        <v>16.568000000000001</v>
      </c>
      <c r="J14032" s="44" t="s">
        <v>8</v>
      </c>
      <c r="K14032" s="23" t="s">
        <v>8</v>
      </c>
      <c r="L14032" s="23" t="s">
        <v>8</v>
      </c>
      <c r="M14032" s="23" t="s">
        <v>8</v>
      </c>
    </row>
    <row r="14033" spans="1:13" s="21" customFormat="1" x14ac:dyDescent="0.25">
      <c r="A14033" s="22" t="s">
        <v>8</v>
      </c>
      <c r="B14033" s="18" t="str">
        <f>"555108"</f>
        <v>555108</v>
      </c>
      <c r="C14033" s="19" t="s">
        <v>13779</v>
      </c>
      <c r="D14033" s="19" t="s">
        <v>29424</v>
      </c>
      <c r="E14033" s="19" t="s">
        <v>31239</v>
      </c>
      <c r="F14033" s="19" t="s">
        <v>35978</v>
      </c>
      <c r="G14033" s="18" t="str">
        <f>"91762"</f>
        <v>91762</v>
      </c>
      <c r="H14033" s="19" t="s">
        <v>31227</v>
      </c>
      <c r="I14033" s="20">
        <v>17.059000000000001</v>
      </c>
      <c r="J14033" s="44" t="s">
        <v>8</v>
      </c>
      <c r="K14033" s="23" t="s">
        <v>8</v>
      </c>
      <c r="L14033" s="23" t="s">
        <v>8</v>
      </c>
      <c r="M14033" s="23" t="s">
        <v>8</v>
      </c>
    </row>
    <row r="14034" spans="1:13" s="21" customFormat="1" x14ac:dyDescent="0.25">
      <c r="A14034" s="22" t="s">
        <v>8</v>
      </c>
      <c r="B14034" s="18" t="str">
        <f>"555112"</f>
        <v>555112</v>
      </c>
      <c r="C14034" s="19" t="s">
        <v>13780</v>
      </c>
      <c r="D14034" s="19" t="s">
        <v>29425</v>
      </c>
      <c r="E14034" s="19" t="s">
        <v>31113</v>
      </c>
      <c r="F14034" s="19" t="s">
        <v>35978</v>
      </c>
      <c r="G14034" s="18" t="str">
        <f>"90660"</f>
        <v>90660</v>
      </c>
      <c r="H14034" s="19" t="s">
        <v>31109</v>
      </c>
      <c r="I14034" s="20">
        <v>19.364000000000001</v>
      </c>
      <c r="J14034" s="44" t="s">
        <v>8</v>
      </c>
      <c r="K14034" s="23" t="s">
        <v>8</v>
      </c>
      <c r="L14034" s="23" t="s">
        <v>8</v>
      </c>
      <c r="M14034" s="23" t="s">
        <v>8</v>
      </c>
    </row>
    <row r="14035" spans="1:13" s="21" customFormat="1" x14ac:dyDescent="0.25">
      <c r="A14035" s="22" t="s">
        <v>8</v>
      </c>
      <c r="B14035" s="18" t="str">
        <f>"555113"</f>
        <v>555113</v>
      </c>
      <c r="C14035" s="19" t="s">
        <v>13781</v>
      </c>
      <c r="D14035" s="19" t="s">
        <v>29426</v>
      </c>
      <c r="E14035" s="19" t="s">
        <v>31143</v>
      </c>
      <c r="F14035" s="19" t="s">
        <v>35978</v>
      </c>
      <c r="G14035" s="18" t="str">
        <f>"94612"</f>
        <v>94612</v>
      </c>
      <c r="H14035" s="19" t="s">
        <v>31290</v>
      </c>
      <c r="I14035" s="20">
        <v>18.545000000000002</v>
      </c>
      <c r="J14035" s="44" t="s">
        <v>8</v>
      </c>
      <c r="K14035" s="23" t="s">
        <v>8</v>
      </c>
      <c r="L14035" s="23" t="s">
        <v>8</v>
      </c>
      <c r="M14035" s="23" t="s">
        <v>8</v>
      </c>
    </row>
    <row r="14036" spans="1:13" s="21" customFormat="1" x14ac:dyDescent="0.25">
      <c r="A14036" s="22" t="s">
        <v>8</v>
      </c>
      <c r="B14036" s="18" t="str">
        <f>"555114"</f>
        <v>555114</v>
      </c>
      <c r="C14036" s="19" t="s">
        <v>13782</v>
      </c>
      <c r="D14036" s="19" t="s">
        <v>29427</v>
      </c>
      <c r="E14036" s="19" t="s">
        <v>31108</v>
      </c>
      <c r="F14036" s="19" t="s">
        <v>35978</v>
      </c>
      <c r="G14036" s="18" t="str">
        <f>"90503"</f>
        <v>90503</v>
      </c>
      <c r="H14036" s="19" t="s">
        <v>31109</v>
      </c>
      <c r="I14036" s="20">
        <v>19.46</v>
      </c>
      <c r="J14036" s="44" t="s">
        <v>8</v>
      </c>
      <c r="K14036" s="23" t="s">
        <v>8</v>
      </c>
      <c r="L14036" s="23" t="s">
        <v>8</v>
      </c>
      <c r="M14036" s="23" t="s">
        <v>8</v>
      </c>
    </row>
    <row r="14037" spans="1:13" s="21" customFormat="1" x14ac:dyDescent="0.25">
      <c r="A14037" s="22" t="s">
        <v>8</v>
      </c>
      <c r="B14037" s="18" t="str">
        <f>"555115"</f>
        <v>555115</v>
      </c>
      <c r="C14037" s="19" t="s">
        <v>13783</v>
      </c>
      <c r="D14037" s="19" t="s">
        <v>29428</v>
      </c>
      <c r="E14037" s="19" t="s">
        <v>35721</v>
      </c>
      <c r="F14037" s="19" t="s">
        <v>35978</v>
      </c>
      <c r="G14037" s="18" t="str">
        <f>"93644"</f>
        <v>93644</v>
      </c>
      <c r="H14037" s="19" t="s">
        <v>31140</v>
      </c>
      <c r="I14037" s="20">
        <v>21.431999999999999</v>
      </c>
      <c r="J14037" s="44" t="s">
        <v>8</v>
      </c>
      <c r="K14037" s="23" t="s">
        <v>8</v>
      </c>
      <c r="L14037" s="23" t="s">
        <v>8</v>
      </c>
      <c r="M14037" s="23" t="s">
        <v>8</v>
      </c>
    </row>
    <row r="14038" spans="1:13" s="21" customFormat="1" x14ac:dyDescent="0.25">
      <c r="A14038" s="22" t="s">
        <v>8</v>
      </c>
      <c r="B14038" s="18" t="str">
        <f>"555116"</f>
        <v>555116</v>
      </c>
      <c r="C14038" s="19" t="s">
        <v>13784</v>
      </c>
      <c r="D14038" s="19" t="s">
        <v>29429</v>
      </c>
      <c r="E14038" s="19" t="s">
        <v>31236</v>
      </c>
      <c r="F14038" s="19" t="s">
        <v>35978</v>
      </c>
      <c r="G14038" s="18" t="str">
        <f>"93309"</f>
        <v>93309</v>
      </c>
      <c r="H14038" s="19" t="s">
        <v>36098</v>
      </c>
      <c r="I14038" s="20">
        <v>16.983000000000001</v>
      </c>
      <c r="J14038" s="44" t="s">
        <v>8</v>
      </c>
      <c r="K14038" s="23" t="s">
        <v>8</v>
      </c>
      <c r="L14038" s="23" t="s">
        <v>8</v>
      </c>
      <c r="M14038" s="23" t="s">
        <v>8</v>
      </c>
    </row>
    <row r="14039" spans="1:13" s="21" customFormat="1" x14ac:dyDescent="0.25">
      <c r="A14039" s="22" t="s">
        <v>8</v>
      </c>
      <c r="B14039" s="18" t="str">
        <f>"555117"</f>
        <v>555117</v>
      </c>
      <c r="C14039" s="19" t="s">
        <v>13785</v>
      </c>
      <c r="D14039" s="19" t="s">
        <v>29430</v>
      </c>
      <c r="E14039" s="19" t="s">
        <v>31109</v>
      </c>
      <c r="F14039" s="19" t="s">
        <v>35978</v>
      </c>
      <c r="G14039" s="18" t="str">
        <f>"90039"</f>
        <v>90039</v>
      </c>
      <c r="H14039" s="19" t="s">
        <v>31109</v>
      </c>
      <c r="I14039" s="20">
        <v>17.974</v>
      </c>
      <c r="J14039" s="44" t="s">
        <v>8</v>
      </c>
      <c r="K14039" s="23" t="s">
        <v>8</v>
      </c>
      <c r="L14039" s="23" t="s">
        <v>8</v>
      </c>
      <c r="M14039" s="23" t="s">
        <v>8</v>
      </c>
    </row>
    <row r="14040" spans="1:13" s="21" customFormat="1" x14ac:dyDescent="0.25">
      <c r="A14040" s="22" t="s">
        <v>8</v>
      </c>
      <c r="B14040" s="18" t="str">
        <f>"555118"</f>
        <v>555118</v>
      </c>
      <c r="C14040" s="19" t="s">
        <v>13786</v>
      </c>
      <c r="D14040" s="19" t="s">
        <v>29431</v>
      </c>
      <c r="E14040" s="19" t="s">
        <v>31101</v>
      </c>
      <c r="F14040" s="19" t="s">
        <v>35978</v>
      </c>
      <c r="G14040" s="18" t="str">
        <f>"95350"</f>
        <v>95350</v>
      </c>
      <c r="H14040" s="19" t="s">
        <v>36085</v>
      </c>
      <c r="I14040" s="20">
        <v>21.302</v>
      </c>
      <c r="J14040" s="44" t="s">
        <v>8</v>
      </c>
      <c r="K14040" s="23" t="s">
        <v>8</v>
      </c>
      <c r="L14040" s="23" t="s">
        <v>8</v>
      </c>
      <c r="M14040" s="23" t="s">
        <v>8</v>
      </c>
    </row>
    <row r="14041" spans="1:13" s="21" customFormat="1" x14ac:dyDescent="0.25">
      <c r="A14041" s="22" t="s">
        <v>8</v>
      </c>
      <c r="B14041" s="18" t="str">
        <f>"555119"</f>
        <v>555119</v>
      </c>
      <c r="C14041" s="19" t="s">
        <v>13787</v>
      </c>
      <c r="D14041" s="19" t="s">
        <v>29432</v>
      </c>
      <c r="E14041" s="19" t="s">
        <v>31191</v>
      </c>
      <c r="F14041" s="19" t="s">
        <v>35978</v>
      </c>
      <c r="G14041" s="18" t="str">
        <f>"91103"</f>
        <v>91103</v>
      </c>
      <c r="H14041" s="19" t="s">
        <v>31109</v>
      </c>
      <c r="I14041" s="20">
        <v>18.521000000000001</v>
      </c>
      <c r="J14041" s="44" t="s">
        <v>8</v>
      </c>
      <c r="K14041" s="23" t="s">
        <v>8</v>
      </c>
      <c r="L14041" s="23" t="s">
        <v>8</v>
      </c>
      <c r="M14041" s="23" t="s">
        <v>8</v>
      </c>
    </row>
    <row r="14042" spans="1:13" s="21" customFormat="1" x14ac:dyDescent="0.25">
      <c r="A14042" s="22" t="s">
        <v>8</v>
      </c>
      <c r="B14042" s="18" t="str">
        <f>"555120"</f>
        <v>555120</v>
      </c>
      <c r="C14042" s="19" t="s">
        <v>13788</v>
      </c>
      <c r="D14042" s="19" t="s">
        <v>29433</v>
      </c>
      <c r="E14042" s="19" t="s">
        <v>31284</v>
      </c>
      <c r="F14042" s="19" t="s">
        <v>35978</v>
      </c>
      <c r="G14042" s="18" t="str">
        <f>"94954"</f>
        <v>94954</v>
      </c>
      <c r="H14042" s="19" t="s">
        <v>31174</v>
      </c>
      <c r="I14042" s="20">
        <v>18.405000000000001</v>
      </c>
      <c r="J14042" s="44" t="s">
        <v>8</v>
      </c>
      <c r="K14042" s="23" t="s">
        <v>8</v>
      </c>
      <c r="L14042" s="23" t="s">
        <v>8</v>
      </c>
      <c r="M14042" s="23" t="s">
        <v>8</v>
      </c>
    </row>
    <row r="14043" spans="1:13" s="21" customFormat="1" x14ac:dyDescent="0.25">
      <c r="A14043" s="22" t="s">
        <v>8</v>
      </c>
      <c r="B14043" s="18" t="str">
        <f>"555122"</f>
        <v>555122</v>
      </c>
      <c r="C14043" s="19" t="s">
        <v>13789</v>
      </c>
      <c r="D14043" s="19" t="s">
        <v>29434</v>
      </c>
      <c r="E14043" s="19" t="s">
        <v>31180</v>
      </c>
      <c r="F14043" s="19" t="s">
        <v>35978</v>
      </c>
      <c r="G14043" s="18" t="str">
        <f>"95816"</f>
        <v>95816</v>
      </c>
      <c r="H14043" s="19" t="s">
        <v>31180</v>
      </c>
      <c r="I14043" s="20">
        <v>18.603999999999999</v>
      </c>
      <c r="J14043" s="44" t="s">
        <v>8</v>
      </c>
      <c r="K14043" s="23" t="s">
        <v>8</v>
      </c>
      <c r="L14043" s="23" t="s">
        <v>8</v>
      </c>
      <c r="M14043" s="23" t="s">
        <v>8</v>
      </c>
    </row>
    <row r="14044" spans="1:13" s="21" customFormat="1" x14ac:dyDescent="0.25">
      <c r="A14044" s="22" t="s">
        <v>8</v>
      </c>
      <c r="B14044" s="18" t="str">
        <f>"555125"</f>
        <v>555125</v>
      </c>
      <c r="C14044" s="19" t="s">
        <v>13790</v>
      </c>
      <c r="D14044" s="19" t="s">
        <v>29435</v>
      </c>
      <c r="E14044" s="19" t="s">
        <v>31237</v>
      </c>
      <c r="F14044" s="19" t="s">
        <v>35978</v>
      </c>
      <c r="G14044" s="18" t="str">
        <f>"93277"</f>
        <v>93277</v>
      </c>
      <c r="H14044" s="19" t="s">
        <v>31243</v>
      </c>
      <c r="I14044" s="20">
        <v>18.88</v>
      </c>
      <c r="J14044" s="44" t="s">
        <v>8</v>
      </c>
      <c r="K14044" s="23" t="s">
        <v>8</v>
      </c>
      <c r="L14044" s="23" t="s">
        <v>8</v>
      </c>
      <c r="M14044" s="23" t="s">
        <v>8</v>
      </c>
    </row>
    <row r="14045" spans="1:13" s="21" customFormat="1" x14ac:dyDescent="0.25">
      <c r="A14045" s="22" t="s">
        <v>8</v>
      </c>
      <c r="B14045" s="18" t="str">
        <f>"555126"</f>
        <v>555126</v>
      </c>
      <c r="C14045" s="19" t="s">
        <v>13791</v>
      </c>
      <c r="D14045" s="19" t="s">
        <v>29436</v>
      </c>
      <c r="E14045" s="19" t="s">
        <v>31109</v>
      </c>
      <c r="F14045" s="19" t="s">
        <v>35978</v>
      </c>
      <c r="G14045" s="18" t="str">
        <f>"90041"</f>
        <v>90041</v>
      </c>
      <c r="H14045" s="19" t="s">
        <v>31109</v>
      </c>
      <c r="I14045" s="20">
        <v>18.382000000000001</v>
      </c>
      <c r="J14045" s="44" t="s">
        <v>8</v>
      </c>
      <c r="K14045" s="23" t="s">
        <v>8</v>
      </c>
      <c r="L14045" s="23" t="s">
        <v>8</v>
      </c>
      <c r="M14045" s="23" t="s">
        <v>8</v>
      </c>
    </row>
    <row r="14046" spans="1:13" s="21" customFormat="1" x14ac:dyDescent="0.25">
      <c r="A14046" s="22" t="s">
        <v>8</v>
      </c>
      <c r="B14046" s="18" t="str">
        <f>"555127"</f>
        <v>555127</v>
      </c>
      <c r="C14046" s="19" t="s">
        <v>5877</v>
      </c>
      <c r="D14046" s="19" t="s">
        <v>29437</v>
      </c>
      <c r="E14046" s="19" t="s">
        <v>31284</v>
      </c>
      <c r="F14046" s="19" t="s">
        <v>35978</v>
      </c>
      <c r="G14046" s="18" t="str">
        <f>"94952"</f>
        <v>94952</v>
      </c>
      <c r="H14046" s="19" t="s">
        <v>31174</v>
      </c>
      <c r="I14046" s="20">
        <v>18.754999999999999</v>
      </c>
      <c r="J14046" s="44" t="s">
        <v>8</v>
      </c>
      <c r="K14046" s="23" t="s">
        <v>8</v>
      </c>
      <c r="L14046" s="23" t="s">
        <v>8</v>
      </c>
      <c r="M14046" s="23" t="s">
        <v>8</v>
      </c>
    </row>
    <row r="14047" spans="1:13" s="21" customFormat="1" x14ac:dyDescent="0.25">
      <c r="A14047" s="22" t="s">
        <v>8</v>
      </c>
      <c r="B14047" s="18" t="str">
        <f>"555128"</f>
        <v>555128</v>
      </c>
      <c r="C14047" s="19" t="s">
        <v>13792</v>
      </c>
      <c r="D14047" s="19" t="s">
        <v>29438</v>
      </c>
      <c r="E14047" s="19" t="s">
        <v>31221</v>
      </c>
      <c r="F14047" s="19" t="s">
        <v>35978</v>
      </c>
      <c r="G14047" s="18" t="str">
        <f>"90241"</f>
        <v>90241</v>
      </c>
      <c r="H14047" s="19" t="s">
        <v>31109</v>
      </c>
      <c r="I14047" s="20">
        <v>18.991</v>
      </c>
      <c r="J14047" s="44" t="s">
        <v>8</v>
      </c>
      <c r="K14047" s="23" t="s">
        <v>8</v>
      </c>
      <c r="L14047" s="23" t="s">
        <v>8</v>
      </c>
      <c r="M14047" s="23" t="s">
        <v>8</v>
      </c>
    </row>
    <row r="14048" spans="1:13" s="21" customFormat="1" x14ac:dyDescent="0.25">
      <c r="A14048" s="22" t="s">
        <v>8</v>
      </c>
      <c r="B14048" s="18" t="str">
        <f>"555130"</f>
        <v>555130</v>
      </c>
      <c r="C14048" s="19" t="s">
        <v>13793</v>
      </c>
      <c r="D14048" s="19" t="s">
        <v>29439</v>
      </c>
      <c r="E14048" s="19" t="s">
        <v>33978</v>
      </c>
      <c r="F14048" s="19" t="s">
        <v>35978</v>
      </c>
      <c r="G14048" s="18" t="str">
        <f>"90270"</f>
        <v>90270</v>
      </c>
      <c r="H14048" s="19" t="s">
        <v>31109</v>
      </c>
      <c r="I14048" s="20">
        <v>17.318000000000001</v>
      </c>
      <c r="J14048" s="44" t="s">
        <v>8</v>
      </c>
      <c r="K14048" s="23" t="s">
        <v>8</v>
      </c>
      <c r="L14048" s="23" t="s">
        <v>8</v>
      </c>
      <c r="M14048" s="23" t="s">
        <v>8</v>
      </c>
    </row>
    <row r="14049" spans="1:13" s="21" customFormat="1" x14ac:dyDescent="0.25">
      <c r="A14049" s="22" t="s">
        <v>8</v>
      </c>
      <c r="B14049" s="18" t="str">
        <f>"555132"</f>
        <v>555132</v>
      </c>
      <c r="C14049" s="19" t="s">
        <v>13794</v>
      </c>
      <c r="D14049" s="19" t="s">
        <v>29440</v>
      </c>
      <c r="E14049" s="19" t="s">
        <v>31153</v>
      </c>
      <c r="F14049" s="19" t="s">
        <v>35978</v>
      </c>
      <c r="G14049" s="18" t="str">
        <f>"91606"</f>
        <v>91606</v>
      </c>
      <c r="H14049" s="19" t="s">
        <v>31109</v>
      </c>
      <c r="I14049" s="20">
        <v>19.858000000000001</v>
      </c>
      <c r="J14049" s="44" t="s">
        <v>8</v>
      </c>
      <c r="K14049" s="23" t="s">
        <v>8</v>
      </c>
      <c r="L14049" s="23" t="s">
        <v>8</v>
      </c>
      <c r="M14049" s="23" t="s">
        <v>8</v>
      </c>
    </row>
    <row r="14050" spans="1:13" s="21" customFormat="1" x14ac:dyDescent="0.25">
      <c r="A14050" s="22" t="s">
        <v>8</v>
      </c>
      <c r="B14050" s="18" t="str">
        <f>"555134"</f>
        <v>555134</v>
      </c>
      <c r="C14050" s="19" t="s">
        <v>13795</v>
      </c>
      <c r="D14050" s="19" t="s">
        <v>29441</v>
      </c>
      <c r="E14050" s="19" t="s">
        <v>31247</v>
      </c>
      <c r="F14050" s="19" t="s">
        <v>35978</v>
      </c>
      <c r="G14050" s="18" t="str">
        <f>"91977"</f>
        <v>91977</v>
      </c>
      <c r="H14050" s="19" t="s">
        <v>31176</v>
      </c>
      <c r="I14050" s="20">
        <v>17.263000000000002</v>
      </c>
      <c r="J14050" s="44" t="s">
        <v>8</v>
      </c>
      <c r="K14050" s="23" t="s">
        <v>8</v>
      </c>
      <c r="L14050" s="23" t="s">
        <v>8</v>
      </c>
      <c r="M14050" s="23" t="s">
        <v>8</v>
      </c>
    </row>
    <row r="14051" spans="1:13" s="21" customFormat="1" x14ac:dyDescent="0.25">
      <c r="A14051" s="22" t="s">
        <v>8</v>
      </c>
      <c r="B14051" s="18" t="str">
        <f>"555135"</f>
        <v>555135</v>
      </c>
      <c r="C14051" s="19" t="s">
        <v>13796</v>
      </c>
      <c r="D14051" s="19" t="s">
        <v>29442</v>
      </c>
      <c r="E14051" s="19" t="s">
        <v>35239</v>
      </c>
      <c r="F14051" s="19" t="s">
        <v>35978</v>
      </c>
      <c r="G14051" s="18" t="str">
        <f>"92223"</f>
        <v>92223</v>
      </c>
      <c r="H14051" s="19" t="s">
        <v>31112</v>
      </c>
      <c r="I14051" s="20">
        <v>18.576000000000001</v>
      </c>
      <c r="J14051" s="44" t="s">
        <v>8</v>
      </c>
      <c r="K14051" s="23" t="s">
        <v>8</v>
      </c>
      <c r="L14051" s="23" t="s">
        <v>8</v>
      </c>
      <c r="M14051" s="23" t="s">
        <v>8</v>
      </c>
    </row>
    <row r="14052" spans="1:13" s="21" customFormat="1" x14ac:dyDescent="0.25">
      <c r="A14052" s="22" t="s">
        <v>8</v>
      </c>
      <c r="B14052" s="18" t="str">
        <f>"555136"</f>
        <v>555136</v>
      </c>
      <c r="C14052" s="19" t="s">
        <v>13797</v>
      </c>
      <c r="D14052" s="19" t="s">
        <v>29443</v>
      </c>
      <c r="E14052" s="19" t="s">
        <v>35722</v>
      </c>
      <c r="F14052" s="19" t="s">
        <v>35978</v>
      </c>
      <c r="G14052" s="18" t="str">
        <f>"92064"</f>
        <v>92064</v>
      </c>
      <c r="H14052" s="19" t="s">
        <v>31176</v>
      </c>
      <c r="I14052" s="20">
        <v>18.632999999999999</v>
      </c>
      <c r="J14052" s="44" t="s">
        <v>8</v>
      </c>
      <c r="K14052" s="23" t="s">
        <v>8</v>
      </c>
      <c r="L14052" s="23" t="s">
        <v>8</v>
      </c>
      <c r="M14052" s="23" t="s">
        <v>8</v>
      </c>
    </row>
    <row r="14053" spans="1:13" s="21" customFormat="1" x14ac:dyDescent="0.25">
      <c r="A14053" s="22" t="s">
        <v>8</v>
      </c>
      <c r="B14053" s="18" t="str">
        <f>"555137"</f>
        <v>555137</v>
      </c>
      <c r="C14053" s="19" t="s">
        <v>13798</v>
      </c>
      <c r="D14053" s="19" t="s">
        <v>29444</v>
      </c>
      <c r="E14053" s="19" t="s">
        <v>31102</v>
      </c>
      <c r="F14053" s="19" t="s">
        <v>35978</v>
      </c>
      <c r="G14053" s="18" t="str">
        <f>"91335"</f>
        <v>91335</v>
      </c>
      <c r="H14053" s="19" t="s">
        <v>31109</v>
      </c>
      <c r="I14053" s="20">
        <v>18.655000000000001</v>
      </c>
      <c r="J14053" s="44" t="s">
        <v>8</v>
      </c>
      <c r="K14053" s="23" t="s">
        <v>8</v>
      </c>
      <c r="L14053" s="23" t="s">
        <v>8</v>
      </c>
      <c r="M14053" s="23" t="s">
        <v>8</v>
      </c>
    </row>
    <row r="14054" spans="1:13" s="21" customFormat="1" x14ac:dyDescent="0.25">
      <c r="A14054" s="22" t="s">
        <v>8</v>
      </c>
      <c r="B14054" s="18" t="str">
        <f>"555139"</f>
        <v>555139</v>
      </c>
      <c r="C14054" s="19" t="s">
        <v>13799</v>
      </c>
      <c r="D14054" s="19" t="s">
        <v>29445</v>
      </c>
      <c r="E14054" s="19" t="s">
        <v>31109</v>
      </c>
      <c r="F14054" s="19" t="s">
        <v>35978</v>
      </c>
      <c r="G14054" s="18" t="str">
        <f>"90019"</f>
        <v>90019</v>
      </c>
      <c r="H14054" s="19" t="s">
        <v>31109</v>
      </c>
      <c r="I14054" s="20">
        <v>21.916</v>
      </c>
      <c r="J14054" s="44" t="s">
        <v>8</v>
      </c>
      <c r="K14054" s="23" t="s">
        <v>8</v>
      </c>
      <c r="L14054" s="23" t="s">
        <v>8</v>
      </c>
      <c r="M14054" s="23" t="s">
        <v>8</v>
      </c>
    </row>
    <row r="14055" spans="1:13" s="21" customFormat="1" x14ac:dyDescent="0.25">
      <c r="A14055" s="22" t="s">
        <v>8</v>
      </c>
      <c r="B14055" s="18" t="str">
        <f>"555140"</f>
        <v>555140</v>
      </c>
      <c r="C14055" s="19" t="s">
        <v>13800</v>
      </c>
      <c r="D14055" s="19" t="s">
        <v>29446</v>
      </c>
      <c r="E14055" s="19" t="s">
        <v>31118</v>
      </c>
      <c r="F14055" s="19" t="s">
        <v>35978</v>
      </c>
      <c r="G14055" s="18" t="str">
        <f>"92021"</f>
        <v>92021</v>
      </c>
      <c r="H14055" s="19" t="s">
        <v>31176</v>
      </c>
      <c r="I14055" s="20">
        <v>18.899000000000001</v>
      </c>
      <c r="J14055" s="44" t="s">
        <v>8</v>
      </c>
      <c r="K14055" s="23" t="s">
        <v>8</v>
      </c>
      <c r="L14055" s="23" t="s">
        <v>8</v>
      </c>
      <c r="M14055" s="23" t="s">
        <v>8</v>
      </c>
    </row>
    <row r="14056" spans="1:13" s="21" customFormat="1" x14ac:dyDescent="0.25">
      <c r="A14056" s="22" t="s">
        <v>8</v>
      </c>
      <c r="B14056" s="18" t="str">
        <f>"555141"</f>
        <v>555141</v>
      </c>
      <c r="C14056" s="19" t="s">
        <v>12498</v>
      </c>
      <c r="D14056" s="19" t="s">
        <v>29447</v>
      </c>
      <c r="E14056" s="19" t="s">
        <v>31157</v>
      </c>
      <c r="F14056" s="19" t="s">
        <v>35978</v>
      </c>
      <c r="G14056" s="18" t="str">
        <f>"92706"</f>
        <v>92706</v>
      </c>
      <c r="H14056" s="19" t="s">
        <v>31169</v>
      </c>
      <c r="I14056" s="20">
        <v>19.827000000000002</v>
      </c>
      <c r="J14056" s="44" t="s">
        <v>8</v>
      </c>
      <c r="K14056" s="23" t="s">
        <v>8</v>
      </c>
      <c r="L14056" s="23" t="s">
        <v>8</v>
      </c>
      <c r="M14056" s="23" t="s">
        <v>8</v>
      </c>
    </row>
    <row r="14057" spans="1:13" s="21" customFormat="1" x14ac:dyDescent="0.25">
      <c r="A14057" s="22" t="s">
        <v>8</v>
      </c>
      <c r="B14057" s="18" t="str">
        <f>"555143"</f>
        <v>555143</v>
      </c>
      <c r="C14057" s="19" t="s">
        <v>13801</v>
      </c>
      <c r="D14057" s="19" t="s">
        <v>29448</v>
      </c>
      <c r="E14057" s="19" t="s">
        <v>31274</v>
      </c>
      <c r="F14057" s="19" t="s">
        <v>35978</v>
      </c>
      <c r="G14057" s="18" t="str">
        <f>"93940"</f>
        <v>93940</v>
      </c>
      <c r="H14057" s="19" t="s">
        <v>31274</v>
      </c>
      <c r="I14057" s="20">
        <v>14.638</v>
      </c>
      <c r="J14057" s="44" t="s">
        <v>8</v>
      </c>
      <c r="K14057" s="23" t="s">
        <v>8</v>
      </c>
      <c r="L14057" s="23" t="s">
        <v>8</v>
      </c>
      <c r="M14057" s="23" t="s">
        <v>8</v>
      </c>
    </row>
    <row r="14058" spans="1:13" s="21" customFormat="1" x14ac:dyDescent="0.25">
      <c r="A14058" s="22" t="s">
        <v>8</v>
      </c>
      <c r="B14058" s="18" t="str">
        <f>"555144"</f>
        <v>555144</v>
      </c>
      <c r="C14058" s="19" t="s">
        <v>13802</v>
      </c>
      <c r="D14058" s="19" t="s">
        <v>29449</v>
      </c>
      <c r="E14058" s="19" t="s">
        <v>31176</v>
      </c>
      <c r="F14058" s="19" t="s">
        <v>35978</v>
      </c>
      <c r="G14058" s="18" t="str">
        <f>"92103"</f>
        <v>92103</v>
      </c>
      <c r="H14058" s="19" t="s">
        <v>31176</v>
      </c>
      <c r="I14058" s="20">
        <v>18.082000000000001</v>
      </c>
      <c r="J14058" s="44" t="s">
        <v>8</v>
      </c>
      <c r="K14058" s="23" t="s">
        <v>8</v>
      </c>
      <c r="L14058" s="23" t="s">
        <v>8</v>
      </c>
      <c r="M14058" s="23" t="s">
        <v>8</v>
      </c>
    </row>
    <row r="14059" spans="1:13" s="21" customFormat="1" x14ac:dyDescent="0.25">
      <c r="A14059" s="22" t="s">
        <v>8</v>
      </c>
      <c r="B14059" s="18" t="str">
        <f>"555146"</f>
        <v>555146</v>
      </c>
      <c r="C14059" s="19" t="s">
        <v>13803</v>
      </c>
      <c r="D14059" s="19" t="s">
        <v>29450</v>
      </c>
      <c r="E14059" s="19" t="s">
        <v>31119</v>
      </c>
      <c r="F14059" s="19" t="s">
        <v>35978</v>
      </c>
      <c r="G14059" s="18" t="str">
        <f>"92025"</f>
        <v>92025</v>
      </c>
      <c r="H14059" s="19" t="s">
        <v>31176</v>
      </c>
      <c r="I14059" s="20">
        <v>17.63</v>
      </c>
      <c r="J14059" s="44" t="s">
        <v>8</v>
      </c>
      <c r="K14059" s="23" t="s">
        <v>8</v>
      </c>
      <c r="L14059" s="23" t="s">
        <v>8</v>
      </c>
      <c r="M14059" s="23" t="s">
        <v>8</v>
      </c>
    </row>
    <row r="14060" spans="1:13" s="21" customFormat="1" x14ac:dyDescent="0.25">
      <c r="A14060" s="22" t="s">
        <v>8</v>
      </c>
      <c r="B14060" s="18" t="str">
        <f>"555147"</f>
        <v>555147</v>
      </c>
      <c r="C14060" s="19" t="s">
        <v>13804</v>
      </c>
      <c r="D14060" s="19" t="s">
        <v>29451</v>
      </c>
      <c r="E14060" s="19" t="s">
        <v>32202</v>
      </c>
      <c r="F14060" s="19" t="s">
        <v>35978</v>
      </c>
      <c r="G14060" s="18" t="str">
        <f>"96007"</f>
        <v>96007</v>
      </c>
      <c r="H14060" s="19" t="s">
        <v>36097</v>
      </c>
      <c r="I14060" s="20">
        <v>15.535</v>
      </c>
      <c r="J14060" s="44" t="s">
        <v>8</v>
      </c>
      <c r="K14060" s="23" t="s">
        <v>8</v>
      </c>
      <c r="L14060" s="23" t="s">
        <v>8</v>
      </c>
      <c r="M14060" s="23" t="s">
        <v>8</v>
      </c>
    </row>
    <row r="14061" spans="1:13" s="21" customFormat="1" x14ac:dyDescent="0.25">
      <c r="A14061" s="22" t="s">
        <v>8</v>
      </c>
      <c r="B14061" s="18" t="str">
        <f>"555151"</f>
        <v>555151</v>
      </c>
      <c r="C14061" s="19" t="s">
        <v>13254</v>
      </c>
      <c r="D14061" s="19" t="s">
        <v>29452</v>
      </c>
      <c r="E14061" s="19" t="s">
        <v>35723</v>
      </c>
      <c r="F14061" s="19" t="s">
        <v>35978</v>
      </c>
      <c r="G14061" s="18" t="str">
        <f>"95988"</f>
        <v>95988</v>
      </c>
      <c r="H14061" s="19" t="s">
        <v>36944</v>
      </c>
      <c r="I14061" s="20">
        <v>19.658000000000001</v>
      </c>
      <c r="J14061" s="44" t="s">
        <v>8</v>
      </c>
      <c r="K14061" s="23" t="s">
        <v>8</v>
      </c>
      <c r="L14061" s="23" t="s">
        <v>8</v>
      </c>
      <c r="M14061" s="23" t="s">
        <v>8</v>
      </c>
    </row>
    <row r="14062" spans="1:13" s="21" customFormat="1" x14ac:dyDescent="0.25">
      <c r="A14062" s="22" t="s">
        <v>8</v>
      </c>
      <c r="B14062" s="18" t="str">
        <f>"555153"</f>
        <v>555153</v>
      </c>
      <c r="C14062" s="19" t="s">
        <v>13805</v>
      </c>
      <c r="D14062" s="19" t="s">
        <v>29453</v>
      </c>
      <c r="E14062" s="19" t="s">
        <v>35724</v>
      </c>
      <c r="F14062" s="19" t="s">
        <v>35978</v>
      </c>
      <c r="G14062" s="18" t="str">
        <f>"95628"</f>
        <v>95628</v>
      </c>
      <c r="H14062" s="19" t="s">
        <v>31180</v>
      </c>
      <c r="I14062" s="20">
        <v>18.974</v>
      </c>
      <c r="J14062" s="44" t="s">
        <v>8</v>
      </c>
      <c r="K14062" s="23" t="s">
        <v>8</v>
      </c>
      <c r="L14062" s="23" t="s">
        <v>8</v>
      </c>
      <c r="M14062" s="23" t="s">
        <v>8</v>
      </c>
    </row>
    <row r="14063" spans="1:13" s="21" customFormat="1" x14ac:dyDescent="0.25">
      <c r="A14063" s="22" t="s">
        <v>8</v>
      </c>
      <c r="B14063" s="18" t="str">
        <f>"555156"</f>
        <v>555156</v>
      </c>
      <c r="C14063" s="19" t="s">
        <v>13806</v>
      </c>
      <c r="D14063" s="19" t="s">
        <v>29454</v>
      </c>
      <c r="E14063" s="19" t="s">
        <v>31242</v>
      </c>
      <c r="F14063" s="19" t="s">
        <v>35978</v>
      </c>
      <c r="G14063" s="18" t="str">
        <f>"94301"</f>
        <v>94301</v>
      </c>
      <c r="H14063" s="19" t="s">
        <v>31241</v>
      </c>
      <c r="I14063" s="20">
        <v>16.82</v>
      </c>
      <c r="J14063" s="44" t="s">
        <v>8</v>
      </c>
      <c r="K14063" s="23" t="s">
        <v>8</v>
      </c>
      <c r="L14063" s="23" t="s">
        <v>8</v>
      </c>
      <c r="M14063" s="23" t="s">
        <v>8</v>
      </c>
    </row>
    <row r="14064" spans="1:13" s="21" customFormat="1" x14ac:dyDescent="0.25">
      <c r="A14064" s="22" t="s">
        <v>8</v>
      </c>
      <c r="B14064" s="18" t="str">
        <f>"555157"</f>
        <v>555157</v>
      </c>
      <c r="C14064" s="19" t="s">
        <v>13807</v>
      </c>
      <c r="D14064" s="19" t="s">
        <v>29455</v>
      </c>
      <c r="E14064" s="19" t="s">
        <v>31214</v>
      </c>
      <c r="F14064" s="19" t="s">
        <v>35978</v>
      </c>
      <c r="G14064" s="18" t="str">
        <f>"95969"</f>
        <v>95969</v>
      </c>
      <c r="H14064" s="19" t="s">
        <v>33744</v>
      </c>
      <c r="I14064" s="20">
        <v>17.721</v>
      </c>
      <c r="J14064" s="44" t="s">
        <v>8</v>
      </c>
      <c r="K14064" s="23" t="s">
        <v>8</v>
      </c>
      <c r="L14064" s="23" t="s">
        <v>8</v>
      </c>
      <c r="M14064" s="23" t="s">
        <v>8</v>
      </c>
    </row>
    <row r="14065" spans="1:13" s="21" customFormat="1" x14ac:dyDescent="0.25">
      <c r="A14065" s="22" t="s">
        <v>8</v>
      </c>
      <c r="B14065" s="18" t="str">
        <f>"555158"</f>
        <v>555158</v>
      </c>
      <c r="C14065" s="19" t="s">
        <v>13808</v>
      </c>
      <c r="D14065" s="19" t="s">
        <v>29456</v>
      </c>
      <c r="E14065" s="19" t="s">
        <v>35725</v>
      </c>
      <c r="F14065" s="19" t="s">
        <v>35978</v>
      </c>
      <c r="G14065" s="18" t="str">
        <f>"92243"</f>
        <v>92243</v>
      </c>
      <c r="H14065" s="19" t="s">
        <v>33827</v>
      </c>
      <c r="I14065" s="20">
        <v>18.428000000000001</v>
      </c>
      <c r="J14065" s="44" t="s">
        <v>8</v>
      </c>
      <c r="K14065" s="23" t="s">
        <v>8</v>
      </c>
      <c r="L14065" s="23" t="s">
        <v>8</v>
      </c>
      <c r="M14065" s="23" t="s">
        <v>8</v>
      </c>
    </row>
    <row r="14066" spans="1:13" s="21" customFormat="1" x14ac:dyDescent="0.25">
      <c r="A14066" s="22" t="s">
        <v>8</v>
      </c>
      <c r="B14066" s="18" t="str">
        <f>"555160"</f>
        <v>555160</v>
      </c>
      <c r="C14066" s="19" t="s">
        <v>13809</v>
      </c>
      <c r="D14066" s="19" t="s">
        <v>29457</v>
      </c>
      <c r="E14066" s="19" t="s">
        <v>31180</v>
      </c>
      <c r="F14066" s="19" t="s">
        <v>35978</v>
      </c>
      <c r="G14066" s="18" t="str">
        <f>"95823"</f>
        <v>95823</v>
      </c>
      <c r="H14066" s="19" t="s">
        <v>31180</v>
      </c>
      <c r="I14066" s="20">
        <v>17.588000000000001</v>
      </c>
      <c r="J14066" s="44" t="s">
        <v>8</v>
      </c>
      <c r="K14066" s="23" t="s">
        <v>8</v>
      </c>
      <c r="L14066" s="23" t="s">
        <v>8</v>
      </c>
      <c r="M14066" s="23" t="s">
        <v>8</v>
      </c>
    </row>
    <row r="14067" spans="1:13" s="21" customFormat="1" x14ac:dyDescent="0.25">
      <c r="A14067" s="22" t="s">
        <v>8</v>
      </c>
      <c r="B14067" s="18" t="str">
        <f>"555161"</f>
        <v>555161</v>
      </c>
      <c r="C14067" s="19" t="s">
        <v>13810</v>
      </c>
      <c r="D14067" s="19" t="s">
        <v>29458</v>
      </c>
      <c r="E14067" s="19" t="s">
        <v>31299</v>
      </c>
      <c r="F14067" s="19" t="s">
        <v>35978</v>
      </c>
      <c r="G14067" s="18" t="str">
        <f>"94558"</f>
        <v>94558</v>
      </c>
      <c r="H14067" s="19" t="s">
        <v>31299</v>
      </c>
      <c r="I14067" s="20">
        <v>17.314</v>
      </c>
      <c r="J14067" s="44" t="s">
        <v>8</v>
      </c>
      <c r="K14067" s="23" t="s">
        <v>8</v>
      </c>
      <c r="L14067" s="23" t="s">
        <v>8</v>
      </c>
      <c r="M14067" s="23" t="s">
        <v>8</v>
      </c>
    </row>
    <row r="14068" spans="1:13" s="21" customFormat="1" x14ac:dyDescent="0.25">
      <c r="A14068" s="22" t="s">
        <v>8</v>
      </c>
      <c r="B14068" s="18" t="str">
        <f>"555162"</f>
        <v>555162</v>
      </c>
      <c r="C14068" s="19" t="s">
        <v>13811</v>
      </c>
      <c r="D14068" s="19" t="s">
        <v>29459</v>
      </c>
      <c r="E14068" s="19" t="s">
        <v>35726</v>
      </c>
      <c r="F14068" s="19" t="s">
        <v>35978</v>
      </c>
      <c r="G14068" s="18" t="str">
        <f>"92311"</f>
        <v>92311</v>
      </c>
      <c r="H14068" s="19" t="s">
        <v>31227</v>
      </c>
      <c r="I14068" s="20">
        <v>19.465</v>
      </c>
      <c r="J14068" s="44" t="s">
        <v>8</v>
      </c>
      <c r="K14068" s="23" t="s">
        <v>8</v>
      </c>
      <c r="L14068" s="23" t="s">
        <v>8</v>
      </c>
      <c r="M14068" s="23" t="s">
        <v>8</v>
      </c>
    </row>
    <row r="14069" spans="1:13" s="21" customFormat="1" x14ac:dyDescent="0.25">
      <c r="A14069" s="22" t="s">
        <v>8</v>
      </c>
      <c r="B14069" s="18" t="str">
        <f>"555163"</f>
        <v>555163</v>
      </c>
      <c r="C14069" s="19" t="s">
        <v>13812</v>
      </c>
      <c r="D14069" s="19" t="s">
        <v>29460</v>
      </c>
      <c r="E14069" s="19" t="s">
        <v>31234</v>
      </c>
      <c r="F14069" s="19" t="s">
        <v>35978</v>
      </c>
      <c r="G14069" s="18" t="str">
        <f>"93033"</f>
        <v>93033</v>
      </c>
      <c r="H14069" s="19" t="s">
        <v>31228</v>
      </c>
      <c r="I14069" s="20">
        <v>20.879000000000001</v>
      </c>
      <c r="J14069" s="44" t="s">
        <v>8</v>
      </c>
      <c r="K14069" s="23" t="s">
        <v>8</v>
      </c>
      <c r="L14069" s="23" t="s">
        <v>8</v>
      </c>
      <c r="M14069" s="23" t="s">
        <v>8</v>
      </c>
    </row>
    <row r="14070" spans="1:13" s="21" customFormat="1" x14ac:dyDescent="0.25">
      <c r="A14070" s="22" t="s">
        <v>8</v>
      </c>
      <c r="B14070" s="18" t="str">
        <f>"555164"</f>
        <v>555164</v>
      </c>
      <c r="C14070" s="19" t="s">
        <v>13813</v>
      </c>
      <c r="D14070" s="19" t="s">
        <v>29461</v>
      </c>
      <c r="E14070" s="19" t="s">
        <v>31167</v>
      </c>
      <c r="F14070" s="19" t="s">
        <v>35978</v>
      </c>
      <c r="G14070" s="18" t="str">
        <f>"95240"</f>
        <v>95240</v>
      </c>
      <c r="H14070" s="19" t="s">
        <v>36087</v>
      </c>
      <c r="I14070" s="20">
        <v>21.866</v>
      </c>
      <c r="J14070" s="44" t="s">
        <v>8</v>
      </c>
      <c r="K14070" s="23" t="s">
        <v>8</v>
      </c>
      <c r="L14070" s="23" t="s">
        <v>8</v>
      </c>
      <c r="M14070" s="23" t="s">
        <v>8</v>
      </c>
    </row>
    <row r="14071" spans="1:13" s="21" customFormat="1" x14ac:dyDescent="0.25">
      <c r="A14071" s="22" t="s">
        <v>8</v>
      </c>
      <c r="B14071" s="18" t="str">
        <f>"555165"</f>
        <v>555165</v>
      </c>
      <c r="C14071" s="19" t="s">
        <v>13814</v>
      </c>
      <c r="D14071" s="19" t="s">
        <v>29462</v>
      </c>
      <c r="E14071" s="19" t="s">
        <v>31109</v>
      </c>
      <c r="F14071" s="19" t="s">
        <v>35978</v>
      </c>
      <c r="G14071" s="18" t="str">
        <f>"90042"</f>
        <v>90042</v>
      </c>
      <c r="H14071" s="19" t="s">
        <v>31109</v>
      </c>
      <c r="I14071" s="20">
        <v>21.003</v>
      </c>
      <c r="J14071" s="44" t="s">
        <v>8</v>
      </c>
      <c r="K14071" s="23" t="s">
        <v>8</v>
      </c>
      <c r="L14071" s="23" t="s">
        <v>8</v>
      </c>
      <c r="M14071" s="23" t="s">
        <v>8</v>
      </c>
    </row>
    <row r="14072" spans="1:13" s="21" customFormat="1" x14ac:dyDescent="0.25">
      <c r="A14072" s="22" t="s">
        <v>8</v>
      </c>
      <c r="B14072" s="18" t="str">
        <f>"555168"</f>
        <v>555168</v>
      </c>
      <c r="C14072" s="19" t="s">
        <v>13815</v>
      </c>
      <c r="D14072" s="19" t="s">
        <v>29463</v>
      </c>
      <c r="E14072" s="19" t="s">
        <v>31260</v>
      </c>
      <c r="F14072" s="19" t="s">
        <v>35978</v>
      </c>
      <c r="G14072" s="18" t="str">
        <f>"95409"</f>
        <v>95409</v>
      </c>
      <c r="H14072" s="19" t="s">
        <v>31174</v>
      </c>
      <c r="I14072" s="20">
        <v>15.72</v>
      </c>
      <c r="J14072" s="44" t="s">
        <v>8</v>
      </c>
      <c r="K14072" s="23" t="s">
        <v>8</v>
      </c>
      <c r="L14072" s="23" t="s">
        <v>8</v>
      </c>
      <c r="M14072" s="23" t="s">
        <v>8</v>
      </c>
    </row>
    <row r="14073" spans="1:13" s="21" customFormat="1" x14ac:dyDescent="0.25">
      <c r="A14073" s="22" t="s">
        <v>8</v>
      </c>
      <c r="B14073" s="18" t="str">
        <f>"555170"</f>
        <v>555170</v>
      </c>
      <c r="C14073" s="19" t="s">
        <v>13816</v>
      </c>
      <c r="D14073" s="19" t="s">
        <v>29464</v>
      </c>
      <c r="E14073" s="19" t="s">
        <v>35727</v>
      </c>
      <c r="F14073" s="19" t="s">
        <v>35978</v>
      </c>
      <c r="G14073" s="18" t="str">
        <f>"93203"</f>
        <v>93203</v>
      </c>
      <c r="H14073" s="19" t="s">
        <v>36098</v>
      </c>
      <c r="I14073" s="20">
        <v>17.611999999999998</v>
      </c>
      <c r="J14073" s="44" t="s">
        <v>8</v>
      </c>
      <c r="K14073" s="23" t="s">
        <v>8</v>
      </c>
      <c r="L14073" s="23" t="s">
        <v>8</v>
      </c>
      <c r="M14073" s="23" t="s">
        <v>8</v>
      </c>
    </row>
    <row r="14074" spans="1:13" s="21" customFormat="1" x14ac:dyDescent="0.25">
      <c r="A14074" s="22" t="s">
        <v>8</v>
      </c>
      <c r="B14074" s="18" t="str">
        <f>"555179"</f>
        <v>555179</v>
      </c>
      <c r="C14074" s="19" t="s">
        <v>13817</v>
      </c>
      <c r="D14074" s="19" t="s">
        <v>29465</v>
      </c>
      <c r="E14074" s="19" t="s">
        <v>31155</v>
      </c>
      <c r="F14074" s="19" t="s">
        <v>35978</v>
      </c>
      <c r="G14074" s="18" t="str">
        <f>"93710"</f>
        <v>93710</v>
      </c>
      <c r="H14074" s="19" t="s">
        <v>31155</v>
      </c>
      <c r="I14074" s="20">
        <v>21.286999999999999</v>
      </c>
      <c r="J14074" s="44" t="s">
        <v>8</v>
      </c>
      <c r="K14074" s="23" t="s">
        <v>8</v>
      </c>
      <c r="L14074" s="23" t="s">
        <v>8</v>
      </c>
      <c r="M14074" s="23" t="s">
        <v>8</v>
      </c>
    </row>
    <row r="14075" spans="1:13" s="21" customFormat="1" x14ac:dyDescent="0.25">
      <c r="A14075" s="22" t="s">
        <v>8</v>
      </c>
      <c r="B14075" s="18" t="str">
        <f>"555180"</f>
        <v>555180</v>
      </c>
      <c r="C14075" s="19" t="s">
        <v>13818</v>
      </c>
      <c r="D14075" s="19" t="s">
        <v>29466</v>
      </c>
      <c r="E14075" s="19" t="s">
        <v>31215</v>
      </c>
      <c r="F14075" s="19" t="s">
        <v>35978</v>
      </c>
      <c r="G14075" s="18" t="str">
        <f>"95667"</f>
        <v>95667</v>
      </c>
      <c r="H14075" s="19" t="s">
        <v>31015</v>
      </c>
      <c r="I14075" s="20">
        <v>19.808</v>
      </c>
      <c r="J14075" s="44" t="s">
        <v>8</v>
      </c>
      <c r="K14075" s="23" t="s">
        <v>8</v>
      </c>
      <c r="L14075" s="23" t="s">
        <v>8</v>
      </c>
      <c r="M14075" s="23" t="s">
        <v>8</v>
      </c>
    </row>
    <row r="14076" spans="1:13" s="21" customFormat="1" x14ac:dyDescent="0.25">
      <c r="A14076" s="22" t="s">
        <v>8</v>
      </c>
      <c r="B14076" s="18" t="str">
        <f>"555184"</f>
        <v>555184</v>
      </c>
      <c r="C14076" s="19" t="s">
        <v>13819</v>
      </c>
      <c r="D14076" s="19" t="s">
        <v>29467</v>
      </c>
      <c r="E14076" s="19" t="s">
        <v>31162</v>
      </c>
      <c r="F14076" s="19" t="s">
        <v>35978</v>
      </c>
      <c r="G14076" s="18" t="str">
        <f>"94590"</f>
        <v>94590</v>
      </c>
      <c r="H14076" s="19" t="s">
        <v>36086</v>
      </c>
      <c r="I14076" s="20">
        <v>17.754000000000001</v>
      </c>
      <c r="J14076" s="44" t="s">
        <v>8</v>
      </c>
      <c r="K14076" s="23" t="s">
        <v>8</v>
      </c>
      <c r="L14076" s="23" t="s">
        <v>8</v>
      </c>
      <c r="M14076" s="23" t="s">
        <v>8</v>
      </c>
    </row>
    <row r="14077" spans="1:13" s="21" customFormat="1" x14ac:dyDescent="0.25">
      <c r="A14077" s="22" t="s">
        <v>8</v>
      </c>
      <c r="B14077" s="18" t="str">
        <f>"555186"</f>
        <v>555186</v>
      </c>
      <c r="C14077" s="19" t="s">
        <v>13820</v>
      </c>
      <c r="D14077" s="19" t="s">
        <v>29468</v>
      </c>
      <c r="E14077" s="19" t="s">
        <v>31110</v>
      </c>
      <c r="F14077" s="19" t="s">
        <v>35978</v>
      </c>
      <c r="G14077" s="18" t="str">
        <f>"95203"</f>
        <v>95203</v>
      </c>
      <c r="H14077" s="19" t="s">
        <v>36087</v>
      </c>
      <c r="I14077" s="20">
        <v>15.698</v>
      </c>
      <c r="J14077" s="44" t="s">
        <v>8</v>
      </c>
      <c r="K14077" s="23" t="s">
        <v>8</v>
      </c>
      <c r="L14077" s="23" t="s">
        <v>8</v>
      </c>
      <c r="M14077" s="23" t="s">
        <v>8</v>
      </c>
    </row>
    <row r="14078" spans="1:13" s="21" customFormat="1" x14ac:dyDescent="0.25">
      <c r="A14078" s="22" t="s">
        <v>8</v>
      </c>
      <c r="B14078" s="18" t="str">
        <f>"555189"</f>
        <v>555189</v>
      </c>
      <c r="C14078" s="19" t="s">
        <v>13821</v>
      </c>
      <c r="D14078" s="19" t="s">
        <v>29469</v>
      </c>
      <c r="E14078" s="19" t="s">
        <v>31143</v>
      </c>
      <c r="F14078" s="19" t="s">
        <v>35978</v>
      </c>
      <c r="G14078" s="18" t="str">
        <f>"94601"</f>
        <v>94601</v>
      </c>
      <c r="H14078" s="19" t="s">
        <v>31290</v>
      </c>
      <c r="I14078" s="20">
        <v>17.34</v>
      </c>
      <c r="J14078" s="44" t="s">
        <v>8</v>
      </c>
      <c r="K14078" s="23" t="s">
        <v>8</v>
      </c>
      <c r="L14078" s="23" t="s">
        <v>8</v>
      </c>
      <c r="M14078" s="23" t="s">
        <v>8</v>
      </c>
    </row>
    <row r="14079" spans="1:13" s="21" customFormat="1" x14ac:dyDescent="0.25">
      <c r="A14079" s="22" t="s">
        <v>8</v>
      </c>
      <c r="B14079" s="18" t="str">
        <f>"555190"</f>
        <v>555190</v>
      </c>
      <c r="C14079" s="19" t="s">
        <v>13822</v>
      </c>
      <c r="D14079" s="19" t="s">
        <v>29470</v>
      </c>
      <c r="E14079" s="19" t="s">
        <v>31101</v>
      </c>
      <c r="F14079" s="19" t="s">
        <v>35978</v>
      </c>
      <c r="G14079" s="18" t="str">
        <f>"95350"</f>
        <v>95350</v>
      </c>
      <c r="H14079" s="19" t="s">
        <v>36085</v>
      </c>
      <c r="I14079" s="20">
        <v>17.3</v>
      </c>
      <c r="J14079" s="44" t="s">
        <v>8</v>
      </c>
      <c r="K14079" s="23" t="s">
        <v>8</v>
      </c>
      <c r="L14079" s="23" t="s">
        <v>8</v>
      </c>
      <c r="M14079" s="23" t="s">
        <v>8</v>
      </c>
    </row>
    <row r="14080" spans="1:13" s="21" customFormat="1" x14ac:dyDescent="0.25">
      <c r="A14080" s="22" t="s">
        <v>8</v>
      </c>
      <c r="B14080" s="18" t="str">
        <f>"555195"</f>
        <v>555195</v>
      </c>
      <c r="C14080" s="19" t="s">
        <v>13823</v>
      </c>
      <c r="D14080" s="19" t="s">
        <v>29471</v>
      </c>
      <c r="E14080" s="19" t="s">
        <v>31227</v>
      </c>
      <c r="F14080" s="19" t="s">
        <v>35978</v>
      </c>
      <c r="G14080" s="18" t="str">
        <f>"92404"</f>
        <v>92404</v>
      </c>
      <c r="H14080" s="19" t="s">
        <v>31227</v>
      </c>
      <c r="I14080" s="20">
        <v>18.106000000000002</v>
      </c>
      <c r="J14080" s="44" t="s">
        <v>8</v>
      </c>
      <c r="K14080" s="23" t="s">
        <v>8</v>
      </c>
      <c r="L14080" s="23" t="s">
        <v>8</v>
      </c>
      <c r="M14080" s="23" t="s">
        <v>8</v>
      </c>
    </row>
    <row r="14081" spans="1:13" s="21" customFormat="1" x14ac:dyDescent="0.25">
      <c r="A14081" s="22" t="s">
        <v>8</v>
      </c>
      <c r="B14081" s="18" t="str">
        <f>"555197"</f>
        <v>555197</v>
      </c>
      <c r="C14081" s="19" t="s">
        <v>13824</v>
      </c>
      <c r="D14081" s="19" t="s">
        <v>29472</v>
      </c>
      <c r="E14081" s="19" t="s">
        <v>31146</v>
      </c>
      <c r="F14081" s="19" t="s">
        <v>35978</v>
      </c>
      <c r="G14081" s="18" t="str">
        <f>"94118"</f>
        <v>94118</v>
      </c>
      <c r="H14081" s="19" t="s">
        <v>31146</v>
      </c>
      <c r="I14081" s="20">
        <v>17.044</v>
      </c>
      <c r="J14081" s="44" t="s">
        <v>8</v>
      </c>
      <c r="K14081" s="23" t="s">
        <v>8</v>
      </c>
      <c r="L14081" s="23" t="s">
        <v>8</v>
      </c>
      <c r="M14081" s="23" t="s">
        <v>8</v>
      </c>
    </row>
    <row r="14082" spans="1:13" s="21" customFormat="1" x14ac:dyDescent="0.25">
      <c r="A14082" s="22" t="s">
        <v>8</v>
      </c>
      <c r="B14082" s="18" t="str">
        <f>"555199"</f>
        <v>555199</v>
      </c>
      <c r="C14082" s="19" t="s">
        <v>13825</v>
      </c>
      <c r="D14082" s="19" t="s">
        <v>29473</v>
      </c>
      <c r="E14082" s="19" t="s">
        <v>31151</v>
      </c>
      <c r="F14082" s="19" t="s">
        <v>35978</v>
      </c>
      <c r="G14082" s="18" t="str">
        <f>"91706"</f>
        <v>91706</v>
      </c>
      <c r="H14082" s="19" t="s">
        <v>31109</v>
      </c>
      <c r="I14082" s="20">
        <v>19.442</v>
      </c>
      <c r="J14082" s="44" t="s">
        <v>8</v>
      </c>
      <c r="K14082" s="23" t="s">
        <v>8</v>
      </c>
      <c r="L14082" s="23" t="s">
        <v>8</v>
      </c>
      <c r="M14082" s="23" t="s">
        <v>8</v>
      </c>
    </row>
    <row r="14083" spans="1:13" s="21" customFormat="1" x14ac:dyDescent="0.25">
      <c r="A14083" s="22" t="s">
        <v>8</v>
      </c>
      <c r="B14083" s="18" t="str">
        <f>"555200"</f>
        <v>555200</v>
      </c>
      <c r="C14083" s="19" t="s">
        <v>13826</v>
      </c>
      <c r="D14083" s="19" t="s">
        <v>29474</v>
      </c>
      <c r="E14083" s="19" t="s">
        <v>35728</v>
      </c>
      <c r="F14083" s="19" t="s">
        <v>35978</v>
      </c>
      <c r="G14083" s="18" t="str">
        <f>"95987"</f>
        <v>95987</v>
      </c>
      <c r="H14083" s="19" t="s">
        <v>31097</v>
      </c>
      <c r="I14083" s="20">
        <v>20.013999999999999</v>
      </c>
      <c r="J14083" s="44" t="s">
        <v>8</v>
      </c>
      <c r="K14083" s="23" t="s">
        <v>8</v>
      </c>
      <c r="L14083" s="23" t="s">
        <v>8</v>
      </c>
      <c r="M14083" s="23" t="s">
        <v>8</v>
      </c>
    </row>
    <row r="14084" spans="1:13" s="21" customFormat="1" x14ac:dyDescent="0.25">
      <c r="A14084" s="22" t="s">
        <v>8</v>
      </c>
      <c r="B14084" s="18" t="str">
        <f>"555206"</f>
        <v>555206</v>
      </c>
      <c r="C14084" s="19" t="s">
        <v>13827</v>
      </c>
      <c r="D14084" s="19" t="s">
        <v>29475</v>
      </c>
      <c r="E14084" s="19" t="s">
        <v>35722</v>
      </c>
      <c r="F14084" s="19" t="s">
        <v>35978</v>
      </c>
      <c r="G14084" s="18" t="str">
        <f>"92064"</f>
        <v>92064</v>
      </c>
      <c r="H14084" s="19" t="s">
        <v>31176</v>
      </c>
      <c r="I14084" s="20">
        <v>22.254000000000001</v>
      </c>
      <c r="J14084" s="44" t="s">
        <v>8</v>
      </c>
      <c r="K14084" s="23" t="s">
        <v>8</v>
      </c>
      <c r="L14084" s="23" t="s">
        <v>8</v>
      </c>
      <c r="M14084" s="23" t="s">
        <v>8</v>
      </c>
    </row>
    <row r="14085" spans="1:13" s="21" customFormat="1" x14ac:dyDescent="0.25">
      <c r="A14085" s="22" t="s">
        <v>8</v>
      </c>
      <c r="B14085" s="18" t="str">
        <f>"555207"</f>
        <v>555207</v>
      </c>
      <c r="C14085" s="19" t="s">
        <v>13828</v>
      </c>
      <c r="D14085" s="19" t="s">
        <v>29476</v>
      </c>
      <c r="E14085" s="19" t="s">
        <v>31299</v>
      </c>
      <c r="F14085" s="19" t="s">
        <v>35978</v>
      </c>
      <c r="G14085" s="18" t="str">
        <f>"94558"</f>
        <v>94558</v>
      </c>
      <c r="H14085" s="19" t="s">
        <v>31299</v>
      </c>
      <c r="I14085" s="20">
        <v>18.963000000000001</v>
      </c>
      <c r="J14085" s="44" t="s">
        <v>8</v>
      </c>
      <c r="K14085" s="23" t="s">
        <v>8</v>
      </c>
      <c r="L14085" s="23" t="s">
        <v>8</v>
      </c>
      <c r="M14085" s="23" t="s">
        <v>8</v>
      </c>
    </row>
    <row r="14086" spans="1:13" s="21" customFormat="1" x14ac:dyDescent="0.25">
      <c r="A14086" s="22" t="s">
        <v>8</v>
      </c>
      <c r="B14086" s="18" t="str">
        <f>"555208"</f>
        <v>555208</v>
      </c>
      <c r="C14086" s="19" t="s">
        <v>13829</v>
      </c>
      <c r="D14086" s="19" t="s">
        <v>29477</v>
      </c>
      <c r="E14086" s="19" t="s">
        <v>31237</v>
      </c>
      <c r="F14086" s="19" t="s">
        <v>35978</v>
      </c>
      <c r="G14086" s="18" t="str">
        <f>"93277"</f>
        <v>93277</v>
      </c>
      <c r="H14086" s="19" t="s">
        <v>31243</v>
      </c>
      <c r="I14086" s="20">
        <v>17.681999999999999</v>
      </c>
      <c r="J14086" s="44" t="s">
        <v>8</v>
      </c>
      <c r="K14086" s="23" t="s">
        <v>8</v>
      </c>
      <c r="L14086" s="23" t="s">
        <v>8</v>
      </c>
      <c r="M14086" s="23" t="s">
        <v>8</v>
      </c>
    </row>
    <row r="14087" spans="1:13" s="21" customFormat="1" x14ac:dyDescent="0.25">
      <c r="A14087" s="22" t="s">
        <v>8</v>
      </c>
      <c r="B14087" s="18" t="str">
        <f>"555209"</f>
        <v>555209</v>
      </c>
      <c r="C14087" s="19" t="s">
        <v>13830</v>
      </c>
      <c r="D14087" s="19" t="s">
        <v>29478</v>
      </c>
      <c r="E14087" s="19" t="s">
        <v>31096</v>
      </c>
      <c r="F14087" s="19" t="s">
        <v>35978</v>
      </c>
      <c r="G14087" s="18" t="str">
        <f>"95370"</f>
        <v>95370</v>
      </c>
      <c r="H14087" s="19" t="s">
        <v>36084</v>
      </c>
      <c r="I14087" s="20">
        <v>18.559999999999999</v>
      </c>
      <c r="J14087" s="44" t="s">
        <v>8</v>
      </c>
      <c r="K14087" s="23" t="s">
        <v>8</v>
      </c>
      <c r="L14087" s="23" t="s">
        <v>8</v>
      </c>
      <c r="M14087" s="23" t="s">
        <v>8</v>
      </c>
    </row>
    <row r="14088" spans="1:13" s="21" customFormat="1" x14ac:dyDescent="0.25">
      <c r="A14088" s="22" t="s">
        <v>8</v>
      </c>
      <c r="B14088" s="18" t="str">
        <f>"555211"</f>
        <v>555211</v>
      </c>
      <c r="C14088" s="19" t="s">
        <v>13831</v>
      </c>
      <c r="D14088" s="19" t="s">
        <v>29479</v>
      </c>
      <c r="E14088" s="19" t="s">
        <v>31313</v>
      </c>
      <c r="F14088" s="19" t="s">
        <v>35978</v>
      </c>
      <c r="G14088" s="18" t="str">
        <f>"92683"</f>
        <v>92683</v>
      </c>
      <c r="H14088" s="19" t="s">
        <v>31169</v>
      </c>
      <c r="I14088" s="20">
        <v>18.623999999999999</v>
      </c>
      <c r="J14088" s="44" t="s">
        <v>8</v>
      </c>
      <c r="K14088" s="23" t="s">
        <v>8</v>
      </c>
      <c r="L14088" s="23" t="s">
        <v>8</v>
      </c>
      <c r="M14088" s="23" t="s">
        <v>8</v>
      </c>
    </row>
    <row r="14089" spans="1:13" s="21" customFormat="1" x14ac:dyDescent="0.25">
      <c r="A14089" s="22" t="s">
        <v>8</v>
      </c>
      <c r="B14089" s="18" t="str">
        <f>"555213"</f>
        <v>555213</v>
      </c>
      <c r="C14089" s="19" t="s">
        <v>13832</v>
      </c>
      <c r="D14089" s="19" t="s">
        <v>29480</v>
      </c>
      <c r="E14089" s="19" t="s">
        <v>31191</v>
      </c>
      <c r="F14089" s="19" t="s">
        <v>35978</v>
      </c>
      <c r="G14089" s="18" t="str">
        <f>"91103"</f>
        <v>91103</v>
      </c>
      <c r="H14089" s="19" t="s">
        <v>31109</v>
      </c>
      <c r="I14089" s="20">
        <v>18.512</v>
      </c>
      <c r="J14089" s="44" t="s">
        <v>8</v>
      </c>
      <c r="K14089" s="23" t="s">
        <v>8</v>
      </c>
      <c r="L14089" s="23" t="s">
        <v>8</v>
      </c>
      <c r="M14089" s="23" t="s">
        <v>8</v>
      </c>
    </row>
    <row r="14090" spans="1:13" s="21" customFormat="1" x14ac:dyDescent="0.25">
      <c r="A14090" s="22" t="s">
        <v>8</v>
      </c>
      <c r="B14090" s="18" t="str">
        <f>"555214"</f>
        <v>555214</v>
      </c>
      <c r="C14090" s="19" t="s">
        <v>13833</v>
      </c>
      <c r="D14090" s="19" t="s">
        <v>29481</v>
      </c>
      <c r="E14090" s="19" t="s">
        <v>31186</v>
      </c>
      <c r="F14090" s="19" t="s">
        <v>35978</v>
      </c>
      <c r="G14090" s="18" t="str">
        <f>"94903"</f>
        <v>94903</v>
      </c>
      <c r="H14090" s="19" t="s">
        <v>36090</v>
      </c>
      <c r="I14090" s="20">
        <v>19.902000000000001</v>
      </c>
      <c r="J14090" s="44" t="s">
        <v>8</v>
      </c>
      <c r="K14090" s="23" t="s">
        <v>8</v>
      </c>
      <c r="L14090" s="23" t="s">
        <v>8</v>
      </c>
      <c r="M14090" s="23" t="s">
        <v>8</v>
      </c>
    </row>
    <row r="14091" spans="1:13" s="21" customFormat="1" x14ac:dyDescent="0.25">
      <c r="A14091" s="22" t="s">
        <v>8</v>
      </c>
      <c r="B14091" s="18" t="str">
        <f>"555216"</f>
        <v>555216</v>
      </c>
      <c r="C14091" s="19" t="s">
        <v>13834</v>
      </c>
      <c r="D14091" s="19" t="s">
        <v>29482</v>
      </c>
      <c r="E14091" s="19" t="s">
        <v>31193</v>
      </c>
      <c r="F14091" s="19" t="s">
        <v>35978</v>
      </c>
      <c r="G14091" s="18" t="str">
        <f>"91911"</f>
        <v>91911</v>
      </c>
      <c r="H14091" s="19" t="s">
        <v>31176</v>
      </c>
      <c r="I14091" s="20">
        <v>21.312999999999999</v>
      </c>
      <c r="J14091" s="44" t="s">
        <v>8</v>
      </c>
      <c r="K14091" s="23" t="s">
        <v>8</v>
      </c>
      <c r="L14091" s="23" t="s">
        <v>8</v>
      </c>
      <c r="M14091" s="23" t="s">
        <v>8</v>
      </c>
    </row>
    <row r="14092" spans="1:13" s="21" customFormat="1" x14ac:dyDescent="0.25">
      <c r="A14092" s="22" t="s">
        <v>8</v>
      </c>
      <c r="B14092" s="18" t="str">
        <f>"555217"</f>
        <v>555217</v>
      </c>
      <c r="C14092" s="19" t="s">
        <v>13835</v>
      </c>
      <c r="D14092" s="19" t="s">
        <v>29483</v>
      </c>
      <c r="E14092" s="19" t="s">
        <v>35729</v>
      </c>
      <c r="F14092" s="19" t="s">
        <v>35978</v>
      </c>
      <c r="G14092" s="18" t="str">
        <f>"91352"</f>
        <v>91352</v>
      </c>
      <c r="H14092" s="19" t="s">
        <v>31109</v>
      </c>
      <c r="I14092" s="20">
        <v>18.193000000000001</v>
      </c>
      <c r="J14092" s="44" t="s">
        <v>8</v>
      </c>
      <c r="K14092" s="23" t="s">
        <v>8</v>
      </c>
      <c r="L14092" s="23" t="s">
        <v>8</v>
      </c>
      <c r="M14092" s="23" t="s">
        <v>8</v>
      </c>
    </row>
    <row r="14093" spans="1:13" s="21" customFormat="1" x14ac:dyDescent="0.25">
      <c r="A14093" s="22" t="s">
        <v>8</v>
      </c>
      <c r="B14093" s="18" t="str">
        <f>"555218"</f>
        <v>555218</v>
      </c>
      <c r="C14093" s="19" t="s">
        <v>13836</v>
      </c>
      <c r="D14093" s="19" t="s">
        <v>29484</v>
      </c>
      <c r="E14093" s="19" t="s">
        <v>31109</v>
      </c>
      <c r="F14093" s="19" t="s">
        <v>35978</v>
      </c>
      <c r="G14093" s="18" t="str">
        <f>"90018"</f>
        <v>90018</v>
      </c>
      <c r="H14093" s="19" t="s">
        <v>31109</v>
      </c>
      <c r="I14093" s="20">
        <v>18.491</v>
      </c>
      <c r="J14093" s="44" t="s">
        <v>8</v>
      </c>
      <c r="K14093" s="23" t="s">
        <v>8</v>
      </c>
      <c r="L14093" s="23" t="s">
        <v>8</v>
      </c>
      <c r="M14093" s="23" t="s">
        <v>8</v>
      </c>
    </row>
    <row r="14094" spans="1:13" s="21" customFormat="1" x14ac:dyDescent="0.25">
      <c r="A14094" s="22" t="s">
        <v>8</v>
      </c>
      <c r="B14094" s="18" t="str">
        <f>"555219"</f>
        <v>555219</v>
      </c>
      <c r="C14094" s="19" t="s">
        <v>13837</v>
      </c>
      <c r="D14094" s="19" t="s">
        <v>29485</v>
      </c>
      <c r="E14094" s="19" t="s">
        <v>30926</v>
      </c>
      <c r="F14094" s="19" t="s">
        <v>35978</v>
      </c>
      <c r="G14094" s="18" t="str">
        <f>"95603"</f>
        <v>95603</v>
      </c>
      <c r="H14094" s="19" t="s">
        <v>36093</v>
      </c>
      <c r="I14094" s="20">
        <v>15.625</v>
      </c>
      <c r="J14094" s="44" t="s">
        <v>8</v>
      </c>
      <c r="K14094" s="23" t="s">
        <v>8</v>
      </c>
      <c r="L14094" s="23" t="s">
        <v>8</v>
      </c>
      <c r="M14094" s="23" t="s">
        <v>8</v>
      </c>
    </row>
    <row r="14095" spans="1:13" s="21" customFormat="1" x14ac:dyDescent="0.25">
      <c r="A14095" s="22" t="s">
        <v>8</v>
      </c>
      <c r="B14095" s="18" t="str">
        <f>"555220"</f>
        <v>555220</v>
      </c>
      <c r="C14095" s="19" t="s">
        <v>13838</v>
      </c>
      <c r="D14095" s="19" t="s">
        <v>29486</v>
      </c>
      <c r="E14095" s="19" t="s">
        <v>35730</v>
      </c>
      <c r="F14095" s="19" t="s">
        <v>35978</v>
      </c>
      <c r="G14095" s="18" t="str">
        <f>"93465"</f>
        <v>93465</v>
      </c>
      <c r="H14095" s="19" t="s">
        <v>31125</v>
      </c>
      <c r="I14095" s="20">
        <v>18.843</v>
      </c>
      <c r="J14095" s="44" t="s">
        <v>8</v>
      </c>
      <c r="K14095" s="23" t="s">
        <v>8</v>
      </c>
      <c r="L14095" s="23" t="s">
        <v>8</v>
      </c>
      <c r="M14095" s="23" t="s">
        <v>8</v>
      </c>
    </row>
    <row r="14096" spans="1:13" s="21" customFormat="1" x14ac:dyDescent="0.25">
      <c r="A14096" s="22" t="s">
        <v>8</v>
      </c>
      <c r="B14096" s="18" t="str">
        <f>"555222"</f>
        <v>555222</v>
      </c>
      <c r="C14096" s="19" t="s">
        <v>13839</v>
      </c>
      <c r="D14096" s="19" t="s">
        <v>29487</v>
      </c>
      <c r="E14096" s="19" t="s">
        <v>31216</v>
      </c>
      <c r="F14096" s="19" t="s">
        <v>35978</v>
      </c>
      <c r="G14096" s="18" t="str">
        <f>"95453"</f>
        <v>95453</v>
      </c>
      <c r="H14096" s="19" t="s">
        <v>36096</v>
      </c>
      <c r="I14096" s="20">
        <v>14.759</v>
      </c>
      <c r="J14096" s="44" t="s">
        <v>8</v>
      </c>
      <c r="K14096" s="23" t="s">
        <v>8</v>
      </c>
      <c r="L14096" s="23" t="s">
        <v>8</v>
      </c>
      <c r="M14096" s="23" t="s">
        <v>8</v>
      </c>
    </row>
    <row r="14097" spans="1:13" s="21" customFormat="1" x14ac:dyDescent="0.25">
      <c r="A14097" s="22" t="s">
        <v>8</v>
      </c>
      <c r="B14097" s="18" t="str">
        <f>"555223"</f>
        <v>555223</v>
      </c>
      <c r="C14097" s="19" t="s">
        <v>13840</v>
      </c>
      <c r="D14097" s="19" t="s">
        <v>29488</v>
      </c>
      <c r="E14097" s="19" t="s">
        <v>35731</v>
      </c>
      <c r="F14097" s="19" t="s">
        <v>35978</v>
      </c>
      <c r="G14097" s="18" t="str">
        <f>"93010"</f>
        <v>93010</v>
      </c>
      <c r="H14097" s="19" t="s">
        <v>31228</v>
      </c>
      <c r="I14097" s="20">
        <v>19.363</v>
      </c>
      <c r="J14097" s="44" t="s">
        <v>8</v>
      </c>
      <c r="K14097" s="23" t="s">
        <v>8</v>
      </c>
      <c r="L14097" s="23" t="s">
        <v>8</v>
      </c>
      <c r="M14097" s="23" t="s">
        <v>8</v>
      </c>
    </row>
    <row r="14098" spans="1:13" s="21" customFormat="1" x14ac:dyDescent="0.25">
      <c r="A14098" s="22" t="s">
        <v>8</v>
      </c>
      <c r="B14098" s="18" t="str">
        <f>"555226"</f>
        <v>555226</v>
      </c>
      <c r="C14098" s="19" t="s">
        <v>13841</v>
      </c>
      <c r="D14098" s="19" t="s">
        <v>29489</v>
      </c>
      <c r="E14098" s="19" t="s">
        <v>35732</v>
      </c>
      <c r="F14098" s="19" t="s">
        <v>35978</v>
      </c>
      <c r="G14098" s="18" t="str">
        <f>"92211"</f>
        <v>92211</v>
      </c>
      <c r="H14098" s="19" t="s">
        <v>31112</v>
      </c>
      <c r="I14098" s="20">
        <v>18.728999999999999</v>
      </c>
      <c r="J14098" s="44" t="s">
        <v>8</v>
      </c>
      <c r="K14098" s="23" t="s">
        <v>8</v>
      </c>
      <c r="L14098" s="23" t="s">
        <v>8</v>
      </c>
      <c r="M14098" s="23" t="s">
        <v>8</v>
      </c>
    </row>
    <row r="14099" spans="1:13" s="21" customFormat="1" x14ac:dyDescent="0.25">
      <c r="A14099" s="22" t="s">
        <v>8</v>
      </c>
      <c r="B14099" s="18" t="str">
        <f>"555227"</f>
        <v>555227</v>
      </c>
      <c r="C14099" s="19" t="s">
        <v>13842</v>
      </c>
      <c r="D14099" s="19" t="s">
        <v>29490</v>
      </c>
      <c r="E14099" s="19" t="s">
        <v>31186</v>
      </c>
      <c r="F14099" s="19" t="s">
        <v>35978</v>
      </c>
      <c r="G14099" s="18" t="str">
        <f>"94903"</f>
        <v>94903</v>
      </c>
      <c r="H14099" s="19" t="s">
        <v>36090</v>
      </c>
      <c r="I14099" s="20">
        <v>19.445</v>
      </c>
      <c r="J14099" s="44" t="s">
        <v>8</v>
      </c>
      <c r="K14099" s="23" t="s">
        <v>8</v>
      </c>
      <c r="L14099" s="23" t="s">
        <v>8</v>
      </c>
      <c r="M14099" s="23" t="s">
        <v>8</v>
      </c>
    </row>
    <row r="14100" spans="1:13" s="21" customFormat="1" x14ac:dyDescent="0.25">
      <c r="A14100" s="22" t="s">
        <v>8</v>
      </c>
      <c r="B14100" s="18" t="str">
        <f>"555229"</f>
        <v>555229</v>
      </c>
      <c r="C14100" s="19" t="s">
        <v>1105</v>
      </c>
      <c r="D14100" s="19" t="s">
        <v>29491</v>
      </c>
      <c r="E14100" s="19" t="s">
        <v>31236</v>
      </c>
      <c r="F14100" s="19" t="s">
        <v>35978</v>
      </c>
      <c r="G14100" s="18" t="str">
        <f>"93304"</f>
        <v>93304</v>
      </c>
      <c r="H14100" s="19" t="s">
        <v>36098</v>
      </c>
      <c r="I14100" s="20">
        <v>18.984000000000002</v>
      </c>
      <c r="J14100" s="44" t="s">
        <v>8</v>
      </c>
      <c r="K14100" s="23" t="s">
        <v>8</v>
      </c>
      <c r="L14100" s="23" t="s">
        <v>8</v>
      </c>
      <c r="M14100" s="23" t="s">
        <v>8</v>
      </c>
    </row>
    <row r="14101" spans="1:13" s="21" customFormat="1" x14ac:dyDescent="0.25">
      <c r="A14101" s="22" t="s">
        <v>8</v>
      </c>
      <c r="B14101" s="18" t="str">
        <f>"555231"</f>
        <v>555231</v>
      </c>
      <c r="C14101" s="19" t="s">
        <v>13843</v>
      </c>
      <c r="D14101" s="19" t="s">
        <v>29492</v>
      </c>
      <c r="E14101" s="19" t="s">
        <v>35733</v>
      </c>
      <c r="F14101" s="19" t="s">
        <v>35978</v>
      </c>
      <c r="G14101" s="18" t="str">
        <f>"96160"</f>
        <v>96160</v>
      </c>
      <c r="H14101" s="19" t="s">
        <v>32459</v>
      </c>
      <c r="I14101" s="20">
        <v>19.02</v>
      </c>
      <c r="J14101" s="44" t="s">
        <v>8</v>
      </c>
      <c r="K14101" s="23" t="s">
        <v>8</v>
      </c>
      <c r="L14101" s="23" t="s">
        <v>8</v>
      </c>
      <c r="M14101" s="23" t="s">
        <v>8</v>
      </c>
    </row>
    <row r="14102" spans="1:13" s="21" customFormat="1" x14ac:dyDescent="0.25">
      <c r="A14102" s="22" t="s">
        <v>8</v>
      </c>
      <c r="B14102" s="18" t="str">
        <f>"555235"</f>
        <v>555235</v>
      </c>
      <c r="C14102" s="19" t="s">
        <v>13844</v>
      </c>
      <c r="D14102" s="19" t="s">
        <v>29493</v>
      </c>
      <c r="E14102" s="19" t="s">
        <v>31275</v>
      </c>
      <c r="F14102" s="19" t="s">
        <v>35978</v>
      </c>
      <c r="G14102" s="18" t="str">
        <f>"94015"</f>
        <v>94015</v>
      </c>
      <c r="H14102" s="19" t="s">
        <v>31152</v>
      </c>
      <c r="I14102" s="20">
        <v>18.646999999999998</v>
      </c>
      <c r="J14102" s="44" t="s">
        <v>8</v>
      </c>
      <c r="K14102" s="23" t="s">
        <v>8</v>
      </c>
      <c r="L14102" s="23" t="s">
        <v>8</v>
      </c>
      <c r="M14102" s="23" t="s">
        <v>8</v>
      </c>
    </row>
    <row r="14103" spans="1:13" s="21" customFormat="1" x14ac:dyDescent="0.25">
      <c r="A14103" s="22" t="s">
        <v>8</v>
      </c>
      <c r="B14103" s="18" t="str">
        <f>"555236"</f>
        <v>555236</v>
      </c>
      <c r="C14103" s="19" t="s">
        <v>13845</v>
      </c>
      <c r="D14103" s="19" t="s">
        <v>29494</v>
      </c>
      <c r="E14103" s="19" t="s">
        <v>31226</v>
      </c>
      <c r="F14103" s="19" t="s">
        <v>35978</v>
      </c>
      <c r="G14103" s="18" t="str">
        <f>"93454"</f>
        <v>93454</v>
      </c>
      <c r="H14103" s="19" t="s">
        <v>31246</v>
      </c>
      <c r="I14103" s="20">
        <v>16.353999999999999</v>
      </c>
      <c r="J14103" s="44" t="s">
        <v>8</v>
      </c>
      <c r="K14103" s="23" t="s">
        <v>8</v>
      </c>
      <c r="L14103" s="23" t="s">
        <v>8</v>
      </c>
      <c r="M14103" s="23" t="s">
        <v>8</v>
      </c>
    </row>
    <row r="14104" spans="1:13" s="21" customFormat="1" x14ac:dyDescent="0.25">
      <c r="A14104" s="22" t="s">
        <v>8</v>
      </c>
      <c r="B14104" s="18" t="str">
        <f>"555237"</f>
        <v>555237</v>
      </c>
      <c r="C14104" s="19" t="s">
        <v>13846</v>
      </c>
      <c r="D14104" s="19" t="s">
        <v>29495</v>
      </c>
      <c r="E14104" s="19" t="s">
        <v>31117</v>
      </c>
      <c r="F14104" s="19" t="s">
        <v>35978</v>
      </c>
      <c r="G14104" s="18" t="str">
        <f>"91776"</f>
        <v>91776</v>
      </c>
      <c r="H14104" s="19" t="s">
        <v>31109</v>
      </c>
      <c r="I14104" s="20">
        <v>18.218</v>
      </c>
      <c r="J14104" s="44" t="s">
        <v>8</v>
      </c>
      <c r="K14104" s="23" t="s">
        <v>8</v>
      </c>
      <c r="L14104" s="23" t="s">
        <v>8</v>
      </c>
      <c r="M14104" s="23" t="s">
        <v>8</v>
      </c>
    </row>
    <row r="14105" spans="1:13" s="21" customFormat="1" x14ac:dyDescent="0.25">
      <c r="A14105" s="22" t="s">
        <v>8</v>
      </c>
      <c r="B14105" s="18" t="str">
        <f>"555238"</f>
        <v>555238</v>
      </c>
      <c r="C14105" s="19" t="s">
        <v>13847</v>
      </c>
      <c r="D14105" s="19" t="s">
        <v>29496</v>
      </c>
      <c r="E14105" s="19" t="s">
        <v>31116</v>
      </c>
      <c r="F14105" s="19" t="s">
        <v>35978</v>
      </c>
      <c r="G14105" s="18" t="str">
        <f>"90262"</f>
        <v>90262</v>
      </c>
      <c r="H14105" s="19" t="s">
        <v>31109</v>
      </c>
      <c r="I14105" s="20">
        <v>17.125</v>
      </c>
      <c r="J14105" s="44" t="s">
        <v>8</v>
      </c>
      <c r="K14105" s="23" t="s">
        <v>8</v>
      </c>
      <c r="L14105" s="23" t="s">
        <v>8</v>
      </c>
      <c r="M14105" s="23" t="s">
        <v>8</v>
      </c>
    </row>
    <row r="14106" spans="1:13" s="21" customFormat="1" x14ac:dyDescent="0.25">
      <c r="A14106" s="22" t="s">
        <v>8</v>
      </c>
      <c r="B14106" s="18" t="str">
        <f>"555240"</f>
        <v>555240</v>
      </c>
      <c r="C14106" s="19" t="s">
        <v>13848</v>
      </c>
      <c r="D14106" s="19" t="s">
        <v>29497</v>
      </c>
      <c r="E14106" s="19" t="s">
        <v>31210</v>
      </c>
      <c r="F14106" s="19" t="s">
        <v>35978</v>
      </c>
      <c r="G14106" s="18" t="str">
        <f>"95380"</f>
        <v>95380</v>
      </c>
      <c r="H14106" s="19" t="s">
        <v>36085</v>
      </c>
      <c r="I14106" s="20">
        <v>16.861999999999998</v>
      </c>
      <c r="J14106" s="44" t="s">
        <v>8</v>
      </c>
      <c r="K14106" s="23" t="s">
        <v>8</v>
      </c>
      <c r="L14106" s="23" t="s">
        <v>8</v>
      </c>
      <c r="M14106" s="23" t="s">
        <v>8</v>
      </c>
    </row>
    <row r="14107" spans="1:13" s="21" customFormat="1" x14ac:dyDescent="0.25">
      <c r="A14107" s="22" t="s">
        <v>8</v>
      </c>
      <c r="B14107" s="18" t="str">
        <f>"555243"</f>
        <v>555243</v>
      </c>
      <c r="C14107" s="19" t="s">
        <v>13849</v>
      </c>
      <c r="D14107" s="19" t="s">
        <v>29498</v>
      </c>
      <c r="E14107" s="19" t="s">
        <v>31146</v>
      </c>
      <c r="F14107" s="19" t="s">
        <v>35978</v>
      </c>
      <c r="G14107" s="18" t="str">
        <f>"94110"</f>
        <v>94110</v>
      </c>
      <c r="H14107" s="19" t="s">
        <v>31146</v>
      </c>
      <c r="I14107" s="20">
        <v>16.765999999999998</v>
      </c>
      <c r="J14107" s="44" t="s">
        <v>8</v>
      </c>
      <c r="K14107" s="23" t="s">
        <v>8</v>
      </c>
      <c r="L14107" s="23" t="s">
        <v>8</v>
      </c>
      <c r="M14107" s="23" t="s">
        <v>8</v>
      </c>
    </row>
    <row r="14108" spans="1:13" s="21" customFormat="1" x14ac:dyDescent="0.25">
      <c r="A14108" s="22" t="s">
        <v>8</v>
      </c>
      <c r="B14108" s="18" t="str">
        <f>"555244"</f>
        <v>555244</v>
      </c>
      <c r="C14108" s="19" t="s">
        <v>13850</v>
      </c>
      <c r="D14108" s="19" t="s">
        <v>29499</v>
      </c>
      <c r="E14108" s="19" t="s">
        <v>35734</v>
      </c>
      <c r="F14108" s="19" t="s">
        <v>35978</v>
      </c>
      <c r="G14108" s="18" t="str">
        <f>"95301"</f>
        <v>95301</v>
      </c>
      <c r="H14108" s="19" t="s">
        <v>31168</v>
      </c>
      <c r="I14108" s="20">
        <v>20.327999999999999</v>
      </c>
      <c r="J14108" s="44" t="s">
        <v>8</v>
      </c>
      <c r="K14108" s="23" t="s">
        <v>8</v>
      </c>
      <c r="L14108" s="23" t="s">
        <v>8</v>
      </c>
      <c r="M14108" s="23" t="s">
        <v>8</v>
      </c>
    </row>
    <row r="14109" spans="1:13" s="21" customFormat="1" x14ac:dyDescent="0.25">
      <c r="A14109" s="22" t="s">
        <v>8</v>
      </c>
      <c r="B14109" s="18" t="str">
        <f>"555245"</f>
        <v>555245</v>
      </c>
      <c r="C14109" s="19" t="s">
        <v>13851</v>
      </c>
      <c r="D14109" s="19" t="s">
        <v>29500</v>
      </c>
      <c r="E14109" s="19" t="s">
        <v>33407</v>
      </c>
      <c r="F14109" s="19" t="s">
        <v>35978</v>
      </c>
      <c r="G14109" s="18" t="str">
        <f>"95376"</f>
        <v>95376</v>
      </c>
      <c r="H14109" s="19" t="s">
        <v>36087</v>
      </c>
      <c r="I14109" s="20">
        <v>21.69</v>
      </c>
      <c r="J14109" s="44" t="s">
        <v>8</v>
      </c>
      <c r="K14109" s="23" t="s">
        <v>8</v>
      </c>
      <c r="L14109" s="23" t="s">
        <v>8</v>
      </c>
      <c r="M14109" s="23" t="s">
        <v>8</v>
      </c>
    </row>
    <row r="14110" spans="1:13" s="21" customFormat="1" x14ac:dyDescent="0.25">
      <c r="A14110" s="22" t="s">
        <v>8</v>
      </c>
      <c r="B14110" s="18" t="str">
        <f>"555246"</f>
        <v>555246</v>
      </c>
      <c r="C14110" s="19" t="s">
        <v>13852</v>
      </c>
      <c r="D14110" s="19" t="s">
        <v>29501</v>
      </c>
      <c r="E14110" s="19" t="s">
        <v>35735</v>
      </c>
      <c r="F14110" s="19" t="s">
        <v>35978</v>
      </c>
      <c r="G14110" s="18" t="str">
        <f>"92083"</f>
        <v>92083</v>
      </c>
      <c r="H14110" s="19" t="s">
        <v>31176</v>
      </c>
      <c r="I14110" s="20">
        <v>17.120999999999999</v>
      </c>
      <c r="J14110" s="44" t="s">
        <v>8</v>
      </c>
      <c r="K14110" s="23" t="s">
        <v>8</v>
      </c>
      <c r="L14110" s="23" t="s">
        <v>8</v>
      </c>
      <c r="M14110" s="23" t="s">
        <v>8</v>
      </c>
    </row>
    <row r="14111" spans="1:13" s="21" customFormat="1" x14ac:dyDescent="0.25">
      <c r="A14111" s="22" t="s">
        <v>8</v>
      </c>
      <c r="B14111" s="18" t="str">
        <f>"555247"</f>
        <v>555247</v>
      </c>
      <c r="C14111" s="19" t="s">
        <v>13853</v>
      </c>
      <c r="D14111" s="19" t="s">
        <v>29502</v>
      </c>
      <c r="E14111" s="19" t="s">
        <v>35736</v>
      </c>
      <c r="F14111" s="19" t="s">
        <v>35978</v>
      </c>
      <c r="G14111" s="18" t="str">
        <f>"92270"</f>
        <v>92270</v>
      </c>
      <c r="H14111" s="19" t="s">
        <v>31112</v>
      </c>
      <c r="I14111" s="20">
        <v>19.338999999999999</v>
      </c>
      <c r="J14111" s="44" t="s">
        <v>8</v>
      </c>
      <c r="K14111" s="23" t="s">
        <v>8</v>
      </c>
      <c r="L14111" s="23" t="s">
        <v>8</v>
      </c>
      <c r="M14111" s="23" t="s">
        <v>8</v>
      </c>
    </row>
    <row r="14112" spans="1:13" s="21" customFormat="1" x14ac:dyDescent="0.25">
      <c r="A14112" s="22" t="s">
        <v>8</v>
      </c>
      <c r="B14112" s="18" t="str">
        <f>"555248"</f>
        <v>555248</v>
      </c>
      <c r="C14112" s="19" t="s">
        <v>13854</v>
      </c>
      <c r="D14112" s="19" t="s">
        <v>29503</v>
      </c>
      <c r="E14112" s="19" t="s">
        <v>35737</v>
      </c>
      <c r="F14112" s="19" t="s">
        <v>35978</v>
      </c>
      <c r="G14112" s="18" t="str">
        <f>"93555"</f>
        <v>93555</v>
      </c>
      <c r="H14112" s="19" t="s">
        <v>36098</v>
      </c>
      <c r="I14112" s="20">
        <v>19.196000000000002</v>
      </c>
      <c r="J14112" s="44" t="s">
        <v>8</v>
      </c>
      <c r="K14112" s="23" t="s">
        <v>8</v>
      </c>
      <c r="L14112" s="23" t="s">
        <v>8</v>
      </c>
      <c r="M14112" s="23" t="s">
        <v>8</v>
      </c>
    </row>
    <row r="14113" spans="1:13" s="21" customFormat="1" x14ac:dyDescent="0.25">
      <c r="A14113" s="22" t="s">
        <v>8</v>
      </c>
      <c r="B14113" s="18" t="str">
        <f>"555249"</f>
        <v>555249</v>
      </c>
      <c r="C14113" s="19" t="s">
        <v>13855</v>
      </c>
      <c r="D14113" s="19" t="s">
        <v>29504</v>
      </c>
      <c r="E14113" s="19" t="s">
        <v>31266</v>
      </c>
      <c r="F14113" s="19" t="s">
        <v>35978</v>
      </c>
      <c r="G14113" s="18" t="str">
        <f>"92648"</f>
        <v>92648</v>
      </c>
      <c r="H14113" s="19" t="s">
        <v>31169</v>
      </c>
      <c r="I14113" s="20">
        <v>20.234999999999999</v>
      </c>
      <c r="J14113" s="44" t="s">
        <v>8</v>
      </c>
      <c r="K14113" s="23" t="s">
        <v>8</v>
      </c>
      <c r="L14113" s="23" t="s">
        <v>8</v>
      </c>
      <c r="M14113" s="23" t="s">
        <v>8</v>
      </c>
    </row>
    <row r="14114" spans="1:13" s="21" customFormat="1" x14ac:dyDescent="0.25">
      <c r="A14114" s="22" t="s">
        <v>8</v>
      </c>
      <c r="B14114" s="18" t="str">
        <f>"555251"</f>
        <v>555251</v>
      </c>
      <c r="C14114" s="19" t="s">
        <v>13856</v>
      </c>
      <c r="D14114" s="19" t="s">
        <v>29505</v>
      </c>
      <c r="E14114" s="19" t="s">
        <v>31123</v>
      </c>
      <c r="F14114" s="19" t="s">
        <v>35978</v>
      </c>
      <c r="G14114" s="18" t="str">
        <f>"92395"</f>
        <v>92395</v>
      </c>
      <c r="H14114" s="19" t="s">
        <v>31227</v>
      </c>
      <c r="I14114" s="20">
        <v>19.045999999999999</v>
      </c>
      <c r="J14114" s="44" t="s">
        <v>8</v>
      </c>
      <c r="K14114" s="23" t="s">
        <v>8</v>
      </c>
      <c r="L14114" s="23" t="s">
        <v>8</v>
      </c>
      <c r="M14114" s="23" t="s">
        <v>8</v>
      </c>
    </row>
    <row r="14115" spans="1:13" s="21" customFormat="1" x14ac:dyDescent="0.25">
      <c r="A14115" s="22" t="s">
        <v>8</v>
      </c>
      <c r="B14115" s="18" t="str">
        <f>"555252"</f>
        <v>555252</v>
      </c>
      <c r="C14115" s="19" t="s">
        <v>13857</v>
      </c>
      <c r="D14115" s="19" t="s">
        <v>29506</v>
      </c>
      <c r="E14115" s="19" t="s">
        <v>31214</v>
      </c>
      <c r="F14115" s="19" t="s">
        <v>35978</v>
      </c>
      <c r="G14115" s="18" t="str">
        <f>"95969"</f>
        <v>95969</v>
      </c>
      <c r="H14115" s="19" t="s">
        <v>33744</v>
      </c>
      <c r="I14115" s="20">
        <v>17.532</v>
      </c>
      <c r="J14115" s="44" t="s">
        <v>8</v>
      </c>
      <c r="K14115" s="23" t="s">
        <v>8</v>
      </c>
      <c r="L14115" s="23" t="s">
        <v>8</v>
      </c>
      <c r="M14115" s="23" t="s">
        <v>8</v>
      </c>
    </row>
    <row r="14116" spans="1:13" s="21" customFormat="1" x14ac:dyDescent="0.25">
      <c r="A14116" s="22" t="s">
        <v>8</v>
      </c>
      <c r="B14116" s="18" t="str">
        <f>"555254"</f>
        <v>555254</v>
      </c>
      <c r="C14116" s="19" t="s">
        <v>13858</v>
      </c>
      <c r="D14116" s="19" t="s">
        <v>29507</v>
      </c>
      <c r="E14116" s="19" t="s">
        <v>31143</v>
      </c>
      <c r="F14116" s="19" t="s">
        <v>35978</v>
      </c>
      <c r="G14116" s="18" t="str">
        <f>"94609"</f>
        <v>94609</v>
      </c>
      <c r="H14116" s="19" t="s">
        <v>31290</v>
      </c>
      <c r="I14116" s="20">
        <v>18.018999999999998</v>
      </c>
      <c r="J14116" s="44" t="s">
        <v>8</v>
      </c>
      <c r="K14116" s="23" t="s">
        <v>8</v>
      </c>
      <c r="L14116" s="23" t="s">
        <v>8</v>
      </c>
      <c r="M14116" s="23" t="s">
        <v>8</v>
      </c>
    </row>
    <row r="14117" spans="1:13" s="21" customFormat="1" x14ac:dyDescent="0.25">
      <c r="A14117" s="22" t="s">
        <v>8</v>
      </c>
      <c r="B14117" s="18" t="str">
        <f>"555255"</f>
        <v>555255</v>
      </c>
      <c r="C14117" s="19" t="s">
        <v>13859</v>
      </c>
      <c r="D14117" s="19" t="s">
        <v>29508</v>
      </c>
      <c r="E14117" s="19" t="s">
        <v>31109</v>
      </c>
      <c r="F14117" s="19" t="s">
        <v>35978</v>
      </c>
      <c r="G14117" s="18" t="str">
        <f>"90023"</f>
        <v>90023</v>
      </c>
      <c r="H14117" s="19" t="s">
        <v>31109</v>
      </c>
      <c r="I14117" s="20">
        <v>19.733000000000001</v>
      </c>
      <c r="J14117" s="44" t="s">
        <v>8</v>
      </c>
      <c r="K14117" s="23" t="s">
        <v>8</v>
      </c>
      <c r="L14117" s="23" t="s">
        <v>8</v>
      </c>
      <c r="M14117" s="23" t="s">
        <v>8</v>
      </c>
    </row>
    <row r="14118" spans="1:13" s="21" customFormat="1" x14ac:dyDescent="0.25">
      <c r="A14118" s="22" t="s">
        <v>8</v>
      </c>
      <c r="B14118" s="18" t="str">
        <f>"555256"</f>
        <v>555256</v>
      </c>
      <c r="C14118" s="19" t="s">
        <v>13860</v>
      </c>
      <c r="D14118" s="19" t="s">
        <v>29509</v>
      </c>
      <c r="E14118" s="19" t="s">
        <v>31236</v>
      </c>
      <c r="F14118" s="19" t="s">
        <v>35978</v>
      </c>
      <c r="G14118" s="18" t="str">
        <f>"93306"</f>
        <v>93306</v>
      </c>
      <c r="H14118" s="19" t="s">
        <v>36098</v>
      </c>
      <c r="I14118" s="20">
        <v>18.678000000000001</v>
      </c>
      <c r="J14118" s="44" t="s">
        <v>8</v>
      </c>
      <c r="K14118" s="23" t="s">
        <v>8</v>
      </c>
      <c r="L14118" s="23" t="s">
        <v>8</v>
      </c>
      <c r="M14118" s="23" t="s">
        <v>8</v>
      </c>
    </row>
    <row r="14119" spans="1:13" s="21" customFormat="1" x14ac:dyDescent="0.25">
      <c r="A14119" s="22" t="s">
        <v>8</v>
      </c>
      <c r="B14119" s="18" t="str">
        <f>"555257"</f>
        <v>555257</v>
      </c>
      <c r="C14119" s="19" t="s">
        <v>13861</v>
      </c>
      <c r="D14119" s="19" t="s">
        <v>29510</v>
      </c>
      <c r="E14119" s="19" t="s">
        <v>31291</v>
      </c>
      <c r="F14119" s="19" t="s">
        <v>35978</v>
      </c>
      <c r="G14119" s="18" t="str">
        <f>"92653"</f>
        <v>92653</v>
      </c>
      <c r="H14119" s="19" t="s">
        <v>31169</v>
      </c>
      <c r="I14119" s="20">
        <v>18.661999999999999</v>
      </c>
      <c r="J14119" s="44" t="s">
        <v>8</v>
      </c>
      <c r="K14119" s="23" t="s">
        <v>8</v>
      </c>
      <c r="L14119" s="23" t="s">
        <v>8</v>
      </c>
      <c r="M14119" s="23" t="s">
        <v>8</v>
      </c>
    </row>
    <row r="14120" spans="1:13" s="21" customFormat="1" x14ac:dyDescent="0.25">
      <c r="A14120" s="22" t="s">
        <v>8</v>
      </c>
      <c r="B14120" s="18" t="str">
        <f>"555258"</f>
        <v>555258</v>
      </c>
      <c r="C14120" s="19" t="s">
        <v>13862</v>
      </c>
      <c r="D14120" s="19" t="s">
        <v>29511</v>
      </c>
      <c r="E14120" s="19" t="s">
        <v>31174</v>
      </c>
      <c r="F14120" s="19" t="s">
        <v>35978</v>
      </c>
      <c r="G14120" s="18" t="str">
        <f>"95476"</f>
        <v>95476</v>
      </c>
      <c r="H14120" s="19" t="s">
        <v>31174</v>
      </c>
      <c r="I14120" s="20">
        <v>14.739000000000001</v>
      </c>
      <c r="J14120" s="44" t="s">
        <v>8</v>
      </c>
      <c r="K14120" s="23" t="s">
        <v>8</v>
      </c>
      <c r="L14120" s="23" t="s">
        <v>8</v>
      </c>
      <c r="M14120" s="23" t="s">
        <v>8</v>
      </c>
    </row>
    <row r="14121" spans="1:13" s="21" customFormat="1" x14ac:dyDescent="0.25">
      <c r="A14121" s="22" t="s">
        <v>8</v>
      </c>
      <c r="B14121" s="18" t="str">
        <f>"555259"</f>
        <v>555259</v>
      </c>
      <c r="C14121" s="19" t="s">
        <v>13863</v>
      </c>
      <c r="D14121" s="19" t="s">
        <v>29512</v>
      </c>
      <c r="E14121" s="19" t="s">
        <v>31169</v>
      </c>
      <c r="F14121" s="19" t="s">
        <v>35978</v>
      </c>
      <c r="G14121" s="18" t="str">
        <f>"92868"</f>
        <v>92868</v>
      </c>
      <c r="H14121" s="19" t="s">
        <v>31169</v>
      </c>
      <c r="I14121" s="20">
        <v>20.091000000000001</v>
      </c>
      <c r="J14121" s="44" t="s">
        <v>8</v>
      </c>
      <c r="K14121" s="23" t="s">
        <v>8</v>
      </c>
      <c r="L14121" s="23" t="s">
        <v>8</v>
      </c>
      <c r="M14121" s="23" t="s">
        <v>8</v>
      </c>
    </row>
    <row r="14122" spans="1:13" s="21" customFormat="1" x14ac:dyDescent="0.25">
      <c r="A14122" s="22" t="s">
        <v>8</v>
      </c>
      <c r="B14122" s="18" t="str">
        <f>"555260"</f>
        <v>555260</v>
      </c>
      <c r="C14122" s="19" t="s">
        <v>13864</v>
      </c>
      <c r="D14122" s="19" t="s">
        <v>29513</v>
      </c>
      <c r="E14122" s="19" t="s">
        <v>31236</v>
      </c>
      <c r="F14122" s="19" t="s">
        <v>35978</v>
      </c>
      <c r="G14122" s="18" t="str">
        <f>"93306"</f>
        <v>93306</v>
      </c>
      <c r="H14122" s="19" t="s">
        <v>36098</v>
      </c>
      <c r="I14122" s="20">
        <v>18.635000000000002</v>
      </c>
      <c r="J14122" s="44" t="s">
        <v>8</v>
      </c>
      <c r="K14122" s="23" t="s">
        <v>8</v>
      </c>
      <c r="L14122" s="23" t="s">
        <v>8</v>
      </c>
      <c r="M14122" s="23" t="s">
        <v>8</v>
      </c>
    </row>
    <row r="14123" spans="1:13" s="21" customFormat="1" x14ac:dyDescent="0.25">
      <c r="A14123" s="22" t="s">
        <v>8</v>
      </c>
      <c r="B14123" s="18" t="str">
        <f>"555261"</f>
        <v>555261</v>
      </c>
      <c r="C14123" s="19" t="s">
        <v>13865</v>
      </c>
      <c r="D14123" s="19" t="s">
        <v>29514</v>
      </c>
      <c r="E14123" s="19" t="s">
        <v>31180</v>
      </c>
      <c r="F14123" s="19" t="s">
        <v>35978</v>
      </c>
      <c r="G14123" s="18" t="str">
        <f>"95831"</f>
        <v>95831</v>
      </c>
      <c r="H14123" s="19" t="s">
        <v>31180</v>
      </c>
      <c r="I14123" s="20">
        <v>15.069000000000001</v>
      </c>
      <c r="J14123" s="44" t="s">
        <v>8</v>
      </c>
      <c r="K14123" s="23" t="s">
        <v>8</v>
      </c>
      <c r="L14123" s="23" t="s">
        <v>8</v>
      </c>
      <c r="M14123" s="23" t="s">
        <v>8</v>
      </c>
    </row>
    <row r="14124" spans="1:13" s="21" customFormat="1" x14ac:dyDescent="0.25">
      <c r="A14124" s="22" t="s">
        <v>8</v>
      </c>
      <c r="B14124" s="18" t="str">
        <f>"555263"</f>
        <v>555263</v>
      </c>
      <c r="C14124" s="19" t="s">
        <v>13866</v>
      </c>
      <c r="D14124" s="19" t="s">
        <v>29515</v>
      </c>
      <c r="E14124" s="19" t="s">
        <v>31271</v>
      </c>
      <c r="F14124" s="19" t="s">
        <v>35978</v>
      </c>
      <c r="G14124" s="18" t="str">
        <f>"91950"</f>
        <v>91950</v>
      </c>
      <c r="H14124" s="19" t="s">
        <v>31176</v>
      </c>
      <c r="I14124" s="20">
        <v>21.111000000000001</v>
      </c>
      <c r="J14124" s="44" t="s">
        <v>8</v>
      </c>
      <c r="K14124" s="23" t="s">
        <v>8</v>
      </c>
      <c r="L14124" s="23" t="s">
        <v>8</v>
      </c>
      <c r="M14124" s="23" t="s">
        <v>8</v>
      </c>
    </row>
    <row r="14125" spans="1:13" s="21" customFormat="1" x14ac:dyDescent="0.25">
      <c r="A14125" s="22" t="s">
        <v>8</v>
      </c>
      <c r="B14125" s="18" t="str">
        <f>"555265"</f>
        <v>555265</v>
      </c>
      <c r="C14125" s="19" t="s">
        <v>13867</v>
      </c>
      <c r="D14125" s="19" t="s">
        <v>29516</v>
      </c>
      <c r="E14125" s="19" t="s">
        <v>31180</v>
      </c>
      <c r="F14125" s="19" t="s">
        <v>35978</v>
      </c>
      <c r="G14125" s="18" t="str">
        <f>"95817"</f>
        <v>95817</v>
      </c>
      <c r="H14125" s="19" t="s">
        <v>31180</v>
      </c>
      <c r="I14125" s="20">
        <v>18.75</v>
      </c>
      <c r="J14125" s="44" t="s">
        <v>8</v>
      </c>
      <c r="K14125" s="23" t="s">
        <v>8</v>
      </c>
      <c r="L14125" s="23" t="s">
        <v>8</v>
      </c>
      <c r="M14125" s="23" t="s">
        <v>8</v>
      </c>
    </row>
    <row r="14126" spans="1:13" s="21" customFormat="1" x14ac:dyDescent="0.25">
      <c r="A14126" s="22" t="s">
        <v>8</v>
      </c>
      <c r="B14126" s="18" t="str">
        <f>"555266"</f>
        <v>555266</v>
      </c>
      <c r="C14126" s="19" t="s">
        <v>13868</v>
      </c>
      <c r="D14126" s="19" t="s">
        <v>29517</v>
      </c>
      <c r="E14126" s="19" t="s">
        <v>31207</v>
      </c>
      <c r="F14126" s="19" t="s">
        <v>35978</v>
      </c>
      <c r="G14126" s="18" t="str">
        <f>"92804"</f>
        <v>92804</v>
      </c>
      <c r="H14126" s="19" t="s">
        <v>31169</v>
      </c>
      <c r="I14126" s="20">
        <v>17.183</v>
      </c>
      <c r="J14126" s="44" t="s">
        <v>8</v>
      </c>
      <c r="K14126" s="23" t="s">
        <v>8</v>
      </c>
      <c r="L14126" s="23" t="s">
        <v>8</v>
      </c>
      <c r="M14126" s="23" t="s">
        <v>8</v>
      </c>
    </row>
    <row r="14127" spans="1:13" s="21" customFormat="1" x14ac:dyDescent="0.25">
      <c r="A14127" s="22" t="s">
        <v>8</v>
      </c>
      <c r="B14127" s="18" t="str">
        <f>"555268"</f>
        <v>555268</v>
      </c>
      <c r="C14127" s="19" t="s">
        <v>13869</v>
      </c>
      <c r="D14127" s="19" t="s">
        <v>29518</v>
      </c>
      <c r="E14127" s="19" t="s">
        <v>31260</v>
      </c>
      <c r="F14127" s="19" t="s">
        <v>35978</v>
      </c>
      <c r="G14127" s="18" t="str">
        <f>"95409"</f>
        <v>95409</v>
      </c>
      <c r="H14127" s="19" t="s">
        <v>31174</v>
      </c>
      <c r="I14127" s="20">
        <v>12.826000000000001</v>
      </c>
      <c r="J14127" s="44" t="s">
        <v>8</v>
      </c>
      <c r="K14127" s="23" t="s">
        <v>8</v>
      </c>
      <c r="L14127" s="23" t="s">
        <v>8</v>
      </c>
      <c r="M14127" s="23" t="s">
        <v>8</v>
      </c>
    </row>
    <row r="14128" spans="1:13" s="21" customFormat="1" x14ac:dyDescent="0.25">
      <c r="A14128" s="22" t="s">
        <v>8</v>
      </c>
      <c r="B14128" s="18" t="str">
        <f>"555272"</f>
        <v>555272</v>
      </c>
      <c r="C14128" s="19" t="s">
        <v>13870</v>
      </c>
      <c r="D14128" s="19" t="s">
        <v>29519</v>
      </c>
      <c r="E14128" s="19" t="s">
        <v>31156</v>
      </c>
      <c r="F14128" s="19" t="s">
        <v>35978</v>
      </c>
      <c r="G14128" s="18" t="str">
        <f>"91801"</f>
        <v>91801</v>
      </c>
      <c r="H14128" s="19" t="s">
        <v>31109</v>
      </c>
      <c r="I14128" s="20">
        <v>18.332000000000001</v>
      </c>
      <c r="J14128" s="44" t="s">
        <v>8</v>
      </c>
      <c r="K14128" s="23" t="s">
        <v>8</v>
      </c>
      <c r="L14128" s="23" t="s">
        <v>8</v>
      </c>
      <c r="M14128" s="23" t="s">
        <v>8</v>
      </c>
    </row>
    <row r="14129" spans="1:13" s="21" customFormat="1" x14ac:dyDescent="0.25">
      <c r="A14129" s="22" t="s">
        <v>8</v>
      </c>
      <c r="B14129" s="18" t="str">
        <f>"555273"</f>
        <v>555273</v>
      </c>
      <c r="C14129" s="19" t="s">
        <v>13871</v>
      </c>
      <c r="D14129" s="19" t="s">
        <v>29520</v>
      </c>
      <c r="E14129" s="19" t="s">
        <v>31109</v>
      </c>
      <c r="F14129" s="19" t="s">
        <v>35978</v>
      </c>
      <c r="G14129" s="18" t="str">
        <f>"90044"</f>
        <v>90044</v>
      </c>
      <c r="H14129" s="19" t="s">
        <v>31109</v>
      </c>
      <c r="I14129" s="20">
        <v>17.675999999999998</v>
      </c>
      <c r="J14129" s="44" t="s">
        <v>8</v>
      </c>
      <c r="K14129" s="23" t="s">
        <v>8</v>
      </c>
      <c r="L14129" s="23" t="s">
        <v>8</v>
      </c>
      <c r="M14129" s="23" t="s">
        <v>8</v>
      </c>
    </row>
    <row r="14130" spans="1:13" s="21" customFormat="1" x14ac:dyDescent="0.25">
      <c r="A14130" s="22" t="s">
        <v>8</v>
      </c>
      <c r="B14130" s="18" t="str">
        <f>"555276"</f>
        <v>555276</v>
      </c>
      <c r="C14130" s="19" t="s">
        <v>13872</v>
      </c>
      <c r="D14130" s="19" t="s">
        <v>29521</v>
      </c>
      <c r="E14130" s="19" t="s">
        <v>35738</v>
      </c>
      <c r="F14130" s="19" t="s">
        <v>35978</v>
      </c>
      <c r="G14130" s="18" t="str">
        <f>"94066"</f>
        <v>94066</v>
      </c>
      <c r="H14130" s="19" t="s">
        <v>31152</v>
      </c>
      <c r="I14130" s="20">
        <v>19.170000000000002</v>
      </c>
      <c r="J14130" s="44" t="s">
        <v>8</v>
      </c>
      <c r="K14130" s="23" t="s">
        <v>8</v>
      </c>
      <c r="L14130" s="23" t="s">
        <v>8</v>
      </c>
      <c r="M14130" s="23" t="s">
        <v>8</v>
      </c>
    </row>
    <row r="14131" spans="1:13" s="21" customFormat="1" x14ac:dyDescent="0.25">
      <c r="A14131" s="22" t="s">
        <v>8</v>
      </c>
      <c r="B14131" s="18" t="str">
        <f>"555281"</f>
        <v>555281</v>
      </c>
      <c r="C14131" s="19" t="s">
        <v>13873</v>
      </c>
      <c r="D14131" s="19" t="s">
        <v>29522</v>
      </c>
      <c r="E14131" s="19" t="s">
        <v>31238</v>
      </c>
      <c r="F14131" s="19" t="s">
        <v>35978</v>
      </c>
      <c r="G14131" s="18" t="str">
        <f>"95966"</f>
        <v>95966</v>
      </c>
      <c r="H14131" s="19" t="s">
        <v>33744</v>
      </c>
      <c r="I14131" s="20">
        <v>18.344999999999999</v>
      </c>
      <c r="J14131" s="44" t="s">
        <v>8</v>
      </c>
      <c r="K14131" s="23" t="s">
        <v>8</v>
      </c>
      <c r="L14131" s="23" t="s">
        <v>8</v>
      </c>
      <c r="M14131" s="23" t="s">
        <v>8</v>
      </c>
    </row>
    <row r="14132" spans="1:13" s="21" customFormat="1" x14ac:dyDescent="0.25">
      <c r="A14132" s="22" t="s">
        <v>8</v>
      </c>
      <c r="B14132" s="18" t="str">
        <f>"555283"</f>
        <v>555283</v>
      </c>
      <c r="C14132" s="19" t="s">
        <v>13874</v>
      </c>
      <c r="D14132" s="19" t="s">
        <v>29523</v>
      </c>
      <c r="E14132" s="19" t="s">
        <v>31218</v>
      </c>
      <c r="F14132" s="19" t="s">
        <v>35978</v>
      </c>
      <c r="G14132" s="18" t="str">
        <f>"95945"</f>
        <v>95945</v>
      </c>
      <c r="H14132" s="19" t="s">
        <v>32459</v>
      </c>
      <c r="I14132" s="20">
        <v>18.667000000000002</v>
      </c>
      <c r="J14132" s="44" t="s">
        <v>8</v>
      </c>
      <c r="K14132" s="23" t="s">
        <v>8</v>
      </c>
      <c r="L14132" s="23" t="s">
        <v>8</v>
      </c>
      <c r="M14132" s="23" t="s">
        <v>8</v>
      </c>
    </row>
    <row r="14133" spans="1:13" s="21" customFormat="1" x14ac:dyDescent="0.25">
      <c r="A14133" s="22" t="s">
        <v>8</v>
      </c>
      <c r="B14133" s="18" t="str">
        <f>"555286"</f>
        <v>555286</v>
      </c>
      <c r="C14133" s="19" t="s">
        <v>13875</v>
      </c>
      <c r="D14133" s="19" t="s">
        <v>29524</v>
      </c>
      <c r="E14133" s="19" t="s">
        <v>31169</v>
      </c>
      <c r="F14133" s="19" t="s">
        <v>35978</v>
      </c>
      <c r="G14133" s="18" t="str">
        <f>"92869"</f>
        <v>92869</v>
      </c>
      <c r="H14133" s="19" t="s">
        <v>31169</v>
      </c>
      <c r="I14133" s="20">
        <v>19.991</v>
      </c>
      <c r="J14133" s="44" t="s">
        <v>8</v>
      </c>
      <c r="K14133" s="23" t="s">
        <v>8</v>
      </c>
      <c r="L14133" s="23" t="s">
        <v>8</v>
      </c>
      <c r="M14133" s="23" t="s">
        <v>8</v>
      </c>
    </row>
    <row r="14134" spans="1:13" s="21" customFormat="1" x14ac:dyDescent="0.25">
      <c r="A14134" s="22" t="s">
        <v>8</v>
      </c>
      <c r="B14134" s="18" t="str">
        <f>"555287"</f>
        <v>555287</v>
      </c>
      <c r="C14134" s="19" t="s">
        <v>13876</v>
      </c>
      <c r="D14134" s="19" t="s">
        <v>29525</v>
      </c>
      <c r="E14134" s="19" t="s">
        <v>31245</v>
      </c>
      <c r="F14134" s="19" t="s">
        <v>35978</v>
      </c>
      <c r="G14134" s="18" t="str">
        <f>"94565"</f>
        <v>94565</v>
      </c>
      <c r="H14134" s="19" t="s">
        <v>36088</v>
      </c>
      <c r="I14134" s="20">
        <v>19.199000000000002</v>
      </c>
      <c r="J14134" s="44" t="s">
        <v>8</v>
      </c>
      <c r="K14134" s="23" t="s">
        <v>8</v>
      </c>
      <c r="L14134" s="23" t="s">
        <v>8</v>
      </c>
      <c r="M14134" s="23" t="s">
        <v>8</v>
      </c>
    </row>
    <row r="14135" spans="1:13" s="21" customFormat="1" x14ac:dyDescent="0.25">
      <c r="A14135" s="22" t="s">
        <v>8</v>
      </c>
      <c r="B14135" s="18" t="str">
        <f>"555290"</f>
        <v>555290</v>
      </c>
      <c r="C14135" s="19" t="s">
        <v>13877</v>
      </c>
      <c r="D14135" s="19" t="s">
        <v>29526</v>
      </c>
      <c r="E14135" s="19" t="s">
        <v>35739</v>
      </c>
      <c r="F14135" s="19" t="s">
        <v>35978</v>
      </c>
      <c r="G14135" s="18" t="str">
        <f>"92071"</f>
        <v>92071</v>
      </c>
      <c r="H14135" s="19" t="s">
        <v>31176</v>
      </c>
      <c r="I14135" s="20">
        <v>23.585000000000001</v>
      </c>
      <c r="J14135" s="44" t="s">
        <v>8</v>
      </c>
      <c r="K14135" s="23" t="s">
        <v>8</v>
      </c>
      <c r="L14135" s="23" t="s">
        <v>8</v>
      </c>
      <c r="M14135" s="23" t="s">
        <v>8</v>
      </c>
    </row>
    <row r="14136" spans="1:13" s="21" customFormat="1" x14ac:dyDescent="0.25">
      <c r="A14136" s="22" t="s">
        <v>8</v>
      </c>
      <c r="B14136" s="18" t="str">
        <f>"555292"</f>
        <v>555292</v>
      </c>
      <c r="C14136" s="19" t="s">
        <v>13878</v>
      </c>
      <c r="D14136" s="19" t="s">
        <v>29527</v>
      </c>
      <c r="E14136" s="19" t="s">
        <v>35740</v>
      </c>
      <c r="F14136" s="19" t="s">
        <v>35978</v>
      </c>
      <c r="G14136" s="18" t="str">
        <f>"94553"</f>
        <v>94553</v>
      </c>
      <c r="H14136" s="19" t="s">
        <v>36088</v>
      </c>
      <c r="I14136" s="20">
        <v>19.404</v>
      </c>
      <c r="J14136" s="44" t="s">
        <v>8</v>
      </c>
      <c r="K14136" s="23" t="s">
        <v>8</v>
      </c>
      <c r="L14136" s="23" t="s">
        <v>8</v>
      </c>
      <c r="M14136" s="23" t="s">
        <v>8</v>
      </c>
    </row>
    <row r="14137" spans="1:13" s="21" customFormat="1" x14ac:dyDescent="0.25">
      <c r="A14137" s="22" t="s">
        <v>8</v>
      </c>
      <c r="B14137" s="18" t="str">
        <f>"555295"</f>
        <v>555295</v>
      </c>
      <c r="C14137" s="19" t="s">
        <v>13879</v>
      </c>
      <c r="D14137" s="19" t="s">
        <v>29528</v>
      </c>
      <c r="E14137" s="19" t="s">
        <v>32752</v>
      </c>
      <c r="F14137" s="19" t="s">
        <v>35978</v>
      </c>
      <c r="G14137" s="18" t="str">
        <f>"92612"</f>
        <v>92612</v>
      </c>
      <c r="H14137" s="19" t="s">
        <v>31169</v>
      </c>
      <c r="I14137" s="20">
        <v>19.34</v>
      </c>
      <c r="J14137" s="44" t="s">
        <v>8</v>
      </c>
      <c r="K14137" s="23" t="s">
        <v>8</v>
      </c>
      <c r="L14137" s="23" t="s">
        <v>8</v>
      </c>
      <c r="M14137" s="23" t="s">
        <v>8</v>
      </c>
    </row>
    <row r="14138" spans="1:13" s="21" customFormat="1" x14ac:dyDescent="0.25">
      <c r="A14138" s="22" t="s">
        <v>8</v>
      </c>
      <c r="B14138" s="18" t="str">
        <f>"555296"</f>
        <v>555296</v>
      </c>
      <c r="C14138" s="19" t="s">
        <v>13880</v>
      </c>
      <c r="D14138" s="19" t="s">
        <v>29529</v>
      </c>
      <c r="E14138" s="19" t="s">
        <v>31176</v>
      </c>
      <c r="F14138" s="19" t="s">
        <v>35978</v>
      </c>
      <c r="G14138" s="18" t="str">
        <f>"92128"</f>
        <v>92128</v>
      </c>
      <c r="H14138" s="19" t="s">
        <v>31176</v>
      </c>
      <c r="I14138" s="20">
        <v>19.420000000000002</v>
      </c>
      <c r="J14138" s="44" t="s">
        <v>8</v>
      </c>
      <c r="K14138" s="23" t="s">
        <v>8</v>
      </c>
      <c r="L14138" s="23" t="s">
        <v>8</v>
      </c>
      <c r="M14138" s="23" t="s">
        <v>8</v>
      </c>
    </row>
    <row r="14139" spans="1:13" s="21" customFormat="1" x14ac:dyDescent="0.25">
      <c r="A14139" s="22" t="s">
        <v>8</v>
      </c>
      <c r="B14139" s="18" t="str">
        <f>"555297"</f>
        <v>555297</v>
      </c>
      <c r="C14139" s="19" t="s">
        <v>13881</v>
      </c>
      <c r="D14139" s="19" t="s">
        <v>29530</v>
      </c>
      <c r="E14139" s="19" t="s">
        <v>31163</v>
      </c>
      <c r="F14139" s="19" t="s">
        <v>35978</v>
      </c>
      <c r="G14139" s="18" t="str">
        <f>"92545"</f>
        <v>92545</v>
      </c>
      <c r="H14139" s="19" t="s">
        <v>31112</v>
      </c>
      <c r="I14139" s="20">
        <v>23.853000000000002</v>
      </c>
      <c r="J14139" s="44" t="s">
        <v>8</v>
      </c>
      <c r="K14139" s="23" t="s">
        <v>8</v>
      </c>
      <c r="L14139" s="23" t="s">
        <v>8</v>
      </c>
      <c r="M14139" s="23" t="s">
        <v>8</v>
      </c>
    </row>
    <row r="14140" spans="1:13" s="21" customFormat="1" x14ac:dyDescent="0.25">
      <c r="A14140" s="22" t="s">
        <v>8</v>
      </c>
      <c r="B14140" s="18" t="str">
        <f>"555301"</f>
        <v>555301</v>
      </c>
      <c r="C14140" s="19" t="s">
        <v>13882</v>
      </c>
      <c r="D14140" s="19" t="s">
        <v>29531</v>
      </c>
      <c r="E14140" s="19" t="s">
        <v>35722</v>
      </c>
      <c r="F14140" s="19" t="s">
        <v>35978</v>
      </c>
      <c r="G14140" s="18" t="str">
        <f>"92064"</f>
        <v>92064</v>
      </c>
      <c r="H14140" s="19" t="s">
        <v>31176</v>
      </c>
      <c r="I14140" s="20">
        <v>18.079000000000001</v>
      </c>
      <c r="J14140" s="44" t="s">
        <v>8</v>
      </c>
      <c r="K14140" s="23" t="s">
        <v>8</v>
      </c>
      <c r="L14140" s="23" t="s">
        <v>8</v>
      </c>
      <c r="M14140" s="23" t="s">
        <v>8</v>
      </c>
    </row>
    <row r="14141" spans="1:13" s="21" customFormat="1" x14ac:dyDescent="0.25">
      <c r="A14141" s="22" t="s">
        <v>8</v>
      </c>
      <c r="B14141" s="18" t="str">
        <f>"555304"</f>
        <v>555304</v>
      </c>
      <c r="C14141" s="19" t="s">
        <v>13883</v>
      </c>
      <c r="D14141" s="19" t="s">
        <v>29532</v>
      </c>
      <c r="E14141" s="19" t="s">
        <v>31219</v>
      </c>
      <c r="F14141" s="19" t="s">
        <v>35978</v>
      </c>
      <c r="G14141" s="18" t="str">
        <f>"95928"</f>
        <v>95928</v>
      </c>
      <c r="H14141" s="19" t="s">
        <v>33744</v>
      </c>
      <c r="I14141" s="20">
        <v>16.956</v>
      </c>
      <c r="J14141" s="44" t="s">
        <v>8</v>
      </c>
      <c r="K14141" s="23" t="s">
        <v>8</v>
      </c>
      <c r="L14141" s="23" t="s">
        <v>8</v>
      </c>
      <c r="M14141" s="23" t="s">
        <v>8</v>
      </c>
    </row>
    <row r="14142" spans="1:13" s="21" customFormat="1" x14ac:dyDescent="0.25">
      <c r="A14142" s="22" t="s">
        <v>8</v>
      </c>
      <c r="B14142" s="18" t="str">
        <f>"555306"</f>
        <v>555306</v>
      </c>
      <c r="C14142" s="19" t="s">
        <v>13884</v>
      </c>
      <c r="D14142" s="19" t="s">
        <v>29533</v>
      </c>
      <c r="E14142" s="19" t="s">
        <v>31121</v>
      </c>
      <c r="F14142" s="19" t="s">
        <v>35978</v>
      </c>
      <c r="G14142" s="18" t="str">
        <f>"90247"</f>
        <v>90247</v>
      </c>
      <c r="H14142" s="19" t="s">
        <v>31109</v>
      </c>
      <c r="I14142" s="20">
        <v>18.806999999999999</v>
      </c>
      <c r="J14142" s="44" t="s">
        <v>8</v>
      </c>
      <c r="K14142" s="23" t="s">
        <v>8</v>
      </c>
      <c r="L14142" s="23" t="s">
        <v>8</v>
      </c>
      <c r="M14142" s="23" t="s">
        <v>8</v>
      </c>
    </row>
    <row r="14143" spans="1:13" s="21" customFormat="1" x14ac:dyDescent="0.25">
      <c r="A14143" s="22" t="s">
        <v>8</v>
      </c>
      <c r="B14143" s="18" t="str">
        <f>"555307"</f>
        <v>555307</v>
      </c>
      <c r="C14143" s="19" t="s">
        <v>13885</v>
      </c>
      <c r="D14143" s="19" t="s">
        <v>29534</v>
      </c>
      <c r="E14143" s="19" t="s">
        <v>31110</v>
      </c>
      <c r="F14143" s="19" t="s">
        <v>35978</v>
      </c>
      <c r="G14143" s="18" t="str">
        <f>"95210"</f>
        <v>95210</v>
      </c>
      <c r="H14143" s="19" t="s">
        <v>36087</v>
      </c>
      <c r="I14143" s="20">
        <v>20.556000000000001</v>
      </c>
      <c r="J14143" s="44" t="s">
        <v>8</v>
      </c>
      <c r="K14143" s="23" t="s">
        <v>8</v>
      </c>
      <c r="L14143" s="23" t="s">
        <v>8</v>
      </c>
      <c r="M14143" s="23" t="s">
        <v>8</v>
      </c>
    </row>
    <row r="14144" spans="1:13" s="21" customFormat="1" x14ac:dyDescent="0.25">
      <c r="A14144" s="22" t="s">
        <v>8</v>
      </c>
      <c r="B14144" s="18" t="str">
        <f>"555308"</f>
        <v>555308</v>
      </c>
      <c r="C14144" s="19" t="s">
        <v>13886</v>
      </c>
      <c r="D14144" s="19" t="s">
        <v>29535</v>
      </c>
      <c r="E14144" s="19" t="s">
        <v>31944</v>
      </c>
      <c r="F14144" s="19" t="s">
        <v>35978</v>
      </c>
      <c r="G14144" s="18" t="str">
        <f>"92630"</f>
        <v>92630</v>
      </c>
      <c r="H14144" s="19" t="s">
        <v>31169</v>
      </c>
      <c r="I14144" s="20">
        <v>15.032</v>
      </c>
      <c r="J14144" s="44" t="s">
        <v>8</v>
      </c>
      <c r="K14144" s="23" t="s">
        <v>8</v>
      </c>
      <c r="L14144" s="23" t="s">
        <v>8</v>
      </c>
      <c r="M14144" s="23" t="s">
        <v>8</v>
      </c>
    </row>
    <row r="14145" spans="1:13" s="21" customFormat="1" x14ac:dyDescent="0.25">
      <c r="A14145" s="22" t="s">
        <v>8</v>
      </c>
      <c r="B14145" s="18" t="str">
        <f>"555309"</f>
        <v>555309</v>
      </c>
      <c r="C14145" s="19" t="s">
        <v>13887</v>
      </c>
      <c r="D14145" s="19" t="s">
        <v>29536</v>
      </c>
      <c r="E14145" s="19" t="s">
        <v>35741</v>
      </c>
      <c r="F14145" s="19" t="s">
        <v>35978</v>
      </c>
      <c r="G14145" s="18" t="str">
        <f>"92220"</f>
        <v>92220</v>
      </c>
      <c r="H14145" s="19" t="s">
        <v>31112</v>
      </c>
      <c r="I14145" s="20">
        <v>20.677</v>
      </c>
      <c r="J14145" s="44" t="s">
        <v>8</v>
      </c>
      <c r="K14145" s="23" t="s">
        <v>8</v>
      </c>
      <c r="L14145" s="23" t="s">
        <v>8</v>
      </c>
      <c r="M14145" s="23" t="s">
        <v>8</v>
      </c>
    </row>
    <row r="14146" spans="1:13" s="21" customFormat="1" x14ac:dyDescent="0.25">
      <c r="A14146" s="22" t="s">
        <v>8</v>
      </c>
      <c r="B14146" s="18" t="str">
        <f>"555311"</f>
        <v>555311</v>
      </c>
      <c r="C14146" s="19" t="s">
        <v>13888</v>
      </c>
      <c r="D14146" s="19" t="s">
        <v>29537</v>
      </c>
      <c r="E14146" s="19" t="s">
        <v>35742</v>
      </c>
      <c r="F14146" s="19" t="s">
        <v>35978</v>
      </c>
      <c r="G14146" s="18" t="str">
        <f>"93620"</f>
        <v>93620</v>
      </c>
      <c r="H14146" s="19" t="s">
        <v>31168</v>
      </c>
      <c r="I14146" s="20">
        <v>18.869</v>
      </c>
      <c r="J14146" s="44" t="s">
        <v>8</v>
      </c>
      <c r="K14146" s="23" t="s">
        <v>8</v>
      </c>
      <c r="L14146" s="23" t="s">
        <v>8</v>
      </c>
      <c r="M14146" s="23" t="s">
        <v>8</v>
      </c>
    </row>
    <row r="14147" spans="1:13" s="21" customFormat="1" x14ac:dyDescent="0.25">
      <c r="A14147" s="22" t="s">
        <v>8</v>
      </c>
      <c r="B14147" s="18" t="str">
        <f>"555312"</f>
        <v>555312</v>
      </c>
      <c r="C14147" s="19" t="s">
        <v>13889</v>
      </c>
      <c r="D14147" s="19" t="s">
        <v>29538</v>
      </c>
      <c r="E14147" s="19" t="s">
        <v>31109</v>
      </c>
      <c r="F14147" s="19" t="s">
        <v>35978</v>
      </c>
      <c r="G14147" s="18" t="str">
        <f>"90033"</f>
        <v>90033</v>
      </c>
      <c r="H14147" s="19" t="s">
        <v>31109</v>
      </c>
      <c r="I14147" s="20">
        <v>18.285</v>
      </c>
      <c r="J14147" s="44" t="s">
        <v>8</v>
      </c>
      <c r="K14147" s="23" t="s">
        <v>8</v>
      </c>
      <c r="L14147" s="23" t="s">
        <v>8</v>
      </c>
      <c r="M14147" s="23" t="s">
        <v>8</v>
      </c>
    </row>
    <row r="14148" spans="1:13" s="21" customFormat="1" x14ac:dyDescent="0.25">
      <c r="A14148" s="22" t="s">
        <v>8</v>
      </c>
      <c r="B14148" s="18" t="str">
        <f>"555313"</f>
        <v>555313</v>
      </c>
      <c r="C14148" s="19" t="s">
        <v>13890</v>
      </c>
      <c r="D14148" s="19" t="s">
        <v>29539</v>
      </c>
      <c r="E14148" s="19" t="s">
        <v>31143</v>
      </c>
      <c r="F14148" s="19" t="s">
        <v>35978</v>
      </c>
      <c r="G14148" s="18" t="str">
        <f>"94611"</f>
        <v>94611</v>
      </c>
      <c r="H14148" s="19" t="s">
        <v>31290</v>
      </c>
      <c r="I14148" s="20">
        <v>18.965</v>
      </c>
      <c r="J14148" s="44" t="s">
        <v>8</v>
      </c>
      <c r="K14148" s="23" t="s">
        <v>8</v>
      </c>
      <c r="L14148" s="23" t="s">
        <v>8</v>
      </c>
      <c r="M14148" s="23" t="s">
        <v>8</v>
      </c>
    </row>
    <row r="14149" spans="1:13" s="21" customFormat="1" x14ac:dyDescent="0.25">
      <c r="A14149" s="22" t="s">
        <v>8</v>
      </c>
      <c r="B14149" s="18" t="str">
        <f>"555316"</f>
        <v>555316</v>
      </c>
      <c r="C14149" s="19" t="s">
        <v>13891</v>
      </c>
      <c r="D14149" s="19" t="s">
        <v>29540</v>
      </c>
      <c r="E14149" s="19" t="s">
        <v>31217</v>
      </c>
      <c r="F14149" s="19" t="s">
        <v>35978</v>
      </c>
      <c r="G14149" s="18" t="str">
        <f>"96002"</f>
        <v>96002</v>
      </c>
      <c r="H14149" s="19" t="s">
        <v>36097</v>
      </c>
      <c r="I14149" s="20">
        <v>13.617000000000001</v>
      </c>
      <c r="J14149" s="44" t="s">
        <v>8</v>
      </c>
      <c r="K14149" s="23" t="s">
        <v>8</v>
      </c>
      <c r="L14149" s="23" t="s">
        <v>8</v>
      </c>
      <c r="M14149" s="23" t="s">
        <v>8</v>
      </c>
    </row>
    <row r="14150" spans="1:13" s="21" customFormat="1" x14ac:dyDescent="0.25">
      <c r="A14150" s="22" t="s">
        <v>8</v>
      </c>
      <c r="B14150" s="18" t="str">
        <f>"555318"</f>
        <v>555318</v>
      </c>
      <c r="C14150" s="19" t="s">
        <v>13892</v>
      </c>
      <c r="D14150" s="19" t="s">
        <v>29541</v>
      </c>
      <c r="E14150" s="19" t="s">
        <v>31176</v>
      </c>
      <c r="F14150" s="19" t="s">
        <v>35978</v>
      </c>
      <c r="G14150" s="18" t="str">
        <f>"92127"</f>
        <v>92127</v>
      </c>
      <c r="H14150" s="19" t="s">
        <v>31176</v>
      </c>
      <c r="I14150" s="20">
        <v>19.451000000000001</v>
      </c>
      <c r="J14150" s="44" t="s">
        <v>8</v>
      </c>
      <c r="K14150" s="23" t="s">
        <v>8</v>
      </c>
      <c r="L14150" s="23" t="s">
        <v>8</v>
      </c>
      <c r="M14150" s="23" t="s">
        <v>8</v>
      </c>
    </row>
    <row r="14151" spans="1:13" s="21" customFormat="1" x14ac:dyDescent="0.25">
      <c r="A14151" s="22" t="s">
        <v>8</v>
      </c>
      <c r="B14151" s="18" t="str">
        <f>"555319"</f>
        <v>555319</v>
      </c>
      <c r="C14151" s="19" t="s">
        <v>13893</v>
      </c>
      <c r="D14151" s="19" t="s">
        <v>29542</v>
      </c>
      <c r="E14151" s="19" t="s">
        <v>35741</v>
      </c>
      <c r="F14151" s="19" t="s">
        <v>35978</v>
      </c>
      <c r="G14151" s="18" t="str">
        <f>"92220"</f>
        <v>92220</v>
      </c>
      <c r="H14151" s="19" t="s">
        <v>31112</v>
      </c>
      <c r="I14151" s="20">
        <v>20.876999999999999</v>
      </c>
      <c r="J14151" s="44" t="s">
        <v>8</v>
      </c>
      <c r="K14151" s="23" t="s">
        <v>8</v>
      </c>
      <c r="L14151" s="23" t="s">
        <v>8</v>
      </c>
      <c r="M14151" s="23" t="s">
        <v>8</v>
      </c>
    </row>
    <row r="14152" spans="1:13" s="21" customFormat="1" x14ac:dyDescent="0.25">
      <c r="A14152" s="22" t="s">
        <v>8</v>
      </c>
      <c r="B14152" s="18" t="str">
        <f>"555323"</f>
        <v>555323</v>
      </c>
      <c r="C14152" s="19" t="s">
        <v>13894</v>
      </c>
      <c r="D14152" s="19" t="s">
        <v>29543</v>
      </c>
      <c r="E14152" s="19" t="s">
        <v>31254</v>
      </c>
      <c r="F14152" s="19" t="s">
        <v>35978</v>
      </c>
      <c r="G14152" s="18" t="str">
        <f>"92024"</f>
        <v>92024</v>
      </c>
      <c r="H14152" s="19" t="s">
        <v>31176</v>
      </c>
      <c r="I14152" s="20">
        <v>17.300999999999998</v>
      </c>
      <c r="J14152" s="44" t="s">
        <v>8</v>
      </c>
      <c r="K14152" s="23" t="s">
        <v>8</v>
      </c>
      <c r="L14152" s="23" t="s">
        <v>8</v>
      </c>
      <c r="M14152" s="23" t="s">
        <v>8</v>
      </c>
    </row>
    <row r="14153" spans="1:13" s="21" customFormat="1" x14ac:dyDescent="0.25">
      <c r="A14153" s="22" t="s">
        <v>8</v>
      </c>
      <c r="B14153" s="18" t="str">
        <f>"555326"</f>
        <v>555326</v>
      </c>
      <c r="C14153" s="19" t="s">
        <v>13895</v>
      </c>
      <c r="D14153" s="19" t="s">
        <v>29544</v>
      </c>
      <c r="E14153" s="19" t="s">
        <v>31176</v>
      </c>
      <c r="F14153" s="19" t="s">
        <v>35978</v>
      </c>
      <c r="G14153" s="18" t="str">
        <f>"92128"</f>
        <v>92128</v>
      </c>
      <c r="H14153" s="19" t="s">
        <v>31176</v>
      </c>
      <c r="I14153" s="20">
        <v>19.355</v>
      </c>
      <c r="J14153" s="44" t="s">
        <v>8</v>
      </c>
      <c r="K14153" s="23" t="s">
        <v>8</v>
      </c>
      <c r="L14153" s="23" t="s">
        <v>8</v>
      </c>
      <c r="M14153" s="23" t="s">
        <v>8</v>
      </c>
    </row>
    <row r="14154" spans="1:13" s="21" customFormat="1" x14ac:dyDescent="0.25">
      <c r="A14154" s="22" t="s">
        <v>8</v>
      </c>
      <c r="B14154" s="18" t="str">
        <f>"555328"</f>
        <v>555328</v>
      </c>
      <c r="C14154" s="19" t="s">
        <v>13896</v>
      </c>
      <c r="D14154" s="19" t="s">
        <v>29545</v>
      </c>
      <c r="E14154" s="19" t="s">
        <v>35743</v>
      </c>
      <c r="F14154" s="19" t="s">
        <v>35978</v>
      </c>
      <c r="G14154" s="18" t="str">
        <f>"92708"</f>
        <v>92708</v>
      </c>
      <c r="H14154" s="19" t="s">
        <v>31169</v>
      </c>
      <c r="I14154" s="20">
        <v>22.117999999999999</v>
      </c>
      <c r="J14154" s="44" t="s">
        <v>8</v>
      </c>
      <c r="K14154" s="23" t="s">
        <v>8</v>
      </c>
      <c r="L14154" s="23" t="s">
        <v>8</v>
      </c>
      <c r="M14154" s="23" t="s">
        <v>8</v>
      </c>
    </row>
    <row r="14155" spans="1:13" s="21" customFormat="1" x14ac:dyDescent="0.25">
      <c r="A14155" s="22" t="s">
        <v>8</v>
      </c>
      <c r="B14155" s="18" t="str">
        <f>"555329"</f>
        <v>555329</v>
      </c>
      <c r="C14155" s="19" t="s">
        <v>13897</v>
      </c>
      <c r="D14155" s="19" t="s">
        <v>29546</v>
      </c>
      <c r="E14155" s="19" t="s">
        <v>31207</v>
      </c>
      <c r="F14155" s="19" t="s">
        <v>35978</v>
      </c>
      <c r="G14155" s="18" t="str">
        <f>"92801"</f>
        <v>92801</v>
      </c>
      <c r="H14155" s="19" t="s">
        <v>31169</v>
      </c>
      <c r="I14155" s="20">
        <v>18.481999999999999</v>
      </c>
      <c r="J14155" s="44" t="s">
        <v>8</v>
      </c>
      <c r="K14155" s="23" t="s">
        <v>8</v>
      </c>
      <c r="L14155" s="23" t="s">
        <v>8</v>
      </c>
      <c r="M14155" s="23" t="s">
        <v>8</v>
      </c>
    </row>
    <row r="14156" spans="1:13" s="21" customFormat="1" x14ac:dyDescent="0.25">
      <c r="A14156" s="22" t="s">
        <v>8</v>
      </c>
      <c r="B14156" s="18" t="str">
        <f>"555330"</f>
        <v>555330</v>
      </c>
      <c r="C14156" s="19" t="s">
        <v>13898</v>
      </c>
      <c r="D14156" s="19" t="s">
        <v>29547</v>
      </c>
      <c r="E14156" s="19" t="s">
        <v>31112</v>
      </c>
      <c r="F14156" s="19" t="s">
        <v>35978</v>
      </c>
      <c r="G14156" s="18" t="str">
        <f>"92509"</f>
        <v>92509</v>
      </c>
      <c r="H14156" s="19" t="s">
        <v>31112</v>
      </c>
      <c r="I14156" s="20">
        <v>20.832000000000001</v>
      </c>
      <c r="J14156" s="44" t="s">
        <v>8</v>
      </c>
      <c r="K14156" s="23" t="s">
        <v>8</v>
      </c>
      <c r="L14156" s="23" t="s">
        <v>8</v>
      </c>
      <c r="M14156" s="23" t="s">
        <v>8</v>
      </c>
    </row>
    <row r="14157" spans="1:13" s="21" customFormat="1" x14ac:dyDescent="0.25">
      <c r="A14157" s="22" t="s">
        <v>8</v>
      </c>
      <c r="B14157" s="18" t="str">
        <f>"555331"</f>
        <v>555331</v>
      </c>
      <c r="C14157" s="19" t="s">
        <v>13899</v>
      </c>
      <c r="D14157" s="19" t="s">
        <v>29548</v>
      </c>
      <c r="E14157" s="19" t="s">
        <v>31112</v>
      </c>
      <c r="F14157" s="19" t="s">
        <v>35978</v>
      </c>
      <c r="G14157" s="18" t="str">
        <f>"92506"</f>
        <v>92506</v>
      </c>
      <c r="H14157" s="19" t="s">
        <v>31112</v>
      </c>
      <c r="I14157" s="20">
        <v>18.632999999999999</v>
      </c>
      <c r="J14157" s="44" t="s">
        <v>8</v>
      </c>
      <c r="K14157" s="23" t="s">
        <v>8</v>
      </c>
      <c r="L14157" s="23" t="s">
        <v>8</v>
      </c>
      <c r="M14157" s="23" t="s">
        <v>8</v>
      </c>
    </row>
    <row r="14158" spans="1:13" s="21" customFormat="1" x14ac:dyDescent="0.25">
      <c r="A14158" s="22" t="s">
        <v>8</v>
      </c>
      <c r="B14158" s="18" t="str">
        <f>"555333"</f>
        <v>555333</v>
      </c>
      <c r="C14158" s="19" t="s">
        <v>13900</v>
      </c>
      <c r="D14158" s="19" t="s">
        <v>29549</v>
      </c>
      <c r="E14158" s="19" t="s">
        <v>31995</v>
      </c>
      <c r="F14158" s="19" t="s">
        <v>35978</v>
      </c>
      <c r="G14158" s="18" t="str">
        <f>"95648"</f>
        <v>95648</v>
      </c>
      <c r="H14158" s="19" t="s">
        <v>36093</v>
      </c>
      <c r="I14158" s="20">
        <v>17.888999999999999</v>
      </c>
      <c r="J14158" s="44" t="s">
        <v>8</v>
      </c>
      <c r="K14158" s="23" t="s">
        <v>8</v>
      </c>
      <c r="L14158" s="23" t="s">
        <v>8</v>
      </c>
      <c r="M14158" s="23" t="s">
        <v>8</v>
      </c>
    </row>
    <row r="14159" spans="1:13" s="21" customFormat="1" x14ac:dyDescent="0.25">
      <c r="A14159" s="22" t="s">
        <v>8</v>
      </c>
      <c r="B14159" s="18" t="str">
        <f>"555335"</f>
        <v>555335</v>
      </c>
      <c r="C14159" s="19" t="s">
        <v>13901</v>
      </c>
      <c r="D14159" s="19" t="s">
        <v>29550</v>
      </c>
      <c r="E14159" s="19" t="s">
        <v>31160</v>
      </c>
      <c r="F14159" s="19" t="s">
        <v>35978</v>
      </c>
      <c r="G14159" s="18" t="str">
        <f>"94550"</f>
        <v>94550</v>
      </c>
      <c r="H14159" s="19" t="s">
        <v>31290</v>
      </c>
      <c r="I14159" s="20">
        <v>17.716000000000001</v>
      </c>
      <c r="J14159" s="44" t="s">
        <v>8</v>
      </c>
      <c r="K14159" s="23" t="s">
        <v>8</v>
      </c>
      <c r="L14159" s="23" t="s">
        <v>8</v>
      </c>
      <c r="M14159" s="23" t="s">
        <v>8</v>
      </c>
    </row>
    <row r="14160" spans="1:13" s="21" customFormat="1" x14ac:dyDescent="0.25">
      <c r="A14160" s="22" t="s">
        <v>8</v>
      </c>
      <c r="B14160" s="18" t="str">
        <f>"555336"</f>
        <v>555336</v>
      </c>
      <c r="C14160" s="19" t="s">
        <v>898</v>
      </c>
      <c r="D14160" s="19" t="s">
        <v>29551</v>
      </c>
      <c r="E14160" s="19" t="s">
        <v>31236</v>
      </c>
      <c r="F14160" s="19" t="s">
        <v>35978</v>
      </c>
      <c r="G14160" s="18" t="str">
        <f>"93309"</f>
        <v>93309</v>
      </c>
      <c r="H14160" s="19" t="s">
        <v>36098</v>
      </c>
      <c r="I14160" s="20">
        <v>19.401</v>
      </c>
      <c r="J14160" s="44" t="s">
        <v>8</v>
      </c>
      <c r="K14160" s="23" t="s">
        <v>8</v>
      </c>
      <c r="L14160" s="23" t="s">
        <v>8</v>
      </c>
      <c r="M14160" s="23" t="s">
        <v>8</v>
      </c>
    </row>
    <row r="14161" spans="1:13" s="21" customFormat="1" x14ac:dyDescent="0.25">
      <c r="A14161" s="22" t="s">
        <v>8</v>
      </c>
      <c r="B14161" s="18" t="str">
        <f>"555337"</f>
        <v>555337</v>
      </c>
      <c r="C14161" s="19" t="s">
        <v>13902</v>
      </c>
      <c r="D14161" s="19" t="s">
        <v>29552</v>
      </c>
      <c r="E14161" s="19" t="s">
        <v>35744</v>
      </c>
      <c r="F14161" s="19" t="s">
        <v>35978</v>
      </c>
      <c r="G14161" s="18" t="str">
        <f>"95610"</f>
        <v>95610</v>
      </c>
      <c r="H14161" s="19" t="s">
        <v>31180</v>
      </c>
      <c r="I14161" s="20">
        <v>20.712</v>
      </c>
      <c r="J14161" s="44" t="s">
        <v>8</v>
      </c>
      <c r="K14161" s="23" t="s">
        <v>8</v>
      </c>
      <c r="L14161" s="23" t="s">
        <v>8</v>
      </c>
      <c r="M14161" s="23" t="s">
        <v>8</v>
      </c>
    </row>
    <row r="14162" spans="1:13" s="21" customFormat="1" x14ac:dyDescent="0.25">
      <c r="A14162" s="22" t="s">
        <v>8</v>
      </c>
      <c r="B14162" s="18" t="str">
        <f>"555338"</f>
        <v>555338</v>
      </c>
      <c r="C14162" s="19" t="s">
        <v>13903</v>
      </c>
      <c r="D14162" s="19" t="s">
        <v>29553</v>
      </c>
      <c r="E14162" s="19" t="s">
        <v>31191</v>
      </c>
      <c r="F14162" s="19" t="s">
        <v>35978</v>
      </c>
      <c r="G14162" s="18" t="str">
        <f>"91103"</f>
        <v>91103</v>
      </c>
      <c r="H14162" s="19" t="s">
        <v>31109</v>
      </c>
      <c r="I14162" s="20">
        <v>18.405999999999999</v>
      </c>
      <c r="J14162" s="44" t="s">
        <v>8</v>
      </c>
      <c r="K14162" s="23" t="s">
        <v>8</v>
      </c>
      <c r="L14162" s="23" t="s">
        <v>8</v>
      </c>
      <c r="M14162" s="23" t="s">
        <v>8</v>
      </c>
    </row>
    <row r="14163" spans="1:13" s="21" customFormat="1" x14ac:dyDescent="0.25">
      <c r="A14163" s="22" t="s">
        <v>8</v>
      </c>
      <c r="B14163" s="18" t="str">
        <f>"555339"</f>
        <v>555339</v>
      </c>
      <c r="C14163" s="19" t="s">
        <v>13904</v>
      </c>
      <c r="D14163" s="19" t="s">
        <v>29554</v>
      </c>
      <c r="E14163" s="19" t="s">
        <v>35732</v>
      </c>
      <c r="F14163" s="19" t="s">
        <v>35978</v>
      </c>
      <c r="G14163" s="18" t="str">
        <f>"92260"</f>
        <v>92260</v>
      </c>
      <c r="H14163" s="19" t="s">
        <v>31112</v>
      </c>
      <c r="I14163" s="20">
        <v>20.582999999999998</v>
      </c>
      <c r="J14163" s="44" t="s">
        <v>8</v>
      </c>
      <c r="K14163" s="23" t="s">
        <v>8</v>
      </c>
      <c r="L14163" s="23" t="s">
        <v>8</v>
      </c>
      <c r="M14163" s="23" t="s">
        <v>8</v>
      </c>
    </row>
    <row r="14164" spans="1:13" s="21" customFormat="1" x14ac:dyDescent="0.25">
      <c r="A14164" s="22" t="s">
        <v>8</v>
      </c>
      <c r="B14164" s="18" t="str">
        <f>"555340"</f>
        <v>555340</v>
      </c>
      <c r="C14164" s="19" t="s">
        <v>13905</v>
      </c>
      <c r="D14164" s="19" t="s">
        <v>29555</v>
      </c>
      <c r="E14164" s="19" t="s">
        <v>31154</v>
      </c>
      <c r="F14164" s="19" t="s">
        <v>35978</v>
      </c>
      <c r="G14164" s="18" t="str">
        <f>"90230"</f>
        <v>90230</v>
      </c>
      <c r="H14164" s="19" t="s">
        <v>31109</v>
      </c>
      <c r="I14164" s="20">
        <v>17.637</v>
      </c>
      <c r="J14164" s="44" t="s">
        <v>8</v>
      </c>
      <c r="K14164" s="23" t="s">
        <v>8</v>
      </c>
      <c r="L14164" s="23" t="s">
        <v>8</v>
      </c>
      <c r="M14164" s="23" t="s">
        <v>8</v>
      </c>
    </row>
    <row r="14165" spans="1:13" s="21" customFormat="1" x14ac:dyDescent="0.25">
      <c r="A14165" s="22" t="s">
        <v>8</v>
      </c>
      <c r="B14165" s="18" t="str">
        <f>"555341"</f>
        <v>555341</v>
      </c>
      <c r="C14165" s="19" t="s">
        <v>13906</v>
      </c>
      <c r="D14165" s="19" t="s">
        <v>29556</v>
      </c>
      <c r="E14165" s="19" t="s">
        <v>31165</v>
      </c>
      <c r="F14165" s="19" t="s">
        <v>35978</v>
      </c>
      <c r="G14165" s="18" t="str">
        <f>"94546"</f>
        <v>94546</v>
      </c>
      <c r="H14165" s="19" t="s">
        <v>31290</v>
      </c>
      <c r="I14165" s="20">
        <v>20.760999999999999</v>
      </c>
      <c r="J14165" s="44" t="s">
        <v>8</v>
      </c>
      <c r="K14165" s="23" t="s">
        <v>8</v>
      </c>
      <c r="L14165" s="23" t="s">
        <v>8</v>
      </c>
      <c r="M14165" s="23" t="s">
        <v>8</v>
      </c>
    </row>
    <row r="14166" spans="1:13" s="21" customFormat="1" x14ac:dyDescent="0.25">
      <c r="A14166" s="22" t="s">
        <v>8</v>
      </c>
      <c r="B14166" s="18" t="str">
        <f>"555342"</f>
        <v>555342</v>
      </c>
      <c r="C14166" s="19" t="s">
        <v>13907</v>
      </c>
      <c r="D14166" s="19" t="s">
        <v>29557</v>
      </c>
      <c r="E14166" s="19" t="s">
        <v>31198</v>
      </c>
      <c r="F14166" s="19" t="s">
        <v>35978</v>
      </c>
      <c r="G14166" s="18" t="str">
        <f>"95014"</f>
        <v>95014</v>
      </c>
      <c r="H14166" s="19" t="s">
        <v>31241</v>
      </c>
      <c r="I14166" s="20">
        <v>20.140999999999998</v>
      </c>
      <c r="J14166" s="44" t="s">
        <v>8</v>
      </c>
      <c r="K14166" s="23" t="s">
        <v>8</v>
      </c>
      <c r="L14166" s="23" t="s">
        <v>8</v>
      </c>
      <c r="M14166" s="23" t="s">
        <v>8</v>
      </c>
    </row>
    <row r="14167" spans="1:13" s="21" customFormat="1" x14ac:dyDescent="0.25">
      <c r="A14167" s="22" t="s">
        <v>8</v>
      </c>
      <c r="B14167" s="18" t="str">
        <f>"555343"</f>
        <v>555343</v>
      </c>
      <c r="C14167" s="19" t="s">
        <v>13908</v>
      </c>
      <c r="D14167" s="19" t="s">
        <v>29558</v>
      </c>
      <c r="E14167" s="19" t="s">
        <v>31201</v>
      </c>
      <c r="F14167" s="19" t="s">
        <v>35978</v>
      </c>
      <c r="G14167" s="18" t="str">
        <f>"95070"</f>
        <v>95070</v>
      </c>
      <c r="H14167" s="19" t="s">
        <v>31241</v>
      </c>
      <c r="I14167" s="20">
        <v>20.279</v>
      </c>
      <c r="J14167" s="44" t="s">
        <v>8</v>
      </c>
      <c r="K14167" s="23" t="s">
        <v>8</v>
      </c>
      <c r="L14167" s="23" t="s">
        <v>8</v>
      </c>
      <c r="M14167" s="23" t="s">
        <v>8</v>
      </c>
    </row>
    <row r="14168" spans="1:13" s="21" customFormat="1" x14ac:dyDescent="0.25">
      <c r="A14168" s="22" t="s">
        <v>8</v>
      </c>
      <c r="B14168" s="18" t="str">
        <f>"555344"</f>
        <v>555344</v>
      </c>
      <c r="C14168" s="19" t="s">
        <v>13909</v>
      </c>
      <c r="D14168" s="19" t="s">
        <v>29559</v>
      </c>
      <c r="E14168" s="19" t="s">
        <v>31180</v>
      </c>
      <c r="F14168" s="19" t="s">
        <v>35978</v>
      </c>
      <c r="G14168" s="18" t="str">
        <f>"95823"</f>
        <v>95823</v>
      </c>
      <c r="H14168" s="19" t="s">
        <v>31180</v>
      </c>
      <c r="I14168" s="20">
        <v>18.811</v>
      </c>
      <c r="J14168" s="44" t="s">
        <v>8</v>
      </c>
      <c r="K14168" s="23" t="s">
        <v>8</v>
      </c>
      <c r="L14168" s="23" t="s">
        <v>8</v>
      </c>
      <c r="M14168" s="23" t="s">
        <v>8</v>
      </c>
    </row>
    <row r="14169" spans="1:13" s="21" customFormat="1" x14ac:dyDescent="0.25">
      <c r="A14169" s="22" t="s">
        <v>8</v>
      </c>
      <c r="B14169" s="18" t="str">
        <f>"555347"</f>
        <v>555347</v>
      </c>
      <c r="C14169" s="19" t="s">
        <v>13910</v>
      </c>
      <c r="D14169" s="19" t="s">
        <v>29560</v>
      </c>
      <c r="E14169" s="19" t="s">
        <v>31210</v>
      </c>
      <c r="F14169" s="19" t="s">
        <v>35978</v>
      </c>
      <c r="G14169" s="18" t="str">
        <f>"95380"</f>
        <v>95380</v>
      </c>
      <c r="H14169" s="19" t="s">
        <v>36085</v>
      </c>
      <c r="I14169" s="20">
        <v>18.666</v>
      </c>
      <c r="J14169" s="44" t="s">
        <v>8</v>
      </c>
      <c r="K14169" s="23" t="s">
        <v>8</v>
      </c>
      <c r="L14169" s="23" t="s">
        <v>8</v>
      </c>
      <c r="M14169" s="23" t="s">
        <v>8</v>
      </c>
    </row>
    <row r="14170" spans="1:13" s="21" customFormat="1" x14ac:dyDescent="0.25">
      <c r="A14170" s="22" t="s">
        <v>8</v>
      </c>
      <c r="B14170" s="18" t="str">
        <f>"555348"</f>
        <v>555348</v>
      </c>
      <c r="C14170" s="19" t="s">
        <v>3063</v>
      </c>
      <c r="D14170" s="19" t="s">
        <v>29561</v>
      </c>
      <c r="E14170" s="19" t="s">
        <v>31116</v>
      </c>
      <c r="F14170" s="19" t="s">
        <v>35978</v>
      </c>
      <c r="G14170" s="18" t="str">
        <f>"90262"</f>
        <v>90262</v>
      </c>
      <c r="H14170" s="19" t="s">
        <v>31109</v>
      </c>
      <c r="I14170" s="20">
        <v>18.797999999999998</v>
      </c>
      <c r="J14170" s="44" t="s">
        <v>8</v>
      </c>
      <c r="K14170" s="23" t="s">
        <v>8</v>
      </c>
      <c r="L14170" s="23" t="s">
        <v>8</v>
      </c>
      <c r="M14170" s="23" t="s">
        <v>8</v>
      </c>
    </row>
    <row r="14171" spans="1:13" s="21" customFormat="1" x14ac:dyDescent="0.25">
      <c r="A14171" s="22" t="s">
        <v>8</v>
      </c>
      <c r="B14171" s="18" t="str">
        <f>"555349"</f>
        <v>555349</v>
      </c>
      <c r="C14171" s="19" t="s">
        <v>13911</v>
      </c>
      <c r="D14171" s="19" t="s">
        <v>29562</v>
      </c>
      <c r="E14171" s="19" t="s">
        <v>31200</v>
      </c>
      <c r="F14171" s="19" t="s">
        <v>35978</v>
      </c>
      <c r="G14171" s="18" t="str">
        <f>"95687"</f>
        <v>95687</v>
      </c>
      <c r="H14171" s="19" t="s">
        <v>36086</v>
      </c>
      <c r="I14171" s="20">
        <v>18.783999999999999</v>
      </c>
      <c r="J14171" s="44" t="s">
        <v>8</v>
      </c>
      <c r="K14171" s="23" t="s">
        <v>8</v>
      </c>
      <c r="L14171" s="23" t="s">
        <v>8</v>
      </c>
      <c r="M14171" s="23" t="s">
        <v>8</v>
      </c>
    </row>
    <row r="14172" spans="1:13" s="21" customFormat="1" x14ac:dyDescent="0.25">
      <c r="A14172" s="22" t="s">
        <v>8</v>
      </c>
      <c r="B14172" s="18" t="str">
        <f>"555350"</f>
        <v>555350</v>
      </c>
      <c r="C14172" s="19" t="s">
        <v>13912</v>
      </c>
      <c r="D14172" s="19" t="s">
        <v>29563</v>
      </c>
      <c r="E14172" s="19" t="s">
        <v>31098</v>
      </c>
      <c r="F14172" s="19" t="s">
        <v>35978</v>
      </c>
      <c r="G14172" s="18" t="str">
        <f>"92373"</f>
        <v>92373</v>
      </c>
      <c r="H14172" s="19" t="s">
        <v>31227</v>
      </c>
      <c r="I14172" s="20">
        <v>17.074999999999999</v>
      </c>
      <c r="J14172" s="44" t="s">
        <v>8</v>
      </c>
      <c r="K14172" s="23" t="s">
        <v>8</v>
      </c>
      <c r="L14172" s="23" t="s">
        <v>8</v>
      </c>
      <c r="M14172" s="23" t="s">
        <v>8</v>
      </c>
    </row>
    <row r="14173" spans="1:13" s="21" customFormat="1" x14ac:dyDescent="0.25">
      <c r="A14173" s="22" t="s">
        <v>8</v>
      </c>
      <c r="B14173" s="18" t="str">
        <f>"555352"</f>
        <v>555352</v>
      </c>
      <c r="C14173" s="19" t="s">
        <v>13913</v>
      </c>
      <c r="D14173" s="19" t="s">
        <v>29564</v>
      </c>
      <c r="E14173" s="19" t="s">
        <v>31155</v>
      </c>
      <c r="F14173" s="19" t="s">
        <v>35978</v>
      </c>
      <c r="G14173" s="18" t="str">
        <f>"93725"</f>
        <v>93725</v>
      </c>
      <c r="H14173" s="19" t="s">
        <v>31155</v>
      </c>
      <c r="I14173" s="20">
        <v>19.260999999999999</v>
      </c>
      <c r="J14173" s="44" t="s">
        <v>8</v>
      </c>
      <c r="K14173" s="23" t="s">
        <v>8</v>
      </c>
      <c r="L14173" s="23" t="s">
        <v>8</v>
      </c>
      <c r="M14173" s="23" t="s">
        <v>8</v>
      </c>
    </row>
    <row r="14174" spans="1:13" s="21" customFormat="1" x14ac:dyDescent="0.25">
      <c r="A14174" s="22" t="s">
        <v>8</v>
      </c>
      <c r="B14174" s="18" t="str">
        <f>"555353"</f>
        <v>555353</v>
      </c>
      <c r="C14174" s="19" t="s">
        <v>13914</v>
      </c>
      <c r="D14174" s="19" t="s">
        <v>29565</v>
      </c>
      <c r="E14174" s="19" t="s">
        <v>31112</v>
      </c>
      <c r="F14174" s="19" t="s">
        <v>35978</v>
      </c>
      <c r="G14174" s="18" t="str">
        <f>"92503"</f>
        <v>92503</v>
      </c>
      <c r="H14174" s="19" t="s">
        <v>31112</v>
      </c>
      <c r="I14174" s="20">
        <v>17.367999999999999</v>
      </c>
      <c r="J14174" s="44" t="s">
        <v>8</v>
      </c>
      <c r="K14174" s="23" t="s">
        <v>8</v>
      </c>
      <c r="L14174" s="23" t="s">
        <v>8</v>
      </c>
      <c r="M14174" s="23" t="s">
        <v>8</v>
      </c>
    </row>
    <row r="14175" spans="1:13" s="21" customFormat="1" x14ac:dyDescent="0.25">
      <c r="A14175" s="22" t="s">
        <v>8</v>
      </c>
      <c r="B14175" s="18" t="str">
        <f>"555354"</f>
        <v>555354</v>
      </c>
      <c r="C14175" s="19" t="s">
        <v>13915</v>
      </c>
      <c r="D14175" s="19" t="s">
        <v>29566</v>
      </c>
      <c r="E14175" s="19" t="s">
        <v>31237</v>
      </c>
      <c r="F14175" s="19" t="s">
        <v>35978</v>
      </c>
      <c r="G14175" s="18" t="str">
        <f>"93291"</f>
        <v>93291</v>
      </c>
      <c r="H14175" s="19" t="s">
        <v>31243</v>
      </c>
      <c r="I14175" s="20">
        <v>17.937000000000001</v>
      </c>
      <c r="J14175" s="44" t="s">
        <v>8</v>
      </c>
      <c r="K14175" s="23" t="s">
        <v>8</v>
      </c>
      <c r="L14175" s="23" t="s">
        <v>8</v>
      </c>
      <c r="M14175" s="23" t="s">
        <v>8</v>
      </c>
    </row>
    <row r="14176" spans="1:13" s="21" customFormat="1" x14ac:dyDescent="0.25">
      <c r="A14176" s="22" t="s">
        <v>8</v>
      </c>
      <c r="B14176" s="18" t="str">
        <f>"555355"</f>
        <v>555355</v>
      </c>
      <c r="C14176" s="19" t="s">
        <v>13916</v>
      </c>
      <c r="D14176" s="19" t="s">
        <v>29567</v>
      </c>
      <c r="E14176" s="19" t="s">
        <v>31101</v>
      </c>
      <c r="F14176" s="19" t="s">
        <v>35978</v>
      </c>
      <c r="G14176" s="18" t="str">
        <f>"95356"</f>
        <v>95356</v>
      </c>
      <c r="H14176" s="19" t="s">
        <v>36085</v>
      </c>
      <c r="I14176" s="20">
        <v>18.677</v>
      </c>
      <c r="J14176" s="44" t="s">
        <v>8</v>
      </c>
      <c r="K14176" s="23" t="s">
        <v>8</v>
      </c>
      <c r="L14176" s="23" t="s">
        <v>8</v>
      </c>
      <c r="M14176" s="23" t="s">
        <v>8</v>
      </c>
    </row>
    <row r="14177" spans="1:13" s="21" customFormat="1" x14ac:dyDescent="0.25">
      <c r="A14177" s="22" t="s">
        <v>8</v>
      </c>
      <c r="B14177" s="18" t="str">
        <f>"555356"</f>
        <v>555356</v>
      </c>
      <c r="C14177" s="19" t="s">
        <v>13917</v>
      </c>
      <c r="D14177" s="19" t="s">
        <v>29568</v>
      </c>
      <c r="E14177" s="19" t="s">
        <v>31217</v>
      </c>
      <c r="F14177" s="19" t="s">
        <v>35978</v>
      </c>
      <c r="G14177" s="18" t="str">
        <f>"96003"</f>
        <v>96003</v>
      </c>
      <c r="H14177" s="19" t="s">
        <v>36097</v>
      </c>
      <c r="I14177" s="20">
        <v>21.058</v>
      </c>
      <c r="J14177" s="44" t="s">
        <v>8</v>
      </c>
      <c r="K14177" s="23" t="s">
        <v>8</v>
      </c>
      <c r="L14177" s="23" t="s">
        <v>8</v>
      </c>
      <c r="M14177" s="23" t="s">
        <v>8</v>
      </c>
    </row>
    <row r="14178" spans="1:13" s="21" customFormat="1" x14ac:dyDescent="0.25">
      <c r="A14178" s="22" t="s">
        <v>8</v>
      </c>
      <c r="B14178" s="18" t="str">
        <f>"555358"</f>
        <v>555358</v>
      </c>
      <c r="C14178" s="19" t="s">
        <v>13918</v>
      </c>
      <c r="D14178" s="19" t="s">
        <v>29569</v>
      </c>
      <c r="E14178" s="19" t="s">
        <v>31143</v>
      </c>
      <c r="F14178" s="19" t="s">
        <v>35978</v>
      </c>
      <c r="G14178" s="18" t="str">
        <f>"94601"</f>
        <v>94601</v>
      </c>
      <c r="H14178" s="19" t="s">
        <v>31290</v>
      </c>
      <c r="I14178" s="20">
        <v>19.873000000000001</v>
      </c>
      <c r="J14178" s="44" t="s">
        <v>8</v>
      </c>
      <c r="K14178" s="23" t="s">
        <v>8</v>
      </c>
      <c r="L14178" s="23" t="s">
        <v>8</v>
      </c>
      <c r="M14178" s="23" t="s">
        <v>8</v>
      </c>
    </row>
    <row r="14179" spans="1:13" s="21" customFormat="1" x14ac:dyDescent="0.25">
      <c r="A14179" s="22" t="s">
        <v>8</v>
      </c>
      <c r="B14179" s="18" t="str">
        <f>"555362"</f>
        <v>555362</v>
      </c>
      <c r="C14179" s="19" t="s">
        <v>13919</v>
      </c>
      <c r="D14179" s="19" t="s">
        <v>29570</v>
      </c>
      <c r="E14179" s="19" t="s">
        <v>31176</v>
      </c>
      <c r="F14179" s="19" t="s">
        <v>35978</v>
      </c>
      <c r="G14179" s="18" t="str">
        <f>"92127"</f>
        <v>92127</v>
      </c>
      <c r="H14179" s="19" t="s">
        <v>31176</v>
      </c>
      <c r="I14179" s="20">
        <v>20.475000000000001</v>
      </c>
      <c r="J14179" s="44" t="s">
        <v>8</v>
      </c>
      <c r="K14179" s="23" t="s">
        <v>8</v>
      </c>
      <c r="L14179" s="23" t="s">
        <v>8</v>
      </c>
      <c r="M14179" s="23" t="s">
        <v>8</v>
      </c>
    </row>
    <row r="14180" spans="1:13" s="21" customFormat="1" x14ac:dyDescent="0.25">
      <c r="A14180" s="22" t="s">
        <v>8</v>
      </c>
      <c r="B14180" s="18" t="str">
        <f>"555363"</f>
        <v>555363</v>
      </c>
      <c r="C14180" s="19" t="s">
        <v>13920</v>
      </c>
      <c r="D14180" s="19" t="s">
        <v>29571</v>
      </c>
      <c r="E14180" s="19" t="s">
        <v>31188</v>
      </c>
      <c r="F14180" s="19" t="s">
        <v>35978</v>
      </c>
      <c r="G14180" s="18" t="str">
        <f>"95125"</f>
        <v>95125</v>
      </c>
      <c r="H14180" s="19" t="s">
        <v>31241</v>
      </c>
      <c r="I14180" s="20">
        <v>18.741</v>
      </c>
      <c r="J14180" s="44" t="s">
        <v>8</v>
      </c>
      <c r="K14180" s="23" t="s">
        <v>8</v>
      </c>
      <c r="L14180" s="23" t="s">
        <v>8</v>
      </c>
      <c r="M14180" s="23" t="s">
        <v>8</v>
      </c>
    </row>
    <row r="14181" spans="1:13" s="21" customFormat="1" x14ac:dyDescent="0.25">
      <c r="A14181" s="22" t="s">
        <v>8</v>
      </c>
      <c r="B14181" s="18" t="str">
        <f>"555364"</f>
        <v>555364</v>
      </c>
      <c r="C14181" s="19" t="s">
        <v>13921</v>
      </c>
      <c r="D14181" s="19" t="s">
        <v>29572</v>
      </c>
      <c r="E14181" s="19" t="s">
        <v>35745</v>
      </c>
      <c r="F14181" s="19" t="s">
        <v>35978</v>
      </c>
      <c r="G14181" s="18" t="str">
        <f>"94530"</f>
        <v>94530</v>
      </c>
      <c r="H14181" s="19" t="s">
        <v>36088</v>
      </c>
      <c r="I14181" s="20">
        <v>19.995999999999999</v>
      </c>
      <c r="J14181" s="44" t="s">
        <v>8</v>
      </c>
      <c r="K14181" s="23" t="s">
        <v>8</v>
      </c>
      <c r="L14181" s="23" t="s">
        <v>8</v>
      </c>
      <c r="M14181" s="23" t="s">
        <v>8</v>
      </c>
    </row>
    <row r="14182" spans="1:13" s="21" customFormat="1" x14ac:dyDescent="0.25">
      <c r="A14182" s="22" t="s">
        <v>8</v>
      </c>
      <c r="B14182" s="18" t="str">
        <f>"555365"</f>
        <v>555365</v>
      </c>
      <c r="C14182" s="19" t="s">
        <v>13922</v>
      </c>
      <c r="D14182" s="19" t="s">
        <v>29573</v>
      </c>
      <c r="E14182" s="19" t="s">
        <v>31112</v>
      </c>
      <c r="F14182" s="19" t="s">
        <v>35978</v>
      </c>
      <c r="G14182" s="18" t="str">
        <f>"92505"</f>
        <v>92505</v>
      </c>
      <c r="H14182" s="19" t="s">
        <v>31112</v>
      </c>
      <c r="I14182" s="20">
        <v>20.794</v>
      </c>
      <c r="J14182" s="44" t="s">
        <v>8</v>
      </c>
      <c r="K14182" s="23" t="s">
        <v>8</v>
      </c>
      <c r="L14182" s="23" t="s">
        <v>8</v>
      </c>
      <c r="M14182" s="23" t="s">
        <v>8</v>
      </c>
    </row>
    <row r="14183" spans="1:13" s="21" customFormat="1" x14ac:dyDescent="0.25">
      <c r="A14183" s="22" t="s">
        <v>8</v>
      </c>
      <c r="B14183" s="18" t="str">
        <f>"555368"</f>
        <v>555368</v>
      </c>
      <c r="C14183" s="19" t="s">
        <v>13923</v>
      </c>
      <c r="D14183" s="19" t="s">
        <v>29574</v>
      </c>
      <c r="E14183" s="19" t="s">
        <v>31222</v>
      </c>
      <c r="F14183" s="19" t="s">
        <v>35978</v>
      </c>
      <c r="G14183" s="18" t="str">
        <f>"90302"</f>
        <v>90302</v>
      </c>
      <c r="H14183" s="19" t="s">
        <v>31109</v>
      </c>
      <c r="I14183" s="20">
        <v>20.236000000000001</v>
      </c>
      <c r="J14183" s="44" t="s">
        <v>8</v>
      </c>
      <c r="K14183" s="23" t="s">
        <v>8</v>
      </c>
      <c r="L14183" s="23" t="s">
        <v>8</v>
      </c>
      <c r="M14183" s="23" t="s">
        <v>8</v>
      </c>
    </row>
    <row r="14184" spans="1:13" s="21" customFormat="1" x14ac:dyDescent="0.25">
      <c r="A14184" s="22" t="s">
        <v>8</v>
      </c>
      <c r="B14184" s="18" t="str">
        <f>"555371"</f>
        <v>555371</v>
      </c>
      <c r="C14184" s="19" t="s">
        <v>13924</v>
      </c>
      <c r="D14184" s="19" t="s">
        <v>29575</v>
      </c>
      <c r="E14184" s="19" t="s">
        <v>35746</v>
      </c>
      <c r="F14184" s="19" t="s">
        <v>35978</v>
      </c>
      <c r="G14184" s="18" t="str">
        <f>"93442"</f>
        <v>93442</v>
      </c>
      <c r="H14184" s="19" t="s">
        <v>31125</v>
      </c>
      <c r="I14184" s="20">
        <v>15.523999999999999</v>
      </c>
      <c r="J14184" s="44" t="s">
        <v>8</v>
      </c>
      <c r="K14184" s="23" t="s">
        <v>8</v>
      </c>
      <c r="L14184" s="23" t="s">
        <v>8</v>
      </c>
      <c r="M14184" s="23" t="s">
        <v>8</v>
      </c>
    </row>
    <row r="14185" spans="1:13" s="21" customFormat="1" x14ac:dyDescent="0.25">
      <c r="A14185" s="22" t="s">
        <v>8</v>
      </c>
      <c r="B14185" s="18" t="str">
        <f>"555374"</f>
        <v>555374</v>
      </c>
      <c r="C14185" s="19" t="s">
        <v>13925</v>
      </c>
      <c r="D14185" s="19" t="s">
        <v>29576</v>
      </c>
      <c r="E14185" s="19" t="s">
        <v>31131</v>
      </c>
      <c r="F14185" s="19" t="s">
        <v>35978</v>
      </c>
      <c r="G14185" s="18" t="str">
        <f>"91732"</f>
        <v>91732</v>
      </c>
      <c r="H14185" s="19" t="s">
        <v>31109</v>
      </c>
      <c r="I14185" s="20">
        <v>19.597000000000001</v>
      </c>
      <c r="J14185" s="44" t="s">
        <v>8</v>
      </c>
      <c r="K14185" s="23" t="s">
        <v>8</v>
      </c>
      <c r="L14185" s="23" t="s">
        <v>8</v>
      </c>
      <c r="M14185" s="23" t="s">
        <v>8</v>
      </c>
    </row>
    <row r="14186" spans="1:13" s="21" customFormat="1" x14ac:dyDescent="0.25">
      <c r="A14186" s="22" t="s">
        <v>8</v>
      </c>
      <c r="B14186" s="18" t="str">
        <f>"555375"</f>
        <v>555375</v>
      </c>
      <c r="C14186" s="19" t="s">
        <v>13926</v>
      </c>
      <c r="D14186" s="19" t="s">
        <v>29577</v>
      </c>
      <c r="E14186" s="19" t="s">
        <v>31111</v>
      </c>
      <c r="F14186" s="19" t="s">
        <v>35978</v>
      </c>
      <c r="G14186" s="18" t="str">
        <f>"90805"</f>
        <v>90805</v>
      </c>
      <c r="H14186" s="19" t="s">
        <v>31109</v>
      </c>
      <c r="I14186" s="20">
        <v>18.164999999999999</v>
      </c>
      <c r="J14186" s="44" t="s">
        <v>8</v>
      </c>
      <c r="K14186" s="23" t="s">
        <v>8</v>
      </c>
      <c r="L14186" s="23" t="s">
        <v>8</v>
      </c>
      <c r="M14186" s="23" t="s">
        <v>8</v>
      </c>
    </row>
    <row r="14187" spans="1:13" s="21" customFormat="1" x14ac:dyDescent="0.25">
      <c r="A14187" s="22" t="s">
        <v>8</v>
      </c>
      <c r="B14187" s="18" t="str">
        <f>"555376"</f>
        <v>555376</v>
      </c>
      <c r="C14187" s="19" t="s">
        <v>13927</v>
      </c>
      <c r="D14187" s="19" t="s">
        <v>29578</v>
      </c>
      <c r="E14187" s="19" t="s">
        <v>30981</v>
      </c>
      <c r="F14187" s="19" t="s">
        <v>35978</v>
      </c>
      <c r="G14187" s="18" t="str">
        <f>"94526"</f>
        <v>94526</v>
      </c>
      <c r="H14187" s="19" t="s">
        <v>36088</v>
      </c>
      <c r="I14187" s="20">
        <v>16.414000000000001</v>
      </c>
      <c r="J14187" s="44" t="s">
        <v>8</v>
      </c>
      <c r="K14187" s="23" t="s">
        <v>8</v>
      </c>
      <c r="L14187" s="23" t="s">
        <v>8</v>
      </c>
      <c r="M14187" s="23" t="s">
        <v>8</v>
      </c>
    </row>
    <row r="14188" spans="1:13" s="21" customFormat="1" x14ac:dyDescent="0.25">
      <c r="A14188" s="22" t="s">
        <v>8</v>
      </c>
      <c r="B14188" s="18" t="str">
        <f>"555379"</f>
        <v>555379</v>
      </c>
      <c r="C14188" s="19" t="s">
        <v>13928</v>
      </c>
      <c r="D14188" s="19" t="s">
        <v>29579</v>
      </c>
      <c r="E14188" s="19" t="s">
        <v>31098</v>
      </c>
      <c r="F14188" s="19" t="s">
        <v>35978</v>
      </c>
      <c r="G14188" s="18" t="str">
        <f>"92373"</f>
        <v>92373</v>
      </c>
      <c r="H14188" s="19" t="s">
        <v>31227</v>
      </c>
      <c r="I14188" s="20">
        <v>18.329000000000001</v>
      </c>
      <c r="J14188" s="44" t="s">
        <v>8</v>
      </c>
      <c r="K14188" s="23" t="s">
        <v>8</v>
      </c>
      <c r="L14188" s="23" t="s">
        <v>8</v>
      </c>
      <c r="M14188" s="23" t="s">
        <v>8</v>
      </c>
    </row>
    <row r="14189" spans="1:13" s="21" customFormat="1" x14ac:dyDescent="0.25">
      <c r="A14189" s="22" t="s">
        <v>8</v>
      </c>
      <c r="B14189" s="18" t="str">
        <f>"555380"</f>
        <v>555380</v>
      </c>
      <c r="C14189" s="19" t="s">
        <v>13929</v>
      </c>
      <c r="D14189" s="19" t="s">
        <v>29580</v>
      </c>
      <c r="E14189" s="19" t="s">
        <v>35747</v>
      </c>
      <c r="F14189" s="19" t="s">
        <v>35978</v>
      </c>
      <c r="G14189" s="18" t="str">
        <f>"91436"</f>
        <v>91436</v>
      </c>
      <c r="H14189" s="19" t="s">
        <v>31109</v>
      </c>
      <c r="I14189" s="20">
        <v>18.986000000000001</v>
      </c>
      <c r="J14189" s="44" t="s">
        <v>8</v>
      </c>
      <c r="K14189" s="23" t="s">
        <v>8</v>
      </c>
      <c r="L14189" s="23" t="s">
        <v>8</v>
      </c>
      <c r="M14189" s="23" t="s">
        <v>8</v>
      </c>
    </row>
    <row r="14190" spans="1:13" s="21" customFormat="1" x14ac:dyDescent="0.25">
      <c r="A14190" s="22" t="s">
        <v>8</v>
      </c>
      <c r="B14190" s="18" t="str">
        <f>"555381"</f>
        <v>555381</v>
      </c>
      <c r="C14190" s="19" t="s">
        <v>13930</v>
      </c>
      <c r="D14190" s="19" t="s">
        <v>29581</v>
      </c>
      <c r="E14190" s="19" t="s">
        <v>31290</v>
      </c>
      <c r="F14190" s="19" t="s">
        <v>35978</v>
      </c>
      <c r="G14190" s="18" t="str">
        <f>"94501"</f>
        <v>94501</v>
      </c>
      <c r="H14190" s="19" t="s">
        <v>31290</v>
      </c>
      <c r="I14190" s="20">
        <v>20.315000000000001</v>
      </c>
      <c r="J14190" s="44" t="s">
        <v>8</v>
      </c>
      <c r="K14190" s="23" t="s">
        <v>8</v>
      </c>
      <c r="L14190" s="23" t="s">
        <v>8</v>
      </c>
      <c r="M14190" s="23" t="s">
        <v>8</v>
      </c>
    </row>
    <row r="14191" spans="1:13" s="21" customFormat="1" x14ac:dyDescent="0.25">
      <c r="A14191" s="22" t="s">
        <v>8</v>
      </c>
      <c r="B14191" s="18" t="str">
        <f>"555383"</f>
        <v>555383</v>
      </c>
      <c r="C14191" s="19" t="s">
        <v>13931</v>
      </c>
      <c r="D14191" s="19" t="s">
        <v>29582</v>
      </c>
      <c r="E14191" s="19" t="s">
        <v>35748</v>
      </c>
      <c r="F14191" s="19" t="s">
        <v>35978</v>
      </c>
      <c r="G14191" s="18" t="str">
        <f>"92225"</f>
        <v>92225</v>
      </c>
      <c r="H14191" s="19" t="s">
        <v>31112</v>
      </c>
      <c r="I14191" s="20">
        <v>19.82</v>
      </c>
      <c r="J14191" s="44" t="s">
        <v>8</v>
      </c>
      <c r="K14191" s="23" t="s">
        <v>8</v>
      </c>
      <c r="L14191" s="23" t="s">
        <v>8</v>
      </c>
      <c r="M14191" s="23" t="s">
        <v>8</v>
      </c>
    </row>
    <row r="14192" spans="1:13" s="21" customFormat="1" x14ac:dyDescent="0.25">
      <c r="A14192" s="22" t="s">
        <v>8</v>
      </c>
      <c r="B14192" s="18" t="str">
        <f>"555387"</f>
        <v>555387</v>
      </c>
      <c r="C14192" s="19" t="s">
        <v>13932</v>
      </c>
      <c r="D14192" s="19" t="s">
        <v>29583</v>
      </c>
      <c r="E14192" s="19" t="s">
        <v>31110</v>
      </c>
      <c r="F14192" s="19" t="s">
        <v>35978</v>
      </c>
      <c r="G14192" s="18" t="str">
        <f>"95209"</f>
        <v>95209</v>
      </c>
      <c r="H14192" s="19" t="s">
        <v>36087</v>
      </c>
      <c r="I14192" s="20">
        <v>17.542999999999999</v>
      </c>
      <c r="J14192" s="44" t="s">
        <v>8</v>
      </c>
      <c r="K14192" s="23" t="s">
        <v>8</v>
      </c>
      <c r="L14192" s="23" t="s">
        <v>8</v>
      </c>
      <c r="M14192" s="23" t="s">
        <v>8</v>
      </c>
    </row>
    <row r="14193" spans="1:13" s="21" customFormat="1" x14ac:dyDescent="0.25">
      <c r="A14193" s="22" t="s">
        <v>8</v>
      </c>
      <c r="B14193" s="18" t="str">
        <f>"555388"</f>
        <v>555388</v>
      </c>
      <c r="C14193" s="19" t="s">
        <v>13933</v>
      </c>
      <c r="D14193" s="19" t="s">
        <v>29584</v>
      </c>
      <c r="E14193" s="19" t="s">
        <v>31207</v>
      </c>
      <c r="F14193" s="19" t="s">
        <v>35978</v>
      </c>
      <c r="G14193" s="18" t="str">
        <f>"92804"</f>
        <v>92804</v>
      </c>
      <c r="H14193" s="19" t="s">
        <v>31169</v>
      </c>
      <c r="I14193" s="20">
        <v>21.667000000000002</v>
      </c>
      <c r="J14193" s="44" t="s">
        <v>8</v>
      </c>
      <c r="K14193" s="23" t="s">
        <v>8</v>
      </c>
      <c r="L14193" s="23" t="s">
        <v>8</v>
      </c>
      <c r="M14193" s="23" t="s">
        <v>8</v>
      </c>
    </row>
    <row r="14194" spans="1:13" s="21" customFormat="1" x14ac:dyDescent="0.25">
      <c r="A14194" s="22" t="s">
        <v>8</v>
      </c>
      <c r="B14194" s="18" t="str">
        <f>"555390"</f>
        <v>555390</v>
      </c>
      <c r="C14194" s="19" t="s">
        <v>13934</v>
      </c>
      <c r="D14194" s="19" t="s">
        <v>29585</v>
      </c>
      <c r="E14194" s="19" t="s">
        <v>31170</v>
      </c>
      <c r="F14194" s="19" t="s">
        <v>35978</v>
      </c>
      <c r="G14194" s="18" t="str">
        <f>"92879"</f>
        <v>92879</v>
      </c>
      <c r="H14194" s="19" t="s">
        <v>31112</v>
      </c>
      <c r="I14194" s="20">
        <v>19.562999999999999</v>
      </c>
      <c r="J14194" s="44" t="s">
        <v>8</v>
      </c>
      <c r="K14194" s="23" t="s">
        <v>8</v>
      </c>
      <c r="L14194" s="23" t="s">
        <v>8</v>
      </c>
      <c r="M14194" s="23" t="s">
        <v>8</v>
      </c>
    </row>
    <row r="14195" spans="1:13" s="21" customFormat="1" x14ac:dyDescent="0.25">
      <c r="A14195" s="22" t="s">
        <v>8</v>
      </c>
      <c r="B14195" s="18" t="str">
        <f>"555391"</f>
        <v>555391</v>
      </c>
      <c r="C14195" s="19" t="s">
        <v>13935</v>
      </c>
      <c r="D14195" s="19" t="s">
        <v>29586</v>
      </c>
      <c r="E14195" s="19" t="s">
        <v>31944</v>
      </c>
      <c r="F14195" s="19" t="s">
        <v>35978</v>
      </c>
      <c r="G14195" s="18" t="str">
        <f>"92630"</f>
        <v>92630</v>
      </c>
      <c r="H14195" s="19" t="s">
        <v>31169</v>
      </c>
      <c r="I14195" s="20">
        <v>19.036999999999999</v>
      </c>
      <c r="J14195" s="44" t="s">
        <v>8</v>
      </c>
      <c r="K14195" s="23" t="s">
        <v>8</v>
      </c>
      <c r="L14195" s="23" t="s">
        <v>8</v>
      </c>
      <c r="M14195" s="23" t="s">
        <v>8</v>
      </c>
    </row>
    <row r="14196" spans="1:13" s="21" customFormat="1" x14ac:dyDescent="0.25">
      <c r="A14196" s="22" t="s">
        <v>8</v>
      </c>
      <c r="B14196" s="18" t="str">
        <f>"555394"</f>
        <v>555394</v>
      </c>
      <c r="C14196" s="19" t="s">
        <v>820</v>
      </c>
      <c r="D14196" s="19" t="s">
        <v>29587</v>
      </c>
      <c r="E14196" s="19" t="s">
        <v>31246</v>
      </c>
      <c r="F14196" s="19" t="s">
        <v>35978</v>
      </c>
      <c r="G14196" s="18" t="str">
        <f>"93111"</f>
        <v>93111</v>
      </c>
      <c r="H14196" s="19" t="s">
        <v>31246</v>
      </c>
      <c r="I14196" s="20">
        <v>16.37</v>
      </c>
      <c r="J14196" s="44" t="s">
        <v>8</v>
      </c>
      <c r="K14196" s="23" t="s">
        <v>8</v>
      </c>
      <c r="L14196" s="23" t="s">
        <v>8</v>
      </c>
      <c r="M14196" s="23" t="s">
        <v>8</v>
      </c>
    </row>
    <row r="14197" spans="1:13" s="21" customFormat="1" x14ac:dyDescent="0.25">
      <c r="A14197" s="22" t="s">
        <v>8</v>
      </c>
      <c r="B14197" s="18" t="str">
        <f>"555395"</f>
        <v>555395</v>
      </c>
      <c r="C14197" s="19" t="s">
        <v>13936</v>
      </c>
      <c r="D14197" s="19" t="s">
        <v>29588</v>
      </c>
      <c r="E14197" s="19" t="s">
        <v>35749</v>
      </c>
      <c r="F14197" s="19" t="s">
        <v>35978</v>
      </c>
      <c r="G14197" s="18" t="str">
        <f>"91745"</f>
        <v>91745</v>
      </c>
      <c r="H14197" s="19" t="s">
        <v>31109</v>
      </c>
      <c r="I14197" s="20">
        <v>20.059000000000001</v>
      </c>
      <c r="J14197" s="44" t="s">
        <v>8</v>
      </c>
      <c r="K14197" s="23" t="s">
        <v>8</v>
      </c>
      <c r="L14197" s="23" t="s">
        <v>8</v>
      </c>
      <c r="M14197" s="23" t="s">
        <v>8</v>
      </c>
    </row>
    <row r="14198" spans="1:13" s="21" customFormat="1" x14ac:dyDescent="0.25">
      <c r="A14198" s="22" t="s">
        <v>8</v>
      </c>
      <c r="B14198" s="18" t="str">
        <f>"555396"</f>
        <v>555396</v>
      </c>
      <c r="C14198" s="19" t="s">
        <v>13937</v>
      </c>
      <c r="D14198" s="19" t="s">
        <v>29589</v>
      </c>
      <c r="E14198" s="19" t="s">
        <v>31237</v>
      </c>
      <c r="F14198" s="19" t="s">
        <v>35978</v>
      </c>
      <c r="G14198" s="18" t="str">
        <f>"93277"</f>
        <v>93277</v>
      </c>
      <c r="H14198" s="19" t="s">
        <v>31243</v>
      </c>
      <c r="I14198" s="20">
        <v>18.902000000000001</v>
      </c>
      <c r="J14198" s="44" t="s">
        <v>8</v>
      </c>
      <c r="K14198" s="23" t="s">
        <v>8</v>
      </c>
      <c r="L14198" s="23" t="s">
        <v>8</v>
      </c>
      <c r="M14198" s="23" t="s">
        <v>8</v>
      </c>
    </row>
    <row r="14199" spans="1:13" s="21" customFormat="1" x14ac:dyDescent="0.25">
      <c r="A14199" s="22" t="s">
        <v>8</v>
      </c>
      <c r="B14199" s="18" t="str">
        <f>"555397"</f>
        <v>555397</v>
      </c>
      <c r="C14199" s="19" t="s">
        <v>13938</v>
      </c>
      <c r="D14199" s="19" t="s">
        <v>29590</v>
      </c>
      <c r="E14199" s="19" t="s">
        <v>31109</v>
      </c>
      <c r="F14199" s="19" t="s">
        <v>35978</v>
      </c>
      <c r="G14199" s="18" t="str">
        <f>"90057"</f>
        <v>90057</v>
      </c>
      <c r="H14199" s="19" t="s">
        <v>31109</v>
      </c>
      <c r="I14199" s="20">
        <v>19.597999999999999</v>
      </c>
      <c r="J14199" s="44" t="s">
        <v>8</v>
      </c>
      <c r="K14199" s="23" t="s">
        <v>8</v>
      </c>
      <c r="L14199" s="23" t="s">
        <v>8</v>
      </c>
      <c r="M14199" s="23" t="s">
        <v>8</v>
      </c>
    </row>
    <row r="14200" spans="1:13" s="21" customFormat="1" x14ac:dyDescent="0.25">
      <c r="A14200" s="22" t="s">
        <v>8</v>
      </c>
      <c r="B14200" s="18" t="str">
        <f>"555398"</f>
        <v>555398</v>
      </c>
      <c r="C14200" s="19" t="s">
        <v>13939</v>
      </c>
      <c r="D14200" s="19" t="s">
        <v>29591</v>
      </c>
      <c r="E14200" s="19" t="s">
        <v>31190</v>
      </c>
      <c r="F14200" s="19" t="s">
        <v>35978</v>
      </c>
      <c r="G14200" s="18" t="str">
        <f>"94544"</f>
        <v>94544</v>
      </c>
      <c r="H14200" s="19" t="s">
        <v>31290</v>
      </c>
      <c r="I14200" s="20">
        <v>21.013000000000002</v>
      </c>
      <c r="J14200" s="44" t="s">
        <v>8</v>
      </c>
      <c r="K14200" s="23" t="s">
        <v>8</v>
      </c>
      <c r="L14200" s="23" t="s">
        <v>8</v>
      </c>
      <c r="M14200" s="23" t="s">
        <v>8</v>
      </c>
    </row>
    <row r="14201" spans="1:13" s="21" customFormat="1" x14ac:dyDescent="0.25">
      <c r="A14201" s="22" t="s">
        <v>8</v>
      </c>
      <c r="B14201" s="18" t="str">
        <f>"555399"</f>
        <v>555399</v>
      </c>
      <c r="C14201" s="19" t="s">
        <v>13940</v>
      </c>
      <c r="D14201" s="19" t="s">
        <v>29592</v>
      </c>
      <c r="E14201" s="19" t="s">
        <v>31160</v>
      </c>
      <c r="F14201" s="19" t="s">
        <v>35978</v>
      </c>
      <c r="G14201" s="18" t="str">
        <f>"94550"</f>
        <v>94550</v>
      </c>
      <c r="H14201" s="19" t="s">
        <v>31290</v>
      </c>
      <c r="I14201" s="20">
        <v>18.914999999999999</v>
      </c>
      <c r="J14201" s="44" t="s">
        <v>8</v>
      </c>
      <c r="K14201" s="23" t="s">
        <v>8</v>
      </c>
      <c r="L14201" s="23" t="s">
        <v>8</v>
      </c>
      <c r="M14201" s="23" t="s">
        <v>8</v>
      </c>
    </row>
    <row r="14202" spans="1:13" s="21" customFormat="1" x14ac:dyDescent="0.25">
      <c r="A14202" s="22" t="s">
        <v>8</v>
      </c>
      <c r="B14202" s="18" t="str">
        <f>"555400"</f>
        <v>555400</v>
      </c>
      <c r="C14202" s="19" t="s">
        <v>13941</v>
      </c>
      <c r="D14202" s="19" t="s">
        <v>29593</v>
      </c>
      <c r="E14202" s="19" t="s">
        <v>31180</v>
      </c>
      <c r="F14202" s="19" t="s">
        <v>35978</v>
      </c>
      <c r="G14202" s="18" t="str">
        <f>"95838"</f>
        <v>95838</v>
      </c>
      <c r="H14202" s="19" t="s">
        <v>31180</v>
      </c>
      <c r="I14202" s="20">
        <v>16.440999999999999</v>
      </c>
      <c r="J14202" s="44" t="s">
        <v>8</v>
      </c>
      <c r="K14202" s="23" t="s">
        <v>8</v>
      </c>
      <c r="L14202" s="23" t="s">
        <v>8</v>
      </c>
      <c r="M14202" s="23" t="s">
        <v>8</v>
      </c>
    </row>
    <row r="14203" spans="1:13" s="21" customFormat="1" x14ac:dyDescent="0.25">
      <c r="A14203" s="22" t="s">
        <v>8</v>
      </c>
      <c r="B14203" s="18" t="str">
        <f>"555403"</f>
        <v>555403</v>
      </c>
      <c r="C14203" s="19" t="s">
        <v>13942</v>
      </c>
      <c r="D14203" s="19" t="s">
        <v>29594</v>
      </c>
      <c r="E14203" s="19" t="s">
        <v>35732</v>
      </c>
      <c r="F14203" s="19" t="s">
        <v>35978</v>
      </c>
      <c r="G14203" s="18" t="str">
        <f>"92260"</f>
        <v>92260</v>
      </c>
      <c r="H14203" s="19" t="s">
        <v>31112</v>
      </c>
      <c r="I14203" s="20">
        <v>17.335999999999999</v>
      </c>
      <c r="J14203" s="44" t="s">
        <v>8</v>
      </c>
      <c r="K14203" s="23" t="s">
        <v>8</v>
      </c>
      <c r="L14203" s="23" t="s">
        <v>8</v>
      </c>
      <c r="M14203" s="23" t="s">
        <v>8</v>
      </c>
    </row>
    <row r="14204" spans="1:13" s="21" customFormat="1" x14ac:dyDescent="0.25">
      <c r="A14204" s="22" t="s">
        <v>8</v>
      </c>
      <c r="B14204" s="18" t="str">
        <f>"555404"</f>
        <v>555404</v>
      </c>
      <c r="C14204" s="19" t="s">
        <v>13943</v>
      </c>
      <c r="D14204" s="19" t="s">
        <v>29595</v>
      </c>
      <c r="E14204" s="19" t="s">
        <v>31112</v>
      </c>
      <c r="F14204" s="19" t="s">
        <v>35978</v>
      </c>
      <c r="G14204" s="18" t="str">
        <f>"92518"</f>
        <v>92518</v>
      </c>
      <c r="H14204" s="19" t="s">
        <v>31112</v>
      </c>
      <c r="I14204" s="20">
        <v>22.355</v>
      </c>
      <c r="J14204" s="44" t="s">
        <v>8</v>
      </c>
      <c r="K14204" s="23" t="s">
        <v>8</v>
      </c>
      <c r="L14204" s="23" t="s">
        <v>8</v>
      </c>
      <c r="M14204" s="23" t="s">
        <v>8</v>
      </c>
    </row>
    <row r="14205" spans="1:13" s="21" customFormat="1" x14ac:dyDescent="0.25">
      <c r="A14205" s="22" t="s">
        <v>8</v>
      </c>
      <c r="B14205" s="18" t="str">
        <f>"555410"</f>
        <v>555410</v>
      </c>
      <c r="C14205" s="19" t="s">
        <v>13944</v>
      </c>
      <c r="D14205" s="19" t="s">
        <v>29596</v>
      </c>
      <c r="E14205" s="19" t="s">
        <v>31121</v>
      </c>
      <c r="F14205" s="19" t="s">
        <v>35978</v>
      </c>
      <c r="G14205" s="18" t="str">
        <f>"90248"</f>
        <v>90248</v>
      </c>
      <c r="H14205" s="19" t="s">
        <v>31109</v>
      </c>
      <c r="I14205" s="20">
        <v>18.881</v>
      </c>
      <c r="J14205" s="44" t="s">
        <v>8</v>
      </c>
      <c r="K14205" s="23" t="s">
        <v>8</v>
      </c>
      <c r="L14205" s="23" t="s">
        <v>8</v>
      </c>
      <c r="M14205" s="23" t="s">
        <v>8</v>
      </c>
    </row>
    <row r="14206" spans="1:13" s="21" customFormat="1" x14ac:dyDescent="0.25">
      <c r="A14206" s="22" t="s">
        <v>8</v>
      </c>
      <c r="B14206" s="18" t="str">
        <f>"555416"</f>
        <v>555416</v>
      </c>
      <c r="C14206" s="19" t="s">
        <v>13945</v>
      </c>
      <c r="D14206" s="19" t="s">
        <v>29597</v>
      </c>
      <c r="E14206" s="19" t="s">
        <v>31285</v>
      </c>
      <c r="F14206" s="19" t="s">
        <v>35978</v>
      </c>
      <c r="G14206" s="18" t="str">
        <f>"91741"</f>
        <v>91741</v>
      </c>
      <c r="H14206" s="19" t="s">
        <v>31109</v>
      </c>
      <c r="I14206" s="20">
        <v>17.183</v>
      </c>
      <c r="J14206" s="44" t="s">
        <v>8</v>
      </c>
      <c r="K14206" s="23" t="s">
        <v>8</v>
      </c>
      <c r="L14206" s="23" t="s">
        <v>8</v>
      </c>
      <c r="M14206" s="23" t="s">
        <v>8</v>
      </c>
    </row>
    <row r="14207" spans="1:13" s="21" customFormat="1" x14ac:dyDescent="0.25">
      <c r="A14207" s="22" t="s">
        <v>8</v>
      </c>
      <c r="B14207" s="18" t="str">
        <f>"555417"</f>
        <v>555417</v>
      </c>
      <c r="C14207" s="19" t="s">
        <v>13946</v>
      </c>
      <c r="D14207" s="19" t="s">
        <v>29598</v>
      </c>
      <c r="E14207" s="19" t="s">
        <v>31308</v>
      </c>
      <c r="F14207" s="19" t="s">
        <v>35978</v>
      </c>
      <c r="G14207" s="18" t="str">
        <f>"92262"</f>
        <v>92262</v>
      </c>
      <c r="H14207" s="19" t="s">
        <v>31112</v>
      </c>
      <c r="I14207" s="20">
        <v>23.626999999999999</v>
      </c>
      <c r="J14207" s="44" t="s">
        <v>8</v>
      </c>
      <c r="K14207" s="23" t="s">
        <v>8</v>
      </c>
      <c r="L14207" s="23" t="s">
        <v>8</v>
      </c>
      <c r="M14207" s="23" t="s">
        <v>8</v>
      </c>
    </row>
    <row r="14208" spans="1:13" s="21" customFormat="1" x14ac:dyDescent="0.25">
      <c r="A14208" s="22" t="s">
        <v>8</v>
      </c>
      <c r="B14208" s="18" t="str">
        <f>"555418"</f>
        <v>555418</v>
      </c>
      <c r="C14208" s="19" t="s">
        <v>13947</v>
      </c>
      <c r="D14208" s="19" t="s">
        <v>29599</v>
      </c>
      <c r="E14208" s="19" t="s">
        <v>31190</v>
      </c>
      <c r="F14208" s="19" t="s">
        <v>35978</v>
      </c>
      <c r="G14208" s="18" t="str">
        <f>"94541"</f>
        <v>94541</v>
      </c>
      <c r="H14208" s="19" t="s">
        <v>31290</v>
      </c>
      <c r="I14208" s="20">
        <v>21.626000000000001</v>
      </c>
      <c r="J14208" s="44" t="s">
        <v>8</v>
      </c>
      <c r="K14208" s="23" t="s">
        <v>8</v>
      </c>
      <c r="L14208" s="23" t="s">
        <v>8</v>
      </c>
      <c r="M14208" s="23" t="s">
        <v>8</v>
      </c>
    </row>
    <row r="14209" spans="1:13" s="21" customFormat="1" x14ac:dyDescent="0.25">
      <c r="A14209" s="22" t="s">
        <v>8</v>
      </c>
      <c r="B14209" s="18" t="str">
        <f>"555421"</f>
        <v>555421</v>
      </c>
      <c r="C14209" s="19" t="s">
        <v>13948</v>
      </c>
      <c r="D14209" s="19" t="s">
        <v>29600</v>
      </c>
      <c r="E14209" s="19" t="s">
        <v>31141</v>
      </c>
      <c r="F14209" s="19" t="s">
        <v>35978</v>
      </c>
      <c r="G14209" s="18" t="str">
        <f>"94521"</f>
        <v>94521</v>
      </c>
      <c r="H14209" s="19" t="s">
        <v>36088</v>
      </c>
      <c r="I14209" s="20">
        <v>20.291</v>
      </c>
      <c r="J14209" s="44" t="s">
        <v>8</v>
      </c>
      <c r="K14209" s="23" t="s">
        <v>8</v>
      </c>
      <c r="L14209" s="23" t="s">
        <v>8</v>
      </c>
      <c r="M14209" s="23" t="s">
        <v>8</v>
      </c>
    </row>
    <row r="14210" spans="1:13" s="21" customFormat="1" x14ac:dyDescent="0.25">
      <c r="A14210" s="22" t="s">
        <v>8</v>
      </c>
      <c r="B14210" s="18" t="str">
        <f>"555423"</f>
        <v>555423</v>
      </c>
      <c r="C14210" s="19" t="s">
        <v>13949</v>
      </c>
      <c r="D14210" s="19" t="s">
        <v>29601</v>
      </c>
      <c r="E14210" s="19" t="s">
        <v>31246</v>
      </c>
      <c r="F14210" s="19" t="s">
        <v>35978</v>
      </c>
      <c r="G14210" s="18" t="str">
        <f>"93105"</f>
        <v>93105</v>
      </c>
      <c r="H14210" s="19" t="s">
        <v>31246</v>
      </c>
      <c r="I14210" s="20">
        <v>18.824999999999999</v>
      </c>
      <c r="J14210" s="44" t="s">
        <v>8</v>
      </c>
      <c r="K14210" s="23" t="s">
        <v>8</v>
      </c>
      <c r="L14210" s="23" t="s">
        <v>8</v>
      </c>
      <c r="M14210" s="23" t="s">
        <v>8</v>
      </c>
    </row>
    <row r="14211" spans="1:13" s="21" customFormat="1" x14ac:dyDescent="0.25">
      <c r="A14211" s="22" t="s">
        <v>8</v>
      </c>
      <c r="B14211" s="18" t="str">
        <f>"555424"</f>
        <v>555424</v>
      </c>
      <c r="C14211" s="19" t="s">
        <v>13950</v>
      </c>
      <c r="D14211" s="19" t="s">
        <v>29602</v>
      </c>
      <c r="E14211" s="19" t="s">
        <v>31254</v>
      </c>
      <c r="F14211" s="19" t="s">
        <v>35978</v>
      </c>
      <c r="G14211" s="18" t="str">
        <f>"92024"</f>
        <v>92024</v>
      </c>
      <c r="H14211" s="19" t="s">
        <v>31176</v>
      </c>
      <c r="I14211" s="20">
        <v>18.728999999999999</v>
      </c>
      <c r="J14211" s="44" t="s">
        <v>8</v>
      </c>
      <c r="K14211" s="23" t="s">
        <v>8</v>
      </c>
      <c r="L14211" s="23" t="s">
        <v>8</v>
      </c>
      <c r="M14211" s="23" t="s">
        <v>8</v>
      </c>
    </row>
    <row r="14212" spans="1:13" s="21" customFormat="1" x14ac:dyDescent="0.25">
      <c r="A14212" s="22" t="s">
        <v>8</v>
      </c>
      <c r="B14212" s="18" t="str">
        <f>"555425"</f>
        <v>555425</v>
      </c>
      <c r="C14212" s="19" t="s">
        <v>13951</v>
      </c>
      <c r="D14212" s="19" t="s">
        <v>29603</v>
      </c>
      <c r="E14212" s="19" t="s">
        <v>35735</v>
      </c>
      <c r="F14212" s="19" t="s">
        <v>35978</v>
      </c>
      <c r="G14212" s="18" t="str">
        <f>"92083"</f>
        <v>92083</v>
      </c>
      <c r="H14212" s="19" t="s">
        <v>31176</v>
      </c>
      <c r="I14212" s="20">
        <v>17.497</v>
      </c>
      <c r="J14212" s="44" t="s">
        <v>8</v>
      </c>
      <c r="K14212" s="23" t="s">
        <v>8</v>
      </c>
      <c r="L14212" s="23" t="s">
        <v>8</v>
      </c>
      <c r="M14212" s="23" t="s">
        <v>8</v>
      </c>
    </row>
    <row r="14213" spans="1:13" s="21" customFormat="1" x14ac:dyDescent="0.25">
      <c r="A14213" s="22" t="s">
        <v>8</v>
      </c>
      <c r="B14213" s="18" t="str">
        <f>"555426"</f>
        <v>555426</v>
      </c>
      <c r="C14213" s="19" t="s">
        <v>13952</v>
      </c>
      <c r="D14213" s="19" t="s">
        <v>29604</v>
      </c>
      <c r="E14213" s="19" t="s">
        <v>31155</v>
      </c>
      <c r="F14213" s="19" t="s">
        <v>35978</v>
      </c>
      <c r="G14213" s="18" t="str">
        <f>"93706"</f>
        <v>93706</v>
      </c>
      <c r="H14213" s="19" t="s">
        <v>31155</v>
      </c>
      <c r="I14213" s="20">
        <v>19.154</v>
      </c>
      <c r="J14213" s="44" t="s">
        <v>8</v>
      </c>
      <c r="K14213" s="23" t="s">
        <v>8</v>
      </c>
      <c r="L14213" s="23" t="s">
        <v>8</v>
      </c>
      <c r="M14213" s="23" t="s">
        <v>8</v>
      </c>
    </row>
    <row r="14214" spans="1:13" s="21" customFormat="1" x14ac:dyDescent="0.25">
      <c r="A14214" s="22" t="s">
        <v>8</v>
      </c>
      <c r="B14214" s="18" t="str">
        <f>"555427"</f>
        <v>555427</v>
      </c>
      <c r="C14214" s="19" t="s">
        <v>13953</v>
      </c>
      <c r="D14214" s="19" t="s">
        <v>29605</v>
      </c>
      <c r="E14214" s="19" t="s">
        <v>31119</v>
      </c>
      <c r="F14214" s="19" t="s">
        <v>35978</v>
      </c>
      <c r="G14214" s="18" t="str">
        <f>"92025"</f>
        <v>92025</v>
      </c>
      <c r="H14214" s="19" t="s">
        <v>31176</v>
      </c>
      <c r="I14214" s="20">
        <v>18.632000000000001</v>
      </c>
      <c r="J14214" s="44" t="s">
        <v>8</v>
      </c>
      <c r="K14214" s="23" t="s">
        <v>8</v>
      </c>
      <c r="L14214" s="23" t="s">
        <v>8</v>
      </c>
      <c r="M14214" s="23" t="s">
        <v>8</v>
      </c>
    </row>
    <row r="14215" spans="1:13" s="21" customFormat="1" x14ac:dyDescent="0.25">
      <c r="A14215" s="22" t="s">
        <v>8</v>
      </c>
      <c r="B14215" s="18" t="str">
        <f>"555429"</f>
        <v>555429</v>
      </c>
      <c r="C14215" s="19" t="s">
        <v>13954</v>
      </c>
      <c r="D14215" s="19" t="s">
        <v>29606</v>
      </c>
      <c r="E14215" s="19" t="s">
        <v>31191</v>
      </c>
      <c r="F14215" s="19" t="s">
        <v>35978</v>
      </c>
      <c r="G14215" s="18" t="str">
        <f>"91101"</f>
        <v>91101</v>
      </c>
      <c r="H14215" s="19" t="s">
        <v>31109</v>
      </c>
      <c r="I14215" s="20">
        <v>17.120999999999999</v>
      </c>
      <c r="J14215" s="44" t="s">
        <v>8</v>
      </c>
      <c r="K14215" s="23" t="s">
        <v>8</v>
      </c>
      <c r="L14215" s="23" t="s">
        <v>8</v>
      </c>
      <c r="M14215" s="23" t="s">
        <v>8</v>
      </c>
    </row>
    <row r="14216" spans="1:13" s="21" customFormat="1" x14ac:dyDescent="0.25">
      <c r="A14216" s="22" t="s">
        <v>8</v>
      </c>
      <c r="B14216" s="18" t="str">
        <f>"555430"</f>
        <v>555430</v>
      </c>
      <c r="C14216" s="19" t="s">
        <v>13955</v>
      </c>
      <c r="D14216" s="19" t="s">
        <v>29607</v>
      </c>
      <c r="E14216" s="19" t="s">
        <v>31128</v>
      </c>
      <c r="F14216" s="19" t="s">
        <v>35978</v>
      </c>
      <c r="G14216" s="18" t="str">
        <f>"95991"</f>
        <v>95991</v>
      </c>
      <c r="H14216" s="19" t="s">
        <v>36089</v>
      </c>
      <c r="I14216" s="20">
        <v>18.402000000000001</v>
      </c>
      <c r="J14216" s="44" t="s">
        <v>8</v>
      </c>
      <c r="K14216" s="23" t="s">
        <v>8</v>
      </c>
      <c r="L14216" s="23" t="s">
        <v>8</v>
      </c>
      <c r="M14216" s="23" t="s">
        <v>8</v>
      </c>
    </row>
    <row r="14217" spans="1:13" s="21" customFormat="1" x14ac:dyDescent="0.25">
      <c r="A14217" s="22" t="s">
        <v>8</v>
      </c>
      <c r="B14217" s="18" t="str">
        <f>"555431"</f>
        <v>555431</v>
      </c>
      <c r="C14217" s="19" t="s">
        <v>13956</v>
      </c>
      <c r="D14217" s="19" t="s">
        <v>29608</v>
      </c>
      <c r="E14217" s="19" t="s">
        <v>31118</v>
      </c>
      <c r="F14217" s="19" t="s">
        <v>35978</v>
      </c>
      <c r="G14217" s="18" t="str">
        <f>"92021"</f>
        <v>92021</v>
      </c>
      <c r="H14217" s="19" t="s">
        <v>31176</v>
      </c>
      <c r="I14217" s="20">
        <v>22.661999999999999</v>
      </c>
      <c r="J14217" s="44" t="s">
        <v>8</v>
      </c>
      <c r="K14217" s="23" t="s">
        <v>8</v>
      </c>
      <c r="L14217" s="23" t="s">
        <v>8</v>
      </c>
      <c r="M14217" s="23" t="s">
        <v>8</v>
      </c>
    </row>
    <row r="14218" spans="1:13" s="21" customFormat="1" x14ac:dyDescent="0.25">
      <c r="A14218" s="22" t="s">
        <v>8</v>
      </c>
      <c r="B14218" s="18" t="str">
        <f>"555432"</f>
        <v>555432</v>
      </c>
      <c r="C14218" s="19" t="s">
        <v>13957</v>
      </c>
      <c r="D14218" s="19" t="s">
        <v>29609</v>
      </c>
      <c r="E14218" s="19" t="s">
        <v>31109</v>
      </c>
      <c r="F14218" s="19" t="s">
        <v>35978</v>
      </c>
      <c r="G14218" s="18" t="str">
        <f>"90041"</f>
        <v>90041</v>
      </c>
      <c r="H14218" s="19" t="s">
        <v>31109</v>
      </c>
      <c r="I14218" s="20">
        <v>18.736000000000001</v>
      </c>
      <c r="J14218" s="44" t="s">
        <v>8</v>
      </c>
      <c r="K14218" s="23" t="s">
        <v>8</v>
      </c>
      <c r="L14218" s="23" t="s">
        <v>8</v>
      </c>
      <c r="M14218" s="23" t="s">
        <v>8</v>
      </c>
    </row>
    <row r="14219" spans="1:13" s="21" customFormat="1" x14ac:dyDescent="0.25">
      <c r="A14219" s="22" t="s">
        <v>8</v>
      </c>
      <c r="B14219" s="18" t="str">
        <f>"555433"</f>
        <v>555433</v>
      </c>
      <c r="C14219" s="19" t="s">
        <v>13958</v>
      </c>
      <c r="D14219" s="19" t="s">
        <v>29610</v>
      </c>
      <c r="E14219" s="19" t="s">
        <v>35750</v>
      </c>
      <c r="F14219" s="19" t="s">
        <v>35978</v>
      </c>
      <c r="G14219" s="18" t="str">
        <f>"96122"</f>
        <v>96122</v>
      </c>
      <c r="H14219" s="19" t="s">
        <v>36104</v>
      </c>
      <c r="I14219" s="20">
        <v>19.341000000000001</v>
      </c>
      <c r="J14219" s="44" t="s">
        <v>8</v>
      </c>
      <c r="K14219" s="23" t="s">
        <v>8</v>
      </c>
      <c r="L14219" s="23" t="s">
        <v>8</v>
      </c>
      <c r="M14219" s="23" t="s">
        <v>8</v>
      </c>
    </row>
    <row r="14220" spans="1:13" s="21" customFormat="1" x14ac:dyDescent="0.25">
      <c r="A14220" s="22" t="s">
        <v>8</v>
      </c>
      <c r="B14220" s="18" t="str">
        <f>"555435"</f>
        <v>555435</v>
      </c>
      <c r="C14220" s="19" t="s">
        <v>13959</v>
      </c>
      <c r="D14220" s="19" t="s">
        <v>29611</v>
      </c>
      <c r="E14220" s="19" t="s">
        <v>35719</v>
      </c>
      <c r="F14220" s="19" t="s">
        <v>35978</v>
      </c>
      <c r="G14220" s="18" t="str">
        <f>"92324"</f>
        <v>92324</v>
      </c>
      <c r="H14220" s="19" t="s">
        <v>31227</v>
      </c>
      <c r="I14220" s="20">
        <v>18.399999999999999</v>
      </c>
      <c r="J14220" s="44" t="s">
        <v>8</v>
      </c>
      <c r="K14220" s="23" t="s">
        <v>8</v>
      </c>
      <c r="L14220" s="23" t="s">
        <v>8</v>
      </c>
      <c r="M14220" s="23" t="s">
        <v>8</v>
      </c>
    </row>
    <row r="14221" spans="1:13" s="21" customFormat="1" x14ac:dyDescent="0.25">
      <c r="A14221" s="22" t="s">
        <v>8</v>
      </c>
      <c r="B14221" s="18" t="str">
        <f>"555437"</f>
        <v>555437</v>
      </c>
      <c r="C14221" s="19" t="s">
        <v>13960</v>
      </c>
      <c r="D14221" s="19" t="s">
        <v>29612</v>
      </c>
      <c r="E14221" s="19" t="s">
        <v>31109</v>
      </c>
      <c r="F14221" s="19" t="s">
        <v>35978</v>
      </c>
      <c r="G14221" s="18" t="str">
        <f>"90057"</f>
        <v>90057</v>
      </c>
      <c r="H14221" s="19" t="s">
        <v>31109</v>
      </c>
      <c r="I14221" s="20">
        <v>18.640999999999998</v>
      </c>
      <c r="J14221" s="44" t="s">
        <v>8</v>
      </c>
      <c r="K14221" s="23" t="s">
        <v>8</v>
      </c>
      <c r="L14221" s="23" t="s">
        <v>8</v>
      </c>
      <c r="M14221" s="23" t="s">
        <v>8</v>
      </c>
    </row>
    <row r="14222" spans="1:13" s="21" customFormat="1" x14ac:dyDescent="0.25">
      <c r="A14222" s="22" t="s">
        <v>8</v>
      </c>
      <c r="B14222" s="18" t="str">
        <f>"555438"</f>
        <v>555438</v>
      </c>
      <c r="C14222" s="19" t="s">
        <v>13961</v>
      </c>
      <c r="D14222" s="19" t="s">
        <v>29613</v>
      </c>
      <c r="E14222" s="19" t="s">
        <v>31109</v>
      </c>
      <c r="F14222" s="19" t="s">
        <v>35978</v>
      </c>
      <c r="G14222" s="18" t="str">
        <f>"90031"</f>
        <v>90031</v>
      </c>
      <c r="H14222" s="19" t="s">
        <v>31109</v>
      </c>
      <c r="I14222" s="20">
        <v>17.169</v>
      </c>
      <c r="J14222" s="44" t="s">
        <v>8</v>
      </c>
      <c r="K14222" s="23" t="s">
        <v>8</v>
      </c>
      <c r="L14222" s="23" t="s">
        <v>8</v>
      </c>
      <c r="M14222" s="23" t="s">
        <v>8</v>
      </c>
    </row>
    <row r="14223" spans="1:13" s="21" customFormat="1" x14ac:dyDescent="0.25">
      <c r="A14223" s="22" t="s">
        <v>8</v>
      </c>
      <c r="B14223" s="18" t="str">
        <f>"555441"</f>
        <v>555441</v>
      </c>
      <c r="C14223" s="19" t="s">
        <v>13962</v>
      </c>
      <c r="D14223" s="19" t="s">
        <v>29614</v>
      </c>
      <c r="E14223" s="19" t="s">
        <v>31121</v>
      </c>
      <c r="F14223" s="19" t="s">
        <v>35978</v>
      </c>
      <c r="G14223" s="18" t="str">
        <f>"90247"</f>
        <v>90247</v>
      </c>
      <c r="H14223" s="19" t="s">
        <v>31109</v>
      </c>
      <c r="I14223" s="20">
        <v>19.861999999999998</v>
      </c>
      <c r="J14223" s="44" t="s">
        <v>8</v>
      </c>
      <c r="K14223" s="23" t="s">
        <v>8</v>
      </c>
      <c r="L14223" s="23" t="s">
        <v>8</v>
      </c>
      <c r="M14223" s="23" t="s">
        <v>8</v>
      </c>
    </row>
    <row r="14224" spans="1:13" s="21" customFormat="1" x14ac:dyDescent="0.25">
      <c r="A14224" s="22" t="s">
        <v>8</v>
      </c>
      <c r="B14224" s="18" t="str">
        <f>"555442"</f>
        <v>555442</v>
      </c>
      <c r="C14224" s="19" t="s">
        <v>13963</v>
      </c>
      <c r="D14224" s="19" t="s">
        <v>29615</v>
      </c>
      <c r="E14224" s="19" t="s">
        <v>31180</v>
      </c>
      <c r="F14224" s="19" t="s">
        <v>35978</v>
      </c>
      <c r="G14224" s="18" t="str">
        <f>"95822"</f>
        <v>95822</v>
      </c>
      <c r="H14224" s="19" t="s">
        <v>31180</v>
      </c>
      <c r="I14224" s="20">
        <v>20.346</v>
      </c>
      <c r="J14224" s="44" t="s">
        <v>8</v>
      </c>
      <c r="K14224" s="23" t="s">
        <v>8</v>
      </c>
      <c r="L14224" s="23" t="s">
        <v>8</v>
      </c>
      <c r="M14224" s="23" t="s">
        <v>8</v>
      </c>
    </row>
    <row r="14225" spans="1:13" s="21" customFormat="1" x14ac:dyDescent="0.25">
      <c r="A14225" s="22" t="s">
        <v>8</v>
      </c>
      <c r="B14225" s="18" t="str">
        <f>"555443"</f>
        <v>555443</v>
      </c>
      <c r="C14225" s="19" t="s">
        <v>13964</v>
      </c>
      <c r="D14225" s="19" t="s">
        <v>29616</v>
      </c>
      <c r="E14225" s="19" t="s">
        <v>35751</v>
      </c>
      <c r="F14225" s="19" t="s">
        <v>35978</v>
      </c>
      <c r="G14225" s="18" t="str">
        <f>"92252"</f>
        <v>92252</v>
      </c>
      <c r="H14225" s="19" t="s">
        <v>31227</v>
      </c>
      <c r="I14225" s="20">
        <v>21.158999999999999</v>
      </c>
      <c r="J14225" s="44" t="s">
        <v>8</v>
      </c>
      <c r="K14225" s="23" t="s">
        <v>8</v>
      </c>
      <c r="L14225" s="23" t="s">
        <v>8</v>
      </c>
      <c r="M14225" s="23" t="s">
        <v>8</v>
      </c>
    </row>
    <row r="14226" spans="1:13" s="21" customFormat="1" x14ac:dyDescent="0.25">
      <c r="A14226" s="22" t="s">
        <v>8</v>
      </c>
      <c r="B14226" s="18" t="str">
        <f>"555444"</f>
        <v>555444</v>
      </c>
      <c r="C14226" s="19" t="s">
        <v>13965</v>
      </c>
      <c r="D14226" s="19" t="s">
        <v>29617</v>
      </c>
      <c r="E14226" s="19" t="s">
        <v>31159</v>
      </c>
      <c r="F14226" s="19" t="s">
        <v>35978</v>
      </c>
      <c r="G14226" s="18" t="str">
        <f>"94087"</f>
        <v>94087</v>
      </c>
      <c r="H14226" s="19" t="s">
        <v>31241</v>
      </c>
      <c r="I14226" s="20">
        <v>17.175999999999998</v>
      </c>
      <c r="J14226" s="44" t="s">
        <v>8</v>
      </c>
      <c r="K14226" s="23" t="s">
        <v>8</v>
      </c>
      <c r="L14226" s="23" t="s">
        <v>8</v>
      </c>
      <c r="M14226" s="23" t="s">
        <v>8</v>
      </c>
    </row>
    <row r="14227" spans="1:13" s="21" customFormat="1" x14ac:dyDescent="0.25">
      <c r="A14227" s="22" t="s">
        <v>8</v>
      </c>
      <c r="B14227" s="18" t="str">
        <f>"555445"</f>
        <v>555445</v>
      </c>
      <c r="C14227" s="19" t="s">
        <v>13966</v>
      </c>
      <c r="D14227" s="19" t="s">
        <v>29618</v>
      </c>
      <c r="E14227" s="19" t="s">
        <v>31207</v>
      </c>
      <c r="F14227" s="19" t="s">
        <v>35978</v>
      </c>
      <c r="G14227" s="18" t="str">
        <f>"92804"</f>
        <v>92804</v>
      </c>
      <c r="H14227" s="19" t="s">
        <v>31169</v>
      </c>
      <c r="I14227" s="20">
        <v>19.818000000000001</v>
      </c>
      <c r="J14227" s="44" t="s">
        <v>8</v>
      </c>
      <c r="K14227" s="23" t="s">
        <v>8</v>
      </c>
      <c r="L14227" s="23" t="s">
        <v>8</v>
      </c>
      <c r="M14227" s="23" t="s">
        <v>8</v>
      </c>
    </row>
    <row r="14228" spans="1:13" s="21" customFormat="1" x14ac:dyDescent="0.25">
      <c r="A14228" s="22" t="s">
        <v>8</v>
      </c>
      <c r="B14228" s="18" t="str">
        <f>"555446"</f>
        <v>555446</v>
      </c>
      <c r="C14228" s="19" t="s">
        <v>13967</v>
      </c>
      <c r="D14228" s="19" t="s">
        <v>29619</v>
      </c>
      <c r="E14228" s="19" t="s">
        <v>31304</v>
      </c>
      <c r="F14228" s="19" t="s">
        <v>35978</v>
      </c>
      <c r="G14228" s="18" t="str">
        <f>"94595"</f>
        <v>94595</v>
      </c>
      <c r="H14228" s="19" t="s">
        <v>36088</v>
      </c>
      <c r="I14228" s="20">
        <v>18.044</v>
      </c>
      <c r="J14228" s="44" t="s">
        <v>8</v>
      </c>
      <c r="K14228" s="23" t="s">
        <v>8</v>
      </c>
      <c r="L14228" s="23" t="s">
        <v>8</v>
      </c>
      <c r="M14228" s="23" t="s">
        <v>8</v>
      </c>
    </row>
    <row r="14229" spans="1:13" s="21" customFormat="1" x14ac:dyDescent="0.25">
      <c r="A14229" s="22" t="s">
        <v>8</v>
      </c>
      <c r="B14229" s="18" t="str">
        <f>"555450"</f>
        <v>555450</v>
      </c>
      <c r="C14229" s="19" t="s">
        <v>13968</v>
      </c>
      <c r="D14229" s="19" t="s">
        <v>29620</v>
      </c>
      <c r="E14229" s="19" t="s">
        <v>31197</v>
      </c>
      <c r="F14229" s="19" t="s">
        <v>35978</v>
      </c>
      <c r="G14229" s="18" t="str">
        <f>"95608"</f>
        <v>95608</v>
      </c>
      <c r="H14229" s="19" t="s">
        <v>31180</v>
      </c>
      <c r="I14229" s="20">
        <v>16.516999999999999</v>
      </c>
      <c r="J14229" s="44" t="s">
        <v>8</v>
      </c>
      <c r="K14229" s="23" t="s">
        <v>8</v>
      </c>
      <c r="L14229" s="23" t="s">
        <v>8</v>
      </c>
      <c r="M14229" s="23" t="s">
        <v>8</v>
      </c>
    </row>
    <row r="14230" spans="1:13" s="21" customFormat="1" x14ac:dyDescent="0.25">
      <c r="A14230" s="22" t="s">
        <v>8</v>
      </c>
      <c r="B14230" s="18" t="str">
        <f>"555456"</f>
        <v>555456</v>
      </c>
      <c r="C14230" s="19" t="s">
        <v>13969</v>
      </c>
      <c r="D14230" s="19" t="s">
        <v>29621</v>
      </c>
      <c r="E14230" s="19" t="s">
        <v>31184</v>
      </c>
      <c r="F14230" s="19" t="s">
        <v>35978</v>
      </c>
      <c r="G14230" s="18" t="str">
        <f>"93534"</f>
        <v>93534</v>
      </c>
      <c r="H14230" s="19" t="s">
        <v>31109</v>
      </c>
      <c r="I14230" s="20">
        <v>19.969000000000001</v>
      </c>
      <c r="J14230" s="44" t="s">
        <v>8</v>
      </c>
      <c r="K14230" s="23" t="s">
        <v>8</v>
      </c>
      <c r="L14230" s="23" t="s">
        <v>8</v>
      </c>
      <c r="M14230" s="23" t="s">
        <v>8</v>
      </c>
    </row>
    <row r="14231" spans="1:13" s="21" customFormat="1" x14ac:dyDescent="0.25">
      <c r="A14231" s="22" t="s">
        <v>8</v>
      </c>
      <c r="B14231" s="18" t="str">
        <f>"555458"</f>
        <v>555458</v>
      </c>
      <c r="C14231" s="19" t="s">
        <v>13970</v>
      </c>
      <c r="D14231" s="19" t="s">
        <v>29622</v>
      </c>
      <c r="E14231" s="19" t="s">
        <v>31234</v>
      </c>
      <c r="F14231" s="19" t="s">
        <v>35978</v>
      </c>
      <c r="G14231" s="18" t="str">
        <f>"93030"</f>
        <v>93030</v>
      </c>
      <c r="H14231" s="19" t="s">
        <v>31228</v>
      </c>
      <c r="I14231" s="20">
        <v>19.667999999999999</v>
      </c>
      <c r="J14231" s="44" t="s">
        <v>8</v>
      </c>
      <c r="K14231" s="23" t="s">
        <v>8</v>
      </c>
      <c r="L14231" s="23" t="s">
        <v>8</v>
      </c>
      <c r="M14231" s="23" t="s">
        <v>8</v>
      </c>
    </row>
    <row r="14232" spans="1:13" s="21" customFormat="1" x14ac:dyDescent="0.25">
      <c r="A14232" s="22" t="s">
        <v>8</v>
      </c>
      <c r="B14232" s="18" t="str">
        <f>"555459"</f>
        <v>555459</v>
      </c>
      <c r="C14232" s="19" t="s">
        <v>13971</v>
      </c>
      <c r="D14232" s="19" t="s">
        <v>29623</v>
      </c>
      <c r="E14232" s="19" t="s">
        <v>31180</v>
      </c>
      <c r="F14232" s="19" t="s">
        <v>35978</v>
      </c>
      <c r="G14232" s="18" t="str">
        <f>"95825"</f>
        <v>95825</v>
      </c>
      <c r="H14232" s="19" t="s">
        <v>31180</v>
      </c>
      <c r="I14232" s="20">
        <v>20.68</v>
      </c>
      <c r="J14232" s="44" t="s">
        <v>8</v>
      </c>
      <c r="K14232" s="23" t="s">
        <v>8</v>
      </c>
      <c r="L14232" s="23" t="s">
        <v>8</v>
      </c>
      <c r="M14232" s="23" t="s">
        <v>8</v>
      </c>
    </row>
    <row r="14233" spans="1:13" s="21" customFormat="1" x14ac:dyDescent="0.25">
      <c r="A14233" s="22" t="s">
        <v>8</v>
      </c>
      <c r="B14233" s="18" t="str">
        <f>"555461"</f>
        <v>555461</v>
      </c>
      <c r="C14233" s="19" t="s">
        <v>13972</v>
      </c>
      <c r="D14233" s="19" t="s">
        <v>29624</v>
      </c>
      <c r="E14233" s="19" t="s">
        <v>31290</v>
      </c>
      <c r="F14233" s="19" t="s">
        <v>35978</v>
      </c>
      <c r="G14233" s="18" t="str">
        <f>"94501"</f>
        <v>94501</v>
      </c>
      <c r="H14233" s="19" t="s">
        <v>31290</v>
      </c>
      <c r="I14233" s="20">
        <v>19.363</v>
      </c>
      <c r="J14233" s="44" t="s">
        <v>8</v>
      </c>
      <c r="K14233" s="23" t="s">
        <v>8</v>
      </c>
      <c r="L14233" s="23" t="s">
        <v>8</v>
      </c>
      <c r="M14233" s="23" t="s">
        <v>8</v>
      </c>
    </row>
    <row r="14234" spans="1:13" s="21" customFormat="1" x14ac:dyDescent="0.25">
      <c r="A14234" s="22" t="s">
        <v>8</v>
      </c>
      <c r="B14234" s="18" t="str">
        <f>"555462"</f>
        <v>555462</v>
      </c>
      <c r="C14234" s="19" t="s">
        <v>13973</v>
      </c>
      <c r="D14234" s="19" t="s">
        <v>29625</v>
      </c>
      <c r="E14234" s="19" t="s">
        <v>31291</v>
      </c>
      <c r="F14234" s="19" t="s">
        <v>35978</v>
      </c>
      <c r="G14234" s="18" t="str">
        <f>"92653"</f>
        <v>92653</v>
      </c>
      <c r="H14234" s="19" t="s">
        <v>31169</v>
      </c>
      <c r="I14234" s="20">
        <v>17.288</v>
      </c>
      <c r="J14234" s="44" t="s">
        <v>8</v>
      </c>
      <c r="K14234" s="23" t="s">
        <v>8</v>
      </c>
      <c r="L14234" s="23" t="s">
        <v>8</v>
      </c>
      <c r="M14234" s="23" t="s">
        <v>8</v>
      </c>
    </row>
    <row r="14235" spans="1:13" s="21" customFormat="1" x14ac:dyDescent="0.25">
      <c r="A14235" s="22" t="s">
        <v>8</v>
      </c>
      <c r="B14235" s="18" t="str">
        <f>"555463"</f>
        <v>555463</v>
      </c>
      <c r="C14235" s="19" t="s">
        <v>13974</v>
      </c>
      <c r="D14235" s="19" t="s">
        <v>29626</v>
      </c>
      <c r="E14235" s="19" t="s">
        <v>31163</v>
      </c>
      <c r="F14235" s="19" t="s">
        <v>35978</v>
      </c>
      <c r="G14235" s="18" t="str">
        <f>"92545"</f>
        <v>92545</v>
      </c>
      <c r="H14235" s="19" t="s">
        <v>31112</v>
      </c>
      <c r="I14235" s="20">
        <v>20.108000000000001</v>
      </c>
      <c r="J14235" s="44" t="s">
        <v>8</v>
      </c>
      <c r="K14235" s="23" t="s">
        <v>8</v>
      </c>
      <c r="L14235" s="23" t="s">
        <v>8</v>
      </c>
      <c r="M14235" s="23" t="s">
        <v>8</v>
      </c>
    </row>
    <row r="14236" spans="1:13" s="21" customFormat="1" x14ac:dyDescent="0.25">
      <c r="A14236" s="22" t="s">
        <v>8</v>
      </c>
      <c r="B14236" s="18" t="str">
        <f>"555466"</f>
        <v>555466</v>
      </c>
      <c r="C14236" s="19" t="s">
        <v>13975</v>
      </c>
      <c r="D14236" s="19" t="s">
        <v>29627</v>
      </c>
      <c r="E14236" s="19" t="s">
        <v>31248</v>
      </c>
      <c r="F14236" s="19" t="s">
        <v>35978</v>
      </c>
      <c r="G14236" s="18" t="str">
        <f>"94705"</f>
        <v>94705</v>
      </c>
      <c r="H14236" s="19" t="s">
        <v>31290</v>
      </c>
      <c r="I14236" s="20">
        <v>18.37</v>
      </c>
      <c r="J14236" s="44" t="s">
        <v>8</v>
      </c>
      <c r="K14236" s="23" t="s">
        <v>8</v>
      </c>
      <c r="L14236" s="23" t="s">
        <v>8</v>
      </c>
      <c r="M14236" s="23" t="s">
        <v>8</v>
      </c>
    </row>
    <row r="14237" spans="1:13" s="21" customFormat="1" x14ac:dyDescent="0.25">
      <c r="A14237" s="22" t="s">
        <v>8</v>
      </c>
      <c r="B14237" s="18" t="str">
        <f>"555468"</f>
        <v>555468</v>
      </c>
      <c r="C14237" s="19" t="s">
        <v>13976</v>
      </c>
      <c r="D14237" s="19" t="s">
        <v>29628</v>
      </c>
      <c r="E14237" s="19" t="s">
        <v>35752</v>
      </c>
      <c r="F14237" s="19" t="s">
        <v>35978</v>
      </c>
      <c r="G14237" s="18" t="str">
        <f>"92315"</f>
        <v>92315</v>
      </c>
      <c r="H14237" s="19" t="s">
        <v>31227</v>
      </c>
      <c r="I14237" s="20">
        <v>18.832999999999998</v>
      </c>
      <c r="J14237" s="44" t="s">
        <v>8</v>
      </c>
      <c r="K14237" s="23" t="s">
        <v>8</v>
      </c>
      <c r="L14237" s="23" t="s">
        <v>8</v>
      </c>
      <c r="M14237" s="23" t="s">
        <v>8</v>
      </c>
    </row>
    <row r="14238" spans="1:13" s="21" customFormat="1" x14ac:dyDescent="0.25">
      <c r="A14238" s="22" t="s">
        <v>8</v>
      </c>
      <c r="B14238" s="18" t="str">
        <f>"555470"</f>
        <v>555470</v>
      </c>
      <c r="C14238" s="19" t="s">
        <v>13977</v>
      </c>
      <c r="D14238" s="19" t="s">
        <v>29629</v>
      </c>
      <c r="E14238" s="19" t="s">
        <v>31110</v>
      </c>
      <c r="F14238" s="19" t="s">
        <v>35978</v>
      </c>
      <c r="G14238" s="18" t="str">
        <f>"95209"</f>
        <v>95209</v>
      </c>
      <c r="H14238" s="19" t="s">
        <v>36087</v>
      </c>
      <c r="I14238" s="20">
        <v>15.803000000000001</v>
      </c>
      <c r="J14238" s="44" t="s">
        <v>8</v>
      </c>
      <c r="K14238" s="23" t="s">
        <v>8</v>
      </c>
      <c r="L14238" s="23" t="s">
        <v>8</v>
      </c>
      <c r="M14238" s="23" t="s">
        <v>8</v>
      </c>
    </row>
    <row r="14239" spans="1:13" s="21" customFormat="1" x14ac:dyDescent="0.25">
      <c r="A14239" s="22" t="s">
        <v>8</v>
      </c>
      <c r="B14239" s="18" t="str">
        <f>"555471"</f>
        <v>555471</v>
      </c>
      <c r="C14239" s="19" t="s">
        <v>13978</v>
      </c>
      <c r="D14239" s="19" t="s">
        <v>29630</v>
      </c>
      <c r="E14239" s="19" t="s">
        <v>31097</v>
      </c>
      <c r="F14239" s="19" t="s">
        <v>35978</v>
      </c>
      <c r="G14239" s="18" t="str">
        <f>"95932"</f>
        <v>95932</v>
      </c>
      <c r="H14239" s="19" t="s">
        <v>31097</v>
      </c>
      <c r="I14239" s="20">
        <v>19.536000000000001</v>
      </c>
      <c r="J14239" s="44" t="s">
        <v>8</v>
      </c>
      <c r="K14239" s="23" t="s">
        <v>8</v>
      </c>
      <c r="L14239" s="23" t="s">
        <v>8</v>
      </c>
      <c r="M14239" s="23" t="s">
        <v>8</v>
      </c>
    </row>
    <row r="14240" spans="1:13" s="21" customFormat="1" x14ac:dyDescent="0.25">
      <c r="A14240" s="22" t="s">
        <v>8</v>
      </c>
      <c r="B14240" s="18" t="str">
        <f>"555472"</f>
        <v>555472</v>
      </c>
      <c r="C14240" s="19" t="s">
        <v>13979</v>
      </c>
      <c r="D14240" s="19" t="s">
        <v>29631</v>
      </c>
      <c r="E14240" s="19" t="s">
        <v>31207</v>
      </c>
      <c r="F14240" s="19" t="s">
        <v>35978</v>
      </c>
      <c r="G14240" s="18" t="str">
        <f>"92802"</f>
        <v>92802</v>
      </c>
      <c r="H14240" s="19" t="s">
        <v>31169</v>
      </c>
      <c r="I14240" s="20">
        <v>20.553999999999998</v>
      </c>
      <c r="J14240" s="44" t="s">
        <v>8</v>
      </c>
      <c r="K14240" s="23" t="s">
        <v>8</v>
      </c>
      <c r="L14240" s="23" t="s">
        <v>8</v>
      </c>
      <c r="M14240" s="23" t="s">
        <v>8</v>
      </c>
    </row>
    <row r="14241" spans="1:13" s="21" customFormat="1" x14ac:dyDescent="0.25">
      <c r="A14241" s="22" t="s">
        <v>8</v>
      </c>
      <c r="B14241" s="18" t="str">
        <f>"555473"</f>
        <v>555473</v>
      </c>
      <c r="C14241" s="19" t="s">
        <v>13980</v>
      </c>
      <c r="D14241" s="19" t="s">
        <v>29632</v>
      </c>
      <c r="E14241" s="19" t="s">
        <v>31232</v>
      </c>
      <c r="F14241" s="19" t="s">
        <v>35978</v>
      </c>
      <c r="G14241" s="18" t="str">
        <f>"92843"</f>
        <v>92843</v>
      </c>
      <c r="H14241" s="19" t="s">
        <v>31169</v>
      </c>
      <c r="I14241" s="20">
        <v>19.395</v>
      </c>
      <c r="J14241" s="44" t="s">
        <v>8</v>
      </c>
      <c r="K14241" s="23" t="s">
        <v>8</v>
      </c>
      <c r="L14241" s="23" t="s">
        <v>8</v>
      </c>
      <c r="M14241" s="23" t="s">
        <v>8</v>
      </c>
    </row>
    <row r="14242" spans="1:13" s="21" customFormat="1" x14ac:dyDescent="0.25">
      <c r="A14242" s="22" t="s">
        <v>8</v>
      </c>
      <c r="B14242" s="18" t="str">
        <f>"555476"</f>
        <v>555476</v>
      </c>
      <c r="C14242" s="19" t="s">
        <v>13981</v>
      </c>
      <c r="D14242" s="19" t="s">
        <v>29633</v>
      </c>
      <c r="E14242" s="19" t="s">
        <v>33362</v>
      </c>
      <c r="F14242" s="19" t="s">
        <v>35978</v>
      </c>
      <c r="G14242" s="18" t="str">
        <f>"92308"</f>
        <v>92308</v>
      </c>
      <c r="H14242" s="19" t="s">
        <v>31227</v>
      </c>
      <c r="I14242" s="20">
        <v>18.387</v>
      </c>
      <c r="J14242" s="44" t="s">
        <v>8</v>
      </c>
      <c r="K14242" s="23" t="s">
        <v>8</v>
      </c>
      <c r="L14242" s="23" t="s">
        <v>8</v>
      </c>
      <c r="M14242" s="23" t="s">
        <v>8</v>
      </c>
    </row>
    <row r="14243" spans="1:13" s="21" customFormat="1" x14ac:dyDescent="0.25">
      <c r="A14243" s="22" t="s">
        <v>8</v>
      </c>
      <c r="B14243" s="18" t="str">
        <f>"555478"</f>
        <v>555478</v>
      </c>
      <c r="C14243" s="19" t="s">
        <v>13778</v>
      </c>
      <c r="D14243" s="19" t="s">
        <v>29634</v>
      </c>
      <c r="E14243" s="19" t="s">
        <v>31228</v>
      </c>
      <c r="F14243" s="19" t="s">
        <v>35978</v>
      </c>
      <c r="G14243" s="18" t="str">
        <f>"93003"</f>
        <v>93003</v>
      </c>
      <c r="H14243" s="19" t="s">
        <v>31228</v>
      </c>
      <c r="I14243" s="20">
        <v>19.390999999999998</v>
      </c>
      <c r="J14243" s="44" t="s">
        <v>8</v>
      </c>
      <c r="K14243" s="23" t="s">
        <v>8</v>
      </c>
      <c r="L14243" s="23" t="s">
        <v>8</v>
      </c>
      <c r="M14243" s="23" t="s">
        <v>8</v>
      </c>
    </row>
    <row r="14244" spans="1:13" s="21" customFormat="1" x14ac:dyDescent="0.25">
      <c r="A14244" s="22" t="s">
        <v>8</v>
      </c>
      <c r="B14244" s="18" t="str">
        <f>"555479"</f>
        <v>555479</v>
      </c>
      <c r="C14244" s="19" t="s">
        <v>13982</v>
      </c>
      <c r="D14244" s="19" t="s">
        <v>29635</v>
      </c>
      <c r="E14244" s="19" t="s">
        <v>31322</v>
      </c>
      <c r="F14244" s="19" t="s">
        <v>35978</v>
      </c>
      <c r="G14244" s="18" t="str">
        <f>"93215"</f>
        <v>93215</v>
      </c>
      <c r="H14244" s="19" t="s">
        <v>36098</v>
      </c>
      <c r="I14244" s="20">
        <v>18.949000000000002</v>
      </c>
      <c r="J14244" s="44" t="s">
        <v>8</v>
      </c>
      <c r="K14244" s="23" t="s">
        <v>8</v>
      </c>
      <c r="L14244" s="23" t="s">
        <v>8</v>
      </c>
      <c r="M14244" s="23" t="s">
        <v>8</v>
      </c>
    </row>
    <row r="14245" spans="1:13" s="21" customFormat="1" x14ac:dyDescent="0.25">
      <c r="A14245" s="22" t="s">
        <v>8</v>
      </c>
      <c r="B14245" s="18" t="str">
        <f>"555481"</f>
        <v>555481</v>
      </c>
      <c r="C14245" s="19" t="s">
        <v>13983</v>
      </c>
      <c r="D14245" s="19" t="s">
        <v>29636</v>
      </c>
      <c r="E14245" s="19" t="s">
        <v>31215</v>
      </c>
      <c r="F14245" s="19" t="s">
        <v>35978</v>
      </c>
      <c r="G14245" s="18" t="str">
        <f>"95667"</f>
        <v>95667</v>
      </c>
      <c r="H14245" s="19" t="s">
        <v>31015</v>
      </c>
      <c r="I14245" s="20">
        <v>18.379000000000001</v>
      </c>
      <c r="J14245" s="44" t="s">
        <v>8</v>
      </c>
      <c r="K14245" s="23" t="s">
        <v>8</v>
      </c>
      <c r="L14245" s="23" t="s">
        <v>8</v>
      </c>
      <c r="M14245" s="23" t="s">
        <v>8</v>
      </c>
    </row>
    <row r="14246" spans="1:13" s="21" customFormat="1" x14ac:dyDescent="0.25">
      <c r="A14246" s="22" t="s">
        <v>8</v>
      </c>
      <c r="B14246" s="18" t="str">
        <f>"555483"</f>
        <v>555483</v>
      </c>
      <c r="C14246" s="19" t="s">
        <v>13984</v>
      </c>
      <c r="D14246" s="19" t="s">
        <v>29637</v>
      </c>
      <c r="E14246" s="19" t="s">
        <v>31188</v>
      </c>
      <c r="F14246" s="19" t="s">
        <v>35978</v>
      </c>
      <c r="G14246" s="18" t="str">
        <f>"95116"</f>
        <v>95116</v>
      </c>
      <c r="H14246" s="19" t="s">
        <v>31241</v>
      </c>
      <c r="I14246" s="20">
        <v>27.140999999999998</v>
      </c>
      <c r="J14246" s="44" t="s">
        <v>8</v>
      </c>
      <c r="K14246" s="23" t="s">
        <v>8</v>
      </c>
      <c r="L14246" s="23" t="s">
        <v>8</v>
      </c>
      <c r="M14246" s="23" t="s">
        <v>8</v>
      </c>
    </row>
    <row r="14247" spans="1:13" s="21" customFormat="1" x14ac:dyDescent="0.25">
      <c r="A14247" s="22" t="s">
        <v>8</v>
      </c>
      <c r="B14247" s="18" t="str">
        <f>"555484"</f>
        <v>555484</v>
      </c>
      <c r="C14247" s="19" t="s">
        <v>13985</v>
      </c>
      <c r="D14247" s="19" t="s">
        <v>29638</v>
      </c>
      <c r="E14247" s="19" t="s">
        <v>30946</v>
      </c>
      <c r="F14247" s="19" t="s">
        <v>35978</v>
      </c>
      <c r="G14247" s="18" t="str">
        <f>"91208"</f>
        <v>91208</v>
      </c>
      <c r="H14247" s="19" t="s">
        <v>31109</v>
      </c>
      <c r="I14247" s="20">
        <v>22.783000000000001</v>
      </c>
      <c r="J14247" s="44" t="s">
        <v>8</v>
      </c>
      <c r="K14247" s="23" t="s">
        <v>8</v>
      </c>
      <c r="L14247" s="23" t="s">
        <v>8</v>
      </c>
      <c r="M14247" s="23" t="s">
        <v>8</v>
      </c>
    </row>
    <row r="14248" spans="1:13" s="21" customFormat="1" x14ac:dyDescent="0.25">
      <c r="A14248" s="22" t="s">
        <v>8</v>
      </c>
      <c r="B14248" s="18" t="str">
        <f>"555485"</f>
        <v>555485</v>
      </c>
      <c r="C14248" s="19" t="s">
        <v>13986</v>
      </c>
      <c r="D14248" s="19" t="s">
        <v>29639</v>
      </c>
      <c r="E14248" s="19" t="s">
        <v>31199</v>
      </c>
      <c r="F14248" s="19" t="s">
        <v>35978</v>
      </c>
      <c r="G14248" s="18" t="str">
        <f>"93230"</f>
        <v>93230</v>
      </c>
      <c r="H14248" s="19" t="s">
        <v>36091</v>
      </c>
      <c r="I14248" s="20">
        <v>20.135999999999999</v>
      </c>
      <c r="J14248" s="44" t="s">
        <v>8</v>
      </c>
      <c r="K14248" s="23" t="s">
        <v>8</v>
      </c>
      <c r="L14248" s="23" t="s">
        <v>8</v>
      </c>
      <c r="M14248" s="23" t="s">
        <v>8</v>
      </c>
    </row>
    <row r="14249" spans="1:13" s="21" customFormat="1" x14ac:dyDescent="0.25">
      <c r="A14249" s="22" t="s">
        <v>8</v>
      </c>
      <c r="B14249" s="18" t="str">
        <f>"555486"</f>
        <v>555486</v>
      </c>
      <c r="C14249" s="19" t="s">
        <v>13987</v>
      </c>
      <c r="D14249" s="19" t="s">
        <v>29640</v>
      </c>
      <c r="E14249" s="19" t="s">
        <v>31290</v>
      </c>
      <c r="F14249" s="19" t="s">
        <v>35978</v>
      </c>
      <c r="G14249" s="18" t="str">
        <f>"94501"</f>
        <v>94501</v>
      </c>
      <c r="H14249" s="19" t="s">
        <v>31290</v>
      </c>
      <c r="I14249" s="20">
        <v>19.233000000000001</v>
      </c>
      <c r="J14249" s="44" t="s">
        <v>8</v>
      </c>
      <c r="K14249" s="23" t="s">
        <v>8</v>
      </c>
      <c r="L14249" s="23" t="s">
        <v>8</v>
      </c>
      <c r="M14249" s="23" t="s">
        <v>8</v>
      </c>
    </row>
    <row r="14250" spans="1:13" s="21" customFormat="1" x14ac:dyDescent="0.25">
      <c r="A14250" s="22" t="s">
        <v>8</v>
      </c>
      <c r="B14250" s="18" t="str">
        <f>"555487"</f>
        <v>555487</v>
      </c>
      <c r="C14250" s="19" t="s">
        <v>13988</v>
      </c>
      <c r="D14250" s="19" t="s">
        <v>29641</v>
      </c>
      <c r="E14250" s="19" t="s">
        <v>31188</v>
      </c>
      <c r="F14250" s="19" t="s">
        <v>35978</v>
      </c>
      <c r="G14250" s="18" t="str">
        <f>"95121"</f>
        <v>95121</v>
      </c>
      <c r="H14250" s="19" t="s">
        <v>31241</v>
      </c>
      <c r="I14250" s="20">
        <v>22.832999999999998</v>
      </c>
      <c r="J14250" s="44" t="s">
        <v>8</v>
      </c>
      <c r="K14250" s="23" t="s">
        <v>8</v>
      </c>
      <c r="L14250" s="23" t="s">
        <v>8</v>
      </c>
      <c r="M14250" s="23" t="s">
        <v>8</v>
      </c>
    </row>
    <row r="14251" spans="1:13" s="21" customFormat="1" x14ac:dyDescent="0.25">
      <c r="A14251" s="22" t="s">
        <v>8</v>
      </c>
      <c r="B14251" s="18" t="str">
        <f>"555489"</f>
        <v>555489</v>
      </c>
      <c r="C14251" s="19" t="s">
        <v>13989</v>
      </c>
      <c r="D14251" s="19" t="s">
        <v>29642</v>
      </c>
      <c r="E14251" s="19" t="s">
        <v>31196</v>
      </c>
      <c r="F14251" s="19" t="s">
        <v>35978</v>
      </c>
      <c r="G14251" s="18" t="str">
        <f>"91006"</f>
        <v>91006</v>
      </c>
      <c r="H14251" s="19" t="s">
        <v>31109</v>
      </c>
      <c r="I14251" s="20">
        <v>21.515000000000001</v>
      </c>
      <c r="J14251" s="44" t="s">
        <v>8</v>
      </c>
      <c r="K14251" s="23" t="s">
        <v>8</v>
      </c>
      <c r="L14251" s="23" t="s">
        <v>8</v>
      </c>
      <c r="M14251" s="23" t="s">
        <v>8</v>
      </c>
    </row>
    <row r="14252" spans="1:13" s="21" customFormat="1" x14ac:dyDescent="0.25">
      <c r="A14252" s="22" t="s">
        <v>8</v>
      </c>
      <c r="B14252" s="18" t="str">
        <f>"555490"</f>
        <v>555490</v>
      </c>
      <c r="C14252" s="19" t="s">
        <v>13990</v>
      </c>
      <c r="D14252" s="19" t="s">
        <v>29643</v>
      </c>
      <c r="E14252" s="19" t="s">
        <v>35753</v>
      </c>
      <c r="F14252" s="19" t="s">
        <v>35978</v>
      </c>
      <c r="G14252" s="18" t="str">
        <f>"95422"</f>
        <v>95422</v>
      </c>
      <c r="H14252" s="19" t="s">
        <v>36096</v>
      </c>
      <c r="I14252" s="20">
        <v>18.859000000000002</v>
      </c>
      <c r="J14252" s="44" t="s">
        <v>8</v>
      </c>
      <c r="K14252" s="23" t="s">
        <v>8</v>
      </c>
      <c r="L14252" s="23" t="s">
        <v>8</v>
      </c>
      <c r="M14252" s="23" t="s">
        <v>8</v>
      </c>
    </row>
    <row r="14253" spans="1:13" s="21" customFormat="1" x14ac:dyDescent="0.25">
      <c r="A14253" s="22" t="s">
        <v>8</v>
      </c>
      <c r="B14253" s="18" t="str">
        <f>"555492"</f>
        <v>555492</v>
      </c>
      <c r="C14253" s="19" t="s">
        <v>13991</v>
      </c>
      <c r="D14253" s="19" t="s">
        <v>29644</v>
      </c>
      <c r="E14253" s="19" t="s">
        <v>35754</v>
      </c>
      <c r="F14253" s="19" t="s">
        <v>35978</v>
      </c>
      <c r="G14253" s="18" t="str">
        <f>"92223"</f>
        <v>92223</v>
      </c>
      <c r="H14253" s="19" t="s">
        <v>31112</v>
      </c>
      <c r="I14253" s="20">
        <v>19.106000000000002</v>
      </c>
      <c r="J14253" s="44" t="s">
        <v>8</v>
      </c>
      <c r="K14253" s="23" t="s">
        <v>8</v>
      </c>
      <c r="L14253" s="23" t="s">
        <v>8</v>
      </c>
      <c r="M14253" s="23" t="s">
        <v>8</v>
      </c>
    </row>
    <row r="14254" spans="1:13" s="21" customFormat="1" x14ac:dyDescent="0.25">
      <c r="A14254" s="22" t="s">
        <v>8</v>
      </c>
      <c r="B14254" s="18" t="str">
        <f>"555494"</f>
        <v>555494</v>
      </c>
      <c r="C14254" s="19" t="s">
        <v>13992</v>
      </c>
      <c r="D14254" s="19" t="s">
        <v>29645</v>
      </c>
      <c r="E14254" s="19" t="s">
        <v>31225</v>
      </c>
      <c r="F14254" s="19" t="s">
        <v>35978</v>
      </c>
      <c r="G14254" s="18" t="str">
        <f>"92399"</f>
        <v>92399</v>
      </c>
      <c r="H14254" s="19" t="s">
        <v>31227</v>
      </c>
      <c r="I14254" s="20">
        <v>20.507999999999999</v>
      </c>
      <c r="J14254" s="44" t="s">
        <v>8</v>
      </c>
      <c r="K14254" s="23" t="s">
        <v>8</v>
      </c>
      <c r="L14254" s="23" t="s">
        <v>8</v>
      </c>
      <c r="M14254" s="23" t="s">
        <v>8</v>
      </c>
    </row>
    <row r="14255" spans="1:13" s="21" customFormat="1" x14ac:dyDescent="0.25">
      <c r="A14255" s="22" t="s">
        <v>8</v>
      </c>
      <c r="B14255" s="18" t="str">
        <f>"555496"</f>
        <v>555496</v>
      </c>
      <c r="C14255" s="19" t="s">
        <v>13993</v>
      </c>
      <c r="D14255" s="19" t="s">
        <v>29646</v>
      </c>
      <c r="E14255" s="19" t="s">
        <v>31110</v>
      </c>
      <c r="F14255" s="19" t="s">
        <v>35978</v>
      </c>
      <c r="G14255" s="18" t="str">
        <f>"95210"</f>
        <v>95210</v>
      </c>
      <c r="H14255" s="19" t="s">
        <v>36087</v>
      </c>
      <c r="I14255" s="20">
        <v>20.300999999999998</v>
      </c>
      <c r="J14255" s="44" t="s">
        <v>8</v>
      </c>
      <c r="K14255" s="23" t="s">
        <v>8</v>
      </c>
      <c r="L14255" s="23" t="s">
        <v>8</v>
      </c>
      <c r="M14255" s="23" t="s">
        <v>8</v>
      </c>
    </row>
    <row r="14256" spans="1:13" s="21" customFormat="1" x14ac:dyDescent="0.25">
      <c r="A14256" s="22" t="s">
        <v>8</v>
      </c>
      <c r="B14256" s="18" t="str">
        <f>"555499"</f>
        <v>555499</v>
      </c>
      <c r="C14256" s="19" t="s">
        <v>13994</v>
      </c>
      <c r="D14256" s="19" t="s">
        <v>29647</v>
      </c>
      <c r="E14256" s="19" t="s">
        <v>31143</v>
      </c>
      <c r="F14256" s="19" t="s">
        <v>35978</v>
      </c>
      <c r="G14256" s="18" t="str">
        <f>"94619"</f>
        <v>94619</v>
      </c>
      <c r="H14256" s="19" t="s">
        <v>31290</v>
      </c>
      <c r="I14256" s="20">
        <v>18.827999999999999</v>
      </c>
      <c r="J14256" s="44" t="s">
        <v>8</v>
      </c>
      <c r="K14256" s="23" t="s">
        <v>8</v>
      </c>
      <c r="L14256" s="23" t="s">
        <v>8</v>
      </c>
      <c r="M14256" s="23" t="s">
        <v>8</v>
      </c>
    </row>
    <row r="14257" spans="1:13" s="21" customFormat="1" x14ac:dyDescent="0.25">
      <c r="A14257" s="22" t="s">
        <v>8</v>
      </c>
      <c r="B14257" s="18" t="str">
        <f>"555503"</f>
        <v>555503</v>
      </c>
      <c r="C14257" s="19" t="s">
        <v>13995</v>
      </c>
      <c r="D14257" s="19" t="s">
        <v>29648</v>
      </c>
      <c r="E14257" s="19" t="s">
        <v>31137</v>
      </c>
      <c r="F14257" s="19" t="s">
        <v>35978</v>
      </c>
      <c r="G14257" s="18" t="str">
        <f>"91010"</f>
        <v>91010</v>
      </c>
      <c r="H14257" s="19" t="s">
        <v>31109</v>
      </c>
      <c r="I14257" s="20">
        <v>19.378</v>
      </c>
      <c r="J14257" s="44" t="s">
        <v>8</v>
      </c>
      <c r="K14257" s="23" t="s">
        <v>8</v>
      </c>
      <c r="L14257" s="23" t="s">
        <v>8</v>
      </c>
      <c r="M14257" s="23" t="s">
        <v>8</v>
      </c>
    </row>
    <row r="14258" spans="1:13" s="21" customFormat="1" x14ac:dyDescent="0.25">
      <c r="A14258" s="22" t="s">
        <v>8</v>
      </c>
      <c r="B14258" s="18" t="str">
        <f>"555513"</f>
        <v>555513</v>
      </c>
      <c r="C14258" s="19" t="s">
        <v>13996</v>
      </c>
      <c r="D14258" s="19" t="s">
        <v>29649</v>
      </c>
      <c r="E14258" s="19" t="s">
        <v>31257</v>
      </c>
      <c r="F14258" s="19" t="s">
        <v>35978</v>
      </c>
      <c r="G14258" s="18" t="str">
        <f>"93654"</f>
        <v>93654</v>
      </c>
      <c r="H14258" s="19" t="s">
        <v>31155</v>
      </c>
      <c r="I14258" s="20">
        <v>19.431999999999999</v>
      </c>
      <c r="J14258" s="44" t="s">
        <v>8</v>
      </c>
      <c r="K14258" s="23" t="s">
        <v>8</v>
      </c>
      <c r="L14258" s="23" t="s">
        <v>8</v>
      </c>
      <c r="M14258" s="23" t="s">
        <v>8</v>
      </c>
    </row>
    <row r="14259" spans="1:13" s="21" customFormat="1" x14ac:dyDescent="0.25">
      <c r="A14259" s="22" t="s">
        <v>8</v>
      </c>
      <c r="B14259" s="18" t="str">
        <f>"555514"</f>
        <v>555514</v>
      </c>
      <c r="C14259" s="19" t="s">
        <v>13997</v>
      </c>
      <c r="D14259" s="19" t="s">
        <v>29650</v>
      </c>
      <c r="E14259" s="19" t="s">
        <v>31195</v>
      </c>
      <c r="F14259" s="19" t="s">
        <v>35978</v>
      </c>
      <c r="G14259" s="18" t="str">
        <f>"91786"</f>
        <v>91786</v>
      </c>
      <c r="H14259" s="19" t="s">
        <v>31227</v>
      </c>
      <c r="I14259" s="20">
        <v>18.341000000000001</v>
      </c>
      <c r="J14259" s="44" t="s">
        <v>8</v>
      </c>
      <c r="K14259" s="23" t="s">
        <v>8</v>
      </c>
      <c r="L14259" s="23" t="s">
        <v>8</v>
      </c>
      <c r="M14259" s="23" t="s">
        <v>8</v>
      </c>
    </row>
    <row r="14260" spans="1:13" s="21" customFormat="1" x14ac:dyDescent="0.25">
      <c r="A14260" s="22" t="s">
        <v>8</v>
      </c>
      <c r="B14260" s="18" t="str">
        <f>"555515"</f>
        <v>555515</v>
      </c>
      <c r="C14260" s="19" t="s">
        <v>13998</v>
      </c>
      <c r="D14260" s="19" t="s">
        <v>29651</v>
      </c>
      <c r="E14260" s="19" t="s">
        <v>31229</v>
      </c>
      <c r="F14260" s="19" t="s">
        <v>35978</v>
      </c>
      <c r="G14260" s="18" t="str">
        <f>"92835"</f>
        <v>92835</v>
      </c>
      <c r="H14260" s="19" t="s">
        <v>31169</v>
      </c>
      <c r="I14260" s="20">
        <v>16.972999999999999</v>
      </c>
      <c r="J14260" s="44" t="s">
        <v>8</v>
      </c>
      <c r="K14260" s="23" t="s">
        <v>8</v>
      </c>
      <c r="L14260" s="23" t="s">
        <v>8</v>
      </c>
      <c r="M14260" s="23" t="s">
        <v>8</v>
      </c>
    </row>
    <row r="14261" spans="1:13" s="21" customFormat="1" x14ac:dyDescent="0.25">
      <c r="A14261" s="22" t="s">
        <v>8</v>
      </c>
      <c r="B14261" s="18" t="str">
        <f>"555519"</f>
        <v>555519</v>
      </c>
      <c r="C14261" s="19" t="s">
        <v>13999</v>
      </c>
      <c r="D14261" s="19" t="s">
        <v>29652</v>
      </c>
      <c r="E14261" s="19" t="s">
        <v>31298</v>
      </c>
      <c r="F14261" s="19" t="s">
        <v>35978</v>
      </c>
      <c r="G14261" s="18" t="str">
        <f>"91405"</f>
        <v>91405</v>
      </c>
      <c r="H14261" s="19" t="s">
        <v>31109</v>
      </c>
      <c r="I14261" s="20">
        <v>17.992000000000001</v>
      </c>
      <c r="J14261" s="44" t="s">
        <v>8</v>
      </c>
      <c r="K14261" s="23" t="s">
        <v>8</v>
      </c>
      <c r="L14261" s="23" t="s">
        <v>8</v>
      </c>
      <c r="M14261" s="23" t="s">
        <v>8</v>
      </c>
    </row>
    <row r="14262" spans="1:13" s="21" customFormat="1" x14ac:dyDescent="0.25">
      <c r="A14262" s="22" t="s">
        <v>8</v>
      </c>
      <c r="B14262" s="18" t="str">
        <f>"555520"</f>
        <v>555520</v>
      </c>
      <c r="C14262" s="19" t="s">
        <v>14000</v>
      </c>
      <c r="D14262" s="19" t="s">
        <v>29653</v>
      </c>
      <c r="E14262" s="19" t="s">
        <v>31207</v>
      </c>
      <c r="F14262" s="19" t="s">
        <v>35978</v>
      </c>
      <c r="G14262" s="18" t="str">
        <f>"92801"</f>
        <v>92801</v>
      </c>
      <c r="H14262" s="19" t="s">
        <v>31169</v>
      </c>
      <c r="I14262" s="20">
        <v>17.013000000000002</v>
      </c>
      <c r="J14262" s="44" t="s">
        <v>8</v>
      </c>
      <c r="K14262" s="23" t="s">
        <v>8</v>
      </c>
      <c r="L14262" s="23" t="s">
        <v>8</v>
      </c>
      <c r="M14262" s="23" t="s">
        <v>8</v>
      </c>
    </row>
    <row r="14263" spans="1:13" s="21" customFormat="1" x14ac:dyDescent="0.25">
      <c r="A14263" s="22" t="s">
        <v>8</v>
      </c>
      <c r="B14263" s="18" t="str">
        <f>"555521"</f>
        <v>555521</v>
      </c>
      <c r="C14263" s="19" t="s">
        <v>14001</v>
      </c>
      <c r="D14263" s="19" t="s">
        <v>29654</v>
      </c>
      <c r="E14263" s="19" t="s">
        <v>35755</v>
      </c>
      <c r="F14263" s="19" t="s">
        <v>35978</v>
      </c>
      <c r="G14263" s="18" t="str">
        <f>"91701"</f>
        <v>91701</v>
      </c>
      <c r="H14263" s="19" t="s">
        <v>31227</v>
      </c>
      <c r="I14263" s="20">
        <v>18.901</v>
      </c>
      <c r="J14263" s="44" t="s">
        <v>8</v>
      </c>
      <c r="K14263" s="23" t="s">
        <v>8</v>
      </c>
      <c r="L14263" s="23" t="s">
        <v>8</v>
      </c>
      <c r="M14263" s="23" t="s">
        <v>8</v>
      </c>
    </row>
    <row r="14264" spans="1:13" s="21" customFormat="1" x14ac:dyDescent="0.25">
      <c r="A14264" s="22" t="s">
        <v>8</v>
      </c>
      <c r="B14264" s="18" t="str">
        <f>"555524"</f>
        <v>555524</v>
      </c>
      <c r="C14264" s="19" t="s">
        <v>14002</v>
      </c>
      <c r="D14264" s="19" t="s">
        <v>29655</v>
      </c>
      <c r="E14264" s="19" t="s">
        <v>31198</v>
      </c>
      <c r="F14264" s="19" t="s">
        <v>35978</v>
      </c>
      <c r="G14264" s="18" t="str">
        <f>"95014"</f>
        <v>95014</v>
      </c>
      <c r="H14264" s="19" t="s">
        <v>31241</v>
      </c>
      <c r="I14264" s="20">
        <v>17.925999999999998</v>
      </c>
      <c r="J14264" s="44" t="s">
        <v>8</v>
      </c>
      <c r="K14264" s="23" t="s">
        <v>8</v>
      </c>
      <c r="L14264" s="23" t="s">
        <v>8</v>
      </c>
      <c r="M14264" s="23" t="s">
        <v>8</v>
      </c>
    </row>
    <row r="14265" spans="1:13" s="21" customFormat="1" x14ac:dyDescent="0.25">
      <c r="A14265" s="22" t="s">
        <v>8</v>
      </c>
      <c r="B14265" s="18" t="str">
        <f>"555527"</f>
        <v>555527</v>
      </c>
      <c r="C14265" s="19" t="s">
        <v>14003</v>
      </c>
      <c r="D14265" s="19" t="s">
        <v>29656</v>
      </c>
      <c r="E14265" s="19" t="s">
        <v>35756</v>
      </c>
      <c r="F14265" s="19" t="s">
        <v>35978</v>
      </c>
      <c r="G14265" s="18" t="str">
        <f>"93545"</f>
        <v>93545</v>
      </c>
      <c r="H14265" s="19" t="s">
        <v>36945</v>
      </c>
      <c r="I14265" s="20">
        <v>19.395</v>
      </c>
      <c r="J14265" s="44" t="s">
        <v>8</v>
      </c>
      <c r="K14265" s="23" t="s">
        <v>8</v>
      </c>
      <c r="L14265" s="23" t="s">
        <v>8</v>
      </c>
      <c r="M14265" s="23" t="s">
        <v>8</v>
      </c>
    </row>
    <row r="14266" spans="1:13" s="21" customFormat="1" x14ac:dyDescent="0.25">
      <c r="A14266" s="22" t="s">
        <v>8</v>
      </c>
      <c r="B14266" s="18" t="str">
        <f>"555530"</f>
        <v>555530</v>
      </c>
      <c r="C14266" s="19" t="s">
        <v>14004</v>
      </c>
      <c r="D14266" s="19" t="s">
        <v>29657</v>
      </c>
      <c r="E14266" s="19" t="s">
        <v>31114</v>
      </c>
      <c r="F14266" s="19" t="s">
        <v>35978</v>
      </c>
      <c r="G14266" s="18" t="str">
        <f>"93610"</f>
        <v>93610</v>
      </c>
      <c r="H14266" s="19" t="s">
        <v>31140</v>
      </c>
      <c r="I14266" s="20">
        <v>18.193999999999999</v>
      </c>
      <c r="J14266" s="44" t="s">
        <v>8</v>
      </c>
      <c r="K14266" s="23" t="s">
        <v>8</v>
      </c>
      <c r="L14266" s="23" t="s">
        <v>8</v>
      </c>
      <c r="M14266" s="23" t="s">
        <v>8</v>
      </c>
    </row>
    <row r="14267" spans="1:13" s="21" customFormat="1" x14ac:dyDescent="0.25">
      <c r="A14267" s="22" t="s">
        <v>8</v>
      </c>
      <c r="B14267" s="18" t="str">
        <f>"555533"</f>
        <v>555533</v>
      </c>
      <c r="C14267" s="19" t="s">
        <v>14005</v>
      </c>
      <c r="D14267" s="19" t="s">
        <v>29658</v>
      </c>
      <c r="E14267" s="19" t="s">
        <v>31190</v>
      </c>
      <c r="F14267" s="19" t="s">
        <v>35978</v>
      </c>
      <c r="G14267" s="18" t="str">
        <f>"94541"</f>
        <v>94541</v>
      </c>
      <c r="H14267" s="19" t="s">
        <v>31290</v>
      </c>
      <c r="I14267" s="20">
        <v>21.190999999999999</v>
      </c>
      <c r="J14267" s="44" t="s">
        <v>8</v>
      </c>
      <c r="K14267" s="23" t="s">
        <v>8</v>
      </c>
      <c r="L14267" s="23" t="s">
        <v>8</v>
      </c>
      <c r="M14267" s="23" t="s">
        <v>8</v>
      </c>
    </row>
    <row r="14268" spans="1:13" s="21" customFormat="1" x14ac:dyDescent="0.25">
      <c r="A14268" s="22" t="s">
        <v>8</v>
      </c>
      <c r="B14268" s="18" t="str">
        <f>"555535"</f>
        <v>555535</v>
      </c>
      <c r="C14268" s="19" t="s">
        <v>14006</v>
      </c>
      <c r="D14268" s="19" t="s">
        <v>29659</v>
      </c>
      <c r="E14268" s="19" t="s">
        <v>5397</v>
      </c>
      <c r="F14268" s="19" t="s">
        <v>35978</v>
      </c>
      <c r="G14268" s="18" t="str">
        <f>"95953"</f>
        <v>95953</v>
      </c>
      <c r="H14268" s="19" t="s">
        <v>36089</v>
      </c>
      <c r="I14268" s="20">
        <v>17.847999999999999</v>
      </c>
      <c r="J14268" s="44" t="s">
        <v>8</v>
      </c>
      <c r="K14268" s="23" t="s">
        <v>8</v>
      </c>
      <c r="L14268" s="23" t="s">
        <v>8</v>
      </c>
      <c r="M14268" s="23" t="s">
        <v>8</v>
      </c>
    </row>
    <row r="14269" spans="1:13" s="21" customFormat="1" x14ac:dyDescent="0.25">
      <c r="A14269" s="22" t="s">
        <v>8</v>
      </c>
      <c r="B14269" s="18" t="str">
        <f>"555536"</f>
        <v>555536</v>
      </c>
      <c r="C14269" s="19" t="s">
        <v>14007</v>
      </c>
      <c r="D14269" s="19" t="s">
        <v>29660</v>
      </c>
      <c r="E14269" s="19" t="s">
        <v>31240</v>
      </c>
      <c r="F14269" s="19" t="s">
        <v>35978</v>
      </c>
      <c r="G14269" s="18" t="str">
        <f>"90631"</f>
        <v>90631</v>
      </c>
      <c r="H14269" s="19" t="s">
        <v>31169</v>
      </c>
      <c r="I14269" s="20">
        <v>19.457000000000001</v>
      </c>
      <c r="J14269" s="44" t="s">
        <v>8</v>
      </c>
      <c r="K14269" s="23" t="s">
        <v>8</v>
      </c>
      <c r="L14269" s="23" t="s">
        <v>8</v>
      </c>
      <c r="M14269" s="23" t="s">
        <v>8</v>
      </c>
    </row>
    <row r="14270" spans="1:13" s="21" customFormat="1" x14ac:dyDescent="0.25">
      <c r="A14270" s="22" t="s">
        <v>8</v>
      </c>
      <c r="B14270" s="18" t="str">
        <f>"555538"</f>
        <v>555538</v>
      </c>
      <c r="C14270" s="19" t="s">
        <v>14008</v>
      </c>
      <c r="D14270" s="19" t="s">
        <v>29661</v>
      </c>
      <c r="E14270" s="19" t="s">
        <v>35757</v>
      </c>
      <c r="F14270" s="19" t="s">
        <v>35978</v>
      </c>
      <c r="G14270" s="18" t="str">
        <f>"93960"</f>
        <v>93960</v>
      </c>
      <c r="H14270" s="19" t="s">
        <v>31274</v>
      </c>
      <c r="I14270" s="20">
        <v>16.425999999999998</v>
      </c>
      <c r="J14270" s="44" t="s">
        <v>8</v>
      </c>
      <c r="K14270" s="23" t="s">
        <v>8</v>
      </c>
      <c r="L14270" s="23" t="s">
        <v>8</v>
      </c>
      <c r="M14270" s="23" t="s">
        <v>8</v>
      </c>
    </row>
    <row r="14271" spans="1:13" s="21" customFormat="1" x14ac:dyDescent="0.25">
      <c r="A14271" s="22" t="s">
        <v>8</v>
      </c>
      <c r="B14271" s="18" t="str">
        <f>"555539"</f>
        <v>555539</v>
      </c>
      <c r="C14271" s="19" t="s">
        <v>14009</v>
      </c>
      <c r="D14271" s="19" t="s">
        <v>29662</v>
      </c>
      <c r="E14271" s="19" t="s">
        <v>35758</v>
      </c>
      <c r="F14271" s="19" t="s">
        <v>35978</v>
      </c>
      <c r="G14271" s="18" t="str">
        <f>"93210"</f>
        <v>93210</v>
      </c>
      <c r="H14271" s="19" t="s">
        <v>31155</v>
      </c>
      <c r="I14271" s="20">
        <v>18.576000000000001</v>
      </c>
      <c r="J14271" s="44" t="s">
        <v>8</v>
      </c>
      <c r="K14271" s="23" t="s">
        <v>8</v>
      </c>
      <c r="L14271" s="23" t="s">
        <v>8</v>
      </c>
      <c r="M14271" s="23" t="s">
        <v>8</v>
      </c>
    </row>
    <row r="14272" spans="1:13" s="21" customFormat="1" x14ac:dyDescent="0.25">
      <c r="A14272" s="22" t="s">
        <v>8</v>
      </c>
      <c r="B14272" s="18" t="str">
        <f>"555542"</f>
        <v>555542</v>
      </c>
      <c r="C14272" s="19" t="s">
        <v>14010</v>
      </c>
      <c r="D14272" s="19" t="s">
        <v>29663</v>
      </c>
      <c r="E14272" s="19" t="s">
        <v>31180</v>
      </c>
      <c r="F14272" s="19" t="s">
        <v>35978</v>
      </c>
      <c r="G14272" s="18" t="str">
        <f>"95814"</f>
        <v>95814</v>
      </c>
      <c r="H14272" s="19" t="s">
        <v>31180</v>
      </c>
      <c r="I14272" s="20">
        <v>19.385999999999999</v>
      </c>
      <c r="J14272" s="44" t="s">
        <v>8</v>
      </c>
      <c r="K14272" s="23" t="s">
        <v>8</v>
      </c>
      <c r="L14272" s="23" t="s">
        <v>8</v>
      </c>
      <c r="M14272" s="23" t="s">
        <v>8</v>
      </c>
    </row>
    <row r="14273" spans="1:13" s="21" customFormat="1" x14ac:dyDescent="0.25">
      <c r="A14273" s="22" t="s">
        <v>8</v>
      </c>
      <c r="B14273" s="18" t="str">
        <f>"555545"</f>
        <v>555545</v>
      </c>
      <c r="C14273" s="19" t="s">
        <v>14011</v>
      </c>
      <c r="D14273" s="19" t="s">
        <v>29664</v>
      </c>
      <c r="E14273" s="19" t="s">
        <v>31278</v>
      </c>
      <c r="F14273" s="19" t="s">
        <v>35978</v>
      </c>
      <c r="G14273" s="18" t="str">
        <f>"92037"</f>
        <v>92037</v>
      </c>
      <c r="H14273" s="19" t="s">
        <v>31176</v>
      </c>
      <c r="I14273" s="20">
        <v>18.422000000000001</v>
      </c>
      <c r="J14273" s="44" t="s">
        <v>8</v>
      </c>
      <c r="K14273" s="23" t="s">
        <v>8</v>
      </c>
      <c r="L14273" s="23" t="s">
        <v>8</v>
      </c>
      <c r="M14273" s="23" t="s">
        <v>8</v>
      </c>
    </row>
    <row r="14274" spans="1:13" s="21" customFormat="1" x14ac:dyDescent="0.25">
      <c r="A14274" s="22" t="s">
        <v>8</v>
      </c>
      <c r="B14274" s="18" t="str">
        <f>"555547"</f>
        <v>555547</v>
      </c>
      <c r="C14274" s="19" t="s">
        <v>14012</v>
      </c>
      <c r="D14274" s="19" t="s">
        <v>29665</v>
      </c>
      <c r="E14274" s="19" t="s">
        <v>31220</v>
      </c>
      <c r="F14274" s="19" t="s">
        <v>35978</v>
      </c>
      <c r="G14274" s="18" t="str">
        <f>"95032"</f>
        <v>95032</v>
      </c>
      <c r="H14274" s="19" t="s">
        <v>31241</v>
      </c>
      <c r="I14274" s="20">
        <v>17.962</v>
      </c>
      <c r="J14274" s="44" t="s">
        <v>8</v>
      </c>
      <c r="K14274" s="23" t="s">
        <v>8</v>
      </c>
      <c r="L14274" s="23" t="s">
        <v>8</v>
      </c>
      <c r="M14274" s="23" t="s">
        <v>8</v>
      </c>
    </row>
    <row r="14275" spans="1:13" s="21" customFormat="1" x14ac:dyDescent="0.25">
      <c r="A14275" s="22" t="s">
        <v>8</v>
      </c>
      <c r="B14275" s="18" t="str">
        <f>"555554"</f>
        <v>555554</v>
      </c>
      <c r="C14275" s="19" t="s">
        <v>14013</v>
      </c>
      <c r="D14275" s="19" t="s">
        <v>29666</v>
      </c>
      <c r="E14275" s="19" t="s">
        <v>35759</v>
      </c>
      <c r="F14275" s="19" t="s">
        <v>35978</v>
      </c>
      <c r="G14275" s="18" t="str">
        <f>"93422"</f>
        <v>93422</v>
      </c>
      <c r="H14275" s="19" t="s">
        <v>31125</v>
      </c>
      <c r="I14275" s="20">
        <v>21.097999999999999</v>
      </c>
      <c r="J14275" s="44" t="s">
        <v>8</v>
      </c>
      <c r="K14275" s="23" t="s">
        <v>8</v>
      </c>
      <c r="L14275" s="23" t="s">
        <v>8</v>
      </c>
      <c r="M14275" s="23" t="s">
        <v>8</v>
      </c>
    </row>
    <row r="14276" spans="1:13" s="21" customFormat="1" x14ac:dyDescent="0.25">
      <c r="A14276" s="22" t="s">
        <v>8</v>
      </c>
      <c r="B14276" s="18" t="str">
        <f>"555555"</f>
        <v>555555</v>
      </c>
      <c r="C14276" s="19" t="s">
        <v>14014</v>
      </c>
      <c r="D14276" s="19" t="s">
        <v>29667</v>
      </c>
      <c r="E14276" s="19" t="s">
        <v>31197</v>
      </c>
      <c r="F14276" s="19" t="s">
        <v>35978</v>
      </c>
      <c r="G14276" s="18" t="str">
        <f>"95608"</f>
        <v>95608</v>
      </c>
      <c r="H14276" s="19" t="s">
        <v>31180</v>
      </c>
      <c r="I14276" s="20">
        <v>18.023</v>
      </c>
      <c r="J14276" s="44" t="s">
        <v>8</v>
      </c>
      <c r="K14276" s="23" t="s">
        <v>8</v>
      </c>
      <c r="L14276" s="23" t="s">
        <v>8</v>
      </c>
      <c r="M14276" s="23" t="s">
        <v>8</v>
      </c>
    </row>
    <row r="14277" spans="1:13" s="21" customFormat="1" x14ac:dyDescent="0.25">
      <c r="A14277" s="22" t="s">
        <v>8</v>
      </c>
      <c r="B14277" s="18" t="str">
        <f>"555557"</f>
        <v>555557</v>
      </c>
      <c r="C14277" s="19" t="s">
        <v>14015</v>
      </c>
      <c r="D14277" s="19" t="s">
        <v>29668</v>
      </c>
      <c r="E14277" s="19" t="s">
        <v>35760</v>
      </c>
      <c r="F14277" s="19" t="s">
        <v>35978</v>
      </c>
      <c r="G14277" s="18" t="str">
        <f>"92227"</f>
        <v>92227</v>
      </c>
      <c r="H14277" s="19" t="s">
        <v>33827</v>
      </c>
      <c r="I14277" s="20">
        <v>20.116</v>
      </c>
      <c r="J14277" s="44" t="s">
        <v>8</v>
      </c>
      <c r="K14277" s="23" t="s">
        <v>8</v>
      </c>
      <c r="L14277" s="23" t="s">
        <v>8</v>
      </c>
      <c r="M14277" s="23" t="s">
        <v>8</v>
      </c>
    </row>
    <row r="14278" spans="1:13" s="21" customFormat="1" x14ac:dyDescent="0.25">
      <c r="A14278" s="22" t="s">
        <v>8</v>
      </c>
      <c r="B14278" s="18" t="str">
        <f>"555565"</f>
        <v>555565</v>
      </c>
      <c r="C14278" s="19" t="s">
        <v>14016</v>
      </c>
      <c r="D14278" s="19" t="s">
        <v>29669</v>
      </c>
      <c r="E14278" s="19" t="s">
        <v>31223</v>
      </c>
      <c r="F14278" s="19" t="s">
        <v>35978</v>
      </c>
      <c r="G14278" s="18" t="str">
        <f>"90701"</f>
        <v>90701</v>
      </c>
      <c r="H14278" s="19" t="s">
        <v>31109</v>
      </c>
      <c r="I14278" s="20">
        <v>15.442</v>
      </c>
      <c r="J14278" s="44" t="s">
        <v>8</v>
      </c>
      <c r="K14278" s="23" t="s">
        <v>8</v>
      </c>
      <c r="L14278" s="23" t="s">
        <v>8</v>
      </c>
      <c r="M14278" s="23" t="s">
        <v>8</v>
      </c>
    </row>
    <row r="14279" spans="1:13" s="21" customFormat="1" x14ac:dyDescent="0.25">
      <c r="A14279" s="22" t="s">
        <v>8</v>
      </c>
      <c r="B14279" s="18" t="str">
        <f>"555566"</f>
        <v>555566</v>
      </c>
      <c r="C14279" s="19" t="s">
        <v>14017</v>
      </c>
      <c r="D14279" s="19" t="s">
        <v>29670</v>
      </c>
      <c r="E14279" s="19" t="s">
        <v>31170</v>
      </c>
      <c r="F14279" s="19" t="s">
        <v>35978</v>
      </c>
      <c r="G14279" s="18" t="str">
        <f>"92882"</f>
        <v>92882</v>
      </c>
      <c r="H14279" s="19" t="s">
        <v>31112</v>
      </c>
      <c r="I14279" s="20">
        <v>21.837</v>
      </c>
      <c r="J14279" s="44" t="s">
        <v>8</v>
      </c>
      <c r="K14279" s="23" t="s">
        <v>8</v>
      </c>
      <c r="L14279" s="23" t="s">
        <v>8</v>
      </c>
      <c r="M14279" s="23" t="s">
        <v>8</v>
      </c>
    </row>
    <row r="14280" spans="1:13" s="21" customFormat="1" x14ac:dyDescent="0.25">
      <c r="A14280" s="22" t="s">
        <v>8</v>
      </c>
      <c r="B14280" s="18" t="str">
        <f>"555567"</f>
        <v>555567</v>
      </c>
      <c r="C14280" s="19" t="s">
        <v>14018</v>
      </c>
      <c r="D14280" s="19" t="s">
        <v>29671</v>
      </c>
      <c r="E14280" s="19" t="s">
        <v>31157</v>
      </c>
      <c r="F14280" s="19" t="s">
        <v>35978</v>
      </c>
      <c r="G14280" s="18" t="str">
        <f>"92704"</f>
        <v>92704</v>
      </c>
      <c r="H14280" s="19" t="s">
        <v>31169</v>
      </c>
      <c r="I14280" s="20">
        <v>19.132999999999999</v>
      </c>
      <c r="J14280" s="44" t="s">
        <v>8</v>
      </c>
      <c r="K14280" s="23" t="s">
        <v>8</v>
      </c>
      <c r="L14280" s="23" t="s">
        <v>8</v>
      </c>
      <c r="M14280" s="23" t="s">
        <v>8</v>
      </c>
    </row>
    <row r="14281" spans="1:13" s="21" customFormat="1" x14ac:dyDescent="0.25">
      <c r="A14281" s="22" t="s">
        <v>8</v>
      </c>
      <c r="B14281" s="18" t="str">
        <f>"555570"</f>
        <v>555570</v>
      </c>
      <c r="C14281" s="19" t="s">
        <v>14019</v>
      </c>
      <c r="D14281" s="19" t="s">
        <v>29672</v>
      </c>
      <c r="E14281" s="19" t="s">
        <v>31143</v>
      </c>
      <c r="F14281" s="19" t="s">
        <v>35978</v>
      </c>
      <c r="G14281" s="18" t="str">
        <f>"94606"</f>
        <v>94606</v>
      </c>
      <c r="H14281" s="19" t="s">
        <v>31290</v>
      </c>
      <c r="I14281" s="20">
        <v>18.792999999999999</v>
      </c>
      <c r="J14281" s="44" t="s">
        <v>8</v>
      </c>
      <c r="K14281" s="23" t="s">
        <v>8</v>
      </c>
      <c r="L14281" s="23" t="s">
        <v>8</v>
      </c>
      <c r="M14281" s="23" t="s">
        <v>8</v>
      </c>
    </row>
    <row r="14282" spans="1:13" s="21" customFormat="1" x14ac:dyDescent="0.25">
      <c r="A14282" s="22" t="s">
        <v>8</v>
      </c>
      <c r="B14282" s="18" t="str">
        <f>"555572"</f>
        <v>555572</v>
      </c>
      <c r="C14282" s="19" t="s">
        <v>14020</v>
      </c>
      <c r="D14282" s="19" t="s">
        <v>29673</v>
      </c>
      <c r="E14282" s="19" t="s">
        <v>31124</v>
      </c>
      <c r="F14282" s="19" t="s">
        <v>35978</v>
      </c>
      <c r="G14282" s="18" t="str">
        <f>"91941"</f>
        <v>91941</v>
      </c>
      <c r="H14282" s="19" t="s">
        <v>31176</v>
      </c>
      <c r="I14282" s="20">
        <v>17.609000000000002</v>
      </c>
      <c r="J14282" s="44" t="s">
        <v>8</v>
      </c>
      <c r="K14282" s="23" t="s">
        <v>8</v>
      </c>
      <c r="L14282" s="23" t="s">
        <v>8</v>
      </c>
      <c r="M14282" s="23" t="s">
        <v>8</v>
      </c>
    </row>
    <row r="14283" spans="1:13" s="21" customFormat="1" x14ac:dyDescent="0.25">
      <c r="A14283" s="22" t="s">
        <v>8</v>
      </c>
      <c r="B14283" s="18" t="str">
        <f>"555574"</f>
        <v>555574</v>
      </c>
      <c r="C14283" s="19" t="s">
        <v>14021</v>
      </c>
      <c r="D14283" s="19" t="s">
        <v>29674</v>
      </c>
      <c r="E14283" s="19" t="s">
        <v>31317</v>
      </c>
      <c r="F14283" s="19" t="s">
        <v>35978</v>
      </c>
      <c r="G14283" s="18" t="str">
        <f>"91311"</f>
        <v>91311</v>
      </c>
      <c r="H14283" s="19" t="s">
        <v>31109</v>
      </c>
      <c r="I14283" s="20">
        <v>18.515000000000001</v>
      </c>
      <c r="J14283" s="44" t="s">
        <v>8</v>
      </c>
      <c r="K14283" s="23" t="s">
        <v>8</v>
      </c>
      <c r="L14283" s="23" t="s">
        <v>8</v>
      </c>
      <c r="M14283" s="23" t="s">
        <v>8</v>
      </c>
    </row>
    <row r="14284" spans="1:13" s="21" customFormat="1" x14ac:dyDescent="0.25">
      <c r="A14284" s="22" t="s">
        <v>8</v>
      </c>
      <c r="B14284" s="18" t="str">
        <f>"555578"</f>
        <v>555578</v>
      </c>
      <c r="C14284" s="19" t="s">
        <v>14022</v>
      </c>
      <c r="D14284" s="19" t="s">
        <v>29675</v>
      </c>
      <c r="E14284" s="19" t="s">
        <v>31288</v>
      </c>
      <c r="F14284" s="19" t="s">
        <v>35978</v>
      </c>
      <c r="G14284" s="18" t="str">
        <f>"91306"</f>
        <v>91306</v>
      </c>
      <c r="H14284" s="19" t="s">
        <v>31109</v>
      </c>
      <c r="I14284" s="20">
        <v>19.225999999999999</v>
      </c>
      <c r="J14284" s="44" t="s">
        <v>8</v>
      </c>
      <c r="K14284" s="23" t="s">
        <v>8</v>
      </c>
      <c r="L14284" s="23" t="s">
        <v>8</v>
      </c>
      <c r="M14284" s="23" t="s">
        <v>8</v>
      </c>
    </row>
    <row r="14285" spans="1:13" s="21" customFormat="1" x14ac:dyDescent="0.25">
      <c r="A14285" s="22" t="s">
        <v>8</v>
      </c>
      <c r="B14285" s="18" t="str">
        <f>"555579"</f>
        <v>555579</v>
      </c>
      <c r="C14285" s="19" t="s">
        <v>14023</v>
      </c>
      <c r="D14285" s="19" t="s">
        <v>29676</v>
      </c>
      <c r="E14285" s="19" t="s">
        <v>35717</v>
      </c>
      <c r="F14285" s="19" t="s">
        <v>35978</v>
      </c>
      <c r="G14285" s="18" t="str">
        <f>"91345"</f>
        <v>91345</v>
      </c>
      <c r="H14285" s="19" t="s">
        <v>31109</v>
      </c>
      <c r="I14285" s="20">
        <v>15.053000000000001</v>
      </c>
      <c r="J14285" s="44" t="s">
        <v>8</v>
      </c>
      <c r="K14285" s="23" t="s">
        <v>8</v>
      </c>
      <c r="L14285" s="23" t="s">
        <v>8</v>
      </c>
      <c r="M14285" s="23" t="s">
        <v>8</v>
      </c>
    </row>
    <row r="14286" spans="1:13" s="21" customFormat="1" x14ac:dyDescent="0.25">
      <c r="A14286" s="22" t="s">
        <v>8</v>
      </c>
      <c r="B14286" s="18" t="str">
        <f>"555583"</f>
        <v>555583</v>
      </c>
      <c r="C14286" s="19" t="s">
        <v>14024</v>
      </c>
      <c r="D14286" s="19" t="s">
        <v>29677</v>
      </c>
      <c r="E14286" s="19" t="s">
        <v>31287</v>
      </c>
      <c r="F14286" s="19" t="s">
        <v>35978</v>
      </c>
      <c r="G14286" s="18" t="str">
        <f>"91342"</f>
        <v>91342</v>
      </c>
      <c r="H14286" s="19" t="s">
        <v>31109</v>
      </c>
      <c r="I14286" s="20">
        <v>20.463999999999999</v>
      </c>
      <c r="J14286" s="44" t="s">
        <v>8</v>
      </c>
      <c r="K14286" s="23" t="s">
        <v>8</v>
      </c>
      <c r="L14286" s="23" t="s">
        <v>8</v>
      </c>
      <c r="M14286" s="23" t="s">
        <v>8</v>
      </c>
    </row>
    <row r="14287" spans="1:13" s="21" customFormat="1" x14ac:dyDescent="0.25">
      <c r="A14287" s="22" t="s">
        <v>8</v>
      </c>
      <c r="B14287" s="18" t="str">
        <f>"555585"</f>
        <v>555585</v>
      </c>
      <c r="C14287" s="19" t="s">
        <v>14025</v>
      </c>
      <c r="D14287" s="19" t="s">
        <v>29678</v>
      </c>
      <c r="E14287" s="19" t="s">
        <v>31176</v>
      </c>
      <c r="F14287" s="19" t="s">
        <v>35978</v>
      </c>
      <c r="G14287" s="18" t="str">
        <f>"92123"</f>
        <v>92123</v>
      </c>
      <c r="H14287" s="19" t="s">
        <v>31176</v>
      </c>
      <c r="I14287" s="20">
        <v>19.623000000000001</v>
      </c>
      <c r="J14287" s="44" t="s">
        <v>8</v>
      </c>
      <c r="K14287" s="23" t="s">
        <v>8</v>
      </c>
      <c r="L14287" s="23" t="s">
        <v>8</v>
      </c>
      <c r="M14287" s="23" t="s">
        <v>8</v>
      </c>
    </row>
    <row r="14288" spans="1:13" s="21" customFormat="1" x14ac:dyDescent="0.25">
      <c r="A14288" s="22" t="s">
        <v>8</v>
      </c>
      <c r="B14288" s="18" t="str">
        <f>"555588"</f>
        <v>555588</v>
      </c>
      <c r="C14288" s="19" t="s">
        <v>14026</v>
      </c>
      <c r="D14288" s="19" t="s">
        <v>29679</v>
      </c>
      <c r="E14288" s="19" t="s">
        <v>31217</v>
      </c>
      <c r="F14288" s="19" t="s">
        <v>35978</v>
      </c>
      <c r="G14288" s="18" t="str">
        <f>"96001"</f>
        <v>96001</v>
      </c>
      <c r="H14288" s="19" t="s">
        <v>36097</v>
      </c>
      <c r="I14288" s="20">
        <v>16.268000000000001</v>
      </c>
      <c r="J14288" s="44" t="s">
        <v>8</v>
      </c>
      <c r="K14288" s="23" t="s">
        <v>8</v>
      </c>
      <c r="L14288" s="23" t="s">
        <v>8</v>
      </c>
      <c r="M14288" s="23" t="s">
        <v>8</v>
      </c>
    </row>
    <row r="14289" spans="1:13" s="21" customFormat="1" x14ac:dyDescent="0.25">
      <c r="A14289" s="22" t="s">
        <v>8</v>
      </c>
      <c r="B14289" s="18" t="str">
        <f>"555592"</f>
        <v>555592</v>
      </c>
      <c r="C14289" s="19" t="s">
        <v>14027</v>
      </c>
      <c r="D14289" s="19" t="s">
        <v>29680</v>
      </c>
      <c r="E14289" s="19" t="s">
        <v>31125</v>
      </c>
      <c r="F14289" s="19" t="s">
        <v>35978</v>
      </c>
      <c r="G14289" s="18" t="str">
        <f>"93401"</f>
        <v>93401</v>
      </c>
      <c r="H14289" s="19" t="s">
        <v>31125</v>
      </c>
      <c r="I14289" s="20">
        <v>19.338999999999999</v>
      </c>
      <c r="J14289" s="44" t="s">
        <v>8</v>
      </c>
      <c r="K14289" s="23" t="s">
        <v>8</v>
      </c>
      <c r="L14289" s="23" t="s">
        <v>8</v>
      </c>
      <c r="M14289" s="23" t="s">
        <v>8</v>
      </c>
    </row>
    <row r="14290" spans="1:13" s="21" customFormat="1" x14ac:dyDescent="0.25">
      <c r="A14290" s="22" t="s">
        <v>8</v>
      </c>
      <c r="B14290" s="18" t="str">
        <f>"555594"</f>
        <v>555594</v>
      </c>
      <c r="C14290" s="19" t="s">
        <v>14028</v>
      </c>
      <c r="D14290" s="19" t="s">
        <v>29681</v>
      </c>
      <c r="E14290" s="19" t="s">
        <v>31188</v>
      </c>
      <c r="F14290" s="19" t="s">
        <v>35978</v>
      </c>
      <c r="G14290" s="18" t="str">
        <f>"95128"</f>
        <v>95128</v>
      </c>
      <c r="H14290" s="19" t="s">
        <v>31241</v>
      </c>
      <c r="I14290" s="20">
        <v>18.3</v>
      </c>
      <c r="J14290" s="44" t="s">
        <v>8</v>
      </c>
      <c r="K14290" s="23" t="s">
        <v>8</v>
      </c>
      <c r="L14290" s="23" t="s">
        <v>8</v>
      </c>
      <c r="M14290" s="23" t="s">
        <v>8</v>
      </c>
    </row>
    <row r="14291" spans="1:13" s="21" customFormat="1" x14ac:dyDescent="0.25">
      <c r="A14291" s="22" t="s">
        <v>8</v>
      </c>
      <c r="B14291" s="18" t="str">
        <f>"555595"</f>
        <v>555595</v>
      </c>
      <c r="C14291" s="19" t="s">
        <v>14029</v>
      </c>
      <c r="D14291" s="19" t="s">
        <v>29682</v>
      </c>
      <c r="E14291" s="19" t="s">
        <v>31186</v>
      </c>
      <c r="F14291" s="19" t="s">
        <v>35978</v>
      </c>
      <c r="G14291" s="18" t="str">
        <f>"94903"</f>
        <v>94903</v>
      </c>
      <c r="H14291" s="19" t="s">
        <v>36090</v>
      </c>
      <c r="I14291" s="20">
        <v>19.407</v>
      </c>
      <c r="J14291" s="44" t="s">
        <v>8</v>
      </c>
      <c r="K14291" s="23" t="s">
        <v>8</v>
      </c>
      <c r="L14291" s="23" t="s">
        <v>8</v>
      </c>
      <c r="M14291" s="23" t="s">
        <v>8</v>
      </c>
    </row>
    <row r="14292" spans="1:13" s="21" customFormat="1" x14ac:dyDescent="0.25">
      <c r="A14292" s="22" t="s">
        <v>8</v>
      </c>
      <c r="B14292" s="18" t="str">
        <f>"555596"</f>
        <v>555596</v>
      </c>
      <c r="C14292" s="19" t="s">
        <v>14030</v>
      </c>
      <c r="D14292" s="19" t="s">
        <v>29683</v>
      </c>
      <c r="E14292" s="19" t="s">
        <v>31118</v>
      </c>
      <c r="F14292" s="19" t="s">
        <v>35978</v>
      </c>
      <c r="G14292" s="18" t="str">
        <f>"92020"</f>
        <v>92020</v>
      </c>
      <c r="H14292" s="19" t="s">
        <v>31176</v>
      </c>
      <c r="I14292" s="20">
        <v>19.841000000000001</v>
      </c>
      <c r="J14292" s="44" t="s">
        <v>8</v>
      </c>
      <c r="K14292" s="23" t="s">
        <v>8</v>
      </c>
      <c r="L14292" s="23" t="s">
        <v>8</v>
      </c>
      <c r="M14292" s="23" t="s">
        <v>8</v>
      </c>
    </row>
    <row r="14293" spans="1:13" s="21" customFormat="1" x14ac:dyDescent="0.25">
      <c r="A14293" s="22" t="s">
        <v>8</v>
      </c>
      <c r="B14293" s="18" t="str">
        <f>"555599"</f>
        <v>555599</v>
      </c>
      <c r="C14293" s="19" t="s">
        <v>14031</v>
      </c>
      <c r="D14293" s="19" t="s">
        <v>29684</v>
      </c>
      <c r="E14293" s="19" t="s">
        <v>31108</v>
      </c>
      <c r="F14293" s="19" t="s">
        <v>35978</v>
      </c>
      <c r="G14293" s="18" t="str">
        <f>"90505"</f>
        <v>90505</v>
      </c>
      <c r="H14293" s="19" t="s">
        <v>31109</v>
      </c>
      <c r="I14293" s="20">
        <v>17.968</v>
      </c>
      <c r="J14293" s="44" t="s">
        <v>8</v>
      </c>
      <c r="K14293" s="23" t="s">
        <v>8</v>
      </c>
      <c r="L14293" s="23" t="s">
        <v>8</v>
      </c>
      <c r="M14293" s="23" t="s">
        <v>8</v>
      </c>
    </row>
    <row r="14294" spans="1:13" s="21" customFormat="1" x14ac:dyDescent="0.25">
      <c r="A14294" s="22" t="s">
        <v>8</v>
      </c>
      <c r="B14294" s="18" t="str">
        <f>"555605"</f>
        <v>555605</v>
      </c>
      <c r="C14294" s="19" t="s">
        <v>14032</v>
      </c>
      <c r="D14294" s="19" t="s">
        <v>29685</v>
      </c>
      <c r="E14294" s="19" t="s">
        <v>30946</v>
      </c>
      <c r="F14294" s="19" t="s">
        <v>35978</v>
      </c>
      <c r="G14294" s="18" t="str">
        <f>"91204"</f>
        <v>91204</v>
      </c>
      <c r="H14294" s="19" t="s">
        <v>31109</v>
      </c>
      <c r="I14294" s="20">
        <v>17.233000000000001</v>
      </c>
      <c r="J14294" s="44" t="s">
        <v>8</v>
      </c>
      <c r="K14294" s="23" t="s">
        <v>8</v>
      </c>
      <c r="L14294" s="23" t="s">
        <v>8</v>
      </c>
      <c r="M14294" s="23" t="s">
        <v>8</v>
      </c>
    </row>
    <row r="14295" spans="1:13" s="21" customFormat="1" x14ac:dyDescent="0.25">
      <c r="A14295" s="22" t="s">
        <v>8</v>
      </c>
      <c r="B14295" s="18" t="str">
        <f>"555609"</f>
        <v>555609</v>
      </c>
      <c r="C14295" s="19" t="s">
        <v>14033</v>
      </c>
      <c r="D14295" s="19" t="s">
        <v>29686</v>
      </c>
      <c r="E14295" s="19" t="s">
        <v>30946</v>
      </c>
      <c r="F14295" s="19" t="s">
        <v>35978</v>
      </c>
      <c r="G14295" s="18" t="str">
        <f>"91204"</f>
        <v>91204</v>
      </c>
      <c r="H14295" s="19" t="s">
        <v>31109</v>
      </c>
      <c r="I14295" s="20">
        <v>20.343</v>
      </c>
      <c r="J14295" s="44" t="s">
        <v>8</v>
      </c>
      <c r="K14295" s="23" t="s">
        <v>8</v>
      </c>
      <c r="L14295" s="23" t="s">
        <v>8</v>
      </c>
      <c r="M14295" s="23" t="s">
        <v>8</v>
      </c>
    </row>
    <row r="14296" spans="1:13" s="21" customFormat="1" x14ac:dyDescent="0.25">
      <c r="A14296" s="22" t="s">
        <v>8</v>
      </c>
      <c r="B14296" s="18" t="str">
        <f>"555610"</f>
        <v>555610</v>
      </c>
      <c r="C14296" s="19" t="s">
        <v>14034</v>
      </c>
      <c r="D14296" s="19" t="s">
        <v>29687</v>
      </c>
      <c r="E14296" s="19" t="s">
        <v>31205</v>
      </c>
      <c r="F14296" s="19" t="s">
        <v>35978</v>
      </c>
      <c r="G14296" s="18" t="str">
        <f>"91723"</f>
        <v>91723</v>
      </c>
      <c r="H14296" s="19" t="s">
        <v>31109</v>
      </c>
      <c r="I14296" s="20">
        <v>21.35</v>
      </c>
      <c r="J14296" s="44" t="s">
        <v>8</v>
      </c>
      <c r="K14296" s="23" t="s">
        <v>8</v>
      </c>
      <c r="L14296" s="23" t="s">
        <v>8</v>
      </c>
      <c r="M14296" s="23" t="s">
        <v>8</v>
      </c>
    </row>
    <row r="14297" spans="1:13" s="21" customFormat="1" x14ac:dyDescent="0.25">
      <c r="A14297" s="22" t="s">
        <v>8</v>
      </c>
      <c r="B14297" s="18" t="str">
        <f>"555613"</f>
        <v>555613</v>
      </c>
      <c r="C14297" s="19" t="s">
        <v>14035</v>
      </c>
      <c r="D14297" s="19" t="s">
        <v>29688</v>
      </c>
      <c r="E14297" s="19" t="s">
        <v>31112</v>
      </c>
      <c r="F14297" s="19" t="s">
        <v>35978</v>
      </c>
      <c r="G14297" s="18" t="str">
        <f>"92501"</f>
        <v>92501</v>
      </c>
      <c r="H14297" s="19" t="s">
        <v>31112</v>
      </c>
      <c r="I14297" s="20">
        <v>21.143999999999998</v>
      </c>
      <c r="J14297" s="44" t="s">
        <v>8</v>
      </c>
      <c r="K14297" s="23" t="s">
        <v>8</v>
      </c>
      <c r="L14297" s="23" t="s">
        <v>8</v>
      </c>
      <c r="M14297" s="23" t="s">
        <v>8</v>
      </c>
    </row>
    <row r="14298" spans="1:13" s="21" customFormat="1" x14ac:dyDescent="0.25">
      <c r="A14298" s="22" t="s">
        <v>8</v>
      </c>
      <c r="B14298" s="18" t="str">
        <f>"555616"</f>
        <v>555616</v>
      </c>
      <c r="C14298" s="19" t="s">
        <v>11769</v>
      </c>
      <c r="D14298" s="19" t="s">
        <v>29689</v>
      </c>
      <c r="E14298" s="19" t="s">
        <v>30946</v>
      </c>
      <c r="F14298" s="19" t="s">
        <v>35978</v>
      </c>
      <c r="G14298" s="18" t="str">
        <f>"91205"</f>
        <v>91205</v>
      </c>
      <c r="H14298" s="19" t="s">
        <v>31109</v>
      </c>
      <c r="I14298" s="20">
        <v>18.716000000000001</v>
      </c>
      <c r="J14298" s="44" t="s">
        <v>8</v>
      </c>
      <c r="K14298" s="23" t="s">
        <v>8</v>
      </c>
      <c r="L14298" s="23" t="s">
        <v>8</v>
      </c>
      <c r="M14298" s="23" t="s">
        <v>8</v>
      </c>
    </row>
    <row r="14299" spans="1:13" s="21" customFormat="1" x14ac:dyDescent="0.25">
      <c r="A14299" s="22" t="s">
        <v>8</v>
      </c>
      <c r="B14299" s="18" t="str">
        <f>"555618"</f>
        <v>555618</v>
      </c>
      <c r="C14299" s="19" t="s">
        <v>14036</v>
      </c>
      <c r="D14299" s="19" t="s">
        <v>29690</v>
      </c>
      <c r="E14299" s="19" t="s">
        <v>35759</v>
      </c>
      <c r="F14299" s="19" t="s">
        <v>35978</v>
      </c>
      <c r="G14299" s="18" t="str">
        <f>"93422"</f>
        <v>93422</v>
      </c>
      <c r="H14299" s="19" t="s">
        <v>31125</v>
      </c>
      <c r="I14299" s="20">
        <v>19.234000000000002</v>
      </c>
      <c r="J14299" s="44" t="s">
        <v>8</v>
      </c>
      <c r="K14299" s="23" t="s">
        <v>8</v>
      </c>
      <c r="L14299" s="23" t="s">
        <v>8</v>
      </c>
      <c r="M14299" s="23" t="s">
        <v>8</v>
      </c>
    </row>
    <row r="14300" spans="1:13" s="21" customFormat="1" x14ac:dyDescent="0.25">
      <c r="A14300" s="22" t="s">
        <v>8</v>
      </c>
      <c r="B14300" s="18" t="str">
        <f>"555619"</f>
        <v>555619</v>
      </c>
      <c r="C14300" s="19" t="s">
        <v>14037</v>
      </c>
      <c r="D14300" s="19" t="s">
        <v>29691</v>
      </c>
      <c r="E14300" s="19" t="s">
        <v>35761</v>
      </c>
      <c r="F14300" s="19" t="s">
        <v>35978</v>
      </c>
      <c r="G14300" s="18" t="str">
        <f>"93420"</f>
        <v>93420</v>
      </c>
      <c r="H14300" s="19" t="s">
        <v>31125</v>
      </c>
      <c r="I14300" s="20">
        <v>20.18</v>
      </c>
      <c r="J14300" s="44" t="s">
        <v>8</v>
      </c>
      <c r="K14300" s="23" t="s">
        <v>8</v>
      </c>
      <c r="L14300" s="23" t="s">
        <v>8</v>
      </c>
      <c r="M14300" s="23" t="s">
        <v>8</v>
      </c>
    </row>
    <row r="14301" spans="1:13" s="21" customFormat="1" x14ac:dyDescent="0.25">
      <c r="A14301" s="22" t="s">
        <v>8</v>
      </c>
      <c r="B14301" s="18" t="str">
        <f>"555623"</f>
        <v>555623</v>
      </c>
      <c r="C14301" s="19" t="s">
        <v>14038</v>
      </c>
      <c r="D14301" s="19" t="s">
        <v>29692</v>
      </c>
      <c r="E14301" s="19" t="s">
        <v>31163</v>
      </c>
      <c r="F14301" s="19" t="s">
        <v>35978</v>
      </c>
      <c r="G14301" s="18" t="str">
        <f>"92543"</f>
        <v>92543</v>
      </c>
      <c r="H14301" s="19" t="s">
        <v>31112</v>
      </c>
      <c r="I14301" s="20">
        <v>18.879000000000001</v>
      </c>
      <c r="J14301" s="44" t="s">
        <v>8</v>
      </c>
      <c r="K14301" s="23" t="s">
        <v>8</v>
      </c>
      <c r="L14301" s="23" t="s">
        <v>8</v>
      </c>
      <c r="M14301" s="23" t="s">
        <v>8</v>
      </c>
    </row>
    <row r="14302" spans="1:13" s="21" customFormat="1" x14ac:dyDescent="0.25">
      <c r="A14302" s="22" t="s">
        <v>8</v>
      </c>
      <c r="B14302" s="18" t="str">
        <f>"555625"</f>
        <v>555625</v>
      </c>
      <c r="C14302" s="19" t="s">
        <v>14039</v>
      </c>
      <c r="D14302" s="19" t="s">
        <v>29693</v>
      </c>
      <c r="E14302" s="19" t="s">
        <v>31219</v>
      </c>
      <c r="F14302" s="19" t="s">
        <v>35978</v>
      </c>
      <c r="G14302" s="18" t="str">
        <f>"95928"</f>
        <v>95928</v>
      </c>
      <c r="H14302" s="19" t="s">
        <v>33744</v>
      </c>
      <c r="I14302" s="20">
        <v>20.05</v>
      </c>
      <c r="J14302" s="44" t="s">
        <v>8</v>
      </c>
      <c r="K14302" s="23" t="s">
        <v>8</v>
      </c>
      <c r="L14302" s="23" t="s">
        <v>8</v>
      </c>
      <c r="M14302" s="23" t="s">
        <v>8</v>
      </c>
    </row>
    <row r="14303" spans="1:13" s="21" customFormat="1" x14ac:dyDescent="0.25">
      <c r="A14303" s="22" t="s">
        <v>8</v>
      </c>
      <c r="B14303" s="18" t="str">
        <f>"555630"</f>
        <v>555630</v>
      </c>
      <c r="C14303" s="19" t="s">
        <v>14040</v>
      </c>
      <c r="D14303" s="19" t="s">
        <v>29694</v>
      </c>
      <c r="E14303" s="19" t="s">
        <v>31176</v>
      </c>
      <c r="F14303" s="19" t="s">
        <v>35978</v>
      </c>
      <c r="G14303" s="18" t="str">
        <f>"92103"</f>
        <v>92103</v>
      </c>
      <c r="H14303" s="19" t="s">
        <v>31176</v>
      </c>
      <c r="I14303" s="20">
        <v>18.62</v>
      </c>
      <c r="J14303" s="44" t="s">
        <v>8</v>
      </c>
      <c r="K14303" s="23" t="s">
        <v>8</v>
      </c>
      <c r="L14303" s="23" t="s">
        <v>8</v>
      </c>
      <c r="M14303" s="23" t="s">
        <v>8</v>
      </c>
    </row>
    <row r="14304" spans="1:13" s="21" customFormat="1" x14ac:dyDescent="0.25">
      <c r="A14304" s="22" t="s">
        <v>8</v>
      </c>
      <c r="B14304" s="18" t="str">
        <f>"555635"</f>
        <v>555635</v>
      </c>
      <c r="C14304" s="19" t="s">
        <v>14041</v>
      </c>
      <c r="D14304" s="19" t="s">
        <v>29695</v>
      </c>
      <c r="E14304" s="19" t="s">
        <v>31188</v>
      </c>
      <c r="F14304" s="19" t="s">
        <v>35978</v>
      </c>
      <c r="G14304" s="18" t="str">
        <f>"95117"</f>
        <v>95117</v>
      </c>
      <c r="H14304" s="19" t="s">
        <v>31241</v>
      </c>
      <c r="I14304" s="20">
        <v>18.439</v>
      </c>
      <c r="J14304" s="44" t="s">
        <v>8</v>
      </c>
      <c r="K14304" s="23" t="s">
        <v>8</v>
      </c>
      <c r="L14304" s="23" t="s">
        <v>8</v>
      </c>
      <c r="M14304" s="23" t="s">
        <v>8</v>
      </c>
    </row>
    <row r="14305" spans="1:13" s="21" customFormat="1" x14ac:dyDescent="0.25">
      <c r="A14305" s="22" t="s">
        <v>8</v>
      </c>
      <c r="B14305" s="18" t="str">
        <f>"555638"</f>
        <v>555638</v>
      </c>
      <c r="C14305" s="19" t="s">
        <v>14042</v>
      </c>
      <c r="D14305" s="19" t="s">
        <v>29696</v>
      </c>
      <c r="E14305" s="19" t="s">
        <v>31109</v>
      </c>
      <c r="F14305" s="19" t="s">
        <v>35978</v>
      </c>
      <c r="G14305" s="18" t="str">
        <f>"90023"</f>
        <v>90023</v>
      </c>
      <c r="H14305" s="19" t="s">
        <v>31109</v>
      </c>
      <c r="I14305" s="20">
        <v>19.148</v>
      </c>
      <c r="J14305" s="44" t="s">
        <v>8</v>
      </c>
      <c r="K14305" s="23" t="s">
        <v>8</v>
      </c>
      <c r="L14305" s="23" t="s">
        <v>8</v>
      </c>
      <c r="M14305" s="23" t="s">
        <v>8</v>
      </c>
    </row>
    <row r="14306" spans="1:13" s="21" customFormat="1" x14ac:dyDescent="0.25">
      <c r="A14306" s="22" t="s">
        <v>8</v>
      </c>
      <c r="B14306" s="18" t="str">
        <f>"555639"</f>
        <v>555639</v>
      </c>
      <c r="C14306" s="19" t="s">
        <v>14043</v>
      </c>
      <c r="D14306" s="19" t="s">
        <v>29697</v>
      </c>
      <c r="E14306" s="19" t="s">
        <v>31299</v>
      </c>
      <c r="F14306" s="19" t="s">
        <v>35978</v>
      </c>
      <c r="G14306" s="18" t="str">
        <f>"94559"</f>
        <v>94559</v>
      </c>
      <c r="H14306" s="19" t="s">
        <v>31299</v>
      </c>
      <c r="I14306" s="20">
        <v>17.898</v>
      </c>
      <c r="J14306" s="44" t="s">
        <v>8</v>
      </c>
      <c r="K14306" s="23" t="s">
        <v>8</v>
      </c>
      <c r="L14306" s="23" t="s">
        <v>8</v>
      </c>
      <c r="M14306" s="23" t="s">
        <v>8</v>
      </c>
    </row>
    <row r="14307" spans="1:13" s="21" customFormat="1" x14ac:dyDescent="0.25">
      <c r="A14307" s="22" t="s">
        <v>8</v>
      </c>
      <c r="B14307" s="18" t="str">
        <f>"555642"</f>
        <v>555642</v>
      </c>
      <c r="C14307" s="19" t="s">
        <v>14044</v>
      </c>
      <c r="D14307" s="19" t="s">
        <v>29698</v>
      </c>
      <c r="E14307" s="19" t="s">
        <v>31098</v>
      </c>
      <c r="F14307" s="19" t="s">
        <v>35978</v>
      </c>
      <c r="G14307" s="18" t="str">
        <f>"92373"</f>
        <v>92373</v>
      </c>
      <c r="H14307" s="19" t="s">
        <v>31227</v>
      </c>
      <c r="I14307" s="20">
        <v>16.128</v>
      </c>
      <c r="J14307" s="44" t="s">
        <v>8</v>
      </c>
      <c r="K14307" s="23" t="s">
        <v>8</v>
      </c>
      <c r="L14307" s="23" t="s">
        <v>8</v>
      </c>
      <c r="M14307" s="23" t="s">
        <v>8</v>
      </c>
    </row>
    <row r="14308" spans="1:13" s="21" customFormat="1" x14ac:dyDescent="0.25">
      <c r="A14308" s="22" t="s">
        <v>8</v>
      </c>
      <c r="B14308" s="18" t="str">
        <f>"555645"</f>
        <v>555645</v>
      </c>
      <c r="C14308" s="19" t="s">
        <v>14045</v>
      </c>
      <c r="D14308" s="19" t="s">
        <v>29699</v>
      </c>
      <c r="E14308" s="19" t="s">
        <v>30926</v>
      </c>
      <c r="F14308" s="19" t="s">
        <v>35978</v>
      </c>
      <c r="G14308" s="18" t="str">
        <f>"95603"</f>
        <v>95603</v>
      </c>
      <c r="H14308" s="19" t="s">
        <v>36093</v>
      </c>
      <c r="I14308" s="20">
        <v>18.832000000000001</v>
      </c>
      <c r="J14308" s="44" t="s">
        <v>8</v>
      </c>
      <c r="K14308" s="23" t="s">
        <v>8</v>
      </c>
      <c r="L14308" s="23" t="s">
        <v>8</v>
      </c>
      <c r="M14308" s="23" t="s">
        <v>8</v>
      </c>
    </row>
    <row r="14309" spans="1:13" s="21" customFormat="1" x14ac:dyDescent="0.25">
      <c r="A14309" s="22" t="s">
        <v>8</v>
      </c>
      <c r="B14309" s="18" t="str">
        <f>"555649"</f>
        <v>555649</v>
      </c>
      <c r="C14309" s="19" t="s">
        <v>14046</v>
      </c>
      <c r="D14309" s="19" t="s">
        <v>29700</v>
      </c>
      <c r="E14309" s="19" t="s">
        <v>31276</v>
      </c>
      <c r="F14309" s="19" t="s">
        <v>35978</v>
      </c>
      <c r="G14309" s="18" t="str">
        <f>"91790"</f>
        <v>91790</v>
      </c>
      <c r="H14309" s="19" t="s">
        <v>31109</v>
      </c>
      <c r="I14309" s="20">
        <v>18.63</v>
      </c>
      <c r="J14309" s="44" t="s">
        <v>8</v>
      </c>
      <c r="K14309" s="23" t="s">
        <v>8</v>
      </c>
      <c r="L14309" s="23" t="s">
        <v>8</v>
      </c>
      <c r="M14309" s="23" t="s">
        <v>8</v>
      </c>
    </row>
    <row r="14310" spans="1:13" s="21" customFormat="1" x14ac:dyDescent="0.25">
      <c r="A14310" s="22" t="s">
        <v>8</v>
      </c>
      <c r="B14310" s="18" t="str">
        <f>"555650"</f>
        <v>555650</v>
      </c>
      <c r="C14310" s="19" t="s">
        <v>14047</v>
      </c>
      <c r="D14310" s="19" t="s">
        <v>29701</v>
      </c>
      <c r="E14310" s="19" t="s">
        <v>31191</v>
      </c>
      <c r="F14310" s="19" t="s">
        <v>35978</v>
      </c>
      <c r="G14310" s="18" t="str">
        <f>"91107"</f>
        <v>91107</v>
      </c>
      <c r="H14310" s="19" t="s">
        <v>31109</v>
      </c>
      <c r="I14310" s="20">
        <v>17.366</v>
      </c>
      <c r="J14310" s="44" t="s">
        <v>8</v>
      </c>
      <c r="K14310" s="23" t="s">
        <v>8</v>
      </c>
      <c r="L14310" s="23" t="s">
        <v>8</v>
      </c>
      <c r="M14310" s="23" t="s">
        <v>8</v>
      </c>
    </row>
    <row r="14311" spans="1:13" s="21" customFormat="1" x14ac:dyDescent="0.25">
      <c r="A14311" s="22" t="s">
        <v>8</v>
      </c>
      <c r="B14311" s="18" t="str">
        <f>"555651"</f>
        <v>555651</v>
      </c>
      <c r="C14311" s="19" t="s">
        <v>14048</v>
      </c>
      <c r="D14311" s="19" t="s">
        <v>29702</v>
      </c>
      <c r="E14311" s="19" t="s">
        <v>31313</v>
      </c>
      <c r="F14311" s="19" t="s">
        <v>35978</v>
      </c>
      <c r="G14311" s="18" t="str">
        <f>"92683"</f>
        <v>92683</v>
      </c>
      <c r="H14311" s="19" t="s">
        <v>31169</v>
      </c>
      <c r="I14311" s="20">
        <v>17.673999999999999</v>
      </c>
      <c r="J14311" s="44" t="s">
        <v>8</v>
      </c>
      <c r="K14311" s="23" t="s">
        <v>8</v>
      </c>
      <c r="L14311" s="23" t="s">
        <v>8</v>
      </c>
      <c r="M14311" s="23" t="s">
        <v>8</v>
      </c>
    </row>
    <row r="14312" spans="1:13" s="21" customFormat="1" x14ac:dyDescent="0.25">
      <c r="A14312" s="22" t="s">
        <v>8</v>
      </c>
      <c r="B14312" s="18" t="str">
        <f>"555652"</f>
        <v>555652</v>
      </c>
      <c r="C14312" s="19" t="s">
        <v>14049</v>
      </c>
      <c r="D14312" s="19" t="s">
        <v>29703</v>
      </c>
      <c r="E14312" s="19" t="s">
        <v>31316</v>
      </c>
      <c r="F14312" s="19" t="s">
        <v>35978</v>
      </c>
      <c r="G14312" s="18" t="str">
        <f>"93611"</f>
        <v>93611</v>
      </c>
      <c r="H14312" s="19" t="s">
        <v>31155</v>
      </c>
      <c r="I14312" s="20">
        <v>20.213999999999999</v>
      </c>
      <c r="J14312" s="44" t="s">
        <v>8</v>
      </c>
      <c r="K14312" s="23" t="s">
        <v>8</v>
      </c>
      <c r="L14312" s="23" t="s">
        <v>8</v>
      </c>
      <c r="M14312" s="23" t="s">
        <v>8</v>
      </c>
    </row>
    <row r="14313" spans="1:13" s="21" customFormat="1" x14ac:dyDescent="0.25">
      <c r="A14313" s="22" t="s">
        <v>8</v>
      </c>
      <c r="B14313" s="18" t="str">
        <f>"555654"</f>
        <v>555654</v>
      </c>
      <c r="C14313" s="19" t="s">
        <v>14050</v>
      </c>
      <c r="D14313" s="19" t="s">
        <v>29704</v>
      </c>
      <c r="E14313" s="19" t="s">
        <v>31145</v>
      </c>
      <c r="F14313" s="19" t="s">
        <v>35978</v>
      </c>
      <c r="G14313" s="18" t="str">
        <f>"90602"</f>
        <v>90602</v>
      </c>
      <c r="H14313" s="19" t="s">
        <v>31109</v>
      </c>
      <c r="I14313" s="20">
        <v>22.343</v>
      </c>
      <c r="J14313" s="44" t="s">
        <v>8</v>
      </c>
      <c r="K14313" s="23" t="s">
        <v>8</v>
      </c>
      <c r="L14313" s="23" t="s">
        <v>8</v>
      </c>
      <c r="M14313" s="23" t="s">
        <v>8</v>
      </c>
    </row>
    <row r="14314" spans="1:13" s="21" customFormat="1" x14ac:dyDescent="0.25">
      <c r="A14314" s="22" t="s">
        <v>8</v>
      </c>
      <c r="B14314" s="18" t="str">
        <f>"555657"</f>
        <v>555657</v>
      </c>
      <c r="C14314" s="19" t="s">
        <v>14051</v>
      </c>
      <c r="D14314" s="19" t="s">
        <v>29705</v>
      </c>
      <c r="E14314" s="19" t="s">
        <v>33079</v>
      </c>
      <c r="F14314" s="19" t="s">
        <v>35978</v>
      </c>
      <c r="G14314" s="18" t="str">
        <f>"94002"</f>
        <v>94002</v>
      </c>
      <c r="H14314" s="19" t="s">
        <v>31152</v>
      </c>
      <c r="I14314" s="20">
        <v>19.821000000000002</v>
      </c>
      <c r="J14314" s="44" t="s">
        <v>8</v>
      </c>
      <c r="K14314" s="23" t="s">
        <v>8</v>
      </c>
      <c r="L14314" s="23" t="s">
        <v>8</v>
      </c>
      <c r="M14314" s="23" t="s">
        <v>8</v>
      </c>
    </row>
    <row r="14315" spans="1:13" s="21" customFormat="1" x14ac:dyDescent="0.25">
      <c r="A14315" s="22" t="s">
        <v>8</v>
      </c>
      <c r="B14315" s="18" t="str">
        <f>"555658"</f>
        <v>555658</v>
      </c>
      <c r="C14315" s="19" t="s">
        <v>14052</v>
      </c>
      <c r="D14315" s="19" t="s">
        <v>29706</v>
      </c>
      <c r="E14315" s="19" t="s">
        <v>31224</v>
      </c>
      <c r="F14315" s="19" t="s">
        <v>35978</v>
      </c>
      <c r="G14315" s="18" t="str">
        <f>"93257"</f>
        <v>93257</v>
      </c>
      <c r="H14315" s="19" t="s">
        <v>31243</v>
      </c>
      <c r="I14315" s="20">
        <v>14.544</v>
      </c>
      <c r="J14315" s="44" t="s">
        <v>8</v>
      </c>
      <c r="K14315" s="23" t="s">
        <v>8</v>
      </c>
      <c r="L14315" s="23" t="s">
        <v>8</v>
      </c>
      <c r="M14315" s="23" t="s">
        <v>8</v>
      </c>
    </row>
    <row r="14316" spans="1:13" s="21" customFormat="1" x14ac:dyDescent="0.25">
      <c r="A14316" s="22" t="s">
        <v>8</v>
      </c>
      <c r="B14316" s="18" t="str">
        <f>"555659"</f>
        <v>555659</v>
      </c>
      <c r="C14316" s="19" t="s">
        <v>14053</v>
      </c>
      <c r="D14316" s="19" t="s">
        <v>29707</v>
      </c>
      <c r="E14316" s="19" t="s">
        <v>31118</v>
      </c>
      <c r="F14316" s="19" t="s">
        <v>35978</v>
      </c>
      <c r="G14316" s="18" t="str">
        <f>"92020"</f>
        <v>92020</v>
      </c>
      <c r="H14316" s="19" t="s">
        <v>31176</v>
      </c>
      <c r="I14316" s="20">
        <v>20.516999999999999</v>
      </c>
      <c r="J14316" s="44" t="s">
        <v>8</v>
      </c>
      <c r="K14316" s="23" t="s">
        <v>8</v>
      </c>
      <c r="L14316" s="23" t="s">
        <v>8</v>
      </c>
      <c r="M14316" s="23" t="s">
        <v>8</v>
      </c>
    </row>
    <row r="14317" spans="1:13" s="21" customFormat="1" x14ac:dyDescent="0.25">
      <c r="A14317" s="22" t="s">
        <v>8</v>
      </c>
      <c r="B14317" s="18" t="str">
        <f>"555660"</f>
        <v>555660</v>
      </c>
      <c r="C14317" s="19" t="s">
        <v>14054</v>
      </c>
      <c r="D14317" s="19" t="s">
        <v>29708</v>
      </c>
      <c r="E14317" s="19" t="s">
        <v>31146</v>
      </c>
      <c r="F14317" s="19" t="s">
        <v>35978</v>
      </c>
      <c r="G14317" s="18" t="str">
        <f>"94110"</f>
        <v>94110</v>
      </c>
      <c r="H14317" s="19" t="s">
        <v>31146</v>
      </c>
      <c r="I14317" s="20">
        <v>18.324000000000002</v>
      </c>
      <c r="J14317" s="44" t="s">
        <v>8</v>
      </c>
      <c r="K14317" s="23" t="s">
        <v>8</v>
      </c>
      <c r="L14317" s="23" t="s">
        <v>8</v>
      </c>
      <c r="M14317" s="23" t="s">
        <v>8</v>
      </c>
    </row>
    <row r="14318" spans="1:13" s="21" customFormat="1" x14ac:dyDescent="0.25">
      <c r="A14318" s="22" t="s">
        <v>8</v>
      </c>
      <c r="B14318" s="18" t="str">
        <f>"555663"</f>
        <v>555663</v>
      </c>
      <c r="C14318" s="19" t="s">
        <v>14055</v>
      </c>
      <c r="D14318" s="19" t="s">
        <v>29709</v>
      </c>
      <c r="E14318" s="19" t="s">
        <v>34667</v>
      </c>
      <c r="F14318" s="19" t="s">
        <v>35978</v>
      </c>
      <c r="G14318" s="18" t="str">
        <f>"93247"</f>
        <v>93247</v>
      </c>
      <c r="H14318" s="19" t="s">
        <v>31243</v>
      </c>
      <c r="I14318" s="20">
        <v>19.722000000000001</v>
      </c>
      <c r="J14318" s="44" t="s">
        <v>8</v>
      </c>
      <c r="K14318" s="23" t="s">
        <v>8</v>
      </c>
      <c r="L14318" s="23" t="s">
        <v>8</v>
      </c>
      <c r="M14318" s="23" t="s">
        <v>8</v>
      </c>
    </row>
    <row r="14319" spans="1:13" s="21" customFormat="1" x14ac:dyDescent="0.25">
      <c r="A14319" s="22" t="s">
        <v>8</v>
      </c>
      <c r="B14319" s="18" t="str">
        <f>"555664"</f>
        <v>555664</v>
      </c>
      <c r="C14319" s="19" t="s">
        <v>14056</v>
      </c>
      <c r="D14319" s="19" t="s">
        <v>29710</v>
      </c>
      <c r="E14319" s="19" t="s">
        <v>35762</v>
      </c>
      <c r="F14319" s="19" t="s">
        <v>35978</v>
      </c>
      <c r="G14319" s="18" t="str">
        <f>"91362"</f>
        <v>91362</v>
      </c>
      <c r="H14319" s="19" t="s">
        <v>31228</v>
      </c>
      <c r="I14319" s="20">
        <v>19.550999999999998</v>
      </c>
      <c r="J14319" s="44" t="s">
        <v>8</v>
      </c>
      <c r="K14319" s="23" t="s">
        <v>8</v>
      </c>
      <c r="L14319" s="23" t="s">
        <v>8</v>
      </c>
      <c r="M14319" s="23" t="s">
        <v>8</v>
      </c>
    </row>
    <row r="14320" spans="1:13" s="21" customFormat="1" x14ac:dyDescent="0.25">
      <c r="A14320" s="22" t="s">
        <v>8</v>
      </c>
      <c r="B14320" s="18" t="str">
        <f>"555667"</f>
        <v>555667</v>
      </c>
      <c r="C14320" s="19" t="s">
        <v>14057</v>
      </c>
      <c r="D14320" s="19" t="s">
        <v>29711</v>
      </c>
      <c r="E14320" s="19" t="s">
        <v>31232</v>
      </c>
      <c r="F14320" s="19" t="s">
        <v>35978</v>
      </c>
      <c r="G14320" s="18" t="str">
        <f>"92840"</f>
        <v>92840</v>
      </c>
      <c r="H14320" s="19" t="s">
        <v>31169</v>
      </c>
      <c r="I14320" s="20">
        <v>18.189</v>
      </c>
      <c r="J14320" s="44" t="s">
        <v>8</v>
      </c>
      <c r="K14320" s="23" t="s">
        <v>8</v>
      </c>
      <c r="L14320" s="23" t="s">
        <v>8</v>
      </c>
      <c r="M14320" s="23" t="s">
        <v>8</v>
      </c>
    </row>
    <row r="14321" spans="1:13" s="21" customFormat="1" x14ac:dyDescent="0.25">
      <c r="A14321" s="22" t="s">
        <v>8</v>
      </c>
      <c r="B14321" s="18" t="str">
        <f>"555668"</f>
        <v>555668</v>
      </c>
      <c r="C14321" s="19" t="s">
        <v>14058</v>
      </c>
      <c r="D14321" s="19" t="s">
        <v>29712</v>
      </c>
      <c r="E14321" s="19" t="s">
        <v>31181</v>
      </c>
      <c r="F14321" s="19" t="s">
        <v>35978</v>
      </c>
      <c r="G14321" s="18" t="str">
        <f>"90650"</f>
        <v>90650</v>
      </c>
      <c r="H14321" s="19" t="s">
        <v>31109</v>
      </c>
      <c r="I14321" s="20">
        <v>16.690000000000001</v>
      </c>
      <c r="J14321" s="44" t="s">
        <v>8</v>
      </c>
      <c r="K14321" s="23" t="s">
        <v>8</v>
      </c>
      <c r="L14321" s="23" t="s">
        <v>8</v>
      </c>
      <c r="M14321" s="23" t="s">
        <v>8</v>
      </c>
    </row>
    <row r="14322" spans="1:13" s="21" customFormat="1" x14ac:dyDescent="0.25">
      <c r="A14322" s="22" t="s">
        <v>8</v>
      </c>
      <c r="B14322" s="18" t="str">
        <f>"555671"</f>
        <v>555671</v>
      </c>
      <c r="C14322" s="19" t="s">
        <v>14059</v>
      </c>
      <c r="D14322" s="19" t="s">
        <v>29713</v>
      </c>
      <c r="E14322" s="19" t="s">
        <v>31229</v>
      </c>
      <c r="F14322" s="19" t="s">
        <v>35978</v>
      </c>
      <c r="G14322" s="18" t="str">
        <f>"92835"</f>
        <v>92835</v>
      </c>
      <c r="H14322" s="19" t="s">
        <v>31169</v>
      </c>
      <c r="I14322" s="20">
        <v>16.949000000000002</v>
      </c>
      <c r="J14322" s="44" t="s">
        <v>8</v>
      </c>
      <c r="K14322" s="23" t="s">
        <v>8</v>
      </c>
      <c r="L14322" s="23" t="s">
        <v>8</v>
      </c>
      <c r="M14322" s="23" t="s">
        <v>8</v>
      </c>
    </row>
    <row r="14323" spans="1:13" s="21" customFormat="1" x14ac:dyDescent="0.25">
      <c r="A14323" s="22" t="s">
        <v>8</v>
      </c>
      <c r="B14323" s="18" t="str">
        <f>"555673"</f>
        <v>555673</v>
      </c>
      <c r="C14323" s="19" t="s">
        <v>14060</v>
      </c>
      <c r="D14323" s="19" t="s">
        <v>29714</v>
      </c>
      <c r="E14323" s="19" t="s">
        <v>31180</v>
      </c>
      <c r="F14323" s="19" t="s">
        <v>35978</v>
      </c>
      <c r="G14323" s="18" t="str">
        <f>"95825"</f>
        <v>95825</v>
      </c>
      <c r="H14323" s="19" t="s">
        <v>31180</v>
      </c>
      <c r="I14323" s="20">
        <v>18.725999999999999</v>
      </c>
      <c r="J14323" s="44" t="s">
        <v>8</v>
      </c>
      <c r="K14323" s="23" t="s">
        <v>8</v>
      </c>
      <c r="L14323" s="23" t="s">
        <v>8</v>
      </c>
      <c r="M14323" s="23" t="s">
        <v>8</v>
      </c>
    </row>
    <row r="14324" spans="1:13" s="21" customFormat="1" x14ac:dyDescent="0.25">
      <c r="A14324" s="22" t="s">
        <v>8</v>
      </c>
      <c r="B14324" s="18" t="str">
        <f>"555677"</f>
        <v>555677</v>
      </c>
      <c r="C14324" s="19" t="s">
        <v>14061</v>
      </c>
      <c r="D14324" s="19" t="s">
        <v>29715</v>
      </c>
      <c r="E14324" s="19" t="s">
        <v>31312</v>
      </c>
      <c r="F14324" s="19" t="s">
        <v>35978</v>
      </c>
      <c r="G14324" s="18" t="str">
        <f>"90250"</f>
        <v>90250</v>
      </c>
      <c r="H14324" s="19" t="s">
        <v>31109</v>
      </c>
      <c r="I14324" s="20">
        <v>21.154</v>
      </c>
      <c r="J14324" s="44" t="s">
        <v>8</v>
      </c>
      <c r="K14324" s="23" t="s">
        <v>8</v>
      </c>
      <c r="L14324" s="23" t="s">
        <v>8</v>
      </c>
      <c r="M14324" s="23" t="s">
        <v>8</v>
      </c>
    </row>
    <row r="14325" spans="1:13" s="21" customFormat="1" x14ac:dyDescent="0.25">
      <c r="A14325" s="22" t="s">
        <v>8</v>
      </c>
      <c r="B14325" s="18" t="str">
        <f>"555682"</f>
        <v>555682</v>
      </c>
      <c r="C14325" s="19" t="s">
        <v>14062</v>
      </c>
      <c r="D14325" s="19" t="s">
        <v>29716</v>
      </c>
      <c r="E14325" s="19" t="s">
        <v>32618</v>
      </c>
      <c r="F14325" s="19" t="s">
        <v>35978</v>
      </c>
      <c r="G14325" s="18" t="str">
        <f>"95901"</f>
        <v>95901</v>
      </c>
      <c r="H14325" s="19" t="s">
        <v>36946</v>
      </c>
      <c r="I14325" s="20">
        <v>18.5</v>
      </c>
      <c r="J14325" s="44" t="s">
        <v>8</v>
      </c>
      <c r="K14325" s="23" t="s">
        <v>8</v>
      </c>
      <c r="L14325" s="23" t="s">
        <v>8</v>
      </c>
      <c r="M14325" s="23" t="s">
        <v>8</v>
      </c>
    </row>
    <row r="14326" spans="1:13" s="21" customFormat="1" x14ac:dyDescent="0.25">
      <c r="A14326" s="22" t="s">
        <v>8</v>
      </c>
      <c r="B14326" s="18" t="str">
        <f>"555684"</f>
        <v>555684</v>
      </c>
      <c r="C14326" s="19" t="s">
        <v>14063</v>
      </c>
      <c r="D14326" s="19" t="s">
        <v>29717</v>
      </c>
      <c r="E14326" s="19" t="s">
        <v>35740</v>
      </c>
      <c r="F14326" s="19" t="s">
        <v>35978</v>
      </c>
      <c r="G14326" s="18" t="str">
        <f>"94553"</f>
        <v>94553</v>
      </c>
      <c r="H14326" s="19" t="s">
        <v>36088</v>
      </c>
      <c r="I14326" s="20">
        <v>17.443999999999999</v>
      </c>
      <c r="J14326" s="44" t="s">
        <v>8</v>
      </c>
      <c r="K14326" s="23" t="s">
        <v>8</v>
      </c>
      <c r="L14326" s="23" t="s">
        <v>8</v>
      </c>
      <c r="M14326" s="23" t="s">
        <v>8</v>
      </c>
    </row>
    <row r="14327" spans="1:13" s="21" customFormat="1" x14ac:dyDescent="0.25">
      <c r="A14327" s="22" t="s">
        <v>8</v>
      </c>
      <c r="B14327" s="18" t="str">
        <f>"555686"</f>
        <v>555686</v>
      </c>
      <c r="C14327" s="19" t="s">
        <v>14064</v>
      </c>
      <c r="D14327" s="19" t="s">
        <v>29718</v>
      </c>
      <c r="E14327" s="19" t="s">
        <v>35763</v>
      </c>
      <c r="F14327" s="19" t="s">
        <v>35978</v>
      </c>
      <c r="G14327" s="18" t="str">
        <f>"91604"</f>
        <v>91604</v>
      </c>
      <c r="H14327" s="19" t="s">
        <v>31109</v>
      </c>
      <c r="I14327" s="20">
        <v>18.823</v>
      </c>
      <c r="J14327" s="44" t="s">
        <v>8</v>
      </c>
      <c r="K14327" s="23" t="s">
        <v>8</v>
      </c>
      <c r="L14327" s="23" t="s">
        <v>8</v>
      </c>
      <c r="M14327" s="23" t="s">
        <v>8</v>
      </c>
    </row>
    <row r="14328" spans="1:13" s="21" customFormat="1" x14ac:dyDescent="0.25">
      <c r="A14328" s="22" t="s">
        <v>8</v>
      </c>
      <c r="B14328" s="18" t="str">
        <f>"555688"</f>
        <v>555688</v>
      </c>
      <c r="C14328" s="19" t="s">
        <v>14065</v>
      </c>
      <c r="D14328" s="19" t="s">
        <v>29719</v>
      </c>
      <c r="E14328" s="19" t="s">
        <v>31207</v>
      </c>
      <c r="F14328" s="19" t="s">
        <v>35978</v>
      </c>
      <c r="G14328" s="18" t="str">
        <f>"92804"</f>
        <v>92804</v>
      </c>
      <c r="H14328" s="19" t="s">
        <v>31169</v>
      </c>
      <c r="I14328" s="20">
        <v>17.861000000000001</v>
      </c>
      <c r="J14328" s="44" t="s">
        <v>8</v>
      </c>
      <c r="K14328" s="23" t="s">
        <v>8</v>
      </c>
      <c r="L14328" s="23" t="s">
        <v>8</v>
      </c>
      <c r="M14328" s="23" t="s">
        <v>8</v>
      </c>
    </row>
    <row r="14329" spans="1:13" s="21" customFormat="1" x14ac:dyDescent="0.25">
      <c r="A14329" s="22" t="s">
        <v>8</v>
      </c>
      <c r="B14329" s="18" t="str">
        <f>"555690"</f>
        <v>555690</v>
      </c>
      <c r="C14329" s="19" t="s">
        <v>14066</v>
      </c>
      <c r="D14329" s="19" t="s">
        <v>29720</v>
      </c>
      <c r="E14329" s="19" t="s">
        <v>31294</v>
      </c>
      <c r="F14329" s="19" t="s">
        <v>35978</v>
      </c>
      <c r="G14329" s="18" t="str">
        <f>"91506"</f>
        <v>91506</v>
      </c>
      <c r="H14329" s="19" t="s">
        <v>31109</v>
      </c>
      <c r="I14329" s="20">
        <v>18.686</v>
      </c>
      <c r="J14329" s="44" t="s">
        <v>8</v>
      </c>
      <c r="K14329" s="23" t="s">
        <v>8</v>
      </c>
      <c r="L14329" s="23" t="s">
        <v>8</v>
      </c>
      <c r="M14329" s="23" t="s">
        <v>8</v>
      </c>
    </row>
    <row r="14330" spans="1:13" s="21" customFormat="1" x14ac:dyDescent="0.25">
      <c r="A14330" s="22" t="s">
        <v>8</v>
      </c>
      <c r="B14330" s="18" t="str">
        <f>"555692"</f>
        <v>555692</v>
      </c>
      <c r="C14330" s="19" t="s">
        <v>14067</v>
      </c>
      <c r="D14330" s="19" t="s">
        <v>29721</v>
      </c>
      <c r="E14330" s="19" t="s">
        <v>31110</v>
      </c>
      <c r="F14330" s="19" t="s">
        <v>35978</v>
      </c>
      <c r="G14330" s="18" t="str">
        <f>"95202"</f>
        <v>95202</v>
      </c>
      <c r="H14330" s="19" t="s">
        <v>36087</v>
      </c>
      <c r="I14330" s="20">
        <v>17.963000000000001</v>
      </c>
      <c r="J14330" s="44" t="s">
        <v>8</v>
      </c>
      <c r="K14330" s="23" t="s">
        <v>8</v>
      </c>
      <c r="L14330" s="23" t="s">
        <v>8</v>
      </c>
      <c r="M14330" s="23" t="s">
        <v>8</v>
      </c>
    </row>
    <row r="14331" spans="1:13" s="21" customFormat="1" x14ac:dyDescent="0.25">
      <c r="A14331" s="22" t="s">
        <v>8</v>
      </c>
      <c r="B14331" s="18" t="str">
        <f>"555694"</f>
        <v>555694</v>
      </c>
      <c r="C14331" s="19" t="s">
        <v>14068</v>
      </c>
      <c r="D14331" s="19" t="s">
        <v>29722</v>
      </c>
      <c r="E14331" s="19" t="s">
        <v>31186</v>
      </c>
      <c r="F14331" s="19" t="s">
        <v>35978</v>
      </c>
      <c r="G14331" s="18" t="str">
        <f>"94901"</f>
        <v>94901</v>
      </c>
      <c r="H14331" s="19" t="s">
        <v>36090</v>
      </c>
      <c r="I14331" s="20">
        <v>18.204999999999998</v>
      </c>
      <c r="J14331" s="44" t="s">
        <v>8</v>
      </c>
      <c r="K14331" s="23" t="s">
        <v>8</v>
      </c>
      <c r="L14331" s="23" t="s">
        <v>8</v>
      </c>
      <c r="M14331" s="23" t="s">
        <v>8</v>
      </c>
    </row>
    <row r="14332" spans="1:13" s="21" customFormat="1" x14ac:dyDescent="0.25">
      <c r="A14332" s="22" t="s">
        <v>8</v>
      </c>
      <c r="B14332" s="18" t="str">
        <f>"555698"</f>
        <v>555698</v>
      </c>
      <c r="C14332" s="19" t="s">
        <v>14069</v>
      </c>
      <c r="D14332" s="19" t="s">
        <v>29723</v>
      </c>
      <c r="E14332" s="19" t="s">
        <v>35764</v>
      </c>
      <c r="F14332" s="19" t="s">
        <v>35978</v>
      </c>
      <c r="G14332" s="18" t="str">
        <f>"96150"</f>
        <v>96150</v>
      </c>
      <c r="H14332" s="19" t="s">
        <v>31015</v>
      </c>
      <c r="I14332" s="20">
        <v>19.908999999999999</v>
      </c>
      <c r="J14332" s="44" t="s">
        <v>8</v>
      </c>
      <c r="K14332" s="23" t="s">
        <v>8</v>
      </c>
      <c r="L14332" s="23" t="s">
        <v>8</v>
      </c>
      <c r="M14332" s="23" t="s">
        <v>8</v>
      </c>
    </row>
    <row r="14333" spans="1:13" s="21" customFormat="1" x14ac:dyDescent="0.25">
      <c r="A14333" s="22" t="s">
        <v>8</v>
      </c>
      <c r="B14333" s="18" t="str">
        <f>"555700"</f>
        <v>555700</v>
      </c>
      <c r="C14333" s="19" t="s">
        <v>14070</v>
      </c>
      <c r="D14333" s="19" t="s">
        <v>29724</v>
      </c>
      <c r="E14333" s="19" t="s">
        <v>31109</v>
      </c>
      <c r="F14333" s="19" t="s">
        <v>35978</v>
      </c>
      <c r="G14333" s="18" t="str">
        <f>"90048"</f>
        <v>90048</v>
      </c>
      <c r="H14333" s="19" t="s">
        <v>31109</v>
      </c>
      <c r="I14333" s="20">
        <v>18.747</v>
      </c>
      <c r="J14333" s="44" t="s">
        <v>8</v>
      </c>
      <c r="K14333" s="23" t="s">
        <v>8</v>
      </c>
      <c r="L14333" s="23" t="s">
        <v>8</v>
      </c>
      <c r="M14333" s="23" t="s">
        <v>8</v>
      </c>
    </row>
    <row r="14334" spans="1:13" s="21" customFormat="1" x14ac:dyDescent="0.25">
      <c r="A14334" s="22" t="s">
        <v>8</v>
      </c>
      <c r="B14334" s="18" t="str">
        <f>"555701"</f>
        <v>555701</v>
      </c>
      <c r="C14334" s="19" t="s">
        <v>14071</v>
      </c>
      <c r="D14334" s="19" t="s">
        <v>29725</v>
      </c>
      <c r="E14334" s="19" t="s">
        <v>35765</v>
      </c>
      <c r="F14334" s="19" t="s">
        <v>35978</v>
      </c>
      <c r="G14334" s="18" t="str">
        <f>"93063"</f>
        <v>93063</v>
      </c>
      <c r="H14334" s="19" t="s">
        <v>31228</v>
      </c>
      <c r="I14334" s="20">
        <v>21.55</v>
      </c>
      <c r="J14334" s="44" t="s">
        <v>8</v>
      </c>
      <c r="K14334" s="23" t="s">
        <v>8</v>
      </c>
      <c r="L14334" s="23" t="s">
        <v>8</v>
      </c>
      <c r="M14334" s="23" t="s">
        <v>8</v>
      </c>
    </row>
    <row r="14335" spans="1:13" s="21" customFormat="1" x14ac:dyDescent="0.25">
      <c r="A14335" s="22" t="s">
        <v>8</v>
      </c>
      <c r="B14335" s="18" t="str">
        <f>"555702"</f>
        <v>555702</v>
      </c>
      <c r="C14335" s="19" t="s">
        <v>14072</v>
      </c>
      <c r="D14335" s="19" t="s">
        <v>29726</v>
      </c>
      <c r="E14335" s="19" t="s">
        <v>31236</v>
      </c>
      <c r="F14335" s="19" t="s">
        <v>35978</v>
      </c>
      <c r="G14335" s="18" t="str">
        <f>"93301"</f>
        <v>93301</v>
      </c>
      <c r="H14335" s="19" t="s">
        <v>36098</v>
      </c>
      <c r="I14335" s="20">
        <v>20.457000000000001</v>
      </c>
      <c r="J14335" s="44" t="s">
        <v>8</v>
      </c>
      <c r="K14335" s="23" t="s">
        <v>8</v>
      </c>
      <c r="L14335" s="23" t="s">
        <v>8</v>
      </c>
      <c r="M14335" s="23" t="s">
        <v>8</v>
      </c>
    </row>
    <row r="14336" spans="1:13" s="21" customFormat="1" x14ac:dyDescent="0.25">
      <c r="A14336" s="22" t="s">
        <v>8</v>
      </c>
      <c r="B14336" s="18" t="str">
        <f>"555703"</f>
        <v>555703</v>
      </c>
      <c r="C14336" s="19" t="s">
        <v>14073</v>
      </c>
      <c r="D14336" s="19" t="s">
        <v>29727</v>
      </c>
      <c r="E14336" s="19" t="s">
        <v>31284</v>
      </c>
      <c r="F14336" s="19" t="s">
        <v>35978</v>
      </c>
      <c r="G14336" s="18" t="str">
        <f>"94952"</f>
        <v>94952</v>
      </c>
      <c r="H14336" s="19" t="s">
        <v>31174</v>
      </c>
      <c r="I14336" s="20">
        <v>17.427</v>
      </c>
      <c r="J14336" s="44" t="s">
        <v>8</v>
      </c>
      <c r="K14336" s="23" t="s">
        <v>8</v>
      </c>
      <c r="L14336" s="23" t="s">
        <v>8</v>
      </c>
      <c r="M14336" s="23" t="s">
        <v>8</v>
      </c>
    </row>
    <row r="14337" spans="1:13" s="21" customFormat="1" x14ac:dyDescent="0.25">
      <c r="A14337" s="22" t="s">
        <v>8</v>
      </c>
      <c r="B14337" s="18" t="str">
        <f>"555706"</f>
        <v>555706</v>
      </c>
      <c r="C14337" s="19" t="s">
        <v>14074</v>
      </c>
      <c r="D14337" s="19" t="s">
        <v>29728</v>
      </c>
      <c r="E14337" s="19" t="s">
        <v>31108</v>
      </c>
      <c r="F14337" s="19" t="s">
        <v>35978</v>
      </c>
      <c r="G14337" s="18" t="str">
        <f>"90505"</f>
        <v>90505</v>
      </c>
      <c r="H14337" s="19" t="s">
        <v>31109</v>
      </c>
      <c r="I14337" s="20">
        <v>20.026</v>
      </c>
      <c r="J14337" s="44" t="s">
        <v>8</v>
      </c>
      <c r="K14337" s="23" t="s">
        <v>8</v>
      </c>
      <c r="L14337" s="23" t="s">
        <v>8</v>
      </c>
      <c r="M14337" s="23" t="s">
        <v>8</v>
      </c>
    </row>
    <row r="14338" spans="1:13" s="21" customFormat="1" x14ac:dyDescent="0.25">
      <c r="A14338" s="22" t="s">
        <v>8</v>
      </c>
      <c r="B14338" s="18" t="str">
        <f>"555707"</f>
        <v>555707</v>
      </c>
      <c r="C14338" s="19" t="s">
        <v>8123</v>
      </c>
      <c r="D14338" s="19" t="s">
        <v>29729</v>
      </c>
      <c r="E14338" s="19" t="s">
        <v>35763</v>
      </c>
      <c r="F14338" s="19" t="s">
        <v>35978</v>
      </c>
      <c r="G14338" s="18" t="str">
        <f>"91604"</f>
        <v>91604</v>
      </c>
      <c r="H14338" s="19" t="s">
        <v>31109</v>
      </c>
      <c r="I14338" s="20">
        <v>23.942</v>
      </c>
      <c r="J14338" s="44" t="s">
        <v>8</v>
      </c>
      <c r="K14338" s="23" t="s">
        <v>8</v>
      </c>
      <c r="L14338" s="23" t="s">
        <v>8</v>
      </c>
      <c r="M14338" s="23" t="s">
        <v>8</v>
      </c>
    </row>
    <row r="14339" spans="1:13" s="21" customFormat="1" x14ac:dyDescent="0.25">
      <c r="A14339" s="22" t="s">
        <v>8</v>
      </c>
      <c r="B14339" s="18" t="str">
        <f>"555709"</f>
        <v>555709</v>
      </c>
      <c r="C14339" s="19" t="s">
        <v>14075</v>
      </c>
      <c r="D14339" s="19" t="s">
        <v>29730</v>
      </c>
      <c r="E14339" s="19" t="s">
        <v>31169</v>
      </c>
      <c r="F14339" s="19" t="s">
        <v>35978</v>
      </c>
      <c r="G14339" s="18" t="str">
        <f>"92869"</f>
        <v>92869</v>
      </c>
      <c r="H14339" s="19" t="s">
        <v>31169</v>
      </c>
      <c r="I14339" s="20">
        <v>18.789000000000001</v>
      </c>
      <c r="J14339" s="44" t="s">
        <v>8</v>
      </c>
      <c r="K14339" s="23" t="s">
        <v>8</v>
      </c>
      <c r="L14339" s="23" t="s">
        <v>8</v>
      </c>
      <c r="M14339" s="23" t="s">
        <v>8</v>
      </c>
    </row>
    <row r="14340" spans="1:13" s="21" customFormat="1" x14ac:dyDescent="0.25">
      <c r="A14340" s="22" t="s">
        <v>8</v>
      </c>
      <c r="B14340" s="18" t="str">
        <f>"555710"</f>
        <v>555710</v>
      </c>
      <c r="C14340" s="19" t="s">
        <v>14076</v>
      </c>
      <c r="D14340" s="19" t="s">
        <v>29731</v>
      </c>
      <c r="E14340" s="19" t="s">
        <v>31304</v>
      </c>
      <c r="F14340" s="19" t="s">
        <v>35978</v>
      </c>
      <c r="G14340" s="18" t="str">
        <f>"94595"</f>
        <v>94595</v>
      </c>
      <c r="H14340" s="19" t="s">
        <v>36088</v>
      </c>
      <c r="I14340" s="20">
        <v>18.797999999999998</v>
      </c>
      <c r="J14340" s="44" t="s">
        <v>8</v>
      </c>
      <c r="K14340" s="23" t="s">
        <v>8</v>
      </c>
      <c r="L14340" s="23" t="s">
        <v>8</v>
      </c>
      <c r="M14340" s="23" t="s">
        <v>8</v>
      </c>
    </row>
    <row r="14341" spans="1:13" s="21" customFormat="1" x14ac:dyDescent="0.25">
      <c r="A14341" s="22" t="s">
        <v>8</v>
      </c>
      <c r="B14341" s="18" t="str">
        <f>"555711"</f>
        <v>555711</v>
      </c>
      <c r="C14341" s="19" t="s">
        <v>14077</v>
      </c>
      <c r="D14341" s="19" t="s">
        <v>29732</v>
      </c>
      <c r="E14341" s="19" t="s">
        <v>31112</v>
      </c>
      <c r="F14341" s="19" t="s">
        <v>35978</v>
      </c>
      <c r="G14341" s="18" t="str">
        <f>"92501"</f>
        <v>92501</v>
      </c>
      <c r="H14341" s="19" t="s">
        <v>31112</v>
      </c>
      <c r="I14341" s="20">
        <v>19.474</v>
      </c>
      <c r="J14341" s="44" t="s">
        <v>8</v>
      </c>
      <c r="K14341" s="23" t="s">
        <v>8</v>
      </c>
      <c r="L14341" s="23" t="s">
        <v>8</v>
      </c>
      <c r="M14341" s="23" t="s">
        <v>8</v>
      </c>
    </row>
    <row r="14342" spans="1:13" s="21" customFormat="1" x14ac:dyDescent="0.25">
      <c r="A14342" s="22" t="s">
        <v>8</v>
      </c>
      <c r="B14342" s="18" t="str">
        <f>"555712"</f>
        <v>555712</v>
      </c>
      <c r="C14342" s="19" t="s">
        <v>14078</v>
      </c>
      <c r="D14342" s="19" t="s">
        <v>29733</v>
      </c>
      <c r="E14342" s="19" t="s">
        <v>31282</v>
      </c>
      <c r="F14342" s="19" t="s">
        <v>35978</v>
      </c>
      <c r="G14342" s="18" t="str">
        <f>"95037"</f>
        <v>95037</v>
      </c>
      <c r="H14342" s="19" t="s">
        <v>31241</v>
      </c>
      <c r="I14342" s="20">
        <v>18.173999999999999</v>
      </c>
      <c r="J14342" s="44" t="s">
        <v>8</v>
      </c>
      <c r="K14342" s="23" t="s">
        <v>8</v>
      </c>
      <c r="L14342" s="23" t="s">
        <v>8</v>
      </c>
      <c r="M14342" s="23" t="s">
        <v>8</v>
      </c>
    </row>
    <row r="14343" spans="1:13" s="21" customFormat="1" x14ac:dyDescent="0.25">
      <c r="A14343" s="22" t="s">
        <v>8</v>
      </c>
      <c r="B14343" s="18" t="str">
        <f>"555713"</f>
        <v>555713</v>
      </c>
      <c r="C14343" s="19" t="s">
        <v>14079</v>
      </c>
      <c r="D14343" s="19" t="s">
        <v>29734</v>
      </c>
      <c r="E14343" s="19" t="s">
        <v>31110</v>
      </c>
      <c r="F14343" s="19" t="s">
        <v>35978</v>
      </c>
      <c r="G14343" s="18" t="str">
        <f>"95209"</f>
        <v>95209</v>
      </c>
      <c r="H14343" s="19" t="s">
        <v>36087</v>
      </c>
      <c r="I14343" s="20">
        <v>17.488</v>
      </c>
      <c r="J14343" s="44" t="s">
        <v>8</v>
      </c>
      <c r="K14343" s="23" t="s">
        <v>8</v>
      </c>
      <c r="L14343" s="23" t="s">
        <v>8</v>
      </c>
      <c r="M14343" s="23" t="s">
        <v>8</v>
      </c>
    </row>
    <row r="14344" spans="1:13" s="21" customFormat="1" x14ac:dyDescent="0.25">
      <c r="A14344" s="22" t="s">
        <v>8</v>
      </c>
      <c r="B14344" s="18" t="str">
        <f>"555715"</f>
        <v>555715</v>
      </c>
      <c r="C14344" s="19" t="s">
        <v>14080</v>
      </c>
      <c r="D14344" s="19" t="s">
        <v>29735</v>
      </c>
      <c r="E14344" s="19" t="s">
        <v>31113</v>
      </c>
      <c r="F14344" s="19" t="s">
        <v>35978</v>
      </c>
      <c r="G14344" s="18" t="str">
        <f>"90660"</f>
        <v>90660</v>
      </c>
      <c r="H14344" s="19" t="s">
        <v>31109</v>
      </c>
      <c r="I14344" s="20">
        <v>17.927</v>
      </c>
      <c r="J14344" s="44" t="s">
        <v>8</v>
      </c>
      <c r="K14344" s="23" t="s">
        <v>8</v>
      </c>
      <c r="L14344" s="23" t="s">
        <v>8</v>
      </c>
      <c r="M14344" s="23" t="s">
        <v>8</v>
      </c>
    </row>
    <row r="14345" spans="1:13" s="21" customFormat="1" x14ac:dyDescent="0.25">
      <c r="A14345" s="22" t="s">
        <v>8</v>
      </c>
      <c r="B14345" s="18" t="str">
        <f>"555716"</f>
        <v>555716</v>
      </c>
      <c r="C14345" s="19" t="s">
        <v>14081</v>
      </c>
      <c r="D14345" s="19" t="s">
        <v>29736</v>
      </c>
      <c r="E14345" s="19" t="s">
        <v>31102</v>
      </c>
      <c r="F14345" s="19" t="s">
        <v>35978</v>
      </c>
      <c r="G14345" s="18" t="str">
        <f>"91335"</f>
        <v>91335</v>
      </c>
      <c r="H14345" s="19" t="s">
        <v>31109</v>
      </c>
      <c r="I14345" s="20">
        <v>21.388000000000002</v>
      </c>
      <c r="J14345" s="44" t="s">
        <v>8</v>
      </c>
      <c r="K14345" s="23" t="s">
        <v>8</v>
      </c>
      <c r="L14345" s="23" t="s">
        <v>8</v>
      </c>
      <c r="M14345" s="23" t="s">
        <v>8</v>
      </c>
    </row>
    <row r="14346" spans="1:13" s="21" customFormat="1" x14ac:dyDescent="0.25">
      <c r="A14346" s="22" t="s">
        <v>8</v>
      </c>
      <c r="B14346" s="18" t="str">
        <f>"555717"</f>
        <v>555717</v>
      </c>
      <c r="C14346" s="19" t="s">
        <v>14082</v>
      </c>
      <c r="D14346" s="19" t="s">
        <v>29737</v>
      </c>
      <c r="E14346" s="19" t="s">
        <v>31180</v>
      </c>
      <c r="F14346" s="19" t="s">
        <v>35978</v>
      </c>
      <c r="G14346" s="18" t="str">
        <f>"95838"</f>
        <v>95838</v>
      </c>
      <c r="H14346" s="19" t="s">
        <v>31180</v>
      </c>
      <c r="I14346" s="20">
        <v>19.015000000000001</v>
      </c>
      <c r="J14346" s="44" t="s">
        <v>8</v>
      </c>
      <c r="K14346" s="23" t="s">
        <v>8</v>
      </c>
      <c r="L14346" s="23" t="s">
        <v>8</v>
      </c>
      <c r="M14346" s="23" t="s">
        <v>8</v>
      </c>
    </row>
    <row r="14347" spans="1:13" s="21" customFormat="1" x14ac:dyDescent="0.25">
      <c r="A14347" s="22" t="s">
        <v>8</v>
      </c>
      <c r="B14347" s="18" t="str">
        <f>"555718"</f>
        <v>555718</v>
      </c>
      <c r="C14347" s="19" t="s">
        <v>14083</v>
      </c>
      <c r="D14347" s="19" t="s">
        <v>29738</v>
      </c>
      <c r="E14347" s="19" t="s">
        <v>32438</v>
      </c>
      <c r="F14347" s="19" t="s">
        <v>35978</v>
      </c>
      <c r="G14347" s="18" t="str">
        <f>"90680"</f>
        <v>90680</v>
      </c>
      <c r="H14347" s="19" t="s">
        <v>31169</v>
      </c>
      <c r="I14347" s="20">
        <v>17.855</v>
      </c>
      <c r="J14347" s="44" t="s">
        <v>8</v>
      </c>
      <c r="K14347" s="23" t="s">
        <v>8</v>
      </c>
      <c r="L14347" s="23" t="s">
        <v>8</v>
      </c>
      <c r="M14347" s="23" t="s">
        <v>8</v>
      </c>
    </row>
    <row r="14348" spans="1:13" s="21" customFormat="1" x14ac:dyDescent="0.25">
      <c r="A14348" s="22" t="s">
        <v>8</v>
      </c>
      <c r="B14348" s="18" t="str">
        <f>"555719"</f>
        <v>555719</v>
      </c>
      <c r="C14348" s="19" t="s">
        <v>14084</v>
      </c>
      <c r="D14348" s="19" t="s">
        <v>29739</v>
      </c>
      <c r="E14348" s="19" t="s">
        <v>31312</v>
      </c>
      <c r="F14348" s="19" t="s">
        <v>35978</v>
      </c>
      <c r="G14348" s="18" t="str">
        <f>"90250"</f>
        <v>90250</v>
      </c>
      <c r="H14348" s="19" t="s">
        <v>31109</v>
      </c>
      <c r="I14348" s="20">
        <v>20.088000000000001</v>
      </c>
      <c r="J14348" s="44" t="s">
        <v>8</v>
      </c>
      <c r="K14348" s="23" t="s">
        <v>8</v>
      </c>
      <c r="L14348" s="23" t="s">
        <v>8</v>
      </c>
      <c r="M14348" s="23" t="s">
        <v>8</v>
      </c>
    </row>
    <row r="14349" spans="1:13" s="21" customFormat="1" x14ac:dyDescent="0.25">
      <c r="A14349" s="22" t="s">
        <v>8</v>
      </c>
      <c r="B14349" s="18" t="str">
        <f>"555723"</f>
        <v>555723</v>
      </c>
      <c r="C14349" s="19" t="s">
        <v>14085</v>
      </c>
      <c r="D14349" s="19" t="s">
        <v>29740</v>
      </c>
      <c r="E14349" s="19" t="s">
        <v>35735</v>
      </c>
      <c r="F14349" s="19" t="s">
        <v>35978</v>
      </c>
      <c r="G14349" s="18" t="str">
        <f>"92084"</f>
        <v>92084</v>
      </c>
      <c r="H14349" s="19" t="s">
        <v>31176</v>
      </c>
      <c r="I14349" s="20">
        <v>16.283000000000001</v>
      </c>
      <c r="J14349" s="44" t="s">
        <v>8</v>
      </c>
      <c r="K14349" s="23" t="s">
        <v>8</v>
      </c>
      <c r="L14349" s="23" t="s">
        <v>8</v>
      </c>
      <c r="M14349" s="23" t="s">
        <v>8</v>
      </c>
    </row>
    <row r="14350" spans="1:13" s="21" customFormat="1" x14ac:dyDescent="0.25">
      <c r="A14350" s="22" t="s">
        <v>8</v>
      </c>
      <c r="B14350" s="18" t="str">
        <f>"555726"</f>
        <v>555726</v>
      </c>
      <c r="C14350" s="19" t="s">
        <v>14086</v>
      </c>
      <c r="D14350" s="19" t="s">
        <v>29741</v>
      </c>
      <c r="E14350" s="19" t="s">
        <v>31109</v>
      </c>
      <c r="F14350" s="19" t="s">
        <v>35978</v>
      </c>
      <c r="G14350" s="18" t="str">
        <f>"90066"</f>
        <v>90066</v>
      </c>
      <c r="H14350" s="19" t="s">
        <v>31109</v>
      </c>
      <c r="I14350" s="20">
        <v>19.802</v>
      </c>
      <c r="J14350" s="44" t="s">
        <v>8</v>
      </c>
      <c r="K14350" s="23" t="s">
        <v>8</v>
      </c>
      <c r="L14350" s="23" t="s">
        <v>8</v>
      </c>
      <c r="M14350" s="23" t="s">
        <v>8</v>
      </c>
    </row>
    <row r="14351" spans="1:13" s="21" customFormat="1" x14ac:dyDescent="0.25">
      <c r="A14351" s="22" t="s">
        <v>8</v>
      </c>
      <c r="B14351" s="18" t="str">
        <f>"555727"</f>
        <v>555727</v>
      </c>
      <c r="C14351" s="19" t="s">
        <v>14087</v>
      </c>
      <c r="D14351" s="19" t="s">
        <v>29742</v>
      </c>
      <c r="E14351" s="19" t="s">
        <v>31103</v>
      </c>
      <c r="F14351" s="19" t="s">
        <v>35978</v>
      </c>
      <c r="G14351" s="18" t="str">
        <f>"94533"</f>
        <v>94533</v>
      </c>
      <c r="H14351" s="19" t="s">
        <v>36086</v>
      </c>
      <c r="I14351" s="20">
        <v>18.433</v>
      </c>
      <c r="J14351" s="44" t="s">
        <v>8</v>
      </c>
      <c r="K14351" s="23" t="s">
        <v>8</v>
      </c>
      <c r="L14351" s="23" t="s">
        <v>8</v>
      </c>
      <c r="M14351" s="23" t="s">
        <v>8</v>
      </c>
    </row>
    <row r="14352" spans="1:13" s="21" customFormat="1" x14ac:dyDescent="0.25">
      <c r="A14352" s="22" t="s">
        <v>8</v>
      </c>
      <c r="B14352" s="18" t="str">
        <f>"555728"</f>
        <v>555728</v>
      </c>
      <c r="C14352" s="19" t="s">
        <v>14088</v>
      </c>
      <c r="D14352" s="19" t="s">
        <v>29743</v>
      </c>
      <c r="E14352" s="19" t="s">
        <v>31146</v>
      </c>
      <c r="F14352" s="19" t="s">
        <v>35978</v>
      </c>
      <c r="G14352" s="18" t="str">
        <f>"94109"</f>
        <v>94109</v>
      </c>
      <c r="H14352" s="19" t="s">
        <v>31146</v>
      </c>
      <c r="I14352" s="20">
        <v>19.199000000000002</v>
      </c>
      <c r="J14352" s="44" t="s">
        <v>8</v>
      </c>
      <c r="K14352" s="23" t="s">
        <v>8</v>
      </c>
      <c r="L14352" s="23" t="s">
        <v>8</v>
      </c>
      <c r="M14352" s="23" t="s">
        <v>8</v>
      </c>
    </row>
    <row r="14353" spans="1:13" s="21" customFormat="1" x14ac:dyDescent="0.25">
      <c r="A14353" s="22" t="s">
        <v>8</v>
      </c>
      <c r="B14353" s="18" t="str">
        <f>"555729"</f>
        <v>555729</v>
      </c>
      <c r="C14353" s="19" t="s">
        <v>14089</v>
      </c>
      <c r="D14353" s="19" t="s">
        <v>29744</v>
      </c>
      <c r="E14353" s="19" t="s">
        <v>31196</v>
      </c>
      <c r="F14353" s="19" t="s">
        <v>35978</v>
      </c>
      <c r="G14353" s="18" t="str">
        <f>"91006"</f>
        <v>91006</v>
      </c>
      <c r="H14353" s="19" t="s">
        <v>31109</v>
      </c>
      <c r="I14353" s="20">
        <v>17.245999999999999</v>
      </c>
      <c r="J14353" s="44" t="s">
        <v>8</v>
      </c>
      <c r="K14353" s="23" t="s">
        <v>8</v>
      </c>
      <c r="L14353" s="23" t="s">
        <v>8</v>
      </c>
      <c r="M14353" s="23" t="s">
        <v>8</v>
      </c>
    </row>
    <row r="14354" spans="1:13" s="21" customFormat="1" x14ac:dyDescent="0.25">
      <c r="A14354" s="22" t="s">
        <v>8</v>
      </c>
      <c r="B14354" s="18" t="str">
        <f>"555732"</f>
        <v>555732</v>
      </c>
      <c r="C14354" s="19" t="s">
        <v>14090</v>
      </c>
      <c r="D14354" s="19" t="s">
        <v>29745</v>
      </c>
      <c r="E14354" s="19" t="s">
        <v>35766</v>
      </c>
      <c r="F14354" s="19" t="s">
        <v>35978</v>
      </c>
      <c r="G14354" s="18" t="str">
        <f>"90222"</f>
        <v>90222</v>
      </c>
      <c r="H14354" s="19" t="s">
        <v>31109</v>
      </c>
      <c r="I14354" s="20">
        <v>18.048999999999999</v>
      </c>
      <c r="J14354" s="44" t="s">
        <v>8</v>
      </c>
      <c r="K14354" s="23" t="s">
        <v>8</v>
      </c>
      <c r="L14354" s="23" t="s">
        <v>8</v>
      </c>
      <c r="M14354" s="23" t="s">
        <v>8</v>
      </c>
    </row>
    <row r="14355" spans="1:13" s="21" customFormat="1" x14ac:dyDescent="0.25">
      <c r="A14355" s="22" t="s">
        <v>8</v>
      </c>
      <c r="B14355" s="18" t="str">
        <f>"555733"</f>
        <v>555733</v>
      </c>
      <c r="C14355" s="19" t="s">
        <v>14091</v>
      </c>
      <c r="D14355" s="19" t="s">
        <v>29746</v>
      </c>
      <c r="E14355" s="19" t="s">
        <v>31229</v>
      </c>
      <c r="F14355" s="19" t="s">
        <v>35978</v>
      </c>
      <c r="G14355" s="18" t="str">
        <f>"92835"</f>
        <v>92835</v>
      </c>
      <c r="H14355" s="19" t="s">
        <v>31169</v>
      </c>
      <c r="I14355" s="20">
        <v>16.271000000000001</v>
      </c>
      <c r="J14355" s="44" t="s">
        <v>8</v>
      </c>
      <c r="K14355" s="23" t="s">
        <v>8</v>
      </c>
      <c r="L14355" s="23" t="s">
        <v>8</v>
      </c>
      <c r="M14355" s="23" t="s">
        <v>8</v>
      </c>
    </row>
    <row r="14356" spans="1:13" s="21" customFormat="1" x14ac:dyDescent="0.25">
      <c r="A14356" s="22" t="s">
        <v>8</v>
      </c>
      <c r="B14356" s="18" t="str">
        <f>"555735"</f>
        <v>555735</v>
      </c>
      <c r="C14356" s="19" t="s">
        <v>14092</v>
      </c>
      <c r="D14356" s="19" t="s">
        <v>29747</v>
      </c>
      <c r="E14356" s="19" t="s">
        <v>31178</v>
      </c>
      <c r="F14356" s="19" t="s">
        <v>35978</v>
      </c>
      <c r="G14356" s="18" t="str">
        <f>"94804"</f>
        <v>94804</v>
      </c>
      <c r="H14356" s="19" t="s">
        <v>36088</v>
      </c>
      <c r="I14356" s="20">
        <v>17.923999999999999</v>
      </c>
      <c r="J14356" s="44" t="s">
        <v>8</v>
      </c>
      <c r="K14356" s="23" t="s">
        <v>8</v>
      </c>
      <c r="L14356" s="23" t="s">
        <v>8</v>
      </c>
      <c r="M14356" s="23" t="s">
        <v>8</v>
      </c>
    </row>
    <row r="14357" spans="1:13" s="21" customFormat="1" x14ac:dyDescent="0.25">
      <c r="A14357" s="22" t="s">
        <v>8</v>
      </c>
      <c r="B14357" s="18" t="str">
        <f>"555736"</f>
        <v>555736</v>
      </c>
      <c r="C14357" s="19" t="s">
        <v>14093</v>
      </c>
      <c r="D14357" s="19" t="s">
        <v>29748</v>
      </c>
      <c r="E14357" s="19" t="s">
        <v>31096</v>
      </c>
      <c r="F14357" s="19" t="s">
        <v>35978</v>
      </c>
      <c r="G14357" s="18" t="str">
        <f>"95370"</f>
        <v>95370</v>
      </c>
      <c r="H14357" s="19" t="s">
        <v>36084</v>
      </c>
      <c r="I14357" s="20">
        <v>15.4</v>
      </c>
      <c r="J14357" s="44" t="s">
        <v>8</v>
      </c>
      <c r="K14357" s="23" t="s">
        <v>8</v>
      </c>
      <c r="L14357" s="23" t="s">
        <v>8</v>
      </c>
      <c r="M14357" s="23" t="s">
        <v>8</v>
      </c>
    </row>
    <row r="14358" spans="1:13" s="21" customFormat="1" x14ac:dyDescent="0.25">
      <c r="A14358" s="22" t="s">
        <v>8</v>
      </c>
      <c r="B14358" s="18" t="str">
        <f>"555737"</f>
        <v>555737</v>
      </c>
      <c r="C14358" s="19" t="s">
        <v>14094</v>
      </c>
      <c r="D14358" s="19" t="s">
        <v>29749</v>
      </c>
      <c r="E14358" s="19" t="s">
        <v>31314</v>
      </c>
      <c r="F14358" s="19" t="s">
        <v>35978</v>
      </c>
      <c r="G14358" s="18" t="str">
        <f>"91773"</f>
        <v>91773</v>
      </c>
      <c r="H14358" s="19" t="s">
        <v>31109</v>
      </c>
      <c r="I14358" s="20">
        <v>25.100999999999999</v>
      </c>
      <c r="J14358" s="44" t="s">
        <v>8</v>
      </c>
      <c r="K14358" s="23" t="s">
        <v>8</v>
      </c>
      <c r="L14358" s="23" t="s">
        <v>8</v>
      </c>
      <c r="M14358" s="23" t="s">
        <v>8</v>
      </c>
    </row>
    <row r="14359" spans="1:13" s="21" customFormat="1" x14ac:dyDescent="0.25">
      <c r="A14359" s="22" t="s">
        <v>8</v>
      </c>
      <c r="B14359" s="18" t="str">
        <f>"555738"</f>
        <v>555738</v>
      </c>
      <c r="C14359" s="19" t="s">
        <v>14095</v>
      </c>
      <c r="D14359" s="19" t="s">
        <v>29750</v>
      </c>
      <c r="E14359" s="19" t="s">
        <v>31298</v>
      </c>
      <c r="F14359" s="19" t="s">
        <v>35978</v>
      </c>
      <c r="G14359" s="18" t="str">
        <f>"91405"</f>
        <v>91405</v>
      </c>
      <c r="H14359" s="19" t="s">
        <v>31109</v>
      </c>
      <c r="I14359" s="20">
        <v>17.895</v>
      </c>
      <c r="J14359" s="44" t="s">
        <v>8</v>
      </c>
      <c r="K14359" s="23" t="s">
        <v>8</v>
      </c>
      <c r="L14359" s="23" t="s">
        <v>8</v>
      </c>
      <c r="M14359" s="23" t="s">
        <v>8</v>
      </c>
    </row>
    <row r="14360" spans="1:13" s="21" customFormat="1" x14ac:dyDescent="0.25">
      <c r="A14360" s="22" t="s">
        <v>8</v>
      </c>
      <c r="B14360" s="18" t="str">
        <f>"555739"</f>
        <v>555739</v>
      </c>
      <c r="C14360" s="19" t="s">
        <v>14096</v>
      </c>
      <c r="D14360" s="19" t="s">
        <v>29751</v>
      </c>
      <c r="E14360" s="19" t="s">
        <v>31176</v>
      </c>
      <c r="F14360" s="19" t="s">
        <v>35978</v>
      </c>
      <c r="G14360" s="18" t="str">
        <f>"92122"</f>
        <v>92122</v>
      </c>
      <c r="H14360" s="19" t="s">
        <v>31176</v>
      </c>
      <c r="I14360" s="20">
        <v>16.38</v>
      </c>
      <c r="J14360" s="44" t="s">
        <v>8</v>
      </c>
      <c r="K14360" s="23" t="s">
        <v>8</v>
      </c>
      <c r="L14360" s="23" t="s">
        <v>8</v>
      </c>
      <c r="M14360" s="23" t="s">
        <v>8</v>
      </c>
    </row>
    <row r="14361" spans="1:13" s="21" customFormat="1" x14ac:dyDescent="0.25">
      <c r="A14361" s="22" t="s">
        <v>8</v>
      </c>
      <c r="B14361" s="18" t="str">
        <f>"555740"</f>
        <v>555740</v>
      </c>
      <c r="C14361" s="19" t="s">
        <v>14097</v>
      </c>
      <c r="D14361" s="19" t="s">
        <v>29752</v>
      </c>
      <c r="E14361" s="19" t="s">
        <v>35239</v>
      </c>
      <c r="F14361" s="19" t="s">
        <v>35978</v>
      </c>
      <c r="G14361" s="18" t="str">
        <f>"92223"</f>
        <v>92223</v>
      </c>
      <c r="H14361" s="19" t="s">
        <v>31112</v>
      </c>
      <c r="I14361" s="20">
        <v>18.14</v>
      </c>
      <c r="J14361" s="44" t="s">
        <v>8</v>
      </c>
      <c r="K14361" s="23" t="s">
        <v>8</v>
      </c>
      <c r="L14361" s="23" t="s">
        <v>8</v>
      </c>
      <c r="M14361" s="23" t="s">
        <v>8</v>
      </c>
    </row>
    <row r="14362" spans="1:13" s="21" customFormat="1" x14ac:dyDescent="0.25">
      <c r="A14362" s="22" t="s">
        <v>8</v>
      </c>
      <c r="B14362" s="18" t="str">
        <f>"555742"</f>
        <v>555742</v>
      </c>
      <c r="C14362" s="19" t="s">
        <v>14098</v>
      </c>
      <c r="D14362" s="19" t="s">
        <v>29753</v>
      </c>
      <c r="E14362" s="19" t="s">
        <v>35718</v>
      </c>
      <c r="F14362" s="19" t="s">
        <v>35978</v>
      </c>
      <c r="G14362" s="18" t="str">
        <f>"92201"</f>
        <v>92201</v>
      </c>
      <c r="H14362" s="19" t="s">
        <v>31112</v>
      </c>
      <c r="I14362" s="20">
        <v>20.225000000000001</v>
      </c>
      <c r="J14362" s="44" t="s">
        <v>8</v>
      </c>
      <c r="K14362" s="23" t="s">
        <v>8</v>
      </c>
      <c r="L14362" s="23" t="s">
        <v>8</v>
      </c>
      <c r="M14362" s="23" t="s">
        <v>8</v>
      </c>
    </row>
    <row r="14363" spans="1:13" s="21" customFormat="1" x14ac:dyDescent="0.25">
      <c r="A14363" s="22" t="s">
        <v>8</v>
      </c>
      <c r="B14363" s="18" t="str">
        <f>"555744"</f>
        <v>555744</v>
      </c>
      <c r="C14363" s="19" t="s">
        <v>14099</v>
      </c>
      <c r="D14363" s="19" t="s">
        <v>29754</v>
      </c>
      <c r="E14363" s="19" t="s">
        <v>30926</v>
      </c>
      <c r="F14363" s="19" t="s">
        <v>35978</v>
      </c>
      <c r="G14363" s="18" t="str">
        <f>"95603"</f>
        <v>95603</v>
      </c>
      <c r="H14363" s="19" t="s">
        <v>36093</v>
      </c>
      <c r="I14363" s="20">
        <v>18.38</v>
      </c>
      <c r="J14363" s="44" t="s">
        <v>8</v>
      </c>
      <c r="K14363" s="23" t="s">
        <v>8</v>
      </c>
      <c r="L14363" s="23" t="s">
        <v>8</v>
      </c>
      <c r="M14363" s="23" t="s">
        <v>8</v>
      </c>
    </row>
    <row r="14364" spans="1:13" s="21" customFormat="1" x14ac:dyDescent="0.25">
      <c r="A14364" s="22" t="s">
        <v>8</v>
      </c>
      <c r="B14364" s="18" t="str">
        <f>"555745"</f>
        <v>555745</v>
      </c>
      <c r="C14364" s="19" t="s">
        <v>14100</v>
      </c>
      <c r="D14364" s="19" t="s">
        <v>29755</v>
      </c>
      <c r="E14364" s="19" t="s">
        <v>31327</v>
      </c>
      <c r="F14364" s="19" t="s">
        <v>35978</v>
      </c>
      <c r="G14364" s="18" t="str">
        <f>"92008"</f>
        <v>92008</v>
      </c>
      <c r="H14364" s="19" t="s">
        <v>31176</v>
      </c>
      <c r="I14364" s="20">
        <v>16.484000000000002</v>
      </c>
      <c r="J14364" s="44" t="s">
        <v>8</v>
      </c>
      <c r="K14364" s="23" t="s">
        <v>8</v>
      </c>
      <c r="L14364" s="23" t="s">
        <v>8</v>
      </c>
      <c r="M14364" s="23" t="s">
        <v>8</v>
      </c>
    </row>
    <row r="14365" spans="1:13" s="21" customFormat="1" x14ac:dyDescent="0.25">
      <c r="A14365" s="22" t="s">
        <v>8</v>
      </c>
      <c r="B14365" s="18" t="str">
        <f>"555746"</f>
        <v>555746</v>
      </c>
      <c r="C14365" s="19" t="s">
        <v>14101</v>
      </c>
      <c r="D14365" s="19" t="s">
        <v>29756</v>
      </c>
      <c r="E14365" s="19" t="s">
        <v>31176</v>
      </c>
      <c r="F14365" s="19" t="s">
        <v>35978</v>
      </c>
      <c r="G14365" s="18" t="str">
        <f>"92130"</f>
        <v>92130</v>
      </c>
      <c r="H14365" s="19" t="s">
        <v>31176</v>
      </c>
      <c r="I14365" s="20">
        <v>19.762</v>
      </c>
      <c r="J14365" s="44" t="s">
        <v>8</v>
      </c>
      <c r="K14365" s="23" t="s">
        <v>8</v>
      </c>
      <c r="L14365" s="23" t="s">
        <v>8</v>
      </c>
      <c r="M14365" s="23" t="s">
        <v>8</v>
      </c>
    </row>
    <row r="14366" spans="1:13" s="21" customFormat="1" x14ac:dyDescent="0.25">
      <c r="A14366" s="22" t="s">
        <v>8</v>
      </c>
      <c r="B14366" s="18" t="str">
        <f>"555747"</f>
        <v>555747</v>
      </c>
      <c r="C14366" s="19" t="s">
        <v>14102</v>
      </c>
      <c r="D14366" s="19" t="s">
        <v>29757</v>
      </c>
      <c r="E14366" s="19" t="s">
        <v>35767</v>
      </c>
      <c r="F14366" s="19" t="s">
        <v>35978</v>
      </c>
      <c r="G14366" s="18" t="str">
        <f>"92562"</f>
        <v>92562</v>
      </c>
      <c r="H14366" s="19" t="s">
        <v>31112</v>
      </c>
      <c r="I14366" s="20">
        <v>20.565000000000001</v>
      </c>
      <c r="J14366" s="44" t="s">
        <v>8</v>
      </c>
      <c r="K14366" s="23" t="s">
        <v>8</v>
      </c>
      <c r="L14366" s="23" t="s">
        <v>8</v>
      </c>
      <c r="M14366" s="23" t="s">
        <v>8</v>
      </c>
    </row>
    <row r="14367" spans="1:13" s="21" customFormat="1" x14ac:dyDescent="0.25">
      <c r="A14367" s="22" t="s">
        <v>8</v>
      </c>
      <c r="B14367" s="18" t="str">
        <f>"555748"</f>
        <v>555748</v>
      </c>
      <c r="C14367" s="19" t="s">
        <v>14103</v>
      </c>
      <c r="D14367" s="19" t="s">
        <v>29758</v>
      </c>
      <c r="E14367" s="19" t="s">
        <v>31136</v>
      </c>
      <c r="F14367" s="19" t="s">
        <v>35978</v>
      </c>
      <c r="G14367" s="18" t="str">
        <f>"90404"</f>
        <v>90404</v>
      </c>
      <c r="H14367" s="19" t="s">
        <v>31109</v>
      </c>
      <c r="I14367" s="20">
        <v>15.69</v>
      </c>
      <c r="J14367" s="44" t="s">
        <v>8</v>
      </c>
      <c r="K14367" s="23" t="s">
        <v>8</v>
      </c>
      <c r="L14367" s="23" t="s">
        <v>8</v>
      </c>
      <c r="M14367" s="23" t="s">
        <v>8</v>
      </c>
    </row>
    <row r="14368" spans="1:13" s="21" customFormat="1" x14ac:dyDescent="0.25">
      <c r="A14368" s="22" t="s">
        <v>8</v>
      </c>
      <c r="B14368" s="18" t="str">
        <f>"555749"</f>
        <v>555749</v>
      </c>
      <c r="C14368" s="19" t="s">
        <v>2090</v>
      </c>
      <c r="D14368" s="19" t="s">
        <v>29759</v>
      </c>
      <c r="E14368" s="19" t="s">
        <v>31210</v>
      </c>
      <c r="F14368" s="19" t="s">
        <v>35978</v>
      </c>
      <c r="G14368" s="18" t="str">
        <f>"95382"</f>
        <v>95382</v>
      </c>
      <c r="H14368" s="19" t="s">
        <v>36085</v>
      </c>
      <c r="I14368" s="20">
        <v>19.302</v>
      </c>
      <c r="J14368" s="44" t="s">
        <v>8</v>
      </c>
      <c r="K14368" s="23" t="s">
        <v>8</v>
      </c>
      <c r="L14368" s="23" t="s">
        <v>8</v>
      </c>
      <c r="M14368" s="23" t="s">
        <v>8</v>
      </c>
    </row>
    <row r="14369" spans="1:13" s="21" customFormat="1" x14ac:dyDescent="0.25">
      <c r="A14369" s="22" t="s">
        <v>8</v>
      </c>
      <c r="B14369" s="18" t="str">
        <f>"555751"</f>
        <v>555751</v>
      </c>
      <c r="C14369" s="19" t="s">
        <v>14104</v>
      </c>
      <c r="D14369" s="19" t="s">
        <v>29760</v>
      </c>
      <c r="E14369" s="19" t="s">
        <v>31164</v>
      </c>
      <c r="F14369" s="19" t="s">
        <v>35978</v>
      </c>
      <c r="G14369" s="18" t="str">
        <f>"92627"</f>
        <v>92627</v>
      </c>
      <c r="H14369" s="19" t="s">
        <v>31169</v>
      </c>
      <c r="I14369" s="20">
        <v>19.242999999999999</v>
      </c>
      <c r="J14369" s="44" t="s">
        <v>8</v>
      </c>
      <c r="K14369" s="23" t="s">
        <v>8</v>
      </c>
      <c r="L14369" s="23" t="s">
        <v>8</v>
      </c>
      <c r="M14369" s="23" t="s">
        <v>8</v>
      </c>
    </row>
    <row r="14370" spans="1:13" s="21" customFormat="1" x14ac:dyDescent="0.25">
      <c r="A14370" s="22" t="s">
        <v>8</v>
      </c>
      <c r="B14370" s="18" t="str">
        <f>"555754"</f>
        <v>555754</v>
      </c>
      <c r="C14370" s="19" t="s">
        <v>14105</v>
      </c>
      <c r="D14370" s="19" t="s">
        <v>29761</v>
      </c>
      <c r="E14370" s="19" t="s">
        <v>35312</v>
      </c>
      <c r="F14370" s="19" t="s">
        <v>35978</v>
      </c>
      <c r="G14370" s="18" t="str">
        <f>"92078"</f>
        <v>92078</v>
      </c>
      <c r="H14370" s="19" t="s">
        <v>31176</v>
      </c>
      <c r="I14370" s="20">
        <v>20.172999999999998</v>
      </c>
      <c r="J14370" s="44" t="s">
        <v>8</v>
      </c>
      <c r="K14370" s="23" t="s">
        <v>8</v>
      </c>
      <c r="L14370" s="23" t="s">
        <v>8</v>
      </c>
      <c r="M14370" s="23" t="s">
        <v>8</v>
      </c>
    </row>
    <row r="14371" spans="1:13" s="21" customFormat="1" x14ac:dyDescent="0.25">
      <c r="A14371" s="22" t="s">
        <v>8</v>
      </c>
      <c r="B14371" s="18" t="str">
        <f>"555755"</f>
        <v>555755</v>
      </c>
      <c r="C14371" s="19" t="s">
        <v>14106</v>
      </c>
      <c r="D14371" s="19" t="s">
        <v>29762</v>
      </c>
      <c r="E14371" s="19" t="s">
        <v>31148</v>
      </c>
      <c r="F14371" s="19" t="s">
        <v>35978</v>
      </c>
      <c r="G14371" s="18" t="str">
        <f>"91770"</f>
        <v>91770</v>
      </c>
      <c r="H14371" s="19" t="s">
        <v>31109</v>
      </c>
      <c r="I14371" s="20">
        <v>17.678000000000001</v>
      </c>
      <c r="J14371" s="44" t="s">
        <v>8</v>
      </c>
      <c r="K14371" s="23" t="s">
        <v>8</v>
      </c>
      <c r="L14371" s="23" t="s">
        <v>8</v>
      </c>
      <c r="M14371" s="23" t="s">
        <v>8</v>
      </c>
    </row>
    <row r="14372" spans="1:13" s="21" customFormat="1" x14ac:dyDescent="0.25">
      <c r="A14372" s="22" t="s">
        <v>8</v>
      </c>
      <c r="B14372" s="18" t="str">
        <f>"555757"</f>
        <v>555757</v>
      </c>
      <c r="C14372" s="19" t="s">
        <v>14107</v>
      </c>
      <c r="D14372" s="19" t="s">
        <v>29763</v>
      </c>
      <c r="E14372" s="19" t="s">
        <v>35768</v>
      </c>
      <c r="F14372" s="19" t="s">
        <v>35978</v>
      </c>
      <c r="G14372" s="18" t="str">
        <f>"95035"</f>
        <v>95035</v>
      </c>
      <c r="H14372" s="19" t="s">
        <v>31241</v>
      </c>
      <c r="I14372" s="20">
        <v>18.928000000000001</v>
      </c>
      <c r="J14372" s="44" t="s">
        <v>8</v>
      </c>
      <c r="K14372" s="23" t="s">
        <v>8</v>
      </c>
      <c r="L14372" s="23" t="s">
        <v>8</v>
      </c>
      <c r="M14372" s="23" t="s">
        <v>8</v>
      </c>
    </row>
    <row r="14373" spans="1:13" s="21" customFormat="1" x14ac:dyDescent="0.25">
      <c r="A14373" s="22" t="s">
        <v>8</v>
      </c>
      <c r="B14373" s="18" t="str">
        <f>"555758"</f>
        <v>555758</v>
      </c>
      <c r="C14373" s="19" t="s">
        <v>14108</v>
      </c>
      <c r="D14373" s="19" t="s">
        <v>29764</v>
      </c>
      <c r="E14373" s="19" t="s">
        <v>31107</v>
      </c>
      <c r="F14373" s="19" t="s">
        <v>35978</v>
      </c>
      <c r="G14373" s="18" t="str">
        <f>"93635"</f>
        <v>93635</v>
      </c>
      <c r="H14373" s="19" t="s">
        <v>31168</v>
      </c>
      <c r="I14373" s="20">
        <v>17.100000000000001</v>
      </c>
      <c r="J14373" s="44" t="s">
        <v>8</v>
      </c>
      <c r="K14373" s="23" t="s">
        <v>8</v>
      </c>
      <c r="L14373" s="23" t="s">
        <v>8</v>
      </c>
      <c r="M14373" s="23" t="s">
        <v>8</v>
      </c>
    </row>
    <row r="14374" spans="1:13" s="21" customFormat="1" x14ac:dyDescent="0.25">
      <c r="A14374" s="22" t="s">
        <v>8</v>
      </c>
      <c r="B14374" s="18" t="str">
        <f>"555761"</f>
        <v>555761</v>
      </c>
      <c r="C14374" s="19" t="s">
        <v>14109</v>
      </c>
      <c r="D14374" s="19" t="s">
        <v>29765</v>
      </c>
      <c r="E14374" s="19" t="s">
        <v>31165</v>
      </c>
      <c r="F14374" s="19" t="s">
        <v>35978</v>
      </c>
      <c r="G14374" s="18" t="str">
        <f>"94546"</f>
        <v>94546</v>
      </c>
      <c r="H14374" s="19" t="s">
        <v>31290</v>
      </c>
      <c r="I14374" s="20">
        <v>19.164000000000001</v>
      </c>
      <c r="J14374" s="44" t="s">
        <v>8</v>
      </c>
      <c r="K14374" s="23" t="s">
        <v>8</v>
      </c>
      <c r="L14374" s="23" t="s">
        <v>8</v>
      </c>
      <c r="M14374" s="23" t="s">
        <v>8</v>
      </c>
    </row>
    <row r="14375" spans="1:13" s="21" customFormat="1" x14ac:dyDescent="0.25">
      <c r="A14375" s="22" t="s">
        <v>8</v>
      </c>
      <c r="B14375" s="18" t="str">
        <f>"555762"</f>
        <v>555762</v>
      </c>
      <c r="C14375" s="19" t="s">
        <v>14110</v>
      </c>
      <c r="D14375" s="19" t="s">
        <v>29766</v>
      </c>
      <c r="E14375" s="19" t="s">
        <v>31246</v>
      </c>
      <c r="F14375" s="19" t="s">
        <v>35978</v>
      </c>
      <c r="G14375" s="18" t="str">
        <f>"93105"</f>
        <v>93105</v>
      </c>
      <c r="H14375" s="19" t="s">
        <v>31246</v>
      </c>
      <c r="I14375" s="20">
        <v>17.018000000000001</v>
      </c>
      <c r="J14375" s="44" t="s">
        <v>8</v>
      </c>
      <c r="K14375" s="23" t="s">
        <v>8</v>
      </c>
      <c r="L14375" s="23" t="s">
        <v>8</v>
      </c>
      <c r="M14375" s="23" t="s">
        <v>8</v>
      </c>
    </row>
    <row r="14376" spans="1:13" s="21" customFormat="1" x14ac:dyDescent="0.25">
      <c r="A14376" s="22" t="s">
        <v>8</v>
      </c>
      <c r="B14376" s="18" t="str">
        <f>"555763"</f>
        <v>555763</v>
      </c>
      <c r="C14376" s="19" t="s">
        <v>14111</v>
      </c>
      <c r="D14376" s="19" t="s">
        <v>29767</v>
      </c>
      <c r="E14376" s="19" t="s">
        <v>35769</v>
      </c>
      <c r="F14376" s="19" t="s">
        <v>35978</v>
      </c>
      <c r="G14376" s="18" t="str">
        <f>"92675"</f>
        <v>92675</v>
      </c>
      <c r="H14376" s="19" t="s">
        <v>31169</v>
      </c>
      <c r="I14376" s="20">
        <v>17.443999999999999</v>
      </c>
      <c r="J14376" s="44" t="s">
        <v>8</v>
      </c>
      <c r="K14376" s="23" t="s">
        <v>8</v>
      </c>
      <c r="L14376" s="23" t="s">
        <v>8</v>
      </c>
      <c r="M14376" s="23" t="s">
        <v>8</v>
      </c>
    </row>
    <row r="14377" spans="1:13" s="21" customFormat="1" x14ac:dyDescent="0.25">
      <c r="A14377" s="22" t="s">
        <v>8</v>
      </c>
      <c r="B14377" s="18" t="str">
        <f>"555764"</f>
        <v>555764</v>
      </c>
      <c r="C14377" s="19" t="s">
        <v>14112</v>
      </c>
      <c r="D14377" s="19" t="s">
        <v>29768</v>
      </c>
      <c r="E14377" s="19" t="s">
        <v>31119</v>
      </c>
      <c r="F14377" s="19" t="s">
        <v>35978</v>
      </c>
      <c r="G14377" s="18" t="str">
        <f>"92027"</f>
        <v>92027</v>
      </c>
      <c r="H14377" s="19" t="s">
        <v>31176</v>
      </c>
      <c r="I14377" s="20">
        <v>20.501000000000001</v>
      </c>
      <c r="J14377" s="44" t="s">
        <v>8</v>
      </c>
      <c r="K14377" s="23" t="s">
        <v>8</v>
      </c>
      <c r="L14377" s="23" t="s">
        <v>8</v>
      </c>
      <c r="M14377" s="23" t="s">
        <v>8</v>
      </c>
    </row>
    <row r="14378" spans="1:13" s="21" customFormat="1" x14ac:dyDescent="0.25">
      <c r="A14378" s="22" t="s">
        <v>8</v>
      </c>
      <c r="B14378" s="18" t="str">
        <f>"555765"</f>
        <v>555765</v>
      </c>
      <c r="C14378" s="19" t="s">
        <v>14113</v>
      </c>
      <c r="D14378" s="19" t="s">
        <v>29769</v>
      </c>
      <c r="E14378" s="19" t="s">
        <v>31157</v>
      </c>
      <c r="F14378" s="19" t="s">
        <v>35978</v>
      </c>
      <c r="G14378" s="18" t="str">
        <f>"92705"</f>
        <v>92705</v>
      </c>
      <c r="H14378" s="19" t="s">
        <v>31169</v>
      </c>
      <c r="I14378" s="20">
        <v>21.158999999999999</v>
      </c>
      <c r="J14378" s="44" t="s">
        <v>8</v>
      </c>
      <c r="K14378" s="23" t="s">
        <v>8</v>
      </c>
      <c r="L14378" s="23" t="s">
        <v>8</v>
      </c>
      <c r="M14378" s="23" t="s">
        <v>8</v>
      </c>
    </row>
    <row r="14379" spans="1:13" s="21" customFormat="1" x14ac:dyDescent="0.25">
      <c r="A14379" s="22" t="s">
        <v>8</v>
      </c>
      <c r="B14379" s="18" t="str">
        <f>"555766"</f>
        <v>555766</v>
      </c>
      <c r="C14379" s="19" t="s">
        <v>14114</v>
      </c>
      <c r="D14379" s="19" t="s">
        <v>29770</v>
      </c>
      <c r="E14379" s="19" t="s">
        <v>31224</v>
      </c>
      <c r="F14379" s="19" t="s">
        <v>35978</v>
      </c>
      <c r="G14379" s="18" t="str">
        <f>"93257"</f>
        <v>93257</v>
      </c>
      <c r="H14379" s="19" t="s">
        <v>31243</v>
      </c>
      <c r="I14379" s="20">
        <v>18.535</v>
      </c>
      <c r="J14379" s="44" t="s">
        <v>8</v>
      </c>
      <c r="K14379" s="23" t="s">
        <v>8</v>
      </c>
      <c r="L14379" s="23" t="s">
        <v>8</v>
      </c>
      <c r="M14379" s="23" t="s">
        <v>8</v>
      </c>
    </row>
    <row r="14380" spans="1:13" s="21" customFormat="1" x14ac:dyDescent="0.25">
      <c r="A14380" s="22" t="s">
        <v>8</v>
      </c>
      <c r="B14380" s="18" t="str">
        <f>"555767"</f>
        <v>555767</v>
      </c>
      <c r="C14380" s="19" t="s">
        <v>14115</v>
      </c>
      <c r="D14380" s="19" t="s">
        <v>29771</v>
      </c>
      <c r="E14380" s="19" t="s">
        <v>31143</v>
      </c>
      <c r="F14380" s="19" t="s">
        <v>35978</v>
      </c>
      <c r="G14380" s="18" t="str">
        <f>"94601"</f>
        <v>94601</v>
      </c>
      <c r="H14380" s="19" t="s">
        <v>31290</v>
      </c>
      <c r="I14380" s="20">
        <v>17.939</v>
      </c>
      <c r="J14380" s="44" t="s">
        <v>8</v>
      </c>
      <c r="K14380" s="23" t="s">
        <v>8</v>
      </c>
      <c r="L14380" s="23" t="s">
        <v>8</v>
      </c>
      <c r="M14380" s="23" t="s">
        <v>8</v>
      </c>
    </row>
    <row r="14381" spans="1:13" s="21" customFormat="1" x14ac:dyDescent="0.25">
      <c r="A14381" s="22" t="s">
        <v>8</v>
      </c>
      <c r="B14381" s="18" t="str">
        <f>"555768"</f>
        <v>555768</v>
      </c>
      <c r="C14381" s="19" t="s">
        <v>14116</v>
      </c>
      <c r="D14381" s="19" t="s">
        <v>29772</v>
      </c>
      <c r="E14381" s="19" t="s">
        <v>35770</v>
      </c>
      <c r="F14381" s="19" t="s">
        <v>35978</v>
      </c>
      <c r="G14381" s="18" t="str">
        <f>"92886"</f>
        <v>92886</v>
      </c>
      <c r="H14381" s="19" t="s">
        <v>31169</v>
      </c>
      <c r="I14381" s="20">
        <v>19.318999999999999</v>
      </c>
      <c r="J14381" s="44" t="s">
        <v>8</v>
      </c>
      <c r="K14381" s="23" t="s">
        <v>8</v>
      </c>
      <c r="L14381" s="23" t="s">
        <v>8</v>
      </c>
      <c r="M14381" s="23" t="s">
        <v>8</v>
      </c>
    </row>
    <row r="14382" spans="1:13" s="21" customFormat="1" x14ac:dyDescent="0.25">
      <c r="A14382" s="22" t="s">
        <v>8</v>
      </c>
      <c r="B14382" s="18" t="str">
        <f>"555769"</f>
        <v>555769</v>
      </c>
      <c r="C14382" s="19" t="s">
        <v>14117</v>
      </c>
      <c r="D14382" s="19" t="s">
        <v>29773</v>
      </c>
      <c r="E14382" s="19" t="s">
        <v>31269</v>
      </c>
      <c r="F14382" s="19" t="s">
        <v>35978</v>
      </c>
      <c r="G14382" s="18" t="str">
        <f>"95616"</f>
        <v>95616</v>
      </c>
      <c r="H14382" s="19" t="s">
        <v>36092</v>
      </c>
      <c r="I14382" s="20">
        <v>18.774000000000001</v>
      </c>
      <c r="J14382" s="44" t="s">
        <v>8</v>
      </c>
      <c r="K14382" s="23" t="s">
        <v>8</v>
      </c>
      <c r="L14382" s="23" t="s">
        <v>8</v>
      </c>
      <c r="M14382" s="23" t="s">
        <v>8</v>
      </c>
    </row>
    <row r="14383" spans="1:13" s="21" customFormat="1" x14ac:dyDescent="0.25">
      <c r="A14383" s="22" t="s">
        <v>8</v>
      </c>
      <c r="B14383" s="18" t="str">
        <f>"555770"</f>
        <v>555770</v>
      </c>
      <c r="C14383" s="19" t="s">
        <v>14118</v>
      </c>
      <c r="D14383" s="19" t="s">
        <v>29774</v>
      </c>
      <c r="E14383" s="19" t="s">
        <v>35731</v>
      </c>
      <c r="F14383" s="19" t="s">
        <v>35978</v>
      </c>
      <c r="G14383" s="18" t="str">
        <f>"93010"</f>
        <v>93010</v>
      </c>
      <c r="H14383" s="19" t="s">
        <v>31228</v>
      </c>
      <c r="I14383" s="20">
        <v>17.984000000000002</v>
      </c>
      <c r="J14383" s="44" t="s">
        <v>8</v>
      </c>
      <c r="K14383" s="23" t="s">
        <v>8</v>
      </c>
      <c r="L14383" s="23" t="s">
        <v>8</v>
      </c>
      <c r="M14383" s="23" t="s">
        <v>8</v>
      </c>
    </row>
    <row r="14384" spans="1:13" s="21" customFormat="1" x14ac:dyDescent="0.25">
      <c r="A14384" s="22" t="s">
        <v>8</v>
      </c>
      <c r="B14384" s="18" t="str">
        <f>"555771"</f>
        <v>555771</v>
      </c>
      <c r="C14384" s="19" t="s">
        <v>14119</v>
      </c>
      <c r="D14384" s="19" t="s">
        <v>29775</v>
      </c>
      <c r="E14384" s="19" t="s">
        <v>31236</v>
      </c>
      <c r="F14384" s="19" t="s">
        <v>35978</v>
      </c>
      <c r="G14384" s="18" t="str">
        <f>"93312"</f>
        <v>93312</v>
      </c>
      <c r="H14384" s="19" t="s">
        <v>36098</v>
      </c>
      <c r="I14384" s="20">
        <v>19.448</v>
      </c>
      <c r="J14384" s="44" t="s">
        <v>8</v>
      </c>
      <c r="K14384" s="23" t="s">
        <v>8</v>
      </c>
      <c r="L14384" s="23" t="s">
        <v>8</v>
      </c>
      <c r="M14384" s="23" t="s">
        <v>8</v>
      </c>
    </row>
    <row r="14385" spans="1:13" s="21" customFormat="1" x14ac:dyDescent="0.25">
      <c r="A14385" s="22" t="s">
        <v>8</v>
      </c>
      <c r="B14385" s="18" t="str">
        <f>"555772"</f>
        <v>555772</v>
      </c>
      <c r="C14385" s="19" t="s">
        <v>14120</v>
      </c>
      <c r="D14385" s="19" t="s">
        <v>29776</v>
      </c>
      <c r="E14385" s="19" t="s">
        <v>35771</v>
      </c>
      <c r="F14385" s="19" t="s">
        <v>35978</v>
      </c>
      <c r="G14385" s="18" t="str">
        <f>"92284"</f>
        <v>92284</v>
      </c>
      <c r="H14385" s="19" t="s">
        <v>31227</v>
      </c>
      <c r="I14385" s="20">
        <v>19.835999999999999</v>
      </c>
      <c r="J14385" s="44" t="s">
        <v>8</v>
      </c>
      <c r="K14385" s="23" t="s">
        <v>8</v>
      </c>
      <c r="L14385" s="23" t="s">
        <v>8</v>
      </c>
      <c r="M14385" s="23" t="s">
        <v>8</v>
      </c>
    </row>
    <row r="14386" spans="1:13" s="21" customFormat="1" x14ac:dyDescent="0.25">
      <c r="A14386" s="22" t="s">
        <v>8</v>
      </c>
      <c r="B14386" s="18" t="str">
        <f>"555773"</f>
        <v>555773</v>
      </c>
      <c r="C14386" s="19" t="s">
        <v>14121</v>
      </c>
      <c r="D14386" s="19" t="s">
        <v>29777</v>
      </c>
      <c r="E14386" s="19" t="s">
        <v>35771</v>
      </c>
      <c r="F14386" s="19" t="s">
        <v>35978</v>
      </c>
      <c r="G14386" s="18" t="str">
        <f>"92284"</f>
        <v>92284</v>
      </c>
      <c r="H14386" s="19" t="s">
        <v>31227</v>
      </c>
      <c r="I14386" s="20">
        <v>20.997</v>
      </c>
      <c r="J14386" s="44" t="s">
        <v>8</v>
      </c>
      <c r="K14386" s="23" t="s">
        <v>8</v>
      </c>
      <c r="L14386" s="23" t="s">
        <v>8</v>
      </c>
      <c r="M14386" s="23" t="s">
        <v>8</v>
      </c>
    </row>
    <row r="14387" spans="1:13" s="21" customFormat="1" x14ac:dyDescent="0.25">
      <c r="A14387" s="22" t="s">
        <v>8</v>
      </c>
      <c r="B14387" s="18" t="str">
        <f>"555775"</f>
        <v>555775</v>
      </c>
      <c r="C14387" s="19" t="s">
        <v>14122</v>
      </c>
      <c r="D14387" s="19" t="s">
        <v>29778</v>
      </c>
      <c r="E14387" s="19" t="s">
        <v>35736</v>
      </c>
      <c r="F14387" s="19" t="s">
        <v>35978</v>
      </c>
      <c r="G14387" s="18" t="str">
        <f>"92270"</f>
        <v>92270</v>
      </c>
      <c r="H14387" s="19" t="s">
        <v>31112</v>
      </c>
      <c r="I14387" s="20">
        <v>19.951000000000001</v>
      </c>
      <c r="J14387" s="44" t="s">
        <v>8</v>
      </c>
      <c r="K14387" s="23" t="s">
        <v>8</v>
      </c>
      <c r="L14387" s="23" t="s">
        <v>8</v>
      </c>
      <c r="M14387" s="23" t="s">
        <v>8</v>
      </c>
    </row>
    <row r="14388" spans="1:13" s="21" customFormat="1" x14ac:dyDescent="0.25">
      <c r="A14388" s="22" t="s">
        <v>8</v>
      </c>
      <c r="B14388" s="18" t="str">
        <f>"555777"</f>
        <v>555777</v>
      </c>
      <c r="C14388" s="19" t="s">
        <v>14123</v>
      </c>
      <c r="D14388" s="19" t="s">
        <v>29779</v>
      </c>
      <c r="E14388" s="19" t="s">
        <v>35772</v>
      </c>
      <c r="F14388" s="19" t="s">
        <v>35978</v>
      </c>
      <c r="G14388" s="18" t="str">
        <f>"93514"</f>
        <v>93514</v>
      </c>
      <c r="H14388" s="19" t="s">
        <v>36945</v>
      </c>
      <c r="I14388" s="20">
        <v>19.053000000000001</v>
      </c>
      <c r="J14388" s="44" t="s">
        <v>8</v>
      </c>
      <c r="K14388" s="23" t="s">
        <v>8</v>
      </c>
      <c r="L14388" s="23" t="s">
        <v>8</v>
      </c>
      <c r="M14388" s="23" t="s">
        <v>8</v>
      </c>
    </row>
    <row r="14389" spans="1:13" s="21" customFormat="1" x14ac:dyDescent="0.25">
      <c r="A14389" s="22" t="s">
        <v>8</v>
      </c>
      <c r="B14389" s="18" t="str">
        <f>"555779"</f>
        <v>555779</v>
      </c>
      <c r="C14389" s="19" t="s">
        <v>14124</v>
      </c>
      <c r="D14389" s="19" t="s">
        <v>29780</v>
      </c>
      <c r="E14389" s="19" t="s">
        <v>31132</v>
      </c>
      <c r="F14389" s="19" t="s">
        <v>35978</v>
      </c>
      <c r="G14389" s="18" t="str">
        <f>"94578"</f>
        <v>94578</v>
      </c>
      <c r="H14389" s="19" t="s">
        <v>31290</v>
      </c>
      <c r="I14389" s="20">
        <v>20.655000000000001</v>
      </c>
      <c r="J14389" s="44" t="s">
        <v>8</v>
      </c>
      <c r="K14389" s="23" t="s">
        <v>8</v>
      </c>
      <c r="L14389" s="23" t="s">
        <v>8</v>
      </c>
      <c r="M14389" s="23" t="s">
        <v>8</v>
      </c>
    </row>
    <row r="14390" spans="1:13" s="21" customFormat="1" x14ac:dyDescent="0.25">
      <c r="A14390" s="22" t="s">
        <v>8</v>
      </c>
      <c r="B14390" s="18" t="str">
        <f>"555780"</f>
        <v>555780</v>
      </c>
      <c r="C14390" s="19" t="s">
        <v>14125</v>
      </c>
      <c r="D14390" s="19" t="s">
        <v>29781</v>
      </c>
      <c r="E14390" s="19" t="s">
        <v>31307</v>
      </c>
      <c r="F14390" s="19" t="s">
        <v>35978</v>
      </c>
      <c r="G14390" s="18" t="str">
        <f>"90201"</f>
        <v>90201</v>
      </c>
      <c r="H14390" s="19" t="s">
        <v>31109</v>
      </c>
      <c r="I14390" s="20">
        <v>18.815999999999999</v>
      </c>
      <c r="J14390" s="44" t="s">
        <v>8</v>
      </c>
      <c r="K14390" s="23" t="s">
        <v>8</v>
      </c>
      <c r="L14390" s="23" t="s">
        <v>8</v>
      </c>
      <c r="M14390" s="23" t="s">
        <v>8</v>
      </c>
    </row>
    <row r="14391" spans="1:13" s="21" customFormat="1" x14ac:dyDescent="0.25">
      <c r="A14391" s="22" t="s">
        <v>8</v>
      </c>
      <c r="B14391" s="18" t="str">
        <f>"555781"</f>
        <v>555781</v>
      </c>
      <c r="C14391" s="19" t="s">
        <v>14126</v>
      </c>
      <c r="D14391" s="19" t="s">
        <v>29782</v>
      </c>
      <c r="E14391" s="19" t="s">
        <v>31307</v>
      </c>
      <c r="F14391" s="19" t="s">
        <v>35978</v>
      </c>
      <c r="G14391" s="18" t="str">
        <f>"90201"</f>
        <v>90201</v>
      </c>
      <c r="H14391" s="19" t="s">
        <v>31109</v>
      </c>
      <c r="I14391" s="20">
        <v>19.931999999999999</v>
      </c>
      <c r="J14391" s="44" t="s">
        <v>8</v>
      </c>
      <c r="K14391" s="23" t="s">
        <v>8</v>
      </c>
      <c r="L14391" s="23" t="s">
        <v>8</v>
      </c>
      <c r="M14391" s="23" t="s">
        <v>8</v>
      </c>
    </row>
    <row r="14392" spans="1:13" s="21" customFormat="1" x14ac:dyDescent="0.25">
      <c r="A14392" s="22" t="s">
        <v>8</v>
      </c>
      <c r="B14392" s="18" t="str">
        <f>"555785"</f>
        <v>555785</v>
      </c>
      <c r="C14392" s="19" t="s">
        <v>14041</v>
      </c>
      <c r="D14392" s="19" t="s">
        <v>29783</v>
      </c>
      <c r="E14392" s="19" t="s">
        <v>35773</v>
      </c>
      <c r="F14392" s="19" t="s">
        <v>35978</v>
      </c>
      <c r="G14392" s="18" t="str">
        <f>"90806"</f>
        <v>90806</v>
      </c>
      <c r="H14392" s="19" t="s">
        <v>31109</v>
      </c>
      <c r="I14392" s="20">
        <v>20.239000000000001</v>
      </c>
      <c r="J14392" s="44" t="s">
        <v>8</v>
      </c>
      <c r="K14392" s="23" t="s">
        <v>8</v>
      </c>
      <c r="L14392" s="23" t="s">
        <v>8</v>
      </c>
      <c r="M14392" s="23" t="s">
        <v>8</v>
      </c>
    </row>
    <row r="14393" spans="1:13" s="21" customFormat="1" x14ac:dyDescent="0.25">
      <c r="A14393" s="22" t="s">
        <v>8</v>
      </c>
      <c r="B14393" s="18" t="str">
        <f>"555786"</f>
        <v>555786</v>
      </c>
      <c r="C14393" s="19" t="s">
        <v>14127</v>
      </c>
      <c r="D14393" s="19" t="s">
        <v>29784</v>
      </c>
      <c r="E14393" s="19" t="s">
        <v>31136</v>
      </c>
      <c r="F14393" s="19" t="s">
        <v>35978</v>
      </c>
      <c r="G14393" s="18" t="str">
        <f>"90405"</f>
        <v>90405</v>
      </c>
      <c r="H14393" s="19" t="s">
        <v>31109</v>
      </c>
      <c r="I14393" s="20">
        <v>18.760000000000002</v>
      </c>
      <c r="J14393" s="44" t="s">
        <v>8</v>
      </c>
      <c r="K14393" s="23" t="s">
        <v>8</v>
      </c>
      <c r="L14393" s="23" t="s">
        <v>8</v>
      </c>
      <c r="M14393" s="23" t="s">
        <v>8</v>
      </c>
    </row>
    <row r="14394" spans="1:13" s="21" customFormat="1" x14ac:dyDescent="0.25">
      <c r="A14394" s="22" t="s">
        <v>8</v>
      </c>
      <c r="B14394" s="18" t="str">
        <f>"555787"</f>
        <v>555787</v>
      </c>
      <c r="C14394" s="19" t="s">
        <v>14128</v>
      </c>
      <c r="D14394" s="19" t="s">
        <v>29785</v>
      </c>
      <c r="E14394" s="19" t="s">
        <v>31145</v>
      </c>
      <c r="F14394" s="19" t="s">
        <v>35978</v>
      </c>
      <c r="G14394" s="18" t="str">
        <f>"90602"</f>
        <v>90602</v>
      </c>
      <c r="H14394" s="19" t="s">
        <v>31109</v>
      </c>
      <c r="I14394" s="20">
        <v>21.045999999999999</v>
      </c>
      <c r="J14394" s="44" t="s">
        <v>8</v>
      </c>
      <c r="K14394" s="23" t="s">
        <v>8</v>
      </c>
      <c r="L14394" s="23" t="s">
        <v>8</v>
      </c>
      <c r="M14394" s="23" t="s">
        <v>8</v>
      </c>
    </row>
    <row r="14395" spans="1:13" s="21" customFormat="1" x14ac:dyDescent="0.25">
      <c r="A14395" s="22" t="s">
        <v>8</v>
      </c>
      <c r="B14395" s="18" t="str">
        <f>"555790"</f>
        <v>555790</v>
      </c>
      <c r="C14395" s="19" t="s">
        <v>14129</v>
      </c>
      <c r="D14395" s="19" t="s">
        <v>29786</v>
      </c>
      <c r="E14395" s="19" t="s">
        <v>31159</v>
      </c>
      <c r="F14395" s="19" t="s">
        <v>35978</v>
      </c>
      <c r="G14395" s="18" t="str">
        <f>"94087"</f>
        <v>94087</v>
      </c>
      <c r="H14395" s="19" t="s">
        <v>31241</v>
      </c>
      <c r="I14395" s="20">
        <v>19.158000000000001</v>
      </c>
      <c r="J14395" s="44" t="s">
        <v>8</v>
      </c>
      <c r="K14395" s="23" t="s">
        <v>8</v>
      </c>
      <c r="L14395" s="23" t="s">
        <v>8</v>
      </c>
      <c r="M14395" s="23" t="s">
        <v>8</v>
      </c>
    </row>
    <row r="14396" spans="1:13" s="21" customFormat="1" x14ac:dyDescent="0.25">
      <c r="A14396" s="22" t="s">
        <v>8</v>
      </c>
      <c r="B14396" s="18" t="str">
        <f>"555791"</f>
        <v>555791</v>
      </c>
      <c r="C14396" s="19" t="s">
        <v>14130</v>
      </c>
      <c r="D14396" s="19" t="s">
        <v>29787</v>
      </c>
      <c r="E14396" s="19" t="s">
        <v>35774</v>
      </c>
      <c r="F14396" s="19" t="s">
        <v>35978</v>
      </c>
      <c r="G14396" s="18" t="str">
        <f>"91325"</f>
        <v>91325</v>
      </c>
      <c r="H14396" s="19" t="s">
        <v>31109</v>
      </c>
      <c r="I14396" s="20">
        <v>18.277999999999999</v>
      </c>
      <c r="J14396" s="44" t="s">
        <v>8</v>
      </c>
      <c r="K14396" s="23" t="s">
        <v>8</v>
      </c>
      <c r="L14396" s="23" t="s">
        <v>8</v>
      </c>
      <c r="M14396" s="23" t="s">
        <v>8</v>
      </c>
    </row>
    <row r="14397" spans="1:13" s="21" customFormat="1" x14ac:dyDescent="0.25">
      <c r="A14397" s="22" t="s">
        <v>8</v>
      </c>
      <c r="B14397" s="18" t="str">
        <f>"555792"</f>
        <v>555792</v>
      </c>
      <c r="C14397" s="19" t="s">
        <v>14131</v>
      </c>
      <c r="D14397" s="19" t="s">
        <v>29788</v>
      </c>
      <c r="E14397" s="19" t="s">
        <v>31159</v>
      </c>
      <c r="F14397" s="19" t="s">
        <v>35978</v>
      </c>
      <c r="G14397" s="18" t="str">
        <f>"94087"</f>
        <v>94087</v>
      </c>
      <c r="H14397" s="19" t="s">
        <v>31241</v>
      </c>
      <c r="I14397" s="20">
        <v>20.234000000000002</v>
      </c>
      <c r="J14397" s="44" t="s">
        <v>8</v>
      </c>
      <c r="K14397" s="23" t="s">
        <v>8</v>
      </c>
      <c r="L14397" s="23" t="s">
        <v>8</v>
      </c>
      <c r="M14397" s="23" t="s">
        <v>8</v>
      </c>
    </row>
    <row r="14398" spans="1:13" s="21" customFormat="1" x14ac:dyDescent="0.25">
      <c r="A14398" s="22" t="s">
        <v>8</v>
      </c>
      <c r="B14398" s="18" t="str">
        <f>"555793"</f>
        <v>555793</v>
      </c>
      <c r="C14398" s="19" t="s">
        <v>14132</v>
      </c>
      <c r="D14398" s="19" t="s">
        <v>29789</v>
      </c>
      <c r="E14398" s="19" t="s">
        <v>31176</v>
      </c>
      <c r="F14398" s="19" t="s">
        <v>35978</v>
      </c>
      <c r="G14398" s="18" t="str">
        <f>"92122"</f>
        <v>92122</v>
      </c>
      <c r="H14398" s="19" t="s">
        <v>31176</v>
      </c>
      <c r="I14398" s="20">
        <v>13.893000000000001</v>
      </c>
      <c r="J14398" s="44" t="s">
        <v>8</v>
      </c>
      <c r="K14398" s="23" t="s">
        <v>8</v>
      </c>
      <c r="L14398" s="23" t="s">
        <v>8</v>
      </c>
      <c r="M14398" s="23" t="s">
        <v>8</v>
      </c>
    </row>
    <row r="14399" spans="1:13" s="21" customFormat="1" x14ac:dyDescent="0.25">
      <c r="A14399" s="22" t="s">
        <v>8</v>
      </c>
      <c r="B14399" s="18" t="str">
        <f>"555794"</f>
        <v>555794</v>
      </c>
      <c r="C14399" s="19" t="s">
        <v>14133</v>
      </c>
      <c r="D14399" s="19" t="s">
        <v>29790</v>
      </c>
      <c r="E14399" s="19" t="s">
        <v>31192</v>
      </c>
      <c r="F14399" s="19" t="s">
        <v>35978</v>
      </c>
      <c r="G14399" s="18" t="str">
        <f>"91361"</f>
        <v>91361</v>
      </c>
      <c r="H14399" s="19" t="s">
        <v>31228</v>
      </c>
      <c r="I14399" s="20">
        <v>18.728000000000002</v>
      </c>
      <c r="J14399" s="44" t="s">
        <v>8</v>
      </c>
      <c r="K14399" s="23" t="s">
        <v>8</v>
      </c>
      <c r="L14399" s="23" t="s">
        <v>8</v>
      </c>
      <c r="M14399" s="23" t="s">
        <v>8</v>
      </c>
    </row>
    <row r="14400" spans="1:13" s="21" customFormat="1" x14ac:dyDescent="0.25">
      <c r="A14400" s="22" t="s">
        <v>8</v>
      </c>
      <c r="B14400" s="18" t="str">
        <f>"555795"</f>
        <v>555795</v>
      </c>
      <c r="C14400" s="19" t="s">
        <v>14134</v>
      </c>
      <c r="D14400" s="19" t="s">
        <v>29791</v>
      </c>
      <c r="E14400" s="19" t="s">
        <v>31193</v>
      </c>
      <c r="F14400" s="19" t="s">
        <v>35978</v>
      </c>
      <c r="G14400" s="18" t="str">
        <f>"91911"</f>
        <v>91911</v>
      </c>
      <c r="H14400" s="19" t="s">
        <v>31176</v>
      </c>
      <c r="I14400" s="20">
        <v>18.236999999999998</v>
      </c>
      <c r="J14400" s="44" t="s">
        <v>8</v>
      </c>
      <c r="K14400" s="23" t="s">
        <v>8</v>
      </c>
      <c r="L14400" s="23" t="s">
        <v>8</v>
      </c>
      <c r="M14400" s="23" t="s">
        <v>8</v>
      </c>
    </row>
    <row r="14401" spans="1:13" s="21" customFormat="1" x14ac:dyDescent="0.25">
      <c r="A14401" s="22" t="s">
        <v>8</v>
      </c>
      <c r="B14401" s="18" t="str">
        <f>"555796"</f>
        <v>555796</v>
      </c>
      <c r="C14401" s="19" t="s">
        <v>858</v>
      </c>
      <c r="D14401" s="19" t="s">
        <v>29792</v>
      </c>
      <c r="E14401" s="19" t="s">
        <v>31148</v>
      </c>
      <c r="F14401" s="19" t="s">
        <v>35978</v>
      </c>
      <c r="G14401" s="18" t="str">
        <f>"91770"</f>
        <v>91770</v>
      </c>
      <c r="H14401" s="19" t="s">
        <v>31109</v>
      </c>
      <c r="I14401" s="20">
        <v>25.402000000000001</v>
      </c>
      <c r="J14401" s="44" t="s">
        <v>8</v>
      </c>
      <c r="K14401" s="23" t="s">
        <v>8</v>
      </c>
      <c r="L14401" s="23" t="s">
        <v>8</v>
      </c>
      <c r="M14401" s="23" t="s">
        <v>8</v>
      </c>
    </row>
    <row r="14402" spans="1:13" s="21" customFormat="1" x14ac:dyDescent="0.25">
      <c r="A14402" s="22" t="s">
        <v>8</v>
      </c>
      <c r="B14402" s="18" t="str">
        <f>"555797"</f>
        <v>555797</v>
      </c>
      <c r="C14402" s="19" t="s">
        <v>14135</v>
      </c>
      <c r="D14402" s="19" t="s">
        <v>29793</v>
      </c>
      <c r="E14402" s="19" t="s">
        <v>31229</v>
      </c>
      <c r="F14402" s="19" t="s">
        <v>35978</v>
      </c>
      <c r="G14402" s="18" t="str">
        <f>"92831"</f>
        <v>92831</v>
      </c>
      <c r="H14402" s="19" t="s">
        <v>31169</v>
      </c>
      <c r="I14402" s="20">
        <v>19.568000000000001</v>
      </c>
      <c r="J14402" s="44" t="s">
        <v>8</v>
      </c>
      <c r="K14402" s="23" t="s">
        <v>8</v>
      </c>
      <c r="L14402" s="23" t="s">
        <v>8</v>
      </c>
      <c r="M14402" s="23" t="s">
        <v>8</v>
      </c>
    </row>
    <row r="14403" spans="1:13" s="21" customFormat="1" x14ac:dyDescent="0.25">
      <c r="A14403" s="22" t="s">
        <v>8</v>
      </c>
      <c r="B14403" s="18" t="str">
        <f>"555798"</f>
        <v>555798</v>
      </c>
      <c r="C14403" s="19" t="s">
        <v>14136</v>
      </c>
      <c r="D14403" s="19" t="s">
        <v>29794</v>
      </c>
      <c r="E14403" s="19" t="s">
        <v>31180</v>
      </c>
      <c r="F14403" s="19" t="s">
        <v>35978</v>
      </c>
      <c r="G14403" s="18" t="str">
        <f>"95825"</f>
        <v>95825</v>
      </c>
      <c r="H14403" s="19" t="s">
        <v>31180</v>
      </c>
      <c r="I14403" s="20">
        <v>18.806999999999999</v>
      </c>
      <c r="J14403" s="44" t="s">
        <v>8</v>
      </c>
      <c r="K14403" s="23" t="s">
        <v>8</v>
      </c>
      <c r="L14403" s="23" t="s">
        <v>8</v>
      </c>
      <c r="M14403" s="23" t="s">
        <v>8</v>
      </c>
    </row>
    <row r="14404" spans="1:13" s="21" customFormat="1" x14ac:dyDescent="0.25">
      <c r="A14404" s="22" t="s">
        <v>8</v>
      </c>
      <c r="B14404" s="18" t="str">
        <f>"555799"</f>
        <v>555799</v>
      </c>
      <c r="C14404" s="19" t="s">
        <v>14137</v>
      </c>
      <c r="D14404" s="19" t="s">
        <v>29795</v>
      </c>
      <c r="E14404" s="19" t="s">
        <v>31188</v>
      </c>
      <c r="F14404" s="19" t="s">
        <v>35978</v>
      </c>
      <c r="G14404" s="18" t="str">
        <f>"95127"</f>
        <v>95127</v>
      </c>
      <c r="H14404" s="19" t="s">
        <v>31241</v>
      </c>
      <c r="I14404" s="20">
        <v>18.844999999999999</v>
      </c>
      <c r="J14404" s="44" t="s">
        <v>8</v>
      </c>
      <c r="K14404" s="23" t="s">
        <v>8</v>
      </c>
      <c r="L14404" s="23" t="s">
        <v>8</v>
      </c>
      <c r="M14404" s="23" t="s">
        <v>8</v>
      </c>
    </row>
    <row r="14405" spans="1:13" s="21" customFormat="1" x14ac:dyDescent="0.25">
      <c r="A14405" s="22" t="s">
        <v>8</v>
      </c>
      <c r="B14405" s="18" t="str">
        <f>"555801"</f>
        <v>555801</v>
      </c>
      <c r="C14405" s="19" t="s">
        <v>14138</v>
      </c>
      <c r="D14405" s="19" t="s">
        <v>29796</v>
      </c>
      <c r="E14405" s="19" t="s">
        <v>31213</v>
      </c>
      <c r="F14405" s="19" t="s">
        <v>35978</v>
      </c>
      <c r="G14405" s="18" t="str">
        <f>"95661"</f>
        <v>95661</v>
      </c>
      <c r="H14405" s="19" t="s">
        <v>36093</v>
      </c>
      <c r="I14405" s="20">
        <v>19.579999999999998</v>
      </c>
      <c r="J14405" s="44" t="s">
        <v>8</v>
      </c>
      <c r="K14405" s="23" t="s">
        <v>8</v>
      </c>
      <c r="L14405" s="23" t="s">
        <v>8</v>
      </c>
      <c r="M14405" s="23" t="s">
        <v>8</v>
      </c>
    </row>
    <row r="14406" spans="1:13" s="21" customFormat="1" x14ac:dyDescent="0.25">
      <c r="A14406" s="22" t="s">
        <v>8</v>
      </c>
      <c r="B14406" s="18" t="str">
        <f>"555802"</f>
        <v>555802</v>
      </c>
      <c r="C14406" s="19" t="s">
        <v>14139</v>
      </c>
      <c r="D14406" s="19" t="s">
        <v>29797</v>
      </c>
      <c r="E14406" s="19" t="s">
        <v>31238</v>
      </c>
      <c r="F14406" s="19" t="s">
        <v>35978</v>
      </c>
      <c r="G14406" s="18" t="str">
        <f>"95966"</f>
        <v>95966</v>
      </c>
      <c r="H14406" s="19" t="s">
        <v>33744</v>
      </c>
      <c r="I14406" s="20">
        <v>24.026</v>
      </c>
      <c r="J14406" s="44" t="s">
        <v>8</v>
      </c>
      <c r="K14406" s="23" t="s">
        <v>8</v>
      </c>
      <c r="L14406" s="23" t="s">
        <v>8</v>
      </c>
      <c r="M14406" s="23" t="s">
        <v>8</v>
      </c>
    </row>
    <row r="14407" spans="1:13" s="21" customFormat="1" x14ac:dyDescent="0.25">
      <c r="A14407" s="22" t="s">
        <v>8</v>
      </c>
      <c r="B14407" s="18" t="str">
        <f>"555804"</f>
        <v>555804</v>
      </c>
      <c r="C14407" s="19" t="s">
        <v>14140</v>
      </c>
      <c r="D14407" s="19" t="s">
        <v>29798</v>
      </c>
      <c r="E14407" s="19" t="s">
        <v>31118</v>
      </c>
      <c r="F14407" s="19" t="s">
        <v>35978</v>
      </c>
      <c r="G14407" s="18" t="str">
        <f>"92020"</f>
        <v>92020</v>
      </c>
      <c r="H14407" s="19" t="s">
        <v>31176</v>
      </c>
      <c r="I14407" s="20">
        <v>20.93</v>
      </c>
      <c r="J14407" s="44" t="s">
        <v>8</v>
      </c>
      <c r="K14407" s="23" t="s">
        <v>8</v>
      </c>
      <c r="L14407" s="23" t="s">
        <v>8</v>
      </c>
      <c r="M14407" s="23" t="s">
        <v>8</v>
      </c>
    </row>
    <row r="14408" spans="1:13" s="21" customFormat="1" x14ac:dyDescent="0.25">
      <c r="A14408" s="22" t="s">
        <v>8</v>
      </c>
      <c r="B14408" s="18" t="str">
        <f>"555805"</f>
        <v>555805</v>
      </c>
      <c r="C14408" s="19" t="s">
        <v>14141</v>
      </c>
      <c r="D14408" s="19" t="s">
        <v>29799</v>
      </c>
      <c r="E14408" s="19" t="s">
        <v>35775</v>
      </c>
      <c r="F14408" s="19" t="s">
        <v>35978</v>
      </c>
      <c r="G14408" s="18" t="str">
        <f>"90804"</f>
        <v>90804</v>
      </c>
      <c r="H14408" s="19" t="s">
        <v>31109</v>
      </c>
      <c r="I14408" s="20">
        <v>18.68</v>
      </c>
      <c r="J14408" s="44" t="s">
        <v>8</v>
      </c>
      <c r="K14408" s="23" t="s">
        <v>8</v>
      </c>
      <c r="L14408" s="23" t="s">
        <v>8</v>
      </c>
      <c r="M14408" s="23" t="s">
        <v>8</v>
      </c>
    </row>
    <row r="14409" spans="1:13" s="21" customFormat="1" x14ac:dyDescent="0.25">
      <c r="A14409" s="22" t="s">
        <v>8</v>
      </c>
      <c r="B14409" s="18" t="str">
        <f>"555806"</f>
        <v>555806</v>
      </c>
      <c r="C14409" s="19" t="s">
        <v>14142</v>
      </c>
      <c r="D14409" s="19" t="s">
        <v>29800</v>
      </c>
      <c r="E14409" s="19" t="s">
        <v>31327</v>
      </c>
      <c r="F14409" s="19" t="s">
        <v>35978</v>
      </c>
      <c r="G14409" s="18" t="str">
        <f>"92009"</f>
        <v>92009</v>
      </c>
      <c r="H14409" s="19" t="s">
        <v>31176</v>
      </c>
      <c r="I14409" s="20">
        <v>16.305</v>
      </c>
      <c r="J14409" s="44" t="s">
        <v>8</v>
      </c>
      <c r="K14409" s="23" t="s">
        <v>8</v>
      </c>
      <c r="L14409" s="23" t="s">
        <v>8</v>
      </c>
      <c r="M14409" s="23" t="s">
        <v>8</v>
      </c>
    </row>
    <row r="14410" spans="1:13" s="21" customFormat="1" x14ac:dyDescent="0.25">
      <c r="A14410" s="22" t="s">
        <v>8</v>
      </c>
      <c r="B14410" s="18" t="str">
        <f>"555808"</f>
        <v>555808</v>
      </c>
      <c r="C14410" s="19" t="s">
        <v>14143</v>
      </c>
      <c r="D14410" s="19" t="s">
        <v>29801</v>
      </c>
      <c r="E14410" s="19" t="s">
        <v>31136</v>
      </c>
      <c r="F14410" s="19" t="s">
        <v>35978</v>
      </c>
      <c r="G14410" s="18" t="str">
        <f>"90404"</f>
        <v>90404</v>
      </c>
      <c r="H14410" s="19" t="s">
        <v>31109</v>
      </c>
      <c r="I14410" s="20">
        <v>19.212</v>
      </c>
      <c r="J14410" s="44" t="s">
        <v>8</v>
      </c>
      <c r="K14410" s="23" t="s">
        <v>8</v>
      </c>
      <c r="L14410" s="23" t="s">
        <v>8</v>
      </c>
      <c r="M14410" s="23" t="s">
        <v>8</v>
      </c>
    </row>
    <row r="14411" spans="1:13" s="21" customFormat="1" x14ac:dyDescent="0.25">
      <c r="A14411" s="22" t="s">
        <v>8</v>
      </c>
      <c r="B14411" s="18" t="str">
        <f>"555809"</f>
        <v>555809</v>
      </c>
      <c r="C14411" s="19" t="s">
        <v>14144</v>
      </c>
      <c r="D14411" s="19" t="s">
        <v>29802</v>
      </c>
      <c r="E14411" s="19" t="s">
        <v>31132</v>
      </c>
      <c r="F14411" s="19" t="s">
        <v>35978</v>
      </c>
      <c r="G14411" s="18" t="str">
        <f>"94578"</f>
        <v>94578</v>
      </c>
      <c r="H14411" s="19" t="s">
        <v>31290</v>
      </c>
      <c r="I14411" s="20">
        <v>17.844000000000001</v>
      </c>
      <c r="J14411" s="44" t="s">
        <v>8</v>
      </c>
      <c r="K14411" s="23" t="s">
        <v>8</v>
      </c>
      <c r="L14411" s="23" t="s">
        <v>8</v>
      </c>
      <c r="M14411" s="23" t="s">
        <v>8</v>
      </c>
    </row>
    <row r="14412" spans="1:13" s="21" customFormat="1" x14ac:dyDescent="0.25">
      <c r="A14412" s="22" t="s">
        <v>8</v>
      </c>
      <c r="B14412" s="18" t="str">
        <f>"555810"</f>
        <v>555810</v>
      </c>
      <c r="C14412" s="19" t="s">
        <v>14145</v>
      </c>
      <c r="D14412" s="19" t="s">
        <v>29803</v>
      </c>
      <c r="E14412" s="19" t="s">
        <v>31119</v>
      </c>
      <c r="F14412" s="19" t="s">
        <v>35978</v>
      </c>
      <c r="G14412" s="18" t="str">
        <f>"92026"</f>
        <v>92026</v>
      </c>
      <c r="H14412" s="19" t="s">
        <v>31176</v>
      </c>
      <c r="I14412" s="20">
        <v>20.478000000000002</v>
      </c>
      <c r="J14412" s="44" t="s">
        <v>8</v>
      </c>
      <c r="K14412" s="23" t="s">
        <v>8</v>
      </c>
      <c r="L14412" s="23" t="s">
        <v>8</v>
      </c>
      <c r="M14412" s="23" t="s">
        <v>8</v>
      </c>
    </row>
    <row r="14413" spans="1:13" s="21" customFormat="1" x14ac:dyDescent="0.25">
      <c r="A14413" s="22" t="s">
        <v>8</v>
      </c>
      <c r="B14413" s="18" t="str">
        <f>"555811"</f>
        <v>555811</v>
      </c>
      <c r="C14413" s="19" t="s">
        <v>14146</v>
      </c>
      <c r="D14413" s="19" t="s">
        <v>29804</v>
      </c>
      <c r="E14413" s="19" t="s">
        <v>35776</v>
      </c>
      <c r="F14413" s="19" t="s">
        <v>35978</v>
      </c>
      <c r="G14413" s="18" t="str">
        <f>"92656"</f>
        <v>92656</v>
      </c>
      <c r="H14413" s="19" t="s">
        <v>31169</v>
      </c>
      <c r="I14413" s="20">
        <v>16.402999999999999</v>
      </c>
      <c r="J14413" s="44" t="s">
        <v>8</v>
      </c>
      <c r="K14413" s="23" t="s">
        <v>8</v>
      </c>
      <c r="L14413" s="23" t="s">
        <v>8</v>
      </c>
      <c r="M14413" s="23" t="s">
        <v>8</v>
      </c>
    </row>
    <row r="14414" spans="1:13" s="21" customFormat="1" x14ac:dyDescent="0.25">
      <c r="A14414" s="22" t="s">
        <v>8</v>
      </c>
      <c r="B14414" s="18" t="str">
        <f>"555812"</f>
        <v>555812</v>
      </c>
      <c r="C14414" s="19" t="s">
        <v>14147</v>
      </c>
      <c r="D14414" s="19" t="s">
        <v>29805</v>
      </c>
      <c r="E14414" s="19" t="s">
        <v>31327</v>
      </c>
      <c r="F14414" s="19" t="s">
        <v>35978</v>
      </c>
      <c r="G14414" s="18" t="str">
        <f>"92008"</f>
        <v>92008</v>
      </c>
      <c r="H14414" s="19" t="s">
        <v>31176</v>
      </c>
      <c r="I14414" s="20">
        <v>20.382999999999999</v>
      </c>
      <c r="J14414" s="44" t="s">
        <v>8</v>
      </c>
      <c r="K14414" s="23" t="s">
        <v>8</v>
      </c>
      <c r="L14414" s="23" t="s">
        <v>8</v>
      </c>
      <c r="M14414" s="23" t="s">
        <v>8</v>
      </c>
    </row>
    <row r="14415" spans="1:13" s="21" customFormat="1" x14ac:dyDescent="0.25">
      <c r="A14415" s="22" t="s">
        <v>8</v>
      </c>
      <c r="B14415" s="18" t="str">
        <f>"555813"</f>
        <v>555813</v>
      </c>
      <c r="C14415" s="19" t="s">
        <v>14148</v>
      </c>
      <c r="D14415" s="19" t="s">
        <v>29806</v>
      </c>
      <c r="E14415" s="19" t="s">
        <v>35777</v>
      </c>
      <c r="F14415" s="19" t="s">
        <v>35978</v>
      </c>
      <c r="G14415" s="18" t="str">
        <f>"94062"</f>
        <v>94062</v>
      </c>
      <c r="H14415" s="19" t="s">
        <v>31152</v>
      </c>
      <c r="I14415" s="20">
        <v>19.434000000000001</v>
      </c>
      <c r="J14415" s="44" t="s">
        <v>8</v>
      </c>
      <c r="K14415" s="23" t="s">
        <v>8</v>
      </c>
      <c r="L14415" s="23" t="s">
        <v>8</v>
      </c>
      <c r="M14415" s="23" t="s">
        <v>8</v>
      </c>
    </row>
    <row r="14416" spans="1:13" s="21" customFormat="1" x14ac:dyDescent="0.25">
      <c r="A14416" s="22" t="s">
        <v>8</v>
      </c>
      <c r="B14416" s="18" t="str">
        <f>"555814"</f>
        <v>555814</v>
      </c>
      <c r="C14416" s="19" t="s">
        <v>14149</v>
      </c>
      <c r="D14416" s="19" t="s">
        <v>29807</v>
      </c>
      <c r="E14416" s="19" t="s">
        <v>31287</v>
      </c>
      <c r="F14416" s="19" t="s">
        <v>35978</v>
      </c>
      <c r="G14416" s="18" t="str">
        <f>"91342"</f>
        <v>91342</v>
      </c>
      <c r="H14416" s="19" t="s">
        <v>31109</v>
      </c>
      <c r="I14416" s="20">
        <v>21.245999999999999</v>
      </c>
      <c r="J14416" s="44" t="s">
        <v>8</v>
      </c>
      <c r="K14416" s="23" t="s">
        <v>8</v>
      </c>
      <c r="L14416" s="23" t="s">
        <v>8</v>
      </c>
      <c r="M14416" s="23" t="s">
        <v>8</v>
      </c>
    </row>
    <row r="14417" spans="1:13" s="21" customFormat="1" x14ac:dyDescent="0.25">
      <c r="A14417" s="22" t="s">
        <v>8</v>
      </c>
      <c r="B14417" s="18" t="str">
        <f>"555816"</f>
        <v>555816</v>
      </c>
      <c r="C14417" s="19" t="s">
        <v>14150</v>
      </c>
      <c r="D14417" s="19" t="s">
        <v>29808</v>
      </c>
      <c r="E14417" s="19" t="s">
        <v>35778</v>
      </c>
      <c r="F14417" s="19" t="s">
        <v>35978</v>
      </c>
      <c r="G14417" s="18" t="str">
        <f>"90260"</f>
        <v>90260</v>
      </c>
      <c r="H14417" s="19" t="s">
        <v>31109</v>
      </c>
      <c r="I14417" s="20">
        <v>18.463000000000001</v>
      </c>
      <c r="J14417" s="44" t="s">
        <v>8</v>
      </c>
      <c r="K14417" s="23" t="s">
        <v>8</v>
      </c>
      <c r="L14417" s="23" t="s">
        <v>8</v>
      </c>
      <c r="M14417" s="23" t="s">
        <v>8</v>
      </c>
    </row>
    <row r="14418" spans="1:13" s="21" customFormat="1" x14ac:dyDescent="0.25">
      <c r="A14418" s="22" t="s">
        <v>8</v>
      </c>
      <c r="B14418" s="18" t="str">
        <f>"555819"</f>
        <v>555819</v>
      </c>
      <c r="C14418" s="19" t="s">
        <v>14151</v>
      </c>
      <c r="D14418" s="19" t="s">
        <v>29809</v>
      </c>
      <c r="E14418" s="19" t="s">
        <v>31248</v>
      </c>
      <c r="F14418" s="19" t="s">
        <v>35978</v>
      </c>
      <c r="G14418" s="18" t="str">
        <f>"94705"</f>
        <v>94705</v>
      </c>
      <c r="H14418" s="19" t="s">
        <v>31290</v>
      </c>
      <c r="I14418" s="20">
        <v>16.481999999999999</v>
      </c>
      <c r="J14418" s="44" t="s">
        <v>8</v>
      </c>
      <c r="K14418" s="23" t="s">
        <v>8</v>
      </c>
      <c r="L14418" s="23" t="s">
        <v>8</v>
      </c>
      <c r="M14418" s="23" t="s">
        <v>8</v>
      </c>
    </row>
    <row r="14419" spans="1:13" s="21" customFormat="1" x14ac:dyDescent="0.25">
      <c r="A14419" s="22" t="s">
        <v>8</v>
      </c>
      <c r="B14419" s="18" t="str">
        <f>"555820"</f>
        <v>555820</v>
      </c>
      <c r="C14419" s="19" t="s">
        <v>14152</v>
      </c>
      <c r="D14419" s="19" t="s">
        <v>29810</v>
      </c>
      <c r="E14419" s="19" t="s">
        <v>35779</v>
      </c>
      <c r="F14419" s="19" t="s">
        <v>35978</v>
      </c>
      <c r="G14419" s="18" t="str">
        <f>"95448"</f>
        <v>95448</v>
      </c>
      <c r="H14419" s="19" t="s">
        <v>31174</v>
      </c>
      <c r="I14419" s="20">
        <v>19.190999999999999</v>
      </c>
      <c r="J14419" s="44" t="s">
        <v>8</v>
      </c>
      <c r="K14419" s="23" t="s">
        <v>8</v>
      </c>
      <c r="L14419" s="23" t="s">
        <v>8</v>
      </c>
      <c r="M14419" s="23" t="s">
        <v>8</v>
      </c>
    </row>
    <row r="14420" spans="1:13" s="21" customFormat="1" x14ac:dyDescent="0.25">
      <c r="A14420" s="22" t="s">
        <v>8</v>
      </c>
      <c r="B14420" s="18" t="str">
        <f>"555821"</f>
        <v>555821</v>
      </c>
      <c r="C14420" s="19" t="s">
        <v>14153</v>
      </c>
      <c r="D14420" s="19" t="s">
        <v>29811</v>
      </c>
      <c r="E14420" s="19" t="s">
        <v>35740</v>
      </c>
      <c r="F14420" s="19" t="s">
        <v>35978</v>
      </c>
      <c r="G14420" s="18" t="str">
        <f>"94553"</f>
        <v>94553</v>
      </c>
      <c r="H14420" s="19" t="s">
        <v>36088</v>
      </c>
      <c r="I14420" s="20">
        <v>19.135000000000002</v>
      </c>
      <c r="J14420" s="44" t="s">
        <v>8</v>
      </c>
      <c r="K14420" s="23" t="s">
        <v>8</v>
      </c>
      <c r="L14420" s="23" t="s">
        <v>8</v>
      </c>
      <c r="M14420" s="23" t="s">
        <v>8</v>
      </c>
    </row>
    <row r="14421" spans="1:13" s="21" customFormat="1" x14ac:dyDescent="0.25">
      <c r="A14421" s="22" t="s">
        <v>8</v>
      </c>
      <c r="B14421" s="18" t="str">
        <f>"555822"</f>
        <v>555822</v>
      </c>
      <c r="C14421" s="19" t="s">
        <v>14154</v>
      </c>
      <c r="D14421" s="19" t="s">
        <v>29812</v>
      </c>
      <c r="E14421" s="19" t="s">
        <v>31288</v>
      </c>
      <c r="F14421" s="19" t="s">
        <v>35978</v>
      </c>
      <c r="G14421" s="18" t="str">
        <f>"91303"</f>
        <v>91303</v>
      </c>
      <c r="H14421" s="19" t="s">
        <v>31109</v>
      </c>
      <c r="I14421" s="20">
        <v>17.646999999999998</v>
      </c>
      <c r="J14421" s="44" t="s">
        <v>8</v>
      </c>
      <c r="K14421" s="23" t="s">
        <v>8</v>
      </c>
      <c r="L14421" s="23" t="s">
        <v>8</v>
      </c>
      <c r="M14421" s="23" t="s">
        <v>8</v>
      </c>
    </row>
    <row r="14422" spans="1:13" s="21" customFormat="1" x14ac:dyDescent="0.25">
      <c r="A14422" s="22" t="s">
        <v>8</v>
      </c>
      <c r="B14422" s="18" t="str">
        <f>"555823"</f>
        <v>555823</v>
      </c>
      <c r="C14422" s="19" t="s">
        <v>14155</v>
      </c>
      <c r="D14422" s="19" t="s">
        <v>29813</v>
      </c>
      <c r="E14422" s="19" t="s">
        <v>31111</v>
      </c>
      <c r="F14422" s="19" t="s">
        <v>35978</v>
      </c>
      <c r="G14422" s="18" t="str">
        <f>"90815"</f>
        <v>90815</v>
      </c>
      <c r="H14422" s="19" t="s">
        <v>31109</v>
      </c>
      <c r="I14422" s="20">
        <v>18.641999999999999</v>
      </c>
      <c r="J14422" s="44" t="s">
        <v>8</v>
      </c>
      <c r="K14422" s="23" t="s">
        <v>8</v>
      </c>
      <c r="L14422" s="23" t="s">
        <v>8</v>
      </c>
      <c r="M14422" s="23" t="s">
        <v>8</v>
      </c>
    </row>
    <row r="14423" spans="1:13" s="21" customFormat="1" x14ac:dyDescent="0.25">
      <c r="A14423" s="22" t="s">
        <v>8</v>
      </c>
      <c r="B14423" s="18" t="str">
        <f>"555825"</f>
        <v>555825</v>
      </c>
      <c r="C14423" s="19" t="s">
        <v>14156</v>
      </c>
      <c r="D14423" s="19" t="s">
        <v>29814</v>
      </c>
      <c r="E14423" s="19" t="s">
        <v>31117</v>
      </c>
      <c r="F14423" s="19" t="s">
        <v>35978</v>
      </c>
      <c r="G14423" s="18" t="str">
        <f>"91775"</f>
        <v>91775</v>
      </c>
      <c r="H14423" s="19" t="s">
        <v>31109</v>
      </c>
      <c r="I14423" s="20">
        <v>20.361999999999998</v>
      </c>
      <c r="J14423" s="44" t="s">
        <v>8</v>
      </c>
      <c r="K14423" s="23" t="s">
        <v>8</v>
      </c>
      <c r="L14423" s="23" t="s">
        <v>8</v>
      </c>
      <c r="M14423" s="23" t="s">
        <v>8</v>
      </c>
    </row>
    <row r="14424" spans="1:13" s="21" customFormat="1" x14ac:dyDescent="0.25">
      <c r="A14424" s="22" t="s">
        <v>8</v>
      </c>
      <c r="B14424" s="18" t="str">
        <f>"555826"</f>
        <v>555826</v>
      </c>
      <c r="C14424" s="19" t="s">
        <v>14157</v>
      </c>
      <c r="D14424" s="19" t="s">
        <v>29815</v>
      </c>
      <c r="E14424" s="19" t="s">
        <v>35780</v>
      </c>
      <c r="F14424" s="19" t="s">
        <v>35978</v>
      </c>
      <c r="G14424" s="18" t="str">
        <f>"94941"</f>
        <v>94941</v>
      </c>
      <c r="H14424" s="19" t="s">
        <v>36090</v>
      </c>
      <c r="I14424" s="20">
        <v>19.48</v>
      </c>
      <c r="J14424" s="44" t="s">
        <v>8</v>
      </c>
      <c r="K14424" s="23" t="s">
        <v>8</v>
      </c>
      <c r="L14424" s="23" t="s">
        <v>8</v>
      </c>
      <c r="M14424" s="23" t="s">
        <v>8</v>
      </c>
    </row>
    <row r="14425" spans="1:13" s="21" customFormat="1" x14ac:dyDescent="0.25">
      <c r="A14425" s="22" t="s">
        <v>8</v>
      </c>
      <c r="B14425" s="18" t="str">
        <f>"555827"</f>
        <v>555827</v>
      </c>
      <c r="C14425" s="19" t="s">
        <v>14158</v>
      </c>
      <c r="D14425" s="19" t="s">
        <v>29816</v>
      </c>
      <c r="E14425" s="19" t="s">
        <v>35781</v>
      </c>
      <c r="F14425" s="19" t="s">
        <v>35978</v>
      </c>
      <c r="G14425" s="18" t="str">
        <f>"94025"</f>
        <v>94025</v>
      </c>
      <c r="H14425" s="19" t="s">
        <v>31152</v>
      </c>
      <c r="I14425" s="20">
        <v>19.384</v>
      </c>
      <c r="J14425" s="44" t="s">
        <v>8</v>
      </c>
      <c r="K14425" s="23" t="s">
        <v>8</v>
      </c>
      <c r="L14425" s="23" t="s">
        <v>8</v>
      </c>
      <c r="M14425" s="23" t="s">
        <v>8</v>
      </c>
    </row>
    <row r="14426" spans="1:13" s="21" customFormat="1" x14ac:dyDescent="0.25">
      <c r="A14426" s="22" t="s">
        <v>8</v>
      </c>
      <c r="B14426" s="18" t="str">
        <f>"555828"</f>
        <v>555828</v>
      </c>
      <c r="C14426" s="19" t="s">
        <v>14159</v>
      </c>
      <c r="D14426" s="19" t="s">
        <v>29817</v>
      </c>
      <c r="E14426" s="19" t="s">
        <v>35735</v>
      </c>
      <c r="F14426" s="19" t="s">
        <v>35978</v>
      </c>
      <c r="G14426" s="18" t="str">
        <f>"92084"</f>
        <v>92084</v>
      </c>
      <c r="H14426" s="19" t="s">
        <v>31176</v>
      </c>
      <c r="I14426" s="20">
        <v>19.713999999999999</v>
      </c>
      <c r="J14426" s="44" t="s">
        <v>8</v>
      </c>
      <c r="K14426" s="23" t="s">
        <v>8</v>
      </c>
      <c r="L14426" s="23" t="s">
        <v>8</v>
      </c>
      <c r="M14426" s="23" t="s">
        <v>8</v>
      </c>
    </row>
    <row r="14427" spans="1:13" s="21" customFormat="1" x14ac:dyDescent="0.25">
      <c r="A14427" s="22" t="s">
        <v>8</v>
      </c>
      <c r="B14427" s="18" t="str">
        <f>"555830"</f>
        <v>555830</v>
      </c>
      <c r="C14427" s="19" t="s">
        <v>14160</v>
      </c>
      <c r="D14427" s="19" t="s">
        <v>29818</v>
      </c>
      <c r="E14427" s="19" t="s">
        <v>31171</v>
      </c>
      <c r="F14427" s="19" t="s">
        <v>35978</v>
      </c>
      <c r="G14427" s="18" t="str">
        <f>"93436"</f>
        <v>93436</v>
      </c>
      <c r="H14427" s="19" t="s">
        <v>31246</v>
      </c>
      <c r="I14427" s="20">
        <v>15.987</v>
      </c>
      <c r="J14427" s="44" t="s">
        <v>8</v>
      </c>
      <c r="K14427" s="23" t="s">
        <v>8</v>
      </c>
      <c r="L14427" s="23" t="s">
        <v>8</v>
      </c>
      <c r="M14427" s="23" t="s">
        <v>8</v>
      </c>
    </row>
    <row r="14428" spans="1:13" s="21" customFormat="1" x14ac:dyDescent="0.25">
      <c r="A14428" s="22" t="s">
        <v>8</v>
      </c>
      <c r="B14428" s="18" t="str">
        <f>"555831"</f>
        <v>555831</v>
      </c>
      <c r="C14428" s="19" t="s">
        <v>14161</v>
      </c>
      <c r="D14428" s="19" t="s">
        <v>29819</v>
      </c>
      <c r="E14428" s="19" t="s">
        <v>31188</v>
      </c>
      <c r="F14428" s="19" t="s">
        <v>35978</v>
      </c>
      <c r="G14428" s="18" t="str">
        <f>"95125"</f>
        <v>95125</v>
      </c>
      <c r="H14428" s="19" t="s">
        <v>31241</v>
      </c>
      <c r="I14428" s="20">
        <v>20.824000000000002</v>
      </c>
      <c r="J14428" s="44" t="s">
        <v>8</v>
      </c>
      <c r="K14428" s="23" t="s">
        <v>8</v>
      </c>
      <c r="L14428" s="23" t="s">
        <v>8</v>
      </c>
      <c r="M14428" s="23" t="s">
        <v>8</v>
      </c>
    </row>
    <row r="14429" spans="1:13" s="21" customFormat="1" x14ac:dyDescent="0.25">
      <c r="A14429" s="22" t="s">
        <v>8</v>
      </c>
      <c r="B14429" s="18" t="str">
        <f>"555832"</f>
        <v>555832</v>
      </c>
      <c r="C14429" s="19" t="s">
        <v>14162</v>
      </c>
      <c r="D14429" s="19" t="s">
        <v>29820</v>
      </c>
      <c r="E14429" s="19" t="s">
        <v>31276</v>
      </c>
      <c r="F14429" s="19" t="s">
        <v>35978</v>
      </c>
      <c r="G14429" s="18" t="str">
        <f>"91790"</f>
        <v>91790</v>
      </c>
      <c r="H14429" s="19" t="s">
        <v>31109</v>
      </c>
      <c r="I14429" s="20">
        <v>17.256</v>
      </c>
      <c r="J14429" s="44" t="s">
        <v>8</v>
      </c>
      <c r="K14429" s="23" t="s">
        <v>8</v>
      </c>
      <c r="L14429" s="23" t="s">
        <v>8</v>
      </c>
      <c r="M14429" s="23" t="s">
        <v>8</v>
      </c>
    </row>
    <row r="14430" spans="1:13" s="21" customFormat="1" x14ac:dyDescent="0.25">
      <c r="A14430" s="22" t="s">
        <v>8</v>
      </c>
      <c r="B14430" s="18" t="str">
        <f>"555833"</f>
        <v>555833</v>
      </c>
      <c r="C14430" s="19" t="s">
        <v>14163</v>
      </c>
      <c r="D14430" s="19" t="s">
        <v>29821</v>
      </c>
      <c r="E14430" s="19" t="s">
        <v>31146</v>
      </c>
      <c r="F14430" s="19" t="s">
        <v>35978</v>
      </c>
      <c r="G14430" s="18" t="str">
        <f>"94117"</f>
        <v>94117</v>
      </c>
      <c r="H14430" s="19" t="s">
        <v>31146</v>
      </c>
      <c r="I14430" s="20">
        <v>16.193000000000001</v>
      </c>
      <c r="J14430" s="44" t="s">
        <v>8</v>
      </c>
      <c r="K14430" s="23" t="s">
        <v>8</v>
      </c>
      <c r="L14430" s="23" t="s">
        <v>8</v>
      </c>
      <c r="M14430" s="23" t="s">
        <v>8</v>
      </c>
    </row>
    <row r="14431" spans="1:13" s="21" customFormat="1" x14ac:dyDescent="0.25">
      <c r="A14431" s="22" t="s">
        <v>8</v>
      </c>
      <c r="B14431" s="18" t="str">
        <f>"555835"</f>
        <v>555835</v>
      </c>
      <c r="C14431" s="19" t="s">
        <v>14164</v>
      </c>
      <c r="D14431" s="19" t="s">
        <v>29822</v>
      </c>
      <c r="E14431" s="19" t="s">
        <v>31242</v>
      </c>
      <c r="F14431" s="19" t="s">
        <v>35978</v>
      </c>
      <c r="G14431" s="18" t="str">
        <f>"94304"</f>
        <v>94304</v>
      </c>
      <c r="H14431" s="19" t="s">
        <v>31241</v>
      </c>
      <c r="I14431" s="20">
        <v>14.648999999999999</v>
      </c>
      <c r="J14431" s="44" t="s">
        <v>8</v>
      </c>
      <c r="K14431" s="23" t="s">
        <v>8</v>
      </c>
      <c r="L14431" s="23" t="s">
        <v>8</v>
      </c>
      <c r="M14431" s="23" t="s">
        <v>8</v>
      </c>
    </row>
    <row r="14432" spans="1:13" s="21" customFormat="1" x14ac:dyDescent="0.25">
      <c r="A14432" s="22" t="s">
        <v>8</v>
      </c>
      <c r="B14432" s="18" t="str">
        <f>"555836"</f>
        <v>555836</v>
      </c>
      <c r="C14432" s="19" t="s">
        <v>14165</v>
      </c>
      <c r="D14432" s="19" t="s">
        <v>29823</v>
      </c>
      <c r="E14432" s="19" t="s">
        <v>31260</v>
      </c>
      <c r="F14432" s="19" t="s">
        <v>35978</v>
      </c>
      <c r="G14432" s="18" t="str">
        <f>"95403"</f>
        <v>95403</v>
      </c>
      <c r="H14432" s="19" t="s">
        <v>31174</v>
      </c>
      <c r="I14432" s="20">
        <v>18.488</v>
      </c>
      <c r="J14432" s="44" t="s">
        <v>8</v>
      </c>
      <c r="K14432" s="23" t="s">
        <v>8</v>
      </c>
      <c r="L14432" s="23" t="s">
        <v>8</v>
      </c>
      <c r="M14432" s="23" t="s">
        <v>8</v>
      </c>
    </row>
    <row r="14433" spans="1:13" s="21" customFormat="1" x14ac:dyDescent="0.25">
      <c r="A14433" s="22" t="s">
        <v>8</v>
      </c>
      <c r="B14433" s="18" t="str">
        <f>"555838"</f>
        <v>555838</v>
      </c>
      <c r="C14433" s="19" t="s">
        <v>14166</v>
      </c>
      <c r="D14433" s="19" t="s">
        <v>29824</v>
      </c>
      <c r="E14433" s="19" t="s">
        <v>33699</v>
      </c>
      <c r="F14433" s="19" t="s">
        <v>35978</v>
      </c>
      <c r="G14433" s="18" t="str">
        <f>"95008"</f>
        <v>95008</v>
      </c>
      <c r="H14433" s="19" t="s">
        <v>31241</v>
      </c>
      <c r="I14433" s="20">
        <v>17.302</v>
      </c>
      <c r="J14433" s="44" t="s">
        <v>8</v>
      </c>
      <c r="K14433" s="23" t="s">
        <v>8</v>
      </c>
      <c r="L14433" s="23" t="s">
        <v>8</v>
      </c>
      <c r="M14433" s="23" t="s">
        <v>8</v>
      </c>
    </row>
    <row r="14434" spans="1:13" s="21" customFormat="1" x14ac:dyDescent="0.25">
      <c r="A14434" s="22" t="s">
        <v>8</v>
      </c>
      <c r="B14434" s="18" t="str">
        <f>"555839"</f>
        <v>555839</v>
      </c>
      <c r="C14434" s="19" t="s">
        <v>14167</v>
      </c>
      <c r="D14434" s="19" t="s">
        <v>29825</v>
      </c>
      <c r="E14434" s="19" t="s">
        <v>30946</v>
      </c>
      <c r="F14434" s="19" t="s">
        <v>35978</v>
      </c>
      <c r="G14434" s="18" t="str">
        <f>"91201"</f>
        <v>91201</v>
      </c>
      <c r="H14434" s="19" t="s">
        <v>31109</v>
      </c>
      <c r="I14434" s="20">
        <v>23.966999999999999</v>
      </c>
      <c r="J14434" s="44" t="s">
        <v>8</v>
      </c>
      <c r="K14434" s="23" t="s">
        <v>8</v>
      </c>
      <c r="L14434" s="23" t="s">
        <v>8</v>
      </c>
      <c r="M14434" s="23" t="s">
        <v>8</v>
      </c>
    </row>
    <row r="14435" spans="1:13" s="21" customFormat="1" x14ac:dyDescent="0.25">
      <c r="A14435" s="22" t="s">
        <v>8</v>
      </c>
      <c r="B14435" s="18" t="str">
        <f>"555841"</f>
        <v>555841</v>
      </c>
      <c r="C14435" s="19" t="s">
        <v>14168</v>
      </c>
      <c r="D14435" s="19" t="s">
        <v>29826</v>
      </c>
      <c r="E14435" s="19" t="s">
        <v>33699</v>
      </c>
      <c r="F14435" s="19" t="s">
        <v>35978</v>
      </c>
      <c r="G14435" s="18" t="str">
        <f>"95008"</f>
        <v>95008</v>
      </c>
      <c r="H14435" s="19" t="s">
        <v>31241</v>
      </c>
      <c r="I14435" s="20">
        <v>19.039000000000001</v>
      </c>
      <c r="J14435" s="44" t="s">
        <v>8</v>
      </c>
      <c r="K14435" s="23" t="s">
        <v>8</v>
      </c>
      <c r="L14435" s="23" t="s">
        <v>8</v>
      </c>
      <c r="M14435" s="23" t="s">
        <v>8</v>
      </c>
    </row>
    <row r="14436" spans="1:13" s="21" customFormat="1" x14ac:dyDescent="0.25">
      <c r="A14436" s="22" t="s">
        <v>8</v>
      </c>
      <c r="B14436" s="18" t="str">
        <f>"555842"</f>
        <v>555842</v>
      </c>
      <c r="C14436" s="19" t="s">
        <v>14169</v>
      </c>
      <c r="D14436" s="19" t="s">
        <v>29827</v>
      </c>
      <c r="E14436" s="19" t="s">
        <v>31132</v>
      </c>
      <c r="F14436" s="19" t="s">
        <v>35978</v>
      </c>
      <c r="G14436" s="18" t="str">
        <f>"94577"</f>
        <v>94577</v>
      </c>
      <c r="H14436" s="19" t="s">
        <v>31290</v>
      </c>
      <c r="I14436" s="20">
        <v>18.266999999999999</v>
      </c>
      <c r="J14436" s="44" t="s">
        <v>8</v>
      </c>
      <c r="K14436" s="23" t="s">
        <v>8</v>
      </c>
      <c r="L14436" s="23" t="s">
        <v>8</v>
      </c>
      <c r="M14436" s="23" t="s">
        <v>8</v>
      </c>
    </row>
    <row r="14437" spans="1:13" s="21" customFormat="1" x14ac:dyDescent="0.25">
      <c r="A14437" s="22" t="s">
        <v>8</v>
      </c>
      <c r="B14437" s="18" t="str">
        <f>"555843"</f>
        <v>555843</v>
      </c>
      <c r="C14437" s="19" t="s">
        <v>14170</v>
      </c>
      <c r="D14437" s="19" t="s">
        <v>29828</v>
      </c>
      <c r="E14437" s="19" t="s">
        <v>31813</v>
      </c>
      <c r="F14437" s="19" t="s">
        <v>35978</v>
      </c>
      <c r="G14437" s="18" t="str">
        <f>"94587"</f>
        <v>94587</v>
      </c>
      <c r="H14437" s="19" t="s">
        <v>31290</v>
      </c>
      <c r="I14437" s="20">
        <v>20.302</v>
      </c>
      <c r="J14437" s="44" t="s">
        <v>8</v>
      </c>
      <c r="K14437" s="23" t="s">
        <v>8</v>
      </c>
      <c r="L14437" s="23" t="s">
        <v>8</v>
      </c>
      <c r="M14437" s="23" t="s">
        <v>8</v>
      </c>
    </row>
    <row r="14438" spans="1:13" s="21" customFormat="1" x14ac:dyDescent="0.25">
      <c r="A14438" s="22" t="s">
        <v>8</v>
      </c>
      <c r="B14438" s="18" t="str">
        <f>"555844"</f>
        <v>555844</v>
      </c>
      <c r="C14438" s="19" t="s">
        <v>14171</v>
      </c>
      <c r="D14438" s="19" t="s">
        <v>29829</v>
      </c>
      <c r="E14438" s="19" t="s">
        <v>35782</v>
      </c>
      <c r="F14438" s="19" t="s">
        <v>35978</v>
      </c>
      <c r="G14438" s="18" t="str">
        <f>"94947"</f>
        <v>94947</v>
      </c>
      <c r="H14438" s="19" t="s">
        <v>36090</v>
      </c>
      <c r="I14438" s="20">
        <v>18.977</v>
      </c>
      <c r="J14438" s="44" t="s">
        <v>8</v>
      </c>
      <c r="K14438" s="23" t="s">
        <v>8</v>
      </c>
      <c r="L14438" s="23" t="s">
        <v>8</v>
      </c>
      <c r="M14438" s="23" t="s">
        <v>8</v>
      </c>
    </row>
    <row r="14439" spans="1:13" s="21" customFormat="1" x14ac:dyDescent="0.25">
      <c r="A14439" s="22" t="s">
        <v>8</v>
      </c>
      <c r="B14439" s="18" t="str">
        <f>"555846"</f>
        <v>555846</v>
      </c>
      <c r="C14439" s="19" t="s">
        <v>14172</v>
      </c>
      <c r="D14439" s="19" t="s">
        <v>29830</v>
      </c>
      <c r="E14439" s="19" t="s">
        <v>31102</v>
      </c>
      <c r="F14439" s="19" t="s">
        <v>35978</v>
      </c>
      <c r="G14439" s="18" t="str">
        <f>"91335"</f>
        <v>91335</v>
      </c>
      <c r="H14439" s="19" t="s">
        <v>31109</v>
      </c>
      <c r="I14439" s="20">
        <v>19.715</v>
      </c>
      <c r="J14439" s="44" t="s">
        <v>8</v>
      </c>
      <c r="K14439" s="23" t="s">
        <v>8</v>
      </c>
      <c r="L14439" s="23" t="s">
        <v>8</v>
      </c>
      <c r="M14439" s="23" t="s">
        <v>8</v>
      </c>
    </row>
    <row r="14440" spans="1:13" s="21" customFormat="1" x14ac:dyDescent="0.25">
      <c r="A14440" s="22" t="s">
        <v>8</v>
      </c>
      <c r="B14440" s="18" t="str">
        <f>"555847"</f>
        <v>555847</v>
      </c>
      <c r="C14440" s="19" t="s">
        <v>14173</v>
      </c>
      <c r="D14440" s="19" t="s">
        <v>29831</v>
      </c>
      <c r="E14440" s="19" t="s">
        <v>31236</v>
      </c>
      <c r="F14440" s="19" t="s">
        <v>35978</v>
      </c>
      <c r="G14440" s="18" t="str">
        <f>"93305"</f>
        <v>93305</v>
      </c>
      <c r="H14440" s="19" t="s">
        <v>36098</v>
      </c>
      <c r="I14440" s="20">
        <v>18.553999999999998</v>
      </c>
      <c r="J14440" s="44" t="s">
        <v>8</v>
      </c>
      <c r="K14440" s="23" t="s">
        <v>8</v>
      </c>
      <c r="L14440" s="23" t="s">
        <v>8</v>
      </c>
      <c r="M14440" s="23" t="s">
        <v>8</v>
      </c>
    </row>
    <row r="14441" spans="1:13" s="21" customFormat="1" x14ac:dyDescent="0.25">
      <c r="A14441" s="22" t="s">
        <v>8</v>
      </c>
      <c r="B14441" s="18" t="str">
        <f>"555848"</f>
        <v>555848</v>
      </c>
      <c r="C14441" s="19" t="s">
        <v>14174</v>
      </c>
      <c r="D14441" s="19" t="s">
        <v>29832</v>
      </c>
      <c r="E14441" s="19" t="s">
        <v>31120</v>
      </c>
      <c r="F14441" s="19" t="s">
        <v>35978</v>
      </c>
      <c r="G14441" s="18" t="str">
        <f>"90732"</f>
        <v>90732</v>
      </c>
      <c r="H14441" s="19" t="s">
        <v>31109</v>
      </c>
      <c r="I14441" s="20">
        <v>18.376000000000001</v>
      </c>
      <c r="J14441" s="44" t="s">
        <v>8</v>
      </c>
      <c r="K14441" s="23" t="s">
        <v>8</v>
      </c>
      <c r="L14441" s="23" t="s">
        <v>8</v>
      </c>
      <c r="M14441" s="23" t="s">
        <v>8</v>
      </c>
    </row>
    <row r="14442" spans="1:13" s="21" customFormat="1" x14ac:dyDescent="0.25">
      <c r="A14442" s="22" t="s">
        <v>8</v>
      </c>
      <c r="B14442" s="18" t="str">
        <f>"555849"</f>
        <v>555849</v>
      </c>
      <c r="C14442" s="19" t="s">
        <v>14175</v>
      </c>
      <c r="D14442" s="19" t="s">
        <v>29833</v>
      </c>
      <c r="E14442" s="19" t="s">
        <v>31109</v>
      </c>
      <c r="F14442" s="19" t="s">
        <v>35978</v>
      </c>
      <c r="G14442" s="18" t="str">
        <f>"90066"</f>
        <v>90066</v>
      </c>
      <c r="H14442" s="19" t="s">
        <v>31109</v>
      </c>
      <c r="I14442" s="20">
        <v>17.875</v>
      </c>
      <c r="J14442" s="44" t="s">
        <v>8</v>
      </c>
      <c r="K14442" s="23" t="s">
        <v>8</v>
      </c>
      <c r="L14442" s="23" t="s">
        <v>8</v>
      </c>
      <c r="M14442" s="23" t="s">
        <v>8</v>
      </c>
    </row>
    <row r="14443" spans="1:13" s="21" customFormat="1" x14ac:dyDescent="0.25">
      <c r="A14443" s="22" t="s">
        <v>8</v>
      </c>
      <c r="B14443" s="18" t="str">
        <f>"555850"</f>
        <v>555850</v>
      </c>
      <c r="C14443" s="19" t="s">
        <v>14176</v>
      </c>
      <c r="D14443" s="19" t="s">
        <v>29834</v>
      </c>
      <c r="E14443" s="19" t="s">
        <v>31156</v>
      </c>
      <c r="F14443" s="19" t="s">
        <v>35978</v>
      </c>
      <c r="G14443" s="18" t="str">
        <f>"91801"</f>
        <v>91801</v>
      </c>
      <c r="H14443" s="19" t="s">
        <v>31109</v>
      </c>
      <c r="I14443" s="20">
        <v>19.175000000000001</v>
      </c>
      <c r="J14443" s="44" t="s">
        <v>8</v>
      </c>
      <c r="K14443" s="23" t="s">
        <v>8</v>
      </c>
      <c r="L14443" s="23" t="s">
        <v>8</v>
      </c>
      <c r="M14443" s="23" t="s">
        <v>8</v>
      </c>
    </row>
    <row r="14444" spans="1:13" s="21" customFormat="1" x14ac:dyDescent="0.25">
      <c r="A14444" s="22" t="s">
        <v>8</v>
      </c>
      <c r="B14444" s="18" t="str">
        <f>"555851"</f>
        <v>555851</v>
      </c>
      <c r="C14444" s="19" t="s">
        <v>14177</v>
      </c>
      <c r="D14444" s="19" t="s">
        <v>29835</v>
      </c>
      <c r="E14444" s="19" t="s">
        <v>31143</v>
      </c>
      <c r="F14444" s="19" t="s">
        <v>35978</v>
      </c>
      <c r="G14444" s="18" t="str">
        <f>"94606"</f>
        <v>94606</v>
      </c>
      <c r="H14444" s="19" t="s">
        <v>31290</v>
      </c>
      <c r="I14444" s="20">
        <v>17.984999999999999</v>
      </c>
      <c r="J14444" s="44" t="s">
        <v>8</v>
      </c>
      <c r="K14444" s="23" t="s">
        <v>8</v>
      </c>
      <c r="L14444" s="23" t="s">
        <v>8</v>
      </c>
      <c r="M14444" s="23" t="s">
        <v>8</v>
      </c>
    </row>
    <row r="14445" spans="1:13" s="21" customFormat="1" x14ac:dyDescent="0.25">
      <c r="A14445" s="22" t="s">
        <v>8</v>
      </c>
      <c r="B14445" s="18" t="str">
        <f>"555852"</f>
        <v>555852</v>
      </c>
      <c r="C14445" s="19" t="s">
        <v>14178</v>
      </c>
      <c r="D14445" s="19" t="s">
        <v>29836</v>
      </c>
      <c r="E14445" s="19" t="s">
        <v>31104</v>
      </c>
      <c r="F14445" s="19" t="s">
        <v>35978</v>
      </c>
      <c r="G14445" s="18" t="str">
        <f>"91768"</f>
        <v>91768</v>
      </c>
      <c r="H14445" s="19" t="s">
        <v>31109</v>
      </c>
      <c r="I14445" s="20">
        <v>19.695</v>
      </c>
      <c r="J14445" s="44" t="s">
        <v>8</v>
      </c>
      <c r="K14445" s="23" t="s">
        <v>8</v>
      </c>
      <c r="L14445" s="23" t="s">
        <v>8</v>
      </c>
      <c r="M14445" s="23" t="s">
        <v>8</v>
      </c>
    </row>
    <row r="14446" spans="1:13" s="21" customFormat="1" x14ac:dyDescent="0.25">
      <c r="A14446" s="22" t="s">
        <v>8</v>
      </c>
      <c r="B14446" s="18" t="str">
        <f>"555853"</f>
        <v>555853</v>
      </c>
      <c r="C14446" s="19" t="s">
        <v>14179</v>
      </c>
      <c r="D14446" s="19" t="s">
        <v>29837</v>
      </c>
      <c r="E14446" s="19" t="s">
        <v>35726</v>
      </c>
      <c r="F14446" s="19" t="s">
        <v>35978</v>
      </c>
      <c r="G14446" s="18" t="str">
        <f>"92311"</f>
        <v>92311</v>
      </c>
      <c r="H14446" s="19" t="s">
        <v>31227</v>
      </c>
      <c r="I14446" s="20">
        <v>18.751000000000001</v>
      </c>
      <c r="J14446" s="44" t="s">
        <v>8</v>
      </c>
      <c r="K14446" s="23" t="s">
        <v>8</v>
      </c>
      <c r="L14446" s="23" t="s">
        <v>8</v>
      </c>
      <c r="M14446" s="23" t="s">
        <v>8</v>
      </c>
    </row>
    <row r="14447" spans="1:13" s="21" customFormat="1" x14ac:dyDescent="0.25">
      <c r="A14447" s="22" t="s">
        <v>8</v>
      </c>
      <c r="B14447" s="18" t="str">
        <f>"555854"</f>
        <v>555854</v>
      </c>
      <c r="C14447" s="19" t="s">
        <v>14180</v>
      </c>
      <c r="D14447" s="19" t="s">
        <v>29838</v>
      </c>
      <c r="E14447" s="19" t="s">
        <v>31285</v>
      </c>
      <c r="F14447" s="19" t="s">
        <v>35978</v>
      </c>
      <c r="G14447" s="18" t="str">
        <f>"91740"</f>
        <v>91740</v>
      </c>
      <c r="H14447" s="19" t="s">
        <v>31109</v>
      </c>
      <c r="I14447" s="20">
        <v>19.087</v>
      </c>
      <c r="J14447" s="44" t="s">
        <v>8</v>
      </c>
      <c r="K14447" s="23" t="s">
        <v>8</v>
      </c>
      <c r="L14447" s="23" t="s">
        <v>8</v>
      </c>
      <c r="M14447" s="23" t="s">
        <v>8</v>
      </c>
    </row>
    <row r="14448" spans="1:13" s="21" customFormat="1" x14ac:dyDescent="0.25">
      <c r="A14448" s="22" t="s">
        <v>8</v>
      </c>
      <c r="B14448" s="18" t="str">
        <f>"555855"</f>
        <v>555855</v>
      </c>
      <c r="C14448" s="19" t="s">
        <v>14181</v>
      </c>
      <c r="D14448" s="19" t="s">
        <v>29839</v>
      </c>
      <c r="E14448" s="19" t="s">
        <v>31165</v>
      </c>
      <c r="F14448" s="19" t="s">
        <v>35978</v>
      </c>
      <c r="G14448" s="18" t="str">
        <f>"94546"</f>
        <v>94546</v>
      </c>
      <c r="H14448" s="19" t="s">
        <v>31290</v>
      </c>
      <c r="I14448" s="20">
        <v>17.216999999999999</v>
      </c>
      <c r="J14448" s="44" t="s">
        <v>8</v>
      </c>
      <c r="K14448" s="23" t="s">
        <v>8</v>
      </c>
      <c r="L14448" s="23" t="s">
        <v>8</v>
      </c>
      <c r="M14448" s="23" t="s">
        <v>8</v>
      </c>
    </row>
    <row r="14449" spans="1:13" s="21" customFormat="1" x14ac:dyDescent="0.25">
      <c r="A14449" s="22" t="s">
        <v>8</v>
      </c>
      <c r="B14449" s="18" t="str">
        <f>"555856"</f>
        <v>555856</v>
      </c>
      <c r="C14449" s="19" t="s">
        <v>14182</v>
      </c>
      <c r="D14449" s="19" t="s">
        <v>29840</v>
      </c>
      <c r="E14449" s="19" t="s">
        <v>35783</v>
      </c>
      <c r="F14449" s="19" t="s">
        <v>35978</v>
      </c>
      <c r="G14449" s="18" t="str">
        <f>"94010"</f>
        <v>94010</v>
      </c>
      <c r="H14449" s="19" t="s">
        <v>31152</v>
      </c>
      <c r="I14449" s="20">
        <v>16.056000000000001</v>
      </c>
      <c r="J14449" s="44" t="s">
        <v>8</v>
      </c>
      <c r="K14449" s="23" t="s">
        <v>8</v>
      </c>
      <c r="L14449" s="23" t="s">
        <v>8</v>
      </c>
      <c r="M14449" s="23" t="s">
        <v>8</v>
      </c>
    </row>
    <row r="14450" spans="1:13" s="21" customFormat="1" x14ac:dyDescent="0.25">
      <c r="A14450" s="22" t="s">
        <v>8</v>
      </c>
      <c r="B14450" s="18" t="str">
        <f>"555857"</f>
        <v>555857</v>
      </c>
      <c r="C14450" s="19" t="s">
        <v>14183</v>
      </c>
      <c r="D14450" s="19" t="s">
        <v>29841</v>
      </c>
      <c r="E14450" s="19" t="s">
        <v>31192</v>
      </c>
      <c r="F14450" s="19" t="s">
        <v>35978</v>
      </c>
      <c r="G14450" s="18" t="str">
        <f>"91360"</f>
        <v>91360</v>
      </c>
      <c r="H14450" s="19" t="s">
        <v>31228</v>
      </c>
      <c r="I14450" s="20">
        <v>19.074999999999999</v>
      </c>
      <c r="J14450" s="44" t="s">
        <v>8</v>
      </c>
      <c r="K14450" s="23" t="s">
        <v>8</v>
      </c>
      <c r="L14450" s="23" t="s">
        <v>8</v>
      </c>
      <c r="M14450" s="23" t="s">
        <v>8</v>
      </c>
    </row>
    <row r="14451" spans="1:13" s="21" customFormat="1" x14ac:dyDescent="0.25">
      <c r="A14451" s="22" t="s">
        <v>8</v>
      </c>
      <c r="B14451" s="18" t="str">
        <f>"555859"</f>
        <v>555859</v>
      </c>
      <c r="C14451" s="19" t="s">
        <v>14184</v>
      </c>
      <c r="D14451" s="19" t="s">
        <v>29842</v>
      </c>
      <c r="E14451" s="19" t="s">
        <v>35784</v>
      </c>
      <c r="F14451" s="19" t="s">
        <v>35978</v>
      </c>
      <c r="G14451" s="18" t="str">
        <f>"92821"</f>
        <v>92821</v>
      </c>
      <c r="H14451" s="19" t="s">
        <v>31169</v>
      </c>
      <c r="I14451" s="20">
        <v>18.341999999999999</v>
      </c>
      <c r="J14451" s="44" t="s">
        <v>8</v>
      </c>
      <c r="K14451" s="23" t="s">
        <v>8</v>
      </c>
      <c r="L14451" s="23" t="s">
        <v>8</v>
      </c>
      <c r="M14451" s="23" t="s">
        <v>8</v>
      </c>
    </row>
    <row r="14452" spans="1:13" s="21" customFormat="1" x14ac:dyDescent="0.25">
      <c r="A14452" s="22" t="s">
        <v>8</v>
      </c>
      <c r="B14452" s="18" t="str">
        <f>"555861"</f>
        <v>555861</v>
      </c>
      <c r="C14452" s="19" t="s">
        <v>14185</v>
      </c>
      <c r="D14452" s="19" t="s">
        <v>29843</v>
      </c>
      <c r="E14452" s="19" t="s">
        <v>31243</v>
      </c>
      <c r="F14452" s="19" t="s">
        <v>35978</v>
      </c>
      <c r="G14452" s="18" t="str">
        <f>"93274"</f>
        <v>93274</v>
      </c>
      <c r="H14452" s="19" t="s">
        <v>31243</v>
      </c>
      <c r="I14452" s="20">
        <v>19.722999999999999</v>
      </c>
      <c r="J14452" s="44" t="s">
        <v>8</v>
      </c>
      <c r="K14452" s="23" t="s">
        <v>8</v>
      </c>
      <c r="L14452" s="23" t="s">
        <v>8</v>
      </c>
      <c r="M14452" s="23" t="s">
        <v>8</v>
      </c>
    </row>
    <row r="14453" spans="1:13" s="21" customFormat="1" x14ac:dyDescent="0.25">
      <c r="A14453" s="22" t="s">
        <v>8</v>
      </c>
      <c r="B14453" s="18" t="str">
        <f>"555862"</f>
        <v>555862</v>
      </c>
      <c r="C14453" s="19" t="s">
        <v>14186</v>
      </c>
      <c r="D14453" s="19" t="s">
        <v>29844</v>
      </c>
      <c r="E14453" s="19" t="s">
        <v>35729</v>
      </c>
      <c r="F14453" s="19" t="s">
        <v>35978</v>
      </c>
      <c r="G14453" s="18" t="str">
        <f>"91352"</f>
        <v>91352</v>
      </c>
      <c r="H14453" s="19" t="s">
        <v>31109</v>
      </c>
      <c r="I14453" s="20">
        <v>17.326000000000001</v>
      </c>
      <c r="J14453" s="44" t="s">
        <v>8</v>
      </c>
      <c r="K14453" s="23" t="s">
        <v>8</v>
      </c>
      <c r="L14453" s="23" t="s">
        <v>8</v>
      </c>
      <c r="M14453" s="23" t="s">
        <v>8</v>
      </c>
    </row>
    <row r="14454" spans="1:13" s="21" customFormat="1" x14ac:dyDescent="0.25">
      <c r="A14454" s="22" t="s">
        <v>8</v>
      </c>
      <c r="B14454" s="18" t="str">
        <f>"555865"</f>
        <v>555865</v>
      </c>
      <c r="C14454" s="19" t="s">
        <v>14187</v>
      </c>
      <c r="D14454" s="19" t="s">
        <v>29845</v>
      </c>
      <c r="E14454" s="19" t="s">
        <v>31109</v>
      </c>
      <c r="F14454" s="19" t="s">
        <v>35978</v>
      </c>
      <c r="G14454" s="18" t="str">
        <f>"90032"</f>
        <v>90032</v>
      </c>
      <c r="H14454" s="19" t="s">
        <v>31109</v>
      </c>
      <c r="I14454" s="20">
        <v>20.363</v>
      </c>
      <c r="J14454" s="44" t="s">
        <v>8</v>
      </c>
      <c r="K14454" s="23" t="s">
        <v>8</v>
      </c>
      <c r="L14454" s="23" t="s">
        <v>8</v>
      </c>
      <c r="M14454" s="23" t="s">
        <v>8</v>
      </c>
    </row>
    <row r="14455" spans="1:13" s="21" customFormat="1" x14ac:dyDescent="0.25">
      <c r="A14455" s="22" t="s">
        <v>8</v>
      </c>
      <c r="B14455" s="18" t="str">
        <f>"555866"</f>
        <v>555866</v>
      </c>
      <c r="C14455" s="19" t="s">
        <v>14188</v>
      </c>
      <c r="D14455" s="19" t="s">
        <v>29846</v>
      </c>
      <c r="E14455" s="19" t="s">
        <v>31155</v>
      </c>
      <c r="F14455" s="19" t="s">
        <v>35978</v>
      </c>
      <c r="G14455" s="18" t="str">
        <f>"93702"</f>
        <v>93702</v>
      </c>
      <c r="H14455" s="19" t="s">
        <v>31155</v>
      </c>
      <c r="I14455" s="20">
        <v>19.89</v>
      </c>
      <c r="J14455" s="44" t="s">
        <v>8</v>
      </c>
      <c r="K14455" s="23" t="s">
        <v>8</v>
      </c>
      <c r="L14455" s="23" t="s">
        <v>8</v>
      </c>
      <c r="M14455" s="23" t="s">
        <v>8</v>
      </c>
    </row>
    <row r="14456" spans="1:13" s="21" customFormat="1" x14ac:dyDescent="0.25">
      <c r="A14456" s="22" t="s">
        <v>8</v>
      </c>
      <c r="B14456" s="18" t="str">
        <f>"555867"</f>
        <v>555867</v>
      </c>
      <c r="C14456" s="19" t="s">
        <v>14189</v>
      </c>
      <c r="D14456" s="19" t="s">
        <v>29847</v>
      </c>
      <c r="E14456" s="19" t="s">
        <v>31183</v>
      </c>
      <c r="F14456" s="19" t="s">
        <v>35978</v>
      </c>
      <c r="G14456" s="18" t="str">
        <f>"93950"</f>
        <v>93950</v>
      </c>
      <c r="H14456" s="19" t="s">
        <v>31274</v>
      </c>
      <c r="I14456" s="20">
        <v>15.022</v>
      </c>
      <c r="J14456" s="44" t="s">
        <v>8</v>
      </c>
      <c r="K14456" s="23" t="s">
        <v>8</v>
      </c>
      <c r="L14456" s="23" t="s">
        <v>8</v>
      </c>
      <c r="M14456" s="23" t="s">
        <v>8</v>
      </c>
    </row>
    <row r="14457" spans="1:13" s="21" customFormat="1" x14ac:dyDescent="0.25">
      <c r="A14457" s="22" t="s">
        <v>8</v>
      </c>
      <c r="B14457" s="18" t="str">
        <f>"555868"</f>
        <v>555868</v>
      </c>
      <c r="C14457" s="19" t="s">
        <v>14190</v>
      </c>
      <c r="D14457" s="19" t="s">
        <v>29848</v>
      </c>
      <c r="E14457" s="19" t="s">
        <v>31190</v>
      </c>
      <c r="F14457" s="19" t="s">
        <v>35978</v>
      </c>
      <c r="G14457" s="18" t="str">
        <f>"94541"</f>
        <v>94541</v>
      </c>
      <c r="H14457" s="19" t="s">
        <v>31290</v>
      </c>
      <c r="I14457" s="20">
        <v>18.649999999999999</v>
      </c>
      <c r="J14457" s="44" t="s">
        <v>8</v>
      </c>
      <c r="K14457" s="23" t="s">
        <v>8</v>
      </c>
      <c r="L14457" s="23" t="s">
        <v>8</v>
      </c>
      <c r="M14457" s="23" t="s">
        <v>8</v>
      </c>
    </row>
    <row r="14458" spans="1:13" s="21" customFormat="1" x14ac:dyDescent="0.25">
      <c r="A14458" s="22" t="s">
        <v>8</v>
      </c>
      <c r="B14458" s="18" t="str">
        <f>"555870"</f>
        <v>555870</v>
      </c>
      <c r="C14458" s="19" t="s">
        <v>14191</v>
      </c>
      <c r="D14458" s="19" t="s">
        <v>29849</v>
      </c>
      <c r="E14458" s="19" t="s">
        <v>31149</v>
      </c>
      <c r="F14458" s="19" t="s">
        <v>35978</v>
      </c>
      <c r="G14458" s="18" t="str">
        <f>"91945"</f>
        <v>91945</v>
      </c>
      <c r="H14458" s="19" t="s">
        <v>31176</v>
      </c>
      <c r="I14458" s="20">
        <v>15.478999999999999</v>
      </c>
      <c r="J14458" s="44" t="s">
        <v>8</v>
      </c>
      <c r="K14458" s="23" t="s">
        <v>8</v>
      </c>
      <c r="L14458" s="23" t="s">
        <v>8</v>
      </c>
      <c r="M14458" s="23" t="s">
        <v>8</v>
      </c>
    </row>
    <row r="14459" spans="1:13" s="21" customFormat="1" x14ac:dyDescent="0.25">
      <c r="A14459" s="22" t="s">
        <v>8</v>
      </c>
      <c r="B14459" s="18" t="str">
        <f>"555871"</f>
        <v>555871</v>
      </c>
      <c r="C14459" s="19" t="s">
        <v>14192</v>
      </c>
      <c r="D14459" s="19" t="s">
        <v>29850</v>
      </c>
      <c r="E14459" s="19" t="s">
        <v>31118</v>
      </c>
      <c r="F14459" s="19" t="s">
        <v>35978</v>
      </c>
      <c r="G14459" s="18" t="str">
        <f>"92020"</f>
        <v>92020</v>
      </c>
      <c r="H14459" s="19" t="s">
        <v>31176</v>
      </c>
      <c r="I14459" s="20">
        <v>21.669</v>
      </c>
      <c r="J14459" s="44" t="s">
        <v>8</v>
      </c>
      <c r="K14459" s="23" t="s">
        <v>8</v>
      </c>
      <c r="L14459" s="23" t="s">
        <v>8</v>
      </c>
      <c r="M14459" s="23" t="s">
        <v>8</v>
      </c>
    </row>
    <row r="14460" spans="1:13" s="21" customFormat="1" x14ac:dyDescent="0.25">
      <c r="A14460" s="22" t="s">
        <v>8</v>
      </c>
      <c r="B14460" s="18" t="str">
        <f>"555872"</f>
        <v>555872</v>
      </c>
      <c r="C14460" s="19" t="s">
        <v>14193</v>
      </c>
      <c r="D14460" s="19" t="s">
        <v>29851</v>
      </c>
      <c r="E14460" s="19" t="s">
        <v>31248</v>
      </c>
      <c r="F14460" s="19" t="s">
        <v>35978</v>
      </c>
      <c r="G14460" s="18" t="str">
        <f>"94702"</f>
        <v>94702</v>
      </c>
      <c r="H14460" s="19" t="s">
        <v>31290</v>
      </c>
      <c r="I14460" s="20">
        <v>17.920000000000002</v>
      </c>
      <c r="J14460" s="44" t="s">
        <v>8</v>
      </c>
      <c r="K14460" s="23" t="s">
        <v>8</v>
      </c>
      <c r="L14460" s="23" t="s">
        <v>8</v>
      </c>
      <c r="M14460" s="23" t="s">
        <v>8</v>
      </c>
    </row>
    <row r="14461" spans="1:13" s="21" customFormat="1" x14ac:dyDescent="0.25">
      <c r="A14461" s="22" t="s">
        <v>8</v>
      </c>
      <c r="B14461" s="18" t="str">
        <f>"555873"</f>
        <v>555873</v>
      </c>
      <c r="C14461" s="19" t="s">
        <v>14194</v>
      </c>
      <c r="D14461" s="19" t="s">
        <v>29852</v>
      </c>
      <c r="E14461" s="19" t="s">
        <v>31193</v>
      </c>
      <c r="F14461" s="19" t="s">
        <v>35978</v>
      </c>
      <c r="G14461" s="18" t="str">
        <f>"91910"</f>
        <v>91910</v>
      </c>
      <c r="H14461" s="19" t="s">
        <v>31176</v>
      </c>
      <c r="I14461" s="20">
        <v>20.053999999999998</v>
      </c>
      <c r="J14461" s="44" t="s">
        <v>8</v>
      </c>
      <c r="K14461" s="23" t="s">
        <v>8</v>
      </c>
      <c r="L14461" s="23" t="s">
        <v>8</v>
      </c>
      <c r="M14461" s="23" t="s">
        <v>8</v>
      </c>
    </row>
    <row r="14462" spans="1:13" s="21" customFormat="1" x14ac:dyDescent="0.25">
      <c r="A14462" s="22" t="s">
        <v>8</v>
      </c>
      <c r="B14462" s="18" t="str">
        <f>"555874"</f>
        <v>555874</v>
      </c>
      <c r="C14462" s="19" t="s">
        <v>14195</v>
      </c>
      <c r="D14462" s="19" t="s">
        <v>29853</v>
      </c>
      <c r="E14462" s="19" t="s">
        <v>31154</v>
      </c>
      <c r="F14462" s="19" t="s">
        <v>35978</v>
      </c>
      <c r="G14462" s="18" t="str">
        <f>"90230"</f>
        <v>90230</v>
      </c>
      <c r="H14462" s="19" t="s">
        <v>31109</v>
      </c>
      <c r="I14462" s="20">
        <v>19.085000000000001</v>
      </c>
      <c r="J14462" s="44" t="s">
        <v>8</v>
      </c>
      <c r="K14462" s="23" t="s">
        <v>8</v>
      </c>
      <c r="L14462" s="23" t="s">
        <v>8</v>
      </c>
      <c r="M14462" s="23" t="s">
        <v>8</v>
      </c>
    </row>
    <row r="14463" spans="1:13" s="21" customFormat="1" x14ac:dyDescent="0.25">
      <c r="A14463" s="22" t="s">
        <v>8</v>
      </c>
      <c r="B14463" s="18" t="str">
        <f>"555875"</f>
        <v>555875</v>
      </c>
      <c r="C14463" s="19" t="s">
        <v>14196</v>
      </c>
      <c r="D14463" s="19" t="s">
        <v>29854</v>
      </c>
      <c r="E14463" s="19" t="s">
        <v>31246</v>
      </c>
      <c r="F14463" s="19" t="s">
        <v>35978</v>
      </c>
      <c r="G14463" s="18" t="str">
        <f>"93110"</f>
        <v>93110</v>
      </c>
      <c r="H14463" s="19" t="s">
        <v>31246</v>
      </c>
      <c r="I14463" s="20">
        <v>19.495000000000001</v>
      </c>
      <c r="J14463" s="44" t="s">
        <v>8</v>
      </c>
      <c r="K14463" s="23" t="s">
        <v>8</v>
      </c>
      <c r="L14463" s="23" t="s">
        <v>8</v>
      </c>
      <c r="M14463" s="23" t="s">
        <v>8</v>
      </c>
    </row>
    <row r="14464" spans="1:13" s="21" customFormat="1" x14ac:dyDescent="0.25">
      <c r="A14464" s="22" t="s">
        <v>8</v>
      </c>
      <c r="B14464" s="18" t="str">
        <f>"555876"</f>
        <v>555876</v>
      </c>
      <c r="C14464" s="19" t="s">
        <v>14197</v>
      </c>
      <c r="D14464" s="19" t="s">
        <v>29855</v>
      </c>
      <c r="E14464" s="19" t="s">
        <v>35731</v>
      </c>
      <c r="F14464" s="19" t="s">
        <v>35978</v>
      </c>
      <c r="G14464" s="18" t="str">
        <f>"93012"</f>
        <v>93012</v>
      </c>
      <c r="H14464" s="19" t="s">
        <v>31228</v>
      </c>
      <c r="I14464" s="20">
        <v>18.683</v>
      </c>
      <c r="J14464" s="44" t="s">
        <v>8</v>
      </c>
      <c r="K14464" s="23" t="s">
        <v>8</v>
      </c>
      <c r="L14464" s="23" t="s">
        <v>8</v>
      </c>
      <c r="M14464" s="23" t="s">
        <v>8</v>
      </c>
    </row>
    <row r="14465" spans="1:13" s="21" customFormat="1" x14ac:dyDescent="0.25">
      <c r="A14465" s="22" t="s">
        <v>8</v>
      </c>
      <c r="B14465" s="18" t="str">
        <f>"555877"</f>
        <v>555877</v>
      </c>
      <c r="C14465" s="19" t="s">
        <v>14198</v>
      </c>
      <c r="D14465" s="19" t="s">
        <v>29856</v>
      </c>
      <c r="E14465" s="19" t="s">
        <v>35737</v>
      </c>
      <c r="F14465" s="19" t="s">
        <v>35978</v>
      </c>
      <c r="G14465" s="18" t="str">
        <f>"93555"</f>
        <v>93555</v>
      </c>
      <c r="H14465" s="19" t="s">
        <v>36098</v>
      </c>
      <c r="I14465" s="20">
        <v>18.539000000000001</v>
      </c>
      <c r="J14465" s="44" t="s">
        <v>8</v>
      </c>
      <c r="K14465" s="23" t="s">
        <v>8</v>
      </c>
      <c r="L14465" s="23" t="s">
        <v>8</v>
      </c>
      <c r="M14465" s="23" t="s">
        <v>8</v>
      </c>
    </row>
    <row r="14466" spans="1:13" s="21" customFormat="1" x14ac:dyDescent="0.25">
      <c r="A14466" s="22" t="s">
        <v>8</v>
      </c>
      <c r="B14466" s="18" t="str">
        <f>"555878"</f>
        <v>555878</v>
      </c>
      <c r="C14466" s="19" t="s">
        <v>14199</v>
      </c>
      <c r="D14466" s="19" t="s">
        <v>29857</v>
      </c>
      <c r="E14466" s="19" t="s">
        <v>31118</v>
      </c>
      <c r="F14466" s="19" t="s">
        <v>35978</v>
      </c>
      <c r="G14466" s="18" t="str">
        <f>"92021"</f>
        <v>92021</v>
      </c>
      <c r="H14466" s="19" t="s">
        <v>31176</v>
      </c>
      <c r="I14466" s="20">
        <v>19.222999999999999</v>
      </c>
      <c r="J14466" s="44" t="s">
        <v>8</v>
      </c>
      <c r="K14466" s="23" t="s">
        <v>8</v>
      </c>
      <c r="L14466" s="23" t="s">
        <v>8</v>
      </c>
      <c r="M14466" s="23" t="s">
        <v>8</v>
      </c>
    </row>
    <row r="14467" spans="1:13" s="21" customFormat="1" x14ac:dyDescent="0.25">
      <c r="A14467" s="22" t="s">
        <v>8</v>
      </c>
      <c r="B14467" s="18" t="str">
        <f>"555879"</f>
        <v>555879</v>
      </c>
      <c r="C14467" s="19" t="s">
        <v>14200</v>
      </c>
      <c r="D14467" s="19" t="s">
        <v>29858</v>
      </c>
      <c r="E14467" s="19" t="s">
        <v>31132</v>
      </c>
      <c r="F14467" s="19" t="s">
        <v>35978</v>
      </c>
      <c r="G14467" s="18" t="str">
        <f>"94578"</f>
        <v>94578</v>
      </c>
      <c r="H14467" s="19" t="s">
        <v>31290</v>
      </c>
      <c r="I14467" s="20">
        <v>19.914999999999999</v>
      </c>
      <c r="J14467" s="44" t="s">
        <v>8</v>
      </c>
      <c r="K14467" s="23" t="s">
        <v>8</v>
      </c>
      <c r="L14467" s="23" t="s">
        <v>8</v>
      </c>
      <c r="M14467" s="23" t="s">
        <v>8</v>
      </c>
    </row>
    <row r="14468" spans="1:13" s="21" customFormat="1" x14ac:dyDescent="0.25">
      <c r="A14468" s="22" t="s">
        <v>8</v>
      </c>
      <c r="B14468" s="18" t="str">
        <f>"555880"</f>
        <v>555880</v>
      </c>
      <c r="C14468" s="19" t="s">
        <v>14201</v>
      </c>
      <c r="D14468" s="19" t="s">
        <v>29859</v>
      </c>
      <c r="E14468" s="19" t="s">
        <v>31121</v>
      </c>
      <c r="F14468" s="19" t="s">
        <v>35978</v>
      </c>
      <c r="G14468" s="18" t="str">
        <f>"90247"</f>
        <v>90247</v>
      </c>
      <c r="H14468" s="19" t="s">
        <v>31109</v>
      </c>
      <c r="I14468" s="20">
        <v>22.370999999999999</v>
      </c>
      <c r="J14468" s="44" t="s">
        <v>8</v>
      </c>
      <c r="K14468" s="23" t="s">
        <v>8</v>
      </c>
      <c r="L14468" s="23" t="s">
        <v>8</v>
      </c>
      <c r="M14468" s="23" t="s">
        <v>8</v>
      </c>
    </row>
    <row r="14469" spans="1:13" s="21" customFormat="1" x14ac:dyDescent="0.25">
      <c r="A14469" s="22" t="s">
        <v>8</v>
      </c>
      <c r="B14469" s="18" t="str">
        <f>"555881"</f>
        <v>555881</v>
      </c>
      <c r="C14469" s="19" t="s">
        <v>14202</v>
      </c>
      <c r="D14469" s="19" t="s">
        <v>29859</v>
      </c>
      <c r="E14469" s="19" t="s">
        <v>31121</v>
      </c>
      <c r="F14469" s="19" t="s">
        <v>35978</v>
      </c>
      <c r="G14469" s="18" t="str">
        <f>"90247"</f>
        <v>90247</v>
      </c>
      <c r="H14469" s="19" t="s">
        <v>31109</v>
      </c>
      <c r="I14469" s="20">
        <v>18.634</v>
      </c>
      <c r="J14469" s="44" t="s">
        <v>8</v>
      </c>
      <c r="K14469" s="23" t="s">
        <v>8</v>
      </c>
      <c r="L14469" s="23" t="s">
        <v>8</v>
      </c>
      <c r="M14469" s="23" t="s">
        <v>8</v>
      </c>
    </row>
    <row r="14470" spans="1:13" s="21" customFormat="1" x14ac:dyDescent="0.25">
      <c r="A14470" s="22" t="s">
        <v>8</v>
      </c>
      <c r="B14470" s="18" t="str">
        <f>"555882"</f>
        <v>555882</v>
      </c>
      <c r="C14470" s="19" t="s">
        <v>14203</v>
      </c>
      <c r="D14470" s="19" t="s">
        <v>29860</v>
      </c>
      <c r="E14470" s="19" t="s">
        <v>31101</v>
      </c>
      <c r="F14470" s="19" t="s">
        <v>35978</v>
      </c>
      <c r="G14470" s="18" t="str">
        <f>"95354"</f>
        <v>95354</v>
      </c>
      <c r="H14470" s="19" t="s">
        <v>36085</v>
      </c>
      <c r="I14470" s="20">
        <v>18.667000000000002</v>
      </c>
      <c r="J14470" s="44" t="s">
        <v>8</v>
      </c>
      <c r="K14470" s="23" t="s">
        <v>8</v>
      </c>
      <c r="L14470" s="23" t="s">
        <v>8</v>
      </c>
      <c r="M14470" s="23" t="s">
        <v>8</v>
      </c>
    </row>
    <row r="14471" spans="1:13" s="21" customFormat="1" x14ac:dyDescent="0.25">
      <c r="A14471" s="22" t="s">
        <v>8</v>
      </c>
      <c r="B14471" s="18" t="str">
        <f>"555884"</f>
        <v>555884</v>
      </c>
      <c r="C14471" s="19" t="s">
        <v>14204</v>
      </c>
      <c r="D14471" s="19" t="s">
        <v>29861</v>
      </c>
      <c r="E14471" s="19" t="s">
        <v>31112</v>
      </c>
      <c r="F14471" s="19" t="s">
        <v>35978</v>
      </c>
      <c r="G14471" s="18" t="str">
        <f>"92509"</f>
        <v>92509</v>
      </c>
      <c r="H14471" s="19" t="s">
        <v>31112</v>
      </c>
      <c r="I14471" s="20">
        <v>19.512</v>
      </c>
      <c r="J14471" s="44" t="s">
        <v>8</v>
      </c>
      <c r="K14471" s="23" t="s">
        <v>8</v>
      </c>
      <c r="L14471" s="23" t="s">
        <v>8</v>
      </c>
      <c r="M14471" s="23" t="s">
        <v>8</v>
      </c>
    </row>
    <row r="14472" spans="1:13" s="21" customFormat="1" x14ac:dyDescent="0.25">
      <c r="A14472" s="22" t="s">
        <v>8</v>
      </c>
      <c r="B14472" s="18" t="str">
        <f>"555885"</f>
        <v>555885</v>
      </c>
      <c r="C14472" s="19" t="s">
        <v>14205</v>
      </c>
      <c r="D14472" s="19" t="s">
        <v>29862</v>
      </c>
      <c r="E14472" s="19" t="s">
        <v>31310</v>
      </c>
      <c r="F14472" s="19" t="s">
        <v>35978</v>
      </c>
      <c r="G14472" s="18" t="str">
        <f>"91403"</f>
        <v>91403</v>
      </c>
      <c r="H14472" s="19" t="s">
        <v>31109</v>
      </c>
      <c r="I14472" s="20">
        <v>18.149000000000001</v>
      </c>
      <c r="J14472" s="44" t="s">
        <v>8</v>
      </c>
      <c r="K14472" s="23" t="s">
        <v>8</v>
      </c>
      <c r="L14472" s="23" t="s">
        <v>8</v>
      </c>
      <c r="M14472" s="23" t="s">
        <v>8</v>
      </c>
    </row>
    <row r="14473" spans="1:13" s="21" customFormat="1" x14ac:dyDescent="0.25">
      <c r="A14473" s="22" t="s">
        <v>8</v>
      </c>
      <c r="B14473" s="18" t="str">
        <f>"555887"</f>
        <v>555887</v>
      </c>
      <c r="C14473" s="19" t="s">
        <v>14206</v>
      </c>
      <c r="D14473" s="19" t="s">
        <v>29863</v>
      </c>
      <c r="E14473" s="19" t="s">
        <v>30978</v>
      </c>
      <c r="F14473" s="19" t="s">
        <v>35978</v>
      </c>
      <c r="G14473" s="18" t="str">
        <f>"92040"</f>
        <v>92040</v>
      </c>
      <c r="H14473" s="19" t="s">
        <v>31176</v>
      </c>
      <c r="I14473" s="20">
        <v>18.756</v>
      </c>
      <c r="J14473" s="44" t="s">
        <v>8</v>
      </c>
      <c r="K14473" s="23" t="s">
        <v>8</v>
      </c>
      <c r="L14473" s="23" t="s">
        <v>8</v>
      </c>
      <c r="M14473" s="23" t="s">
        <v>8</v>
      </c>
    </row>
    <row r="14474" spans="1:13" s="21" customFormat="1" x14ac:dyDescent="0.25">
      <c r="A14474" s="22" t="s">
        <v>8</v>
      </c>
      <c r="B14474" s="18" t="str">
        <f>"555888"</f>
        <v>555888</v>
      </c>
      <c r="C14474" s="19" t="s">
        <v>5109</v>
      </c>
      <c r="D14474" s="19" t="s">
        <v>29864</v>
      </c>
      <c r="E14474" s="19" t="s">
        <v>31146</v>
      </c>
      <c r="F14474" s="19" t="s">
        <v>35978</v>
      </c>
      <c r="G14474" s="18" t="str">
        <f>"94123"</f>
        <v>94123</v>
      </c>
      <c r="H14474" s="19" t="s">
        <v>31146</v>
      </c>
      <c r="I14474" s="20">
        <v>17.559000000000001</v>
      </c>
      <c r="J14474" s="44" t="s">
        <v>8</v>
      </c>
      <c r="K14474" s="23" t="s">
        <v>8</v>
      </c>
      <c r="L14474" s="23" t="s">
        <v>8</v>
      </c>
      <c r="M14474" s="23" t="s">
        <v>8</v>
      </c>
    </row>
    <row r="14475" spans="1:13" s="21" customFormat="1" x14ac:dyDescent="0.25">
      <c r="A14475" s="22" t="s">
        <v>8</v>
      </c>
      <c r="B14475" s="18" t="str">
        <f>"555889"</f>
        <v>555889</v>
      </c>
      <c r="C14475" s="19" t="s">
        <v>14207</v>
      </c>
      <c r="D14475" s="19" t="s">
        <v>29865</v>
      </c>
      <c r="E14475" s="19" t="s">
        <v>31197</v>
      </c>
      <c r="F14475" s="19" t="s">
        <v>35978</v>
      </c>
      <c r="G14475" s="18" t="str">
        <f>"95608"</f>
        <v>95608</v>
      </c>
      <c r="H14475" s="19" t="s">
        <v>31180</v>
      </c>
      <c r="I14475" s="20">
        <v>18.747</v>
      </c>
      <c r="J14475" s="44" t="s">
        <v>8</v>
      </c>
      <c r="K14475" s="23" t="s">
        <v>8</v>
      </c>
      <c r="L14475" s="23" t="s">
        <v>8</v>
      </c>
      <c r="M14475" s="23" t="s">
        <v>8</v>
      </c>
    </row>
    <row r="14476" spans="1:13" s="21" customFormat="1" x14ac:dyDescent="0.25">
      <c r="A14476" s="22" t="s">
        <v>8</v>
      </c>
      <c r="B14476" s="18" t="str">
        <f>"555890"</f>
        <v>555890</v>
      </c>
      <c r="C14476" s="19" t="s">
        <v>7727</v>
      </c>
      <c r="D14476" s="19" t="s">
        <v>29866</v>
      </c>
      <c r="E14476" s="19" t="s">
        <v>31227</v>
      </c>
      <c r="F14476" s="19" t="s">
        <v>35978</v>
      </c>
      <c r="G14476" s="18" t="str">
        <f>"92407"</f>
        <v>92407</v>
      </c>
      <c r="H14476" s="19" t="s">
        <v>31227</v>
      </c>
      <c r="I14476" s="20">
        <v>18.920999999999999</v>
      </c>
      <c r="J14476" s="44" t="s">
        <v>8</v>
      </c>
      <c r="K14476" s="23" t="s">
        <v>8</v>
      </c>
      <c r="L14476" s="23" t="s">
        <v>8</v>
      </c>
      <c r="M14476" s="23" t="s">
        <v>8</v>
      </c>
    </row>
    <row r="14477" spans="1:13" s="21" customFormat="1" x14ac:dyDescent="0.25">
      <c r="A14477" s="22" t="s">
        <v>8</v>
      </c>
      <c r="B14477" s="18" t="str">
        <f>"555891"</f>
        <v>555891</v>
      </c>
      <c r="C14477" s="19" t="s">
        <v>14208</v>
      </c>
      <c r="D14477" s="19" t="s">
        <v>29867</v>
      </c>
      <c r="E14477" s="19" t="s">
        <v>31217</v>
      </c>
      <c r="F14477" s="19" t="s">
        <v>35978</v>
      </c>
      <c r="G14477" s="18" t="str">
        <f>"96002"</f>
        <v>96002</v>
      </c>
      <c r="H14477" s="19" t="s">
        <v>36097</v>
      </c>
      <c r="I14477" s="20">
        <v>18.998999999999999</v>
      </c>
      <c r="J14477" s="44" t="s">
        <v>8</v>
      </c>
      <c r="K14477" s="23" t="s">
        <v>8</v>
      </c>
      <c r="L14477" s="23" t="s">
        <v>8</v>
      </c>
      <c r="M14477" s="23" t="s">
        <v>8</v>
      </c>
    </row>
    <row r="14478" spans="1:13" s="21" customFormat="1" x14ac:dyDescent="0.25">
      <c r="A14478" s="22" t="s">
        <v>8</v>
      </c>
      <c r="B14478" s="18" t="str">
        <f>"655000"</f>
        <v>655000</v>
      </c>
      <c r="C14478" s="19" t="s">
        <v>14209</v>
      </c>
      <c r="D14478" s="19" t="s">
        <v>29868</v>
      </c>
      <c r="E14478" s="19" t="s">
        <v>35785</v>
      </c>
      <c r="F14478" s="19" t="s">
        <v>36026</v>
      </c>
      <c r="G14478" s="18" t="str">
        <f>"96913"</f>
        <v>96913</v>
      </c>
      <c r="H14478" s="19" t="s">
        <v>36947</v>
      </c>
      <c r="I14478" s="20">
        <v>17.181000000000001</v>
      </c>
      <c r="J14478" s="44" t="s">
        <v>8</v>
      </c>
      <c r="K14478" s="23" t="s">
        <v>8</v>
      </c>
      <c r="L14478" s="23" t="s">
        <v>8</v>
      </c>
      <c r="M14478" s="23" t="s">
        <v>8</v>
      </c>
    </row>
    <row r="14479" spans="1:13" s="21" customFormat="1" x14ac:dyDescent="0.25">
      <c r="A14479" s="22" t="s">
        <v>8</v>
      </c>
      <c r="B14479" s="18" t="s">
        <v>15441</v>
      </c>
      <c r="C14479" s="19" t="s">
        <v>14210</v>
      </c>
      <c r="D14479" s="19" t="s">
        <v>29869</v>
      </c>
      <c r="E14479" s="19" t="s">
        <v>32087</v>
      </c>
      <c r="F14479" s="19" t="s">
        <v>36018</v>
      </c>
      <c r="G14479" s="18" t="str">
        <f>"78945"</f>
        <v>78945</v>
      </c>
      <c r="H14479" s="19" t="s">
        <v>30805</v>
      </c>
      <c r="I14479" s="20">
        <v>18.128</v>
      </c>
      <c r="J14479" s="44" t="s">
        <v>8</v>
      </c>
      <c r="K14479" s="23" t="s">
        <v>8</v>
      </c>
      <c r="L14479" s="23" t="s">
        <v>8</v>
      </c>
      <c r="M14479" s="23" t="s">
        <v>8</v>
      </c>
    </row>
    <row r="14480" spans="1:13" s="21" customFormat="1" x14ac:dyDescent="0.25">
      <c r="A14480" s="22" t="s">
        <v>8</v>
      </c>
      <c r="B14480" s="18" t="str">
        <f>"675000"</f>
        <v>675000</v>
      </c>
      <c r="C14480" s="19" t="s">
        <v>14211</v>
      </c>
      <c r="D14480" s="19" t="s">
        <v>29870</v>
      </c>
      <c r="E14480" s="19" t="s">
        <v>33493</v>
      </c>
      <c r="F14480" s="19" t="s">
        <v>36018</v>
      </c>
      <c r="G14480" s="18" t="str">
        <f>"77072"</f>
        <v>77072</v>
      </c>
      <c r="H14480" s="19" t="s">
        <v>34183</v>
      </c>
      <c r="I14480" s="20">
        <v>18.134</v>
      </c>
      <c r="J14480" s="44" t="s">
        <v>8</v>
      </c>
      <c r="K14480" s="23" t="s">
        <v>8</v>
      </c>
      <c r="L14480" s="23" t="s">
        <v>8</v>
      </c>
      <c r="M14480" s="23" t="s">
        <v>8</v>
      </c>
    </row>
    <row r="14481" spans="1:13" s="21" customFormat="1" x14ac:dyDescent="0.25">
      <c r="A14481" s="22" t="s">
        <v>8</v>
      </c>
      <c r="B14481" s="18" t="str">
        <f>"675001"</f>
        <v>675001</v>
      </c>
      <c r="C14481" s="19" t="s">
        <v>14212</v>
      </c>
      <c r="D14481" s="19" t="s">
        <v>29871</v>
      </c>
      <c r="E14481" s="19" t="s">
        <v>35230</v>
      </c>
      <c r="F14481" s="19" t="s">
        <v>36018</v>
      </c>
      <c r="G14481" s="18" t="str">
        <f>"76448"</f>
        <v>76448</v>
      </c>
      <c r="H14481" s="19" t="s">
        <v>35230</v>
      </c>
      <c r="I14481" s="20">
        <v>17.568999999999999</v>
      </c>
      <c r="J14481" s="44" t="s">
        <v>8</v>
      </c>
      <c r="K14481" s="23" t="s">
        <v>8</v>
      </c>
      <c r="L14481" s="23" t="s">
        <v>8</v>
      </c>
      <c r="M14481" s="23" t="s">
        <v>8</v>
      </c>
    </row>
    <row r="14482" spans="1:13" s="21" customFormat="1" x14ac:dyDescent="0.25">
      <c r="A14482" s="22" t="s">
        <v>8</v>
      </c>
      <c r="B14482" s="18" t="str">
        <f>"675002"</f>
        <v>675002</v>
      </c>
      <c r="C14482" s="19" t="s">
        <v>14213</v>
      </c>
      <c r="D14482" s="19" t="s">
        <v>29872</v>
      </c>
      <c r="E14482" s="19" t="s">
        <v>35244</v>
      </c>
      <c r="F14482" s="19" t="s">
        <v>36018</v>
      </c>
      <c r="G14482" s="18" t="str">
        <f>"78237"</f>
        <v>78237</v>
      </c>
      <c r="H14482" s="19" t="s">
        <v>36805</v>
      </c>
      <c r="I14482" s="20">
        <v>19.108000000000001</v>
      </c>
      <c r="J14482" s="44" t="s">
        <v>8</v>
      </c>
      <c r="K14482" s="23" t="s">
        <v>8</v>
      </c>
      <c r="L14482" s="23" t="s">
        <v>8</v>
      </c>
      <c r="M14482" s="23" t="s">
        <v>8</v>
      </c>
    </row>
    <row r="14483" spans="1:13" s="21" customFormat="1" x14ac:dyDescent="0.25">
      <c r="A14483" s="22" t="s">
        <v>8</v>
      </c>
      <c r="B14483" s="18" t="str">
        <f>"675003"</f>
        <v>675003</v>
      </c>
      <c r="C14483" s="19" t="s">
        <v>14214</v>
      </c>
      <c r="D14483" s="19" t="s">
        <v>29873</v>
      </c>
      <c r="E14483" s="19" t="s">
        <v>35786</v>
      </c>
      <c r="F14483" s="19" t="s">
        <v>36018</v>
      </c>
      <c r="G14483" s="18" t="str">
        <f>"75098"</f>
        <v>75098</v>
      </c>
      <c r="H14483" s="19" t="s">
        <v>36828</v>
      </c>
      <c r="I14483" s="20">
        <v>18.82</v>
      </c>
      <c r="J14483" s="44" t="s">
        <v>8</v>
      </c>
      <c r="K14483" s="23" t="s">
        <v>8</v>
      </c>
      <c r="L14483" s="23" t="s">
        <v>8</v>
      </c>
      <c r="M14483" s="23" t="s">
        <v>8</v>
      </c>
    </row>
    <row r="14484" spans="1:13" s="21" customFormat="1" x14ac:dyDescent="0.25">
      <c r="A14484" s="22" t="s">
        <v>8</v>
      </c>
      <c r="B14484" s="18" t="str">
        <f>"675004"</f>
        <v>675004</v>
      </c>
      <c r="C14484" s="19" t="s">
        <v>14215</v>
      </c>
      <c r="D14484" s="19" t="s">
        <v>29874</v>
      </c>
      <c r="E14484" s="19" t="s">
        <v>35787</v>
      </c>
      <c r="F14484" s="19" t="s">
        <v>36018</v>
      </c>
      <c r="G14484" s="18" t="str">
        <f>"75069"</f>
        <v>75069</v>
      </c>
      <c r="H14484" s="19" t="s">
        <v>36828</v>
      </c>
      <c r="I14484" s="20">
        <v>22.359000000000002</v>
      </c>
      <c r="J14484" s="44" t="s">
        <v>8</v>
      </c>
      <c r="K14484" s="23" t="s">
        <v>8</v>
      </c>
      <c r="L14484" s="23" t="s">
        <v>8</v>
      </c>
      <c r="M14484" s="23" t="s">
        <v>8</v>
      </c>
    </row>
    <row r="14485" spans="1:13" s="21" customFormat="1" x14ac:dyDescent="0.25">
      <c r="A14485" s="22" t="s">
        <v>8</v>
      </c>
      <c r="B14485" s="18" t="str">
        <f>"675008"</f>
        <v>675008</v>
      </c>
      <c r="C14485" s="19" t="s">
        <v>14216</v>
      </c>
      <c r="D14485" s="19" t="s">
        <v>29875</v>
      </c>
      <c r="E14485" s="19" t="s">
        <v>35231</v>
      </c>
      <c r="F14485" s="19" t="s">
        <v>36018</v>
      </c>
      <c r="G14485" s="18" t="str">
        <f>"76043"</f>
        <v>76043</v>
      </c>
      <c r="H14485" s="19" t="s">
        <v>36795</v>
      </c>
      <c r="I14485" s="20">
        <v>18.800999999999998</v>
      </c>
      <c r="J14485" s="44" t="s">
        <v>8</v>
      </c>
      <c r="K14485" s="23" t="s">
        <v>8</v>
      </c>
      <c r="L14485" s="23" t="s">
        <v>8</v>
      </c>
      <c r="M14485" s="23" t="s">
        <v>8</v>
      </c>
    </row>
    <row r="14486" spans="1:13" s="21" customFormat="1" x14ac:dyDescent="0.25">
      <c r="A14486" s="22" t="s">
        <v>8</v>
      </c>
      <c r="B14486" s="18" t="str">
        <f>"675009"</f>
        <v>675009</v>
      </c>
      <c r="C14486" s="19" t="s">
        <v>14217</v>
      </c>
      <c r="D14486" s="19" t="s">
        <v>29876</v>
      </c>
      <c r="E14486" s="19" t="s">
        <v>35788</v>
      </c>
      <c r="F14486" s="19" t="s">
        <v>36018</v>
      </c>
      <c r="G14486" s="18" t="str">
        <f>"76834"</f>
        <v>76834</v>
      </c>
      <c r="H14486" s="19" t="s">
        <v>35788</v>
      </c>
      <c r="I14486" s="20">
        <v>19.760999999999999</v>
      </c>
      <c r="J14486" s="44" t="s">
        <v>8</v>
      </c>
      <c r="K14486" s="23" t="s">
        <v>8</v>
      </c>
      <c r="L14486" s="23" t="s">
        <v>8</v>
      </c>
      <c r="M14486" s="23" t="s">
        <v>8</v>
      </c>
    </row>
    <row r="14487" spans="1:13" s="21" customFormat="1" x14ac:dyDescent="0.25">
      <c r="A14487" s="22" t="s">
        <v>8</v>
      </c>
      <c r="B14487" s="18" t="str">
        <f>"675011"</f>
        <v>675011</v>
      </c>
      <c r="C14487" s="19" t="s">
        <v>14218</v>
      </c>
      <c r="D14487" s="19" t="s">
        <v>29877</v>
      </c>
      <c r="E14487" s="19" t="s">
        <v>30912</v>
      </c>
      <c r="F14487" s="19" t="s">
        <v>36018</v>
      </c>
      <c r="G14487" s="18" t="str">
        <f>"75766"</f>
        <v>75766</v>
      </c>
      <c r="H14487" s="19" t="s">
        <v>32436</v>
      </c>
      <c r="I14487" s="20">
        <v>17.620999999999999</v>
      </c>
      <c r="J14487" s="44" t="s">
        <v>8</v>
      </c>
      <c r="K14487" s="23" t="s">
        <v>8</v>
      </c>
      <c r="L14487" s="23" t="s">
        <v>8</v>
      </c>
      <c r="M14487" s="23" t="s">
        <v>8</v>
      </c>
    </row>
    <row r="14488" spans="1:13" s="21" customFormat="1" x14ac:dyDescent="0.25">
      <c r="A14488" s="22" t="s">
        <v>8</v>
      </c>
      <c r="B14488" s="18" t="str">
        <f>"675013"</f>
        <v>675013</v>
      </c>
      <c r="C14488" s="19" t="s">
        <v>14219</v>
      </c>
      <c r="D14488" s="19" t="s">
        <v>29878</v>
      </c>
      <c r="E14488" s="19" t="s">
        <v>35789</v>
      </c>
      <c r="F14488" s="19" t="s">
        <v>36018</v>
      </c>
      <c r="G14488" s="18" t="str">
        <f>"79227"</f>
        <v>79227</v>
      </c>
      <c r="H14488" s="19" t="s">
        <v>36948</v>
      </c>
      <c r="I14488" s="20">
        <v>19.638000000000002</v>
      </c>
      <c r="J14488" s="44" t="s">
        <v>8</v>
      </c>
      <c r="K14488" s="23" t="s">
        <v>8</v>
      </c>
      <c r="L14488" s="23" t="s">
        <v>8</v>
      </c>
      <c r="M14488" s="23" t="s">
        <v>8</v>
      </c>
    </row>
    <row r="14489" spans="1:13" s="21" customFormat="1" x14ac:dyDescent="0.25">
      <c r="A14489" s="22" t="s">
        <v>8</v>
      </c>
      <c r="B14489" s="18" t="str">
        <f>"675014"</f>
        <v>675014</v>
      </c>
      <c r="C14489" s="19" t="s">
        <v>14220</v>
      </c>
      <c r="D14489" s="19" t="s">
        <v>29879</v>
      </c>
      <c r="E14489" s="19" t="s">
        <v>33941</v>
      </c>
      <c r="F14489" s="19" t="s">
        <v>36018</v>
      </c>
      <c r="G14489" s="18" t="str">
        <f>"79521"</f>
        <v>79521</v>
      </c>
      <c r="H14489" s="19" t="s">
        <v>33941</v>
      </c>
      <c r="I14489" s="20">
        <v>18.651</v>
      </c>
      <c r="J14489" s="44" t="s">
        <v>8</v>
      </c>
      <c r="K14489" s="23" t="s">
        <v>8</v>
      </c>
      <c r="L14489" s="23" t="s">
        <v>8</v>
      </c>
      <c r="M14489" s="23" t="s">
        <v>8</v>
      </c>
    </row>
    <row r="14490" spans="1:13" s="21" customFormat="1" x14ac:dyDescent="0.25">
      <c r="A14490" s="22" t="s">
        <v>8</v>
      </c>
      <c r="B14490" s="18" t="str">
        <f>"675016"</f>
        <v>675016</v>
      </c>
      <c r="C14490" s="19" t="s">
        <v>14221</v>
      </c>
      <c r="D14490" s="19" t="s">
        <v>29880</v>
      </c>
      <c r="E14490" s="19" t="s">
        <v>35224</v>
      </c>
      <c r="F14490" s="19" t="s">
        <v>36018</v>
      </c>
      <c r="G14490" s="18" t="str">
        <f>"79029"</f>
        <v>79029</v>
      </c>
      <c r="H14490" s="19" t="s">
        <v>34689</v>
      </c>
      <c r="I14490" s="20">
        <v>18.433</v>
      </c>
      <c r="J14490" s="44" t="s">
        <v>8</v>
      </c>
      <c r="K14490" s="23" t="s">
        <v>8</v>
      </c>
      <c r="L14490" s="23" t="s">
        <v>8</v>
      </c>
      <c r="M14490" s="23" t="s">
        <v>8</v>
      </c>
    </row>
    <row r="14491" spans="1:13" s="21" customFormat="1" x14ac:dyDescent="0.25">
      <c r="A14491" s="22" t="s">
        <v>8</v>
      </c>
      <c r="B14491" s="18" t="str">
        <f>"675017"</f>
        <v>675017</v>
      </c>
      <c r="C14491" s="19" t="s">
        <v>14222</v>
      </c>
      <c r="D14491" s="19" t="s">
        <v>29881</v>
      </c>
      <c r="E14491" s="19" t="s">
        <v>35297</v>
      </c>
      <c r="F14491" s="19" t="s">
        <v>36018</v>
      </c>
      <c r="G14491" s="18" t="str">
        <f>"76801"</f>
        <v>76801</v>
      </c>
      <c r="H14491" s="19" t="s">
        <v>36244</v>
      </c>
      <c r="I14491" s="20">
        <v>18.91</v>
      </c>
      <c r="J14491" s="44" t="s">
        <v>8</v>
      </c>
      <c r="K14491" s="23" t="s">
        <v>8</v>
      </c>
      <c r="L14491" s="23" t="s">
        <v>8</v>
      </c>
      <c r="M14491" s="23" t="s">
        <v>8</v>
      </c>
    </row>
    <row r="14492" spans="1:13" s="21" customFormat="1" x14ac:dyDescent="0.25">
      <c r="A14492" s="22" t="s">
        <v>8</v>
      </c>
      <c r="B14492" s="18" t="str">
        <f>"675018"</f>
        <v>675018</v>
      </c>
      <c r="C14492" s="19" t="s">
        <v>14223</v>
      </c>
      <c r="D14492" s="19" t="s">
        <v>29882</v>
      </c>
      <c r="E14492" s="19" t="s">
        <v>35245</v>
      </c>
      <c r="F14492" s="19" t="s">
        <v>36018</v>
      </c>
      <c r="G14492" s="18" t="str">
        <f>"76106"</f>
        <v>76106</v>
      </c>
      <c r="H14492" s="19" t="s">
        <v>36806</v>
      </c>
      <c r="I14492" s="20">
        <v>18.585000000000001</v>
      </c>
      <c r="J14492" s="44" t="s">
        <v>8</v>
      </c>
      <c r="K14492" s="23" t="s">
        <v>8</v>
      </c>
      <c r="L14492" s="23" t="s">
        <v>8</v>
      </c>
      <c r="M14492" s="23" t="s">
        <v>8</v>
      </c>
    </row>
    <row r="14493" spans="1:13" s="21" customFormat="1" x14ac:dyDescent="0.25">
      <c r="A14493" s="22" t="s">
        <v>8</v>
      </c>
      <c r="B14493" s="18" t="str">
        <f>"675019"</f>
        <v>675019</v>
      </c>
      <c r="C14493" s="19" t="s">
        <v>14224</v>
      </c>
      <c r="D14493" s="19" t="s">
        <v>29883</v>
      </c>
      <c r="E14493" s="19" t="s">
        <v>35790</v>
      </c>
      <c r="F14493" s="19" t="s">
        <v>36018</v>
      </c>
      <c r="G14493" s="18" t="str">
        <f>"79316"</f>
        <v>79316</v>
      </c>
      <c r="H14493" s="19" t="s">
        <v>36949</v>
      </c>
      <c r="I14493" s="20">
        <v>19.14</v>
      </c>
      <c r="J14493" s="44" t="s">
        <v>8</v>
      </c>
      <c r="K14493" s="23" t="s">
        <v>8</v>
      </c>
      <c r="L14493" s="23" t="s">
        <v>8</v>
      </c>
      <c r="M14493" s="23" t="s">
        <v>8</v>
      </c>
    </row>
    <row r="14494" spans="1:13" s="21" customFormat="1" x14ac:dyDescent="0.25">
      <c r="A14494" s="22" t="s">
        <v>8</v>
      </c>
      <c r="B14494" s="18" t="str">
        <f>"675020"</f>
        <v>675020</v>
      </c>
      <c r="C14494" s="19" t="s">
        <v>14225</v>
      </c>
      <c r="D14494" s="19" t="s">
        <v>29884</v>
      </c>
      <c r="E14494" s="19" t="s">
        <v>30817</v>
      </c>
      <c r="F14494" s="19" t="s">
        <v>36018</v>
      </c>
      <c r="G14494" s="18" t="str">
        <f>"75402"</f>
        <v>75402</v>
      </c>
      <c r="H14494" s="19" t="s">
        <v>36950</v>
      </c>
      <c r="I14494" s="20">
        <v>18.218</v>
      </c>
      <c r="J14494" s="44" t="s">
        <v>8</v>
      </c>
      <c r="K14494" s="23" t="s">
        <v>8</v>
      </c>
      <c r="L14494" s="23" t="s">
        <v>8</v>
      </c>
      <c r="M14494" s="23" t="s">
        <v>8</v>
      </c>
    </row>
    <row r="14495" spans="1:13" s="21" customFormat="1" x14ac:dyDescent="0.25">
      <c r="A14495" s="22" t="s">
        <v>8</v>
      </c>
      <c r="B14495" s="18" t="str">
        <f>"675021"</f>
        <v>675021</v>
      </c>
      <c r="C14495" s="19" t="s">
        <v>14226</v>
      </c>
      <c r="D14495" s="19" t="s">
        <v>29885</v>
      </c>
      <c r="E14495" s="19" t="s">
        <v>35791</v>
      </c>
      <c r="F14495" s="19" t="s">
        <v>36018</v>
      </c>
      <c r="G14495" s="18" t="str">
        <f>"76360"</f>
        <v>76360</v>
      </c>
      <c r="H14495" s="19" t="s">
        <v>32555</v>
      </c>
      <c r="I14495" s="20">
        <v>18.579000000000001</v>
      </c>
      <c r="J14495" s="44" t="s">
        <v>8</v>
      </c>
      <c r="K14495" s="23" t="s">
        <v>8</v>
      </c>
      <c r="L14495" s="23" t="s">
        <v>8</v>
      </c>
      <c r="M14495" s="23" t="s">
        <v>8</v>
      </c>
    </row>
    <row r="14496" spans="1:13" s="21" customFormat="1" x14ac:dyDescent="0.25">
      <c r="A14496" s="22" t="s">
        <v>8</v>
      </c>
      <c r="B14496" s="18" t="str">
        <f>"675025"</f>
        <v>675025</v>
      </c>
      <c r="C14496" s="19" t="s">
        <v>14227</v>
      </c>
      <c r="D14496" s="19" t="s">
        <v>29886</v>
      </c>
      <c r="E14496" s="19" t="s">
        <v>31965</v>
      </c>
      <c r="F14496" s="19" t="s">
        <v>36018</v>
      </c>
      <c r="G14496" s="18" t="str">
        <f>"79912"</f>
        <v>79912</v>
      </c>
      <c r="H14496" s="19" t="s">
        <v>31965</v>
      </c>
      <c r="I14496" s="20">
        <v>19.489999999999998</v>
      </c>
      <c r="J14496" s="44" t="s">
        <v>8</v>
      </c>
      <c r="K14496" s="23" t="s">
        <v>8</v>
      </c>
      <c r="L14496" s="23" t="s">
        <v>8</v>
      </c>
      <c r="M14496" s="23" t="s">
        <v>8</v>
      </c>
    </row>
    <row r="14497" spans="1:13" s="21" customFormat="1" x14ac:dyDescent="0.25">
      <c r="A14497" s="22" t="s">
        <v>8</v>
      </c>
      <c r="B14497" s="18" t="str">
        <f>"675028"</f>
        <v>675028</v>
      </c>
      <c r="C14497" s="19" t="s">
        <v>14228</v>
      </c>
      <c r="D14497" s="19" t="s">
        <v>29887</v>
      </c>
      <c r="E14497" s="19" t="s">
        <v>35245</v>
      </c>
      <c r="F14497" s="19" t="s">
        <v>36018</v>
      </c>
      <c r="G14497" s="18" t="str">
        <f>"76134"</f>
        <v>76134</v>
      </c>
      <c r="H14497" s="19" t="s">
        <v>36806</v>
      </c>
      <c r="I14497" s="20">
        <v>17.661999999999999</v>
      </c>
      <c r="J14497" s="44" t="s">
        <v>8</v>
      </c>
      <c r="K14497" s="23" t="s">
        <v>8</v>
      </c>
      <c r="L14497" s="23" t="s">
        <v>8</v>
      </c>
      <c r="M14497" s="23" t="s">
        <v>8</v>
      </c>
    </row>
    <row r="14498" spans="1:13" s="21" customFormat="1" x14ac:dyDescent="0.25">
      <c r="A14498" s="22" t="s">
        <v>8</v>
      </c>
      <c r="B14498" s="18" t="str">
        <f>"675029"</f>
        <v>675029</v>
      </c>
      <c r="C14498" s="19" t="s">
        <v>7206</v>
      </c>
      <c r="D14498" s="19" t="s">
        <v>29888</v>
      </c>
      <c r="E14498" s="19" t="s">
        <v>35304</v>
      </c>
      <c r="F14498" s="19" t="s">
        <v>36018</v>
      </c>
      <c r="G14498" s="18" t="str">
        <f>"76301"</f>
        <v>76301</v>
      </c>
      <c r="H14498" s="19" t="s">
        <v>32555</v>
      </c>
      <c r="I14498" s="20">
        <v>20.382000000000001</v>
      </c>
      <c r="J14498" s="44" t="s">
        <v>8</v>
      </c>
      <c r="K14498" s="23" t="s">
        <v>8</v>
      </c>
      <c r="L14498" s="23" t="s">
        <v>8</v>
      </c>
      <c r="M14498" s="23" t="s">
        <v>8</v>
      </c>
    </row>
    <row r="14499" spans="1:13" s="21" customFormat="1" x14ac:dyDescent="0.25">
      <c r="A14499" s="22" t="s">
        <v>8</v>
      </c>
      <c r="B14499" s="18" t="str">
        <f>"675030"</f>
        <v>675030</v>
      </c>
      <c r="C14499" s="19" t="s">
        <v>14229</v>
      </c>
      <c r="D14499" s="19" t="s">
        <v>29889</v>
      </c>
      <c r="E14499" s="19" t="s">
        <v>35257</v>
      </c>
      <c r="F14499" s="19" t="s">
        <v>36018</v>
      </c>
      <c r="G14499" s="18" t="str">
        <f>"78041"</f>
        <v>78041</v>
      </c>
      <c r="H14499" s="19" t="s">
        <v>36811</v>
      </c>
      <c r="I14499" s="20">
        <v>17.169</v>
      </c>
      <c r="J14499" s="44" t="s">
        <v>8</v>
      </c>
      <c r="K14499" s="23" t="s">
        <v>8</v>
      </c>
      <c r="L14499" s="23" t="s">
        <v>8</v>
      </c>
      <c r="M14499" s="23" t="s">
        <v>8</v>
      </c>
    </row>
    <row r="14500" spans="1:13" s="21" customFormat="1" x14ac:dyDescent="0.25">
      <c r="A14500" s="22" t="s">
        <v>8</v>
      </c>
      <c r="B14500" s="18" t="str">
        <f>"675032"</f>
        <v>675032</v>
      </c>
      <c r="C14500" s="19" t="s">
        <v>14230</v>
      </c>
      <c r="D14500" s="19" t="s">
        <v>29890</v>
      </c>
      <c r="E14500" s="19" t="s">
        <v>33647</v>
      </c>
      <c r="F14500" s="19" t="s">
        <v>36018</v>
      </c>
      <c r="G14500" s="18" t="str">
        <f>"75104"</f>
        <v>75104</v>
      </c>
      <c r="H14500" s="19" t="s">
        <v>31723</v>
      </c>
      <c r="I14500" s="20">
        <v>19.539000000000001</v>
      </c>
      <c r="J14500" s="44" t="s">
        <v>8</v>
      </c>
      <c r="K14500" s="23" t="s">
        <v>8</v>
      </c>
      <c r="L14500" s="23" t="s">
        <v>8</v>
      </c>
      <c r="M14500" s="23" t="s">
        <v>8</v>
      </c>
    </row>
    <row r="14501" spans="1:13" s="21" customFormat="1" x14ac:dyDescent="0.25">
      <c r="A14501" s="22" t="s">
        <v>8</v>
      </c>
      <c r="B14501" s="18" t="str">
        <f>"675033"</f>
        <v>675033</v>
      </c>
      <c r="C14501" s="19" t="s">
        <v>14231</v>
      </c>
      <c r="D14501" s="19" t="s">
        <v>29891</v>
      </c>
      <c r="E14501" s="19" t="s">
        <v>33844</v>
      </c>
      <c r="F14501" s="19" t="s">
        <v>36018</v>
      </c>
      <c r="G14501" s="18" t="str">
        <f>"75149"</f>
        <v>75149</v>
      </c>
      <c r="H14501" s="19" t="s">
        <v>31723</v>
      </c>
      <c r="I14501" s="20">
        <v>19.079999999999998</v>
      </c>
      <c r="J14501" s="44" t="s">
        <v>8</v>
      </c>
      <c r="K14501" s="23" t="s">
        <v>8</v>
      </c>
      <c r="L14501" s="23" t="s">
        <v>8</v>
      </c>
      <c r="M14501" s="23" t="s">
        <v>8</v>
      </c>
    </row>
    <row r="14502" spans="1:13" s="21" customFormat="1" x14ac:dyDescent="0.25">
      <c r="A14502" s="22" t="s">
        <v>8</v>
      </c>
      <c r="B14502" s="18" t="str">
        <f>"675034"</f>
        <v>675034</v>
      </c>
      <c r="C14502" s="19" t="s">
        <v>14232</v>
      </c>
      <c r="D14502" s="19" t="s">
        <v>29892</v>
      </c>
      <c r="E14502" s="19" t="s">
        <v>35245</v>
      </c>
      <c r="F14502" s="19" t="s">
        <v>36018</v>
      </c>
      <c r="G14502" s="18" t="str">
        <f>"76104"</f>
        <v>76104</v>
      </c>
      <c r="H14502" s="19" t="s">
        <v>36806</v>
      </c>
      <c r="I14502" s="20">
        <v>19.277999999999999</v>
      </c>
      <c r="J14502" s="44" t="s">
        <v>8</v>
      </c>
      <c r="K14502" s="23" t="s">
        <v>8</v>
      </c>
      <c r="L14502" s="23" t="s">
        <v>8</v>
      </c>
      <c r="M14502" s="23" t="s">
        <v>8</v>
      </c>
    </row>
    <row r="14503" spans="1:13" s="21" customFormat="1" x14ac:dyDescent="0.25">
      <c r="A14503" s="22" t="s">
        <v>8</v>
      </c>
      <c r="B14503" s="18" t="str">
        <f>"675035"</f>
        <v>675035</v>
      </c>
      <c r="C14503" s="19" t="s">
        <v>14233</v>
      </c>
      <c r="D14503" s="19" t="s">
        <v>29893</v>
      </c>
      <c r="E14503" s="19" t="s">
        <v>35792</v>
      </c>
      <c r="F14503" s="19" t="s">
        <v>36018</v>
      </c>
      <c r="G14503" s="18" t="str">
        <f>"76354"</f>
        <v>76354</v>
      </c>
      <c r="H14503" s="19" t="s">
        <v>32555</v>
      </c>
      <c r="I14503" s="20">
        <v>17.417000000000002</v>
      </c>
      <c r="J14503" s="44" t="s">
        <v>8</v>
      </c>
      <c r="K14503" s="23" t="s">
        <v>8</v>
      </c>
      <c r="L14503" s="23" t="s">
        <v>8</v>
      </c>
      <c r="M14503" s="23" t="s">
        <v>8</v>
      </c>
    </row>
    <row r="14504" spans="1:13" s="21" customFormat="1" x14ac:dyDescent="0.25">
      <c r="A14504" s="22" t="s">
        <v>8</v>
      </c>
      <c r="B14504" s="18" t="str">
        <f>"675037"</f>
        <v>675037</v>
      </c>
      <c r="C14504" s="19" t="s">
        <v>14234</v>
      </c>
      <c r="D14504" s="19" t="s">
        <v>29894</v>
      </c>
      <c r="E14504" s="19" t="s">
        <v>31245</v>
      </c>
      <c r="F14504" s="19" t="s">
        <v>36018</v>
      </c>
      <c r="G14504" s="18" t="str">
        <f>"75686"</f>
        <v>75686</v>
      </c>
      <c r="H14504" s="19" t="s">
        <v>36951</v>
      </c>
      <c r="I14504" s="20">
        <v>20.289000000000001</v>
      </c>
      <c r="J14504" s="44" t="s">
        <v>8</v>
      </c>
      <c r="K14504" s="23" t="s">
        <v>8</v>
      </c>
      <c r="L14504" s="23" t="s">
        <v>8</v>
      </c>
      <c r="M14504" s="23" t="s">
        <v>8</v>
      </c>
    </row>
    <row r="14505" spans="1:13" s="21" customFormat="1" x14ac:dyDescent="0.25">
      <c r="A14505" s="22" t="s">
        <v>8</v>
      </c>
      <c r="B14505" s="18" t="str">
        <f>"675038"</f>
        <v>675038</v>
      </c>
      <c r="C14505" s="19" t="s">
        <v>14235</v>
      </c>
      <c r="D14505" s="19" t="s">
        <v>29895</v>
      </c>
      <c r="E14505" s="19" t="s">
        <v>32660</v>
      </c>
      <c r="F14505" s="19" t="s">
        <v>36018</v>
      </c>
      <c r="G14505" s="18" t="str">
        <f>"79510"</f>
        <v>79510</v>
      </c>
      <c r="H14505" s="19" t="s">
        <v>36952</v>
      </c>
      <c r="I14505" s="20">
        <v>16.658000000000001</v>
      </c>
      <c r="J14505" s="44" t="s">
        <v>8</v>
      </c>
      <c r="K14505" s="23" t="s">
        <v>8</v>
      </c>
      <c r="L14505" s="23" t="s">
        <v>8</v>
      </c>
      <c r="M14505" s="23" t="s">
        <v>8</v>
      </c>
    </row>
    <row r="14506" spans="1:13" s="21" customFormat="1" x14ac:dyDescent="0.25">
      <c r="A14506" s="22" t="s">
        <v>8</v>
      </c>
      <c r="B14506" s="18" t="str">
        <f>"675040"</f>
        <v>675040</v>
      </c>
      <c r="C14506" s="19" t="s">
        <v>14236</v>
      </c>
      <c r="D14506" s="19" t="s">
        <v>29896</v>
      </c>
      <c r="E14506" s="19" t="s">
        <v>35793</v>
      </c>
      <c r="F14506" s="19" t="s">
        <v>36018</v>
      </c>
      <c r="G14506" s="18" t="str">
        <f>"75763"</f>
        <v>75763</v>
      </c>
      <c r="H14506" s="19" t="s">
        <v>32202</v>
      </c>
      <c r="I14506" s="20">
        <v>20.692</v>
      </c>
      <c r="J14506" s="44" t="s">
        <v>8</v>
      </c>
      <c r="K14506" s="23" t="s">
        <v>8</v>
      </c>
      <c r="L14506" s="23" t="s">
        <v>8</v>
      </c>
      <c r="M14506" s="23" t="s">
        <v>8</v>
      </c>
    </row>
    <row r="14507" spans="1:13" s="21" customFormat="1" x14ac:dyDescent="0.25">
      <c r="A14507" s="22" t="s">
        <v>8</v>
      </c>
      <c r="B14507" s="18" t="str">
        <f>"675042"</f>
        <v>675042</v>
      </c>
      <c r="C14507" s="19" t="s">
        <v>14237</v>
      </c>
      <c r="D14507" s="19" t="s">
        <v>29897</v>
      </c>
      <c r="E14507" s="19" t="s">
        <v>31477</v>
      </c>
      <c r="F14507" s="19" t="s">
        <v>36018</v>
      </c>
      <c r="G14507" s="18" t="str">
        <f>"76380"</f>
        <v>76380</v>
      </c>
      <c r="H14507" s="19" t="s">
        <v>36798</v>
      </c>
      <c r="I14507" s="20">
        <v>18.658999999999999</v>
      </c>
      <c r="J14507" s="44" t="s">
        <v>8</v>
      </c>
      <c r="K14507" s="23" t="s">
        <v>8</v>
      </c>
      <c r="L14507" s="23" t="s">
        <v>8</v>
      </c>
      <c r="M14507" s="23" t="s">
        <v>8</v>
      </c>
    </row>
    <row r="14508" spans="1:13" s="21" customFormat="1" x14ac:dyDescent="0.25">
      <c r="A14508" s="22" t="s">
        <v>8</v>
      </c>
      <c r="B14508" s="18" t="str">
        <f>"675044"</f>
        <v>675044</v>
      </c>
      <c r="C14508" s="19" t="s">
        <v>2967</v>
      </c>
      <c r="D14508" s="19" t="s">
        <v>29898</v>
      </c>
      <c r="E14508" s="19" t="s">
        <v>35261</v>
      </c>
      <c r="F14508" s="19" t="s">
        <v>36018</v>
      </c>
      <c r="G14508" s="18" t="str">
        <f>"78501"</f>
        <v>78501</v>
      </c>
      <c r="H14508" s="19" t="s">
        <v>36592</v>
      </c>
      <c r="I14508" s="20">
        <v>18.943999999999999</v>
      </c>
      <c r="J14508" s="44" t="s">
        <v>8</v>
      </c>
      <c r="K14508" s="23" t="s">
        <v>8</v>
      </c>
      <c r="L14508" s="23" t="s">
        <v>8</v>
      </c>
      <c r="M14508" s="23" t="s">
        <v>8</v>
      </c>
    </row>
    <row r="14509" spans="1:13" s="21" customFormat="1" x14ac:dyDescent="0.25">
      <c r="A14509" s="22" t="s">
        <v>8</v>
      </c>
      <c r="B14509" s="18" t="str">
        <f>"675046"</f>
        <v>675046</v>
      </c>
      <c r="C14509" s="19" t="s">
        <v>14238</v>
      </c>
      <c r="D14509" s="19" t="s">
        <v>29899</v>
      </c>
      <c r="E14509" s="19" t="s">
        <v>35794</v>
      </c>
      <c r="F14509" s="19" t="s">
        <v>36018</v>
      </c>
      <c r="G14509" s="18" t="str">
        <f>"77471"</f>
        <v>77471</v>
      </c>
      <c r="H14509" s="19" t="s">
        <v>36826</v>
      </c>
      <c r="I14509" s="20">
        <v>18.45</v>
      </c>
      <c r="J14509" s="44" t="s">
        <v>8</v>
      </c>
      <c r="K14509" s="23" t="s">
        <v>8</v>
      </c>
      <c r="L14509" s="23" t="s">
        <v>8</v>
      </c>
      <c r="M14509" s="23" t="s">
        <v>8</v>
      </c>
    </row>
    <row r="14510" spans="1:13" s="21" customFormat="1" x14ac:dyDescent="0.25">
      <c r="A14510" s="22" t="s">
        <v>8</v>
      </c>
      <c r="B14510" s="18" t="str">
        <f>"675049"</f>
        <v>675049</v>
      </c>
      <c r="C14510" s="19" t="s">
        <v>316</v>
      </c>
      <c r="D14510" s="19" t="s">
        <v>29900</v>
      </c>
      <c r="E14510" s="19" t="s">
        <v>35795</v>
      </c>
      <c r="F14510" s="19" t="s">
        <v>36018</v>
      </c>
      <c r="G14510" s="18" t="str">
        <f>"79065"</f>
        <v>79065</v>
      </c>
      <c r="H14510" s="19" t="s">
        <v>31780</v>
      </c>
      <c r="I14510" s="20">
        <v>22.151</v>
      </c>
      <c r="J14510" s="44" t="s">
        <v>8</v>
      </c>
      <c r="K14510" s="23" t="s">
        <v>8</v>
      </c>
      <c r="L14510" s="23" t="s">
        <v>8</v>
      </c>
      <c r="M14510" s="23" t="s">
        <v>8</v>
      </c>
    </row>
    <row r="14511" spans="1:13" s="21" customFormat="1" x14ac:dyDescent="0.25">
      <c r="A14511" s="22" t="s">
        <v>8</v>
      </c>
      <c r="B14511" s="18" t="str">
        <f>"675051"</f>
        <v>675051</v>
      </c>
      <c r="C14511" s="19" t="s">
        <v>14239</v>
      </c>
      <c r="D14511" s="19" t="s">
        <v>29901</v>
      </c>
      <c r="E14511" s="19" t="s">
        <v>32782</v>
      </c>
      <c r="F14511" s="19" t="s">
        <v>36018</v>
      </c>
      <c r="G14511" s="18" t="str">
        <f>"75494"</f>
        <v>75494</v>
      </c>
      <c r="H14511" s="19" t="s">
        <v>36673</v>
      </c>
      <c r="I14511" s="20">
        <v>18.411999999999999</v>
      </c>
      <c r="J14511" s="44" t="s">
        <v>8</v>
      </c>
      <c r="K14511" s="23" t="s">
        <v>8</v>
      </c>
      <c r="L14511" s="23" t="s">
        <v>8</v>
      </c>
      <c r="M14511" s="23" t="s">
        <v>8</v>
      </c>
    </row>
    <row r="14512" spans="1:13" s="21" customFormat="1" x14ac:dyDescent="0.25">
      <c r="A14512" s="22" t="s">
        <v>8</v>
      </c>
      <c r="B14512" s="18" t="str">
        <f>"675052"</f>
        <v>675052</v>
      </c>
      <c r="C14512" s="19" t="s">
        <v>14240</v>
      </c>
      <c r="D14512" s="19" t="s">
        <v>29902</v>
      </c>
      <c r="E14512" s="19" t="s">
        <v>32209</v>
      </c>
      <c r="F14512" s="19" t="s">
        <v>36018</v>
      </c>
      <c r="G14512" s="18" t="str">
        <f>"77571"</f>
        <v>77571</v>
      </c>
      <c r="H14512" s="19" t="s">
        <v>34183</v>
      </c>
      <c r="I14512" s="20">
        <v>20.577000000000002</v>
      </c>
      <c r="J14512" s="44" t="s">
        <v>8</v>
      </c>
      <c r="K14512" s="23" t="s">
        <v>8</v>
      </c>
      <c r="L14512" s="23" t="s">
        <v>8</v>
      </c>
      <c r="M14512" s="23" t="s">
        <v>8</v>
      </c>
    </row>
    <row r="14513" spans="1:13" s="21" customFormat="1" x14ac:dyDescent="0.25">
      <c r="A14513" s="22" t="s">
        <v>8</v>
      </c>
      <c r="B14513" s="18" t="str">
        <f>"675053"</f>
        <v>675053</v>
      </c>
      <c r="C14513" s="19" t="s">
        <v>14241</v>
      </c>
      <c r="D14513" s="19" t="s">
        <v>29903</v>
      </c>
      <c r="E14513" s="19" t="s">
        <v>35796</v>
      </c>
      <c r="F14513" s="19" t="s">
        <v>36018</v>
      </c>
      <c r="G14513" s="18" t="str">
        <f>"78644"</f>
        <v>78644</v>
      </c>
      <c r="H14513" s="19" t="s">
        <v>31876</v>
      </c>
      <c r="I14513" s="20">
        <v>19.946000000000002</v>
      </c>
      <c r="J14513" s="44" t="s">
        <v>8</v>
      </c>
      <c r="K14513" s="23" t="s">
        <v>8</v>
      </c>
      <c r="L14513" s="23" t="s">
        <v>8</v>
      </c>
      <c r="M14513" s="23" t="s">
        <v>8</v>
      </c>
    </row>
    <row r="14514" spans="1:13" s="21" customFormat="1" x14ac:dyDescent="0.25">
      <c r="A14514" s="22" t="s">
        <v>8</v>
      </c>
      <c r="B14514" s="18" t="str">
        <f>"675055"</f>
        <v>675055</v>
      </c>
      <c r="C14514" s="19" t="s">
        <v>14242</v>
      </c>
      <c r="D14514" s="19" t="s">
        <v>29904</v>
      </c>
      <c r="E14514" s="19" t="s">
        <v>35228</v>
      </c>
      <c r="F14514" s="19" t="s">
        <v>36018</v>
      </c>
      <c r="G14514" s="18" t="str">
        <f>"79201"</f>
        <v>79201</v>
      </c>
      <c r="H14514" s="19" t="s">
        <v>35228</v>
      </c>
      <c r="I14514" s="20">
        <v>16.611999999999998</v>
      </c>
      <c r="J14514" s="44" t="s">
        <v>8</v>
      </c>
      <c r="K14514" s="23" t="s">
        <v>8</v>
      </c>
      <c r="L14514" s="23" t="s">
        <v>8</v>
      </c>
      <c r="M14514" s="23" t="s">
        <v>8</v>
      </c>
    </row>
    <row r="14515" spans="1:13" s="21" customFormat="1" x14ac:dyDescent="0.25">
      <c r="A14515" s="22" t="s">
        <v>8</v>
      </c>
      <c r="B14515" s="18" t="str">
        <f>"675056"</f>
        <v>675056</v>
      </c>
      <c r="C14515" s="19" t="s">
        <v>14243</v>
      </c>
      <c r="D14515" s="19" t="s">
        <v>29905</v>
      </c>
      <c r="E14515" s="19" t="s">
        <v>32438</v>
      </c>
      <c r="F14515" s="19" t="s">
        <v>36018</v>
      </c>
      <c r="G14515" s="18" t="str">
        <f>"79782"</f>
        <v>79782</v>
      </c>
      <c r="H14515" s="19" t="s">
        <v>35168</v>
      </c>
      <c r="I14515" s="20">
        <v>19.579000000000001</v>
      </c>
      <c r="J14515" s="44" t="s">
        <v>8</v>
      </c>
      <c r="K14515" s="23" t="s">
        <v>8</v>
      </c>
      <c r="L14515" s="23" t="s">
        <v>8</v>
      </c>
      <c r="M14515" s="23" t="s">
        <v>8</v>
      </c>
    </row>
    <row r="14516" spans="1:13" s="21" customFormat="1" x14ac:dyDescent="0.25">
      <c r="A14516" s="22" t="s">
        <v>8</v>
      </c>
      <c r="B14516" s="18" t="str">
        <f>"675057"</f>
        <v>675057</v>
      </c>
      <c r="C14516" s="19" t="s">
        <v>14244</v>
      </c>
      <c r="D14516" s="19" t="s">
        <v>29906</v>
      </c>
      <c r="E14516" s="19" t="s">
        <v>35797</v>
      </c>
      <c r="F14516" s="19" t="s">
        <v>36018</v>
      </c>
      <c r="G14516" s="18" t="str">
        <f>"75180"</f>
        <v>75180</v>
      </c>
      <c r="H14516" s="19" t="s">
        <v>31723</v>
      </c>
      <c r="I14516" s="20">
        <v>19.007000000000001</v>
      </c>
      <c r="J14516" s="44" t="s">
        <v>8</v>
      </c>
      <c r="K14516" s="23" t="s">
        <v>8</v>
      </c>
      <c r="L14516" s="23" t="s">
        <v>8</v>
      </c>
      <c r="M14516" s="23" t="s">
        <v>8</v>
      </c>
    </row>
    <row r="14517" spans="1:13" s="21" customFormat="1" x14ac:dyDescent="0.25">
      <c r="A14517" s="22" t="s">
        <v>8</v>
      </c>
      <c r="B14517" s="18" t="str">
        <f>"675058"</f>
        <v>675058</v>
      </c>
      <c r="C14517" s="19" t="s">
        <v>14245</v>
      </c>
      <c r="D14517" s="19" t="s">
        <v>29907</v>
      </c>
      <c r="E14517" s="19" t="s">
        <v>35226</v>
      </c>
      <c r="F14517" s="19" t="s">
        <v>36018</v>
      </c>
      <c r="G14517" s="18" t="str">
        <f>"79520"</f>
        <v>79520</v>
      </c>
      <c r="H14517" s="19" t="s">
        <v>34651</v>
      </c>
      <c r="I14517" s="20">
        <v>17.908000000000001</v>
      </c>
      <c r="J14517" s="44" t="s">
        <v>8</v>
      </c>
      <c r="K14517" s="23" t="s">
        <v>8</v>
      </c>
      <c r="L14517" s="23" t="s">
        <v>8</v>
      </c>
      <c r="M14517" s="23" t="s">
        <v>8</v>
      </c>
    </row>
    <row r="14518" spans="1:13" s="21" customFormat="1" x14ac:dyDescent="0.25">
      <c r="A14518" s="22" t="s">
        <v>8</v>
      </c>
      <c r="B14518" s="18" t="str">
        <f>"675061"</f>
        <v>675061</v>
      </c>
      <c r="C14518" s="19" t="s">
        <v>14246</v>
      </c>
      <c r="D14518" s="19" t="s">
        <v>29908</v>
      </c>
      <c r="E14518" s="19" t="s">
        <v>35798</v>
      </c>
      <c r="F14518" s="19" t="s">
        <v>36018</v>
      </c>
      <c r="G14518" s="18" t="str">
        <f>"76371"</f>
        <v>76371</v>
      </c>
      <c r="H14518" s="19" t="s">
        <v>32252</v>
      </c>
      <c r="I14518" s="20">
        <v>20.864000000000001</v>
      </c>
      <c r="J14518" s="44" t="s">
        <v>8</v>
      </c>
      <c r="K14518" s="23" t="s">
        <v>8</v>
      </c>
      <c r="L14518" s="23" t="s">
        <v>8</v>
      </c>
      <c r="M14518" s="23" t="s">
        <v>8</v>
      </c>
    </row>
    <row r="14519" spans="1:13" s="21" customFormat="1" x14ac:dyDescent="0.25">
      <c r="A14519" s="22" t="s">
        <v>8</v>
      </c>
      <c r="B14519" s="18" t="str">
        <f>"675062"</f>
        <v>675062</v>
      </c>
      <c r="C14519" s="19" t="s">
        <v>14247</v>
      </c>
      <c r="D14519" s="19" t="s">
        <v>29909</v>
      </c>
      <c r="E14519" s="19" t="s">
        <v>35799</v>
      </c>
      <c r="F14519" s="19" t="s">
        <v>36018</v>
      </c>
      <c r="G14519" s="18" t="str">
        <f>"77859"</f>
        <v>77859</v>
      </c>
      <c r="H14519" s="19" t="s">
        <v>36348</v>
      </c>
      <c r="I14519" s="20">
        <v>18.355</v>
      </c>
      <c r="J14519" s="44" t="s">
        <v>8</v>
      </c>
      <c r="K14519" s="23" t="s">
        <v>8</v>
      </c>
      <c r="L14519" s="23" t="s">
        <v>8</v>
      </c>
      <c r="M14519" s="23" t="s">
        <v>8</v>
      </c>
    </row>
    <row r="14520" spans="1:13" s="21" customFormat="1" x14ac:dyDescent="0.25">
      <c r="A14520" s="22" t="s">
        <v>8</v>
      </c>
      <c r="B14520" s="18" t="str">
        <f>"675065"</f>
        <v>675065</v>
      </c>
      <c r="C14520" s="19" t="s">
        <v>14248</v>
      </c>
      <c r="D14520" s="19" t="s">
        <v>29910</v>
      </c>
      <c r="E14520" s="19" t="s">
        <v>32280</v>
      </c>
      <c r="F14520" s="19" t="s">
        <v>36018</v>
      </c>
      <c r="G14520" s="18" t="str">
        <f>"75833"</f>
        <v>75833</v>
      </c>
      <c r="H14520" s="19" t="s">
        <v>32404</v>
      </c>
      <c r="I14520" s="20">
        <v>17.465</v>
      </c>
      <c r="J14520" s="44" t="s">
        <v>8</v>
      </c>
      <c r="K14520" s="23" t="s">
        <v>8</v>
      </c>
      <c r="L14520" s="23" t="s">
        <v>8</v>
      </c>
      <c r="M14520" s="23" t="s">
        <v>8</v>
      </c>
    </row>
    <row r="14521" spans="1:13" s="21" customFormat="1" x14ac:dyDescent="0.25">
      <c r="A14521" s="22" t="s">
        <v>8</v>
      </c>
      <c r="B14521" s="18" t="str">
        <f>"675066"</f>
        <v>675066</v>
      </c>
      <c r="C14521" s="19" t="s">
        <v>14249</v>
      </c>
      <c r="D14521" s="19" t="s">
        <v>29911</v>
      </c>
      <c r="E14521" s="19" t="s">
        <v>35800</v>
      </c>
      <c r="F14521" s="19" t="s">
        <v>36018</v>
      </c>
      <c r="G14521" s="18" t="str">
        <f>"75446"</f>
        <v>75446</v>
      </c>
      <c r="H14521" s="19" t="s">
        <v>36155</v>
      </c>
      <c r="I14521" s="20">
        <v>20.841999999999999</v>
      </c>
      <c r="J14521" s="44" t="s">
        <v>8</v>
      </c>
      <c r="K14521" s="23" t="s">
        <v>8</v>
      </c>
      <c r="L14521" s="23" t="s">
        <v>8</v>
      </c>
      <c r="M14521" s="23" t="s">
        <v>8</v>
      </c>
    </row>
    <row r="14522" spans="1:13" s="21" customFormat="1" x14ac:dyDescent="0.25">
      <c r="A14522" s="22" t="s">
        <v>8</v>
      </c>
      <c r="B14522" s="18" t="str">
        <f>"675067"</f>
        <v>675067</v>
      </c>
      <c r="C14522" s="19" t="s">
        <v>14250</v>
      </c>
      <c r="D14522" s="19" t="s">
        <v>29912</v>
      </c>
      <c r="E14522" s="19" t="s">
        <v>31537</v>
      </c>
      <c r="F14522" s="19" t="s">
        <v>36018</v>
      </c>
      <c r="G14522" s="18" t="str">
        <f>"76240"</f>
        <v>76240</v>
      </c>
      <c r="H14522" s="19" t="s">
        <v>36788</v>
      </c>
      <c r="I14522" s="20">
        <v>18.18</v>
      </c>
      <c r="J14522" s="44" t="s">
        <v>8</v>
      </c>
      <c r="K14522" s="23" t="s">
        <v>8</v>
      </c>
      <c r="L14522" s="23" t="s">
        <v>8</v>
      </c>
      <c r="M14522" s="23" t="s">
        <v>8</v>
      </c>
    </row>
    <row r="14523" spans="1:13" s="21" customFormat="1" x14ac:dyDescent="0.25">
      <c r="A14523" s="22" t="s">
        <v>8</v>
      </c>
      <c r="B14523" s="18" t="str">
        <f>"675071"</f>
        <v>675071</v>
      </c>
      <c r="C14523" s="19" t="s">
        <v>14251</v>
      </c>
      <c r="D14523" s="19" t="s">
        <v>29913</v>
      </c>
      <c r="E14523" s="19" t="s">
        <v>32242</v>
      </c>
      <c r="F14523" s="19" t="s">
        <v>36018</v>
      </c>
      <c r="G14523" s="18" t="str">
        <f>"78164"</f>
        <v>78164</v>
      </c>
      <c r="H14523" s="19" t="s">
        <v>31012</v>
      </c>
      <c r="I14523" s="20">
        <v>18.841999999999999</v>
      </c>
      <c r="J14523" s="44" t="s">
        <v>8</v>
      </c>
      <c r="K14523" s="23" t="s">
        <v>8</v>
      </c>
      <c r="L14523" s="23" t="s">
        <v>8</v>
      </c>
      <c r="M14523" s="23" t="s">
        <v>8</v>
      </c>
    </row>
    <row r="14524" spans="1:13" s="21" customFormat="1" x14ac:dyDescent="0.25">
      <c r="A14524" s="22" t="s">
        <v>8</v>
      </c>
      <c r="B14524" s="18" t="str">
        <f>"675075"</f>
        <v>675075</v>
      </c>
      <c r="C14524" s="19" t="s">
        <v>14252</v>
      </c>
      <c r="D14524" s="19" t="s">
        <v>29914</v>
      </c>
      <c r="E14524" s="19" t="s">
        <v>32821</v>
      </c>
      <c r="F14524" s="19" t="s">
        <v>36018</v>
      </c>
      <c r="G14524" s="18" t="str">
        <f>"78648"</f>
        <v>78648</v>
      </c>
      <c r="H14524" s="19" t="s">
        <v>31876</v>
      </c>
      <c r="I14524" s="20">
        <v>18.311</v>
      </c>
      <c r="J14524" s="44" t="s">
        <v>8</v>
      </c>
      <c r="K14524" s="23" t="s">
        <v>8</v>
      </c>
      <c r="L14524" s="23" t="s">
        <v>8</v>
      </c>
      <c r="M14524" s="23" t="s">
        <v>8</v>
      </c>
    </row>
    <row r="14525" spans="1:13" s="21" customFormat="1" x14ac:dyDescent="0.25">
      <c r="A14525" s="22" t="s">
        <v>8</v>
      </c>
      <c r="B14525" s="18" t="str">
        <f>"675076"</f>
        <v>675076</v>
      </c>
      <c r="C14525" s="19" t="s">
        <v>14253</v>
      </c>
      <c r="D14525" s="19" t="s">
        <v>29915</v>
      </c>
      <c r="E14525" s="19" t="s">
        <v>35311</v>
      </c>
      <c r="F14525" s="19" t="s">
        <v>36018</v>
      </c>
      <c r="G14525" s="18" t="str">
        <f>"78643"</f>
        <v>78643</v>
      </c>
      <c r="H14525" s="19" t="s">
        <v>35311</v>
      </c>
      <c r="I14525" s="20">
        <v>21.433</v>
      </c>
      <c r="J14525" s="44" t="s">
        <v>8</v>
      </c>
      <c r="K14525" s="23" t="s">
        <v>8</v>
      </c>
      <c r="L14525" s="23" t="s">
        <v>8</v>
      </c>
      <c r="M14525" s="23" t="s">
        <v>8</v>
      </c>
    </row>
    <row r="14526" spans="1:13" s="21" customFormat="1" x14ac:dyDescent="0.25">
      <c r="A14526" s="22" t="s">
        <v>8</v>
      </c>
      <c r="B14526" s="18" t="str">
        <f>"675078"</f>
        <v>675078</v>
      </c>
      <c r="C14526" s="19" t="s">
        <v>14254</v>
      </c>
      <c r="D14526" s="19" t="s">
        <v>29916</v>
      </c>
      <c r="E14526" s="19" t="s">
        <v>33493</v>
      </c>
      <c r="F14526" s="19" t="s">
        <v>36018</v>
      </c>
      <c r="G14526" s="18" t="str">
        <f>"77063"</f>
        <v>77063</v>
      </c>
      <c r="H14526" s="19" t="s">
        <v>34183</v>
      </c>
      <c r="I14526" s="20">
        <v>19.585999999999999</v>
      </c>
      <c r="J14526" s="44" t="s">
        <v>8</v>
      </c>
      <c r="K14526" s="23" t="s">
        <v>8</v>
      </c>
      <c r="L14526" s="23" t="s">
        <v>8</v>
      </c>
      <c r="M14526" s="23" t="s">
        <v>8</v>
      </c>
    </row>
    <row r="14527" spans="1:13" s="21" customFormat="1" x14ac:dyDescent="0.25">
      <c r="A14527" s="22" t="s">
        <v>8</v>
      </c>
      <c r="B14527" s="18" t="str">
        <f>"675079"</f>
        <v>675079</v>
      </c>
      <c r="C14527" s="19" t="s">
        <v>14255</v>
      </c>
      <c r="D14527" s="19" t="s">
        <v>29917</v>
      </c>
      <c r="E14527" s="19" t="s">
        <v>35288</v>
      </c>
      <c r="F14527" s="19" t="s">
        <v>36018</v>
      </c>
      <c r="G14527" s="18" t="str">
        <f>"77521"</f>
        <v>77521</v>
      </c>
      <c r="H14527" s="19" t="s">
        <v>34183</v>
      </c>
      <c r="I14527" s="20">
        <v>19.696000000000002</v>
      </c>
      <c r="J14527" s="44" t="s">
        <v>8</v>
      </c>
      <c r="K14527" s="23" t="s">
        <v>8</v>
      </c>
      <c r="L14527" s="23" t="s">
        <v>8</v>
      </c>
      <c r="M14527" s="23" t="s">
        <v>8</v>
      </c>
    </row>
    <row r="14528" spans="1:13" s="21" customFormat="1" x14ac:dyDescent="0.25">
      <c r="A14528" s="22" t="s">
        <v>8</v>
      </c>
      <c r="B14528" s="18" t="str">
        <f>"675080"</f>
        <v>675080</v>
      </c>
      <c r="C14528" s="19" t="s">
        <v>14256</v>
      </c>
      <c r="D14528" s="19" t="s">
        <v>29918</v>
      </c>
      <c r="E14528" s="19" t="s">
        <v>33493</v>
      </c>
      <c r="F14528" s="19" t="s">
        <v>36018</v>
      </c>
      <c r="G14528" s="18" t="str">
        <f>"77057"</f>
        <v>77057</v>
      </c>
      <c r="H14528" s="19" t="s">
        <v>34183</v>
      </c>
      <c r="I14528" s="20">
        <v>16.657</v>
      </c>
      <c r="J14528" s="44" t="s">
        <v>8</v>
      </c>
      <c r="K14528" s="23" t="s">
        <v>8</v>
      </c>
      <c r="L14528" s="23" t="s">
        <v>8</v>
      </c>
      <c r="M14528" s="23" t="s">
        <v>8</v>
      </c>
    </row>
    <row r="14529" spans="1:13" s="21" customFormat="1" x14ac:dyDescent="0.25">
      <c r="A14529" s="22" t="s">
        <v>8</v>
      </c>
      <c r="B14529" s="18" t="str">
        <f>"675081"</f>
        <v>675081</v>
      </c>
      <c r="C14529" s="19" t="s">
        <v>14257</v>
      </c>
      <c r="D14529" s="19" t="s">
        <v>29919</v>
      </c>
      <c r="E14529" s="19" t="s">
        <v>31723</v>
      </c>
      <c r="F14529" s="19" t="s">
        <v>36018</v>
      </c>
      <c r="G14529" s="18" t="str">
        <f>"75228"</f>
        <v>75228</v>
      </c>
      <c r="H14529" s="19" t="s">
        <v>31723</v>
      </c>
      <c r="I14529" s="20">
        <v>20.329000000000001</v>
      </c>
      <c r="J14529" s="44" t="s">
        <v>8</v>
      </c>
      <c r="K14529" s="23" t="s">
        <v>8</v>
      </c>
      <c r="L14529" s="23" t="s">
        <v>8</v>
      </c>
      <c r="M14529" s="23" t="s">
        <v>8</v>
      </c>
    </row>
    <row r="14530" spans="1:13" s="21" customFormat="1" x14ac:dyDescent="0.25">
      <c r="A14530" s="22" t="s">
        <v>8</v>
      </c>
      <c r="B14530" s="18" t="str">
        <f>"675084"</f>
        <v>675084</v>
      </c>
      <c r="C14530" s="19" t="s">
        <v>14258</v>
      </c>
      <c r="D14530" s="19" t="s">
        <v>29920</v>
      </c>
      <c r="E14530" s="19" t="s">
        <v>35307</v>
      </c>
      <c r="F14530" s="19" t="s">
        <v>36018</v>
      </c>
      <c r="G14530" s="18" t="str">
        <f>"76048"</f>
        <v>76048</v>
      </c>
      <c r="H14530" s="19" t="s">
        <v>36830</v>
      </c>
      <c r="I14530" s="20">
        <v>20.92</v>
      </c>
      <c r="J14530" s="44" t="s">
        <v>8</v>
      </c>
      <c r="K14530" s="23" t="s">
        <v>8</v>
      </c>
      <c r="L14530" s="23" t="s">
        <v>8</v>
      </c>
      <c r="M14530" s="23" t="s">
        <v>8</v>
      </c>
    </row>
    <row r="14531" spans="1:13" s="21" customFormat="1" x14ac:dyDescent="0.25">
      <c r="A14531" s="22" t="s">
        <v>8</v>
      </c>
      <c r="B14531" s="18" t="str">
        <f>"675085"</f>
        <v>675085</v>
      </c>
      <c r="C14531" s="19" t="s">
        <v>14259</v>
      </c>
      <c r="D14531" s="19" t="s">
        <v>29921</v>
      </c>
      <c r="E14531" s="19" t="s">
        <v>33493</v>
      </c>
      <c r="F14531" s="19" t="s">
        <v>36018</v>
      </c>
      <c r="G14531" s="18" t="str">
        <f>"77040"</f>
        <v>77040</v>
      </c>
      <c r="H14531" s="19" t="s">
        <v>34183</v>
      </c>
      <c r="I14531" s="20">
        <v>18.562999999999999</v>
      </c>
      <c r="J14531" s="44" t="s">
        <v>8</v>
      </c>
      <c r="K14531" s="23" t="s">
        <v>8</v>
      </c>
      <c r="L14531" s="23" t="s">
        <v>8</v>
      </c>
      <c r="M14531" s="23" t="s">
        <v>8</v>
      </c>
    </row>
    <row r="14532" spans="1:13" s="21" customFormat="1" x14ac:dyDescent="0.25">
      <c r="A14532" s="22" t="s">
        <v>8</v>
      </c>
      <c r="B14532" s="18" t="str">
        <f>"675086"</f>
        <v>675086</v>
      </c>
      <c r="C14532" s="19" t="s">
        <v>14260</v>
      </c>
      <c r="D14532" s="19" t="s">
        <v>29922</v>
      </c>
      <c r="E14532" s="19" t="s">
        <v>35284</v>
      </c>
      <c r="F14532" s="19" t="s">
        <v>36018</v>
      </c>
      <c r="G14532" s="18" t="str">
        <f>"77901"</f>
        <v>77901</v>
      </c>
      <c r="H14532" s="19" t="s">
        <v>35284</v>
      </c>
      <c r="I14532" s="20">
        <v>16.323</v>
      </c>
      <c r="J14532" s="44" t="s">
        <v>8</v>
      </c>
      <c r="K14532" s="23" t="s">
        <v>8</v>
      </c>
      <c r="L14532" s="23" t="s">
        <v>8</v>
      </c>
      <c r="M14532" s="23" t="s">
        <v>8</v>
      </c>
    </row>
    <row r="14533" spans="1:13" s="21" customFormat="1" x14ac:dyDescent="0.25">
      <c r="A14533" s="22" t="s">
        <v>8</v>
      </c>
      <c r="B14533" s="18" t="str">
        <f>"675089"</f>
        <v>675089</v>
      </c>
      <c r="C14533" s="19" t="s">
        <v>14261</v>
      </c>
      <c r="D14533" s="19" t="s">
        <v>29923</v>
      </c>
      <c r="E14533" s="19" t="s">
        <v>32078</v>
      </c>
      <c r="F14533" s="19" t="s">
        <v>36018</v>
      </c>
      <c r="G14533" s="18" t="str">
        <f>"75090"</f>
        <v>75090</v>
      </c>
      <c r="H14533" s="19" t="s">
        <v>32731</v>
      </c>
      <c r="I14533" s="20">
        <v>18.2</v>
      </c>
      <c r="J14533" s="44" t="s">
        <v>8</v>
      </c>
      <c r="K14533" s="23" t="s">
        <v>8</v>
      </c>
      <c r="L14533" s="23" t="s">
        <v>8</v>
      </c>
      <c r="M14533" s="23" t="s">
        <v>8</v>
      </c>
    </row>
    <row r="14534" spans="1:13" s="21" customFormat="1" x14ac:dyDescent="0.25">
      <c r="A14534" s="22" t="s">
        <v>8</v>
      </c>
      <c r="B14534" s="18" t="str">
        <f>"675093"</f>
        <v>675093</v>
      </c>
      <c r="C14534" s="19" t="s">
        <v>14262</v>
      </c>
      <c r="D14534" s="19" t="s">
        <v>29924</v>
      </c>
      <c r="E14534" s="19" t="s">
        <v>35310</v>
      </c>
      <c r="F14534" s="19" t="s">
        <v>36018</v>
      </c>
      <c r="G14534" s="18" t="str">
        <f>"79410"</f>
        <v>79410</v>
      </c>
      <c r="H14534" s="19" t="s">
        <v>35310</v>
      </c>
      <c r="I14534" s="20">
        <v>19.007000000000001</v>
      </c>
      <c r="J14534" s="44" t="s">
        <v>8</v>
      </c>
      <c r="K14534" s="23" t="s">
        <v>8</v>
      </c>
      <c r="L14534" s="23" t="s">
        <v>8</v>
      </c>
      <c r="M14534" s="23" t="s">
        <v>8</v>
      </c>
    </row>
    <row r="14535" spans="1:13" s="21" customFormat="1" x14ac:dyDescent="0.25">
      <c r="A14535" s="22" t="s">
        <v>8</v>
      </c>
      <c r="B14535" s="18" t="str">
        <f>"675095"</f>
        <v>675095</v>
      </c>
      <c r="C14535" s="19" t="s">
        <v>14263</v>
      </c>
      <c r="D14535" s="19" t="s">
        <v>29925</v>
      </c>
      <c r="E14535" s="19" t="s">
        <v>35801</v>
      </c>
      <c r="F14535" s="19" t="s">
        <v>36018</v>
      </c>
      <c r="G14535" s="18" t="str">
        <f>"77964"</f>
        <v>77964</v>
      </c>
      <c r="H14535" s="19" t="s">
        <v>36813</v>
      </c>
      <c r="I14535" s="20">
        <v>19.64</v>
      </c>
      <c r="J14535" s="44" t="s">
        <v>8</v>
      </c>
      <c r="K14535" s="23" t="s">
        <v>8</v>
      </c>
      <c r="L14535" s="23" t="s">
        <v>8</v>
      </c>
      <c r="M14535" s="23" t="s">
        <v>8</v>
      </c>
    </row>
    <row r="14536" spans="1:13" s="21" customFormat="1" x14ac:dyDescent="0.25">
      <c r="A14536" s="22" t="s">
        <v>8</v>
      </c>
      <c r="B14536" s="18" t="str">
        <f>"675096"</f>
        <v>675096</v>
      </c>
      <c r="C14536" s="19" t="s">
        <v>14264</v>
      </c>
      <c r="D14536" s="19" t="s">
        <v>29926</v>
      </c>
      <c r="E14536" s="19" t="s">
        <v>32016</v>
      </c>
      <c r="F14536" s="19" t="s">
        <v>36018</v>
      </c>
      <c r="G14536" s="18" t="str">
        <f>"76645"</f>
        <v>76645</v>
      </c>
      <c r="H14536" s="19" t="s">
        <v>36533</v>
      </c>
      <c r="I14536" s="20">
        <v>20.831</v>
      </c>
      <c r="J14536" s="44" t="s">
        <v>8</v>
      </c>
      <c r="K14536" s="23" t="s">
        <v>8</v>
      </c>
      <c r="L14536" s="23" t="s">
        <v>8</v>
      </c>
      <c r="M14536" s="23" t="s">
        <v>8</v>
      </c>
    </row>
    <row r="14537" spans="1:13" s="21" customFormat="1" x14ac:dyDescent="0.25">
      <c r="A14537" s="22" t="s">
        <v>8</v>
      </c>
      <c r="B14537" s="18" t="str">
        <f>"675098"</f>
        <v>675098</v>
      </c>
      <c r="C14537" s="19" t="s">
        <v>14265</v>
      </c>
      <c r="D14537" s="19" t="s">
        <v>29927</v>
      </c>
      <c r="E14537" s="19" t="s">
        <v>33267</v>
      </c>
      <c r="F14537" s="19" t="s">
        <v>36018</v>
      </c>
      <c r="G14537" s="18" t="str">
        <f>"79325"</f>
        <v>79325</v>
      </c>
      <c r="H14537" s="19" t="s">
        <v>36953</v>
      </c>
      <c r="I14537" s="20">
        <v>18.434000000000001</v>
      </c>
      <c r="J14537" s="44" t="s">
        <v>8</v>
      </c>
      <c r="K14537" s="23" t="s">
        <v>8</v>
      </c>
      <c r="L14537" s="23" t="s">
        <v>8</v>
      </c>
      <c r="M14537" s="23" t="s">
        <v>8</v>
      </c>
    </row>
    <row r="14538" spans="1:13" s="21" customFormat="1" x14ac:dyDescent="0.25">
      <c r="A14538" s="22" t="s">
        <v>8</v>
      </c>
      <c r="B14538" s="18" t="str">
        <f>"675101"</f>
        <v>675101</v>
      </c>
      <c r="C14538" s="19" t="s">
        <v>14266</v>
      </c>
      <c r="D14538" s="19" t="s">
        <v>29928</v>
      </c>
      <c r="E14538" s="19" t="s">
        <v>35802</v>
      </c>
      <c r="F14538" s="19" t="s">
        <v>36018</v>
      </c>
      <c r="G14538" s="18" t="str">
        <f>"78942"</f>
        <v>78942</v>
      </c>
      <c r="H14538" s="19" t="s">
        <v>33138</v>
      </c>
      <c r="I14538" s="20">
        <v>19.100000000000001</v>
      </c>
      <c r="J14538" s="44" t="s">
        <v>8</v>
      </c>
      <c r="K14538" s="23" t="s">
        <v>8</v>
      </c>
      <c r="L14538" s="23" t="s">
        <v>8</v>
      </c>
      <c r="M14538" s="23" t="s">
        <v>8</v>
      </c>
    </row>
    <row r="14539" spans="1:13" s="21" customFormat="1" x14ac:dyDescent="0.25">
      <c r="A14539" s="22" t="s">
        <v>8</v>
      </c>
      <c r="B14539" s="18" t="str">
        <f>"675103"</f>
        <v>675103</v>
      </c>
      <c r="C14539" s="19" t="s">
        <v>14267</v>
      </c>
      <c r="D14539" s="19" t="s">
        <v>29929</v>
      </c>
      <c r="E14539" s="19" t="s">
        <v>35803</v>
      </c>
      <c r="F14539" s="19" t="s">
        <v>36018</v>
      </c>
      <c r="G14539" s="18" t="str">
        <f>"76651"</f>
        <v>76651</v>
      </c>
      <c r="H14539" s="19" t="s">
        <v>32612</v>
      </c>
      <c r="I14539" s="20">
        <v>16.972000000000001</v>
      </c>
      <c r="J14539" s="44" t="s">
        <v>8</v>
      </c>
      <c r="K14539" s="23" t="s">
        <v>8</v>
      </c>
      <c r="L14539" s="23" t="s">
        <v>8</v>
      </c>
      <c r="M14539" s="23" t="s">
        <v>8</v>
      </c>
    </row>
    <row r="14540" spans="1:13" s="21" customFormat="1" x14ac:dyDescent="0.25">
      <c r="A14540" s="22" t="s">
        <v>8</v>
      </c>
      <c r="B14540" s="18" t="str">
        <f>"675104"</f>
        <v>675104</v>
      </c>
      <c r="C14540" s="19" t="s">
        <v>14268</v>
      </c>
      <c r="D14540" s="19" t="s">
        <v>29930</v>
      </c>
      <c r="E14540" s="19" t="s">
        <v>35804</v>
      </c>
      <c r="F14540" s="19" t="s">
        <v>36018</v>
      </c>
      <c r="G14540" s="18" t="str">
        <f>"78022"</f>
        <v>78022</v>
      </c>
      <c r="H14540" s="19" t="s">
        <v>5397</v>
      </c>
      <c r="I14540" s="20">
        <v>18.556000000000001</v>
      </c>
      <c r="J14540" s="44" t="s">
        <v>8</v>
      </c>
      <c r="K14540" s="23" t="s">
        <v>8</v>
      </c>
      <c r="L14540" s="23" t="s">
        <v>8</v>
      </c>
      <c r="M14540" s="23" t="s">
        <v>8</v>
      </c>
    </row>
    <row r="14541" spans="1:13" s="21" customFormat="1" x14ac:dyDescent="0.25">
      <c r="A14541" s="22" t="s">
        <v>8</v>
      </c>
      <c r="B14541" s="18" t="str">
        <f>"675105"</f>
        <v>675105</v>
      </c>
      <c r="C14541" s="19" t="s">
        <v>14269</v>
      </c>
      <c r="D14541" s="19" t="s">
        <v>29931</v>
      </c>
      <c r="E14541" s="19" t="s">
        <v>35805</v>
      </c>
      <c r="F14541" s="19" t="s">
        <v>36018</v>
      </c>
      <c r="G14541" s="18" t="str">
        <f>"75160"</f>
        <v>75160</v>
      </c>
      <c r="H14541" s="19" t="s">
        <v>35313</v>
      </c>
      <c r="I14541" s="20">
        <v>18.88</v>
      </c>
      <c r="J14541" s="44" t="s">
        <v>8</v>
      </c>
      <c r="K14541" s="23" t="s">
        <v>8</v>
      </c>
      <c r="L14541" s="23" t="s">
        <v>8</v>
      </c>
      <c r="M14541" s="23" t="s">
        <v>8</v>
      </c>
    </row>
    <row r="14542" spans="1:13" s="21" customFormat="1" x14ac:dyDescent="0.25">
      <c r="A14542" s="22" t="s">
        <v>8</v>
      </c>
      <c r="B14542" s="18" t="str">
        <f>"675106"</f>
        <v>675106</v>
      </c>
      <c r="C14542" s="19" t="s">
        <v>14270</v>
      </c>
      <c r="D14542" s="19" t="s">
        <v>29932</v>
      </c>
      <c r="E14542" s="19" t="s">
        <v>31965</v>
      </c>
      <c r="F14542" s="19" t="s">
        <v>36018</v>
      </c>
      <c r="G14542" s="18" t="str">
        <f>"79902"</f>
        <v>79902</v>
      </c>
      <c r="H14542" s="19" t="s">
        <v>31965</v>
      </c>
      <c r="I14542" s="20">
        <v>21.902999999999999</v>
      </c>
      <c r="J14542" s="44" t="s">
        <v>8</v>
      </c>
      <c r="K14542" s="23" t="s">
        <v>8</v>
      </c>
      <c r="L14542" s="23" t="s">
        <v>8</v>
      </c>
      <c r="M14542" s="23" t="s">
        <v>8</v>
      </c>
    </row>
    <row r="14543" spans="1:13" s="21" customFormat="1" x14ac:dyDescent="0.25">
      <c r="A14543" s="22" t="s">
        <v>8</v>
      </c>
      <c r="B14543" s="18" t="str">
        <f>"675109"</f>
        <v>675109</v>
      </c>
      <c r="C14543" s="19" t="s">
        <v>14271</v>
      </c>
      <c r="D14543" s="19" t="s">
        <v>29933</v>
      </c>
      <c r="E14543" s="19" t="s">
        <v>35806</v>
      </c>
      <c r="F14543" s="19" t="s">
        <v>36018</v>
      </c>
      <c r="G14543" s="18" t="str">
        <f>"75080"</f>
        <v>75080</v>
      </c>
      <c r="H14543" s="19" t="s">
        <v>31723</v>
      </c>
      <c r="I14543" s="20">
        <v>22.609000000000002</v>
      </c>
      <c r="J14543" s="44" t="s">
        <v>8</v>
      </c>
      <c r="K14543" s="23" t="s">
        <v>8</v>
      </c>
      <c r="L14543" s="23" t="s">
        <v>8</v>
      </c>
      <c r="M14543" s="23" t="s">
        <v>8</v>
      </c>
    </row>
    <row r="14544" spans="1:13" s="21" customFormat="1" x14ac:dyDescent="0.25">
      <c r="A14544" s="22" t="s">
        <v>8</v>
      </c>
      <c r="B14544" s="18" t="str">
        <f>"675110"</f>
        <v>675110</v>
      </c>
      <c r="C14544" s="19" t="s">
        <v>14272</v>
      </c>
      <c r="D14544" s="19" t="s">
        <v>29934</v>
      </c>
      <c r="E14544" s="19" t="s">
        <v>35807</v>
      </c>
      <c r="F14544" s="19" t="s">
        <v>36018</v>
      </c>
      <c r="G14544" s="18" t="str">
        <f>"77954"</f>
        <v>77954</v>
      </c>
      <c r="H14544" s="19" t="s">
        <v>31012</v>
      </c>
      <c r="I14544" s="20">
        <v>17.963999999999999</v>
      </c>
      <c r="J14544" s="44" t="s">
        <v>8</v>
      </c>
      <c r="K14544" s="23" t="s">
        <v>8</v>
      </c>
      <c r="L14544" s="23" t="s">
        <v>8</v>
      </c>
      <c r="M14544" s="23" t="s">
        <v>8</v>
      </c>
    </row>
    <row r="14545" spans="1:13" s="21" customFormat="1" x14ac:dyDescent="0.25">
      <c r="A14545" s="22" t="s">
        <v>8</v>
      </c>
      <c r="B14545" s="18" t="str">
        <f>"675111"</f>
        <v>675111</v>
      </c>
      <c r="C14545" s="19" t="s">
        <v>14273</v>
      </c>
      <c r="D14545" s="19" t="s">
        <v>29935</v>
      </c>
      <c r="E14545" s="19" t="s">
        <v>30812</v>
      </c>
      <c r="F14545" s="19" t="s">
        <v>36018</v>
      </c>
      <c r="G14545" s="18" t="str">
        <f>"75006"</f>
        <v>75006</v>
      </c>
      <c r="H14545" s="19" t="s">
        <v>31723</v>
      </c>
      <c r="I14545" s="20">
        <v>18.881</v>
      </c>
      <c r="J14545" s="44" t="s">
        <v>8</v>
      </c>
      <c r="K14545" s="23" t="s">
        <v>8</v>
      </c>
      <c r="L14545" s="23" t="s">
        <v>8</v>
      </c>
      <c r="M14545" s="23" t="s">
        <v>8</v>
      </c>
    </row>
    <row r="14546" spans="1:13" s="21" customFormat="1" x14ac:dyDescent="0.25">
      <c r="A14546" s="22" t="s">
        <v>8</v>
      </c>
      <c r="B14546" s="18" t="str">
        <f>"675112"</f>
        <v>675112</v>
      </c>
      <c r="C14546" s="19" t="s">
        <v>14274</v>
      </c>
      <c r="D14546" s="19" t="s">
        <v>29936</v>
      </c>
      <c r="E14546" s="19" t="s">
        <v>33116</v>
      </c>
      <c r="F14546" s="19" t="s">
        <v>36018</v>
      </c>
      <c r="G14546" s="18" t="str">
        <f>"76011"</f>
        <v>76011</v>
      </c>
      <c r="H14546" s="19" t="s">
        <v>36806</v>
      </c>
      <c r="I14546" s="20">
        <v>22.31</v>
      </c>
      <c r="J14546" s="44" t="s">
        <v>8</v>
      </c>
      <c r="K14546" s="23" t="s">
        <v>8</v>
      </c>
      <c r="L14546" s="23" t="s">
        <v>8</v>
      </c>
      <c r="M14546" s="23" t="s">
        <v>8</v>
      </c>
    </row>
    <row r="14547" spans="1:13" s="21" customFormat="1" x14ac:dyDescent="0.25">
      <c r="A14547" s="22" t="s">
        <v>8</v>
      </c>
      <c r="B14547" s="18" t="str">
        <f>"675113"</f>
        <v>675113</v>
      </c>
      <c r="C14547" s="19" t="s">
        <v>14275</v>
      </c>
      <c r="D14547" s="19" t="s">
        <v>29937</v>
      </c>
      <c r="E14547" s="19" t="s">
        <v>35299</v>
      </c>
      <c r="F14547" s="19" t="s">
        <v>36018</v>
      </c>
      <c r="G14547" s="18" t="str">
        <f>"75075"</f>
        <v>75075</v>
      </c>
      <c r="H14547" s="19" t="s">
        <v>36828</v>
      </c>
      <c r="I14547" s="20">
        <v>20.202000000000002</v>
      </c>
      <c r="J14547" s="44" t="s">
        <v>8</v>
      </c>
      <c r="K14547" s="23" t="s">
        <v>8</v>
      </c>
      <c r="L14547" s="23" t="s">
        <v>8</v>
      </c>
      <c r="M14547" s="23" t="s">
        <v>8</v>
      </c>
    </row>
    <row r="14548" spans="1:13" s="21" customFormat="1" x14ac:dyDescent="0.25">
      <c r="A14548" s="22" t="s">
        <v>8</v>
      </c>
      <c r="B14548" s="18" t="str">
        <f>"675117"</f>
        <v>675117</v>
      </c>
      <c r="C14548" s="19" t="s">
        <v>14276</v>
      </c>
      <c r="D14548" s="19" t="s">
        <v>29938</v>
      </c>
      <c r="E14548" s="19" t="s">
        <v>35808</v>
      </c>
      <c r="F14548" s="19" t="s">
        <v>36018</v>
      </c>
      <c r="G14548" s="18" t="str">
        <f>"79064"</f>
        <v>79064</v>
      </c>
      <c r="H14548" s="19" t="s">
        <v>36799</v>
      </c>
      <c r="I14548" s="20">
        <v>19.338000000000001</v>
      </c>
      <c r="J14548" s="44" t="s">
        <v>8</v>
      </c>
      <c r="K14548" s="23" t="s">
        <v>8</v>
      </c>
      <c r="L14548" s="23" t="s">
        <v>8</v>
      </c>
      <c r="M14548" s="23" t="s">
        <v>8</v>
      </c>
    </row>
    <row r="14549" spans="1:13" s="21" customFormat="1" x14ac:dyDescent="0.25">
      <c r="A14549" s="22" t="s">
        <v>8</v>
      </c>
      <c r="B14549" s="18" t="str">
        <f>"675118"</f>
        <v>675118</v>
      </c>
      <c r="C14549" s="19" t="s">
        <v>14277</v>
      </c>
      <c r="D14549" s="19" t="s">
        <v>29939</v>
      </c>
      <c r="E14549" s="19" t="s">
        <v>33383</v>
      </c>
      <c r="F14549" s="19" t="s">
        <v>36018</v>
      </c>
      <c r="G14549" s="18" t="str">
        <f>"78749"</f>
        <v>78749</v>
      </c>
      <c r="H14549" s="19" t="s">
        <v>36817</v>
      </c>
      <c r="I14549" s="20">
        <v>20.501000000000001</v>
      </c>
      <c r="J14549" s="44" t="s">
        <v>8</v>
      </c>
      <c r="K14549" s="23" t="s">
        <v>8</v>
      </c>
      <c r="L14549" s="23" t="s">
        <v>8</v>
      </c>
      <c r="M14549" s="23" t="s">
        <v>8</v>
      </c>
    </row>
    <row r="14550" spans="1:13" s="21" customFormat="1" x14ac:dyDescent="0.25">
      <c r="A14550" s="22" t="s">
        <v>8</v>
      </c>
      <c r="B14550" s="18" t="str">
        <f>"675119"</f>
        <v>675119</v>
      </c>
      <c r="C14550" s="19" t="s">
        <v>14278</v>
      </c>
      <c r="D14550" s="19" t="s">
        <v>29940</v>
      </c>
      <c r="E14550" s="19" t="s">
        <v>33844</v>
      </c>
      <c r="F14550" s="19" t="s">
        <v>36018</v>
      </c>
      <c r="G14550" s="18" t="str">
        <f>"75149"</f>
        <v>75149</v>
      </c>
      <c r="H14550" s="19" t="s">
        <v>31723</v>
      </c>
      <c r="I14550" s="20">
        <v>19.783999999999999</v>
      </c>
      <c r="J14550" s="44" t="s">
        <v>8</v>
      </c>
      <c r="K14550" s="23" t="s">
        <v>8</v>
      </c>
      <c r="L14550" s="23" t="s">
        <v>8</v>
      </c>
      <c r="M14550" s="23" t="s">
        <v>8</v>
      </c>
    </row>
    <row r="14551" spans="1:13" s="21" customFormat="1" x14ac:dyDescent="0.25">
      <c r="A14551" s="22" t="s">
        <v>8</v>
      </c>
      <c r="B14551" s="18" t="str">
        <f>"675120"</f>
        <v>675120</v>
      </c>
      <c r="C14551" s="19" t="s">
        <v>14279</v>
      </c>
      <c r="D14551" s="19" t="s">
        <v>29941</v>
      </c>
      <c r="E14551" s="19" t="s">
        <v>35626</v>
      </c>
      <c r="F14551" s="19" t="s">
        <v>36018</v>
      </c>
      <c r="G14551" s="18" t="str">
        <f>"75979"</f>
        <v>75979</v>
      </c>
      <c r="H14551" s="19" t="s">
        <v>33401</v>
      </c>
      <c r="I14551" s="20">
        <v>17.242999999999999</v>
      </c>
      <c r="J14551" s="44" t="s">
        <v>8</v>
      </c>
      <c r="K14551" s="23" t="s">
        <v>8</v>
      </c>
      <c r="L14551" s="23" t="s">
        <v>8</v>
      </c>
      <c r="M14551" s="23" t="s">
        <v>8</v>
      </c>
    </row>
    <row r="14552" spans="1:13" s="21" customFormat="1" x14ac:dyDescent="0.25">
      <c r="A14552" s="22" t="s">
        <v>8</v>
      </c>
      <c r="B14552" s="18" t="str">
        <f>"675124"</f>
        <v>675124</v>
      </c>
      <c r="C14552" s="19" t="s">
        <v>14280</v>
      </c>
      <c r="D14552" s="19" t="s">
        <v>29942</v>
      </c>
      <c r="E14552" s="19" t="s">
        <v>32816</v>
      </c>
      <c r="F14552" s="19" t="s">
        <v>36018</v>
      </c>
      <c r="G14552" s="18" t="str">
        <f>"78629"</f>
        <v>78629</v>
      </c>
      <c r="H14552" s="19" t="s">
        <v>32816</v>
      </c>
      <c r="I14552" s="20">
        <v>19.920000000000002</v>
      </c>
      <c r="J14552" s="44" t="s">
        <v>8</v>
      </c>
      <c r="K14552" s="23" t="s">
        <v>8</v>
      </c>
      <c r="L14552" s="23" t="s">
        <v>8</v>
      </c>
      <c r="M14552" s="23" t="s">
        <v>8</v>
      </c>
    </row>
    <row r="14553" spans="1:13" s="21" customFormat="1" x14ac:dyDescent="0.25">
      <c r="A14553" s="22" t="s">
        <v>8</v>
      </c>
      <c r="B14553" s="18" t="str">
        <f>"675127"</f>
        <v>675127</v>
      </c>
      <c r="C14553" s="19" t="s">
        <v>14281</v>
      </c>
      <c r="D14553" s="19" t="s">
        <v>29943</v>
      </c>
      <c r="E14553" s="19" t="s">
        <v>35283</v>
      </c>
      <c r="F14553" s="19" t="s">
        <v>36018</v>
      </c>
      <c r="G14553" s="18" t="str">
        <f>"77338"</f>
        <v>77338</v>
      </c>
      <c r="H14553" s="19" t="s">
        <v>34183</v>
      </c>
      <c r="I14553" s="20">
        <v>17.597999999999999</v>
      </c>
      <c r="J14553" s="44" t="s">
        <v>8</v>
      </c>
      <c r="K14553" s="23" t="s">
        <v>8</v>
      </c>
      <c r="L14553" s="23" t="s">
        <v>8</v>
      </c>
      <c r="M14553" s="23" t="s">
        <v>8</v>
      </c>
    </row>
    <row r="14554" spans="1:13" s="21" customFormat="1" x14ac:dyDescent="0.25">
      <c r="A14554" s="22" t="s">
        <v>8</v>
      </c>
      <c r="B14554" s="18" t="str">
        <f>"675128"</f>
        <v>675128</v>
      </c>
      <c r="C14554" s="19" t="s">
        <v>14282</v>
      </c>
      <c r="D14554" s="19" t="s">
        <v>29944</v>
      </c>
      <c r="E14554" s="19" t="s">
        <v>35304</v>
      </c>
      <c r="F14554" s="19" t="s">
        <v>36018</v>
      </c>
      <c r="G14554" s="18" t="str">
        <f>"76302"</f>
        <v>76302</v>
      </c>
      <c r="H14554" s="19" t="s">
        <v>32555</v>
      </c>
      <c r="I14554" s="20">
        <v>18.553999999999998</v>
      </c>
      <c r="J14554" s="44" t="s">
        <v>8</v>
      </c>
      <c r="K14554" s="23" t="s">
        <v>8</v>
      </c>
      <c r="L14554" s="23" t="s">
        <v>8</v>
      </c>
      <c r="M14554" s="23" t="s">
        <v>8</v>
      </c>
    </row>
    <row r="14555" spans="1:13" s="21" customFormat="1" x14ac:dyDescent="0.25">
      <c r="A14555" s="22" t="s">
        <v>8</v>
      </c>
      <c r="B14555" s="18" t="str">
        <f>"675132"</f>
        <v>675132</v>
      </c>
      <c r="C14555" s="19" t="s">
        <v>14283</v>
      </c>
      <c r="D14555" s="19" t="s">
        <v>29945</v>
      </c>
      <c r="E14555" s="19" t="s">
        <v>35809</v>
      </c>
      <c r="F14555" s="19" t="s">
        <v>36018</v>
      </c>
      <c r="G14555" s="18" t="str">
        <f>"76629"</f>
        <v>76629</v>
      </c>
      <c r="H14555" s="19" t="s">
        <v>36348</v>
      </c>
      <c r="I14555" s="20">
        <v>19.311</v>
      </c>
      <c r="J14555" s="44" t="s">
        <v>8</v>
      </c>
      <c r="K14555" s="23" t="s">
        <v>8</v>
      </c>
      <c r="L14555" s="23" t="s">
        <v>8</v>
      </c>
      <c r="M14555" s="23" t="s">
        <v>8</v>
      </c>
    </row>
    <row r="14556" spans="1:13" s="21" customFormat="1" x14ac:dyDescent="0.25">
      <c r="A14556" s="22" t="s">
        <v>8</v>
      </c>
      <c r="B14556" s="18" t="str">
        <f>"675133"</f>
        <v>675133</v>
      </c>
      <c r="C14556" s="19" t="s">
        <v>14284</v>
      </c>
      <c r="D14556" s="19" t="s">
        <v>29946</v>
      </c>
      <c r="E14556" s="19" t="s">
        <v>35263</v>
      </c>
      <c r="F14556" s="19" t="s">
        <v>36018</v>
      </c>
      <c r="G14556" s="18" t="str">
        <f>"75601"</f>
        <v>75601</v>
      </c>
      <c r="H14556" s="19" t="s">
        <v>36814</v>
      </c>
      <c r="I14556" s="20">
        <v>18.074999999999999</v>
      </c>
      <c r="J14556" s="44" t="s">
        <v>8</v>
      </c>
      <c r="K14556" s="23" t="s">
        <v>8</v>
      </c>
      <c r="L14556" s="23" t="s">
        <v>8</v>
      </c>
      <c r="M14556" s="23" t="s">
        <v>8</v>
      </c>
    </row>
    <row r="14557" spans="1:13" s="21" customFormat="1" x14ac:dyDescent="0.25">
      <c r="A14557" s="22" t="s">
        <v>8</v>
      </c>
      <c r="B14557" s="18" t="str">
        <f>"675134"</f>
        <v>675134</v>
      </c>
      <c r="C14557" s="19" t="s">
        <v>14285</v>
      </c>
      <c r="D14557" s="19" t="s">
        <v>29947</v>
      </c>
      <c r="E14557" s="19" t="s">
        <v>35807</v>
      </c>
      <c r="F14557" s="19" t="s">
        <v>36018</v>
      </c>
      <c r="G14557" s="18" t="str">
        <f>"77954"</f>
        <v>77954</v>
      </c>
      <c r="H14557" s="19" t="s">
        <v>31012</v>
      </c>
      <c r="I14557" s="20">
        <v>17.524000000000001</v>
      </c>
      <c r="J14557" s="44" t="s">
        <v>8</v>
      </c>
      <c r="K14557" s="23" t="s">
        <v>8</v>
      </c>
      <c r="L14557" s="23" t="s">
        <v>8</v>
      </c>
      <c r="M14557" s="23" t="s">
        <v>8</v>
      </c>
    </row>
    <row r="14558" spans="1:13" s="21" customFormat="1" x14ac:dyDescent="0.25">
      <c r="A14558" s="22" t="s">
        <v>8</v>
      </c>
      <c r="B14558" s="18" t="str">
        <f>"675136"</f>
        <v>675136</v>
      </c>
      <c r="C14558" s="19" t="s">
        <v>14286</v>
      </c>
      <c r="D14558" s="19" t="s">
        <v>29948</v>
      </c>
      <c r="E14558" s="19" t="s">
        <v>32938</v>
      </c>
      <c r="F14558" s="19" t="s">
        <v>36018</v>
      </c>
      <c r="G14558" s="18" t="str">
        <f>"76201"</f>
        <v>76201</v>
      </c>
      <c r="H14558" s="19" t="s">
        <v>32938</v>
      </c>
      <c r="I14558" s="20">
        <v>19.385000000000002</v>
      </c>
      <c r="J14558" s="44" t="s">
        <v>8</v>
      </c>
      <c r="K14558" s="23" t="s">
        <v>8</v>
      </c>
      <c r="L14558" s="23" t="s">
        <v>8</v>
      </c>
      <c r="M14558" s="23" t="s">
        <v>8</v>
      </c>
    </row>
    <row r="14559" spans="1:13" s="21" customFormat="1" x14ac:dyDescent="0.25">
      <c r="A14559" s="22" t="s">
        <v>8</v>
      </c>
      <c r="B14559" s="18" t="str">
        <f>"675138"</f>
        <v>675138</v>
      </c>
      <c r="C14559" s="19" t="s">
        <v>14287</v>
      </c>
      <c r="D14559" s="19" t="s">
        <v>29949</v>
      </c>
      <c r="E14559" s="19" t="s">
        <v>35244</v>
      </c>
      <c r="F14559" s="19" t="s">
        <v>36018</v>
      </c>
      <c r="G14559" s="18" t="str">
        <f>"78228"</f>
        <v>78228</v>
      </c>
      <c r="H14559" s="19" t="s">
        <v>36805</v>
      </c>
      <c r="I14559" s="20">
        <v>17.809999999999999</v>
      </c>
      <c r="J14559" s="44" t="s">
        <v>8</v>
      </c>
      <c r="K14559" s="23" t="s">
        <v>8</v>
      </c>
      <c r="L14559" s="23" t="s">
        <v>8</v>
      </c>
      <c r="M14559" s="23" t="s">
        <v>8</v>
      </c>
    </row>
    <row r="14560" spans="1:13" s="21" customFormat="1" x14ac:dyDescent="0.25">
      <c r="A14560" s="22" t="s">
        <v>8</v>
      </c>
      <c r="B14560" s="18" t="str">
        <f>"675139"</f>
        <v>675139</v>
      </c>
      <c r="C14560" s="19" t="s">
        <v>14288</v>
      </c>
      <c r="D14560" s="19" t="s">
        <v>29950</v>
      </c>
      <c r="E14560" s="19" t="s">
        <v>35810</v>
      </c>
      <c r="F14560" s="19" t="s">
        <v>36018</v>
      </c>
      <c r="G14560" s="18" t="str">
        <f>"76642"</f>
        <v>76642</v>
      </c>
      <c r="H14560" s="19" t="s">
        <v>35216</v>
      </c>
      <c r="I14560" s="20">
        <v>17.832999999999998</v>
      </c>
      <c r="J14560" s="44" t="s">
        <v>8</v>
      </c>
      <c r="K14560" s="23" t="s">
        <v>8</v>
      </c>
      <c r="L14560" s="23" t="s">
        <v>8</v>
      </c>
      <c r="M14560" s="23" t="s">
        <v>8</v>
      </c>
    </row>
    <row r="14561" spans="1:13" s="21" customFormat="1" x14ac:dyDescent="0.25">
      <c r="A14561" s="22" t="s">
        <v>8</v>
      </c>
      <c r="B14561" s="18" t="str">
        <f>"675140"</f>
        <v>675140</v>
      </c>
      <c r="C14561" s="19" t="s">
        <v>14289</v>
      </c>
      <c r="D14561" s="19" t="s">
        <v>29951</v>
      </c>
      <c r="E14561" s="19" t="s">
        <v>30804</v>
      </c>
      <c r="F14561" s="19" t="s">
        <v>36018</v>
      </c>
      <c r="G14561" s="18" t="str">
        <f>"76531"</f>
        <v>76531</v>
      </c>
      <c r="H14561" s="19" t="s">
        <v>30804</v>
      </c>
      <c r="I14561" s="20">
        <v>18.911000000000001</v>
      </c>
      <c r="J14561" s="44" t="s">
        <v>8</v>
      </c>
      <c r="K14561" s="23" t="s">
        <v>8</v>
      </c>
      <c r="L14561" s="23" t="s">
        <v>8</v>
      </c>
      <c r="M14561" s="23" t="s">
        <v>8</v>
      </c>
    </row>
    <row r="14562" spans="1:13" s="21" customFormat="1" x14ac:dyDescent="0.25">
      <c r="A14562" s="22" t="s">
        <v>8</v>
      </c>
      <c r="B14562" s="18" t="str">
        <f>"675141"</f>
        <v>675141</v>
      </c>
      <c r="C14562" s="19" t="s">
        <v>14290</v>
      </c>
      <c r="D14562" s="19" t="s">
        <v>29952</v>
      </c>
      <c r="E14562" s="19" t="s">
        <v>35250</v>
      </c>
      <c r="F14562" s="19" t="s">
        <v>36018</v>
      </c>
      <c r="G14562" s="18" t="str">
        <f>"76708"</f>
        <v>76708</v>
      </c>
      <c r="H14562" s="19" t="s">
        <v>36809</v>
      </c>
      <c r="I14562" s="20">
        <v>20.388999999999999</v>
      </c>
      <c r="J14562" s="44" t="s">
        <v>8</v>
      </c>
      <c r="K14562" s="23" t="s">
        <v>8</v>
      </c>
      <c r="L14562" s="23" t="s">
        <v>8</v>
      </c>
      <c r="M14562" s="23" t="s">
        <v>8</v>
      </c>
    </row>
    <row r="14563" spans="1:13" s="21" customFormat="1" x14ac:dyDescent="0.25">
      <c r="A14563" s="22" t="s">
        <v>8</v>
      </c>
      <c r="B14563" s="18" t="str">
        <f>"675142"</f>
        <v>675142</v>
      </c>
      <c r="C14563" s="19" t="s">
        <v>14291</v>
      </c>
      <c r="D14563" s="19" t="s">
        <v>29953</v>
      </c>
      <c r="E14563" s="19" t="s">
        <v>33401</v>
      </c>
      <c r="F14563" s="19" t="s">
        <v>36018</v>
      </c>
      <c r="G14563" s="18" t="str">
        <f>"75701"</f>
        <v>75701</v>
      </c>
      <c r="H14563" s="19" t="s">
        <v>36304</v>
      </c>
      <c r="I14563" s="20">
        <v>19.058</v>
      </c>
      <c r="J14563" s="44" t="s">
        <v>8</v>
      </c>
      <c r="K14563" s="23" t="s">
        <v>8</v>
      </c>
      <c r="L14563" s="23" t="s">
        <v>8</v>
      </c>
      <c r="M14563" s="23" t="s">
        <v>8</v>
      </c>
    </row>
    <row r="14564" spans="1:13" s="21" customFormat="1" x14ac:dyDescent="0.25">
      <c r="A14564" s="22" t="s">
        <v>8</v>
      </c>
      <c r="B14564" s="18" t="str">
        <f>"675144"</f>
        <v>675144</v>
      </c>
      <c r="C14564" s="19" t="s">
        <v>14292</v>
      </c>
      <c r="D14564" s="19" t="s">
        <v>29954</v>
      </c>
      <c r="E14564" s="19" t="s">
        <v>35291</v>
      </c>
      <c r="F14564" s="19" t="s">
        <v>36018</v>
      </c>
      <c r="G14564" s="18" t="str">
        <f>"76028"</f>
        <v>76028</v>
      </c>
      <c r="H14564" s="19" t="s">
        <v>36072</v>
      </c>
      <c r="I14564" s="20">
        <v>17.901</v>
      </c>
      <c r="J14564" s="44" t="s">
        <v>8</v>
      </c>
      <c r="K14564" s="23" t="s">
        <v>8</v>
      </c>
      <c r="L14564" s="23" t="s">
        <v>8</v>
      </c>
      <c r="M14564" s="23" t="s">
        <v>8</v>
      </c>
    </row>
    <row r="14565" spans="1:13" s="21" customFormat="1" x14ac:dyDescent="0.25">
      <c r="A14565" s="22" t="s">
        <v>8</v>
      </c>
      <c r="B14565" s="18" t="str">
        <f>"675145"</f>
        <v>675145</v>
      </c>
      <c r="C14565" s="19" t="s">
        <v>14293</v>
      </c>
      <c r="D14565" s="19" t="s">
        <v>29955</v>
      </c>
      <c r="E14565" s="19" t="s">
        <v>33664</v>
      </c>
      <c r="F14565" s="19" t="s">
        <v>36018</v>
      </c>
      <c r="G14565" s="18" t="str">
        <f>"79762"</f>
        <v>79762</v>
      </c>
      <c r="H14565" s="19" t="s">
        <v>36821</v>
      </c>
      <c r="I14565" s="20">
        <v>19</v>
      </c>
      <c r="J14565" s="44" t="s">
        <v>8</v>
      </c>
      <c r="K14565" s="23" t="s">
        <v>8</v>
      </c>
      <c r="L14565" s="23" t="s">
        <v>8</v>
      </c>
      <c r="M14565" s="23" t="s">
        <v>8</v>
      </c>
    </row>
    <row r="14566" spans="1:13" s="21" customFormat="1" x14ac:dyDescent="0.25">
      <c r="A14566" s="22" t="s">
        <v>8</v>
      </c>
      <c r="B14566" s="18" t="str">
        <f>"675147"</f>
        <v>675147</v>
      </c>
      <c r="C14566" s="19" t="s">
        <v>14294</v>
      </c>
      <c r="D14566" s="19" t="s">
        <v>29956</v>
      </c>
      <c r="E14566" s="19" t="s">
        <v>35245</v>
      </c>
      <c r="F14566" s="19" t="s">
        <v>36018</v>
      </c>
      <c r="G14566" s="18" t="str">
        <f>"76114"</f>
        <v>76114</v>
      </c>
      <c r="H14566" s="19" t="s">
        <v>36806</v>
      </c>
      <c r="I14566" s="20">
        <v>18.096</v>
      </c>
      <c r="J14566" s="44" t="s">
        <v>8</v>
      </c>
      <c r="K14566" s="23" t="s">
        <v>8</v>
      </c>
      <c r="L14566" s="23" t="s">
        <v>8</v>
      </c>
      <c r="M14566" s="23" t="s">
        <v>8</v>
      </c>
    </row>
    <row r="14567" spans="1:13" s="21" customFormat="1" x14ac:dyDescent="0.25">
      <c r="A14567" s="22" t="s">
        <v>8</v>
      </c>
      <c r="B14567" s="18" t="str">
        <f>"675148"</f>
        <v>675148</v>
      </c>
      <c r="C14567" s="19" t="s">
        <v>14295</v>
      </c>
      <c r="D14567" s="19" t="s">
        <v>29957</v>
      </c>
      <c r="E14567" s="19" t="s">
        <v>31169</v>
      </c>
      <c r="F14567" s="19" t="s">
        <v>36018</v>
      </c>
      <c r="G14567" s="18" t="str">
        <f>"77630"</f>
        <v>77630</v>
      </c>
      <c r="H14567" s="19" t="s">
        <v>31169</v>
      </c>
      <c r="I14567" s="20">
        <v>17.867999999999999</v>
      </c>
      <c r="J14567" s="44" t="s">
        <v>8</v>
      </c>
      <c r="K14567" s="23" t="s">
        <v>8</v>
      </c>
      <c r="L14567" s="23" t="s">
        <v>8</v>
      </c>
      <c r="M14567" s="23" t="s">
        <v>8</v>
      </c>
    </row>
    <row r="14568" spans="1:13" s="21" customFormat="1" x14ac:dyDescent="0.25">
      <c r="A14568" s="22" t="s">
        <v>8</v>
      </c>
      <c r="B14568" s="18" t="str">
        <f>"675149"</f>
        <v>675149</v>
      </c>
      <c r="C14568" s="19" t="s">
        <v>14296</v>
      </c>
      <c r="D14568" s="19" t="s">
        <v>29958</v>
      </c>
      <c r="E14568" s="19" t="s">
        <v>32250</v>
      </c>
      <c r="F14568" s="19" t="s">
        <v>36018</v>
      </c>
      <c r="G14568" s="18" t="str">
        <f>"78382"</f>
        <v>78382</v>
      </c>
      <c r="H14568" s="19" t="s">
        <v>36831</v>
      </c>
      <c r="I14568" s="20">
        <v>18.797999999999998</v>
      </c>
      <c r="J14568" s="44" t="s">
        <v>8</v>
      </c>
      <c r="K14568" s="23" t="s">
        <v>8</v>
      </c>
      <c r="L14568" s="23" t="s">
        <v>8</v>
      </c>
      <c r="M14568" s="23" t="s">
        <v>8</v>
      </c>
    </row>
    <row r="14569" spans="1:13" s="21" customFormat="1" x14ac:dyDescent="0.25">
      <c r="A14569" s="22" t="s">
        <v>8</v>
      </c>
      <c r="B14569" s="18" t="str">
        <f>"675150"</f>
        <v>675150</v>
      </c>
      <c r="C14569" s="19" t="s">
        <v>14297</v>
      </c>
      <c r="D14569" s="19" t="s">
        <v>29959</v>
      </c>
      <c r="E14569" s="19" t="s">
        <v>33761</v>
      </c>
      <c r="F14569" s="19" t="s">
        <v>36018</v>
      </c>
      <c r="G14569" s="18" t="str">
        <f>"75119"</f>
        <v>75119</v>
      </c>
      <c r="H14569" s="19" t="s">
        <v>32612</v>
      </c>
      <c r="I14569" s="20">
        <v>21.321999999999999</v>
      </c>
      <c r="J14569" s="44" t="s">
        <v>8</v>
      </c>
      <c r="K14569" s="23" t="s">
        <v>8</v>
      </c>
      <c r="L14569" s="23" t="s">
        <v>8</v>
      </c>
      <c r="M14569" s="23" t="s">
        <v>8</v>
      </c>
    </row>
    <row r="14570" spans="1:13" s="21" customFormat="1" x14ac:dyDescent="0.25">
      <c r="A14570" s="22" t="s">
        <v>8</v>
      </c>
      <c r="B14570" s="18" t="str">
        <f>"675151"</f>
        <v>675151</v>
      </c>
      <c r="C14570" s="19" t="s">
        <v>8999</v>
      </c>
      <c r="D14570" s="19" t="s">
        <v>29960</v>
      </c>
      <c r="E14570" s="19" t="s">
        <v>35811</v>
      </c>
      <c r="F14570" s="19" t="s">
        <v>36018</v>
      </c>
      <c r="G14570" s="18" t="str">
        <f>"75495"</f>
        <v>75495</v>
      </c>
      <c r="H14570" s="19" t="s">
        <v>32731</v>
      </c>
      <c r="I14570" s="20">
        <v>18.927</v>
      </c>
      <c r="J14570" s="44" t="s">
        <v>8</v>
      </c>
      <c r="K14570" s="23" t="s">
        <v>8</v>
      </c>
      <c r="L14570" s="23" t="s">
        <v>8</v>
      </c>
      <c r="M14570" s="23" t="s">
        <v>8</v>
      </c>
    </row>
    <row r="14571" spans="1:13" s="21" customFormat="1" x14ac:dyDescent="0.25">
      <c r="A14571" s="22" t="s">
        <v>8</v>
      </c>
      <c r="B14571" s="18" t="str">
        <f>"675152"</f>
        <v>675152</v>
      </c>
      <c r="C14571" s="19" t="s">
        <v>14298</v>
      </c>
      <c r="D14571" s="19" t="s">
        <v>29961</v>
      </c>
      <c r="E14571" s="19" t="s">
        <v>35626</v>
      </c>
      <c r="F14571" s="19" t="s">
        <v>36018</v>
      </c>
      <c r="G14571" s="18" t="str">
        <f>"75979"</f>
        <v>75979</v>
      </c>
      <c r="H14571" s="19" t="s">
        <v>33401</v>
      </c>
      <c r="I14571" s="20">
        <v>18.553000000000001</v>
      </c>
      <c r="J14571" s="44" t="s">
        <v>8</v>
      </c>
      <c r="K14571" s="23" t="s">
        <v>8</v>
      </c>
      <c r="L14571" s="23" t="s">
        <v>8</v>
      </c>
      <c r="M14571" s="23" t="s">
        <v>8</v>
      </c>
    </row>
    <row r="14572" spans="1:13" s="21" customFormat="1" x14ac:dyDescent="0.25">
      <c r="A14572" s="22" t="s">
        <v>8</v>
      </c>
      <c r="B14572" s="18" t="str">
        <f>"675153"</f>
        <v>675153</v>
      </c>
      <c r="C14572" s="19" t="s">
        <v>14299</v>
      </c>
      <c r="D14572" s="19" t="s">
        <v>29962</v>
      </c>
      <c r="E14572" s="19" t="s">
        <v>35812</v>
      </c>
      <c r="F14572" s="19" t="s">
        <v>36018</v>
      </c>
      <c r="G14572" s="18" t="str">
        <f>"76248"</f>
        <v>76248</v>
      </c>
      <c r="H14572" s="19" t="s">
        <v>36806</v>
      </c>
      <c r="I14572" s="20">
        <v>18.021000000000001</v>
      </c>
      <c r="J14572" s="44" t="s">
        <v>8</v>
      </c>
      <c r="K14572" s="23" t="s">
        <v>8</v>
      </c>
      <c r="L14572" s="23" t="s">
        <v>8</v>
      </c>
      <c r="M14572" s="23" t="s">
        <v>8</v>
      </c>
    </row>
    <row r="14573" spans="1:13" s="21" customFormat="1" x14ac:dyDescent="0.25">
      <c r="A14573" s="22" t="s">
        <v>8</v>
      </c>
      <c r="B14573" s="18" t="str">
        <f>"675159"</f>
        <v>675159</v>
      </c>
      <c r="C14573" s="19" t="s">
        <v>14300</v>
      </c>
      <c r="D14573" s="19" t="s">
        <v>29963</v>
      </c>
      <c r="E14573" s="19" t="s">
        <v>35813</v>
      </c>
      <c r="F14573" s="19" t="s">
        <v>36018</v>
      </c>
      <c r="G14573" s="18" t="str">
        <f>"77957"</f>
        <v>77957</v>
      </c>
      <c r="H14573" s="19" t="s">
        <v>30816</v>
      </c>
      <c r="I14573" s="20">
        <v>18.684000000000001</v>
      </c>
      <c r="J14573" s="44" t="s">
        <v>8</v>
      </c>
      <c r="K14573" s="23" t="s">
        <v>8</v>
      </c>
      <c r="L14573" s="23" t="s">
        <v>8</v>
      </c>
      <c r="M14573" s="23" t="s">
        <v>8</v>
      </c>
    </row>
    <row r="14574" spans="1:13" s="21" customFormat="1" x14ac:dyDescent="0.25">
      <c r="A14574" s="22" t="s">
        <v>8</v>
      </c>
      <c r="B14574" s="18" t="str">
        <f>"675162"</f>
        <v>675162</v>
      </c>
      <c r="C14574" s="19" t="s">
        <v>14301</v>
      </c>
      <c r="D14574" s="19" t="s">
        <v>29964</v>
      </c>
      <c r="E14574" s="19" t="s">
        <v>35261</v>
      </c>
      <c r="F14574" s="19" t="s">
        <v>36018</v>
      </c>
      <c r="G14574" s="18" t="str">
        <f>"78501"</f>
        <v>78501</v>
      </c>
      <c r="H14574" s="19" t="s">
        <v>36592</v>
      </c>
      <c r="I14574" s="20">
        <v>21.638999999999999</v>
      </c>
      <c r="J14574" s="44" t="s">
        <v>8</v>
      </c>
      <c r="K14574" s="23" t="s">
        <v>8</v>
      </c>
      <c r="L14574" s="23" t="s">
        <v>8</v>
      </c>
      <c r="M14574" s="23" t="s">
        <v>8</v>
      </c>
    </row>
    <row r="14575" spans="1:13" s="21" customFormat="1" x14ac:dyDescent="0.25">
      <c r="A14575" s="22" t="s">
        <v>8</v>
      </c>
      <c r="B14575" s="18" t="str">
        <f>"675169"</f>
        <v>675169</v>
      </c>
      <c r="C14575" s="19" t="s">
        <v>14302</v>
      </c>
      <c r="D14575" s="19" t="s">
        <v>29965</v>
      </c>
      <c r="E14575" s="19" t="s">
        <v>35242</v>
      </c>
      <c r="F14575" s="19" t="s">
        <v>36018</v>
      </c>
      <c r="G14575" s="18" t="str">
        <f>"78624"</f>
        <v>78624</v>
      </c>
      <c r="H14575" s="19" t="s">
        <v>31975</v>
      </c>
      <c r="I14575" s="20">
        <v>17.844999999999999</v>
      </c>
      <c r="J14575" s="44" t="s">
        <v>8</v>
      </c>
      <c r="K14575" s="23" t="s">
        <v>8</v>
      </c>
      <c r="L14575" s="23" t="s">
        <v>8</v>
      </c>
      <c r="M14575" s="23" t="s">
        <v>8</v>
      </c>
    </row>
    <row r="14576" spans="1:13" s="21" customFormat="1" x14ac:dyDescent="0.25">
      <c r="A14576" s="22" t="s">
        <v>8</v>
      </c>
      <c r="B14576" s="18" t="str">
        <f>"675170"</f>
        <v>675170</v>
      </c>
      <c r="C14576" s="19" t="s">
        <v>14303</v>
      </c>
      <c r="D14576" s="19" t="s">
        <v>29966</v>
      </c>
      <c r="E14576" s="19" t="s">
        <v>31176</v>
      </c>
      <c r="F14576" s="19" t="s">
        <v>36018</v>
      </c>
      <c r="G14576" s="18" t="str">
        <f>"78384"</f>
        <v>78384</v>
      </c>
      <c r="H14576" s="19" t="s">
        <v>36129</v>
      </c>
      <c r="I14576" s="20">
        <v>18.643999999999998</v>
      </c>
      <c r="J14576" s="44" t="s">
        <v>8</v>
      </c>
      <c r="K14576" s="23" t="s">
        <v>8</v>
      </c>
      <c r="L14576" s="23" t="s">
        <v>8</v>
      </c>
      <c r="M14576" s="23" t="s">
        <v>8</v>
      </c>
    </row>
    <row r="14577" spans="1:13" s="21" customFormat="1" x14ac:dyDescent="0.25">
      <c r="A14577" s="22" t="s">
        <v>8</v>
      </c>
      <c r="B14577" s="18" t="str">
        <f>"675171"</f>
        <v>675171</v>
      </c>
      <c r="C14577" s="19" t="s">
        <v>14304</v>
      </c>
      <c r="D14577" s="19" t="s">
        <v>29967</v>
      </c>
      <c r="E14577" s="19" t="s">
        <v>35244</v>
      </c>
      <c r="F14577" s="19" t="s">
        <v>36018</v>
      </c>
      <c r="G14577" s="18" t="str">
        <f>"78239"</f>
        <v>78239</v>
      </c>
      <c r="H14577" s="19" t="s">
        <v>36805</v>
      </c>
      <c r="I14577" s="20">
        <v>19.495999999999999</v>
      </c>
      <c r="J14577" s="44" t="s">
        <v>8</v>
      </c>
      <c r="K14577" s="23" t="s">
        <v>8</v>
      </c>
      <c r="L14577" s="23" t="s">
        <v>8</v>
      </c>
      <c r="M14577" s="23" t="s">
        <v>8</v>
      </c>
    </row>
    <row r="14578" spans="1:13" s="21" customFormat="1" x14ac:dyDescent="0.25">
      <c r="A14578" s="22" t="s">
        <v>8</v>
      </c>
      <c r="B14578" s="18" t="str">
        <f>"675172"</f>
        <v>675172</v>
      </c>
      <c r="C14578" s="19" t="s">
        <v>14305</v>
      </c>
      <c r="D14578" s="19" t="s">
        <v>29968</v>
      </c>
      <c r="E14578" s="19" t="s">
        <v>35814</v>
      </c>
      <c r="F14578" s="19" t="s">
        <v>36018</v>
      </c>
      <c r="G14578" s="18" t="str">
        <f>"77642"</f>
        <v>77642</v>
      </c>
      <c r="H14578" s="19" t="s">
        <v>32391</v>
      </c>
      <c r="I14578" s="20">
        <v>21.632000000000001</v>
      </c>
      <c r="J14578" s="44" t="s">
        <v>8</v>
      </c>
      <c r="K14578" s="23" t="s">
        <v>8</v>
      </c>
      <c r="L14578" s="23" t="s">
        <v>8</v>
      </c>
      <c r="M14578" s="23" t="s">
        <v>8</v>
      </c>
    </row>
    <row r="14579" spans="1:13" s="21" customFormat="1" x14ac:dyDescent="0.25">
      <c r="A14579" s="22" t="s">
        <v>8</v>
      </c>
      <c r="B14579" s="18" t="str">
        <f>"675175"</f>
        <v>675175</v>
      </c>
      <c r="C14579" s="19" t="s">
        <v>14306</v>
      </c>
      <c r="D14579" s="19" t="s">
        <v>29969</v>
      </c>
      <c r="E14579" s="19" t="s">
        <v>35787</v>
      </c>
      <c r="F14579" s="19" t="s">
        <v>36018</v>
      </c>
      <c r="G14579" s="18" t="str">
        <f>"75069"</f>
        <v>75069</v>
      </c>
      <c r="H14579" s="19" t="s">
        <v>36828</v>
      </c>
      <c r="I14579" s="20">
        <v>24.664000000000001</v>
      </c>
      <c r="J14579" s="44" t="s">
        <v>8</v>
      </c>
      <c r="K14579" s="23" t="s">
        <v>8</v>
      </c>
      <c r="L14579" s="23" t="s">
        <v>8</v>
      </c>
      <c r="M14579" s="23" t="s">
        <v>8</v>
      </c>
    </row>
    <row r="14580" spans="1:13" s="21" customFormat="1" x14ac:dyDescent="0.25">
      <c r="A14580" s="22" t="s">
        <v>8</v>
      </c>
      <c r="B14580" s="18" t="str">
        <f>"675176"</f>
        <v>675176</v>
      </c>
      <c r="C14580" s="19" t="s">
        <v>14307</v>
      </c>
      <c r="D14580" s="19" t="s">
        <v>29970</v>
      </c>
      <c r="E14580" s="19" t="s">
        <v>35244</v>
      </c>
      <c r="F14580" s="19" t="s">
        <v>36018</v>
      </c>
      <c r="G14580" s="18" t="str">
        <f>"78207"</f>
        <v>78207</v>
      </c>
      <c r="H14580" s="19" t="s">
        <v>36805</v>
      </c>
      <c r="I14580" s="20">
        <v>18.291</v>
      </c>
      <c r="J14580" s="44" t="s">
        <v>8</v>
      </c>
      <c r="K14580" s="23" t="s">
        <v>8</v>
      </c>
      <c r="L14580" s="23" t="s">
        <v>8</v>
      </c>
      <c r="M14580" s="23" t="s">
        <v>8</v>
      </c>
    </row>
    <row r="14581" spans="1:13" s="21" customFormat="1" x14ac:dyDescent="0.25">
      <c r="A14581" s="22" t="s">
        <v>8</v>
      </c>
      <c r="B14581" s="18" t="str">
        <f>"675177"</f>
        <v>675177</v>
      </c>
      <c r="C14581" s="19" t="s">
        <v>14308</v>
      </c>
      <c r="D14581" s="19" t="s">
        <v>29971</v>
      </c>
      <c r="E14581" s="19" t="s">
        <v>35263</v>
      </c>
      <c r="F14581" s="19" t="s">
        <v>36018</v>
      </c>
      <c r="G14581" s="18" t="str">
        <f>"75604"</f>
        <v>75604</v>
      </c>
      <c r="H14581" s="19" t="s">
        <v>36814</v>
      </c>
      <c r="I14581" s="20">
        <v>19.917000000000002</v>
      </c>
      <c r="J14581" s="44" t="s">
        <v>8</v>
      </c>
      <c r="K14581" s="23" t="s">
        <v>8</v>
      </c>
      <c r="L14581" s="23" t="s">
        <v>8</v>
      </c>
      <c r="M14581" s="23" t="s">
        <v>8</v>
      </c>
    </row>
    <row r="14582" spans="1:13" s="21" customFormat="1" x14ac:dyDescent="0.25">
      <c r="A14582" s="22" t="s">
        <v>8</v>
      </c>
      <c r="B14582" s="18" t="str">
        <f>"675181"</f>
        <v>675181</v>
      </c>
      <c r="C14582" s="19" t="s">
        <v>14309</v>
      </c>
      <c r="D14582" s="19" t="s">
        <v>29972</v>
      </c>
      <c r="E14582" s="19" t="s">
        <v>35266</v>
      </c>
      <c r="F14582" s="19" t="s">
        <v>36018</v>
      </c>
      <c r="G14582" s="18" t="str">
        <f>"75482"</f>
        <v>75482</v>
      </c>
      <c r="H14582" s="19" t="s">
        <v>33374</v>
      </c>
      <c r="I14582" s="20">
        <v>18.614000000000001</v>
      </c>
      <c r="J14582" s="44" t="s">
        <v>8</v>
      </c>
      <c r="K14582" s="23" t="s">
        <v>8</v>
      </c>
      <c r="L14582" s="23" t="s">
        <v>8</v>
      </c>
      <c r="M14582" s="23" t="s">
        <v>8</v>
      </c>
    </row>
    <row r="14583" spans="1:13" s="21" customFormat="1" x14ac:dyDescent="0.25">
      <c r="A14583" s="22" t="s">
        <v>8</v>
      </c>
      <c r="B14583" s="18" t="str">
        <f>"675182"</f>
        <v>675182</v>
      </c>
      <c r="C14583" s="19" t="s">
        <v>14310</v>
      </c>
      <c r="D14583" s="19" t="s">
        <v>29973</v>
      </c>
      <c r="E14583" s="19" t="s">
        <v>35790</v>
      </c>
      <c r="F14583" s="19" t="s">
        <v>36018</v>
      </c>
      <c r="G14583" s="18" t="str">
        <f>"79316"</f>
        <v>79316</v>
      </c>
      <c r="H14583" s="19" t="s">
        <v>36949</v>
      </c>
      <c r="I14583" s="20">
        <v>17.832000000000001</v>
      </c>
      <c r="J14583" s="44" t="s">
        <v>8</v>
      </c>
      <c r="K14583" s="23" t="s">
        <v>8</v>
      </c>
      <c r="L14583" s="23" t="s">
        <v>8</v>
      </c>
      <c r="M14583" s="23" t="s">
        <v>8</v>
      </c>
    </row>
    <row r="14584" spans="1:13" s="21" customFormat="1" x14ac:dyDescent="0.25">
      <c r="A14584" s="22" t="s">
        <v>8</v>
      </c>
      <c r="B14584" s="18" t="str">
        <f>"675183"</f>
        <v>675183</v>
      </c>
      <c r="C14584" s="19" t="s">
        <v>14311</v>
      </c>
      <c r="D14584" s="19" t="s">
        <v>29974</v>
      </c>
      <c r="E14584" s="19" t="s">
        <v>30912</v>
      </c>
      <c r="F14584" s="19" t="s">
        <v>36018</v>
      </c>
      <c r="G14584" s="18" t="str">
        <f>"75766"</f>
        <v>75766</v>
      </c>
      <c r="H14584" s="19" t="s">
        <v>32436</v>
      </c>
      <c r="I14584" s="20">
        <v>17.693999999999999</v>
      </c>
      <c r="J14584" s="44" t="s">
        <v>8</v>
      </c>
      <c r="K14584" s="23" t="s">
        <v>8</v>
      </c>
      <c r="L14584" s="23" t="s">
        <v>8</v>
      </c>
      <c r="M14584" s="23" t="s">
        <v>8</v>
      </c>
    </row>
    <row r="14585" spans="1:13" s="21" customFormat="1" x14ac:dyDescent="0.25">
      <c r="A14585" s="22" t="s">
        <v>8</v>
      </c>
      <c r="B14585" s="18" t="str">
        <f>"675185"</f>
        <v>675185</v>
      </c>
      <c r="C14585" s="19" t="s">
        <v>14312</v>
      </c>
      <c r="D14585" s="19" t="s">
        <v>29975</v>
      </c>
      <c r="E14585" s="19" t="s">
        <v>35815</v>
      </c>
      <c r="F14585" s="19" t="s">
        <v>36018</v>
      </c>
      <c r="G14585" s="18" t="str">
        <f>"76247"</f>
        <v>76247</v>
      </c>
      <c r="H14585" s="19" t="s">
        <v>32938</v>
      </c>
      <c r="I14585" s="20">
        <v>16.945</v>
      </c>
      <c r="J14585" s="44" t="s">
        <v>8</v>
      </c>
      <c r="K14585" s="23" t="s">
        <v>8</v>
      </c>
      <c r="L14585" s="23" t="s">
        <v>8</v>
      </c>
      <c r="M14585" s="23" t="s">
        <v>8</v>
      </c>
    </row>
    <row r="14586" spans="1:13" s="21" customFormat="1" x14ac:dyDescent="0.25">
      <c r="A14586" s="22" t="s">
        <v>8</v>
      </c>
      <c r="B14586" s="18" t="str">
        <f>"675191"</f>
        <v>675191</v>
      </c>
      <c r="C14586" s="19" t="s">
        <v>14313</v>
      </c>
      <c r="D14586" s="19" t="s">
        <v>29976</v>
      </c>
      <c r="E14586" s="19" t="s">
        <v>35245</v>
      </c>
      <c r="F14586" s="19" t="s">
        <v>36018</v>
      </c>
      <c r="G14586" s="18" t="str">
        <f>"76105"</f>
        <v>76105</v>
      </c>
      <c r="H14586" s="19" t="s">
        <v>36806</v>
      </c>
      <c r="I14586" s="20">
        <v>20.696999999999999</v>
      </c>
      <c r="J14586" s="44" t="s">
        <v>8</v>
      </c>
      <c r="K14586" s="23" t="s">
        <v>8</v>
      </c>
      <c r="L14586" s="23" t="s">
        <v>8</v>
      </c>
      <c r="M14586" s="23" t="s">
        <v>8</v>
      </c>
    </row>
    <row r="14587" spans="1:13" s="21" customFormat="1" x14ac:dyDescent="0.25">
      <c r="A14587" s="22" t="s">
        <v>8</v>
      </c>
      <c r="B14587" s="18" t="str">
        <f>"675194"</f>
        <v>675194</v>
      </c>
      <c r="C14587" s="19" t="s">
        <v>14314</v>
      </c>
      <c r="D14587" s="19" t="s">
        <v>29977</v>
      </c>
      <c r="E14587" s="19" t="s">
        <v>35287</v>
      </c>
      <c r="F14587" s="19" t="s">
        <v>36018</v>
      </c>
      <c r="G14587" s="18" t="str">
        <f>"75051"</f>
        <v>75051</v>
      </c>
      <c r="H14587" s="19" t="s">
        <v>31723</v>
      </c>
      <c r="I14587" s="20">
        <v>18.388000000000002</v>
      </c>
      <c r="J14587" s="44" t="s">
        <v>8</v>
      </c>
      <c r="K14587" s="23" t="s">
        <v>8</v>
      </c>
      <c r="L14587" s="23" t="s">
        <v>8</v>
      </c>
      <c r="M14587" s="23" t="s">
        <v>8</v>
      </c>
    </row>
    <row r="14588" spans="1:13" s="21" customFormat="1" x14ac:dyDescent="0.25">
      <c r="A14588" s="22" t="s">
        <v>8</v>
      </c>
      <c r="B14588" s="18" t="str">
        <f>"675196"</f>
        <v>675196</v>
      </c>
      <c r="C14588" s="19" t="s">
        <v>14315</v>
      </c>
      <c r="D14588" s="19" t="s">
        <v>29978</v>
      </c>
      <c r="E14588" s="19" t="s">
        <v>35787</v>
      </c>
      <c r="F14588" s="19" t="s">
        <v>36018</v>
      </c>
      <c r="G14588" s="18" t="str">
        <f>"75069"</f>
        <v>75069</v>
      </c>
      <c r="H14588" s="19" t="s">
        <v>36828</v>
      </c>
      <c r="I14588" s="20">
        <v>21.829000000000001</v>
      </c>
      <c r="J14588" s="44" t="s">
        <v>8</v>
      </c>
      <c r="K14588" s="23" t="s">
        <v>8</v>
      </c>
      <c r="L14588" s="23" t="s">
        <v>8</v>
      </c>
      <c r="M14588" s="23" t="s">
        <v>8</v>
      </c>
    </row>
    <row r="14589" spans="1:13" s="21" customFormat="1" x14ac:dyDescent="0.25">
      <c r="A14589" s="22" t="s">
        <v>8</v>
      </c>
      <c r="B14589" s="18" t="str">
        <f>"675201"</f>
        <v>675201</v>
      </c>
      <c r="C14589" s="19" t="s">
        <v>14316</v>
      </c>
      <c r="D14589" s="19" t="s">
        <v>29979</v>
      </c>
      <c r="E14589" s="19" t="s">
        <v>34334</v>
      </c>
      <c r="F14589" s="19" t="s">
        <v>36018</v>
      </c>
      <c r="G14589" s="18" t="str">
        <f>"76528"</f>
        <v>76528</v>
      </c>
      <c r="H14589" s="19" t="s">
        <v>36810</v>
      </c>
      <c r="I14589" s="20">
        <v>18.619</v>
      </c>
      <c r="J14589" s="44" t="s">
        <v>8</v>
      </c>
      <c r="K14589" s="23" t="s">
        <v>8</v>
      </c>
      <c r="L14589" s="23" t="s">
        <v>8</v>
      </c>
      <c r="M14589" s="23" t="s">
        <v>8</v>
      </c>
    </row>
    <row r="14590" spans="1:13" s="21" customFormat="1" x14ac:dyDescent="0.25">
      <c r="A14590" s="22" t="s">
        <v>8</v>
      </c>
      <c r="B14590" s="18" t="str">
        <f>"675202"</f>
        <v>675202</v>
      </c>
      <c r="C14590" s="19" t="s">
        <v>12476</v>
      </c>
      <c r="D14590" s="19" t="s">
        <v>29980</v>
      </c>
      <c r="E14590" s="19" t="s">
        <v>35279</v>
      </c>
      <c r="F14590" s="19" t="s">
        <v>36018</v>
      </c>
      <c r="G14590" s="18" t="str">
        <f>"75961"</f>
        <v>75961</v>
      </c>
      <c r="H14590" s="19" t="s">
        <v>35279</v>
      </c>
      <c r="I14590" s="20">
        <v>17.559999999999999</v>
      </c>
      <c r="J14590" s="44" t="s">
        <v>8</v>
      </c>
      <c r="K14590" s="23" t="s">
        <v>8</v>
      </c>
      <c r="L14590" s="23" t="s">
        <v>8</v>
      </c>
      <c r="M14590" s="23" t="s">
        <v>8</v>
      </c>
    </row>
    <row r="14591" spans="1:13" s="21" customFormat="1" x14ac:dyDescent="0.25">
      <c r="A14591" s="22" t="s">
        <v>8</v>
      </c>
      <c r="B14591" s="18" t="str">
        <f>"675204"</f>
        <v>675204</v>
      </c>
      <c r="C14591" s="19" t="s">
        <v>14317</v>
      </c>
      <c r="D14591" s="19" t="s">
        <v>29981</v>
      </c>
      <c r="E14591" s="19" t="s">
        <v>35816</v>
      </c>
      <c r="F14591" s="19" t="s">
        <v>36018</v>
      </c>
      <c r="G14591" s="18" t="str">
        <f>"76692"</f>
        <v>76692</v>
      </c>
      <c r="H14591" s="19" t="s">
        <v>36533</v>
      </c>
      <c r="I14591" s="20">
        <v>17.718</v>
      </c>
      <c r="J14591" s="44" t="s">
        <v>8</v>
      </c>
      <c r="K14591" s="23" t="s">
        <v>8</v>
      </c>
      <c r="L14591" s="23" t="s">
        <v>8</v>
      </c>
      <c r="M14591" s="23" t="s">
        <v>8</v>
      </c>
    </row>
    <row r="14592" spans="1:13" s="21" customFormat="1" x14ac:dyDescent="0.25">
      <c r="A14592" s="22" t="s">
        <v>8</v>
      </c>
      <c r="B14592" s="18" t="str">
        <f>"675205"</f>
        <v>675205</v>
      </c>
      <c r="C14592" s="19" t="s">
        <v>14318</v>
      </c>
      <c r="D14592" s="19" t="s">
        <v>29982</v>
      </c>
      <c r="E14592" s="19" t="s">
        <v>35244</v>
      </c>
      <c r="F14592" s="19" t="s">
        <v>36018</v>
      </c>
      <c r="G14592" s="18" t="str">
        <f>"78229"</f>
        <v>78229</v>
      </c>
      <c r="H14592" s="19" t="s">
        <v>36805</v>
      </c>
      <c r="I14592" s="20">
        <v>19.137</v>
      </c>
      <c r="J14592" s="44" t="s">
        <v>8</v>
      </c>
      <c r="K14592" s="23" t="s">
        <v>8</v>
      </c>
      <c r="L14592" s="23" t="s">
        <v>8</v>
      </c>
      <c r="M14592" s="23" t="s">
        <v>8</v>
      </c>
    </row>
    <row r="14593" spans="1:13" s="21" customFormat="1" x14ac:dyDescent="0.25">
      <c r="A14593" s="22" t="s">
        <v>8</v>
      </c>
      <c r="B14593" s="18" t="str">
        <f>"675206"</f>
        <v>675206</v>
      </c>
      <c r="C14593" s="19" t="s">
        <v>14319</v>
      </c>
      <c r="D14593" s="19" t="s">
        <v>29983</v>
      </c>
      <c r="E14593" s="19" t="s">
        <v>30896</v>
      </c>
      <c r="F14593" s="19" t="s">
        <v>36018</v>
      </c>
      <c r="G14593" s="18" t="str">
        <f>"76233"</f>
        <v>76233</v>
      </c>
      <c r="H14593" s="19" t="s">
        <v>32731</v>
      </c>
      <c r="I14593" s="20">
        <v>18.591999999999999</v>
      </c>
      <c r="J14593" s="44" t="s">
        <v>8</v>
      </c>
      <c r="K14593" s="23" t="s">
        <v>8</v>
      </c>
      <c r="L14593" s="23" t="s">
        <v>8</v>
      </c>
      <c r="M14593" s="23" t="s">
        <v>8</v>
      </c>
    </row>
    <row r="14594" spans="1:13" s="21" customFormat="1" x14ac:dyDescent="0.25">
      <c r="A14594" s="22" t="s">
        <v>8</v>
      </c>
      <c r="B14594" s="18" t="str">
        <f>"675210"</f>
        <v>675210</v>
      </c>
      <c r="C14594" s="19" t="s">
        <v>14320</v>
      </c>
      <c r="D14594" s="19" t="s">
        <v>29984</v>
      </c>
      <c r="E14594" s="19" t="s">
        <v>35817</v>
      </c>
      <c r="F14594" s="19" t="s">
        <v>36018</v>
      </c>
      <c r="G14594" s="18" t="str">
        <f>"76570"</f>
        <v>76570</v>
      </c>
      <c r="H14594" s="19" t="s">
        <v>36954</v>
      </c>
      <c r="I14594" s="20">
        <v>22.623000000000001</v>
      </c>
      <c r="J14594" s="44" t="s">
        <v>8</v>
      </c>
      <c r="K14594" s="23" t="s">
        <v>8</v>
      </c>
      <c r="L14594" s="23" t="s">
        <v>8</v>
      </c>
      <c r="M14594" s="23" t="s">
        <v>8</v>
      </c>
    </row>
    <row r="14595" spans="1:13" s="21" customFormat="1" x14ac:dyDescent="0.25">
      <c r="A14595" s="22" t="s">
        <v>8</v>
      </c>
      <c r="B14595" s="18" t="str">
        <f>"675212"</f>
        <v>675212</v>
      </c>
      <c r="C14595" s="19" t="s">
        <v>14321</v>
      </c>
      <c r="D14595" s="19" t="s">
        <v>29985</v>
      </c>
      <c r="E14595" s="19" t="s">
        <v>32396</v>
      </c>
      <c r="F14595" s="19" t="s">
        <v>36018</v>
      </c>
      <c r="G14595" s="18" t="str">
        <f>"75020"</f>
        <v>75020</v>
      </c>
      <c r="H14595" s="19" t="s">
        <v>32731</v>
      </c>
      <c r="I14595" s="20">
        <v>22.503</v>
      </c>
      <c r="J14595" s="44" t="s">
        <v>8</v>
      </c>
      <c r="K14595" s="23" t="s">
        <v>8</v>
      </c>
      <c r="L14595" s="23" t="s">
        <v>8</v>
      </c>
      <c r="M14595" s="23" t="s">
        <v>8</v>
      </c>
    </row>
    <row r="14596" spans="1:13" s="21" customFormat="1" x14ac:dyDescent="0.25">
      <c r="A14596" s="22" t="s">
        <v>8</v>
      </c>
      <c r="B14596" s="18" t="str">
        <f>"675214"</f>
        <v>675214</v>
      </c>
      <c r="C14596" s="19" t="s">
        <v>14322</v>
      </c>
      <c r="D14596" s="19" t="s">
        <v>29986</v>
      </c>
      <c r="E14596" s="19" t="s">
        <v>35252</v>
      </c>
      <c r="F14596" s="19" t="s">
        <v>36018</v>
      </c>
      <c r="G14596" s="18" t="str">
        <f>"77590"</f>
        <v>77590</v>
      </c>
      <c r="H14596" s="19" t="s">
        <v>35824</v>
      </c>
      <c r="I14596" s="20">
        <v>20.404</v>
      </c>
      <c r="J14596" s="44" t="s">
        <v>8</v>
      </c>
      <c r="K14596" s="23" t="s">
        <v>8</v>
      </c>
      <c r="L14596" s="23" t="s">
        <v>8</v>
      </c>
      <c r="M14596" s="23" t="s">
        <v>8</v>
      </c>
    </row>
    <row r="14597" spans="1:13" s="21" customFormat="1" x14ac:dyDescent="0.25">
      <c r="A14597" s="22" t="s">
        <v>8</v>
      </c>
      <c r="B14597" s="18" t="str">
        <f>"675217"</f>
        <v>675217</v>
      </c>
      <c r="C14597" s="19" t="s">
        <v>14323</v>
      </c>
      <c r="D14597" s="19" t="s">
        <v>29987</v>
      </c>
      <c r="E14597" s="19" t="s">
        <v>32213</v>
      </c>
      <c r="F14597" s="19" t="s">
        <v>36018</v>
      </c>
      <c r="G14597" s="18" t="str">
        <f>"75839"</f>
        <v>75839</v>
      </c>
      <c r="H14597" s="19" t="s">
        <v>32202</v>
      </c>
      <c r="I14597" s="20">
        <v>18.277999999999999</v>
      </c>
      <c r="J14597" s="44" t="s">
        <v>8</v>
      </c>
      <c r="K14597" s="23" t="s">
        <v>8</v>
      </c>
      <c r="L14597" s="23" t="s">
        <v>8</v>
      </c>
      <c r="M14597" s="23" t="s">
        <v>8</v>
      </c>
    </row>
    <row r="14598" spans="1:13" s="21" customFormat="1" x14ac:dyDescent="0.25">
      <c r="A14598" s="22" t="s">
        <v>8</v>
      </c>
      <c r="B14598" s="18" t="str">
        <f>"675220"</f>
        <v>675220</v>
      </c>
      <c r="C14598" s="19" t="s">
        <v>14324</v>
      </c>
      <c r="D14598" s="19" t="s">
        <v>29988</v>
      </c>
      <c r="E14598" s="19" t="s">
        <v>35818</v>
      </c>
      <c r="F14598" s="19" t="s">
        <v>36018</v>
      </c>
      <c r="G14598" s="18" t="str">
        <f>"75956"</f>
        <v>75956</v>
      </c>
      <c r="H14598" s="19" t="s">
        <v>30854</v>
      </c>
      <c r="I14598" s="20">
        <v>20.007000000000001</v>
      </c>
      <c r="J14598" s="44" t="s">
        <v>8</v>
      </c>
      <c r="K14598" s="23" t="s">
        <v>8</v>
      </c>
      <c r="L14598" s="23" t="s">
        <v>8</v>
      </c>
      <c r="M14598" s="23" t="s">
        <v>8</v>
      </c>
    </row>
    <row r="14599" spans="1:13" s="21" customFormat="1" x14ac:dyDescent="0.25">
      <c r="A14599" s="22" t="s">
        <v>8</v>
      </c>
      <c r="B14599" s="18" t="str">
        <f>"675222"</f>
        <v>675222</v>
      </c>
      <c r="C14599" s="19" t="s">
        <v>14325</v>
      </c>
      <c r="D14599" s="19" t="s">
        <v>29989</v>
      </c>
      <c r="E14599" s="19" t="s">
        <v>35252</v>
      </c>
      <c r="F14599" s="19" t="s">
        <v>36018</v>
      </c>
      <c r="G14599" s="18" t="str">
        <f>"77590"</f>
        <v>77590</v>
      </c>
      <c r="H14599" s="19" t="s">
        <v>35824</v>
      </c>
      <c r="I14599" s="20">
        <v>18.850000000000001</v>
      </c>
      <c r="J14599" s="44" t="s">
        <v>8</v>
      </c>
      <c r="K14599" s="23" t="s">
        <v>8</v>
      </c>
      <c r="L14599" s="23" t="s">
        <v>8</v>
      </c>
      <c r="M14599" s="23" t="s">
        <v>8</v>
      </c>
    </row>
    <row r="14600" spans="1:13" s="21" customFormat="1" x14ac:dyDescent="0.25">
      <c r="A14600" s="22" t="s">
        <v>8</v>
      </c>
      <c r="B14600" s="18" t="str">
        <f>"675225"</f>
        <v>675225</v>
      </c>
      <c r="C14600" s="19" t="s">
        <v>14326</v>
      </c>
      <c r="D14600" s="19" t="s">
        <v>29990</v>
      </c>
      <c r="E14600" s="19" t="s">
        <v>35288</v>
      </c>
      <c r="F14600" s="19" t="s">
        <v>36018</v>
      </c>
      <c r="G14600" s="18" t="str">
        <f>"77520"</f>
        <v>77520</v>
      </c>
      <c r="H14600" s="19" t="s">
        <v>34183</v>
      </c>
      <c r="I14600" s="20">
        <v>19.684999999999999</v>
      </c>
      <c r="J14600" s="44" t="s">
        <v>8</v>
      </c>
      <c r="K14600" s="23" t="s">
        <v>8</v>
      </c>
      <c r="L14600" s="23" t="s">
        <v>8</v>
      </c>
      <c r="M14600" s="23" t="s">
        <v>8</v>
      </c>
    </row>
    <row r="14601" spans="1:13" s="21" customFormat="1" x14ac:dyDescent="0.25">
      <c r="A14601" s="22" t="s">
        <v>8</v>
      </c>
      <c r="B14601" s="18" t="str">
        <f>"675226"</f>
        <v>675226</v>
      </c>
      <c r="C14601" s="19" t="s">
        <v>14327</v>
      </c>
      <c r="D14601" s="19" t="s">
        <v>29991</v>
      </c>
      <c r="E14601" s="19" t="s">
        <v>35801</v>
      </c>
      <c r="F14601" s="19" t="s">
        <v>36018</v>
      </c>
      <c r="G14601" s="18" t="str">
        <f>"77964"</f>
        <v>77964</v>
      </c>
      <c r="H14601" s="19" t="s">
        <v>36813</v>
      </c>
      <c r="I14601" s="20">
        <v>17.253</v>
      </c>
      <c r="J14601" s="44" t="s">
        <v>8</v>
      </c>
      <c r="K14601" s="23" t="s">
        <v>8</v>
      </c>
      <c r="L14601" s="23" t="s">
        <v>8</v>
      </c>
      <c r="M14601" s="23" t="s">
        <v>8</v>
      </c>
    </row>
    <row r="14602" spans="1:13" s="21" customFormat="1" x14ac:dyDescent="0.25">
      <c r="A14602" s="22" t="s">
        <v>8</v>
      </c>
      <c r="B14602" s="18" t="str">
        <f>"675229"</f>
        <v>675229</v>
      </c>
      <c r="C14602" s="19" t="s">
        <v>14328</v>
      </c>
      <c r="D14602" s="19" t="s">
        <v>29992</v>
      </c>
      <c r="E14602" s="19" t="s">
        <v>35819</v>
      </c>
      <c r="F14602" s="19" t="s">
        <v>36018</v>
      </c>
      <c r="G14602" s="18" t="str">
        <f>"77304"</f>
        <v>77304</v>
      </c>
      <c r="H14602" s="19" t="s">
        <v>30833</v>
      </c>
      <c r="I14602" s="20">
        <v>18.963999999999999</v>
      </c>
      <c r="J14602" s="44" t="s">
        <v>8</v>
      </c>
      <c r="K14602" s="23" t="s">
        <v>8</v>
      </c>
      <c r="L14602" s="23" t="s">
        <v>8</v>
      </c>
      <c r="M14602" s="23" t="s">
        <v>8</v>
      </c>
    </row>
    <row r="14603" spans="1:13" s="21" customFormat="1" x14ac:dyDescent="0.25">
      <c r="A14603" s="22" t="s">
        <v>8</v>
      </c>
      <c r="B14603" s="18" t="str">
        <f>"675230"</f>
        <v>675230</v>
      </c>
      <c r="C14603" s="19" t="s">
        <v>14329</v>
      </c>
      <c r="D14603" s="19" t="s">
        <v>29993</v>
      </c>
      <c r="E14603" s="19" t="s">
        <v>33646</v>
      </c>
      <c r="F14603" s="19" t="s">
        <v>36018</v>
      </c>
      <c r="G14603" s="18" t="str">
        <f>"75935"</f>
        <v>75935</v>
      </c>
      <c r="H14603" s="19" t="s">
        <v>33565</v>
      </c>
      <c r="I14603" s="20">
        <v>21.077999999999999</v>
      </c>
      <c r="J14603" s="44" t="s">
        <v>8</v>
      </c>
      <c r="K14603" s="23" t="s">
        <v>8</v>
      </c>
      <c r="L14603" s="23" t="s">
        <v>8</v>
      </c>
      <c r="M14603" s="23" t="s">
        <v>8</v>
      </c>
    </row>
    <row r="14604" spans="1:13" s="21" customFormat="1" x14ac:dyDescent="0.25">
      <c r="A14604" s="22" t="s">
        <v>8</v>
      </c>
      <c r="B14604" s="18" t="str">
        <f>"675231"</f>
        <v>675231</v>
      </c>
      <c r="C14604" s="19" t="s">
        <v>14330</v>
      </c>
      <c r="D14604" s="19" t="s">
        <v>29994</v>
      </c>
      <c r="E14604" s="19" t="s">
        <v>33493</v>
      </c>
      <c r="F14604" s="19" t="s">
        <v>36018</v>
      </c>
      <c r="G14604" s="18" t="str">
        <f>"77029"</f>
        <v>77029</v>
      </c>
      <c r="H14604" s="19" t="s">
        <v>34183</v>
      </c>
      <c r="I14604" s="20">
        <v>18.989000000000001</v>
      </c>
      <c r="J14604" s="44" t="s">
        <v>8</v>
      </c>
      <c r="K14604" s="23" t="s">
        <v>8</v>
      </c>
      <c r="L14604" s="23" t="s">
        <v>8</v>
      </c>
      <c r="M14604" s="23" t="s">
        <v>8</v>
      </c>
    </row>
    <row r="14605" spans="1:13" s="21" customFormat="1" x14ac:dyDescent="0.25">
      <c r="A14605" s="22" t="s">
        <v>8</v>
      </c>
      <c r="B14605" s="18" t="str">
        <f>"675233"</f>
        <v>675233</v>
      </c>
      <c r="C14605" s="19" t="s">
        <v>14331</v>
      </c>
      <c r="D14605" s="19" t="s">
        <v>29995</v>
      </c>
      <c r="E14605" s="19" t="s">
        <v>33493</v>
      </c>
      <c r="F14605" s="19" t="s">
        <v>36018</v>
      </c>
      <c r="G14605" s="18" t="str">
        <f>"77087"</f>
        <v>77087</v>
      </c>
      <c r="H14605" s="19" t="s">
        <v>34183</v>
      </c>
      <c r="I14605" s="20">
        <v>18.265999999999998</v>
      </c>
      <c r="J14605" s="44" t="s">
        <v>8</v>
      </c>
      <c r="K14605" s="23" t="s">
        <v>8</v>
      </c>
      <c r="L14605" s="23" t="s">
        <v>8</v>
      </c>
      <c r="M14605" s="23" t="s">
        <v>8</v>
      </c>
    </row>
    <row r="14606" spans="1:13" s="21" customFormat="1" x14ac:dyDescent="0.25">
      <c r="A14606" s="22" t="s">
        <v>8</v>
      </c>
      <c r="B14606" s="18" t="str">
        <f>"675234"</f>
        <v>675234</v>
      </c>
      <c r="C14606" s="19" t="s">
        <v>14332</v>
      </c>
      <c r="D14606" s="19" t="s">
        <v>29996</v>
      </c>
      <c r="E14606" s="19" t="s">
        <v>35820</v>
      </c>
      <c r="F14606" s="19" t="s">
        <v>36018</v>
      </c>
      <c r="G14606" s="18" t="str">
        <f>"77531"</f>
        <v>77531</v>
      </c>
      <c r="H14606" s="19" t="s">
        <v>36808</v>
      </c>
      <c r="I14606" s="20">
        <v>23.212</v>
      </c>
      <c r="J14606" s="44" t="s">
        <v>8</v>
      </c>
      <c r="K14606" s="23" t="s">
        <v>8</v>
      </c>
      <c r="L14606" s="23" t="s">
        <v>8</v>
      </c>
      <c r="M14606" s="23" t="s">
        <v>8</v>
      </c>
    </row>
    <row r="14607" spans="1:13" s="21" customFormat="1" x14ac:dyDescent="0.25">
      <c r="A14607" s="22" t="s">
        <v>8</v>
      </c>
      <c r="B14607" s="18" t="str">
        <f>"675238"</f>
        <v>675238</v>
      </c>
      <c r="C14607" s="19" t="s">
        <v>14333</v>
      </c>
      <c r="D14607" s="19" t="s">
        <v>29997</v>
      </c>
      <c r="E14607" s="19" t="s">
        <v>35245</v>
      </c>
      <c r="F14607" s="19" t="s">
        <v>36018</v>
      </c>
      <c r="G14607" s="18" t="str">
        <f>"76102"</f>
        <v>76102</v>
      </c>
      <c r="H14607" s="19" t="s">
        <v>36806</v>
      </c>
      <c r="I14607" s="20">
        <v>17.292000000000002</v>
      </c>
      <c r="J14607" s="44" t="s">
        <v>8</v>
      </c>
      <c r="K14607" s="23" t="s">
        <v>8</v>
      </c>
      <c r="L14607" s="23" t="s">
        <v>8</v>
      </c>
      <c r="M14607" s="23" t="s">
        <v>8</v>
      </c>
    </row>
    <row r="14608" spans="1:13" s="21" customFormat="1" x14ac:dyDescent="0.25">
      <c r="A14608" s="22" t="s">
        <v>8</v>
      </c>
      <c r="B14608" s="18" t="str">
        <f>"675240"</f>
        <v>675240</v>
      </c>
      <c r="C14608" s="19" t="s">
        <v>14334</v>
      </c>
      <c r="D14608" s="19" t="s">
        <v>29998</v>
      </c>
      <c r="E14608" s="19" t="s">
        <v>35821</v>
      </c>
      <c r="F14608" s="19" t="s">
        <v>36018</v>
      </c>
      <c r="G14608" s="18" t="str">
        <f>"75656"</f>
        <v>75656</v>
      </c>
      <c r="H14608" s="19" t="s">
        <v>36246</v>
      </c>
      <c r="I14608" s="20">
        <v>18.603000000000002</v>
      </c>
      <c r="J14608" s="44" t="s">
        <v>8</v>
      </c>
      <c r="K14608" s="23" t="s">
        <v>8</v>
      </c>
      <c r="L14608" s="23" t="s">
        <v>8</v>
      </c>
      <c r="M14608" s="23" t="s">
        <v>8</v>
      </c>
    </row>
    <row r="14609" spans="1:13" s="21" customFormat="1" x14ac:dyDescent="0.25">
      <c r="A14609" s="22" t="s">
        <v>8</v>
      </c>
      <c r="B14609" s="18" t="str">
        <f>"675241"</f>
        <v>675241</v>
      </c>
      <c r="C14609" s="19" t="s">
        <v>14335</v>
      </c>
      <c r="D14609" s="19" t="s">
        <v>29999</v>
      </c>
      <c r="E14609" s="19" t="s">
        <v>32391</v>
      </c>
      <c r="F14609" s="19" t="s">
        <v>36018</v>
      </c>
      <c r="G14609" s="18" t="str">
        <f>"75657"</f>
        <v>75657</v>
      </c>
      <c r="H14609" s="19" t="s">
        <v>30850</v>
      </c>
      <c r="I14609" s="20">
        <v>22.515999999999998</v>
      </c>
      <c r="J14609" s="44" t="s">
        <v>8</v>
      </c>
      <c r="K14609" s="23" t="s">
        <v>8</v>
      </c>
      <c r="L14609" s="23" t="s">
        <v>8</v>
      </c>
      <c r="M14609" s="23" t="s">
        <v>8</v>
      </c>
    </row>
    <row r="14610" spans="1:13" s="21" customFormat="1" x14ac:dyDescent="0.25">
      <c r="A14610" s="22" t="s">
        <v>8</v>
      </c>
      <c r="B14610" s="18" t="str">
        <f>"675249"</f>
        <v>675249</v>
      </c>
      <c r="C14610" s="19" t="s">
        <v>14336</v>
      </c>
      <c r="D14610" s="19" t="s">
        <v>30000</v>
      </c>
      <c r="E14610" s="19" t="s">
        <v>33493</v>
      </c>
      <c r="F14610" s="19" t="s">
        <v>36018</v>
      </c>
      <c r="G14610" s="18" t="str">
        <f>"77013"</f>
        <v>77013</v>
      </c>
      <c r="H14610" s="19" t="s">
        <v>34183</v>
      </c>
      <c r="I14610" s="20">
        <v>18.991</v>
      </c>
      <c r="J14610" s="44" t="s">
        <v>8</v>
      </c>
      <c r="K14610" s="23" t="s">
        <v>8</v>
      </c>
      <c r="L14610" s="23" t="s">
        <v>8</v>
      </c>
      <c r="M14610" s="23" t="s">
        <v>8</v>
      </c>
    </row>
    <row r="14611" spans="1:13" s="21" customFormat="1" x14ac:dyDescent="0.25">
      <c r="A14611" s="22" t="s">
        <v>8</v>
      </c>
      <c r="B14611" s="18" t="str">
        <f>"675251"</f>
        <v>675251</v>
      </c>
      <c r="C14611" s="19" t="s">
        <v>14337</v>
      </c>
      <c r="D14611" s="19" t="s">
        <v>30001</v>
      </c>
      <c r="E14611" s="19" t="s">
        <v>35822</v>
      </c>
      <c r="F14611" s="19" t="s">
        <v>36018</v>
      </c>
      <c r="G14611" s="18" t="str">
        <f>"75110"</f>
        <v>75110</v>
      </c>
      <c r="H14611" s="19" t="s">
        <v>36955</v>
      </c>
      <c r="I14611" s="20">
        <v>19.384</v>
      </c>
      <c r="J14611" s="44" t="s">
        <v>8</v>
      </c>
      <c r="K14611" s="23" t="s">
        <v>8</v>
      </c>
      <c r="L14611" s="23" t="s">
        <v>8</v>
      </c>
      <c r="M14611" s="23" t="s">
        <v>8</v>
      </c>
    </row>
    <row r="14612" spans="1:13" s="21" customFormat="1" x14ac:dyDescent="0.25">
      <c r="A14612" s="22" t="s">
        <v>8</v>
      </c>
      <c r="B14612" s="18" t="str">
        <f>"675253"</f>
        <v>675253</v>
      </c>
      <c r="C14612" s="19" t="s">
        <v>14338</v>
      </c>
      <c r="D14612" s="19" t="s">
        <v>30002</v>
      </c>
      <c r="E14612" s="19" t="s">
        <v>35823</v>
      </c>
      <c r="F14612" s="19" t="s">
        <v>36018</v>
      </c>
      <c r="G14612" s="18" t="str">
        <f>"75140"</f>
        <v>75140</v>
      </c>
      <c r="H14612" s="19" t="s">
        <v>36827</v>
      </c>
      <c r="I14612" s="20">
        <v>19.376999999999999</v>
      </c>
      <c r="J14612" s="44" t="s">
        <v>8</v>
      </c>
      <c r="K14612" s="23" t="s">
        <v>8</v>
      </c>
      <c r="L14612" s="23" t="s">
        <v>8</v>
      </c>
      <c r="M14612" s="23" t="s">
        <v>8</v>
      </c>
    </row>
    <row r="14613" spans="1:13" s="21" customFormat="1" x14ac:dyDescent="0.25">
      <c r="A14613" s="22" t="s">
        <v>8</v>
      </c>
      <c r="B14613" s="18" t="str">
        <f>"675254"</f>
        <v>675254</v>
      </c>
      <c r="C14613" s="19" t="s">
        <v>14339</v>
      </c>
      <c r="D14613" s="19" t="s">
        <v>30003</v>
      </c>
      <c r="E14613" s="19" t="s">
        <v>35824</v>
      </c>
      <c r="F14613" s="19" t="s">
        <v>36018</v>
      </c>
      <c r="G14613" s="18" t="str">
        <f>"77554"</f>
        <v>77554</v>
      </c>
      <c r="H14613" s="19" t="s">
        <v>35824</v>
      </c>
      <c r="I14613" s="20">
        <v>22.204000000000001</v>
      </c>
      <c r="J14613" s="44" t="s">
        <v>8</v>
      </c>
      <c r="K14613" s="23" t="s">
        <v>8</v>
      </c>
      <c r="L14613" s="23" t="s">
        <v>8</v>
      </c>
      <c r="M14613" s="23" t="s">
        <v>8</v>
      </c>
    </row>
    <row r="14614" spans="1:13" s="21" customFormat="1" x14ac:dyDescent="0.25">
      <c r="A14614" s="22" t="s">
        <v>8</v>
      </c>
      <c r="B14614" s="18" t="str">
        <f>"675256"</f>
        <v>675256</v>
      </c>
      <c r="C14614" s="19" t="s">
        <v>14340</v>
      </c>
      <c r="D14614" s="19" t="s">
        <v>30004</v>
      </c>
      <c r="E14614" s="19" t="s">
        <v>35825</v>
      </c>
      <c r="F14614" s="19" t="s">
        <v>36018</v>
      </c>
      <c r="G14614" s="18" t="str">
        <f>"79088"</f>
        <v>79088</v>
      </c>
      <c r="H14614" s="19" t="s">
        <v>36956</v>
      </c>
      <c r="I14614" s="20">
        <v>18.736000000000001</v>
      </c>
      <c r="J14614" s="44" t="s">
        <v>8</v>
      </c>
      <c r="K14614" s="23" t="s">
        <v>8</v>
      </c>
      <c r="L14614" s="23" t="s">
        <v>8</v>
      </c>
      <c r="M14614" s="23" t="s">
        <v>8</v>
      </c>
    </row>
    <row r="14615" spans="1:13" s="21" customFormat="1" x14ac:dyDescent="0.25">
      <c r="A14615" s="22" t="s">
        <v>8</v>
      </c>
      <c r="B14615" s="18" t="str">
        <f>"675259"</f>
        <v>675259</v>
      </c>
      <c r="C14615" s="19" t="s">
        <v>14341</v>
      </c>
      <c r="D14615" s="19" t="s">
        <v>30005</v>
      </c>
      <c r="E14615" s="19" t="s">
        <v>35826</v>
      </c>
      <c r="F14615" s="19" t="s">
        <v>36018</v>
      </c>
      <c r="G14615" s="18" t="str">
        <f>"76437"</f>
        <v>76437</v>
      </c>
      <c r="H14615" s="19" t="s">
        <v>35230</v>
      </c>
      <c r="I14615" s="20">
        <v>18.006</v>
      </c>
      <c r="J14615" s="44" t="s">
        <v>8</v>
      </c>
      <c r="K14615" s="23" t="s">
        <v>8</v>
      </c>
      <c r="L14615" s="23" t="s">
        <v>8</v>
      </c>
      <c r="M14615" s="23" t="s">
        <v>8</v>
      </c>
    </row>
    <row r="14616" spans="1:13" s="21" customFormat="1" x14ac:dyDescent="0.25">
      <c r="A14616" s="22" t="s">
        <v>8</v>
      </c>
      <c r="B14616" s="18" t="str">
        <f>"675264"</f>
        <v>675264</v>
      </c>
      <c r="C14616" s="19" t="s">
        <v>14342</v>
      </c>
      <c r="D14616" s="19" t="s">
        <v>30006</v>
      </c>
      <c r="E14616" s="19" t="s">
        <v>30824</v>
      </c>
      <c r="F14616" s="19" t="s">
        <v>36018</v>
      </c>
      <c r="G14616" s="18" t="str">
        <f>"75751"</f>
        <v>75751</v>
      </c>
      <c r="H14616" s="19" t="s">
        <v>32699</v>
      </c>
      <c r="I14616" s="20">
        <v>22.331</v>
      </c>
      <c r="J14616" s="44" t="s">
        <v>8</v>
      </c>
      <c r="K14616" s="23" t="s">
        <v>8</v>
      </c>
      <c r="L14616" s="23" t="s">
        <v>8</v>
      </c>
      <c r="M14616" s="23" t="s">
        <v>8</v>
      </c>
    </row>
    <row r="14617" spans="1:13" s="21" customFormat="1" x14ac:dyDescent="0.25">
      <c r="A14617" s="22" t="s">
        <v>8</v>
      </c>
      <c r="B14617" s="18" t="str">
        <f>"675267"</f>
        <v>675267</v>
      </c>
      <c r="C14617" s="19" t="s">
        <v>14343</v>
      </c>
      <c r="D14617" s="19" t="s">
        <v>30007</v>
      </c>
      <c r="E14617" s="19" t="s">
        <v>33401</v>
      </c>
      <c r="F14617" s="19" t="s">
        <v>36018</v>
      </c>
      <c r="G14617" s="18" t="str">
        <f>"75702"</f>
        <v>75702</v>
      </c>
      <c r="H14617" s="19" t="s">
        <v>36304</v>
      </c>
      <c r="I14617" s="20">
        <v>18.55</v>
      </c>
      <c r="J14617" s="44" t="s">
        <v>8</v>
      </c>
      <c r="K14617" s="23" t="s">
        <v>8</v>
      </c>
      <c r="L14617" s="23" t="s">
        <v>8</v>
      </c>
      <c r="M14617" s="23" t="s">
        <v>8</v>
      </c>
    </row>
    <row r="14618" spans="1:13" s="21" customFormat="1" x14ac:dyDescent="0.25">
      <c r="A14618" s="22" t="s">
        <v>8</v>
      </c>
      <c r="B14618" s="18" t="str">
        <f>"675268"</f>
        <v>675268</v>
      </c>
      <c r="C14618" s="19" t="s">
        <v>14344</v>
      </c>
      <c r="D14618" s="19" t="s">
        <v>30008</v>
      </c>
      <c r="E14618" s="19" t="s">
        <v>35257</v>
      </c>
      <c r="F14618" s="19" t="s">
        <v>36018</v>
      </c>
      <c r="G14618" s="18" t="str">
        <f>"78044"</f>
        <v>78044</v>
      </c>
      <c r="H14618" s="19" t="s">
        <v>36811</v>
      </c>
      <c r="I14618" s="20">
        <v>16.922999999999998</v>
      </c>
      <c r="J14618" s="44" t="s">
        <v>8</v>
      </c>
      <c r="K14618" s="23" t="s">
        <v>8</v>
      </c>
      <c r="L14618" s="23" t="s">
        <v>8</v>
      </c>
      <c r="M14618" s="23" t="s">
        <v>8</v>
      </c>
    </row>
    <row r="14619" spans="1:13" s="21" customFormat="1" x14ac:dyDescent="0.25">
      <c r="A14619" s="22" t="s">
        <v>8</v>
      </c>
      <c r="B14619" s="18" t="str">
        <f>"675270"</f>
        <v>675270</v>
      </c>
      <c r="C14619" s="19" t="s">
        <v>14345</v>
      </c>
      <c r="D14619" s="19" t="s">
        <v>30009</v>
      </c>
      <c r="E14619" s="19" t="s">
        <v>35827</v>
      </c>
      <c r="F14619" s="19" t="s">
        <v>36018</v>
      </c>
      <c r="G14619" s="18" t="str">
        <f>"76060"</f>
        <v>76060</v>
      </c>
      <c r="H14619" s="19" t="s">
        <v>36806</v>
      </c>
      <c r="I14619" s="20">
        <v>18.809000000000001</v>
      </c>
      <c r="J14619" s="44" t="s">
        <v>8</v>
      </c>
      <c r="K14619" s="23" t="s">
        <v>8</v>
      </c>
      <c r="L14619" s="23" t="s">
        <v>8</v>
      </c>
      <c r="M14619" s="23" t="s">
        <v>8</v>
      </c>
    </row>
    <row r="14620" spans="1:13" s="21" customFormat="1" x14ac:dyDescent="0.25">
      <c r="A14620" s="22" t="s">
        <v>8</v>
      </c>
      <c r="B14620" s="18" t="str">
        <f>"675271"</f>
        <v>675271</v>
      </c>
      <c r="C14620" s="19" t="s">
        <v>14346</v>
      </c>
      <c r="D14620" s="19" t="s">
        <v>30010</v>
      </c>
      <c r="E14620" s="19" t="s">
        <v>35828</v>
      </c>
      <c r="F14620" s="19" t="s">
        <v>36018</v>
      </c>
      <c r="G14620" s="18" t="str">
        <f>"75418"</f>
        <v>75418</v>
      </c>
      <c r="H14620" s="19" t="s">
        <v>36155</v>
      </c>
      <c r="I14620" s="20">
        <v>18.213000000000001</v>
      </c>
      <c r="J14620" s="44" t="s">
        <v>8</v>
      </c>
      <c r="K14620" s="23" t="s">
        <v>8</v>
      </c>
      <c r="L14620" s="23" t="s">
        <v>8</v>
      </c>
      <c r="M14620" s="23" t="s">
        <v>8</v>
      </c>
    </row>
    <row r="14621" spans="1:13" s="21" customFormat="1" x14ac:dyDescent="0.25">
      <c r="A14621" s="22" t="s">
        <v>8</v>
      </c>
      <c r="B14621" s="18" t="str">
        <f>"675272"</f>
        <v>675272</v>
      </c>
      <c r="C14621" s="19" t="s">
        <v>14347</v>
      </c>
      <c r="D14621" s="19" t="s">
        <v>30011</v>
      </c>
      <c r="E14621" s="19" t="s">
        <v>33844</v>
      </c>
      <c r="F14621" s="19" t="s">
        <v>36018</v>
      </c>
      <c r="G14621" s="18" t="str">
        <f>"75150"</f>
        <v>75150</v>
      </c>
      <c r="H14621" s="19" t="s">
        <v>31723</v>
      </c>
      <c r="I14621" s="20">
        <v>18.725000000000001</v>
      </c>
      <c r="J14621" s="44" t="s">
        <v>8</v>
      </c>
      <c r="K14621" s="23" t="s">
        <v>8</v>
      </c>
      <c r="L14621" s="23" t="s">
        <v>8</v>
      </c>
      <c r="M14621" s="23" t="s">
        <v>8</v>
      </c>
    </row>
    <row r="14622" spans="1:13" s="21" customFormat="1" x14ac:dyDescent="0.25">
      <c r="A14622" s="22" t="s">
        <v>8</v>
      </c>
      <c r="B14622" s="18" t="str">
        <f>"675273"</f>
        <v>675273</v>
      </c>
      <c r="C14622" s="19" t="s">
        <v>14348</v>
      </c>
      <c r="D14622" s="19" t="s">
        <v>30012</v>
      </c>
      <c r="E14622" s="19" t="s">
        <v>35829</v>
      </c>
      <c r="F14622" s="19" t="s">
        <v>36018</v>
      </c>
      <c r="G14622" s="18" t="str">
        <f>"76689"</f>
        <v>76689</v>
      </c>
      <c r="H14622" s="19" t="s">
        <v>36785</v>
      </c>
      <c r="I14622" s="20">
        <v>19.012</v>
      </c>
      <c r="J14622" s="44" t="s">
        <v>8</v>
      </c>
      <c r="K14622" s="23" t="s">
        <v>8</v>
      </c>
      <c r="L14622" s="23" t="s">
        <v>8</v>
      </c>
      <c r="M14622" s="23" t="s">
        <v>8</v>
      </c>
    </row>
    <row r="14623" spans="1:13" s="21" customFormat="1" x14ac:dyDescent="0.25">
      <c r="A14623" s="22" t="s">
        <v>8</v>
      </c>
      <c r="B14623" s="18" t="str">
        <f>"675274"</f>
        <v>675274</v>
      </c>
      <c r="C14623" s="19" t="s">
        <v>14349</v>
      </c>
      <c r="D14623" s="19" t="s">
        <v>30013</v>
      </c>
      <c r="E14623" s="19" t="s">
        <v>35830</v>
      </c>
      <c r="F14623" s="19" t="s">
        <v>36018</v>
      </c>
      <c r="G14623" s="18" t="str">
        <f>"77378"</f>
        <v>77378</v>
      </c>
      <c r="H14623" s="19" t="s">
        <v>30833</v>
      </c>
      <c r="I14623" s="20">
        <v>21.085000000000001</v>
      </c>
      <c r="J14623" s="44" t="s">
        <v>8</v>
      </c>
      <c r="K14623" s="23" t="s">
        <v>8</v>
      </c>
      <c r="L14623" s="23" t="s">
        <v>8</v>
      </c>
      <c r="M14623" s="23" t="s">
        <v>8</v>
      </c>
    </row>
    <row r="14624" spans="1:13" s="21" customFormat="1" x14ac:dyDescent="0.25">
      <c r="A14624" s="22" t="s">
        <v>8</v>
      </c>
      <c r="B14624" s="18" t="str">
        <f>"675277"</f>
        <v>675277</v>
      </c>
      <c r="C14624" s="19" t="s">
        <v>14350</v>
      </c>
      <c r="D14624" s="19" t="s">
        <v>30014</v>
      </c>
      <c r="E14624" s="19" t="s">
        <v>32087</v>
      </c>
      <c r="F14624" s="19" t="s">
        <v>36018</v>
      </c>
      <c r="G14624" s="18" t="str">
        <f>"78945"</f>
        <v>78945</v>
      </c>
      <c r="H14624" s="19" t="s">
        <v>30805</v>
      </c>
      <c r="I14624" s="20">
        <v>17.646000000000001</v>
      </c>
      <c r="J14624" s="44" t="s">
        <v>8</v>
      </c>
      <c r="K14624" s="23" t="s">
        <v>8</v>
      </c>
      <c r="L14624" s="23" t="s">
        <v>8</v>
      </c>
      <c r="M14624" s="23" t="s">
        <v>8</v>
      </c>
    </row>
    <row r="14625" spans="1:13" s="21" customFormat="1" x14ac:dyDescent="0.25">
      <c r="A14625" s="22" t="s">
        <v>8</v>
      </c>
      <c r="B14625" s="18" t="str">
        <f>"675279"</f>
        <v>675279</v>
      </c>
      <c r="C14625" s="19" t="s">
        <v>14351</v>
      </c>
      <c r="D14625" s="19" t="s">
        <v>30015</v>
      </c>
      <c r="E14625" s="19" t="s">
        <v>33363</v>
      </c>
      <c r="F14625" s="19" t="s">
        <v>36018</v>
      </c>
      <c r="G14625" s="18" t="str">
        <f>"76424"</f>
        <v>76424</v>
      </c>
      <c r="H14625" s="19" t="s">
        <v>36167</v>
      </c>
      <c r="I14625" s="20">
        <v>17.167999999999999</v>
      </c>
      <c r="J14625" s="44" t="s">
        <v>8</v>
      </c>
      <c r="K14625" s="23" t="s">
        <v>8</v>
      </c>
      <c r="L14625" s="23" t="s">
        <v>8</v>
      </c>
      <c r="M14625" s="23" t="s">
        <v>8</v>
      </c>
    </row>
    <row r="14626" spans="1:13" s="21" customFormat="1" x14ac:dyDescent="0.25">
      <c r="A14626" s="22" t="s">
        <v>8</v>
      </c>
      <c r="B14626" s="18" t="str">
        <f>"675281"</f>
        <v>675281</v>
      </c>
      <c r="C14626" s="19" t="s">
        <v>14352</v>
      </c>
      <c r="D14626" s="19" t="s">
        <v>30016</v>
      </c>
      <c r="E14626" s="19" t="s">
        <v>35806</v>
      </c>
      <c r="F14626" s="19" t="s">
        <v>36018</v>
      </c>
      <c r="G14626" s="18" t="str">
        <f>"75080"</f>
        <v>75080</v>
      </c>
      <c r="H14626" s="19" t="s">
        <v>31723</v>
      </c>
      <c r="I14626" s="20">
        <v>20.478999999999999</v>
      </c>
      <c r="J14626" s="44" t="s">
        <v>8</v>
      </c>
      <c r="K14626" s="23" t="s">
        <v>8</v>
      </c>
      <c r="L14626" s="23" t="s">
        <v>8</v>
      </c>
      <c r="M14626" s="23" t="s">
        <v>8</v>
      </c>
    </row>
    <row r="14627" spans="1:13" s="21" customFormat="1" x14ac:dyDescent="0.25">
      <c r="A14627" s="22" t="s">
        <v>8</v>
      </c>
      <c r="B14627" s="18" t="str">
        <f>"675282"</f>
        <v>675282</v>
      </c>
      <c r="C14627" s="19" t="s">
        <v>14353</v>
      </c>
      <c r="D14627" s="19" t="s">
        <v>30017</v>
      </c>
      <c r="E14627" s="19" t="s">
        <v>35247</v>
      </c>
      <c r="F14627" s="19" t="s">
        <v>36018</v>
      </c>
      <c r="G14627" s="18" t="str">
        <f>"79106"</f>
        <v>79106</v>
      </c>
      <c r="H14627" s="19" t="s">
        <v>36736</v>
      </c>
      <c r="I14627" s="20">
        <v>18.988</v>
      </c>
      <c r="J14627" s="44" t="s">
        <v>8</v>
      </c>
      <c r="K14627" s="23" t="s">
        <v>8</v>
      </c>
      <c r="L14627" s="23" t="s">
        <v>8</v>
      </c>
      <c r="M14627" s="23" t="s">
        <v>8</v>
      </c>
    </row>
    <row r="14628" spans="1:13" s="21" customFormat="1" x14ac:dyDescent="0.25">
      <c r="A14628" s="22" t="s">
        <v>8</v>
      </c>
      <c r="B14628" s="18" t="str">
        <f>"675284"</f>
        <v>675284</v>
      </c>
      <c r="C14628" s="19" t="s">
        <v>14354</v>
      </c>
      <c r="D14628" s="19" t="s">
        <v>30018</v>
      </c>
      <c r="E14628" s="19" t="s">
        <v>32023</v>
      </c>
      <c r="F14628" s="19" t="s">
        <v>36018</v>
      </c>
      <c r="G14628" s="18" t="str">
        <f>"75457"</f>
        <v>75457</v>
      </c>
      <c r="H14628" s="19" t="s">
        <v>5</v>
      </c>
      <c r="I14628" s="20">
        <v>17.457999999999998</v>
      </c>
      <c r="J14628" s="44" t="s">
        <v>8</v>
      </c>
      <c r="K14628" s="23" t="s">
        <v>8</v>
      </c>
      <c r="L14628" s="23" t="s">
        <v>8</v>
      </c>
      <c r="M14628" s="23" t="s">
        <v>8</v>
      </c>
    </row>
    <row r="14629" spans="1:13" s="21" customFormat="1" x14ac:dyDescent="0.25">
      <c r="A14629" s="22" t="s">
        <v>8</v>
      </c>
      <c r="B14629" s="18" t="str">
        <f>"675289"</f>
        <v>675289</v>
      </c>
      <c r="C14629" s="19" t="s">
        <v>14355</v>
      </c>
      <c r="D14629" s="19" t="s">
        <v>30019</v>
      </c>
      <c r="E14629" s="19" t="s">
        <v>33401</v>
      </c>
      <c r="F14629" s="19" t="s">
        <v>36018</v>
      </c>
      <c r="G14629" s="18" t="str">
        <f>"75701"</f>
        <v>75701</v>
      </c>
      <c r="H14629" s="19" t="s">
        <v>36304</v>
      </c>
      <c r="I14629" s="20">
        <v>19.419</v>
      </c>
      <c r="J14629" s="44" t="s">
        <v>8</v>
      </c>
      <c r="K14629" s="23" t="s">
        <v>8</v>
      </c>
      <c r="L14629" s="23" t="s">
        <v>8</v>
      </c>
      <c r="M14629" s="23" t="s">
        <v>8</v>
      </c>
    </row>
    <row r="14630" spans="1:13" s="21" customFormat="1" x14ac:dyDescent="0.25">
      <c r="A14630" s="22" t="s">
        <v>8</v>
      </c>
      <c r="B14630" s="18" t="str">
        <f>"675291"</f>
        <v>675291</v>
      </c>
      <c r="C14630" s="19" t="s">
        <v>14356</v>
      </c>
      <c r="D14630" s="19" t="s">
        <v>30020</v>
      </c>
      <c r="E14630" s="19" t="s">
        <v>35831</v>
      </c>
      <c r="F14630" s="19" t="s">
        <v>36018</v>
      </c>
      <c r="G14630" s="18" t="str">
        <f>"79322"</f>
        <v>79322</v>
      </c>
      <c r="H14630" s="19" t="s">
        <v>33346</v>
      </c>
      <c r="I14630" s="20">
        <v>19.773</v>
      </c>
      <c r="J14630" s="44" t="s">
        <v>8</v>
      </c>
      <c r="K14630" s="23" t="s">
        <v>8</v>
      </c>
      <c r="L14630" s="23" t="s">
        <v>8</v>
      </c>
      <c r="M14630" s="23" t="s">
        <v>8</v>
      </c>
    </row>
    <row r="14631" spans="1:13" s="21" customFormat="1" x14ac:dyDescent="0.25">
      <c r="A14631" s="22" t="s">
        <v>8</v>
      </c>
      <c r="B14631" s="18" t="str">
        <f>"675292"</f>
        <v>675292</v>
      </c>
      <c r="C14631" s="19" t="s">
        <v>14357</v>
      </c>
      <c r="D14631" s="19" t="s">
        <v>30021</v>
      </c>
      <c r="E14631" s="19" t="s">
        <v>32938</v>
      </c>
      <c r="F14631" s="19" t="s">
        <v>36018</v>
      </c>
      <c r="G14631" s="18" t="str">
        <f>"76201"</f>
        <v>76201</v>
      </c>
      <c r="H14631" s="19" t="s">
        <v>32938</v>
      </c>
      <c r="I14631" s="20">
        <v>19.292000000000002</v>
      </c>
      <c r="J14631" s="44" t="s">
        <v>8</v>
      </c>
      <c r="K14631" s="23" t="s">
        <v>8</v>
      </c>
      <c r="L14631" s="23" t="s">
        <v>8</v>
      </c>
      <c r="M14631" s="23" t="s">
        <v>8</v>
      </c>
    </row>
    <row r="14632" spans="1:13" s="21" customFormat="1" x14ac:dyDescent="0.25">
      <c r="A14632" s="22" t="s">
        <v>8</v>
      </c>
      <c r="B14632" s="18" t="str">
        <f>"675293"</f>
        <v>675293</v>
      </c>
      <c r="C14632" s="19" t="s">
        <v>14358</v>
      </c>
      <c r="D14632" s="19" t="s">
        <v>30022</v>
      </c>
      <c r="E14632" s="19" t="s">
        <v>30906</v>
      </c>
      <c r="F14632" s="19" t="s">
        <v>36018</v>
      </c>
      <c r="G14632" s="18" t="str">
        <f>"75563"</f>
        <v>75563</v>
      </c>
      <c r="H14632" s="19" t="s">
        <v>36246</v>
      </c>
      <c r="I14632" s="20">
        <v>18.381</v>
      </c>
      <c r="J14632" s="44" t="s">
        <v>8</v>
      </c>
      <c r="K14632" s="23" t="s">
        <v>8</v>
      </c>
      <c r="L14632" s="23" t="s">
        <v>8</v>
      </c>
      <c r="M14632" s="23" t="s">
        <v>8</v>
      </c>
    </row>
    <row r="14633" spans="1:13" s="21" customFormat="1" x14ac:dyDescent="0.25">
      <c r="A14633" s="22" t="s">
        <v>8</v>
      </c>
      <c r="B14633" s="18" t="str">
        <f>"675295"</f>
        <v>675295</v>
      </c>
      <c r="C14633" s="19" t="s">
        <v>14359</v>
      </c>
      <c r="D14633" s="19" t="s">
        <v>30023</v>
      </c>
      <c r="E14633" s="19" t="s">
        <v>35832</v>
      </c>
      <c r="F14633" s="19" t="s">
        <v>36018</v>
      </c>
      <c r="G14633" s="18" t="str">
        <f>"78052"</f>
        <v>78052</v>
      </c>
      <c r="H14633" s="19" t="s">
        <v>36791</v>
      </c>
      <c r="I14633" s="20">
        <v>17.472000000000001</v>
      </c>
      <c r="J14633" s="44" t="s">
        <v>8</v>
      </c>
      <c r="K14633" s="23" t="s">
        <v>8</v>
      </c>
      <c r="L14633" s="23" t="s">
        <v>8</v>
      </c>
      <c r="M14633" s="23" t="s">
        <v>8</v>
      </c>
    </row>
    <row r="14634" spans="1:13" s="21" customFormat="1" x14ac:dyDescent="0.25">
      <c r="A14634" s="22" t="s">
        <v>8</v>
      </c>
      <c r="B14634" s="18" t="str">
        <f>"675305"</f>
        <v>675305</v>
      </c>
      <c r="C14634" s="19" t="s">
        <v>14360</v>
      </c>
      <c r="D14634" s="19" t="s">
        <v>30024</v>
      </c>
      <c r="E14634" s="19" t="s">
        <v>35286</v>
      </c>
      <c r="F14634" s="19" t="s">
        <v>36018</v>
      </c>
      <c r="G14634" s="18" t="str">
        <f>"75040"</f>
        <v>75040</v>
      </c>
      <c r="H14634" s="19" t="s">
        <v>31723</v>
      </c>
      <c r="I14634" s="20">
        <v>20.498000000000001</v>
      </c>
      <c r="J14634" s="44" t="s">
        <v>8</v>
      </c>
      <c r="K14634" s="23" t="s">
        <v>8</v>
      </c>
      <c r="L14634" s="23" t="s">
        <v>8</v>
      </c>
      <c r="M14634" s="23" t="s">
        <v>8</v>
      </c>
    </row>
    <row r="14635" spans="1:13" s="21" customFormat="1" x14ac:dyDescent="0.25">
      <c r="A14635" s="22" t="s">
        <v>8</v>
      </c>
      <c r="B14635" s="18" t="str">
        <f>"675306"</f>
        <v>675306</v>
      </c>
      <c r="C14635" s="19" t="s">
        <v>14361</v>
      </c>
      <c r="D14635" s="19" t="s">
        <v>30025</v>
      </c>
      <c r="E14635" s="19" t="s">
        <v>35280</v>
      </c>
      <c r="F14635" s="19" t="s">
        <v>36018</v>
      </c>
      <c r="G14635" s="18" t="str">
        <f>"78118"</f>
        <v>78118</v>
      </c>
      <c r="H14635" s="19" t="s">
        <v>36822</v>
      </c>
      <c r="I14635" s="20">
        <v>16.443000000000001</v>
      </c>
      <c r="J14635" s="44" t="s">
        <v>8</v>
      </c>
      <c r="K14635" s="23" t="s">
        <v>8</v>
      </c>
      <c r="L14635" s="23" t="s">
        <v>8</v>
      </c>
      <c r="M14635" s="23" t="s">
        <v>8</v>
      </c>
    </row>
    <row r="14636" spans="1:13" s="21" customFormat="1" x14ac:dyDescent="0.25">
      <c r="A14636" s="22" t="s">
        <v>8</v>
      </c>
      <c r="B14636" s="18" t="str">
        <f>"675307"</f>
        <v>675307</v>
      </c>
      <c r="C14636" s="19" t="s">
        <v>14362</v>
      </c>
      <c r="D14636" s="19" t="s">
        <v>30026</v>
      </c>
      <c r="E14636" s="19" t="s">
        <v>35229</v>
      </c>
      <c r="F14636" s="19" t="s">
        <v>36018</v>
      </c>
      <c r="G14636" s="18" t="str">
        <f>"76667"</f>
        <v>76667</v>
      </c>
      <c r="H14636" s="19" t="s">
        <v>35216</v>
      </c>
      <c r="I14636" s="20">
        <v>20.097999999999999</v>
      </c>
      <c r="J14636" s="44" t="s">
        <v>8</v>
      </c>
      <c r="K14636" s="23" t="s">
        <v>8</v>
      </c>
      <c r="L14636" s="23" t="s">
        <v>8</v>
      </c>
      <c r="M14636" s="23" t="s">
        <v>8</v>
      </c>
    </row>
    <row r="14637" spans="1:13" s="21" customFormat="1" x14ac:dyDescent="0.25">
      <c r="A14637" s="22" t="s">
        <v>8</v>
      </c>
      <c r="B14637" s="18" t="str">
        <f>"675309"</f>
        <v>675309</v>
      </c>
      <c r="C14637" s="19" t="s">
        <v>14363</v>
      </c>
      <c r="D14637" s="19" t="s">
        <v>30027</v>
      </c>
      <c r="E14637" s="19" t="s">
        <v>35246</v>
      </c>
      <c r="F14637" s="19" t="s">
        <v>36018</v>
      </c>
      <c r="G14637" s="18" t="str">
        <f>"78332"</f>
        <v>78332</v>
      </c>
      <c r="H14637" s="19" t="s">
        <v>36807</v>
      </c>
      <c r="I14637" s="20">
        <v>17.292000000000002</v>
      </c>
      <c r="J14637" s="44" t="s">
        <v>8</v>
      </c>
      <c r="K14637" s="23" t="s">
        <v>8</v>
      </c>
      <c r="L14637" s="23" t="s">
        <v>8</v>
      </c>
      <c r="M14637" s="23" t="s">
        <v>8</v>
      </c>
    </row>
    <row r="14638" spans="1:13" s="21" customFormat="1" x14ac:dyDescent="0.25">
      <c r="A14638" s="22" t="s">
        <v>8</v>
      </c>
      <c r="B14638" s="18" t="str">
        <f>"675311"</f>
        <v>675311</v>
      </c>
      <c r="C14638" s="19" t="s">
        <v>14364</v>
      </c>
      <c r="D14638" s="19" t="s">
        <v>30028</v>
      </c>
      <c r="E14638" s="19" t="s">
        <v>31103</v>
      </c>
      <c r="F14638" s="19" t="s">
        <v>36018</v>
      </c>
      <c r="G14638" s="18" t="str">
        <f>"75840"</f>
        <v>75840</v>
      </c>
      <c r="H14638" s="19" t="s">
        <v>36957</v>
      </c>
      <c r="I14638" s="20">
        <v>20.221</v>
      </c>
      <c r="J14638" s="44" t="s">
        <v>8</v>
      </c>
      <c r="K14638" s="23" t="s">
        <v>8</v>
      </c>
      <c r="L14638" s="23" t="s">
        <v>8</v>
      </c>
      <c r="M14638" s="23" t="s">
        <v>8</v>
      </c>
    </row>
    <row r="14639" spans="1:13" s="21" customFormat="1" x14ac:dyDescent="0.25">
      <c r="A14639" s="22" t="s">
        <v>8</v>
      </c>
      <c r="B14639" s="18" t="str">
        <f>"675312"</f>
        <v>675312</v>
      </c>
      <c r="C14639" s="19" t="s">
        <v>14365</v>
      </c>
      <c r="D14639" s="19" t="s">
        <v>30029</v>
      </c>
      <c r="E14639" s="19" t="s">
        <v>35833</v>
      </c>
      <c r="F14639" s="19" t="s">
        <v>36018</v>
      </c>
      <c r="G14639" s="18" t="str">
        <f>"78368"</f>
        <v>78368</v>
      </c>
      <c r="H14639" s="19" t="s">
        <v>36824</v>
      </c>
      <c r="I14639" s="20">
        <v>18.477</v>
      </c>
      <c r="J14639" s="44" t="s">
        <v>8</v>
      </c>
      <c r="K14639" s="23" t="s">
        <v>8</v>
      </c>
      <c r="L14639" s="23" t="s">
        <v>8</v>
      </c>
      <c r="M14639" s="23" t="s">
        <v>8</v>
      </c>
    </row>
    <row r="14640" spans="1:13" s="21" customFormat="1" x14ac:dyDescent="0.25">
      <c r="A14640" s="22" t="s">
        <v>8</v>
      </c>
      <c r="B14640" s="18" t="str">
        <f>"675317"</f>
        <v>675317</v>
      </c>
      <c r="C14640" s="19" t="s">
        <v>14366</v>
      </c>
      <c r="D14640" s="19" t="s">
        <v>30030</v>
      </c>
      <c r="E14640" s="19" t="s">
        <v>33664</v>
      </c>
      <c r="F14640" s="19" t="s">
        <v>36018</v>
      </c>
      <c r="G14640" s="18" t="str">
        <f>"79763"</f>
        <v>79763</v>
      </c>
      <c r="H14640" s="19" t="s">
        <v>36821</v>
      </c>
      <c r="I14640" s="20">
        <v>17.940999999999999</v>
      </c>
      <c r="J14640" s="44" t="s">
        <v>8</v>
      </c>
      <c r="K14640" s="23" t="s">
        <v>8</v>
      </c>
      <c r="L14640" s="23" t="s">
        <v>8</v>
      </c>
      <c r="M14640" s="23" t="s">
        <v>8</v>
      </c>
    </row>
    <row r="14641" spans="1:13" s="21" customFormat="1" x14ac:dyDescent="0.25">
      <c r="A14641" s="22" t="s">
        <v>8</v>
      </c>
      <c r="B14641" s="18" t="str">
        <f>"675319"</f>
        <v>675319</v>
      </c>
      <c r="C14641" s="19" t="s">
        <v>14367</v>
      </c>
      <c r="D14641" s="19" t="s">
        <v>30031</v>
      </c>
      <c r="E14641" s="19" t="s">
        <v>35834</v>
      </c>
      <c r="F14641" s="19" t="s">
        <v>36018</v>
      </c>
      <c r="G14641" s="18" t="str">
        <f>"76444"</f>
        <v>76444</v>
      </c>
      <c r="H14641" s="19" t="s">
        <v>34715</v>
      </c>
      <c r="I14641" s="20">
        <v>19.652999999999999</v>
      </c>
      <c r="J14641" s="44" t="s">
        <v>8</v>
      </c>
      <c r="K14641" s="23" t="s">
        <v>8</v>
      </c>
      <c r="L14641" s="23" t="s">
        <v>8</v>
      </c>
      <c r="M14641" s="23" t="s">
        <v>8</v>
      </c>
    </row>
    <row r="14642" spans="1:13" s="21" customFormat="1" x14ac:dyDescent="0.25">
      <c r="A14642" s="22" t="s">
        <v>8</v>
      </c>
      <c r="B14642" s="18" t="str">
        <f>"675320"</f>
        <v>675320</v>
      </c>
      <c r="C14642" s="19" t="s">
        <v>14368</v>
      </c>
      <c r="D14642" s="19" t="s">
        <v>30032</v>
      </c>
      <c r="E14642" s="19" t="s">
        <v>35823</v>
      </c>
      <c r="F14642" s="19" t="s">
        <v>36018</v>
      </c>
      <c r="G14642" s="18" t="str">
        <f>"75140"</f>
        <v>75140</v>
      </c>
      <c r="H14642" s="19" t="s">
        <v>36827</v>
      </c>
      <c r="I14642" s="20">
        <v>19.649000000000001</v>
      </c>
      <c r="J14642" s="44" t="s">
        <v>8</v>
      </c>
      <c r="K14642" s="23" t="s">
        <v>8</v>
      </c>
      <c r="L14642" s="23" t="s">
        <v>8</v>
      </c>
      <c r="M14642" s="23" t="s">
        <v>8</v>
      </c>
    </row>
    <row r="14643" spans="1:13" s="21" customFormat="1" x14ac:dyDescent="0.25">
      <c r="A14643" s="22" t="s">
        <v>8</v>
      </c>
      <c r="B14643" s="18" t="str">
        <f>"675321"</f>
        <v>675321</v>
      </c>
      <c r="C14643" s="19" t="s">
        <v>14369</v>
      </c>
      <c r="D14643" s="19" t="s">
        <v>30033</v>
      </c>
      <c r="E14643" s="19" t="s">
        <v>31191</v>
      </c>
      <c r="F14643" s="19" t="s">
        <v>36018</v>
      </c>
      <c r="G14643" s="18" t="str">
        <f>"77502"</f>
        <v>77502</v>
      </c>
      <c r="H14643" s="19" t="s">
        <v>34183</v>
      </c>
      <c r="I14643" s="20">
        <v>20.722000000000001</v>
      </c>
      <c r="J14643" s="44" t="s">
        <v>8</v>
      </c>
      <c r="K14643" s="23" t="s">
        <v>8</v>
      </c>
      <c r="L14643" s="23" t="s">
        <v>8</v>
      </c>
      <c r="M14643" s="23" t="s">
        <v>8</v>
      </c>
    </row>
    <row r="14644" spans="1:13" s="21" customFormat="1" x14ac:dyDescent="0.25">
      <c r="A14644" s="22" t="s">
        <v>8</v>
      </c>
      <c r="B14644" s="18" t="str">
        <f>"675323"</f>
        <v>675323</v>
      </c>
      <c r="C14644" s="19" t="s">
        <v>14370</v>
      </c>
      <c r="D14644" s="19" t="s">
        <v>30034</v>
      </c>
      <c r="E14644" s="19" t="s">
        <v>35302</v>
      </c>
      <c r="F14644" s="19" t="s">
        <v>36018</v>
      </c>
      <c r="G14644" s="18" t="str">
        <f>"77573"</f>
        <v>77573</v>
      </c>
      <c r="H14644" s="19" t="s">
        <v>35824</v>
      </c>
      <c r="I14644" s="20">
        <v>22.172000000000001</v>
      </c>
      <c r="J14644" s="44" t="s">
        <v>8</v>
      </c>
      <c r="K14644" s="23" t="s">
        <v>8</v>
      </c>
      <c r="L14644" s="23" t="s">
        <v>8</v>
      </c>
      <c r="M14644" s="23" t="s">
        <v>8</v>
      </c>
    </row>
    <row r="14645" spans="1:13" s="21" customFormat="1" x14ac:dyDescent="0.25">
      <c r="A14645" s="22" t="s">
        <v>8</v>
      </c>
      <c r="B14645" s="18" t="str">
        <f>"675326"</f>
        <v>675326</v>
      </c>
      <c r="C14645" s="19" t="s">
        <v>14371</v>
      </c>
      <c r="D14645" s="19" t="s">
        <v>30035</v>
      </c>
      <c r="E14645" s="19" t="s">
        <v>35835</v>
      </c>
      <c r="F14645" s="19" t="s">
        <v>36018</v>
      </c>
      <c r="G14645" s="18" t="str">
        <f>"76821"</f>
        <v>76821</v>
      </c>
      <c r="H14645" s="19" t="s">
        <v>36958</v>
      </c>
      <c r="I14645" s="20">
        <v>19.276</v>
      </c>
      <c r="J14645" s="44" t="s">
        <v>8</v>
      </c>
      <c r="K14645" s="23" t="s">
        <v>8</v>
      </c>
      <c r="L14645" s="23" t="s">
        <v>8</v>
      </c>
      <c r="M14645" s="23" t="s">
        <v>8</v>
      </c>
    </row>
    <row r="14646" spans="1:13" s="21" customFormat="1" x14ac:dyDescent="0.25">
      <c r="A14646" s="22" t="s">
        <v>8</v>
      </c>
      <c r="B14646" s="18" t="str">
        <f>"675327"</f>
        <v>675327</v>
      </c>
      <c r="C14646" s="19" t="s">
        <v>14372</v>
      </c>
      <c r="D14646" s="19" t="s">
        <v>30036</v>
      </c>
      <c r="E14646" s="19" t="s">
        <v>35795</v>
      </c>
      <c r="F14646" s="19" t="s">
        <v>36018</v>
      </c>
      <c r="G14646" s="18" t="str">
        <f>"79065"</f>
        <v>79065</v>
      </c>
      <c r="H14646" s="19" t="s">
        <v>31780</v>
      </c>
      <c r="I14646" s="20">
        <v>17.934000000000001</v>
      </c>
      <c r="J14646" s="44" t="s">
        <v>8</v>
      </c>
      <c r="K14646" s="23" t="s">
        <v>8</v>
      </c>
      <c r="L14646" s="23" t="s">
        <v>8</v>
      </c>
      <c r="M14646" s="23" t="s">
        <v>8</v>
      </c>
    </row>
    <row r="14647" spans="1:13" s="21" customFormat="1" x14ac:dyDescent="0.25">
      <c r="A14647" s="22" t="s">
        <v>8</v>
      </c>
      <c r="B14647" s="18" t="str">
        <f>"675329"</f>
        <v>675329</v>
      </c>
      <c r="C14647" s="19" t="s">
        <v>14373</v>
      </c>
      <c r="D14647" s="19" t="s">
        <v>30037</v>
      </c>
      <c r="E14647" s="19" t="s">
        <v>35238</v>
      </c>
      <c r="F14647" s="19" t="s">
        <v>36018</v>
      </c>
      <c r="G14647" s="18" t="str">
        <f>"79336"</f>
        <v>79336</v>
      </c>
      <c r="H14647" s="19" t="s">
        <v>36800</v>
      </c>
      <c r="I14647" s="20">
        <v>18.164999999999999</v>
      </c>
      <c r="J14647" s="44" t="s">
        <v>8</v>
      </c>
      <c r="K14647" s="23" t="s">
        <v>8</v>
      </c>
      <c r="L14647" s="23" t="s">
        <v>8</v>
      </c>
      <c r="M14647" s="23" t="s">
        <v>8</v>
      </c>
    </row>
    <row r="14648" spans="1:13" s="21" customFormat="1" x14ac:dyDescent="0.25">
      <c r="A14648" s="22" t="s">
        <v>8</v>
      </c>
      <c r="B14648" s="18" t="str">
        <f>"675330"</f>
        <v>675330</v>
      </c>
      <c r="C14648" s="19" t="s">
        <v>14374</v>
      </c>
      <c r="D14648" s="19" t="s">
        <v>30038</v>
      </c>
      <c r="E14648" s="19" t="s">
        <v>32593</v>
      </c>
      <c r="F14648" s="19" t="s">
        <v>36018</v>
      </c>
      <c r="G14648" s="18" t="str">
        <f>"79601"</f>
        <v>79601</v>
      </c>
      <c r="H14648" s="19" t="s">
        <v>31080</v>
      </c>
      <c r="I14648" s="20">
        <v>17.928000000000001</v>
      </c>
      <c r="J14648" s="44" t="s">
        <v>8</v>
      </c>
      <c r="K14648" s="23" t="s">
        <v>8</v>
      </c>
      <c r="L14648" s="23" t="s">
        <v>8</v>
      </c>
      <c r="M14648" s="23" t="s">
        <v>8</v>
      </c>
    </row>
    <row r="14649" spans="1:13" s="21" customFormat="1" x14ac:dyDescent="0.25">
      <c r="A14649" s="22" t="s">
        <v>8</v>
      </c>
      <c r="B14649" s="18" t="str">
        <f>"675336"</f>
        <v>675336</v>
      </c>
      <c r="C14649" s="19" t="s">
        <v>14375</v>
      </c>
      <c r="D14649" s="19" t="s">
        <v>30039</v>
      </c>
      <c r="E14649" s="19" t="s">
        <v>35247</v>
      </c>
      <c r="F14649" s="19" t="s">
        <v>36018</v>
      </c>
      <c r="G14649" s="18" t="str">
        <f>"79106"</f>
        <v>79106</v>
      </c>
      <c r="H14649" s="19" t="s">
        <v>36736</v>
      </c>
      <c r="I14649" s="20">
        <v>18.690000000000001</v>
      </c>
      <c r="J14649" s="44" t="s">
        <v>8</v>
      </c>
      <c r="K14649" s="23" t="s">
        <v>8</v>
      </c>
      <c r="L14649" s="23" t="s">
        <v>8</v>
      </c>
      <c r="M14649" s="23" t="s">
        <v>8</v>
      </c>
    </row>
    <row r="14650" spans="1:13" s="21" customFormat="1" x14ac:dyDescent="0.25">
      <c r="A14650" s="22" t="s">
        <v>8</v>
      </c>
      <c r="B14650" s="18" t="str">
        <f>"675338"</f>
        <v>675338</v>
      </c>
      <c r="C14650" s="19" t="s">
        <v>14376</v>
      </c>
      <c r="D14650" s="19" t="s">
        <v>30040</v>
      </c>
      <c r="E14650" s="19" t="s">
        <v>35836</v>
      </c>
      <c r="F14650" s="19" t="s">
        <v>36018</v>
      </c>
      <c r="G14650" s="18" t="str">
        <f>"77656"</f>
        <v>77656</v>
      </c>
      <c r="H14650" s="19" t="s">
        <v>32124</v>
      </c>
      <c r="I14650" s="20">
        <v>21.241</v>
      </c>
      <c r="J14650" s="44" t="s">
        <v>8</v>
      </c>
      <c r="K14650" s="23" t="s">
        <v>8</v>
      </c>
      <c r="L14650" s="23" t="s">
        <v>8</v>
      </c>
      <c r="M14650" s="23" t="s">
        <v>8</v>
      </c>
    </row>
    <row r="14651" spans="1:13" s="21" customFormat="1" x14ac:dyDescent="0.25">
      <c r="A14651" s="22" t="s">
        <v>8</v>
      </c>
      <c r="B14651" s="18" t="str">
        <f>"675344"</f>
        <v>675344</v>
      </c>
      <c r="C14651" s="19" t="s">
        <v>14377</v>
      </c>
      <c r="D14651" s="19" t="s">
        <v>30041</v>
      </c>
      <c r="E14651" s="19" t="s">
        <v>35837</v>
      </c>
      <c r="F14651" s="19" t="s">
        <v>36018</v>
      </c>
      <c r="G14651" s="18" t="str">
        <f>"77480"</f>
        <v>77480</v>
      </c>
      <c r="H14651" s="19" t="s">
        <v>36808</v>
      </c>
      <c r="I14651" s="20">
        <v>17.861999999999998</v>
      </c>
      <c r="J14651" s="44" t="s">
        <v>8</v>
      </c>
      <c r="K14651" s="23" t="s">
        <v>8</v>
      </c>
      <c r="L14651" s="23" t="s">
        <v>8</v>
      </c>
      <c r="M14651" s="23" t="s">
        <v>8</v>
      </c>
    </row>
    <row r="14652" spans="1:13" s="21" customFormat="1" x14ac:dyDescent="0.25">
      <c r="A14652" s="22" t="s">
        <v>8</v>
      </c>
      <c r="B14652" s="18" t="str">
        <f>"675346"</f>
        <v>675346</v>
      </c>
      <c r="C14652" s="19" t="s">
        <v>14378</v>
      </c>
      <c r="D14652" s="19" t="s">
        <v>30042</v>
      </c>
      <c r="E14652" s="19" t="s">
        <v>35310</v>
      </c>
      <c r="F14652" s="19" t="s">
        <v>36018</v>
      </c>
      <c r="G14652" s="18" t="str">
        <f>"79413"</f>
        <v>79413</v>
      </c>
      <c r="H14652" s="19" t="s">
        <v>35310</v>
      </c>
      <c r="I14652" s="20">
        <v>19.315999999999999</v>
      </c>
      <c r="J14652" s="44" t="s">
        <v>8</v>
      </c>
      <c r="K14652" s="23" t="s">
        <v>8</v>
      </c>
      <c r="L14652" s="23" t="s">
        <v>8</v>
      </c>
      <c r="M14652" s="23" t="s">
        <v>8</v>
      </c>
    </row>
    <row r="14653" spans="1:13" s="21" customFormat="1" x14ac:dyDescent="0.25">
      <c r="A14653" s="22" t="s">
        <v>8</v>
      </c>
      <c r="B14653" s="18" t="str">
        <f>"675350"</f>
        <v>675350</v>
      </c>
      <c r="C14653" s="19" t="s">
        <v>14379</v>
      </c>
      <c r="D14653" s="19" t="s">
        <v>30043</v>
      </c>
      <c r="E14653" s="19" t="s">
        <v>32593</v>
      </c>
      <c r="F14653" s="19" t="s">
        <v>36018</v>
      </c>
      <c r="G14653" s="18" t="str">
        <f>"79605"</f>
        <v>79605</v>
      </c>
      <c r="H14653" s="19" t="s">
        <v>31080</v>
      </c>
      <c r="I14653" s="20">
        <v>18.635000000000002</v>
      </c>
      <c r="J14653" s="44" t="s">
        <v>8</v>
      </c>
      <c r="K14653" s="23" t="s">
        <v>8</v>
      </c>
      <c r="L14653" s="23" t="s">
        <v>8</v>
      </c>
      <c r="M14653" s="23" t="s">
        <v>8</v>
      </c>
    </row>
    <row r="14654" spans="1:13" s="21" customFormat="1" x14ac:dyDescent="0.25">
      <c r="A14654" s="22" t="s">
        <v>8</v>
      </c>
      <c r="B14654" s="18" t="str">
        <f>"675352"</f>
        <v>675352</v>
      </c>
      <c r="C14654" s="19" t="s">
        <v>14380</v>
      </c>
      <c r="D14654" s="19" t="s">
        <v>30044</v>
      </c>
      <c r="E14654" s="19" t="s">
        <v>31723</v>
      </c>
      <c r="F14654" s="19" t="s">
        <v>36018</v>
      </c>
      <c r="G14654" s="18" t="str">
        <f>"75227"</f>
        <v>75227</v>
      </c>
      <c r="H14654" s="19" t="s">
        <v>31723</v>
      </c>
      <c r="I14654" s="20">
        <v>19.661999999999999</v>
      </c>
      <c r="J14654" s="44" t="s">
        <v>8</v>
      </c>
      <c r="K14654" s="23" t="s">
        <v>8</v>
      </c>
      <c r="L14654" s="23" t="s">
        <v>8</v>
      </c>
      <c r="M14654" s="23" t="s">
        <v>8</v>
      </c>
    </row>
    <row r="14655" spans="1:13" s="21" customFormat="1" x14ac:dyDescent="0.25">
      <c r="A14655" s="22" t="s">
        <v>8</v>
      </c>
      <c r="B14655" s="18" t="str">
        <f>"675356"</f>
        <v>675356</v>
      </c>
      <c r="C14655" s="19" t="s">
        <v>14381</v>
      </c>
      <c r="D14655" s="19" t="s">
        <v>30045</v>
      </c>
      <c r="E14655" s="19" t="s">
        <v>32780</v>
      </c>
      <c r="F14655" s="19" t="s">
        <v>36018</v>
      </c>
      <c r="G14655" s="18" t="str">
        <f>"78602"</f>
        <v>78602</v>
      </c>
      <c r="H14655" s="19" t="s">
        <v>32780</v>
      </c>
      <c r="I14655" s="20">
        <v>21.187999999999999</v>
      </c>
      <c r="J14655" s="44" t="s">
        <v>8</v>
      </c>
      <c r="K14655" s="23" t="s">
        <v>8</v>
      </c>
      <c r="L14655" s="23" t="s">
        <v>8</v>
      </c>
      <c r="M14655" s="23" t="s">
        <v>8</v>
      </c>
    </row>
    <row r="14656" spans="1:13" s="21" customFormat="1" x14ac:dyDescent="0.25">
      <c r="A14656" s="22" t="s">
        <v>8</v>
      </c>
      <c r="B14656" s="18" t="str">
        <f>"675358"</f>
        <v>675358</v>
      </c>
      <c r="C14656" s="19" t="s">
        <v>14382</v>
      </c>
      <c r="D14656" s="19" t="s">
        <v>30046</v>
      </c>
      <c r="E14656" s="19" t="s">
        <v>35838</v>
      </c>
      <c r="F14656" s="19" t="s">
        <v>36018</v>
      </c>
      <c r="G14656" s="18" t="str">
        <f>"75972"</f>
        <v>75972</v>
      </c>
      <c r="H14656" s="19" t="s">
        <v>35838</v>
      </c>
      <c r="I14656" s="20">
        <v>20.242000000000001</v>
      </c>
      <c r="J14656" s="44" t="s">
        <v>8</v>
      </c>
      <c r="K14656" s="23" t="s">
        <v>8</v>
      </c>
      <c r="L14656" s="23" t="s">
        <v>8</v>
      </c>
      <c r="M14656" s="23" t="s">
        <v>8</v>
      </c>
    </row>
    <row r="14657" spans="1:13" s="21" customFormat="1" x14ac:dyDescent="0.25">
      <c r="A14657" s="22" t="s">
        <v>8</v>
      </c>
      <c r="B14657" s="18" t="str">
        <f>"675360"</f>
        <v>675360</v>
      </c>
      <c r="C14657" s="19" t="s">
        <v>14383</v>
      </c>
      <c r="D14657" s="19" t="s">
        <v>30047</v>
      </c>
      <c r="E14657" s="19" t="s">
        <v>35250</v>
      </c>
      <c r="F14657" s="19" t="s">
        <v>36018</v>
      </c>
      <c r="G14657" s="18" t="str">
        <f>"76704"</f>
        <v>76704</v>
      </c>
      <c r="H14657" s="19" t="s">
        <v>36809</v>
      </c>
      <c r="I14657" s="20">
        <v>17.997</v>
      </c>
      <c r="J14657" s="44" t="s">
        <v>8</v>
      </c>
      <c r="K14657" s="23" t="s">
        <v>8</v>
      </c>
      <c r="L14657" s="23" t="s">
        <v>8</v>
      </c>
      <c r="M14657" s="23" t="s">
        <v>8</v>
      </c>
    </row>
    <row r="14658" spans="1:13" s="21" customFormat="1" x14ac:dyDescent="0.25">
      <c r="A14658" s="22" t="s">
        <v>8</v>
      </c>
      <c r="B14658" s="18" t="str">
        <f>"675361"</f>
        <v>675361</v>
      </c>
      <c r="C14658" s="19" t="s">
        <v>14384</v>
      </c>
      <c r="D14658" s="19" t="s">
        <v>30048</v>
      </c>
      <c r="E14658" s="19" t="s">
        <v>35278</v>
      </c>
      <c r="F14658" s="19" t="s">
        <v>36018</v>
      </c>
      <c r="G14658" s="18" t="str">
        <f>"77488"</f>
        <v>77488</v>
      </c>
      <c r="H14658" s="19" t="s">
        <v>35278</v>
      </c>
      <c r="I14658" s="20">
        <v>21.672000000000001</v>
      </c>
      <c r="J14658" s="44" t="s">
        <v>8</v>
      </c>
      <c r="K14658" s="23" t="s">
        <v>8</v>
      </c>
      <c r="L14658" s="23" t="s">
        <v>8</v>
      </c>
      <c r="M14658" s="23" t="s">
        <v>8</v>
      </c>
    </row>
    <row r="14659" spans="1:13" s="21" customFormat="1" x14ac:dyDescent="0.25">
      <c r="A14659" s="22" t="s">
        <v>8</v>
      </c>
      <c r="B14659" s="18" t="str">
        <f>"675363"</f>
        <v>675363</v>
      </c>
      <c r="C14659" s="19" t="s">
        <v>14385</v>
      </c>
      <c r="D14659" s="19" t="s">
        <v>30049</v>
      </c>
      <c r="E14659" s="19" t="s">
        <v>35271</v>
      </c>
      <c r="F14659" s="19" t="s">
        <v>36018</v>
      </c>
      <c r="G14659" s="18" t="str">
        <f>"78596"</f>
        <v>78596</v>
      </c>
      <c r="H14659" s="19" t="s">
        <v>36592</v>
      </c>
      <c r="I14659" s="20">
        <v>17.465</v>
      </c>
      <c r="J14659" s="44" t="s">
        <v>8</v>
      </c>
      <c r="K14659" s="23" t="s">
        <v>8</v>
      </c>
      <c r="L14659" s="23" t="s">
        <v>8</v>
      </c>
      <c r="M14659" s="23" t="s">
        <v>8</v>
      </c>
    </row>
    <row r="14660" spans="1:13" s="21" customFormat="1" x14ac:dyDescent="0.25">
      <c r="A14660" s="22" t="s">
        <v>8</v>
      </c>
      <c r="B14660" s="18" t="str">
        <f>"675364"</f>
        <v>675364</v>
      </c>
      <c r="C14660" s="19" t="s">
        <v>14386</v>
      </c>
      <c r="D14660" s="19" t="s">
        <v>30050</v>
      </c>
      <c r="E14660" s="19" t="s">
        <v>35839</v>
      </c>
      <c r="F14660" s="19" t="s">
        <v>36018</v>
      </c>
      <c r="G14660" s="18" t="str">
        <f>"79504"</f>
        <v>79504</v>
      </c>
      <c r="H14660" s="19" t="s">
        <v>36952</v>
      </c>
      <c r="I14660" s="20">
        <v>20.248999999999999</v>
      </c>
      <c r="J14660" s="44" t="s">
        <v>8</v>
      </c>
      <c r="K14660" s="23" t="s">
        <v>8</v>
      </c>
      <c r="L14660" s="23" t="s">
        <v>8</v>
      </c>
      <c r="M14660" s="23" t="s">
        <v>8</v>
      </c>
    </row>
    <row r="14661" spans="1:13" s="21" customFormat="1" x14ac:dyDescent="0.25">
      <c r="A14661" s="22" t="s">
        <v>8</v>
      </c>
      <c r="B14661" s="18" t="str">
        <f>"675365"</f>
        <v>675365</v>
      </c>
      <c r="C14661" s="19" t="s">
        <v>14387</v>
      </c>
      <c r="D14661" s="19" t="s">
        <v>30051</v>
      </c>
      <c r="E14661" s="19" t="s">
        <v>31191</v>
      </c>
      <c r="F14661" s="19" t="s">
        <v>36018</v>
      </c>
      <c r="G14661" s="18" t="str">
        <f>"77504"</f>
        <v>77504</v>
      </c>
      <c r="H14661" s="19" t="s">
        <v>34183</v>
      </c>
      <c r="I14661" s="20">
        <v>16.815999999999999</v>
      </c>
      <c r="J14661" s="44" t="s">
        <v>8</v>
      </c>
      <c r="K14661" s="23" t="s">
        <v>8</v>
      </c>
      <c r="L14661" s="23" t="s">
        <v>8</v>
      </c>
      <c r="M14661" s="23" t="s">
        <v>8</v>
      </c>
    </row>
    <row r="14662" spans="1:13" s="21" customFormat="1" x14ac:dyDescent="0.25">
      <c r="A14662" s="22" t="s">
        <v>8</v>
      </c>
      <c r="B14662" s="18" t="str">
        <f>"675366"</f>
        <v>675366</v>
      </c>
      <c r="C14662" s="19" t="s">
        <v>14388</v>
      </c>
      <c r="D14662" s="19" t="s">
        <v>30052</v>
      </c>
      <c r="E14662" s="19" t="s">
        <v>31085</v>
      </c>
      <c r="F14662" s="19" t="s">
        <v>36018</v>
      </c>
      <c r="G14662" s="18" t="str">
        <f>"77840"</f>
        <v>77840</v>
      </c>
      <c r="H14662" s="19" t="s">
        <v>36803</v>
      </c>
      <c r="I14662" s="20">
        <v>20.67</v>
      </c>
      <c r="J14662" s="44" t="s">
        <v>8</v>
      </c>
      <c r="K14662" s="23" t="s">
        <v>8</v>
      </c>
      <c r="L14662" s="23" t="s">
        <v>8</v>
      </c>
      <c r="M14662" s="23" t="s">
        <v>8</v>
      </c>
    </row>
    <row r="14663" spans="1:13" s="21" customFormat="1" x14ac:dyDescent="0.25">
      <c r="A14663" s="22" t="s">
        <v>8</v>
      </c>
      <c r="B14663" s="18" t="str">
        <f>"675367"</f>
        <v>675367</v>
      </c>
      <c r="C14663" s="19" t="s">
        <v>14389</v>
      </c>
      <c r="D14663" s="19" t="s">
        <v>30053</v>
      </c>
      <c r="E14663" s="19" t="s">
        <v>30817</v>
      </c>
      <c r="F14663" s="19" t="s">
        <v>36018</v>
      </c>
      <c r="G14663" s="18" t="str">
        <f>"75401"</f>
        <v>75401</v>
      </c>
      <c r="H14663" s="19" t="s">
        <v>36950</v>
      </c>
      <c r="I14663" s="20">
        <v>21.381</v>
      </c>
      <c r="J14663" s="44" t="s">
        <v>8</v>
      </c>
      <c r="K14663" s="23" t="s">
        <v>8</v>
      </c>
      <c r="L14663" s="23" t="s">
        <v>8</v>
      </c>
      <c r="M14663" s="23" t="s">
        <v>8</v>
      </c>
    </row>
    <row r="14664" spans="1:13" s="21" customFormat="1" x14ac:dyDescent="0.25">
      <c r="A14664" s="22" t="s">
        <v>8</v>
      </c>
      <c r="B14664" s="18" t="str">
        <f>"675369"</f>
        <v>675369</v>
      </c>
      <c r="C14664" s="19" t="s">
        <v>14390</v>
      </c>
      <c r="D14664" s="19" t="s">
        <v>30054</v>
      </c>
      <c r="E14664" s="19" t="s">
        <v>33633</v>
      </c>
      <c r="F14664" s="19" t="s">
        <v>36018</v>
      </c>
      <c r="G14664" s="18" t="str">
        <f>"76050"</f>
        <v>76050</v>
      </c>
      <c r="H14664" s="19" t="s">
        <v>36072</v>
      </c>
      <c r="I14664" s="20">
        <v>16.881</v>
      </c>
      <c r="J14664" s="44" t="s">
        <v>8</v>
      </c>
      <c r="K14664" s="23" t="s">
        <v>8</v>
      </c>
      <c r="L14664" s="23" t="s">
        <v>8</v>
      </c>
      <c r="M14664" s="23" t="s">
        <v>8</v>
      </c>
    </row>
    <row r="14665" spans="1:13" s="21" customFormat="1" x14ac:dyDescent="0.25">
      <c r="A14665" s="22" t="s">
        <v>8</v>
      </c>
      <c r="B14665" s="18" t="str">
        <f>"675370"</f>
        <v>675370</v>
      </c>
      <c r="C14665" s="19" t="s">
        <v>14391</v>
      </c>
      <c r="D14665" s="19" t="s">
        <v>30055</v>
      </c>
      <c r="E14665" s="19" t="s">
        <v>33493</v>
      </c>
      <c r="F14665" s="19" t="s">
        <v>36018</v>
      </c>
      <c r="G14665" s="18" t="str">
        <f>"77030"</f>
        <v>77030</v>
      </c>
      <c r="H14665" s="19" t="s">
        <v>34183</v>
      </c>
      <c r="I14665" s="20">
        <v>16.672999999999998</v>
      </c>
      <c r="J14665" s="44" t="s">
        <v>8</v>
      </c>
      <c r="K14665" s="23" t="s">
        <v>8</v>
      </c>
      <c r="L14665" s="23" t="s">
        <v>8</v>
      </c>
      <c r="M14665" s="23" t="s">
        <v>8</v>
      </c>
    </row>
    <row r="14666" spans="1:13" s="21" customFormat="1" x14ac:dyDescent="0.25">
      <c r="A14666" s="22" t="s">
        <v>8</v>
      </c>
      <c r="B14666" s="18" t="str">
        <f>"675371"</f>
        <v>675371</v>
      </c>
      <c r="C14666" s="19" t="s">
        <v>14392</v>
      </c>
      <c r="D14666" s="19" t="s">
        <v>30056</v>
      </c>
      <c r="E14666" s="19" t="s">
        <v>35293</v>
      </c>
      <c r="F14666" s="19" t="s">
        <v>36018</v>
      </c>
      <c r="G14666" s="18" t="str">
        <f>"78006"</f>
        <v>78006</v>
      </c>
      <c r="H14666" s="19" t="s">
        <v>31642</v>
      </c>
      <c r="I14666" s="20">
        <v>19.524999999999999</v>
      </c>
      <c r="J14666" s="44" t="s">
        <v>8</v>
      </c>
      <c r="K14666" s="23" t="s">
        <v>8</v>
      </c>
      <c r="L14666" s="23" t="s">
        <v>8</v>
      </c>
      <c r="M14666" s="23" t="s">
        <v>8</v>
      </c>
    </row>
    <row r="14667" spans="1:13" s="21" customFormat="1" x14ac:dyDescent="0.25">
      <c r="A14667" s="22" t="s">
        <v>8</v>
      </c>
      <c r="B14667" s="18" t="str">
        <f>"675372"</f>
        <v>675372</v>
      </c>
      <c r="C14667" s="19" t="s">
        <v>14393</v>
      </c>
      <c r="D14667" s="19" t="s">
        <v>30057</v>
      </c>
      <c r="E14667" s="19" t="s">
        <v>35840</v>
      </c>
      <c r="F14667" s="19" t="s">
        <v>36018</v>
      </c>
      <c r="G14667" s="18" t="str">
        <f>"77963"</f>
        <v>77963</v>
      </c>
      <c r="H14667" s="19" t="s">
        <v>35840</v>
      </c>
      <c r="I14667" s="20">
        <v>21.367999999999999</v>
      </c>
      <c r="J14667" s="44" t="s">
        <v>8</v>
      </c>
      <c r="K14667" s="23" t="s">
        <v>8</v>
      </c>
      <c r="L14667" s="23" t="s">
        <v>8</v>
      </c>
      <c r="M14667" s="23" t="s">
        <v>8</v>
      </c>
    </row>
    <row r="14668" spans="1:13" s="21" customFormat="1" x14ac:dyDescent="0.25">
      <c r="A14668" s="22" t="s">
        <v>8</v>
      </c>
      <c r="B14668" s="18" t="str">
        <f>"675373"</f>
        <v>675373</v>
      </c>
      <c r="C14668" s="19" t="s">
        <v>14394</v>
      </c>
      <c r="D14668" s="19" t="s">
        <v>30058</v>
      </c>
      <c r="E14668" s="19" t="s">
        <v>35841</v>
      </c>
      <c r="F14668" s="19" t="s">
        <v>36018</v>
      </c>
      <c r="G14668" s="18" t="str">
        <f>"78834"</f>
        <v>78834</v>
      </c>
      <c r="H14668" s="19" t="s">
        <v>36959</v>
      </c>
      <c r="I14668" s="20">
        <v>18.628</v>
      </c>
      <c r="J14668" s="45" t="s">
        <v>8</v>
      </c>
      <c r="K14668" s="23" t="s">
        <v>8</v>
      </c>
      <c r="L14668" s="23" t="s">
        <v>8</v>
      </c>
      <c r="M14668" s="23" t="s">
        <v>8</v>
      </c>
    </row>
    <row r="14669" spans="1:13" s="21" customFormat="1" x14ac:dyDescent="0.25">
      <c r="A14669" s="22" t="s">
        <v>8</v>
      </c>
      <c r="B14669" s="18" t="str">
        <f>"675374"</f>
        <v>675374</v>
      </c>
      <c r="C14669" s="19" t="s">
        <v>14395</v>
      </c>
      <c r="D14669" s="19" t="s">
        <v>30059</v>
      </c>
      <c r="E14669" s="19" t="s">
        <v>34206</v>
      </c>
      <c r="F14669" s="19" t="s">
        <v>36018</v>
      </c>
      <c r="G14669" s="30" t="str">
        <f>"75061"</f>
        <v>75061</v>
      </c>
      <c r="H14669" s="31" t="s">
        <v>31723</v>
      </c>
      <c r="I14669" s="32">
        <v>17.722000000000001</v>
      </c>
      <c r="J14669" s="46" t="s">
        <v>8</v>
      </c>
      <c r="K14669" s="23" t="s">
        <v>8</v>
      </c>
      <c r="L14669" s="23" t="s">
        <v>8</v>
      </c>
      <c r="M14669" s="23" t="s">
        <v>8</v>
      </c>
    </row>
    <row r="14670" spans="1:13" s="21" customFormat="1" x14ac:dyDescent="0.25">
      <c r="A14670" s="22" t="s">
        <v>8</v>
      </c>
      <c r="B14670" s="18" t="str">
        <f>"675377"</f>
        <v>675377</v>
      </c>
      <c r="C14670" s="19" t="s">
        <v>14396</v>
      </c>
      <c r="D14670" s="19" t="s">
        <v>30060</v>
      </c>
      <c r="E14670" s="19" t="s">
        <v>35842</v>
      </c>
      <c r="F14670" s="19" t="s">
        <v>36018</v>
      </c>
      <c r="G14670" s="33" t="str">
        <f>"76823"</f>
        <v>76823</v>
      </c>
      <c r="H14670" s="34" t="s">
        <v>36244</v>
      </c>
      <c r="I14670" s="35">
        <v>19.952999999999999</v>
      </c>
      <c r="J14670" s="47" t="s">
        <v>8</v>
      </c>
      <c r="K14670" s="23" t="s">
        <v>8</v>
      </c>
      <c r="L14670" s="23" t="s">
        <v>8</v>
      </c>
      <c r="M14670" s="23" t="s">
        <v>8</v>
      </c>
    </row>
    <row r="14671" spans="1:13" s="21" customFormat="1" x14ac:dyDescent="0.25">
      <c r="A14671" s="22" t="s">
        <v>8</v>
      </c>
      <c r="B14671" s="18" t="str">
        <f>"675379"</f>
        <v>675379</v>
      </c>
      <c r="C14671" s="19" t="s">
        <v>14397</v>
      </c>
      <c r="D14671" s="19" t="s">
        <v>30061</v>
      </c>
      <c r="E14671" s="19" t="s">
        <v>35263</v>
      </c>
      <c r="F14671" s="19" t="s">
        <v>36018</v>
      </c>
      <c r="G14671" s="33" t="str">
        <f>"75601"</f>
        <v>75601</v>
      </c>
      <c r="H14671" s="34" t="s">
        <v>36814</v>
      </c>
      <c r="I14671" s="35">
        <v>19.852</v>
      </c>
      <c r="J14671" s="47" t="s">
        <v>8</v>
      </c>
      <c r="K14671" s="23" t="s">
        <v>8</v>
      </c>
      <c r="L14671" s="23" t="s">
        <v>8</v>
      </c>
      <c r="M14671" s="23" t="s">
        <v>8</v>
      </c>
    </row>
    <row r="14672" spans="1:13" s="21" customFormat="1" x14ac:dyDescent="0.25">
      <c r="A14672" s="22" t="s">
        <v>8</v>
      </c>
      <c r="B14672" s="18" t="str">
        <f>"675380"</f>
        <v>675380</v>
      </c>
      <c r="C14672" s="19" t="s">
        <v>14398</v>
      </c>
      <c r="D14672" s="19" t="s">
        <v>30062</v>
      </c>
      <c r="E14672" s="19" t="s">
        <v>35300</v>
      </c>
      <c r="F14672" s="19" t="s">
        <v>36018</v>
      </c>
      <c r="G14672" s="33" t="str">
        <f>"78155"</f>
        <v>78155</v>
      </c>
      <c r="H14672" s="34" t="s">
        <v>36829</v>
      </c>
      <c r="I14672" s="35">
        <v>17.707000000000001</v>
      </c>
      <c r="J14672" s="47" t="s">
        <v>8</v>
      </c>
      <c r="K14672" s="23" t="s">
        <v>8</v>
      </c>
      <c r="L14672" s="23" t="s">
        <v>8</v>
      </c>
      <c r="M14672" s="23" t="s">
        <v>8</v>
      </c>
    </row>
    <row r="14673" spans="1:13" s="21" customFormat="1" x14ac:dyDescent="0.25">
      <c r="A14673" s="22" t="s">
        <v>8</v>
      </c>
      <c r="B14673" s="18" t="str">
        <f>"675386"</f>
        <v>675386</v>
      </c>
      <c r="C14673" s="19" t="s">
        <v>14399</v>
      </c>
      <c r="D14673" s="19" t="s">
        <v>30063</v>
      </c>
      <c r="E14673" s="19" t="s">
        <v>35263</v>
      </c>
      <c r="F14673" s="19" t="s">
        <v>36018</v>
      </c>
      <c r="G14673" s="33" t="str">
        <f>"75601"</f>
        <v>75601</v>
      </c>
      <c r="H14673" s="34" t="s">
        <v>36814</v>
      </c>
      <c r="I14673" s="35">
        <v>21.295999999999999</v>
      </c>
      <c r="J14673" s="47" t="s">
        <v>8</v>
      </c>
      <c r="K14673" s="23" t="s">
        <v>8</v>
      </c>
      <c r="L14673" s="23" t="s">
        <v>8</v>
      </c>
      <c r="M14673" s="23" t="s">
        <v>8</v>
      </c>
    </row>
    <row r="14674" spans="1:13" s="21" customFormat="1" x14ac:dyDescent="0.25">
      <c r="A14674" s="22" t="s">
        <v>8</v>
      </c>
      <c r="B14674" s="18" t="str">
        <f>"675387"</f>
        <v>675387</v>
      </c>
      <c r="C14674" s="19" t="s">
        <v>14400</v>
      </c>
      <c r="D14674" s="19" t="s">
        <v>30064</v>
      </c>
      <c r="E14674" s="19" t="s">
        <v>33527</v>
      </c>
      <c r="F14674" s="19" t="s">
        <v>36018</v>
      </c>
      <c r="G14674" s="33" t="str">
        <f>"75633"</f>
        <v>75633</v>
      </c>
      <c r="H14674" s="34" t="s">
        <v>36495</v>
      </c>
      <c r="I14674" s="35">
        <v>18.288</v>
      </c>
      <c r="J14674" s="47" t="s">
        <v>8</v>
      </c>
      <c r="K14674" s="23" t="s">
        <v>8</v>
      </c>
      <c r="L14674" s="23" t="s">
        <v>8</v>
      </c>
      <c r="M14674" s="23" t="s">
        <v>8</v>
      </c>
    </row>
    <row r="14675" spans="1:13" s="21" customFormat="1" x14ac:dyDescent="0.25">
      <c r="A14675" s="22" t="s">
        <v>8</v>
      </c>
      <c r="B14675" s="18" t="str">
        <f>"675388"</f>
        <v>675388</v>
      </c>
      <c r="C14675" s="19" t="s">
        <v>14401</v>
      </c>
      <c r="D14675" s="19" t="s">
        <v>30065</v>
      </c>
      <c r="E14675" s="19" t="s">
        <v>35843</v>
      </c>
      <c r="F14675" s="19" t="s">
        <v>36018</v>
      </c>
      <c r="G14675" s="33" t="str">
        <f>"76844"</f>
        <v>76844</v>
      </c>
      <c r="H14675" s="34" t="s">
        <v>36292</v>
      </c>
      <c r="I14675" s="35">
        <v>17.588000000000001</v>
      </c>
      <c r="J14675" s="47" t="s">
        <v>8</v>
      </c>
      <c r="K14675" s="23" t="s">
        <v>8</v>
      </c>
      <c r="L14675" s="23" t="s">
        <v>8</v>
      </c>
      <c r="M14675" s="23" t="s">
        <v>8</v>
      </c>
    </row>
    <row r="14676" spans="1:13" s="21" customFormat="1" x14ac:dyDescent="0.25">
      <c r="A14676" s="22" t="s">
        <v>8</v>
      </c>
      <c r="B14676" s="18" t="str">
        <f>"675390"</f>
        <v>675390</v>
      </c>
      <c r="C14676" s="19" t="s">
        <v>14402</v>
      </c>
      <c r="D14676" s="19" t="s">
        <v>30066</v>
      </c>
      <c r="E14676" s="19" t="s">
        <v>35313</v>
      </c>
      <c r="F14676" s="19" t="s">
        <v>36018</v>
      </c>
      <c r="G14676" s="33" t="str">
        <f>"75142"</f>
        <v>75142</v>
      </c>
      <c r="H14676" s="34" t="s">
        <v>35313</v>
      </c>
      <c r="I14676" s="35">
        <v>20.76</v>
      </c>
      <c r="J14676" s="47" t="s">
        <v>8</v>
      </c>
      <c r="K14676" s="23" t="s">
        <v>8</v>
      </c>
      <c r="L14676" s="23" t="s">
        <v>8</v>
      </c>
      <c r="M14676" s="23" t="s">
        <v>8</v>
      </c>
    </row>
    <row r="14677" spans="1:13" s="21" customFormat="1" x14ac:dyDescent="0.25">
      <c r="A14677" s="22" t="s">
        <v>8</v>
      </c>
      <c r="B14677" s="18" t="str">
        <f>"675391"</f>
        <v>675391</v>
      </c>
      <c r="C14677" s="19" t="s">
        <v>14403</v>
      </c>
      <c r="D14677" s="19" t="s">
        <v>30067</v>
      </c>
      <c r="E14677" s="19" t="s">
        <v>35836</v>
      </c>
      <c r="F14677" s="19" t="s">
        <v>36018</v>
      </c>
      <c r="G14677" s="33" t="str">
        <f>"77656"</f>
        <v>77656</v>
      </c>
      <c r="H14677" s="34" t="s">
        <v>32124</v>
      </c>
      <c r="I14677" s="35">
        <v>19.884</v>
      </c>
      <c r="J14677" s="47" t="s">
        <v>8</v>
      </c>
      <c r="K14677" s="23" t="s">
        <v>8</v>
      </c>
      <c r="L14677" s="23" t="s">
        <v>8</v>
      </c>
      <c r="M14677" s="23" t="s">
        <v>8</v>
      </c>
    </row>
    <row r="14678" spans="1:13" s="21" customFormat="1" x14ac:dyDescent="0.25">
      <c r="A14678" s="22" t="s">
        <v>8</v>
      </c>
      <c r="B14678" s="18" t="str">
        <f>"675392"</f>
        <v>675392</v>
      </c>
      <c r="C14678" s="19" t="s">
        <v>14404</v>
      </c>
      <c r="D14678" s="19" t="s">
        <v>30068</v>
      </c>
      <c r="E14678" s="19" t="s">
        <v>35844</v>
      </c>
      <c r="F14678" s="19" t="s">
        <v>36018</v>
      </c>
      <c r="G14678" s="33" t="str">
        <f>"77536"</f>
        <v>77536</v>
      </c>
      <c r="H14678" s="34" t="s">
        <v>34183</v>
      </c>
      <c r="I14678" s="35">
        <v>18.437000000000001</v>
      </c>
      <c r="J14678" s="47" t="s">
        <v>8</v>
      </c>
      <c r="K14678" s="23" t="s">
        <v>8</v>
      </c>
      <c r="L14678" s="23" t="s">
        <v>8</v>
      </c>
      <c r="M14678" s="23" t="s">
        <v>8</v>
      </c>
    </row>
    <row r="14679" spans="1:13" s="21" customFormat="1" x14ac:dyDescent="0.25">
      <c r="A14679" s="22" t="s">
        <v>8</v>
      </c>
      <c r="B14679" s="18" t="str">
        <f>"675394"</f>
        <v>675394</v>
      </c>
      <c r="C14679" s="19" t="s">
        <v>14405</v>
      </c>
      <c r="D14679" s="19" t="s">
        <v>30069</v>
      </c>
      <c r="E14679" s="19" t="s">
        <v>35845</v>
      </c>
      <c r="F14679" s="19" t="s">
        <v>36018</v>
      </c>
      <c r="G14679" s="33" t="str">
        <f>"77662"</f>
        <v>77662</v>
      </c>
      <c r="H14679" s="34" t="s">
        <v>31169</v>
      </c>
      <c r="I14679" s="35">
        <v>20.638999999999999</v>
      </c>
      <c r="J14679" s="47" t="s">
        <v>8</v>
      </c>
      <c r="K14679" s="23" t="s">
        <v>8</v>
      </c>
      <c r="L14679" s="23" t="s">
        <v>8</v>
      </c>
      <c r="M14679" s="23" t="s">
        <v>8</v>
      </c>
    </row>
    <row r="14680" spans="1:13" s="21" customFormat="1" x14ac:dyDescent="0.25">
      <c r="A14680" s="22" t="s">
        <v>8</v>
      </c>
      <c r="B14680" s="18" t="str">
        <f>"675395"</f>
        <v>675395</v>
      </c>
      <c r="C14680" s="19" t="s">
        <v>14406</v>
      </c>
      <c r="D14680" s="19" t="s">
        <v>30070</v>
      </c>
      <c r="E14680" s="19" t="s">
        <v>35219</v>
      </c>
      <c r="F14680" s="19" t="s">
        <v>36018</v>
      </c>
      <c r="G14680" s="33" t="str">
        <f>"78840"</f>
        <v>78840</v>
      </c>
      <c r="H14680" s="34" t="s">
        <v>36789</v>
      </c>
      <c r="I14680" s="35">
        <v>17.402000000000001</v>
      </c>
      <c r="J14680" s="47" t="s">
        <v>8</v>
      </c>
      <c r="K14680" s="23" t="s">
        <v>8</v>
      </c>
      <c r="L14680" s="23" t="s">
        <v>8</v>
      </c>
      <c r="M14680" s="23" t="s">
        <v>8</v>
      </c>
    </row>
    <row r="14681" spans="1:13" s="21" customFormat="1" x14ac:dyDescent="0.25">
      <c r="A14681" s="22" t="s">
        <v>8</v>
      </c>
      <c r="B14681" s="18" t="str">
        <f>"675396"</f>
        <v>675396</v>
      </c>
      <c r="C14681" s="19" t="s">
        <v>14407</v>
      </c>
      <c r="D14681" s="19" t="s">
        <v>30071</v>
      </c>
      <c r="E14681" s="19" t="s">
        <v>35257</v>
      </c>
      <c r="F14681" s="19" t="s">
        <v>36018</v>
      </c>
      <c r="G14681" s="33" t="str">
        <f>"78040"</f>
        <v>78040</v>
      </c>
      <c r="H14681" s="34" t="s">
        <v>36811</v>
      </c>
      <c r="I14681" s="35">
        <v>18.565999999999999</v>
      </c>
      <c r="J14681" s="47" t="s">
        <v>8</v>
      </c>
      <c r="K14681" s="23" t="s">
        <v>8</v>
      </c>
      <c r="L14681" s="23" t="s">
        <v>8</v>
      </c>
      <c r="M14681" s="23" t="s">
        <v>8</v>
      </c>
    </row>
    <row r="14682" spans="1:13" s="21" customFormat="1" x14ac:dyDescent="0.25">
      <c r="A14682" s="22" t="s">
        <v>8</v>
      </c>
      <c r="B14682" s="18" t="str">
        <f>"675398"</f>
        <v>675398</v>
      </c>
      <c r="C14682" s="19" t="s">
        <v>14408</v>
      </c>
      <c r="D14682" s="19" t="s">
        <v>30072</v>
      </c>
      <c r="E14682" s="19" t="s">
        <v>33646</v>
      </c>
      <c r="F14682" s="19" t="s">
        <v>36018</v>
      </c>
      <c r="G14682" s="33" t="str">
        <f>"75935"</f>
        <v>75935</v>
      </c>
      <c r="H14682" s="34" t="s">
        <v>33565</v>
      </c>
      <c r="I14682" s="35">
        <v>18.960999999999999</v>
      </c>
      <c r="J14682" s="47" t="s">
        <v>8</v>
      </c>
      <c r="K14682" s="23" t="s">
        <v>8</v>
      </c>
      <c r="L14682" s="23" t="s">
        <v>8</v>
      </c>
      <c r="M14682" s="23" t="s">
        <v>8</v>
      </c>
    </row>
    <row r="14683" spans="1:13" s="21" customFormat="1" x14ac:dyDescent="0.25">
      <c r="A14683" s="22" t="s">
        <v>8</v>
      </c>
      <c r="B14683" s="18" t="str">
        <f>"675399"</f>
        <v>675399</v>
      </c>
      <c r="C14683" s="19" t="s">
        <v>14409</v>
      </c>
      <c r="D14683" s="19" t="s">
        <v>30073</v>
      </c>
      <c r="E14683" s="19" t="s">
        <v>35846</v>
      </c>
      <c r="F14683" s="19" t="s">
        <v>36018</v>
      </c>
      <c r="G14683" s="33" t="str">
        <f>"77868"</f>
        <v>77868</v>
      </c>
      <c r="H14683" s="34" t="s">
        <v>32547</v>
      </c>
      <c r="I14683" s="35">
        <v>20.562999999999999</v>
      </c>
      <c r="J14683" s="47" t="s">
        <v>8</v>
      </c>
      <c r="K14683" s="23" t="s">
        <v>8</v>
      </c>
      <c r="L14683" s="23" t="s">
        <v>8</v>
      </c>
      <c r="M14683" s="23" t="s">
        <v>8</v>
      </c>
    </row>
    <row r="14684" spans="1:13" s="21" customFormat="1" x14ac:dyDescent="0.25">
      <c r="A14684" s="22" t="s">
        <v>8</v>
      </c>
      <c r="B14684" s="18" t="str">
        <f>"675401"</f>
        <v>675401</v>
      </c>
      <c r="C14684" s="19" t="s">
        <v>14410</v>
      </c>
      <c r="D14684" s="19" t="s">
        <v>30074</v>
      </c>
      <c r="E14684" s="19" t="s">
        <v>35263</v>
      </c>
      <c r="F14684" s="19" t="s">
        <v>36018</v>
      </c>
      <c r="G14684" s="33" t="str">
        <f>"75605"</f>
        <v>75605</v>
      </c>
      <c r="H14684" s="34" t="s">
        <v>36814</v>
      </c>
      <c r="I14684" s="35">
        <v>17.783999999999999</v>
      </c>
      <c r="J14684" s="47" t="s">
        <v>8</v>
      </c>
      <c r="K14684" s="23" t="s">
        <v>8</v>
      </c>
      <c r="L14684" s="23" t="s">
        <v>8</v>
      </c>
      <c r="M14684" s="23" t="s">
        <v>8</v>
      </c>
    </row>
    <row r="14685" spans="1:13" s="21" customFormat="1" x14ac:dyDescent="0.25">
      <c r="A14685" s="22" t="s">
        <v>8</v>
      </c>
      <c r="B14685" s="18" t="str">
        <f>"675402"</f>
        <v>675402</v>
      </c>
      <c r="C14685" s="19" t="s">
        <v>14411</v>
      </c>
      <c r="D14685" s="19" t="s">
        <v>30075</v>
      </c>
      <c r="E14685" s="19" t="s">
        <v>35847</v>
      </c>
      <c r="F14685" s="19" t="s">
        <v>36018</v>
      </c>
      <c r="G14685" s="33" t="str">
        <f>"75087"</f>
        <v>75087</v>
      </c>
      <c r="H14685" s="34" t="s">
        <v>35847</v>
      </c>
      <c r="I14685" s="35">
        <v>19.486000000000001</v>
      </c>
      <c r="J14685" s="47" t="s">
        <v>8</v>
      </c>
      <c r="K14685" s="23" t="s">
        <v>8</v>
      </c>
      <c r="L14685" s="23" t="s">
        <v>8</v>
      </c>
      <c r="M14685" s="23" t="s">
        <v>8</v>
      </c>
    </row>
    <row r="14686" spans="1:13" s="21" customFormat="1" x14ac:dyDescent="0.25">
      <c r="A14686" s="22" t="s">
        <v>8</v>
      </c>
      <c r="B14686" s="18" t="str">
        <f>"675406"</f>
        <v>675406</v>
      </c>
      <c r="C14686" s="19" t="s">
        <v>14412</v>
      </c>
      <c r="D14686" s="19" t="s">
        <v>30076</v>
      </c>
      <c r="E14686" s="19" t="s">
        <v>35848</v>
      </c>
      <c r="F14686" s="19" t="s">
        <v>36018</v>
      </c>
      <c r="G14686" s="33" t="str">
        <f>"76661"</f>
        <v>76661</v>
      </c>
      <c r="H14686" s="34" t="s">
        <v>36954</v>
      </c>
      <c r="I14686" s="35">
        <v>20.754999999999999</v>
      </c>
      <c r="J14686" s="47" t="s">
        <v>8</v>
      </c>
      <c r="K14686" s="23" t="s">
        <v>8</v>
      </c>
      <c r="L14686" s="23" t="s">
        <v>8</v>
      </c>
      <c r="M14686" s="23" t="s">
        <v>8</v>
      </c>
    </row>
    <row r="14687" spans="1:13" s="21" customFormat="1" x14ac:dyDescent="0.25">
      <c r="A14687" s="22" t="s">
        <v>8</v>
      </c>
      <c r="B14687" s="18" t="str">
        <f>"675407"</f>
        <v>675407</v>
      </c>
      <c r="C14687" s="19" t="s">
        <v>14413</v>
      </c>
      <c r="D14687" s="19" t="s">
        <v>30077</v>
      </c>
      <c r="E14687" s="19" t="s">
        <v>35849</v>
      </c>
      <c r="F14687" s="19" t="s">
        <v>36018</v>
      </c>
      <c r="G14687" s="33" t="str">
        <f>"79357"</f>
        <v>79357</v>
      </c>
      <c r="H14687" s="34" t="s">
        <v>33346</v>
      </c>
      <c r="I14687" s="35">
        <v>19.010000000000002</v>
      </c>
      <c r="J14687" s="47" t="s">
        <v>8</v>
      </c>
      <c r="K14687" s="23" t="s">
        <v>8</v>
      </c>
      <c r="L14687" s="23" t="s">
        <v>8</v>
      </c>
      <c r="M14687" s="23" t="s">
        <v>8</v>
      </c>
    </row>
    <row r="14688" spans="1:13" s="21" customFormat="1" x14ac:dyDescent="0.25">
      <c r="A14688" s="22" t="s">
        <v>8</v>
      </c>
      <c r="B14688" s="18" t="str">
        <f>"675408"</f>
        <v>675408</v>
      </c>
      <c r="C14688" s="19" t="s">
        <v>14414</v>
      </c>
      <c r="D14688" s="19" t="s">
        <v>30078</v>
      </c>
      <c r="E14688" s="19" t="s">
        <v>35850</v>
      </c>
      <c r="F14688" s="19" t="s">
        <v>36018</v>
      </c>
      <c r="G14688" s="33" t="str">
        <f>"75684"</f>
        <v>75684</v>
      </c>
      <c r="H14688" s="34" t="s">
        <v>35296</v>
      </c>
      <c r="I14688" s="35">
        <v>19.457999999999998</v>
      </c>
      <c r="J14688" s="47" t="s">
        <v>8</v>
      </c>
      <c r="K14688" s="23" t="s">
        <v>8</v>
      </c>
      <c r="L14688" s="23" t="s">
        <v>8</v>
      </c>
      <c r="M14688" s="23" t="s">
        <v>8</v>
      </c>
    </row>
    <row r="14689" spans="1:13" s="21" customFormat="1" x14ac:dyDescent="0.25">
      <c r="A14689" s="22" t="s">
        <v>8</v>
      </c>
      <c r="B14689" s="18" t="str">
        <f>"675409"</f>
        <v>675409</v>
      </c>
      <c r="C14689" s="19" t="s">
        <v>14415</v>
      </c>
      <c r="D14689" s="19" t="s">
        <v>30079</v>
      </c>
      <c r="E14689" s="19" t="s">
        <v>35244</v>
      </c>
      <c r="F14689" s="19" t="s">
        <v>36018</v>
      </c>
      <c r="G14689" s="33" t="str">
        <f>"78214"</f>
        <v>78214</v>
      </c>
      <c r="H14689" s="34" t="s">
        <v>36805</v>
      </c>
      <c r="I14689" s="35">
        <v>17.675000000000001</v>
      </c>
      <c r="J14689" s="47" t="s">
        <v>8</v>
      </c>
      <c r="K14689" s="23" t="s">
        <v>8</v>
      </c>
      <c r="L14689" s="23" t="s">
        <v>8</v>
      </c>
      <c r="M14689" s="23" t="s">
        <v>8</v>
      </c>
    </row>
    <row r="14690" spans="1:13" s="21" customFormat="1" x14ac:dyDescent="0.25">
      <c r="A14690" s="22" t="s">
        <v>8</v>
      </c>
      <c r="B14690" s="18" t="str">
        <f>"675412"</f>
        <v>675412</v>
      </c>
      <c r="C14690" s="19" t="s">
        <v>14416</v>
      </c>
      <c r="D14690" s="19" t="s">
        <v>30080</v>
      </c>
      <c r="E14690" s="19" t="s">
        <v>30903</v>
      </c>
      <c r="F14690" s="19" t="s">
        <v>36018</v>
      </c>
      <c r="G14690" s="33" t="str">
        <f>"76384"</f>
        <v>76384</v>
      </c>
      <c r="H14690" s="34" t="s">
        <v>36797</v>
      </c>
      <c r="I14690" s="35">
        <v>18.585000000000001</v>
      </c>
      <c r="J14690" s="47" t="s">
        <v>8</v>
      </c>
      <c r="K14690" s="23" t="s">
        <v>8</v>
      </c>
      <c r="L14690" s="23" t="s">
        <v>8</v>
      </c>
      <c r="M14690" s="23" t="s">
        <v>8</v>
      </c>
    </row>
    <row r="14691" spans="1:13" s="21" customFormat="1" x14ac:dyDescent="0.25">
      <c r="A14691" s="22" t="s">
        <v>8</v>
      </c>
      <c r="B14691" s="18" t="str">
        <f>"675414"</f>
        <v>675414</v>
      </c>
      <c r="C14691" s="19" t="s">
        <v>14417</v>
      </c>
      <c r="D14691" s="19" t="s">
        <v>30081</v>
      </c>
      <c r="E14691" s="19" t="s">
        <v>35851</v>
      </c>
      <c r="F14691" s="19" t="s">
        <v>36018</v>
      </c>
      <c r="G14691" s="33" t="str">
        <f>"78539"</f>
        <v>78539</v>
      </c>
      <c r="H14691" s="34" t="s">
        <v>36592</v>
      </c>
      <c r="I14691" s="35">
        <v>19.611000000000001</v>
      </c>
      <c r="J14691" s="47" t="s">
        <v>8</v>
      </c>
      <c r="K14691" s="23" t="s">
        <v>8</v>
      </c>
      <c r="L14691" s="23" t="s">
        <v>8</v>
      </c>
      <c r="M14691" s="23" t="s">
        <v>8</v>
      </c>
    </row>
    <row r="14692" spans="1:13" s="21" customFormat="1" x14ac:dyDescent="0.25">
      <c r="A14692" s="22" t="s">
        <v>8</v>
      </c>
      <c r="B14692" s="18" t="str">
        <f>"675415"</f>
        <v>675415</v>
      </c>
      <c r="C14692" s="19" t="s">
        <v>14418</v>
      </c>
      <c r="D14692" s="19" t="s">
        <v>30082</v>
      </c>
      <c r="E14692" s="19" t="s">
        <v>35261</v>
      </c>
      <c r="F14692" s="19" t="s">
        <v>36018</v>
      </c>
      <c r="G14692" s="33" t="str">
        <f>"78503"</f>
        <v>78503</v>
      </c>
      <c r="H14692" s="34" t="s">
        <v>36592</v>
      </c>
      <c r="I14692" s="35">
        <v>17.170999999999999</v>
      </c>
      <c r="J14692" s="47" t="s">
        <v>8</v>
      </c>
      <c r="K14692" s="23" t="s">
        <v>8</v>
      </c>
      <c r="L14692" s="23" t="s">
        <v>8</v>
      </c>
      <c r="M14692" s="23" t="s">
        <v>8</v>
      </c>
    </row>
    <row r="14693" spans="1:13" s="21" customFormat="1" x14ac:dyDescent="0.25">
      <c r="A14693" s="22" t="s">
        <v>8</v>
      </c>
      <c r="B14693" s="18" t="str">
        <f>"675417"</f>
        <v>675417</v>
      </c>
      <c r="C14693" s="19" t="s">
        <v>14419</v>
      </c>
      <c r="D14693" s="19" t="s">
        <v>30083</v>
      </c>
      <c r="E14693" s="19" t="s">
        <v>31723</v>
      </c>
      <c r="F14693" s="19" t="s">
        <v>36018</v>
      </c>
      <c r="G14693" s="33" t="str">
        <f>"75215"</f>
        <v>75215</v>
      </c>
      <c r="H14693" s="34" t="s">
        <v>31723</v>
      </c>
      <c r="I14693" s="35">
        <v>20.663</v>
      </c>
      <c r="J14693" s="47" t="s">
        <v>8</v>
      </c>
      <c r="K14693" s="23" t="s">
        <v>8</v>
      </c>
      <c r="L14693" s="23" t="s">
        <v>8</v>
      </c>
      <c r="M14693" s="23" t="s">
        <v>8</v>
      </c>
    </row>
    <row r="14694" spans="1:13" s="21" customFormat="1" x14ac:dyDescent="0.25">
      <c r="A14694" s="22" t="s">
        <v>8</v>
      </c>
      <c r="B14694" s="18" t="str">
        <f>"675418"</f>
        <v>675418</v>
      </c>
      <c r="C14694" s="19" t="s">
        <v>14420</v>
      </c>
      <c r="D14694" s="19" t="s">
        <v>30084</v>
      </c>
      <c r="E14694" s="19" t="s">
        <v>35852</v>
      </c>
      <c r="F14694" s="19" t="s">
        <v>36018</v>
      </c>
      <c r="G14694" s="33" t="str">
        <f>"75159"</f>
        <v>75159</v>
      </c>
      <c r="H14694" s="34" t="s">
        <v>31723</v>
      </c>
      <c r="I14694" s="35">
        <v>22.93</v>
      </c>
      <c r="J14694" s="47" t="s">
        <v>8</v>
      </c>
      <c r="K14694" s="23" t="s">
        <v>8</v>
      </c>
      <c r="L14694" s="23" t="s">
        <v>8</v>
      </c>
      <c r="M14694" s="23" t="s">
        <v>8</v>
      </c>
    </row>
    <row r="14695" spans="1:13" s="21" customFormat="1" x14ac:dyDescent="0.25">
      <c r="A14695" s="22" t="s">
        <v>8</v>
      </c>
      <c r="B14695" s="18" t="str">
        <f>"675420"</f>
        <v>675420</v>
      </c>
      <c r="C14695" s="19" t="s">
        <v>14421</v>
      </c>
      <c r="D14695" s="19" t="s">
        <v>30085</v>
      </c>
      <c r="E14695" s="19" t="s">
        <v>31178</v>
      </c>
      <c r="F14695" s="19" t="s">
        <v>36018</v>
      </c>
      <c r="G14695" s="33" t="str">
        <f>"77469"</f>
        <v>77469</v>
      </c>
      <c r="H14695" s="34" t="s">
        <v>36826</v>
      </c>
      <c r="I14695" s="35">
        <v>21.259</v>
      </c>
      <c r="J14695" s="47" t="s">
        <v>8</v>
      </c>
      <c r="K14695" s="23" t="s">
        <v>8</v>
      </c>
      <c r="L14695" s="23" t="s">
        <v>8</v>
      </c>
      <c r="M14695" s="23" t="s">
        <v>8</v>
      </c>
    </row>
    <row r="14696" spans="1:13" s="21" customFormat="1" x14ac:dyDescent="0.25">
      <c r="A14696" s="22" t="s">
        <v>8</v>
      </c>
      <c r="B14696" s="18" t="str">
        <f>"675421"</f>
        <v>675421</v>
      </c>
      <c r="C14696" s="19" t="s">
        <v>14422</v>
      </c>
      <c r="D14696" s="19" t="s">
        <v>30086</v>
      </c>
      <c r="E14696" s="19" t="s">
        <v>35853</v>
      </c>
      <c r="F14696" s="19" t="s">
        <v>36018</v>
      </c>
      <c r="G14696" s="33" t="str">
        <f>"78582"</f>
        <v>78582</v>
      </c>
      <c r="H14696" s="34" t="s">
        <v>36960</v>
      </c>
      <c r="I14696" s="35">
        <v>19.48</v>
      </c>
      <c r="J14696" s="47" t="s">
        <v>8</v>
      </c>
      <c r="K14696" s="23" t="s">
        <v>8</v>
      </c>
      <c r="L14696" s="23" t="s">
        <v>8</v>
      </c>
      <c r="M14696" s="23" t="s">
        <v>8</v>
      </c>
    </row>
    <row r="14697" spans="1:13" s="21" customFormat="1" x14ac:dyDescent="0.25">
      <c r="A14697" s="22" t="s">
        <v>8</v>
      </c>
      <c r="B14697" s="18" t="str">
        <f>"675423"</f>
        <v>675423</v>
      </c>
      <c r="C14697" s="19" t="s">
        <v>14423</v>
      </c>
      <c r="D14697" s="19" t="s">
        <v>30087</v>
      </c>
      <c r="E14697" s="19" t="s">
        <v>33493</v>
      </c>
      <c r="F14697" s="19" t="s">
        <v>36018</v>
      </c>
      <c r="G14697" s="33" t="str">
        <f>"77076"</f>
        <v>77076</v>
      </c>
      <c r="H14697" s="34" t="s">
        <v>34183</v>
      </c>
      <c r="I14697" s="35">
        <v>18.456</v>
      </c>
      <c r="J14697" s="47" t="s">
        <v>8</v>
      </c>
      <c r="K14697" s="23" t="s">
        <v>8</v>
      </c>
      <c r="L14697" s="23" t="s">
        <v>8</v>
      </c>
      <c r="M14697" s="23" t="s">
        <v>8</v>
      </c>
    </row>
    <row r="14698" spans="1:13" s="21" customFormat="1" x14ac:dyDescent="0.25">
      <c r="A14698" s="22" t="s">
        <v>8</v>
      </c>
      <c r="B14698" s="18" t="str">
        <f>"675424"</f>
        <v>675424</v>
      </c>
      <c r="C14698" s="19" t="s">
        <v>14424</v>
      </c>
      <c r="D14698" s="19" t="s">
        <v>30088</v>
      </c>
      <c r="E14698" s="19" t="s">
        <v>30824</v>
      </c>
      <c r="F14698" s="19" t="s">
        <v>36018</v>
      </c>
      <c r="G14698" s="33" t="str">
        <f>"75751"</f>
        <v>75751</v>
      </c>
      <c r="H14698" s="34" t="s">
        <v>32699</v>
      </c>
      <c r="I14698" s="35">
        <v>18.041</v>
      </c>
      <c r="J14698" s="47" t="s">
        <v>8</v>
      </c>
      <c r="K14698" s="23" t="s">
        <v>8</v>
      </c>
      <c r="L14698" s="23" t="s">
        <v>8</v>
      </c>
      <c r="M14698" s="23" t="s">
        <v>8</v>
      </c>
    </row>
    <row r="14699" spans="1:13" s="21" customFormat="1" x14ac:dyDescent="0.25">
      <c r="A14699" s="22" t="s">
        <v>8</v>
      </c>
      <c r="B14699" s="18" t="str">
        <f>"675428"</f>
        <v>675428</v>
      </c>
      <c r="C14699" s="19" t="s">
        <v>14425</v>
      </c>
      <c r="D14699" s="19" t="s">
        <v>30089</v>
      </c>
      <c r="E14699" s="19" t="s">
        <v>31321</v>
      </c>
      <c r="F14699" s="19" t="s">
        <v>36018</v>
      </c>
      <c r="G14699" s="33" t="str">
        <f>"78064"</f>
        <v>78064</v>
      </c>
      <c r="H14699" s="34" t="s">
        <v>36791</v>
      </c>
      <c r="I14699" s="35">
        <v>20.792000000000002</v>
      </c>
      <c r="J14699" s="47" t="s">
        <v>8</v>
      </c>
      <c r="K14699" s="23" t="s">
        <v>8</v>
      </c>
      <c r="L14699" s="23" t="s">
        <v>8</v>
      </c>
      <c r="M14699" s="23" t="s">
        <v>8</v>
      </c>
    </row>
    <row r="14700" spans="1:13" s="21" customFormat="1" x14ac:dyDescent="0.25">
      <c r="A14700" s="22" t="s">
        <v>8</v>
      </c>
      <c r="B14700" s="18" t="str">
        <f>"675429"</f>
        <v>675429</v>
      </c>
      <c r="C14700" s="19" t="s">
        <v>14426</v>
      </c>
      <c r="D14700" s="19" t="s">
        <v>30090</v>
      </c>
      <c r="E14700" s="19" t="s">
        <v>32593</v>
      </c>
      <c r="F14700" s="19" t="s">
        <v>36018</v>
      </c>
      <c r="G14700" s="33" t="str">
        <f>"79606"</f>
        <v>79606</v>
      </c>
      <c r="H14700" s="34" t="s">
        <v>31080</v>
      </c>
      <c r="I14700" s="35">
        <v>20.239000000000001</v>
      </c>
      <c r="J14700" s="47" t="s">
        <v>8</v>
      </c>
      <c r="K14700" s="23" t="s">
        <v>8</v>
      </c>
      <c r="L14700" s="23" t="s">
        <v>8</v>
      </c>
      <c r="M14700" s="23" t="s">
        <v>8</v>
      </c>
    </row>
    <row r="14701" spans="1:13" s="21" customFormat="1" x14ac:dyDescent="0.25">
      <c r="A14701" s="22" t="s">
        <v>8</v>
      </c>
      <c r="B14701" s="18" t="str">
        <f>"675431"</f>
        <v>675431</v>
      </c>
      <c r="C14701" s="19" t="s">
        <v>14427</v>
      </c>
      <c r="D14701" s="19" t="s">
        <v>30091</v>
      </c>
      <c r="E14701" s="19" t="s">
        <v>32362</v>
      </c>
      <c r="F14701" s="19" t="s">
        <v>36018</v>
      </c>
      <c r="G14701" s="33" t="str">
        <f>"75154"</f>
        <v>75154</v>
      </c>
      <c r="H14701" s="34" t="s">
        <v>32612</v>
      </c>
      <c r="I14701" s="35">
        <v>17.263999999999999</v>
      </c>
      <c r="J14701" s="47" t="s">
        <v>8</v>
      </c>
      <c r="K14701" s="23" t="s">
        <v>8</v>
      </c>
      <c r="L14701" s="23" t="s">
        <v>8</v>
      </c>
      <c r="M14701" s="23" t="s">
        <v>8</v>
      </c>
    </row>
    <row r="14702" spans="1:13" s="21" customFormat="1" x14ac:dyDescent="0.25">
      <c r="A14702" s="22" t="s">
        <v>8</v>
      </c>
      <c r="B14702" s="18" t="str">
        <f>"675432"</f>
        <v>675432</v>
      </c>
      <c r="C14702" s="19" t="s">
        <v>14428</v>
      </c>
      <c r="D14702" s="19" t="s">
        <v>30092</v>
      </c>
      <c r="E14702" s="19" t="s">
        <v>35244</v>
      </c>
      <c r="F14702" s="19" t="s">
        <v>36018</v>
      </c>
      <c r="G14702" s="33" t="str">
        <f>"78232"</f>
        <v>78232</v>
      </c>
      <c r="H14702" s="34" t="s">
        <v>36805</v>
      </c>
      <c r="I14702" s="35">
        <v>17.52</v>
      </c>
      <c r="J14702" s="47" t="s">
        <v>8</v>
      </c>
      <c r="K14702" s="23" t="s">
        <v>8</v>
      </c>
      <c r="L14702" s="23" t="s">
        <v>8</v>
      </c>
      <c r="M14702" s="23" t="s">
        <v>8</v>
      </c>
    </row>
    <row r="14703" spans="1:13" s="21" customFormat="1" x14ac:dyDescent="0.25">
      <c r="A14703" s="22" t="s">
        <v>8</v>
      </c>
      <c r="B14703" s="18" t="str">
        <f>"675433"</f>
        <v>675433</v>
      </c>
      <c r="C14703" s="19" t="s">
        <v>14429</v>
      </c>
      <c r="D14703" s="19" t="s">
        <v>30093</v>
      </c>
      <c r="E14703" s="19" t="s">
        <v>30851</v>
      </c>
      <c r="F14703" s="19" t="s">
        <v>36018</v>
      </c>
      <c r="G14703" s="33" t="str">
        <f>"77340"</f>
        <v>77340</v>
      </c>
      <c r="H14703" s="34" t="s">
        <v>33386</v>
      </c>
      <c r="I14703" s="35">
        <v>18.962</v>
      </c>
      <c r="J14703" s="47" t="s">
        <v>8</v>
      </c>
      <c r="K14703" s="23" t="s">
        <v>8</v>
      </c>
      <c r="L14703" s="23" t="s">
        <v>8</v>
      </c>
      <c r="M14703" s="23" t="s">
        <v>8</v>
      </c>
    </row>
    <row r="14704" spans="1:13" s="21" customFormat="1" x14ac:dyDescent="0.25">
      <c r="A14704" s="22" t="s">
        <v>8</v>
      </c>
      <c r="B14704" s="18" t="str">
        <f>"675434"</f>
        <v>675434</v>
      </c>
      <c r="C14704" s="19" t="s">
        <v>14430</v>
      </c>
      <c r="D14704" s="19" t="s">
        <v>30094</v>
      </c>
      <c r="E14704" s="19" t="s">
        <v>32780</v>
      </c>
      <c r="F14704" s="19" t="s">
        <v>36018</v>
      </c>
      <c r="G14704" s="33" t="str">
        <f>"78602"</f>
        <v>78602</v>
      </c>
      <c r="H14704" s="34" t="s">
        <v>32780</v>
      </c>
      <c r="I14704" s="35">
        <v>21.536000000000001</v>
      </c>
      <c r="J14704" s="47" t="s">
        <v>8</v>
      </c>
      <c r="K14704" s="23" t="s">
        <v>8</v>
      </c>
      <c r="L14704" s="23" t="s">
        <v>8</v>
      </c>
      <c r="M14704" s="23" t="s">
        <v>8</v>
      </c>
    </row>
    <row r="14705" spans="1:13" s="21" customFormat="1" x14ac:dyDescent="0.25">
      <c r="A14705" s="22" t="s">
        <v>8</v>
      </c>
      <c r="B14705" s="18" t="str">
        <f>"675437"</f>
        <v>675437</v>
      </c>
      <c r="C14705" s="19" t="s">
        <v>14431</v>
      </c>
      <c r="D14705" s="19" t="s">
        <v>30095</v>
      </c>
      <c r="E14705" s="19" t="s">
        <v>35244</v>
      </c>
      <c r="F14705" s="19" t="s">
        <v>36018</v>
      </c>
      <c r="G14705" s="33" t="str">
        <f>"78209"</f>
        <v>78209</v>
      </c>
      <c r="H14705" s="34" t="s">
        <v>36805</v>
      </c>
      <c r="I14705" s="35">
        <v>17.233000000000001</v>
      </c>
      <c r="J14705" s="47" t="s">
        <v>8</v>
      </c>
      <c r="K14705" s="23" t="s">
        <v>8</v>
      </c>
      <c r="L14705" s="23" t="s">
        <v>8</v>
      </c>
      <c r="M14705" s="23" t="s">
        <v>8</v>
      </c>
    </row>
    <row r="14706" spans="1:13" s="21" customFormat="1" x14ac:dyDescent="0.25">
      <c r="A14706" s="22" t="s">
        <v>8</v>
      </c>
      <c r="B14706" s="18" t="str">
        <f>"675438"</f>
        <v>675438</v>
      </c>
      <c r="C14706" s="19" t="s">
        <v>14432</v>
      </c>
      <c r="D14706" s="19" t="s">
        <v>30096</v>
      </c>
      <c r="E14706" s="19" t="s">
        <v>35250</v>
      </c>
      <c r="F14706" s="19" t="s">
        <v>36018</v>
      </c>
      <c r="G14706" s="33" t="str">
        <f>"76708"</f>
        <v>76708</v>
      </c>
      <c r="H14706" s="34" t="s">
        <v>36809</v>
      </c>
      <c r="I14706" s="35">
        <v>17.678000000000001</v>
      </c>
      <c r="J14706" s="47" t="s">
        <v>8</v>
      </c>
      <c r="K14706" s="23" t="s">
        <v>8</v>
      </c>
      <c r="L14706" s="23" t="s">
        <v>8</v>
      </c>
      <c r="M14706" s="23" t="s">
        <v>8</v>
      </c>
    </row>
    <row r="14707" spans="1:13" s="21" customFormat="1" x14ac:dyDescent="0.25">
      <c r="A14707" s="22" t="s">
        <v>8</v>
      </c>
      <c r="B14707" s="18" t="str">
        <f>"675439"</f>
        <v>675439</v>
      </c>
      <c r="C14707" s="19" t="s">
        <v>14433</v>
      </c>
      <c r="D14707" s="19" t="s">
        <v>30097</v>
      </c>
      <c r="E14707" s="19" t="s">
        <v>31999</v>
      </c>
      <c r="F14707" s="19" t="s">
        <v>36018</v>
      </c>
      <c r="G14707" s="33" t="str">
        <f>"75479"</f>
        <v>75479</v>
      </c>
      <c r="H14707" s="34" t="s">
        <v>36155</v>
      </c>
      <c r="I14707" s="35">
        <v>16.088000000000001</v>
      </c>
      <c r="J14707" s="47" t="s">
        <v>8</v>
      </c>
      <c r="K14707" s="23" t="s">
        <v>8</v>
      </c>
      <c r="L14707" s="23" t="s">
        <v>8</v>
      </c>
      <c r="M14707" s="23" t="s">
        <v>8</v>
      </c>
    </row>
    <row r="14708" spans="1:13" s="21" customFormat="1" x14ac:dyDescent="0.25">
      <c r="A14708" s="22" t="s">
        <v>8</v>
      </c>
      <c r="B14708" s="18" t="str">
        <f>"675440"</f>
        <v>675440</v>
      </c>
      <c r="C14708" s="19" t="s">
        <v>14434</v>
      </c>
      <c r="D14708" s="19" t="s">
        <v>30098</v>
      </c>
      <c r="E14708" s="19" t="s">
        <v>31723</v>
      </c>
      <c r="F14708" s="19" t="s">
        <v>36018</v>
      </c>
      <c r="G14708" s="33" t="str">
        <f>"75215"</f>
        <v>75215</v>
      </c>
      <c r="H14708" s="34" t="s">
        <v>31723</v>
      </c>
      <c r="I14708" s="35">
        <v>19.231999999999999</v>
      </c>
      <c r="J14708" s="47" t="s">
        <v>8</v>
      </c>
      <c r="K14708" s="23" t="s">
        <v>8</v>
      </c>
      <c r="L14708" s="23" t="s">
        <v>8</v>
      </c>
      <c r="M14708" s="23" t="s">
        <v>8</v>
      </c>
    </row>
    <row r="14709" spans="1:13" s="21" customFormat="1" x14ac:dyDescent="0.25">
      <c r="A14709" s="22" t="s">
        <v>8</v>
      </c>
      <c r="B14709" s="18" t="str">
        <f>"675441"</f>
        <v>675441</v>
      </c>
      <c r="C14709" s="19" t="s">
        <v>3319</v>
      </c>
      <c r="D14709" s="19" t="s">
        <v>30099</v>
      </c>
      <c r="E14709" s="19" t="s">
        <v>31537</v>
      </c>
      <c r="F14709" s="19" t="s">
        <v>36018</v>
      </c>
      <c r="G14709" s="33" t="str">
        <f>"76240"</f>
        <v>76240</v>
      </c>
      <c r="H14709" s="34" t="s">
        <v>36788</v>
      </c>
      <c r="I14709" s="35">
        <v>22.155000000000001</v>
      </c>
      <c r="J14709" s="47" t="s">
        <v>8</v>
      </c>
      <c r="K14709" s="23" t="s">
        <v>8</v>
      </c>
      <c r="L14709" s="23" t="s">
        <v>8</v>
      </c>
      <c r="M14709" s="23" t="s">
        <v>8</v>
      </c>
    </row>
    <row r="14710" spans="1:13" s="21" customFormat="1" x14ac:dyDescent="0.25">
      <c r="A14710" s="22" t="s">
        <v>8</v>
      </c>
      <c r="B14710" s="18" t="str">
        <f>"675443"</f>
        <v>675443</v>
      </c>
      <c r="C14710" s="19" t="s">
        <v>14435</v>
      </c>
      <c r="D14710" s="19" t="s">
        <v>30100</v>
      </c>
      <c r="E14710" s="19" t="s">
        <v>35854</v>
      </c>
      <c r="F14710" s="19" t="s">
        <v>36018</v>
      </c>
      <c r="G14710" s="33" t="str">
        <f>"79035"</f>
        <v>79035</v>
      </c>
      <c r="H14710" s="34" t="s">
        <v>36953</v>
      </c>
      <c r="I14710" s="35">
        <v>20.751000000000001</v>
      </c>
      <c r="J14710" s="47" t="s">
        <v>8</v>
      </c>
      <c r="K14710" s="23" t="s">
        <v>8</v>
      </c>
      <c r="L14710" s="23" t="s">
        <v>8</v>
      </c>
      <c r="M14710" s="23" t="s">
        <v>8</v>
      </c>
    </row>
    <row r="14711" spans="1:13" s="21" customFormat="1" x14ac:dyDescent="0.25">
      <c r="A14711" s="22" t="s">
        <v>8</v>
      </c>
      <c r="B14711" s="18" t="str">
        <f>"675444"</f>
        <v>675444</v>
      </c>
      <c r="C14711" s="19" t="s">
        <v>14436</v>
      </c>
      <c r="D14711" s="19" t="s">
        <v>30101</v>
      </c>
      <c r="E14711" s="19" t="s">
        <v>31021</v>
      </c>
      <c r="F14711" s="19" t="s">
        <v>36018</v>
      </c>
      <c r="G14711" s="33" t="str">
        <f>"75503"</f>
        <v>75503</v>
      </c>
      <c r="H14711" s="34" t="s">
        <v>32980</v>
      </c>
      <c r="I14711" s="35">
        <v>23.369</v>
      </c>
      <c r="J14711" s="47" t="s">
        <v>8</v>
      </c>
      <c r="K14711" s="23" t="s">
        <v>8</v>
      </c>
      <c r="L14711" s="23" t="s">
        <v>8</v>
      </c>
      <c r="M14711" s="23" t="s">
        <v>8</v>
      </c>
    </row>
    <row r="14712" spans="1:13" s="21" customFormat="1" x14ac:dyDescent="0.25">
      <c r="A14712" s="22" t="s">
        <v>8</v>
      </c>
      <c r="B14712" s="18" t="str">
        <f>"675445"</f>
        <v>675445</v>
      </c>
      <c r="C14712" s="19" t="s">
        <v>14437</v>
      </c>
      <c r="D14712" s="19" t="s">
        <v>30102</v>
      </c>
      <c r="E14712" s="19" t="s">
        <v>35855</v>
      </c>
      <c r="F14712" s="19" t="s">
        <v>36018</v>
      </c>
      <c r="G14712" s="33" t="str">
        <f>"78941"</f>
        <v>78941</v>
      </c>
      <c r="H14712" s="34" t="s">
        <v>30805</v>
      </c>
      <c r="I14712" s="35">
        <v>19.056000000000001</v>
      </c>
      <c r="J14712" s="47" t="s">
        <v>8</v>
      </c>
      <c r="K14712" s="23" t="s">
        <v>8</v>
      </c>
      <c r="L14712" s="23" t="s">
        <v>8</v>
      </c>
      <c r="M14712" s="23" t="s">
        <v>8</v>
      </c>
    </row>
    <row r="14713" spans="1:13" s="21" customFormat="1" x14ac:dyDescent="0.25">
      <c r="A14713" s="22" t="s">
        <v>8</v>
      </c>
      <c r="B14713" s="18" t="str">
        <f>"675446"</f>
        <v>675446</v>
      </c>
      <c r="C14713" s="19" t="s">
        <v>14438</v>
      </c>
      <c r="D14713" s="19" t="s">
        <v>30103</v>
      </c>
      <c r="E14713" s="19" t="s">
        <v>35218</v>
      </c>
      <c r="F14713" s="19" t="s">
        <v>36018</v>
      </c>
      <c r="G14713" s="33" t="str">
        <f>"78114"</f>
        <v>78114</v>
      </c>
      <c r="H14713" s="34" t="s">
        <v>32577</v>
      </c>
      <c r="I14713" s="35">
        <v>20.050999999999998</v>
      </c>
      <c r="J14713" s="47" t="s">
        <v>8</v>
      </c>
      <c r="K14713" s="23" t="s">
        <v>8</v>
      </c>
      <c r="L14713" s="23" t="s">
        <v>8</v>
      </c>
      <c r="M14713" s="23" t="s">
        <v>8</v>
      </c>
    </row>
    <row r="14714" spans="1:13" s="21" customFormat="1" x14ac:dyDescent="0.25">
      <c r="A14714" s="22" t="s">
        <v>8</v>
      </c>
      <c r="B14714" s="18" t="str">
        <f>"675447"</f>
        <v>675447</v>
      </c>
      <c r="C14714" s="19" t="s">
        <v>14439</v>
      </c>
      <c r="D14714" s="19" t="s">
        <v>30104</v>
      </c>
      <c r="E14714" s="19" t="s">
        <v>31723</v>
      </c>
      <c r="F14714" s="19" t="s">
        <v>36018</v>
      </c>
      <c r="G14714" s="33" t="str">
        <f>"75243"</f>
        <v>75243</v>
      </c>
      <c r="H14714" s="34" t="s">
        <v>31723</v>
      </c>
      <c r="I14714" s="35">
        <v>22.279</v>
      </c>
      <c r="J14714" s="47" t="s">
        <v>8</v>
      </c>
      <c r="K14714" s="23" t="s">
        <v>8</v>
      </c>
      <c r="L14714" s="23" t="s">
        <v>8</v>
      </c>
      <c r="M14714" s="23" t="s">
        <v>8</v>
      </c>
    </row>
    <row r="14715" spans="1:13" s="21" customFormat="1" x14ac:dyDescent="0.25">
      <c r="A14715" s="22" t="s">
        <v>8</v>
      </c>
      <c r="B14715" s="18" t="str">
        <f>"675452"</f>
        <v>675452</v>
      </c>
      <c r="C14715" s="19" t="s">
        <v>14440</v>
      </c>
      <c r="D14715" s="19" t="s">
        <v>30105</v>
      </c>
      <c r="E14715" s="19" t="s">
        <v>35856</v>
      </c>
      <c r="F14715" s="19" t="s">
        <v>36018</v>
      </c>
      <c r="G14715" s="33" t="str">
        <f>"78109"</f>
        <v>78109</v>
      </c>
      <c r="H14715" s="34" t="s">
        <v>36805</v>
      </c>
      <c r="I14715" s="35">
        <v>17.975000000000001</v>
      </c>
      <c r="J14715" s="47" t="s">
        <v>8</v>
      </c>
      <c r="K14715" s="23" t="s">
        <v>8</v>
      </c>
      <c r="L14715" s="23" t="s">
        <v>8</v>
      </c>
      <c r="M14715" s="23" t="s">
        <v>8</v>
      </c>
    </row>
    <row r="14716" spans="1:13" s="21" customFormat="1" x14ac:dyDescent="0.25">
      <c r="A14716" s="22" t="s">
        <v>8</v>
      </c>
      <c r="B14716" s="18" t="str">
        <f>"675453"</f>
        <v>675453</v>
      </c>
      <c r="C14716" s="19" t="s">
        <v>14441</v>
      </c>
      <c r="D14716" s="19" t="s">
        <v>30106</v>
      </c>
      <c r="E14716" s="19" t="s">
        <v>35299</v>
      </c>
      <c r="F14716" s="19" t="s">
        <v>36018</v>
      </c>
      <c r="G14716" s="33" t="str">
        <f>"75074"</f>
        <v>75074</v>
      </c>
      <c r="H14716" s="34" t="s">
        <v>36828</v>
      </c>
      <c r="I14716" s="35">
        <v>21.076000000000001</v>
      </c>
      <c r="J14716" s="47" t="s">
        <v>8</v>
      </c>
      <c r="K14716" s="23" t="s">
        <v>8</v>
      </c>
      <c r="L14716" s="23" t="s">
        <v>8</v>
      </c>
      <c r="M14716" s="23" t="s">
        <v>8</v>
      </c>
    </row>
    <row r="14717" spans="1:13" s="21" customFormat="1" x14ac:dyDescent="0.25">
      <c r="A14717" s="22" t="s">
        <v>8</v>
      </c>
      <c r="B14717" s="18" t="str">
        <f>"675454"</f>
        <v>675454</v>
      </c>
      <c r="C14717" s="19" t="s">
        <v>14442</v>
      </c>
      <c r="D14717" s="19" t="s">
        <v>30107</v>
      </c>
      <c r="E14717" s="19" t="s">
        <v>33493</v>
      </c>
      <c r="F14717" s="19" t="s">
        <v>36018</v>
      </c>
      <c r="G14717" s="33" t="str">
        <f>"77082"</f>
        <v>77082</v>
      </c>
      <c r="H14717" s="34" t="s">
        <v>34183</v>
      </c>
      <c r="I14717" s="35">
        <v>20.707999999999998</v>
      </c>
      <c r="J14717" s="47" t="s">
        <v>8</v>
      </c>
      <c r="K14717" s="23" t="s">
        <v>8</v>
      </c>
      <c r="L14717" s="23" t="s">
        <v>8</v>
      </c>
      <c r="M14717" s="23" t="s">
        <v>8</v>
      </c>
    </row>
    <row r="14718" spans="1:13" s="21" customFormat="1" x14ac:dyDescent="0.25">
      <c r="A14718" s="22" t="s">
        <v>8</v>
      </c>
      <c r="B14718" s="18" t="str">
        <f>"675458"</f>
        <v>675458</v>
      </c>
      <c r="C14718" s="19" t="s">
        <v>4987</v>
      </c>
      <c r="D14718" s="19" t="s">
        <v>30108</v>
      </c>
      <c r="E14718" s="19" t="s">
        <v>35796</v>
      </c>
      <c r="F14718" s="19" t="s">
        <v>36018</v>
      </c>
      <c r="G14718" s="33" t="str">
        <f>"78644"</f>
        <v>78644</v>
      </c>
      <c r="H14718" s="34" t="s">
        <v>31876</v>
      </c>
      <c r="I14718" s="35">
        <v>20.452000000000002</v>
      </c>
      <c r="J14718" s="47" t="s">
        <v>8</v>
      </c>
      <c r="K14718" s="23" t="s">
        <v>8</v>
      </c>
      <c r="L14718" s="23" t="s">
        <v>8</v>
      </c>
      <c r="M14718" s="23" t="s">
        <v>8</v>
      </c>
    </row>
    <row r="14719" spans="1:13" s="21" customFormat="1" x14ac:dyDescent="0.25">
      <c r="A14719" s="22" t="s">
        <v>8</v>
      </c>
      <c r="B14719" s="18" t="str">
        <f>"675459"</f>
        <v>675459</v>
      </c>
      <c r="C14719" s="19" t="s">
        <v>14443</v>
      </c>
      <c r="D14719" s="19" t="s">
        <v>30109</v>
      </c>
      <c r="E14719" s="19" t="s">
        <v>33383</v>
      </c>
      <c r="F14719" s="19" t="s">
        <v>36018</v>
      </c>
      <c r="G14719" s="33" t="str">
        <f>"78723"</f>
        <v>78723</v>
      </c>
      <c r="H14719" s="34" t="s">
        <v>36817</v>
      </c>
      <c r="I14719" s="35">
        <v>19.843</v>
      </c>
      <c r="J14719" s="47" t="s">
        <v>8</v>
      </c>
      <c r="K14719" s="23" t="s">
        <v>8</v>
      </c>
      <c r="L14719" s="23" t="s">
        <v>8</v>
      </c>
      <c r="M14719" s="23" t="s">
        <v>8</v>
      </c>
    </row>
    <row r="14720" spans="1:13" s="21" customFormat="1" x14ac:dyDescent="0.25">
      <c r="A14720" s="22" t="s">
        <v>8</v>
      </c>
      <c r="B14720" s="18" t="str">
        <f>"675460"</f>
        <v>675460</v>
      </c>
      <c r="C14720" s="19" t="s">
        <v>14444</v>
      </c>
      <c r="D14720" s="19" t="s">
        <v>30110</v>
      </c>
      <c r="E14720" s="19" t="s">
        <v>30824</v>
      </c>
      <c r="F14720" s="19" t="s">
        <v>36018</v>
      </c>
      <c r="G14720" s="33" t="str">
        <f>"75751"</f>
        <v>75751</v>
      </c>
      <c r="H14720" s="34" t="s">
        <v>32699</v>
      </c>
      <c r="I14720" s="35">
        <v>22.207000000000001</v>
      </c>
      <c r="J14720" s="47" t="s">
        <v>8</v>
      </c>
      <c r="K14720" s="23" t="s">
        <v>8</v>
      </c>
      <c r="L14720" s="23" t="s">
        <v>8</v>
      </c>
      <c r="M14720" s="23" t="s">
        <v>8</v>
      </c>
    </row>
    <row r="14721" spans="1:13" s="21" customFormat="1" x14ac:dyDescent="0.25">
      <c r="A14721" s="22" t="s">
        <v>8</v>
      </c>
      <c r="B14721" s="18" t="str">
        <f>"675462"</f>
        <v>675462</v>
      </c>
      <c r="C14721" s="19" t="s">
        <v>4987</v>
      </c>
      <c r="D14721" s="19" t="s">
        <v>30111</v>
      </c>
      <c r="E14721" s="19" t="s">
        <v>35857</v>
      </c>
      <c r="F14721" s="19" t="s">
        <v>36018</v>
      </c>
      <c r="G14721" s="33" t="str">
        <f>"79720"</f>
        <v>79720</v>
      </c>
      <c r="H14721" s="34" t="s">
        <v>32644</v>
      </c>
      <c r="I14721" s="35">
        <v>22.72</v>
      </c>
      <c r="J14721" s="47" t="s">
        <v>8</v>
      </c>
      <c r="K14721" s="23" t="s">
        <v>8</v>
      </c>
      <c r="L14721" s="23" t="s">
        <v>8</v>
      </c>
      <c r="M14721" s="23" t="s">
        <v>8</v>
      </c>
    </row>
    <row r="14722" spans="1:13" s="21" customFormat="1" x14ac:dyDescent="0.25">
      <c r="A14722" s="22" t="s">
        <v>8</v>
      </c>
      <c r="B14722" s="18" t="str">
        <f>"675468"</f>
        <v>675468</v>
      </c>
      <c r="C14722" s="19" t="s">
        <v>14445</v>
      </c>
      <c r="D14722" s="19" t="s">
        <v>30112</v>
      </c>
      <c r="E14722" s="19" t="s">
        <v>35858</v>
      </c>
      <c r="F14722" s="19" t="s">
        <v>36018</v>
      </c>
      <c r="G14722" s="33" t="str">
        <f>"76457"</f>
        <v>76457</v>
      </c>
      <c r="H14722" s="34" t="s">
        <v>30804</v>
      </c>
      <c r="I14722" s="35">
        <v>20.143000000000001</v>
      </c>
      <c r="J14722" s="47" t="s">
        <v>8</v>
      </c>
      <c r="K14722" s="23" t="s">
        <v>8</v>
      </c>
      <c r="L14722" s="23" t="s">
        <v>8</v>
      </c>
      <c r="M14722" s="23" t="s">
        <v>8</v>
      </c>
    </row>
    <row r="14723" spans="1:13" s="21" customFormat="1" x14ac:dyDescent="0.25">
      <c r="A14723" s="22" t="s">
        <v>8</v>
      </c>
      <c r="B14723" s="18" t="str">
        <f>"675469"</f>
        <v>675469</v>
      </c>
      <c r="C14723" s="19" t="s">
        <v>14446</v>
      </c>
      <c r="D14723" s="19" t="s">
        <v>30113</v>
      </c>
      <c r="E14723" s="19" t="s">
        <v>35218</v>
      </c>
      <c r="F14723" s="19" t="s">
        <v>36018</v>
      </c>
      <c r="G14723" s="33" t="str">
        <f>"78114"</f>
        <v>78114</v>
      </c>
      <c r="H14723" s="34" t="s">
        <v>32577</v>
      </c>
      <c r="I14723" s="35">
        <v>18.718</v>
      </c>
      <c r="J14723" s="47" t="s">
        <v>8</v>
      </c>
      <c r="K14723" s="23" t="s">
        <v>8</v>
      </c>
      <c r="L14723" s="23" t="s">
        <v>8</v>
      </c>
      <c r="M14723" s="23" t="s">
        <v>8</v>
      </c>
    </row>
    <row r="14724" spans="1:13" s="21" customFormat="1" x14ac:dyDescent="0.25">
      <c r="A14724" s="22" t="s">
        <v>8</v>
      </c>
      <c r="B14724" s="18" t="str">
        <f>"675471"</f>
        <v>675471</v>
      </c>
      <c r="C14724" s="19" t="s">
        <v>14447</v>
      </c>
      <c r="D14724" s="19" t="s">
        <v>30114</v>
      </c>
      <c r="E14724" s="19" t="s">
        <v>35828</v>
      </c>
      <c r="F14724" s="19" t="s">
        <v>36018</v>
      </c>
      <c r="G14724" s="33" t="str">
        <f>"75418"</f>
        <v>75418</v>
      </c>
      <c r="H14724" s="34" t="s">
        <v>36155</v>
      </c>
      <c r="I14724" s="35">
        <v>18.507999999999999</v>
      </c>
      <c r="J14724" s="47" t="s">
        <v>8</v>
      </c>
      <c r="K14724" s="23" t="s">
        <v>8</v>
      </c>
      <c r="L14724" s="23" t="s">
        <v>8</v>
      </c>
      <c r="M14724" s="23" t="s">
        <v>8</v>
      </c>
    </row>
    <row r="14725" spans="1:13" s="21" customFormat="1" x14ac:dyDescent="0.25">
      <c r="A14725" s="22" t="s">
        <v>8</v>
      </c>
      <c r="B14725" s="18" t="str">
        <f>"675475"</f>
        <v>675475</v>
      </c>
      <c r="C14725" s="19" t="s">
        <v>14448</v>
      </c>
      <c r="D14725" s="19" t="s">
        <v>30115</v>
      </c>
      <c r="E14725" s="19" t="s">
        <v>35859</v>
      </c>
      <c r="F14725" s="19" t="s">
        <v>36018</v>
      </c>
      <c r="G14725" s="33" t="str">
        <f>"78580"</f>
        <v>78580</v>
      </c>
      <c r="H14725" s="34" t="s">
        <v>36961</v>
      </c>
      <c r="I14725" s="35">
        <v>19.670999999999999</v>
      </c>
      <c r="J14725" s="47" t="s">
        <v>8</v>
      </c>
      <c r="K14725" s="23" t="s">
        <v>8</v>
      </c>
      <c r="L14725" s="23" t="s">
        <v>8</v>
      </c>
      <c r="M14725" s="23" t="s">
        <v>8</v>
      </c>
    </row>
    <row r="14726" spans="1:13" s="21" customFormat="1" x14ac:dyDescent="0.25">
      <c r="A14726" s="22" t="s">
        <v>8</v>
      </c>
      <c r="B14726" s="18" t="str">
        <f>"675477"</f>
        <v>675477</v>
      </c>
      <c r="C14726" s="19" t="s">
        <v>14449</v>
      </c>
      <c r="D14726" s="19" t="s">
        <v>30116</v>
      </c>
      <c r="E14726" s="19" t="s">
        <v>35860</v>
      </c>
      <c r="F14726" s="19" t="s">
        <v>36018</v>
      </c>
      <c r="G14726" s="33" t="str">
        <f>"78160"</f>
        <v>78160</v>
      </c>
      <c r="H14726" s="34" t="s">
        <v>32577</v>
      </c>
      <c r="I14726" s="35">
        <v>20.07</v>
      </c>
      <c r="J14726" s="47" t="s">
        <v>8</v>
      </c>
      <c r="K14726" s="23" t="s">
        <v>8</v>
      </c>
      <c r="L14726" s="23" t="s">
        <v>8</v>
      </c>
      <c r="M14726" s="23" t="s">
        <v>8</v>
      </c>
    </row>
    <row r="14727" spans="1:13" s="21" customFormat="1" x14ac:dyDescent="0.25">
      <c r="A14727" s="22" t="s">
        <v>8</v>
      </c>
      <c r="B14727" s="18" t="str">
        <f>"675478"</f>
        <v>675478</v>
      </c>
      <c r="C14727" s="19" t="s">
        <v>14450</v>
      </c>
      <c r="D14727" s="19" t="s">
        <v>30117</v>
      </c>
      <c r="E14727" s="19" t="s">
        <v>33396</v>
      </c>
      <c r="F14727" s="19" t="s">
        <v>36018</v>
      </c>
      <c r="G14727" s="33" t="str">
        <f>"79072"</f>
        <v>79072</v>
      </c>
      <c r="H14727" s="34" t="s">
        <v>36031</v>
      </c>
      <c r="I14727" s="35">
        <v>21.946999999999999</v>
      </c>
      <c r="J14727" s="47" t="s">
        <v>8</v>
      </c>
      <c r="K14727" s="23" t="s">
        <v>8</v>
      </c>
      <c r="L14727" s="23" t="s">
        <v>8</v>
      </c>
      <c r="M14727" s="23" t="s">
        <v>8</v>
      </c>
    </row>
    <row r="14728" spans="1:13" s="21" customFormat="1" x14ac:dyDescent="0.25">
      <c r="A14728" s="22" t="s">
        <v>8</v>
      </c>
      <c r="B14728" s="18" t="str">
        <f>"675479"</f>
        <v>675479</v>
      </c>
      <c r="C14728" s="19" t="s">
        <v>14451</v>
      </c>
      <c r="D14728" s="19" t="s">
        <v>30118</v>
      </c>
      <c r="E14728" s="19" t="s">
        <v>31965</v>
      </c>
      <c r="F14728" s="19" t="s">
        <v>36018</v>
      </c>
      <c r="G14728" s="33" t="str">
        <f>"79912"</f>
        <v>79912</v>
      </c>
      <c r="H14728" s="34" t="s">
        <v>31965</v>
      </c>
      <c r="I14728" s="35">
        <v>16.533000000000001</v>
      </c>
      <c r="J14728" s="47" t="s">
        <v>8</v>
      </c>
      <c r="K14728" s="23" t="s">
        <v>8</v>
      </c>
      <c r="L14728" s="23" t="s">
        <v>8</v>
      </c>
      <c r="M14728" s="23" t="s">
        <v>8</v>
      </c>
    </row>
    <row r="14729" spans="1:13" s="21" customFormat="1" x14ac:dyDescent="0.25">
      <c r="A14729" s="22" t="s">
        <v>8</v>
      </c>
      <c r="B14729" s="18" t="str">
        <f>"675480"</f>
        <v>675480</v>
      </c>
      <c r="C14729" s="19" t="s">
        <v>14452</v>
      </c>
      <c r="D14729" s="19" t="s">
        <v>30119</v>
      </c>
      <c r="E14729" s="19" t="s">
        <v>35284</v>
      </c>
      <c r="F14729" s="19" t="s">
        <v>36018</v>
      </c>
      <c r="G14729" s="33" t="str">
        <f>"77904"</f>
        <v>77904</v>
      </c>
      <c r="H14729" s="34" t="s">
        <v>35284</v>
      </c>
      <c r="I14729" s="35">
        <v>21.356000000000002</v>
      </c>
      <c r="J14729" s="47" t="s">
        <v>8</v>
      </c>
      <c r="K14729" s="23" t="s">
        <v>8</v>
      </c>
      <c r="L14729" s="23" t="s">
        <v>8</v>
      </c>
      <c r="M14729" s="23" t="s">
        <v>8</v>
      </c>
    </row>
    <row r="14730" spans="1:13" s="21" customFormat="1" x14ac:dyDescent="0.25">
      <c r="A14730" s="22" t="s">
        <v>8</v>
      </c>
      <c r="B14730" s="18" t="str">
        <f>"675481"</f>
        <v>675481</v>
      </c>
      <c r="C14730" s="19" t="s">
        <v>14453</v>
      </c>
      <c r="D14730" s="19" t="s">
        <v>30120</v>
      </c>
      <c r="E14730" s="19" t="s">
        <v>32689</v>
      </c>
      <c r="F14730" s="19" t="s">
        <v>36018</v>
      </c>
      <c r="G14730" s="33" t="str">
        <f>"77864"</f>
        <v>77864</v>
      </c>
      <c r="H14730" s="34" t="s">
        <v>30899</v>
      </c>
      <c r="I14730" s="35">
        <v>20.007000000000001</v>
      </c>
      <c r="J14730" s="47" t="s">
        <v>8</v>
      </c>
      <c r="K14730" s="23" t="s">
        <v>8</v>
      </c>
      <c r="L14730" s="23" t="s">
        <v>8</v>
      </c>
      <c r="M14730" s="23" t="s">
        <v>8</v>
      </c>
    </row>
    <row r="14731" spans="1:13" s="21" customFormat="1" x14ac:dyDescent="0.25">
      <c r="A14731" s="22" t="s">
        <v>8</v>
      </c>
      <c r="B14731" s="18" t="str">
        <f>"675483"</f>
        <v>675483</v>
      </c>
      <c r="C14731" s="19" t="s">
        <v>14454</v>
      </c>
      <c r="D14731" s="19" t="s">
        <v>30121</v>
      </c>
      <c r="E14731" s="19" t="s">
        <v>35861</v>
      </c>
      <c r="F14731" s="19" t="s">
        <v>36018</v>
      </c>
      <c r="G14731" s="33" t="str">
        <f>"76367"</f>
        <v>76367</v>
      </c>
      <c r="H14731" s="34" t="s">
        <v>32555</v>
      </c>
      <c r="I14731" s="35">
        <v>20.364999999999998</v>
      </c>
      <c r="J14731" s="47" t="s">
        <v>8</v>
      </c>
      <c r="K14731" s="23" t="s">
        <v>8</v>
      </c>
      <c r="L14731" s="23" t="s">
        <v>8</v>
      </c>
      <c r="M14731" s="23" t="s">
        <v>8</v>
      </c>
    </row>
    <row r="14732" spans="1:13" s="21" customFormat="1" x14ac:dyDescent="0.25">
      <c r="A14732" s="22" t="s">
        <v>8</v>
      </c>
      <c r="B14732" s="18" t="str">
        <f>"675484"</f>
        <v>675484</v>
      </c>
      <c r="C14732" s="19" t="s">
        <v>14455</v>
      </c>
      <c r="D14732" s="19" t="s">
        <v>30122</v>
      </c>
      <c r="E14732" s="19" t="s">
        <v>35862</v>
      </c>
      <c r="F14732" s="19" t="s">
        <v>36018</v>
      </c>
      <c r="G14732" s="33" t="str">
        <f>"77371"</f>
        <v>77371</v>
      </c>
      <c r="H14732" s="34" t="s">
        <v>31235</v>
      </c>
      <c r="I14732" s="35">
        <v>18.966000000000001</v>
      </c>
      <c r="J14732" s="47" t="s">
        <v>8</v>
      </c>
      <c r="K14732" s="23" t="s">
        <v>8</v>
      </c>
      <c r="L14732" s="23" t="s">
        <v>8</v>
      </c>
      <c r="M14732" s="23" t="s">
        <v>8</v>
      </c>
    </row>
    <row r="14733" spans="1:13" s="21" customFormat="1" x14ac:dyDescent="0.25">
      <c r="A14733" s="22" t="s">
        <v>8</v>
      </c>
      <c r="B14733" s="18" t="str">
        <f>"675485"</f>
        <v>675485</v>
      </c>
      <c r="C14733" s="19" t="s">
        <v>14456</v>
      </c>
      <c r="D14733" s="19" t="s">
        <v>30123</v>
      </c>
      <c r="E14733" s="19" t="s">
        <v>35863</v>
      </c>
      <c r="F14733" s="19" t="s">
        <v>36018</v>
      </c>
      <c r="G14733" s="33" t="str">
        <f>"79241"</f>
        <v>79241</v>
      </c>
      <c r="H14733" s="34" t="s">
        <v>35420</v>
      </c>
      <c r="I14733" s="35">
        <v>19.47</v>
      </c>
      <c r="J14733" s="47" t="s">
        <v>8</v>
      </c>
      <c r="K14733" s="23" t="s">
        <v>8</v>
      </c>
      <c r="L14733" s="23" t="s">
        <v>8</v>
      </c>
      <c r="M14733" s="23" t="s">
        <v>8</v>
      </c>
    </row>
    <row r="14734" spans="1:13" s="21" customFormat="1" x14ac:dyDescent="0.25">
      <c r="A14734" s="22" t="s">
        <v>8</v>
      </c>
      <c r="B14734" s="18" t="str">
        <f>"675487"</f>
        <v>675487</v>
      </c>
      <c r="C14734" s="19" t="s">
        <v>14457</v>
      </c>
      <c r="D14734" s="19" t="s">
        <v>30124</v>
      </c>
      <c r="E14734" s="19" t="s">
        <v>35243</v>
      </c>
      <c r="F14734" s="19" t="s">
        <v>36018</v>
      </c>
      <c r="G14734" s="33" t="str">
        <f>"78405"</f>
        <v>78405</v>
      </c>
      <c r="H14734" s="34" t="s">
        <v>36804</v>
      </c>
      <c r="I14734" s="35">
        <v>18.669</v>
      </c>
      <c r="J14734" s="47" t="s">
        <v>8</v>
      </c>
      <c r="K14734" s="23" t="s">
        <v>8</v>
      </c>
      <c r="L14734" s="23" t="s">
        <v>8</v>
      </c>
      <c r="M14734" s="23" t="s">
        <v>8</v>
      </c>
    </row>
    <row r="14735" spans="1:13" s="21" customFormat="1" x14ac:dyDescent="0.25">
      <c r="A14735" s="22" t="s">
        <v>8</v>
      </c>
      <c r="B14735" s="18" t="str">
        <f>"675489"</f>
        <v>675489</v>
      </c>
      <c r="C14735" s="19" t="s">
        <v>14458</v>
      </c>
      <c r="D14735" s="19" t="s">
        <v>30125</v>
      </c>
      <c r="E14735" s="19" t="s">
        <v>35864</v>
      </c>
      <c r="F14735" s="19" t="s">
        <v>36018</v>
      </c>
      <c r="G14735" s="33" t="str">
        <f>"78016"</f>
        <v>78016</v>
      </c>
      <c r="H14735" s="34" t="s">
        <v>34102</v>
      </c>
      <c r="I14735" s="35">
        <v>17.026</v>
      </c>
      <c r="J14735" s="47" t="s">
        <v>8</v>
      </c>
      <c r="K14735" s="23" t="s">
        <v>8</v>
      </c>
      <c r="L14735" s="23" t="s">
        <v>8</v>
      </c>
      <c r="M14735" s="23" t="s">
        <v>8</v>
      </c>
    </row>
    <row r="14736" spans="1:13" s="21" customFormat="1" x14ac:dyDescent="0.25">
      <c r="A14736" s="22" t="s">
        <v>8</v>
      </c>
      <c r="B14736" s="18" t="str">
        <f>"675490"</f>
        <v>675490</v>
      </c>
      <c r="C14736" s="19" t="s">
        <v>14459</v>
      </c>
      <c r="D14736" s="19" t="s">
        <v>30126</v>
      </c>
      <c r="E14736" s="19" t="s">
        <v>31709</v>
      </c>
      <c r="F14736" s="19" t="s">
        <v>36018</v>
      </c>
      <c r="G14736" s="33" t="str">
        <f>"75551"</f>
        <v>75551</v>
      </c>
      <c r="H14736" s="34" t="s">
        <v>36246</v>
      </c>
      <c r="I14736" s="35">
        <v>16.213000000000001</v>
      </c>
      <c r="J14736" s="47" t="s">
        <v>8</v>
      </c>
      <c r="K14736" s="23" t="s">
        <v>8</v>
      </c>
      <c r="L14736" s="23" t="s">
        <v>8</v>
      </c>
      <c r="M14736" s="23" t="s">
        <v>8</v>
      </c>
    </row>
    <row r="14737" spans="1:13" s="21" customFormat="1" x14ac:dyDescent="0.25">
      <c r="A14737" s="22" t="s">
        <v>8</v>
      </c>
      <c r="B14737" s="18" t="str">
        <f>"675493"</f>
        <v>675493</v>
      </c>
      <c r="C14737" s="19" t="s">
        <v>7717</v>
      </c>
      <c r="D14737" s="19" t="s">
        <v>30127</v>
      </c>
      <c r="E14737" s="19" t="s">
        <v>33493</v>
      </c>
      <c r="F14737" s="19" t="s">
        <v>36018</v>
      </c>
      <c r="G14737" s="33" t="str">
        <f>"77009"</f>
        <v>77009</v>
      </c>
      <c r="H14737" s="34" t="s">
        <v>34183</v>
      </c>
      <c r="I14737" s="35">
        <v>18.204999999999998</v>
      </c>
      <c r="J14737" s="47" t="s">
        <v>8</v>
      </c>
      <c r="K14737" s="23" t="s">
        <v>8</v>
      </c>
      <c r="L14737" s="23" t="s">
        <v>8</v>
      </c>
      <c r="M14737" s="23" t="s">
        <v>8</v>
      </c>
    </row>
    <row r="14738" spans="1:13" s="21" customFormat="1" x14ac:dyDescent="0.25">
      <c r="A14738" s="22" t="s">
        <v>8</v>
      </c>
      <c r="B14738" s="18" t="str">
        <f>"675494"</f>
        <v>675494</v>
      </c>
      <c r="C14738" s="19" t="s">
        <v>14460</v>
      </c>
      <c r="D14738" s="19" t="s">
        <v>30128</v>
      </c>
      <c r="E14738" s="19" t="s">
        <v>34530</v>
      </c>
      <c r="F14738" s="19" t="s">
        <v>36018</v>
      </c>
      <c r="G14738" s="33" t="str">
        <f>"78363"</f>
        <v>78363</v>
      </c>
      <c r="H14738" s="34" t="s">
        <v>36962</v>
      </c>
      <c r="I14738" s="35">
        <v>18.995999999999999</v>
      </c>
      <c r="J14738" s="47" t="s">
        <v>8</v>
      </c>
      <c r="K14738" s="23" t="s">
        <v>8</v>
      </c>
      <c r="L14738" s="23" t="s">
        <v>8</v>
      </c>
      <c r="M14738" s="23" t="s">
        <v>8</v>
      </c>
    </row>
    <row r="14739" spans="1:13" s="21" customFormat="1" x14ac:dyDescent="0.25">
      <c r="A14739" s="22" t="s">
        <v>8</v>
      </c>
      <c r="B14739" s="18" t="str">
        <f>"675495"</f>
        <v>675495</v>
      </c>
      <c r="C14739" s="19" t="s">
        <v>14461</v>
      </c>
      <c r="D14739" s="19" t="s">
        <v>30129</v>
      </c>
      <c r="E14739" s="19" t="s">
        <v>35865</v>
      </c>
      <c r="F14739" s="19" t="s">
        <v>36018</v>
      </c>
      <c r="G14739" s="33" t="str">
        <f>"77511"</f>
        <v>77511</v>
      </c>
      <c r="H14739" s="34" t="s">
        <v>36808</v>
      </c>
      <c r="I14739" s="35">
        <v>17.738</v>
      </c>
      <c r="J14739" s="47" t="s">
        <v>8</v>
      </c>
      <c r="K14739" s="23" t="s">
        <v>8</v>
      </c>
      <c r="L14739" s="23" t="s">
        <v>8</v>
      </c>
      <c r="M14739" s="23" t="s">
        <v>8</v>
      </c>
    </row>
    <row r="14740" spans="1:13" s="21" customFormat="1" x14ac:dyDescent="0.25">
      <c r="A14740" s="22" t="s">
        <v>8</v>
      </c>
      <c r="B14740" s="18" t="str">
        <f>"675496"</f>
        <v>675496</v>
      </c>
      <c r="C14740" s="19" t="s">
        <v>14462</v>
      </c>
      <c r="D14740" s="19" t="s">
        <v>30130</v>
      </c>
      <c r="E14740" s="19" t="s">
        <v>35866</v>
      </c>
      <c r="F14740" s="19" t="s">
        <v>36018</v>
      </c>
      <c r="G14740" s="33" t="str">
        <f>"79364"</f>
        <v>79364</v>
      </c>
      <c r="H14740" s="34" t="s">
        <v>35310</v>
      </c>
      <c r="I14740" s="35">
        <v>19.983000000000001</v>
      </c>
      <c r="J14740" s="47" t="s">
        <v>8</v>
      </c>
      <c r="K14740" s="23" t="s">
        <v>8</v>
      </c>
      <c r="L14740" s="23" t="s">
        <v>8</v>
      </c>
      <c r="M14740" s="23" t="s">
        <v>8</v>
      </c>
    </row>
    <row r="14741" spans="1:13" s="21" customFormat="1" x14ac:dyDescent="0.25">
      <c r="A14741" s="22" t="s">
        <v>8</v>
      </c>
      <c r="B14741" s="18" t="str">
        <f>"675497"</f>
        <v>675497</v>
      </c>
      <c r="C14741" s="19" t="s">
        <v>14463</v>
      </c>
      <c r="D14741" s="19" t="s">
        <v>30131</v>
      </c>
      <c r="E14741" s="19" t="s">
        <v>35304</v>
      </c>
      <c r="F14741" s="19" t="s">
        <v>36018</v>
      </c>
      <c r="G14741" s="33" t="str">
        <f>"76301"</f>
        <v>76301</v>
      </c>
      <c r="H14741" s="34" t="s">
        <v>32555</v>
      </c>
      <c r="I14741" s="35">
        <v>18.356000000000002</v>
      </c>
      <c r="J14741" s="47" t="s">
        <v>8</v>
      </c>
      <c r="K14741" s="23" t="s">
        <v>8</v>
      </c>
      <c r="L14741" s="23" t="s">
        <v>8</v>
      </c>
      <c r="M14741" s="23" t="s">
        <v>8</v>
      </c>
    </row>
    <row r="14742" spans="1:13" s="21" customFormat="1" x14ac:dyDescent="0.25">
      <c r="A14742" s="22" t="s">
        <v>8</v>
      </c>
      <c r="B14742" s="18" t="str">
        <f>"675498"</f>
        <v>675498</v>
      </c>
      <c r="C14742" s="19" t="s">
        <v>14464</v>
      </c>
      <c r="D14742" s="19" t="s">
        <v>30132</v>
      </c>
      <c r="E14742" s="19" t="s">
        <v>35247</v>
      </c>
      <c r="F14742" s="19" t="s">
        <v>36018</v>
      </c>
      <c r="G14742" s="33" t="str">
        <f>"79119"</f>
        <v>79119</v>
      </c>
      <c r="H14742" s="34" t="s">
        <v>36963</v>
      </c>
      <c r="I14742" s="35">
        <v>19.061</v>
      </c>
      <c r="J14742" s="47" t="s">
        <v>8</v>
      </c>
      <c r="K14742" s="23" t="s">
        <v>8</v>
      </c>
      <c r="L14742" s="23" t="s">
        <v>8</v>
      </c>
      <c r="M14742" s="23" t="s">
        <v>8</v>
      </c>
    </row>
    <row r="14743" spans="1:13" s="21" customFormat="1" x14ac:dyDescent="0.25">
      <c r="A14743" s="22" t="s">
        <v>8</v>
      </c>
      <c r="B14743" s="18" t="str">
        <f>"675501"</f>
        <v>675501</v>
      </c>
      <c r="C14743" s="19" t="s">
        <v>14465</v>
      </c>
      <c r="D14743" s="19" t="s">
        <v>30133</v>
      </c>
      <c r="E14743" s="19" t="s">
        <v>35822</v>
      </c>
      <c r="F14743" s="19" t="s">
        <v>36018</v>
      </c>
      <c r="G14743" s="33" t="str">
        <f>"75110"</f>
        <v>75110</v>
      </c>
      <c r="H14743" s="34" t="s">
        <v>36955</v>
      </c>
      <c r="I14743" s="35">
        <v>15.178000000000001</v>
      </c>
      <c r="J14743" s="47" t="s">
        <v>8</v>
      </c>
      <c r="K14743" s="23" t="s">
        <v>8</v>
      </c>
      <c r="L14743" s="23" t="s">
        <v>8</v>
      </c>
      <c r="M14743" s="23" t="s">
        <v>8</v>
      </c>
    </row>
    <row r="14744" spans="1:13" s="21" customFormat="1" x14ac:dyDescent="0.25">
      <c r="A14744" s="22" t="s">
        <v>8</v>
      </c>
      <c r="B14744" s="18" t="str">
        <f>"675502"</f>
        <v>675502</v>
      </c>
      <c r="C14744" s="19" t="s">
        <v>14466</v>
      </c>
      <c r="D14744" s="19" t="s">
        <v>30134</v>
      </c>
      <c r="E14744" s="19" t="s">
        <v>31321</v>
      </c>
      <c r="F14744" s="19" t="s">
        <v>36018</v>
      </c>
      <c r="G14744" s="33" t="str">
        <f>"78064"</f>
        <v>78064</v>
      </c>
      <c r="H14744" s="34" t="s">
        <v>36791</v>
      </c>
      <c r="I14744" s="35">
        <v>18.2</v>
      </c>
      <c r="J14744" s="47" t="s">
        <v>8</v>
      </c>
      <c r="K14744" s="23" t="s">
        <v>8</v>
      </c>
      <c r="L14744" s="23" t="s">
        <v>8</v>
      </c>
      <c r="M14744" s="23" t="s">
        <v>8</v>
      </c>
    </row>
    <row r="14745" spans="1:13" s="21" customFormat="1" x14ac:dyDescent="0.25">
      <c r="A14745" s="22" t="s">
        <v>8</v>
      </c>
      <c r="B14745" s="18" t="str">
        <f>"675503"</f>
        <v>675503</v>
      </c>
      <c r="C14745" s="19" t="s">
        <v>3129</v>
      </c>
      <c r="D14745" s="19" t="s">
        <v>30135</v>
      </c>
      <c r="E14745" s="19" t="s">
        <v>32396</v>
      </c>
      <c r="F14745" s="19" t="s">
        <v>36018</v>
      </c>
      <c r="G14745" s="33" t="str">
        <f>"75020"</f>
        <v>75020</v>
      </c>
      <c r="H14745" s="34" t="s">
        <v>32731</v>
      </c>
      <c r="I14745" s="35">
        <v>20.003</v>
      </c>
      <c r="J14745" s="47" t="s">
        <v>8</v>
      </c>
      <c r="K14745" s="23" t="s">
        <v>8</v>
      </c>
      <c r="L14745" s="23" t="s">
        <v>8</v>
      </c>
      <c r="M14745" s="23" t="s">
        <v>8</v>
      </c>
    </row>
    <row r="14746" spans="1:13" s="21" customFormat="1" x14ac:dyDescent="0.25">
      <c r="A14746" s="22" t="s">
        <v>8</v>
      </c>
      <c r="B14746" s="18" t="str">
        <f>"675506"</f>
        <v>675506</v>
      </c>
      <c r="C14746" s="19" t="s">
        <v>14467</v>
      </c>
      <c r="D14746" s="19" t="s">
        <v>30136</v>
      </c>
      <c r="E14746" s="19" t="s">
        <v>35273</v>
      </c>
      <c r="F14746" s="19" t="s">
        <v>36018</v>
      </c>
      <c r="G14746" s="33" t="str">
        <f>"78028"</f>
        <v>78028</v>
      </c>
      <c r="H14746" s="34" t="s">
        <v>36819</v>
      </c>
      <c r="I14746" s="35">
        <v>17.815000000000001</v>
      </c>
      <c r="J14746" s="47" t="s">
        <v>8</v>
      </c>
      <c r="K14746" s="23" t="s">
        <v>8</v>
      </c>
      <c r="L14746" s="23" t="s">
        <v>8</v>
      </c>
      <c r="M14746" s="23" t="s">
        <v>8</v>
      </c>
    </row>
    <row r="14747" spans="1:13" s="21" customFormat="1" x14ac:dyDescent="0.25">
      <c r="A14747" s="22" t="s">
        <v>8</v>
      </c>
      <c r="B14747" s="18" t="str">
        <f>"675509"</f>
        <v>675509</v>
      </c>
      <c r="C14747" s="19" t="s">
        <v>14468</v>
      </c>
      <c r="D14747" s="19" t="s">
        <v>30137</v>
      </c>
      <c r="E14747" s="19" t="s">
        <v>35244</v>
      </c>
      <c r="F14747" s="19" t="s">
        <v>36018</v>
      </c>
      <c r="G14747" s="33" t="str">
        <f>"78209"</f>
        <v>78209</v>
      </c>
      <c r="H14747" s="34" t="s">
        <v>36805</v>
      </c>
      <c r="I14747" s="35">
        <v>15.861000000000001</v>
      </c>
      <c r="J14747" s="47" t="s">
        <v>8</v>
      </c>
      <c r="K14747" s="23" t="s">
        <v>8</v>
      </c>
      <c r="L14747" s="23" t="s">
        <v>8</v>
      </c>
      <c r="M14747" s="23" t="s">
        <v>8</v>
      </c>
    </row>
    <row r="14748" spans="1:13" s="21" customFormat="1" x14ac:dyDescent="0.25">
      <c r="A14748" s="22" t="s">
        <v>8</v>
      </c>
      <c r="B14748" s="18" t="str">
        <f>"675513"</f>
        <v>675513</v>
      </c>
      <c r="C14748" s="19" t="s">
        <v>14469</v>
      </c>
      <c r="D14748" s="19" t="s">
        <v>30138</v>
      </c>
      <c r="E14748" s="19" t="s">
        <v>30853</v>
      </c>
      <c r="F14748" s="19" t="s">
        <v>36018</v>
      </c>
      <c r="G14748" s="33" t="str">
        <f>"76234"</f>
        <v>76234</v>
      </c>
      <c r="H14748" s="34" t="s">
        <v>35421</v>
      </c>
      <c r="I14748" s="35">
        <v>17.847000000000001</v>
      </c>
      <c r="J14748" s="47" t="s">
        <v>8</v>
      </c>
      <c r="K14748" s="23" t="s">
        <v>8</v>
      </c>
      <c r="L14748" s="23" t="s">
        <v>8</v>
      </c>
      <c r="M14748" s="23" t="s">
        <v>8</v>
      </c>
    </row>
    <row r="14749" spans="1:13" s="21" customFormat="1" x14ac:dyDescent="0.25">
      <c r="A14749" s="22" t="s">
        <v>8</v>
      </c>
      <c r="B14749" s="18" t="str">
        <f>"675518"</f>
        <v>675518</v>
      </c>
      <c r="C14749" s="19" t="s">
        <v>14470</v>
      </c>
      <c r="D14749" s="19" t="s">
        <v>30139</v>
      </c>
      <c r="E14749" s="19" t="s">
        <v>31905</v>
      </c>
      <c r="F14749" s="19" t="s">
        <v>36018</v>
      </c>
      <c r="G14749" s="33" t="str">
        <f>"76665"</f>
        <v>76665</v>
      </c>
      <c r="H14749" s="34" t="s">
        <v>36785</v>
      </c>
      <c r="I14749" s="35">
        <v>18.244</v>
      </c>
      <c r="J14749" s="47" t="s">
        <v>8</v>
      </c>
      <c r="K14749" s="23" t="s">
        <v>8</v>
      </c>
      <c r="L14749" s="23" t="s">
        <v>8</v>
      </c>
      <c r="M14749" s="23" t="s">
        <v>8</v>
      </c>
    </row>
    <row r="14750" spans="1:13" s="21" customFormat="1" x14ac:dyDescent="0.25">
      <c r="A14750" s="22" t="s">
        <v>8</v>
      </c>
      <c r="B14750" s="18" t="str">
        <f>"675519"</f>
        <v>675519</v>
      </c>
      <c r="C14750" s="19" t="s">
        <v>14471</v>
      </c>
      <c r="D14750" s="19" t="s">
        <v>30140</v>
      </c>
      <c r="E14750" s="19" t="s">
        <v>35277</v>
      </c>
      <c r="F14750" s="19" t="s">
        <v>36018</v>
      </c>
      <c r="G14750" s="33" t="str">
        <f>"75904"</f>
        <v>75904</v>
      </c>
      <c r="H14750" s="34" t="s">
        <v>36820</v>
      </c>
      <c r="I14750" s="35">
        <v>19.756</v>
      </c>
      <c r="J14750" s="47" t="s">
        <v>8</v>
      </c>
      <c r="K14750" s="23" t="s">
        <v>8</v>
      </c>
      <c r="L14750" s="23" t="s">
        <v>8</v>
      </c>
      <c r="M14750" s="23" t="s">
        <v>8</v>
      </c>
    </row>
    <row r="14751" spans="1:13" s="21" customFormat="1" x14ac:dyDescent="0.25">
      <c r="A14751" s="22" t="s">
        <v>8</v>
      </c>
      <c r="B14751" s="18" t="str">
        <f>"675522"</f>
        <v>675522</v>
      </c>
      <c r="C14751" s="19" t="s">
        <v>14472</v>
      </c>
      <c r="D14751" s="19" t="s">
        <v>30141</v>
      </c>
      <c r="E14751" s="19" t="s">
        <v>35867</v>
      </c>
      <c r="F14751" s="19" t="s">
        <v>36018</v>
      </c>
      <c r="G14751" s="33" t="str">
        <f>"79756"</f>
        <v>79756</v>
      </c>
      <c r="H14751" s="34" t="s">
        <v>36655</v>
      </c>
      <c r="I14751" s="35">
        <v>17.533999999999999</v>
      </c>
      <c r="J14751" s="47" t="s">
        <v>8</v>
      </c>
      <c r="K14751" s="23" t="s">
        <v>8</v>
      </c>
      <c r="L14751" s="23" t="s">
        <v>8</v>
      </c>
      <c r="M14751" s="23" t="s">
        <v>8</v>
      </c>
    </row>
    <row r="14752" spans="1:13" s="21" customFormat="1" x14ac:dyDescent="0.25">
      <c r="A14752" s="22" t="s">
        <v>8</v>
      </c>
      <c r="B14752" s="18" t="str">
        <f>"675525"</f>
        <v>675525</v>
      </c>
      <c r="C14752" s="19" t="s">
        <v>14473</v>
      </c>
      <c r="D14752" s="19" t="s">
        <v>30142</v>
      </c>
      <c r="E14752" s="19" t="s">
        <v>32168</v>
      </c>
      <c r="F14752" s="19" t="s">
        <v>36018</v>
      </c>
      <c r="G14752" s="33" t="str">
        <f>"76634"</f>
        <v>76634</v>
      </c>
      <c r="H14752" s="34" t="s">
        <v>36785</v>
      </c>
      <c r="I14752" s="35">
        <v>19.802</v>
      </c>
      <c r="J14752" s="47" t="s">
        <v>8</v>
      </c>
      <c r="K14752" s="23" t="s">
        <v>8</v>
      </c>
      <c r="L14752" s="23" t="s">
        <v>8</v>
      </c>
      <c r="M14752" s="23" t="s">
        <v>8</v>
      </c>
    </row>
    <row r="14753" spans="1:13" s="21" customFormat="1" x14ac:dyDescent="0.25">
      <c r="A14753" s="22" t="s">
        <v>8</v>
      </c>
      <c r="B14753" s="18" t="str">
        <f>"675527"</f>
        <v>675527</v>
      </c>
      <c r="C14753" s="19" t="s">
        <v>14474</v>
      </c>
      <c r="D14753" s="19" t="s">
        <v>30143</v>
      </c>
      <c r="E14753" s="19" t="s">
        <v>35310</v>
      </c>
      <c r="F14753" s="19" t="s">
        <v>36018</v>
      </c>
      <c r="G14753" s="33" t="str">
        <f>"79416"</f>
        <v>79416</v>
      </c>
      <c r="H14753" s="34" t="s">
        <v>35310</v>
      </c>
      <c r="I14753" s="35">
        <v>18.928000000000001</v>
      </c>
      <c r="J14753" s="47" t="s">
        <v>8</v>
      </c>
      <c r="K14753" s="23" t="s">
        <v>8</v>
      </c>
      <c r="L14753" s="23" t="s">
        <v>8</v>
      </c>
      <c r="M14753" s="23" t="s">
        <v>8</v>
      </c>
    </row>
    <row r="14754" spans="1:13" s="21" customFormat="1" x14ac:dyDescent="0.25">
      <c r="A14754" s="22" t="s">
        <v>8</v>
      </c>
      <c r="B14754" s="18" t="str">
        <f>"675532"</f>
        <v>675532</v>
      </c>
      <c r="C14754" s="19" t="s">
        <v>14475</v>
      </c>
      <c r="D14754" s="19" t="s">
        <v>30144</v>
      </c>
      <c r="E14754" s="19" t="s">
        <v>35222</v>
      </c>
      <c r="F14754" s="19" t="s">
        <v>36018</v>
      </c>
      <c r="G14754" s="33" t="str">
        <f>"78801"</f>
        <v>78801</v>
      </c>
      <c r="H14754" s="34" t="s">
        <v>35222</v>
      </c>
      <c r="I14754" s="35">
        <v>17.282</v>
      </c>
      <c r="J14754" s="47" t="s">
        <v>8</v>
      </c>
      <c r="K14754" s="23" t="s">
        <v>8</v>
      </c>
      <c r="L14754" s="23" t="s">
        <v>8</v>
      </c>
      <c r="M14754" s="23" t="s">
        <v>8</v>
      </c>
    </row>
    <row r="14755" spans="1:13" s="21" customFormat="1" x14ac:dyDescent="0.25">
      <c r="A14755" s="22" t="s">
        <v>8</v>
      </c>
      <c r="B14755" s="18" t="str">
        <f>"675533"</f>
        <v>675533</v>
      </c>
      <c r="C14755" s="19" t="s">
        <v>14476</v>
      </c>
      <c r="D14755" s="19" t="s">
        <v>30145</v>
      </c>
      <c r="E14755" s="19" t="s">
        <v>33383</v>
      </c>
      <c r="F14755" s="19" t="s">
        <v>36018</v>
      </c>
      <c r="G14755" s="33" t="str">
        <f>"78759"</f>
        <v>78759</v>
      </c>
      <c r="H14755" s="34" t="s">
        <v>36817</v>
      </c>
      <c r="I14755" s="35">
        <v>16.047000000000001</v>
      </c>
      <c r="J14755" s="47" t="s">
        <v>8</v>
      </c>
      <c r="K14755" s="23" t="s">
        <v>8</v>
      </c>
      <c r="L14755" s="23" t="s">
        <v>8</v>
      </c>
      <c r="M14755" s="23" t="s">
        <v>8</v>
      </c>
    </row>
    <row r="14756" spans="1:13" s="21" customFormat="1" x14ac:dyDescent="0.25">
      <c r="A14756" s="22" t="s">
        <v>8</v>
      </c>
      <c r="B14756" s="18" t="str">
        <f>"675534"</f>
        <v>675534</v>
      </c>
      <c r="C14756" s="19" t="s">
        <v>14477</v>
      </c>
      <c r="D14756" s="19" t="s">
        <v>30146</v>
      </c>
      <c r="E14756" s="19" t="s">
        <v>34776</v>
      </c>
      <c r="F14756" s="19" t="s">
        <v>36018</v>
      </c>
      <c r="G14756" s="33" t="str">
        <f>"79096"</f>
        <v>79096</v>
      </c>
      <c r="H14756" s="34" t="s">
        <v>34776</v>
      </c>
      <c r="I14756" s="35">
        <v>20.058</v>
      </c>
      <c r="J14756" s="47" t="s">
        <v>8</v>
      </c>
      <c r="K14756" s="23" t="s">
        <v>8</v>
      </c>
      <c r="L14756" s="23" t="s">
        <v>8</v>
      </c>
      <c r="M14756" s="23" t="s">
        <v>8</v>
      </c>
    </row>
    <row r="14757" spans="1:13" s="21" customFormat="1" x14ac:dyDescent="0.25">
      <c r="A14757" s="22" t="s">
        <v>8</v>
      </c>
      <c r="B14757" s="18" t="str">
        <f>"675536"</f>
        <v>675536</v>
      </c>
      <c r="C14757" s="19" t="s">
        <v>14478</v>
      </c>
      <c r="D14757" s="19" t="s">
        <v>30147</v>
      </c>
      <c r="E14757" s="19" t="s">
        <v>35256</v>
      </c>
      <c r="F14757" s="19" t="s">
        <v>36018</v>
      </c>
      <c r="G14757" s="33" t="str">
        <f>"76522"</f>
        <v>76522</v>
      </c>
      <c r="H14757" s="34" t="s">
        <v>36810</v>
      </c>
      <c r="I14757" s="35">
        <v>20.027999999999999</v>
      </c>
      <c r="J14757" s="47" t="s">
        <v>8</v>
      </c>
      <c r="K14757" s="23" t="s">
        <v>8</v>
      </c>
      <c r="L14757" s="23" t="s">
        <v>8</v>
      </c>
      <c r="M14757" s="23" t="s">
        <v>8</v>
      </c>
    </row>
    <row r="14758" spans="1:13" s="21" customFormat="1" x14ac:dyDescent="0.25">
      <c r="A14758" s="22" t="s">
        <v>8</v>
      </c>
      <c r="B14758" s="18" t="str">
        <f>"675537"</f>
        <v>675537</v>
      </c>
      <c r="C14758" s="19" t="s">
        <v>14479</v>
      </c>
      <c r="D14758" s="19" t="s">
        <v>30148</v>
      </c>
      <c r="E14758" s="19" t="s">
        <v>35297</v>
      </c>
      <c r="F14758" s="19" t="s">
        <v>36018</v>
      </c>
      <c r="G14758" s="33" t="str">
        <f>"76801"</f>
        <v>76801</v>
      </c>
      <c r="H14758" s="34" t="s">
        <v>36244</v>
      </c>
      <c r="I14758" s="35">
        <v>17.640999999999998</v>
      </c>
      <c r="J14758" s="47" t="s">
        <v>8</v>
      </c>
      <c r="K14758" s="23" t="s">
        <v>8</v>
      </c>
      <c r="L14758" s="23" t="s">
        <v>8</v>
      </c>
      <c r="M14758" s="23" t="s">
        <v>8</v>
      </c>
    </row>
    <row r="14759" spans="1:13" s="21" customFormat="1" x14ac:dyDescent="0.25">
      <c r="A14759" s="22" t="s">
        <v>8</v>
      </c>
      <c r="B14759" s="18" t="str">
        <f>"675538"</f>
        <v>675538</v>
      </c>
      <c r="C14759" s="19" t="s">
        <v>14480</v>
      </c>
      <c r="D14759" s="19" t="s">
        <v>30149</v>
      </c>
      <c r="E14759" s="19" t="s">
        <v>35868</v>
      </c>
      <c r="F14759" s="19" t="s">
        <v>36018</v>
      </c>
      <c r="G14759" s="33" t="str">
        <f>"77478"</f>
        <v>77478</v>
      </c>
      <c r="H14759" s="34" t="s">
        <v>36826</v>
      </c>
      <c r="I14759" s="35">
        <v>20.312999999999999</v>
      </c>
      <c r="J14759" s="47" t="s">
        <v>8</v>
      </c>
      <c r="K14759" s="23" t="s">
        <v>8</v>
      </c>
      <c r="L14759" s="23" t="s">
        <v>8</v>
      </c>
      <c r="M14759" s="23" t="s">
        <v>8</v>
      </c>
    </row>
    <row r="14760" spans="1:13" s="21" customFormat="1" x14ac:dyDescent="0.25">
      <c r="A14760" s="22" t="s">
        <v>8</v>
      </c>
      <c r="B14760" s="18" t="str">
        <f>"675539"</f>
        <v>675539</v>
      </c>
      <c r="C14760" s="19" t="s">
        <v>14481</v>
      </c>
      <c r="D14760" s="19" t="s">
        <v>30150</v>
      </c>
      <c r="E14760" s="19" t="s">
        <v>33740</v>
      </c>
      <c r="F14760" s="19" t="s">
        <v>36018</v>
      </c>
      <c r="G14760" s="33" t="str">
        <f>"77351"</f>
        <v>77351</v>
      </c>
      <c r="H14760" s="34" t="s">
        <v>36062</v>
      </c>
      <c r="I14760" s="35">
        <v>17.91</v>
      </c>
      <c r="J14760" s="47" t="s">
        <v>8</v>
      </c>
      <c r="K14760" s="23" t="s">
        <v>8</v>
      </c>
      <c r="L14760" s="23" t="s">
        <v>8</v>
      </c>
      <c r="M14760" s="23" t="s">
        <v>8</v>
      </c>
    </row>
    <row r="14761" spans="1:13" s="21" customFormat="1" x14ac:dyDescent="0.25">
      <c r="A14761" s="22" t="s">
        <v>8</v>
      </c>
      <c r="B14761" s="18" t="str">
        <f>"675540"</f>
        <v>675540</v>
      </c>
      <c r="C14761" s="19" t="s">
        <v>14482</v>
      </c>
      <c r="D14761" s="19" t="s">
        <v>30151</v>
      </c>
      <c r="E14761" s="19" t="s">
        <v>32284</v>
      </c>
      <c r="F14761" s="19" t="s">
        <v>36018</v>
      </c>
      <c r="G14761" s="33" t="str">
        <f>"77575"</f>
        <v>77575</v>
      </c>
      <c r="H14761" s="34" t="s">
        <v>32284</v>
      </c>
      <c r="I14761" s="35">
        <v>20.207000000000001</v>
      </c>
      <c r="J14761" s="47" t="s">
        <v>8</v>
      </c>
      <c r="K14761" s="23" t="s">
        <v>8</v>
      </c>
      <c r="L14761" s="23" t="s">
        <v>8</v>
      </c>
      <c r="M14761" s="23" t="s">
        <v>8</v>
      </c>
    </row>
    <row r="14762" spans="1:13" s="21" customFormat="1" x14ac:dyDescent="0.25">
      <c r="A14762" s="22" t="s">
        <v>8</v>
      </c>
      <c r="B14762" s="18" t="str">
        <f>"675541"</f>
        <v>675541</v>
      </c>
      <c r="C14762" s="19" t="s">
        <v>14483</v>
      </c>
      <c r="D14762" s="19" t="s">
        <v>30152</v>
      </c>
      <c r="E14762" s="19" t="s">
        <v>35814</v>
      </c>
      <c r="F14762" s="19" t="s">
        <v>36018</v>
      </c>
      <c r="G14762" s="33" t="str">
        <f>"77642"</f>
        <v>77642</v>
      </c>
      <c r="H14762" s="34" t="s">
        <v>32391</v>
      </c>
      <c r="I14762" s="35">
        <v>17.423999999999999</v>
      </c>
      <c r="J14762" s="47" t="s">
        <v>8</v>
      </c>
      <c r="K14762" s="23" t="s">
        <v>8</v>
      </c>
      <c r="L14762" s="23" t="s">
        <v>8</v>
      </c>
      <c r="M14762" s="23" t="s">
        <v>8</v>
      </c>
    </row>
    <row r="14763" spans="1:13" s="21" customFormat="1" x14ac:dyDescent="0.25">
      <c r="A14763" s="22" t="s">
        <v>8</v>
      </c>
      <c r="B14763" s="18" t="str">
        <f>"675542"</f>
        <v>675542</v>
      </c>
      <c r="C14763" s="19" t="s">
        <v>14484</v>
      </c>
      <c r="D14763" s="19" t="s">
        <v>30153</v>
      </c>
      <c r="E14763" s="19" t="s">
        <v>35244</v>
      </c>
      <c r="F14763" s="19" t="s">
        <v>36018</v>
      </c>
      <c r="G14763" s="33" t="str">
        <f>"78209"</f>
        <v>78209</v>
      </c>
      <c r="H14763" s="34" t="s">
        <v>36805</v>
      </c>
      <c r="I14763" s="35">
        <v>18.282</v>
      </c>
      <c r="J14763" s="47" t="s">
        <v>8</v>
      </c>
      <c r="K14763" s="23" t="s">
        <v>8</v>
      </c>
      <c r="L14763" s="23" t="s">
        <v>8</v>
      </c>
      <c r="M14763" s="23" t="s">
        <v>8</v>
      </c>
    </row>
    <row r="14764" spans="1:13" s="21" customFormat="1" x14ac:dyDescent="0.25">
      <c r="A14764" s="22" t="s">
        <v>8</v>
      </c>
      <c r="B14764" s="18" t="str">
        <f>"675543"</f>
        <v>675543</v>
      </c>
      <c r="C14764" s="19" t="s">
        <v>14485</v>
      </c>
      <c r="D14764" s="19" t="s">
        <v>30154</v>
      </c>
      <c r="E14764" s="19" t="s">
        <v>33493</v>
      </c>
      <c r="F14764" s="19" t="s">
        <v>36018</v>
      </c>
      <c r="G14764" s="33" t="str">
        <f>"77018"</f>
        <v>77018</v>
      </c>
      <c r="H14764" s="34" t="s">
        <v>34183</v>
      </c>
      <c r="I14764" s="35">
        <v>18.193999999999999</v>
      </c>
      <c r="J14764" s="47" t="s">
        <v>8</v>
      </c>
      <c r="K14764" s="23" t="s">
        <v>8</v>
      </c>
      <c r="L14764" s="23" t="s">
        <v>8</v>
      </c>
      <c r="M14764" s="23" t="s">
        <v>8</v>
      </c>
    </row>
    <row r="14765" spans="1:13" s="21" customFormat="1" x14ac:dyDescent="0.25">
      <c r="A14765" s="22" t="s">
        <v>8</v>
      </c>
      <c r="B14765" s="18" t="str">
        <f>"675546"</f>
        <v>675546</v>
      </c>
      <c r="C14765" s="19" t="s">
        <v>6652</v>
      </c>
      <c r="D14765" s="19" t="s">
        <v>30155</v>
      </c>
      <c r="E14765" s="19" t="s">
        <v>35292</v>
      </c>
      <c r="F14765" s="19" t="s">
        <v>36018</v>
      </c>
      <c r="G14765" s="33" t="str">
        <f>"78664"</f>
        <v>78664</v>
      </c>
      <c r="H14765" s="34" t="s">
        <v>35514</v>
      </c>
      <c r="I14765" s="35">
        <v>18.600999999999999</v>
      </c>
      <c r="J14765" s="47" t="s">
        <v>8</v>
      </c>
      <c r="K14765" s="23" t="s">
        <v>8</v>
      </c>
      <c r="L14765" s="23" t="s">
        <v>8</v>
      </c>
      <c r="M14765" s="23" t="s">
        <v>8</v>
      </c>
    </row>
    <row r="14766" spans="1:13" s="21" customFormat="1" x14ac:dyDescent="0.25">
      <c r="A14766" s="22" t="s">
        <v>8</v>
      </c>
      <c r="B14766" s="18" t="str">
        <f>"675550"</f>
        <v>675550</v>
      </c>
      <c r="C14766" s="19" t="s">
        <v>14486</v>
      </c>
      <c r="D14766" s="19" t="s">
        <v>30156</v>
      </c>
      <c r="E14766" s="19" t="s">
        <v>31537</v>
      </c>
      <c r="F14766" s="19" t="s">
        <v>36018</v>
      </c>
      <c r="G14766" s="33" t="str">
        <f>"76240"</f>
        <v>76240</v>
      </c>
      <c r="H14766" s="34" t="s">
        <v>36788</v>
      </c>
      <c r="I14766" s="35">
        <v>19.795999999999999</v>
      </c>
      <c r="J14766" s="47" t="s">
        <v>8</v>
      </c>
      <c r="K14766" s="23" t="s">
        <v>8</v>
      </c>
      <c r="L14766" s="23" t="s">
        <v>8</v>
      </c>
      <c r="M14766" s="23" t="s">
        <v>8</v>
      </c>
    </row>
    <row r="14767" spans="1:13" s="21" customFormat="1" x14ac:dyDescent="0.25">
      <c r="A14767" s="22" t="s">
        <v>8</v>
      </c>
      <c r="B14767" s="18" t="str">
        <f>"675553"</f>
        <v>675553</v>
      </c>
      <c r="C14767" s="19" t="s">
        <v>14487</v>
      </c>
      <c r="D14767" s="19" t="s">
        <v>30157</v>
      </c>
      <c r="E14767" s="19" t="s">
        <v>31790</v>
      </c>
      <c r="F14767" s="19" t="s">
        <v>36018</v>
      </c>
      <c r="G14767" s="33" t="str">
        <f>"75783"</f>
        <v>75783</v>
      </c>
      <c r="H14767" s="34" t="s">
        <v>36673</v>
      </c>
      <c r="I14767" s="35">
        <v>20.352</v>
      </c>
      <c r="J14767" s="47" t="s">
        <v>8</v>
      </c>
      <c r="K14767" s="23" t="s">
        <v>8</v>
      </c>
      <c r="L14767" s="23" t="s">
        <v>8</v>
      </c>
      <c r="M14767" s="23" t="s">
        <v>8</v>
      </c>
    </row>
    <row r="14768" spans="1:13" s="21" customFormat="1" x14ac:dyDescent="0.25">
      <c r="A14768" s="22" t="s">
        <v>8</v>
      </c>
      <c r="B14768" s="18" t="str">
        <f>"675554"</f>
        <v>675554</v>
      </c>
      <c r="C14768" s="19" t="s">
        <v>14488</v>
      </c>
      <c r="D14768" s="19" t="s">
        <v>30158</v>
      </c>
      <c r="E14768" s="19" t="s">
        <v>35234</v>
      </c>
      <c r="F14768" s="19" t="s">
        <v>36018</v>
      </c>
      <c r="G14768" s="33" t="str">
        <f>"76255"</f>
        <v>76255</v>
      </c>
      <c r="H14768" s="34" t="s">
        <v>36796</v>
      </c>
      <c r="I14768" s="35">
        <v>20.238</v>
      </c>
      <c r="J14768" s="47" t="s">
        <v>8</v>
      </c>
      <c r="K14768" s="23" t="s">
        <v>8</v>
      </c>
      <c r="L14768" s="23" t="s">
        <v>8</v>
      </c>
      <c r="M14768" s="23" t="s">
        <v>8</v>
      </c>
    </row>
    <row r="14769" spans="1:13" s="21" customFormat="1" x14ac:dyDescent="0.25">
      <c r="A14769" s="22" t="s">
        <v>8</v>
      </c>
      <c r="B14769" s="18" t="str">
        <f>"675555"</f>
        <v>675555</v>
      </c>
      <c r="C14769" s="19" t="s">
        <v>14489</v>
      </c>
      <c r="D14769" s="19" t="s">
        <v>30159</v>
      </c>
      <c r="E14769" s="19" t="s">
        <v>33493</v>
      </c>
      <c r="F14769" s="19" t="s">
        <v>36018</v>
      </c>
      <c r="G14769" s="33" t="str">
        <f>"77004"</f>
        <v>77004</v>
      </c>
      <c r="H14769" s="34" t="s">
        <v>34183</v>
      </c>
      <c r="I14769" s="35">
        <v>19.091000000000001</v>
      </c>
      <c r="J14769" s="47" t="s">
        <v>8</v>
      </c>
      <c r="K14769" s="23" t="s">
        <v>8</v>
      </c>
      <c r="L14769" s="23" t="s">
        <v>8</v>
      </c>
      <c r="M14769" s="23" t="s">
        <v>8</v>
      </c>
    </row>
    <row r="14770" spans="1:13" s="21" customFormat="1" x14ac:dyDescent="0.25">
      <c r="A14770" s="22" t="s">
        <v>8</v>
      </c>
      <c r="B14770" s="18" t="str">
        <f>"675556"</f>
        <v>675556</v>
      </c>
      <c r="C14770" s="19" t="s">
        <v>14490</v>
      </c>
      <c r="D14770" s="19" t="s">
        <v>30160</v>
      </c>
      <c r="E14770" s="19" t="s">
        <v>35869</v>
      </c>
      <c r="F14770" s="19" t="s">
        <v>36018</v>
      </c>
      <c r="G14770" s="33" t="str">
        <f>"77515"</f>
        <v>77515</v>
      </c>
      <c r="H14770" s="34" t="s">
        <v>36808</v>
      </c>
      <c r="I14770" s="35">
        <v>19.437999999999999</v>
      </c>
      <c r="J14770" s="47" t="s">
        <v>8</v>
      </c>
      <c r="K14770" s="23" t="s">
        <v>8</v>
      </c>
      <c r="L14770" s="23" t="s">
        <v>8</v>
      </c>
      <c r="M14770" s="23" t="s">
        <v>8</v>
      </c>
    </row>
    <row r="14771" spans="1:13" s="21" customFormat="1" x14ac:dyDescent="0.25">
      <c r="A14771" s="22" t="s">
        <v>8</v>
      </c>
      <c r="B14771" s="18" t="str">
        <f>"675557"</f>
        <v>675557</v>
      </c>
      <c r="C14771" s="19" t="s">
        <v>14491</v>
      </c>
      <c r="D14771" s="19" t="s">
        <v>30161</v>
      </c>
      <c r="E14771" s="19" t="s">
        <v>35870</v>
      </c>
      <c r="F14771" s="19" t="s">
        <v>36018</v>
      </c>
      <c r="G14771" s="33" t="str">
        <f>"77581"</f>
        <v>77581</v>
      </c>
      <c r="H14771" s="34" t="s">
        <v>36808</v>
      </c>
      <c r="I14771" s="35">
        <v>18.998999999999999</v>
      </c>
      <c r="J14771" s="47" t="s">
        <v>8</v>
      </c>
      <c r="K14771" s="23" t="s">
        <v>8</v>
      </c>
      <c r="L14771" s="23" t="s">
        <v>8</v>
      </c>
      <c r="M14771" s="23" t="s">
        <v>8</v>
      </c>
    </row>
    <row r="14772" spans="1:13" s="21" customFormat="1" x14ac:dyDescent="0.25">
      <c r="A14772" s="22" t="s">
        <v>8</v>
      </c>
      <c r="B14772" s="18" t="str">
        <f>"675560"</f>
        <v>675560</v>
      </c>
      <c r="C14772" s="19" t="s">
        <v>14492</v>
      </c>
      <c r="D14772" s="19" t="s">
        <v>30162</v>
      </c>
      <c r="E14772" s="19" t="s">
        <v>35871</v>
      </c>
      <c r="F14772" s="19" t="s">
        <v>36018</v>
      </c>
      <c r="G14772" s="33" t="str">
        <f>"75057"</f>
        <v>75057</v>
      </c>
      <c r="H14772" s="34" t="s">
        <v>32938</v>
      </c>
      <c r="I14772" s="35">
        <v>17.677</v>
      </c>
      <c r="J14772" s="47" t="s">
        <v>8</v>
      </c>
      <c r="K14772" s="23" t="s">
        <v>8</v>
      </c>
      <c r="L14772" s="23" t="s">
        <v>8</v>
      </c>
      <c r="M14772" s="23" t="s">
        <v>8</v>
      </c>
    </row>
    <row r="14773" spans="1:13" s="21" customFormat="1" x14ac:dyDescent="0.25">
      <c r="A14773" s="22" t="s">
        <v>8</v>
      </c>
      <c r="B14773" s="18" t="str">
        <f>"675561"</f>
        <v>675561</v>
      </c>
      <c r="C14773" s="19" t="s">
        <v>14493</v>
      </c>
      <c r="D14773" s="19" t="s">
        <v>30163</v>
      </c>
      <c r="E14773" s="19" t="s">
        <v>31021</v>
      </c>
      <c r="F14773" s="19" t="s">
        <v>36018</v>
      </c>
      <c r="G14773" s="33" t="str">
        <f>"75501"</f>
        <v>75501</v>
      </c>
      <c r="H14773" s="34" t="s">
        <v>32980</v>
      </c>
      <c r="I14773" s="35">
        <v>19.609000000000002</v>
      </c>
      <c r="J14773" s="47" t="s">
        <v>8</v>
      </c>
      <c r="K14773" s="23" t="s">
        <v>8</v>
      </c>
      <c r="L14773" s="23" t="s">
        <v>8</v>
      </c>
      <c r="M14773" s="23" t="s">
        <v>8</v>
      </c>
    </row>
    <row r="14774" spans="1:13" s="21" customFormat="1" x14ac:dyDescent="0.25">
      <c r="A14774" s="22" t="s">
        <v>8</v>
      </c>
      <c r="B14774" s="18" t="str">
        <f>"675563"</f>
        <v>675563</v>
      </c>
      <c r="C14774" s="19" t="s">
        <v>14494</v>
      </c>
      <c r="D14774" s="19" t="s">
        <v>30164</v>
      </c>
      <c r="E14774" s="19" t="s">
        <v>35314</v>
      </c>
      <c r="F14774" s="19" t="s">
        <v>36018</v>
      </c>
      <c r="G14774" s="33" t="str">
        <f>"75771"</f>
        <v>75771</v>
      </c>
      <c r="H14774" s="34" t="s">
        <v>36304</v>
      </c>
      <c r="I14774" s="35">
        <v>22.033000000000001</v>
      </c>
      <c r="J14774" s="47" t="s">
        <v>8</v>
      </c>
      <c r="K14774" s="23" t="s">
        <v>8</v>
      </c>
      <c r="L14774" s="23" t="s">
        <v>8</v>
      </c>
      <c r="M14774" s="23" t="s">
        <v>8</v>
      </c>
    </row>
    <row r="14775" spans="1:13" s="21" customFormat="1" x14ac:dyDescent="0.25">
      <c r="A14775" s="22" t="s">
        <v>8</v>
      </c>
      <c r="B14775" s="18" t="str">
        <f>"675564"</f>
        <v>675564</v>
      </c>
      <c r="C14775" s="19" t="s">
        <v>14495</v>
      </c>
      <c r="D14775" s="19" t="s">
        <v>30165</v>
      </c>
      <c r="E14775" s="19" t="s">
        <v>35802</v>
      </c>
      <c r="F14775" s="19" t="s">
        <v>36018</v>
      </c>
      <c r="G14775" s="33" t="str">
        <f>"78942"</f>
        <v>78942</v>
      </c>
      <c r="H14775" s="34" t="s">
        <v>33138</v>
      </c>
      <c r="I14775" s="35">
        <v>18.178000000000001</v>
      </c>
      <c r="J14775" s="47" t="s">
        <v>8</v>
      </c>
      <c r="K14775" s="23" t="s">
        <v>8</v>
      </c>
      <c r="L14775" s="23" t="s">
        <v>8</v>
      </c>
      <c r="M14775" s="23" t="s">
        <v>8</v>
      </c>
    </row>
    <row r="14776" spans="1:13" s="21" customFormat="1" x14ac:dyDescent="0.25">
      <c r="A14776" s="22" t="s">
        <v>8</v>
      </c>
      <c r="B14776" s="18" t="str">
        <f>"675565"</f>
        <v>675565</v>
      </c>
      <c r="C14776" s="19" t="s">
        <v>14496</v>
      </c>
      <c r="D14776" s="19" t="s">
        <v>30166</v>
      </c>
      <c r="E14776" s="19" t="s">
        <v>32215</v>
      </c>
      <c r="F14776" s="19" t="s">
        <v>36018</v>
      </c>
      <c r="G14776" s="33" t="str">
        <f>"76022"</f>
        <v>76022</v>
      </c>
      <c r="H14776" s="34" t="s">
        <v>36806</v>
      </c>
      <c r="I14776" s="35">
        <v>15.367000000000001</v>
      </c>
      <c r="J14776" s="47" t="s">
        <v>8</v>
      </c>
      <c r="K14776" s="23" t="s">
        <v>8</v>
      </c>
      <c r="L14776" s="23" t="s">
        <v>8</v>
      </c>
      <c r="M14776" s="23" t="s">
        <v>8</v>
      </c>
    </row>
    <row r="14777" spans="1:13" s="21" customFormat="1" x14ac:dyDescent="0.25">
      <c r="A14777" s="22" t="s">
        <v>8</v>
      </c>
      <c r="B14777" s="18" t="str">
        <f>"675568"</f>
        <v>675568</v>
      </c>
      <c r="C14777" s="19" t="s">
        <v>14497</v>
      </c>
      <c r="D14777" s="19" t="s">
        <v>30167</v>
      </c>
      <c r="E14777" s="19" t="s">
        <v>31965</v>
      </c>
      <c r="F14777" s="19" t="s">
        <v>36018</v>
      </c>
      <c r="G14777" s="33" t="str">
        <f>"79907"</f>
        <v>79907</v>
      </c>
      <c r="H14777" s="34" t="s">
        <v>31965</v>
      </c>
      <c r="I14777" s="35">
        <v>19.483000000000001</v>
      </c>
      <c r="J14777" s="47" t="s">
        <v>8</v>
      </c>
      <c r="K14777" s="23" t="s">
        <v>8</v>
      </c>
      <c r="L14777" s="23" t="s">
        <v>8</v>
      </c>
      <c r="M14777" s="23" t="s">
        <v>8</v>
      </c>
    </row>
    <row r="14778" spans="1:13" s="21" customFormat="1" x14ac:dyDescent="0.25">
      <c r="A14778" s="22" t="s">
        <v>8</v>
      </c>
      <c r="B14778" s="18" t="str">
        <f>"675572"</f>
        <v>675572</v>
      </c>
      <c r="C14778" s="19" t="s">
        <v>14498</v>
      </c>
      <c r="D14778" s="19" t="s">
        <v>30168</v>
      </c>
      <c r="E14778" s="19" t="s">
        <v>35231</v>
      </c>
      <c r="F14778" s="19" t="s">
        <v>36018</v>
      </c>
      <c r="G14778" s="33" t="str">
        <f>"76043"</f>
        <v>76043</v>
      </c>
      <c r="H14778" s="34" t="s">
        <v>36795</v>
      </c>
      <c r="I14778" s="35">
        <v>17.044</v>
      </c>
      <c r="J14778" s="47" t="s">
        <v>8</v>
      </c>
      <c r="K14778" s="23" t="s">
        <v>8</v>
      </c>
      <c r="L14778" s="23" t="s">
        <v>8</v>
      </c>
      <c r="M14778" s="23" t="s">
        <v>8</v>
      </c>
    </row>
    <row r="14779" spans="1:13" s="21" customFormat="1" x14ac:dyDescent="0.25">
      <c r="A14779" s="22" t="s">
        <v>8</v>
      </c>
      <c r="B14779" s="18" t="str">
        <f>"675579"</f>
        <v>675579</v>
      </c>
      <c r="C14779" s="19" t="s">
        <v>14499</v>
      </c>
      <c r="D14779" s="19" t="s">
        <v>30169</v>
      </c>
      <c r="E14779" s="19" t="s">
        <v>35847</v>
      </c>
      <c r="F14779" s="19" t="s">
        <v>36018</v>
      </c>
      <c r="G14779" s="33" t="str">
        <f>"75087"</f>
        <v>75087</v>
      </c>
      <c r="H14779" s="34" t="s">
        <v>35847</v>
      </c>
      <c r="I14779" s="35">
        <v>18.378</v>
      </c>
      <c r="J14779" s="47" t="s">
        <v>8</v>
      </c>
      <c r="K14779" s="23" t="s">
        <v>8</v>
      </c>
      <c r="L14779" s="23" t="s">
        <v>8</v>
      </c>
      <c r="M14779" s="23" t="s">
        <v>8</v>
      </c>
    </row>
    <row r="14780" spans="1:13" s="21" customFormat="1" x14ac:dyDescent="0.25">
      <c r="A14780" s="22" t="s">
        <v>8</v>
      </c>
      <c r="B14780" s="18" t="str">
        <f>"675581"</f>
        <v>675581</v>
      </c>
      <c r="C14780" s="19" t="s">
        <v>14500</v>
      </c>
      <c r="D14780" s="19" t="s">
        <v>30170</v>
      </c>
      <c r="E14780" s="19" t="s">
        <v>35822</v>
      </c>
      <c r="F14780" s="19" t="s">
        <v>36018</v>
      </c>
      <c r="G14780" s="33" t="str">
        <f>"75110"</f>
        <v>75110</v>
      </c>
      <c r="H14780" s="34" t="s">
        <v>36955</v>
      </c>
      <c r="I14780" s="35">
        <v>17.013000000000002</v>
      </c>
      <c r="J14780" s="47" t="s">
        <v>8</v>
      </c>
      <c r="K14780" s="23" t="s">
        <v>8</v>
      </c>
      <c r="L14780" s="23" t="s">
        <v>8</v>
      </c>
      <c r="M14780" s="23" t="s">
        <v>8</v>
      </c>
    </row>
    <row r="14781" spans="1:13" s="21" customFormat="1" x14ac:dyDescent="0.25">
      <c r="A14781" s="22" t="s">
        <v>8</v>
      </c>
      <c r="B14781" s="18" t="str">
        <f>"675587"</f>
        <v>675587</v>
      </c>
      <c r="C14781" s="19" t="s">
        <v>14501</v>
      </c>
      <c r="D14781" s="19" t="s">
        <v>30171</v>
      </c>
      <c r="E14781" s="19" t="s">
        <v>34717</v>
      </c>
      <c r="F14781" s="19" t="s">
        <v>36018</v>
      </c>
      <c r="G14781" s="33" t="str">
        <f>"76504"</f>
        <v>76504</v>
      </c>
      <c r="H14781" s="34" t="s">
        <v>31306</v>
      </c>
      <c r="I14781" s="35">
        <v>19.157</v>
      </c>
      <c r="J14781" s="47" t="s">
        <v>8</v>
      </c>
      <c r="K14781" s="23" t="s">
        <v>8</v>
      </c>
      <c r="L14781" s="23" t="s">
        <v>8</v>
      </c>
      <c r="M14781" s="23" t="s">
        <v>8</v>
      </c>
    </row>
    <row r="14782" spans="1:13" s="21" customFormat="1" x14ac:dyDescent="0.25">
      <c r="A14782" s="22" t="s">
        <v>8</v>
      </c>
      <c r="B14782" s="18" t="str">
        <f>"675590"</f>
        <v>675590</v>
      </c>
      <c r="C14782" s="19" t="s">
        <v>14502</v>
      </c>
      <c r="D14782" s="19" t="s">
        <v>30172</v>
      </c>
      <c r="E14782" s="19" t="s">
        <v>35872</v>
      </c>
      <c r="F14782" s="19" t="s">
        <v>36018</v>
      </c>
      <c r="G14782" s="33" t="str">
        <f>"76454"</f>
        <v>76454</v>
      </c>
      <c r="H14782" s="34" t="s">
        <v>35230</v>
      </c>
      <c r="I14782" s="35">
        <v>18.637</v>
      </c>
      <c r="J14782" s="47" t="s">
        <v>8</v>
      </c>
      <c r="K14782" s="23" t="s">
        <v>8</v>
      </c>
      <c r="L14782" s="23" t="s">
        <v>8</v>
      </c>
      <c r="M14782" s="23" t="s">
        <v>8</v>
      </c>
    </row>
    <row r="14783" spans="1:13" s="21" customFormat="1" x14ac:dyDescent="0.25">
      <c r="A14783" s="22" t="s">
        <v>8</v>
      </c>
      <c r="B14783" s="18" t="str">
        <f>"675592"</f>
        <v>675592</v>
      </c>
      <c r="C14783" s="19" t="s">
        <v>14503</v>
      </c>
      <c r="D14783" s="19" t="s">
        <v>30173</v>
      </c>
      <c r="E14783" s="19" t="s">
        <v>31723</v>
      </c>
      <c r="F14783" s="19" t="s">
        <v>36018</v>
      </c>
      <c r="G14783" s="33" t="str">
        <f>"75214"</f>
        <v>75214</v>
      </c>
      <c r="H14783" s="34" t="s">
        <v>31723</v>
      </c>
      <c r="I14783" s="35">
        <v>18.481999999999999</v>
      </c>
      <c r="J14783" s="47" t="s">
        <v>8</v>
      </c>
      <c r="K14783" s="23" t="s">
        <v>8</v>
      </c>
      <c r="L14783" s="23" t="s">
        <v>8</v>
      </c>
      <c r="M14783" s="23" t="s">
        <v>8</v>
      </c>
    </row>
    <row r="14784" spans="1:13" s="21" customFormat="1" x14ac:dyDescent="0.25">
      <c r="A14784" s="22" t="s">
        <v>8</v>
      </c>
      <c r="B14784" s="18" t="str">
        <f>"675593"</f>
        <v>675593</v>
      </c>
      <c r="C14784" s="19" t="s">
        <v>14504</v>
      </c>
      <c r="D14784" s="19" t="s">
        <v>30174</v>
      </c>
      <c r="E14784" s="19" t="s">
        <v>32593</v>
      </c>
      <c r="F14784" s="19" t="s">
        <v>36018</v>
      </c>
      <c r="G14784" s="33" t="str">
        <f>"79605"</f>
        <v>79605</v>
      </c>
      <c r="H14784" s="34" t="s">
        <v>31080</v>
      </c>
      <c r="I14784" s="35">
        <v>19.379000000000001</v>
      </c>
      <c r="J14784" s="47" t="s">
        <v>8</v>
      </c>
      <c r="K14784" s="23" t="s">
        <v>8</v>
      </c>
      <c r="L14784" s="23" t="s">
        <v>8</v>
      </c>
      <c r="M14784" s="23" t="s">
        <v>8</v>
      </c>
    </row>
    <row r="14785" spans="1:13" s="21" customFormat="1" x14ac:dyDescent="0.25">
      <c r="A14785" s="22" t="s">
        <v>8</v>
      </c>
      <c r="B14785" s="18" t="str">
        <f>"675594"</f>
        <v>675594</v>
      </c>
      <c r="C14785" s="19" t="s">
        <v>14505</v>
      </c>
      <c r="D14785" s="19" t="s">
        <v>30175</v>
      </c>
      <c r="E14785" s="19" t="s">
        <v>33207</v>
      </c>
      <c r="F14785" s="19" t="s">
        <v>36018</v>
      </c>
      <c r="G14785" s="33" t="str">
        <f>"79707"</f>
        <v>79707</v>
      </c>
      <c r="H14785" s="34" t="s">
        <v>33207</v>
      </c>
      <c r="I14785" s="35">
        <v>18.898</v>
      </c>
      <c r="J14785" s="47" t="s">
        <v>8</v>
      </c>
      <c r="K14785" s="23" t="s">
        <v>8</v>
      </c>
      <c r="L14785" s="23" t="s">
        <v>8</v>
      </c>
      <c r="M14785" s="23" t="s">
        <v>8</v>
      </c>
    </row>
    <row r="14786" spans="1:13" s="21" customFormat="1" x14ac:dyDescent="0.25">
      <c r="A14786" s="22" t="s">
        <v>8</v>
      </c>
      <c r="B14786" s="18" t="str">
        <f>"675595"</f>
        <v>675595</v>
      </c>
      <c r="C14786" s="19" t="s">
        <v>14506</v>
      </c>
      <c r="D14786" s="19" t="s">
        <v>30176</v>
      </c>
      <c r="E14786" s="19" t="s">
        <v>35239</v>
      </c>
      <c r="F14786" s="19" t="s">
        <v>36018</v>
      </c>
      <c r="G14786" s="33" t="str">
        <f>"77703"</f>
        <v>77703</v>
      </c>
      <c r="H14786" s="34" t="s">
        <v>32391</v>
      </c>
      <c r="I14786" s="35">
        <v>18.783999999999999</v>
      </c>
      <c r="J14786" s="47" t="s">
        <v>8</v>
      </c>
      <c r="K14786" s="23" t="s">
        <v>8</v>
      </c>
      <c r="L14786" s="23" t="s">
        <v>8</v>
      </c>
      <c r="M14786" s="23" t="s">
        <v>8</v>
      </c>
    </row>
    <row r="14787" spans="1:13" s="21" customFormat="1" x14ac:dyDescent="0.25">
      <c r="A14787" s="22" t="s">
        <v>8</v>
      </c>
      <c r="B14787" s="18" t="str">
        <f>"675596"</f>
        <v>675596</v>
      </c>
      <c r="C14787" s="19" t="s">
        <v>14507</v>
      </c>
      <c r="D14787" s="19" t="s">
        <v>30177</v>
      </c>
      <c r="E14787" s="19" t="s">
        <v>33383</v>
      </c>
      <c r="F14787" s="19" t="s">
        <v>36018</v>
      </c>
      <c r="G14787" s="33" t="str">
        <f>"78735"</f>
        <v>78735</v>
      </c>
      <c r="H14787" s="34" t="s">
        <v>36817</v>
      </c>
      <c r="I14787" s="35">
        <v>18.681999999999999</v>
      </c>
      <c r="J14787" s="47" t="s">
        <v>8</v>
      </c>
      <c r="K14787" s="23" t="s">
        <v>8</v>
      </c>
      <c r="L14787" s="23" t="s">
        <v>8</v>
      </c>
      <c r="M14787" s="23" t="s">
        <v>8</v>
      </c>
    </row>
    <row r="14788" spans="1:13" s="21" customFormat="1" x14ac:dyDescent="0.25">
      <c r="A14788" s="22" t="s">
        <v>8</v>
      </c>
      <c r="B14788" s="18" t="str">
        <f>"675597"</f>
        <v>675597</v>
      </c>
      <c r="C14788" s="19" t="s">
        <v>14508</v>
      </c>
      <c r="D14788" s="19" t="s">
        <v>30178</v>
      </c>
      <c r="E14788" s="19" t="s">
        <v>35873</v>
      </c>
      <c r="F14788" s="19" t="s">
        <v>36018</v>
      </c>
      <c r="G14788" s="33" t="str">
        <f>"75169"</f>
        <v>75169</v>
      </c>
      <c r="H14788" s="34" t="s">
        <v>36827</v>
      </c>
      <c r="I14788" s="35">
        <v>19.902999999999999</v>
      </c>
      <c r="J14788" s="47" t="s">
        <v>8</v>
      </c>
      <c r="K14788" s="23" t="s">
        <v>8</v>
      </c>
      <c r="L14788" s="23" t="s">
        <v>8</v>
      </c>
      <c r="M14788" s="23" t="s">
        <v>8</v>
      </c>
    </row>
    <row r="14789" spans="1:13" s="21" customFormat="1" x14ac:dyDescent="0.25">
      <c r="A14789" s="22" t="s">
        <v>8</v>
      </c>
      <c r="B14789" s="18" t="str">
        <f>"675599"</f>
        <v>675599</v>
      </c>
      <c r="C14789" s="19" t="s">
        <v>14509</v>
      </c>
      <c r="D14789" s="19" t="s">
        <v>30179</v>
      </c>
      <c r="E14789" s="19" t="s">
        <v>35874</v>
      </c>
      <c r="F14789" s="19" t="s">
        <v>36018</v>
      </c>
      <c r="G14789" s="33" t="str">
        <f>"76945"</f>
        <v>76945</v>
      </c>
      <c r="H14789" s="34" t="s">
        <v>36964</v>
      </c>
      <c r="I14789" s="35">
        <v>18.773</v>
      </c>
      <c r="J14789" s="47" t="s">
        <v>8</v>
      </c>
      <c r="K14789" s="23" t="s">
        <v>8</v>
      </c>
      <c r="L14789" s="23" t="s">
        <v>8</v>
      </c>
      <c r="M14789" s="23" t="s">
        <v>8</v>
      </c>
    </row>
    <row r="14790" spans="1:13" s="21" customFormat="1" x14ac:dyDescent="0.25">
      <c r="A14790" s="22" t="s">
        <v>8</v>
      </c>
      <c r="B14790" s="18" t="str">
        <f>"675602"</f>
        <v>675602</v>
      </c>
      <c r="C14790" s="19" t="s">
        <v>14510</v>
      </c>
      <c r="D14790" s="19" t="s">
        <v>30180</v>
      </c>
      <c r="E14790" s="19" t="s">
        <v>35875</v>
      </c>
      <c r="F14790" s="19" t="s">
        <v>36018</v>
      </c>
      <c r="G14790" s="33" t="str">
        <f>"75644"</f>
        <v>75644</v>
      </c>
      <c r="H14790" s="34" t="s">
        <v>36915</v>
      </c>
      <c r="I14790" s="35">
        <v>16.684000000000001</v>
      </c>
      <c r="J14790" s="47" t="s">
        <v>8</v>
      </c>
      <c r="K14790" s="23" t="s">
        <v>8</v>
      </c>
      <c r="L14790" s="23" t="s">
        <v>8</v>
      </c>
      <c r="M14790" s="23" t="s">
        <v>8</v>
      </c>
    </row>
    <row r="14791" spans="1:13" s="21" customFormat="1" x14ac:dyDescent="0.25">
      <c r="A14791" s="22" t="s">
        <v>8</v>
      </c>
      <c r="B14791" s="18" t="str">
        <f>"675603"</f>
        <v>675603</v>
      </c>
      <c r="C14791" s="19" t="s">
        <v>14511</v>
      </c>
      <c r="D14791" s="19" t="s">
        <v>30181</v>
      </c>
      <c r="E14791" s="19" t="s">
        <v>31709</v>
      </c>
      <c r="F14791" s="19" t="s">
        <v>36018</v>
      </c>
      <c r="G14791" s="33" t="str">
        <f>"75551"</f>
        <v>75551</v>
      </c>
      <c r="H14791" s="34" t="s">
        <v>36246</v>
      </c>
      <c r="I14791" s="35">
        <v>19.88</v>
      </c>
      <c r="J14791" s="47" t="s">
        <v>8</v>
      </c>
      <c r="K14791" s="23" t="s">
        <v>8</v>
      </c>
      <c r="L14791" s="23" t="s">
        <v>8</v>
      </c>
      <c r="M14791" s="23" t="s">
        <v>8</v>
      </c>
    </row>
    <row r="14792" spans="1:13" s="21" customFormat="1" x14ac:dyDescent="0.25">
      <c r="A14792" s="22" t="s">
        <v>8</v>
      </c>
      <c r="B14792" s="18" t="str">
        <f>"675606"</f>
        <v>675606</v>
      </c>
      <c r="C14792" s="19" t="s">
        <v>14512</v>
      </c>
      <c r="D14792" s="19" t="s">
        <v>30182</v>
      </c>
      <c r="E14792" s="19" t="s">
        <v>35276</v>
      </c>
      <c r="F14792" s="19" t="s">
        <v>36018</v>
      </c>
      <c r="G14792" s="33" t="str">
        <f>"78550"</f>
        <v>78550</v>
      </c>
      <c r="H14792" s="34" t="s">
        <v>33578</v>
      </c>
      <c r="I14792" s="35">
        <v>17.5</v>
      </c>
      <c r="J14792" s="47" t="s">
        <v>8</v>
      </c>
      <c r="K14792" s="23" t="s">
        <v>8</v>
      </c>
      <c r="L14792" s="23" t="s">
        <v>8</v>
      </c>
      <c r="M14792" s="23" t="s">
        <v>8</v>
      </c>
    </row>
    <row r="14793" spans="1:13" s="21" customFormat="1" x14ac:dyDescent="0.25">
      <c r="A14793" s="22" t="s">
        <v>8</v>
      </c>
      <c r="B14793" s="18" t="str">
        <f>"675610"</f>
        <v>675610</v>
      </c>
      <c r="C14793" s="19" t="s">
        <v>14513</v>
      </c>
      <c r="D14793" s="19" t="s">
        <v>30183</v>
      </c>
      <c r="E14793" s="19" t="s">
        <v>35876</v>
      </c>
      <c r="F14793" s="19" t="s">
        <v>36018</v>
      </c>
      <c r="G14793" s="33" t="str">
        <f>"76351"</f>
        <v>76351</v>
      </c>
      <c r="H14793" s="34" t="s">
        <v>36965</v>
      </c>
      <c r="I14793" s="35">
        <v>18.611000000000001</v>
      </c>
      <c r="J14793" s="47" t="s">
        <v>8</v>
      </c>
      <c r="K14793" s="23" t="s">
        <v>8</v>
      </c>
      <c r="L14793" s="23" t="s">
        <v>8</v>
      </c>
      <c r="M14793" s="23" t="s">
        <v>8</v>
      </c>
    </row>
    <row r="14794" spans="1:13" s="21" customFormat="1" x14ac:dyDescent="0.25">
      <c r="A14794" s="22" t="s">
        <v>8</v>
      </c>
      <c r="B14794" s="18" t="str">
        <f>"675611"</f>
        <v>675611</v>
      </c>
      <c r="C14794" s="19" t="s">
        <v>14514</v>
      </c>
      <c r="D14794" s="19" t="s">
        <v>30184</v>
      </c>
      <c r="E14794" s="19" t="s">
        <v>31723</v>
      </c>
      <c r="F14794" s="19" t="s">
        <v>36018</v>
      </c>
      <c r="G14794" s="33" t="str">
        <f>"75216"</f>
        <v>75216</v>
      </c>
      <c r="H14794" s="34" t="s">
        <v>31723</v>
      </c>
      <c r="I14794" s="35">
        <v>16.936</v>
      </c>
      <c r="J14794" s="47" t="s">
        <v>8</v>
      </c>
      <c r="K14794" s="23" t="s">
        <v>8</v>
      </c>
      <c r="L14794" s="23" t="s">
        <v>8</v>
      </c>
      <c r="M14794" s="23" t="s">
        <v>8</v>
      </c>
    </row>
    <row r="14795" spans="1:13" s="21" customFormat="1" x14ac:dyDescent="0.25">
      <c r="A14795" s="22" t="s">
        <v>8</v>
      </c>
      <c r="B14795" s="18" t="str">
        <f>"675612"</f>
        <v>675612</v>
      </c>
      <c r="C14795" s="19" t="s">
        <v>14515</v>
      </c>
      <c r="D14795" s="19" t="s">
        <v>30185</v>
      </c>
      <c r="E14795" s="19" t="s">
        <v>33493</v>
      </c>
      <c r="F14795" s="19" t="s">
        <v>36018</v>
      </c>
      <c r="G14795" s="33" t="str">
        <f>"77035"</f>
        <v>77035</v>
      </c>
      <c r="H14795" s="34" t="s">
        <v>34183</v>
      </c>
      <c r="I14795" s="35">
        <v>18.594999999999999</v>
      </c>
      <c r="J14795" s="47" t="s">
        <v>8</v>
      </c>
      <c r="K14795" s="23" t="s">
        <v>8</v>
      </c>
      <c r="L14795" s="23" t="s">
        <v>8</v>
      </c>
      <c r="M14795" s="23" t="s">
        <v>8</v>
      </c>
    </row>
    <row r="14796" spans="1:13" s="21" customFormat="1" x14ac:dyDescent="0.25">
      <c r="A14796" s="22" t="s">
        <v>8</v>
      </c>
      <c r="B14796" s="18" t="str">
        <f>"675614"</f>
        <v>675614</v>
      </c>
      <c r="C14796" s="19" t="s">
        <v>14516</v>
      </c>
      <c r="D14796" s="19" t="s">
        <v>30186</v>
      </c>
      <c r="E14796" s="19" t="s">
        <v>35835</v>
      </c>
      <c r="F14796" s="19" t="s">
        <v>36018</v>
      </c>
      <c r="G14796" s="33" t="str">
        <f>"76821"</f>
        <v>76821</v>
      </c>
      <c r="H14796" s="34" t="s">
        <v>36958</v>
      </c>
      <c r="I14796" s="35">
        <v>17.701000000000001</v>
      </c>
      <c r="J14796" s="47" t="s">
        <v>8</v>
      </c>
      <c r="K14796" s="23" t="s">
        <v>8</v>
      </c>
      <c r="L14796" s="23" t="s">
        <v>8</v>
      </c>
      <c r="M14796" s="23" t="s">
        <v>8</v>
      </c>
    </row>
    <row r="14797" spans="1:13" s="21" customFormat="1" x14ac:dyDescent="0.25">
      <c r="A14797" s="22" t="s">
        <v>8</v>
      </c>
      <c r="B14797" s="18" t="str">
        <f>"675615"</f>
        <v>675615</v>
      </c>
      <c r="C14797" s="19" t="s">
        <v>14517</v>
      </c>
      <c r="D14797" s="19" t="s">
        <v>30187</v>
      </c>
      <c r="E14797" s="19" t="s">
        <v>35244</v>
      </c>
      <c r="F14797" s="19" t="s">
        <v>36018</v>
      </c>
      <c r="G14797" s="33" t="str">
        <f>"78208"</f>
        <v>78208</v>
      </c>
      <c r="H14797" s="34" t="s">
        <v>36805</v>
      </c>
      <c r="I14797" s="35">
        <v>18.591999999999999</v>
      </c>
      <c r="J14797" s="47" t="s">
        <v>8</v>
      </c>
      <c r="K14797" s="23" t="s">
        <v>8</v>
      </c>
      <c r="L14797" s="23" t="s">
        <v>8</v>
      </c>
      <c r="M14797" s="23" t="s">
        <v>8</v>
      </c>
    </row>
    <row r="14798" spans="1:13" s="21" customFormat="1" x14ac:dyDescent="0.25">
      <c r="A14798" s="22" t="s">
        <v>8</v>
      </c>
      <c r="B14798" s="18" t="str">
        <f>"675617"</f>
        <v>675617</v>
      </c>
      <c r="C14798" s="19" t="s">
        <v>14518</v>
      </c>
      <c r="D14798" s="19" t="s">
        <v>30188</v>
      </c>
      <c r="E14798" s="19" t="s">
        <v>35877</v>
      </c>
      <c r="F14798" s="19" t="s">
        <v>36018</v>
      </c>
      <c r="G14798" s="33" t="str">
        <f>"78852"</f>
        <v>78852</v>
      </c>
      <c r="H14798" s="34" t="s">
        <v>36966</v>
      </c>
      <c r="I14798" s="35">
        <v>17.047000000000001</v>
      </c>
      <c r="J14798" s="47" t="s">
        <v>8</v>
      </c>
      <c r="K14798" s="23" t="s">
        <v>8</v>
      </c>
      <c r="L14798" s="23" t="s">
        <v>8</v>
      </c>
      <c r="M14798" s="23" t="s">
        <v>8</v>
      </c>
    </row>
    <row r="14799" spans="1:13" s="21" customFormat="1" x14ac:dyDescent="0.25">
      <c r="A14799" s="22" t="s">
        <v>8</v>
      </c>
      <c r="B14799" s="18" t="str">
        <f>"675619"</f>
        <v>675619</v>
      </c>
      <c r="C14799" s="19" t="s">
        <v>14519</v>
      </c>
      <c r="D14799" s="19" t="s">
        <v>30189</v>
      </c>
      <c r="E14799" s="19" t="s">
        <v>35878</v>
      </c>
      <c r="F14799" s="19" t="s">
        <v>36018</v>
      </c>
      <c r="G14799" s="33" t="str">
        <f>"78611"</f>
        <v>78611</v>
      </c>
      <c r="H14799" s="34" t="s">
        <v>35878</v>
      </c>
      <c r="I14799" s="35">
        <v>18.558</v>
      </c>
      <c r="J14799" s="47" t="s">
        <v>8</v>
      </c>
      <c r="K14799" s="23" t="s">
        <v>8</v>
      </c>
      <c r="L14799" s="23" t="s">
        <v>8</v>
      </c>
      <c r="M14799" s="23" t="s">
        <v>8</v>
      </c>
    </row>
    <row r="14800" spans="1:13" s="21" customFormat="1" x14ac:dyDescent="0.25">
      <c r="A14800" s="22" t="s">
        <v>8</v>
      </c>
      <c r="B14800" s="18" t="str">
        <f>"675620"</f>
        <v>675620</v>
      </c>
      <c r="C14800" s="19" t="s">
        <v>14520</v>
      </c>
      <c r="D14800" s="19" t="s">
        <v>30190</v>
      </c>
      <c r="E14800" s="19" t="s">
        <v>35239</v>
      </c>
      <c r="F14800" s="19" t="s">
        <v>36018</v>
      </c>
      <c r="G14800" s="33" t="str">
        <f>"77707"</f>
        <v>77707</v>
      </c>
      <c r="H14800" s="34" t="s">
        <v>32391</v>
      </c>
      <c r="I14800" s="35">
        <v>21.759</v>
      </c>
      <c r="J14800" s="47" t="s">
        <v>8</v>
      </c>
      <c r="K14800" s="23" t="s">
        <v>8</v>
      </c>
      <c r="L14800" s="23" t="s">
        <v>8</v>
      </c>
      <c r="M14800" s="23" t="s">
        <v>8</v>
      </c>
    </row>
    <row r="14801" spans="1:13" s="21" customFormat="1" x14ac:dyDescent="0.25">
      <c r="A14801" s="22" t="s">
        <v>8</v>
      </c>
      <c r="B14801" s="18" t="str">
        <f>"675622"</f>
        <v>675622</v>
      </c>
      <c r="C14801" s="19" t="s">
        <v>14521</v>
      </c>
      <c r="D14801" s="19" t="s">
        <v>30191</v>
      </c>
      <c r="E14801" s="19" t="s">
        <v>35245</v>
      </c>
      <c r="F14801" s="19" t="s">
        <v>36018</v>
      </c>
      <c r="G14801" s="33" t="str">
        <f>"76132"</f>
        <v>76132</v>
      </c>
      <c r="H14801" s="34" t="s">
        <v>36806</v>
      </c>
      <c r="I14801" s="35">
        <v>16.794</v>
      </c>
      <c r="J14801" s="47" t="s">
        <v>8</v>
      </c>
      <c r="K14801" s="23" t="s">
        <v>8</v>
      </c>
      <c r="L14801" s="23" t="s">
        <v>8</v>
      </c>
      <c r="M14801" s="23" t="s">
        <v>8</v>
      </c>
    </row>
    <row r="14802" spans="1:13" s="21" customFormat="1" x14ac:dyDescent="0.25">
      <c r="A14802" s="22" t="s">
        <v>8</v>
      </c>
      <c r="B14802" s="18" t="str">
        <f>"675624"</f>
        <v>675624</v>
      </c>
      <c r="C14802" s="19" t="s">
        <v>14522</v>
      </c>
      <c r="D14802" s="19" t="s">
        <v>30192</v>
      </c>
      <c r="E14802" s="19" t="s">
        <v>35265</v>
      </c>
      <c r="F14802" s="19" t="s">
        <v>36018</v>
      </c>
      <c r="G14802" s="33" t="str">
        <f>"75835"</f>
        <v>75835</v>
      </c>
      <c r="H14802" s="34" t="s">
        <v>33493</v>
      </c>
      <c r="I14802" s="35">
        <v>17.196999999999999</v>
      </c>
      <c r="J14802" s="47" t="s">
        <v>8</v>
      </c>
      <c r="K14802" s="23" t="s">
        <v>8</v>
      </c>
      <c r="L14802" s="23" t="s">
        <v>8</v>
      </c>
      <c r="M14802" s="23" t="s">
        <v>8</v>
      </c>
    </row>
    <row r="14803" spans="1:13" s="21" customFormat="1" x14ac:dyDescent="0.25">
      <c r="A14803" s="22" t="s">
        <v>8</v>
      </c>
      <c r="B14803" s="18" t="str">
        <f>"675625"</f>
        <v>675625</v>
      </c>
      <c r="C14803" s="19" t="s">
        <v>14523</v>
      </c>
      <c r="D14803" s="19" t="s">
        <v>30193</v>
      </c>
      <c r="E14803" s="19" t="s">
        <v>31191</v>
      </c>
      <c r="F14803" s="19" t="s">
        <v>36018</v>
      </c>
      <c r="G14803" s="33" t="str">
        <f>"77504"</f>
        <v>77504</v>
      </c>
      <c r="H14803" s="34" t="s">
        <v>34183</v>
      </c>
      <c r="I14803" s="35">
        <v>18.603000000000002</v>
      </c>
      <c r="J14803" s="47" t="s">
        <v>8</v>
      </c>
      <c r="K14803" s="23" t="s">
        <v>8</v>
      </c>
      <c r="L14803" s="23" t="s">
        <v>8</v>
      </c>
      <c r="M14803" s="23" t="s">
        <v>8</v>
      </c>
    </row>
    <row r="14804" spans="1:13" s="21" customFormat="1" x14ac:dyDescent="0.25">
      <c r="A14804" s="22" t="s">
        <v>8</v>
      </c>
      <c r="B14804" s="18" t="str">
        <f>"675629"</f>
        <v>675629</v>
      </c>
      <c r="C14804" s="19" t="s">
        <v>14524</v>
      </c>
      <c r="D14804" s="19" t="s">
        <v>30194</v>
      </c>
      <c r="E14804" s="19" t="s">
        <v>35284</v>
      </c>
      <c r="F14804" s="19" t="s">
        <v>36018</v>
      </c>
      <c r="G14804" s="33" t="str">
        <f>"77901"</f>
        <v>77901</v>
      </c>
      <c r="H14804" s="34" t="s">
        <v>35284</v>
      </c>
      <c r="I14804" s="35">
        <v>18.63</v>
      </c>
      <c r="J14804" s="47" t="s">
        <v>8</v>
      </c>
      <c r="K14804" s="23" t="s">
        <v>8</v>
      </c>
      <c r="L14804" s="23" t="s">
        <v>8</v>
      </c>
      <c r="M14804" s="23" t="s">
        <v>8</v>
      </c>
    </row>
    <row r="14805" spans="1:13" s="21" customFormat="1" x14ac:dyDescent="0.25">
      <c r="A14805" s="22" t="s">
        <v>8</v>
      </c>
      <c r="B14805" s="18" t="str">
        <f>"675630"</f>
        <v>675630</v>
      </c>
      <c r="C14805" s="19" t="s">
        <v>14525</v>
      </c>
      <c r="D14805" s="19" t="s">
        <v>30195</v>
      </c>
      <c r="E14805" s="19" t="s">
        <v>35879</v>
      </c>
      <c r="F14805" s="19" t="s">
        <v>36018</v>
      </c>
      <c r="G14805" s="33" t="str">
        <f>"78355"</f>
        <v>78355</v>
      </c>
      <c r="H14805" s="34" t="s">
        <v>36183</v>
      </c>
      <c r="I14805" s="35">
        <v>18.812999999999999</v>
      </c>
      <c r="J14805" s="47" t="s">
        <v>8</v>
      </c>
      <c r="K14805" s="23" t="s">
        <v>8</v>
      </c>
      <c r="L14805" s="23" t="s">
        <v>8</v>
      </c>
      <c r="M14805" s="23" t="s">
        <v>8</v>
      </c>
    </row>
    <row r="14806" spans="1:13" s="21" customFormat="1" x14ac:dyDescent="0.25">
      <c r="A14806" s="22" t="s">
        <v>8</v>
      </c>
      <c r="B14806" s="18" t="str">
        <f>"675633"</f>
        <v>675633</v>
      </c>
      <c r="C14806" s="19" t="s">
        <v>14526</v>
      </c>
      <c r="D14806" s="19" t="s">
        <v>30196</v>
      </c>
      <c r="E14806" s="19" t="s">
        <v>34690</v>
      </c>
      <c r="F14806" s="19" t="s">
        <v>36018</v>
      </c>
      <c r="G14806" s="33" t="str">
        <f>"76086"</f>
        <v>76086</v>
      </c>
      <c r="H14806" s="34" t="s">
        <v>31392</v>
      </c>
      <c r="I14806" s="35">
        <v>18.119</v>
      </c>
      <c r="J14806" s="47" t="s">
        <v>8</v>
      </c>
      <c r="K14806" s="23" t="s">
        <v>8</v>
      </c>
      <c r="L14806" s="23" t="s">
        <v>8</v>
      </c>
      <c r="M14806" s="23" t="s">
        <v>8</v>
      </c>
    </row>
    <row r="14807" spans="1:13" s="21" customFormat="1" x14ac:dyDescent="0.25">
      <c r="A14807" s="22" t="s">
        <v>8</v>
      </c>
      <c r="B14807" s="18" t="str">
        <f>"675635"</f>
        <v>675635</v>
      </c>
      <c r="C14807" s="19" t="s">
        <v>14527</v>
      </c>
      <c r="D14807" s="19" t="s">
        <v>30197</v>
      </c>
      <c r="E14807" s="19" t="s">
        <v>32762</v>
      </c>
      <c r="F14807" s="19" t="s">
        <v>36018</v>
      </c>
      <c r="G14807" s="33" t="str">
        <f>"78520"</f>
        <v>78520</v>
      </c>
      <c r="H14807" s="34" t="s">
        <v>33578</v>
      </c>
      <c r="I14807" s="35">
        <v>20.446000000000002</v>
      </c>
      <c r="J14807" s="47" t="s">
        <v>8</v>
      </c>
      <c r="K14807" s="23" t="s">
        <v>8</v>
      </c>
      <c r="L14807" s="23" t="s">
        <v>8</v>
      </c>
      <c r="M14807" s="23" t="s">
        <v>8</v>
      </c>
    </row>
    <row r="14808" spans="1:13" s="21" customFormat="1" x14ac:dyDescent="0.25">
      <c r="A14808" s="22" t="s">
        <v>8</v>
      </c>
      <c r="B14808" s="18" t="str">
        <f>"675637"</f>
        <v>675637</v>
      </c>
      <c r="C14808" s="19" t="s">
        <v>14528</v>
      </c>
      <c r="D14808" s="19" t="s">
        <v>30198</v>
      </c>
      <c r="E14808" s="19" t="s">
        <v>35243</v>
      </c>
      <c r="F14808" s="19" t="s">
        <v>36018</v>
      </c>
      <c r="G14808" s="33" t="str">
        <f>"78414"</f>
        <v>78414</v>
      </c>
      <c r="H14808" s="34" t="s">
        <v>36804</v>
      </c>
      <c r="I14808" s="35">
        <v>21.646999999999998</v>
      </c>
      <c r="J14808" s="47" t="s">
        <v>8</v>
      </c>
      <c r="K14808" s="23" t="s">
        <v>8</v>
      </c>
      <c r="L14808" s="23" t="s">
        <v>8</v>
      </c>
      <c r="M14808" s="23" t="s">
        <v>8</v>
      </c>
    </row>
    <row r="14809" spans="1:13" s="21" customFormat="1" x14ac:dyDescent="0.25">
      <c r="A14809" s="22" t="s">
        <v>8</v>
      </c>
      <c r="B14809" s="18" t="str">
        <f>"675638"</f>
        <v>675638</v>
      </c>
      <c r="C14809" s="19" t="s">
        <v>14529</v>
      </c>
      <c r="D14809" s="19" t="s">
        <v>30199</v>
      </c>
      <c r="E14809" s="19" t="s">
        <v>35284</v>
      </c>
      <c r="F14809" s="19" t="s">
        <v>36018</v>
      </c>
      <c r="G14809" s="33" t="str">
        <f>"77904"</f>
        <v>77904</v>
      </c>
      <c r="H14809" s="34" t="s">
        <v>35284</v>
      </c>
      <c r="I14809" s="35">
        <v>21.76</v>
      </c>
      <c r="J14809" s="47" t="s">
        <v>8</v>
      </c>
      <c r="K14809" s="23" t="s">
        <v>8</v>
      </c>
      <c r="L14809" s="23" t="s">
        <v>8</v>
      </c>
      <c r="M14809" s="23" t="s">
        <v>8</v>
      </c>
    </row>
    <row r="14810" spans="1:13" s="21" customFormat="1" x14ac:dyDescent="0.25">
      <c r="A14810" s="22" t="s">
        <v>8</v>
      </c>
      <c r="B14810" s="18" t="str">
        <f>"675641"</f>
        <v>675641</v>
      </c>
      <c r="C14810" s="19" t="s">
        <v>14530</v>
      </c>
      <c r="D14810" s="19" t="s">
        <v>30200</v>
      </c>
      <c r="E14810" s="19" t="s">
        <v>35300</v>
      </c>
      <c r="F14810" s="19" t="s">
        <v>36018</v>
      </c>
      <c r="G14810" s="33" t="str">
        <f>"78155"</f>
        <v>78155</v>
      </c>
      <c r="H14810" s="34" t="s">
        <v>36829</v>
      </c>
      <c r="I14810" s="35">
        <v>20.542000000000002</v>
      </c>
      <c r="J14810" s="47" t="s">
        <v>8</v>
      </c>
      <c r="K14810" s="23" t="s">
        <v>8</v>
      </c>
      <c r="L14810" s="23" t="s">
        <v>8</v>
      </c>
      <c r="M14810" s="23" t="s">
        <v>8</v>
      </c>
    </row>
    <row r="14811" spans="1:13" s="21" customFormat="1" x14ac:dyDescent="0.25">
      <c r="A14811" s="22" t="s">
        <v>8</v>
      </c>
      <c r="B14811" s="18" t="str">
        <f>"675645"</f>
        <v>675645</v>
      </c>
      <c r="C14811" s="19" t="s">
        <v>14531</v>
      </c>
      <c r="D14811" s="19" t="s">
        <v>30201</v>
      </c>
      <c r="E14811" s="19" t="s">
        <v>32593</v>
      </c>
      <c r="F14811" s="19" t="s">
        <v>36018</v>
      </c>
      <c r="G14811" s="33" t="str">
        <f>"79606"</f>
        <v>79606</v>
      </c>
      <c r="H14811" s="34" t="s">
        <v>31080</v>
      </c>
      <c r="I14811" s="35">
        <v>17.774000000000001</v>
      </c>
      <c r="J14811" s="47" t="s">
        <v>8</v>
      </c>
      <c r="K14811" s="23" t="s">
        <v>8</v>
      </c>
      <c r="L14811" s="23" t="s">
        <v>8</v>
      </c>
      <c r="M14811" s="23" t="s">
        <v>8</v>
      </c>
    </row>
    <row r="14812" spans="1:13" s="21" customFormat="1" x14ac:dyDescent="0.25">
      <c r="A14812" s="22" t="s">
        <v>8</v>
      </c>
      <c r="B14812" s="18" t="str">
        <f>"675646"</f>
        <v>675646</v>
      </c>
      <c r="C14812" s="19" t="s">
        <v>14532</v>
      </c>
      <c r="D14812" s="19" t="s">
        <v>30202</v>
      </c>
      <c r="E14812" s="19" t="s">
        <v>34740</v>
      </c>
      <c r="F14812" s="19" t="s">
        <v>36018</v>
      </c>
      <c r="G14812" s="33" t="str">
        <f>"79549"</f>
        <v>79549</v>
      </c>
      <c r="H14812" s="34" t="s">
        <v>36967</v>
      </c>
      <c r="I14812" s="35">
        <v>17.504999999999999</v>
      </c>
      <c r="J14812" s="47" t="s">
        <v>8</v>
      </c>
      <c r="K14812" s="23" t="s">
        <v>8</v>
      </c>
      <c r="L14812" s="23" t="s">
        <v>8</v>
      </c>
      <c r="M14812" s="23" t="s">
        <v>8</v>
      </c>
    </row>
    <row r="14813" spans="1:13" s="21" customFormat="1" x14ac:dyDescent="0.25">
      <c r="A14813" s="22" t="s">
        <v>8</v>
      </c>
      <c r="B14813" s="18" t="str">
        <f>"675648"</f>
        <v>675648</v>
      </c>
      <c r="C14813" s="19" t="s">
        <v>14533</v>
      </c>
      <c r="D14813" s="19" t="s">
        <v>30203</v>
      </c>
      <c r="E14813" s="19" t="s">
        <v>35819</v>
      </c>
      <c r="F14813" s="19" t="s">
        <v>36018</v>
      </c>
      <c r="G14813" s="33" t="str">
        <f>"77301"</f>
        <v>77301</v>
      </c>
      <c r="H14813" s="34" t="s">
        <v>30833</v>
      </c>
      <c r="I14813" s="35">
        <v>22.716000000000001</v>
      </c>
      <c r="J14813" s="47" t="s">
        <v>8</v>
      </c>
      <c r="K14813" s="23" t="s">
        <v>8</v>
      </c>
      <c r="L14813" s="23" t="s">
        <v>8</v>
      </c>
      <c r="M14813" s="23" t="s">
        <v>8</v>
      </c>
    </row>
    <row r="14814" spans="1:13" s="21" customFormat="1" x14ac:dyDescent="0.25">
      <c r="A14814" s="22" t="s">
        <v>8</v>
      </c>
      <c r="B14814" s="18" t="str">
        <f>"675649"</f>
        <v>675649</v>
      </c>
      <c r="C14814" s="19" t="s">
        <v>14534</v>
      </c>
      <c r="D14814" s="19" t="s">
        <v>30204</v>
      </c>
      <c r="E14814" s="19" t="s">
        <v>33383</v>
      </c>
      <c r="F14814" s="19" t="s">
        <v>36018</v>
      </c>
      <c r="G14814" s="33" t="str">
        <f>"78736"</f>
        <v>78736</v>
      </c>
      <c r="H14814" s="34" t="s">
        <v>36817</v>
      </c>
      <c r="I14814" s="35">
        <v>16.574999999999999</v>
      </c>
      <c r="J14814" s="47" t="s">
        <v>8</v>
      </c>
      <c r="K14814" s="23" t="s">
        <v>8</v>
      </c>
      <c r="L14814" s="23" t="s">
        <v>8</v>
      </c>
      <c r="M14814" s="23" t="s">
        <v>8</v>
      </c>
    </row>
    <row r="14815" spans="1:13" s="21" customFormat="1" x14ac:dyDescent="0.25">
      <c r="A14815" s="22" t="s">
        <v>8</v>
      </c>
      <c r="B14815" s="18" t="str">
        <f>"675650"</f>
        <v>675650</v>
      </c>
      <c r="C14815" s="19" t="s">
        <v>14535</v>
      </c>
      <c r="D14815" s="19" t="s">
        <v>30205</v>
      </c>
      <c r="E14815" s="19" t="s">
        <v>35245</v>
      </c>
      <c r="F14815" s="19" t="s">
        <v>36018</v>
      </c>
      <c r="G14815" s="33" t="str">
        <f>"76132"</f>
        <v>76132</v>
      </c>
      <c r="H14815" s="34" t="s">
        <v>36806</v>
      </c>
      <c r="I14815" s="35">
        <v>17.917999999999999</v>
      </c>
      <c r="J14815" s="47" t="s">
        <v>8</v>
      </c>
      <c r="K14815" s="23" t="s">
        <v>8</v>
      </c>
      <c r="L14815" s="23" t="s">
        <v>8</v>
      </c>
      <c r="M14815" s="23" t="s">
        <v>8</v>
      </c>
    </row>
    <row r="14816" spans="1:13" s="21" customFormat="1" x14ac:dyDescent="0.25">
      <c r="A14816" s="22" t="s">
        <v>8</v>
      </c>
      <c r="B14816" s="18" t="str">
        <f>"675651"</f>
        <v>675651</v>
      </c>
      <c r="C14816" s="19" t="s">
        <v>14536</v>
      </c>
      <c r="D14816" s="19" t="s">
        <v>30206</v>
      </c>
      <c r="E14816" s="19" t="s">
        <v>35312</v>
      </c>
      <c r="F14816" s="19" t="s">
        <v>36018</v>
      </c>
      <c r="G14816" s="33" t="str">
        <f>"78666"</f>
        <v>78666</v>
      </c>
      <c r="H14816" s="34" t="s">
        <v>32610</v>
      </c>
      <c r="I14816" s="35">
        <v>19.262</v>
      </c>
      <c r="J14816" s="47" t="s">
        <v>8</v>
      </c>
      <c r="K14816" s="23" t="s">
        <v>8</v>
      </c>
      <c r="L14816" s="23" t="s">
        <v>8</v>
      </c>
      <c r="M14816" s="23" t="s">
        <v>8</v>
      </c>
    </row>
    <row r="14817" spans="1:13" s="21" customFormat="1" x14ac:dyDescent="0.25">
      <c r="A14817" s="22" t="s">
        <v>8</v>
      </c>
      <c r="B14817" s="18" t="str">
        <f>"675654"</f>
        <v>675654</v>
      </c>
      <c r="C14817" s="19" t="s">
        <v>14537</v>
      </c>
      <c r="D14817" s="19" t="s">
        <v>30207</v>
      </c>
      <c r="E14817" s="19" t="s">
        <v>35273</v>
      </c>
      <c r="F14817" s="19" t="s">
        <v>36018</v>
      </c>
      <c r="G14817" s="33" t="str">
        <f>"78028"</f>
        <v>78028</v>
      </c>
      <c r="H14817" s="34" t="s">
        <v>36819</v>
      </c>
      <c r="I14817" s="35">
        <v>17.920000000000002</v>
      </c>
      <c r="J14817" s="47" t="s">
        <v>8</v>
      </c>
      <c r="K14817" s="23" t="s">
        <v>8</v>
      </c>
      <c r="L14817" s="23" t="s">
        <v>8</v>
      </c>
      <c r="M14817" s="23" t="s">
        <v>8</v>
      </c>
    </row>
    <row r="14818" spans="1:13" s="21" customFormat="1" x14ac:dyDescent="0.25">
      <c r="A14818" s="22" t="s">
        <v>8</v>
      </c>
      <c r="B14818" s="18" t="str">
        <f>"675655"</f>
        <v>675655</v>
      </c>
      <c r="C14818" s="19" t="s">
        <v>14538</v>
      </c>
      <c r="D14818" s="19" t="s">
        <v>30208</v>
      </c>
      <c r="E14818" s="19" t="s">
        <v>35245</v>
      </c>
      <c r="F14818" s="19" t="s">
        <v>36018</v>
      </c>
      <c r="G14818" s="33" t="str">
        <f>"76104"</f>
        <v>76104</v>
      </c>
      <c r="H14818" s="34" t="s">
        <v>36806</v>
      </c>
      <c r="I14818" s="35">
        <v>20.538</v>
      </c>
      <c r="J14818" s="47" t="s">
        <v>8</v>
      </c>
      <c r="K14818" s="23" t="s">
        <v>8</v>
      </c>
      <c r="L14818" s="23" t="s">
        <v>8</v>
      </c>
      <c r="M14818" s="23" t="s">
        <v>8</v>
      </c>
    </row>
    <row r="14819" spans="1:13" s="21" customFormat="1" x14ac:dyDescent="0.25">
      <c r="A14819" s="22" t="s">
        <v>8</v>
      </c>
      <c r="B14819" s="18" t="str">
        <f>"675656"</f>
        <v>675656</v>
      </c>
      <c r="C14819" s="19" t="s">
        <v>14539</v>
      </c>
      <c r="D14819" s="19" t="s">
        <v>30209</v>
      </c>
      <c r="E14819" s="19" t="s">
        <v>35300</v>
      </c>
      <c r="F14819" s="19" t="s">
        <v>36018</v>
      </c>
      <c r="G14819" s="33" t="str">
        <f>"78155"</f>
        <v>78155</v>
      </c>
      <c r="H14819" s="34" t="s">
        <v>36829</v>
      </c>
      <c r="I14819" s="35">
        <v>20.198</v>
      </c>
      <c r="J14819" s="47" t="s">
        <v>8</v>
      </c>
      <c r="K14819" s="23" t="s">
        <v>8</v>
      </c>
      <c r="L14819" s="23" t="s">
        <v>8</v>
      </c>
      <c r="M14819" s="23" t="s">
        <v>8</v>
      </c>
    </row>
    <row r="14820" spans="1:13" s="21" customFormat="1" x14ac:dyDescent="0.25">
      <c r="A14820" s="22" t="s">
        <v>8</v>
      </c>
      <c r="B14820" s="18" t="str">
        <f>"675663"</f>
        <v>675663</v>
      </c>
      <c r="C14820" s="19" t="s">
        <v>14540</v>
      </c>
      <c r="D14820" s="19" t="s">
        <v>30210</v>
      </c>
      <c r="E14820" s="19" t="s">
        <v>35794</v>
      </c>
      <c r="F14820" s="19" t="s">
        <v>36018</v>
      </c>
      <c r="G14820" s="33" t="str">
        <f>"77471"</f>
        <v>77471</v>
      </c>
      <c r="H14820" s="34" t="s">
        <v>36826</v>
      </c>
      <c r="I14820" s="35">
        <v>20.545999999999999</v>
      </c>
      <c r="J14820" s="47" t="s">
        <v>8</v>
      </c>
      <c r="K14820" s="23" t="s">
        <v>8</v>
      </c>
      <c r="L14820" s="23" t="s">
        <v>8</v>
      </c>
      <c r="M14820" s="23" t="s">
        <v>8</v>
      </c>
    </row>
    <row r="14821" spans="1:13" s="21" customFormat="1" x14ac:dyDescent="0.25">
      <c r="A14821" s="22" t="s">
        <v>8</v>
      </c>
      <c r="B14821" s="18" t="str">
        <f>"675664"</f>
        <v>675664</v>
      </c>
      <c r="C14821" s="19" t="s">
        <v>14541</v>
      </c>
      <c r="D14821" s="19" t="s">
        <v>30211</v>
      </c>
      <c r="E14821" s="19" t="s">
        <v>35266</v>
      </c>
      <c r="F14821" s="19" t="s">
        <v>36018</v>
      </c>
      <c r="G14821" s="33" t="str">
        <f>"75482"</f>
        <v>75482</v>
      </c>
      <c r="H14821" s="34" t="s">
        <v>33374</v>
      </c>
      <c r="I14821" s="35">
        <v>18.497</v>
      </c>
      <c r="J14821" s="47" t="s">
        <v>8</v>
      </c>
      <c r="K14821" s="23" t="s">
        <v>8</v>
      </c>
      <c r="L14821" s="23" t="s">
        <v>8</v>
      </c>
      <c r="M14821" s="23" t="s">
        <v>8</v>
      </c>
    </row>
    <row r="14822" spans="1:13" s="21" customFormat="1" x14ac:dyDescent="0.25">
      <c r="A14822" s="22" t="s">
        <v>8</v>
      </c>
      <c r="B14822" s="18" t="str">
        <f>"675666"</f>
        <v>675666</v>
      </c>
      <c r="C14822" s="19" t="s">
        <v>14542</v>
      </c>
      <c r="D14822" s="19" t="s">
        <v>30212</v>
      </c>
      <c r="E14822" s="19" t="s">
        <v>30817</v>
      </c>
      <c r="F14822" s="19" t="s">
        <v>36018</v>
      </c>
      <c r="G14822" s="33" t="str">
        <f>"75401"</f>
        <v>75401</v>
      </c>
      <c r="H14822" s="34" t="s">
        <v>36950</v>
      </c>
      <c r="I14822" s="35">
        <v>21.704999999999998</v>
      </c>
      <c r="J14822" s="47" t="s">
        <v>8</v>
      </c>
      <c r="K14822" s="23" t="s">
        <v>8</v>
      </c>
      <c r="L14822" s="23" t="s">
        <v>8</v>
      </c>
      <c r="M14822" s="23" t="s">
        <v>8</v>
      </c>
    </row>
    <row r="14823" spans="1:13" s="21" customFormat="1" x14ac:dyDescent="0.25">
      <c r="A14823" s="22" t="s">
        <v>8</v>
      </c>
      <c r="B14823" s="18" t="str">
        <f>"675667"</f>
        <v>675667</v>
      </c>
      <c r="C14823" s="19" t="s">
        <v>14543</v>
      </c>
      <c r="D14823" s="19" t="s">
        <v>30213</v>
      </c>
      <c r="E14823" s="19" t="s">
        <v>33493</v>
      </c>
      <c r="F14823" s="19" t="s">
        <v>36018</v>
      </c>
      <c r="G14823" s="33" t="str">
        <f>"77074"</f>
        <v>77074</v>
      </c>
      <c r="H14823" s="34" t="s">
        <v>34183</v>
      </c>
      <c r="I14823" s="35">
        <v>25.719000000000001</v>
      </c>
      <c r="J14823" s="47" t="s">
        <v>8</v>
      </c>
      <c r="K14823" s="23" t="s">
        <v>8</v>
      </c>
      <c r="L14823" s="23" t="s">
        <v>8</v>
      </c>
      <c r="M14823" s="23" t="s">
        <v>8</v>
      </c>
    </row>
    <row r="14824" spans="1:13" s="21" customFormat="1" x14ac:dyDescent="0.25">
      <c r="A14824" s="22" t="s">
        <v>8</v>
      </c>
      <c r="B14824" s="18" t="str">
        <f>"675668"</f>
        <v>675668</v>
      </c>
      <c r="C14824" s="19" t="s">
        <v>14544</v>
      </c>
      <c r="D14824" s="19" t="s">
        <v>30214</v>
      </c>
      <c r="E14824" s="19" t="s">
        <v>35880</v>
      </c>
      <c r="F14824" s="19" t="s">
        <v>36018</v>
      </c>
      <c r="G14824" s="33" t="str">
        <f>"75773"</f>
        <v>75773</v>
      </c>
      <c r="H14824" s="34" t="s">
        <v>36673</v>
      </c>
      <c r="I14824" s="35">
        <v>19.509</v>
      </c>
      <c r="J14824" s="47" t="s">
        <v>8</v>
      </c>
      <c r="K14824" s="23" t="s">
        <v>8</v>
      </c>
      <c r="L14824" s="23" t="s">
        <v>8</v>
      </c>
      <c r="M14824" s="23" t="s">
        <v>8</v>
      </c>
    </row>
    <row r="14825" spans="1:13" s="21" customFormat="1" x14ac:dyDescent="0.25">
      <c r="A14825" s="22" t="s">
        <v>8</v>
      </c>
      <c r="B14825" s="18" t="str">
        <f>"675670"</f>
        <v>675670</v>
      </c>
      <c r="C14825" s="19" t="s">
        <v>14545</v>
      </c>
      <c r="D14825" s="19" t="s">
        <v>30215</v>
      </c>
      <c r="E14825" s="19" t="s">
        <v>35243</v>
      </c>
      <c r="F14825" s="19" t="s">
        <v>36018</v>
      </c>
      <c r="G14825" s="33" t="str">
        <f>"78408"</f>
        <v>78408</v>
      </c>
      <c r="H14825" s="34" t="s">
        <v>36804</v>
      </c>
      <c r="I14825" s="35">
        <v>20.41</v>
      </c>
      <c r="J14825" s="47" t="s">
        <v>8</v>
      </c>
      <c r="K14825" s="23" t="s">
        <v>8</v>
      </c>
      <c r="L14825" s="23" t="s">
        <v>8</v>
      </c>
      <c r="M14825" s="23" t="s">
        <v>8</v>
      </c>
    </row>
    <row r="14826" spans="1:13" s="21" customFormat="1" x14ac:dyDescent="0.25">
      <c r="A14826" s="22" t="s">
        <v>8</v>
      </c>
      <c r="B14826" s="18" t="str">
        <f>"675671"</f>
        <v>675671</v>
      </c>
      <c r="C14826" s="19" t="s">
        <v>14535</v>
      </c>
      <c r="D14826" s="19" t="s">
        <v>30216</v>
      </c>
      <c r="E14826" s="19" t="s">
        <v>33493</v>
      </c>
      <c r="F14826" s="19" t="s">
        <v>36018</v>
      </c>
      <c r="G14826" s="33" t="str">
        <f>"77054"</f>
        <v>77054</v>
      </c>
      <c r="H14826" s="34" t="s">
        <v>34183</v>
      </c>
      <c r="I14826" s="35">
        <v>21.623000000000001</v>
      </c>
      <c r="J14826" s="47" t="s">
        <v>8</v>
      </c>
      <c r="K14826" s="23" t="s">
        <v>8</v>
      </c>
      <c r="L14826" s="23" t="s">
        <v>8</v>
      </c>
      <c r="M14826" s="23" t="s">
        <v>8</v>
      </c>
    </row>
    <row r="14827" spans="1:13" s="21" customFormat="1" x14ac:dyDescent="0.25">
      <c r="A14827" s="22" t="s">
        <v>8</v>
      </c>
      <c r="B14827" s="18" t="str">
        <f>"675672"</f>
        <v>675672</v>
      </c>
      <c r="C14827" s="19" t="s">
        <v>14546</v>
      </c>
      <c r="D14827" s="19" t="s">
        <v>30217</v>
      </c>
      <c r="E14827" s="19" t="s">
        <v>35243</v>
      </c>
      <c r="F14827" s="19" t="s">
        <v>36018</v>
      </c>
      <c r="G14827" s="33" t="str">
        <f>"78410"</f>
        <v>78410</v>
      </c>
      <c r="H14827" s="34" t="s">
        <v>36804</v>
      </c>
      <c r="I14827" s="35">
        <v>18.637</v>
      </c>
      <c r="J14827" s="47" t="s">
        <v>8</v>
      </c>
      <c r="K14827" s="23" t="s">
        <v>8</v>
      </c>
      <c r="L14827" s="23" t="s">
        <v>8</v>
      </c>
      <c r="M14827" s="23" t="s">
        <v>8</v>
      </c>
    </row>
    <row r="14828" spans="1:13" s="21" customFormat="1" x14ac:dyDescent="0.25">
      <c r="A14828" s="22" t="s">
        <v>8</v>
      </c>
      <c r="B14828" s="18" t="str">
        <f>"675677"</f>
        <v>675677</v>
      </c>
      <c r="C14828" s="19" t="s">
        <v>14547</v>
      </c>
      <c r="D14828" s="19" t="s">
        <v>30218</v>
      </c>
      <c r="E14828" s="19" t="s">
        <v>35219</v>
      </c>
      <c r="F14828" s="19" t="s">
        <v>36018</v>
      </c>
      <c r="G14828" s="33" t="str">
        <f>"78840"</f>
        <v>78840</v>
      </c>
      <c r="H14828" s="34" t="s">
        <v>36789</v>
      </c>
      <c r="I14828" s="35">
        <v>17.827999999999999</v>
      </c>
      <c r="J14828" s="47" t="s">
        <v>8</v>
      </c>
      <c r="K14828" s="23" t="s">
        <v>8</v>
      </c>
      <c r="L14828" s="23" t="s">
        <v>8</v>
      </c>
      <c r="M14828" s="23" t="s">
        <v>8</v>
      </c>
    </row>
    <row r="14829" spans="1:13" s="21" customFormat="1" x14ac:dyDescent="0.25">
      <c r="A14829" s="22" t="s">
        <v>8</v>
      </c>
      <c r="B14829" s="18" t="str">
        <f>"675678"</f>
        <v>675678</v>
      </c>
      <c r="C14829" s="19" t="s">
        <v>14548</v>
      </c>
      <c r="D14829" s="19" t="s">
        <v>30219</v>
      </c>
      <c r="E14829" s="19" t="s">
        <v>35293</v>
      </c>
      <c r="F14829" s="19" t="s">
        <v>36018</v>
      </c>
      <c r="G14829" s="33" t="str">
        <f>"78006"</f>
        <v>78006</v>
      </c>
      <c r="H14829" s="34" t="s">
        <v>31642</v>
      </c>
      <c r="I14829" s="35">
        <v>19.75</v>
      </c>
      <c r="J14829" s="47" t="s">
        <v>8</v>
      </c>
      <c r="K14829" s="23" t="s">
        <v>8</v>
      </c>
      <c r="L14829" s="23" t="s">
        <v>8</v>
      </c>
      <c r="M14829" s="23" t="s">
        <v>8</v>
      </c>
    </row>
    <row r="14830" spans="1:13" s="21" customFormat="1" x14ac:dyDescent="0.25">
      <c r="A14830" s="22" t="s">
        <v>8</v>
      </c>
      <c r="B14830" s="18" t="str">
        <f>"675680"</f>
        <v>675680</v>
      </c>
      <c r="C14830" s="19" t="s">
        <v>14549</v>
      </c>
      <c r="D14830" s="19" t="s">
        <v>30220</v>
      </c>
      <c r="E14830" s="19" t="s">
        <v>31723</v>
      </c>
      <c r="F14830" s="19" t="s">
        <v>36018</v>
      </c>
      <c r="G14830" s="33" t="str">
        <f>"75227"</f>
        <v>75227</v>
      </c>
      <c r="H14830" s="34" t="s">
        <v>31723</v>
      </c>
      <c r="I14830" s="35">
        <v>18.510999999999999</v>
      </c>
      <c r="J14830" s="47" t="s">
        <v>8</v>
      </c>
      <c r="K14830" s="23" t="s">
        <v>8</v>
      </c>
      <c r="L14830" s="23" t="s">
        <v>8</v>
      </c>
      <c r="M14830" s="23" t="s">
        <v>8</v>
      </c>
    </row>
    <row r="14831" spans="1:13" s="21" customFormat="1" x14ac:dyDescent="0.25">
      <c r="A14831" s="22" t="s">
        <v>8</v>
      </c>
      <c r="B14831" s="18" t="str">
        <f>"675681"</f>
        <v>675681</v>
      </c>
      <c r="C14831" s="19" t="s">
        <v>14550</v>
      </c>
      <c r="D14831" s="19" t="s">
        <v>30221</v>
      </c>
      <c r="E14831" s="19" t="s">
        <v>35881</v>
      </c>
      <c r="F14831" s="19" t="s">
        <v>36018</v>
      </c>
      <c r="G14831" s="33" t="str">
        <f>"76933"</f>
        <v>76933</v>
      </c>
      <c r="H14831" s="34" t="s">
        <v>36964</v>
      </c>
      <c r="I14831" s="35">
        <v>18.937999999999999</v>
      </c>
      <c r="J14831" s="47" t="s">
        <v>8</v>
      </c>
      <c r="K14831" s="23" t="s">
        <v>8</v>
      </c>
      <c r="L14831" s="23" t="s">
        <v>8</v>
      </c>
      <c r="M14831" s="23" t="s">
        <v>8</v>
      </c>
    </row>
    <row r="14832" spans="1:13" s="21" customFormat="1" x14ac:dyDescent="0.25">
      <c r="A14832" s="22" t="s">
        <v>8</v>
      </c>
      <c r="B14832" s="18" t="str">
        <f>"675684"</f>
        <v>675684</v>
      </c>
      <c r="C14832" s="19" t="s">
        <v>14551</v>
      </c>
      <c r="D14832" s="19" t="s">
        <v>30222</v>
      </c>
      <c r="E14832" s="19" t="s">
        <v>35882</v>
      </c>
      <c r="F14832" s="19" t="s">
        <v>36018</v>
      </c>
      <c r="G14832" s="33" t="str">
        <f>"78377"</f>
        <v>78377</v>
      </c>
      <c r="H14832" s="34" t="s">
        <v>35882</v>
      </c>
      <c r="I14832" s="35">
        <v>19.509</v>
      </c>
      <c r="J14832" s="47" t="s">
        <v>8</v>
      </c>
      <c r="K14832" s="23" t="s">
        <v>8</v>
      </c>
      <c r="L14832" s="23" t="s">
        <v>8</v>
      </c>
      <c r="M14832" s="23" t="s">
        <v>8</v>
      </c>
    </row>
    <row r="14833" spans="1:13" s="21" customFormat="1" x14ac:dyDescent="0.25">
      <c r="A14833" s="22" t="s">
        <v>8</v>
      </c>
      <c r="B14833" s="18" t="str">
        <f>"675686"</f>
        <v>675686</v>
      </c>
      <c r="C14833" s="19" t="s">
        <v>14552</v>
      </c>
      <c r="D14833" s="19" t="s">
        <v>30223</v>
      </c>
      <c r="E14833" s="19" t="s">
        <v>33493</v>
      </c>
      <c r="F14833" s="19" t="s">
        <v>36018</v>
      </c>
      <c r="G14833" s="33" t="str">
        <f>"77091"</f>
        <v>77091</v>
      </c>
      <c r="H14833" s="34" t="s">
        <v>34183</v>
      </c>
      <c r="I14833" s="35">
        <v>21.905000000000001</v>
      </c>
      <c r="J14833" s="47" t="s">
        <v>8</v>
      </c>
      <c r="K14833" s="23" t="s">
        <v>8</v>
      </c>
      <c r="L14833" s="23" t="s">
        <v>8</v>
      </c>
      <c r="M14833" s="23" t="s">
        <v>8</v>
      </c>
    </row>
    <row r="14834" spans="1:13" s="21" customFormat="1" x14ac:dyDescent="0.25">
      <c r="A14834" s="22" t="s">
        <v>8</v>
      </c>
      <c r="B14834" s="18" t="str">
        <f>"675687"</f>
        <v>675687</v>
      </c>
      <c r="C14834" s="19" t="s">
        <v>14553</v>
      </c>
      <c r="D14834" s="19" t="s">
        <v>30224</v>
      </c>
      <c r="E14834" s="19" t="s">
        <v>35788</v>
      </c>
      <c r="F14834" s="19" t="s">
        <v>36018</v>
      </c>
      <c r="G14834" s="33" t="str">
        <f>"76834"</f>
        <v>76834</v>
      </c>
      <c r="H14834" s="34" t="s">
        <v>35788</v>
      </c>
      <c r="I14834" s="35">
        <v>24.417999999999999</v>
      </c>
      <c r="J14834" s="47" t="s">
        <v>8</v>
      </c>
      <c r="K14834" s="23" t="s">
        <v>8</v>
      </c>
      <c r="L14834" s="23" t="s">
        <v>8</v>
      </c>
      <c r="M14834" s="23" t="s">
        <v>8</v>
      </c>
    </row>
    <row r="14835" spans="1:13" s="21" customFormat="1" x14ac:dyDescent="0.25">
      <c r="A14835" s="22" t="s">
        <v>8</v>
      </c>
      <c r="B14835" s="18" t="str">
        <f>"675689"</f>
        <v>675689</v>
      </c>
      <c r="C14835" s="19" t="s">
        <v>14554</v>
      </c>
      <c r="D14835" s="19" t="s">
        <v>30225</v>
      </c>
      <c r="E14835" s="19" t="s">
        <v>35261</v>
      </c>
      <c r="F14835" s="19" t="s">
        <v>36018</v>
      </c>
      <c r="G14835" s="33" t="str">
        <f>"78501"</f>
        <v>78501</v>
      </c>
      <c r="H14835" s="34" t="s">
        <v>36592</v>
      </c>
      <c r="I14835" s="35">
        <v>18.733000000000001</v>
      </c>
      <c r="J14835" s="47" t="s">
        <v>8</v>
      </c>
      <c r="K14835" s="23" t="s">
        <v>8</v>
      </c>
      <c r="L14835" s="23" t="s">
        <v>8</v>
      </c>
      <c r="M14835" s="23" t="s">
        <v>8</v>
      </c>
    </row>
    <row r="14836" spans="1:13" s="21" customFormat="1" x14ac:dyDescent="0.25">
      <c r="A14836" s="22" t="s">
        <v>8</v>
      </c>
      <c r="B14836" s="18" t="str">
        <f>"675690"</f>
        <v>675690</v>
      </c>
      <c r="C14836" s="19" t="s">
        <v>14555</v>
      </c>
      <c r="D14836" s="19" t="s">
        <v>30226</v>
      </c>
      <c r="E14836" s="19" t="s">
        <v>35244</v>
      </c>
      <c r="F14836" s="19" t="s">
        <v>36018</v>
      </c>
      <c r="G14836" s="33" t="str">
        <f>"78201"</f>
        <v>78201</v>
      </c>
      <c r="H14836" s="34" t="s">
        <v>36805</v>
      </c>
      <c r="I14836" s="35">
        <v>21.004000000000001</v>
      </c>
      <c r="J14836" s="47" t="s">
        <v>8</v>
      </c>
      <c r="K14836" s="23" t="s">
        <v>8</v>
      </c>
      <c r="L14836" s="23" t="s">
        <v>8</v>
      </c>
      <c r="M14836" s="23" t="s">
        <v>8</v>
      </c>
    </row>
    <row r="14837" spans="1:13" s="21" customFormat="1" x14ac:dyDescent="0.25">
      <c r="A14837" s="22" t="s">
        <v>8</v>
      </c>
      <c r="B14837" s="18" t="str">
        <f>"675691"</f>
        <v>675691</v>
      </c>
      <c r="C14837" s="19" t="s">
        <v>14556</v>
      </c>
      <c r="D14837" s="19" t="s">
        <v>30227</v>
      </c>
      <c r="E14837" s="19" t="s">
        <v>30851</v>
      </c>
      <c r="F14837" s="19" t="s">
        <v>36018</v>
      </c>
      <c r="G14837" s="33" t="str">
        <f>"77340"</f>
        <v>77340</v>
      </c>
      <c r="H14837" s="34" t="s">
        <v>33386</v>
      </c>
      <c r="I14837" s="35">
        <v>19.93</v>
      </c>
      <c r="J14837" s="47" t="s">
        <v>8</v>
      </c>
      <c r="K14837" s="23" t="s">
        <v>8</v>
      </c>
      <c r="L14837" s="23" t="s">
        <v>8</v>
      </c>
      <c r="M14837" s="23" t="s">
        <v>8</v>
      </c>
    </row>
    <row r="14838" spans="1:13" s="21" customFormat="1" x14ac:dyDescent="0.25">
      <c r="A14838" s="22" t="s">
        <v>8</v>
      </c>
      <c r="B14838" s="18" t="str">
        <f>"675695"</f>
        <v>675695</v>
      </c>
      <c r="C14838" s="19" t="s">
        <v>14557</v>
      </c>
      <c r="D14838" s="19" t="s">
        <v>30228</v>
      </c>
      <c r="E14838" s="19" t="s">
        <v>35239</v>
      </c>
      <c r="F14838" s="19" t="s">
        <v>36018</v>
      </c>
      <c r="G14838" s="33" t="str">
        <f>"77707"</f>
        <v>77707</v>
      </c>
      <c r="H14838" s="34" t="s">
        <v>32391</v>
      </c>
      <c r="I14838" s="35">
        <v>24.213999999999999</v>
      </c>
      <c r="J14838" s="47" t="s">
        <v>8</v>
      </c>
      <c r="K14838" s="23" t="s">
        <v>8</v>
      </c>
      <c r="L14838" s="23" t="s">
        <v>8</v>
      </c>
      <c r="M14838" s="23" t="s">
        <v>8</v>
      </c>
    </row>
    <row r="14839" spans="1:13" s="21" customFormat="1" x14ac:dyDescent="0.25">
      <c r="A14839" s="22" t="s">
        <v>8</v>
      </c>
      <c r="B14839" s="18" t="str">
        <f>"675696"</f>
        <v>675696</v>
      </c>
      <c r="C14839" s="19" t="s">
        <v>14558</v>
      </c>
      <c r="D14839" s="19" t="s">
        <v>30229</v>
      </c>
      <c r="E14839" s="19" t="s">
        <v>35869</v>
      </c>
      <c r="F14839" s="19" t="s">
        <v>36018</v>
      </c>
      <c r="G14839" s="33" t="str">
        <f>"77515"</f>
        <v>77515</v>
      </c>
      <c r="H14839" s="34" t="s">
        <v>36808</v>
      </c>
      <c r="I14839" s="35">
        <v>18.013999999999999</v>
      </c>
      <c r="J14839" s="47" t="s">
        <v>8</v>
      </c>
      <c r="K14839" s="23" t="s">
        <v>8</v>
      </c>
      <c r="L14839" s="23" t="s">
        <v>8</v>
      </c>
      <c r="M14839" s="23" t="s">
        <v>8</v>
      </c>
    </row>
    <row r="14840" spans="1:13" s="21" customFormat="1" x14ac:dyDescent="0.25">
      <c r="A14840" s="22" t="s">
        <v>8</v>
      </c>
      <c r="B14840" s="18" t="str">
        <f>"675697"</f>
        <v>675697</v>
      </c>
      <c r="C14840" s="19" t="s">
        <v>14559</v>
      </c>
      <c r="D14840" s="19" t="s">
        <v>30230</v>
      </c>
      <c r="E14840" s="19" t="s">
        <v>35244</v>
      </c>
      <c r="F14840" s="19" t="s">
        <v>36018</v>
      </c>
      <c r="G14840" s="33" t="str">
        <f>"78239"</f>
        <v>78239</v>
      </c>
      <c r="H14840" s="34" t="s">
        <v>36805</v>
      </c>
      <c r="I14840" s="35">
        <v>19.536999999999999</v>
      </c>
      <c r="J14840" s="47" t="s">
        <v>8</v>
      </c>
      <c r="K14840" s="23" t="s">
        <v>8</v>
      </c>
      <c r="L14840" s="23" t="s">
        <v>8</v>
      </c>
      <c r="M14840" s="23" t="s">
        <v>8</v>
      </c>
    </row>
    <row r="14841" spans="1:13" s="21" customFormat="1" x14ac:dyDescent="0.25">
      <c r="A14841" s="22" t="s">
        <v>8</v>
      </c>
      <c r="B14841" s="18" t="str">
        <f>"675699"</f>
        <v>675699</v>
      </c>
      <c r="C14841" s="19" t="s">
        <v>14560</v>
      </c>
      <c r="D14841" s="19" t="s">
        <v>30231</v>
      </c>
      <c r="E14841" s="19" t="s">
        <v>35883</v>
      </c>
      <c r="F14841" s="19" t="s">
        <v>36018</v>
      </c>
      <c r="G14841" s="33" t="str">
        <f>"77546"</f>
        <v>77546</v>
      </c>
      <c r="H14841" s="34" t="s">
        <v>35824</v>
      </c>
      <c r="I14841" s="35">
        <v>19.951000000000001</v>
      </c>
      <c r="J14841" s="47" t="s">
        <v>8</v>
      </c>
      <c r="K14841" s="23" t="s">
        <v>8</v>
      </c>
      <c r="L14841" s="23" t="s">
        <v>8</v>
      </c>
      <c r="M14841" s="23" t="s">
        <v>8</v>
      </c>
    </row>
    <row r="14842" spans="1:13" s="21" customFormat="1" x14ac:dyDescent="0.25">
      <c r="A14842" s="22" t="s">
        <v>8</v>
      </c>
      <c r="B14842" s="18" t="str">
        <f>"675700"</f>
        <v>675700</v>
      </c>
      <c r="C14842" s="19" t="s">
        <v>14561</v>
      </c>
      <c r="D14842" s="19" t="s">
        <v>30232</v>
      </c>
      <c r="E14842" s="19" t="s">
        <v>35884</v>
      </c>
      <c r="F14842" s="19" t="s">
        <v>36018</v>
      </c>
      <c r="G14842" s="33" t="str">
        <f>"77423"</f>
        <v>77423</v>
      </c>
      <c r="H14842" s="34" t="s">
        <v>36968</v>
      </c>
      <c r="I14842" s="35">
        <v>19.251000000000001</v>
      </c>
      <c r="J14842" s="47" t="s">
        <v>8</v>
      </c>
      <c r="K14842" s="23" t="s">
        <v>8</v>
      </c>
      <c r="L14842" s="23" t="s">
        <v>8</v>
      </c>
      <c r="M14842" s="23" t="s">
        <v>8</v>
      </c>
    </row>
    <row r="14843" spans="1:13" s="21" customFormat="1" x14ac:dyDescent="0.25">
      <c r="A14843" s="22" t="s">
        <v>8</v>
      </c>
      <c r="B14843" s="18" t="str">
        <f>"675701"</f>
        <v>675701</v>
      </c>
      <c r="C14843" s="19" t="s">
        <v>14562</v>
      </c>
      <c r="D14843" s="19" t="s">
        <v>30233</v>
      </c>
      <c r="E14843" s="19" t="s">
        <v>35885</v>
      </c>
      <c r="F14843" s="19" t="s">
        <v>36018</v>
      </c>
      <c r="G14843" s="33" t="str">
        <f>"77375"</f>
        <v>77375</v>
      </c>
      <c r="H14843" s="34" t="s">
        <v>34183</v>
      </c>
      <c r="I14843" s="35">
        <v>20.600999999999999</v>
      </c>
      <c r="J14843" s="47" t="s">
        <v>8</v>
      </c>
      <c r="K14843" s="23" t="s">
        <v>8</v>
      </c>
      <c r="L14843" s="23" t="s">
        <v>8</v>
      </c>
      <c r="M14843" s="23" t="s">
        <v>8</v>
      </c>
    </row>
    <row r="14844" spans="1:13" s="21" customFormat="1" x14ac:dyDescent="0.25">
      <c r="A14844" s="22" t="s">
        <v>8</v>
      </c>
      <c r="B14844" s="18" t="str">
        <f>"675702"</f>
        <v>675702</v>
      </c>
      <c r="C14844" s="19" t="s">
        <v>14563</v>
      </c>
      <c r="D14844" s="19" t="s">
        <v>30234</v>
      </c>
      <c r="E14844" s="19" t="s">
        <v>31723</v>
      </c>
      <c r="F14844" s="19" t="s">
        <v>36018</v>
      </c>
      <c r="G14844" s="33" t="str">
        <f>"75227"</f>
        <v>75227</v>
      </c>
      <c r="H14844" s="34" t="s">
        <v>31723</v>
      </c>
      <c r="I14844" s="35">
        <v>18.561</v>
      </c>
      <c r="J14844" s="47" t="s">
        <v>8</v>
      </c>
      <c r="K14844" s="23" t="s">
        <v>8</v>
      </c>
      <c r="L14844" s="23" t="s">
        <v>8</v>
      </c>
      <c r="M14844" s="23" t="s">
        <v>8</v>
      </c>
    </row>
    <row r="14845" spans="1:13" s="21" customFormat="1" x14ac:dyDescent="0.25">
      <c r="A14845" s="22" t="s">
        <v>8</v>
      </c>
      <c r="B14845" s="18" t="str">
        <f>"675703"</f>
        <v>675703</v>
      </c>
      <c r="C14845" s="19" t="s">
        <v>14564</v>
      </c>
      <c r="D14845" s="19" t="s">
        <v>30235</v>
      </c>
      <c r="E14845" s="19" t="s">
        <v>35886</v>
      </c>
      <c r="F14845" s="19" t="s">
        <v>36018</v>
      </c>
      <c r="G14845" s="33" t="str">
        <f>"75028"</f>
        <v>75028</v>
      </c>
      <c r="H14845" s="34" t="s">
        <v>32938</v>
      </c>
      <c r="I14845" s="35">
        <v>20.035</v>
      </c>
      <c r="J14845" s="47" t="s">
        <v>8</v>
      </c>
      <c r="K14845" s="23" t="s">
        <v>8</v>
      </c>
      <c r="L14845" s="23" t="s">
        <v>8</v>
      </c>
      <c r="M14845" s="23" t="s">
        <v>8</v>
      </c>
    </row>
    <row r="14846" spans="1:13" s="21" customFormat="1" x14ac:dyDescent="0.25">
      <c r="A14846" s="22" t="s">
        <v>8</v>
      </c>
      <c r="B14846" s="18" t="str">
        <f>"675706"</f>
        <v>675706</v>
      </c>
      <c r="C14846" s="19" t="s">
        <v>14565</v>
      </c>
      <c r="D14846" s="19" t="s">
        <v>30236</v>
      </c>
      <c r="E14846" s="19" t="s">
        <v>35223</v>
      </c>
      <c r="F14846" s="19" t="s">
        <v>36018</v>
      </c>
      <c r="G14846" s="33" t="str">
        <f>"77833"</f>
        <v>77833</v>
      </c>
      <c r="H14846" s="34" t="s">
        <v>31500</v>
      </c>
      <c r="I14846" s="35">
        <v>17.978999999999999</v>
      </c>
      <c r="J14846" s="47" t="s">
        <v>8</v>
      </c>
      <c r="K14846" s="23" t="s">
        <v>8</v>
      </c>
      <c r="L14846" s="23" t="s">
        <v>8</v>
      </c>
      <c r="M14846" s="23" t="s">
        <v>8</v>
      </c>
    </row>
    <row r="14847" spans="1:13" s="21" customFormat="1" x14ac:dyDescent="0.25">
      <c r="A14847" s="22" t="s">
        <v>8</v>
      </c>
      <c r="B14847" s="18" t="str">
        <f>"675708"</f>
        <v>675708</v>
      </c>
      <c r="C14847" s="19" t="s">
        <v>14566</v>
      </c>
      <c r="D14847" s="19" t="s">
        <v>30237</v>
      </c>
      <c r="E14847" s="19" t="s">
        <v>34690</v>
      </c>
      <c r="F14847" s="19" t="s">
        <v>36018</v>
      </c>
      <c r="G14847" s="33" t="str">
        <f>"76086"</f>
        <v>76086</v>
      </c>
      <c r="H14847" s="34" t="s">
        <v>31392</v>
      </c>
      <c r="I14847" s="35">
        <v>19.53</v>
      </c>
      <c r="J14847" s="47" t="s">
        <v>8</v>
      </c>
      <c r="K14847" s="23" t="s">
        <v>8</v>
      </c>
      <c r="L14847" s="23" t="s">
        <v>8</v>
      </c>
      <c r="M14847" s="23" t="s">
        <v>8</v>
      </c>
    </row>
    <row r="14848" spans="1:13" s="21" customFormat="1" x14ac:dyDescent="0.25">
      <c r="A14848" s="22" t="s">
        <v>8</v>
      </c>
      <c r="B14848" s="18" t="str">
        <f>"675709"</f>
        <v>675709</v>
      </c>
      <c r="C14848" s="19" t="s">
        <v>14567</v>
      </c>
      <c r="D14848" s="19" t="s">
        <v>30238</v>
      </c>
      <c r="E14848" s="19" t="s">
        <v>30854</v>
      </c>
      <c r="F14848" s="19" t="s">
        <v>36018</v>
      </c>
      <c r="G14848" s="33" t="str">
        <f>"75951"</f>
        <v>75951</v>
      </c>
      <c r="H14848" s="34" t="s">
        <v>30854</v>
      </c>
      <c r="I14848" s="35">
        <v>20.95</v>
      </c>
      <c r="J14848" s="47" t="s">
        <v>8</v>
      </c>
      <c r="K14848" s="23" t="s">
        <v>8</v>
      </c>
      <c r="L14848" s="23" t="s">
        <v>8</v>
      </c>
      <c r="M14848" s="23" t="s">
        <v>8</v>
      </c>
    </row>
    <row r="14849" spans="1:13" s="21" customFormat="1" x14ac:dyDescent="0.25">
      <c r="A14849" s="22" t="s">
        <v>8</v>
      </c>
      <c r="B14849" s="18" t="str">
        <f>"675712"</f>
        <v>675712</v>
      </c>
      <c r="C14849" s="19" t="s">
        <v>14568</v>
      </c>
      <c r="D14849" s="19" t="s">
        <v>30239</v>
      </c>
      <c r="E14849" s="19" t="s">
        <v>32089</v>
      </c>
      <c r="F14849" s="19" t="s">
        <v>36018</v>
      </c>
      <c r="G14849" s="33" t="str">
        <f>"76055"</f>
        <v>76055</v>
      </c>
      <c r="H14849" s="34" t="s">
        <v>36533</v>
      </c>
      <c r="I14849" s="35">
        <v>18.134</v>
      </c>
      <c r="J14849" s="47" t="s">
        <v>8</v>
      </c>
      <c r="K14849" s="23" t="s">
        <v>8</v>
      </c>
      <c r="L14849" s="23" t="s">
        <v>8</v>
      </c>
      <c r="M14849" s="23" t="s">
        <v>8</v>
      </c>
    </row>
    <row r="14850" spans="1:13" s="21" customFormat="1" x14ac:dyDescent="0.25">
      <c r="A14850" s="22" t="s">
        <v>8</v>
      </c>
      <c r="B14850" s="18" t="str">
        <f>"675714"</f>
        <v>675714</v>
      </c>
      <c r="C14850" s="19" t="s">
        <v>14569</v>
      </c>
      <c r="D14850" s="19" t="s">
        <v>30240</v>
      </c>
      <c r="E14850" s="19" t="s">
        <v>35885</v>
      </c>
      <c r="F14850" s="19" t="s">
        <v>36018</v>
      </c>
      <c r="G14850" s="33" t="str">
        <f>"77375"</f>
        <v>77375</v>
      </c>
      <c r="H14850" s="34" t="s">
        <v>34183</v>
      </c>
      <c r="I14850" s="35">
        <v>19.552</v>
      </c>
      <c r="J14850" s="47" t="s">
        <v>8</v>
      </c>
      <c r="K14850" s="23" t="s">
        <v>8</v>
      </c>
      <c r="L14850" s="23" t="s">
        <v>8</v>
      </c>
      <c r="M14850" s="23" t="s">
        <v>8</v>
      </c>
    </row>
    <row r="14851" spans="1:13" s="21" customFormat="1" x14ac:dyDescent="0.25">
      <c r="A14851" s="22" t="s">
        <v>8</v>
      </c>
      <c r="B14851" s="18" t="str">
        <f>"675715"</f>
        <v>675715</v>
      </c>
      <c r="C14851" s="19" t="s">
        <v>14570</v>
      </c>
      <c r="D14851" s="19" t="s">
        <v>30241</v>
      </c>
      <c r="E14851" s="19" t="s">
        <v>35887</v>
      </c>
      <c r="F14851" s="19" t="s">
        <v>36018</v>
      </c>
      <c r="G14851" s="33" t="str">
        <f>"76877"</f>
        <v>76877</v>
      </c>
      <c r="H14851" s="34" t="s">
        <v>35887</v>
      </c>
      <c r="I14851" s="35">
        <v>19.353999999999999</v>
      </c>
      <c r="J14851" s="47" t="s">
        <v>8</v>
      </c>
      <c r="K14851" s="23" t="s">
        <v>8</v>
      </c>
      <c r="L14851" s="23" t="s">
        <v>8</v>
      </c>
      <c r="M14851" s="23" t="s">
        <v>8</v>
      </c>
    </row>
    <row r="14852" spans="1:13" s="21" customFormat="1" x14ac:dyDescent="0.25">
      <c r="A14852" s="22" t="s">
        <v>8</v>
      </c>
      <c r="B14852" s="18" t="str">
        <f>"675716"</f>
        <v>675716</v>
      </c>
      <c r="C14852" s="19" t="s">
        <v>14571</v>
      </c>
      <c r="D14852" s="19" t="s">
        <v>30242</v>
      </c>
      <c r="E14852" s="19" t="s">
        <v>35888</v>
      </c>
      <c r="F14852" s="19" t="s">
        <v>36018</v>
      </c>
      <c r="G14852" s="33" t="str">
        <f>"79356"</f>
        <v>79356</v>
      </c>
      <c r="H14852" s="34" t="s">
        <v>36969</v>
      </c>
      <c r="I14852" s="35">
        <v>18.908000000000001</v>
      </c>
      <c r="J14852" s="47" t="s">
        <v>8</v>
      </c>
      <c r="K14852" s="23" t="s">
        <v>8</v>
      </c>
      <c r="L14852" s="23" t="s">
        <v>8</v>
      </c>
      <c r="M14852" s="23" t="s">
        <v>8</v>
      </c>
    </row>
    <row r="14853" spans="1:13" s="21" customFormat="1" x14ac:dyDescent="0.25">
      <c r="A14853" s="22" t="s">
        <v>8</v>
      </c>
      <c r="B14853" s="18" t="str">
        <f>"675717"</f>
        <v>675717</v>
      </c>
      <c r="C14853" s="19" t="s">
        <v>14572</v>
      </c>
      <c r="D14853" s="19" t="s">
        <v>30243</v>
      </c>
      <c r="E14853" s="19" t="s">
        <v>35243</v>
      </c>
      <c r="F14853" s="19" t="s">
        <v>36018</v>
      </c>
      <c r="G14853" s="33" t="str">
        <f>"78415"</f>
        <v>78415</v>
      </c>
      <c r="H14853" s="34" t="s">
        <v>36804</v>
      </c>
      <c r="I14853" s="35">
        <v>18.280999999999999</v>
      </c>
      <c r="J14853" s="47" t="s">
        <v>8</v>
      </c>
      <c r="K14853" s="23" t="s">
        <v>8</v>
      </c>
      <c r="L14853" s="23" t="s">
        <v>8</v>
      </c>
      <c r="M14853" s="23" t="s">
        <v>8</v>
      </c>
    </row>
    <row r="14854" spans="1:13" s="21" customFormat="1" x14ac:dyDescent="0.25">
      <c r="A14854" s="22" t="s">
        <v>8</v>
      </c>
      <c r="B14854" s="18" t="str">
        <f>"675719"</f>
        <v>675719</v>
      </c>
      <c r="C14854" s="19" t="s">
        <v>14573</v>
      </c>
      <c r="D14854" s="19" t="s">
        <v>30244</v>
      </c>
      <c r="E14854" s="19" t="s">
        <v>35889</v>
      </c>
      <c r="F14854" s="19" t="s">
        <v>36018</v>
      </c>
      <c r="G14854" s="33" t="str">
        <f>"78387"</f>
        <v>78387</v>
      </c>
      <c r="H14854" s="34" t="s">
        <v>36824</v>
      </c>
      <c r="I14854" s="35">
        <v>20.893999999999998</v>
      </c>
      <c r="J14854" s="47" t="s">
        <v>8</v>
      </c>
      <c r="K14854" s="23" t="s">
        <v>8</v>
      </c>
      <c r="L14854" s="23" t="s">
        <v>8</v>
      </c>
      <c r="M14854" s="23" t="s">
        <v>8</v>
      </c>
    </row>
    <row r="14855" spans="1:13" s="21" customFormat="1" x14ac:dyDescent="0.25">
      <c r="A14855" s="22" t="s">
        <v>8</v>
      </c>
      <c r="B14855" s="18" t="str">
        <f>"675722"</f>
        <v>675722</v>
      </c>
      <c r="C14855" s="19" t="s">
        <v>14574</v>
      </c>
      <c r="D14855" s="19" t="s">
        <v>30245</v>
      </c>
      <c r="E14855" s="19" t="s">
        <v>35890</v>
      </c>
      <c r="F14855" s="19" t="s">
        <v>36018</v>
      </c>
      <c r="G14855" s="33" t="str">
        <f>"79735"</f>
        <v>79735</v>
      </c>
      <c r="H14855" s="34" t="s">
        <v>35906</v>
      </c>
      <c r="I14855" s="35">
        <v>22.689</v>
      </c>
      <c r="J14855" s="47" t="s">
        <v>8</v>
      </c>
      <c r="K14855" s="23" t="s">
        <v>8</v>
      </c>
      <c r="L14855" s="23" t="s">
        <v>8</v>
      </c>
      <c r="M14855" s="23" t="s">
        <v>8</v>
      </c>
    </row>
    <row r="14856" spans="1:13" s="21" customFormat="1" x14ac:dyDescent="0.25">
      <c r="A14856" s="22" t="s">
        <v>8</v>
      </c>
      <c r="B14856" s="18" t="str">
        <f>"675723"</f>
        <v>675723</v>
      </c>
      <c r="C14856" s="19" t="s">
        <v>14575</v>
      </c>
      <c r="D14856" s="19" t="s">
        <v>30246</v>
      </c>
      <c r="E14856" s="19" t="s">
        <v>31965</v>
      </c>
      <c r="F14856" s="19" t="s">
        <v>36018</v>
      </c>
      <c r="G14856" s="33" t="str">
        <f>"79903"</f>
        <v>79903</v>
      </c>
      <c r="H14856" s="34" t="s">
        <v>31965</v>
      </c>
      <c r="I14856" s="35">
        <v>19.158999999999999</v>
      </c>
      <c r="J14856" s="47" t="s">
        <v>8</v>
      </c>
      <c r="K14856" s="23" t="s">
        <v>8</v>
      </c>
      <c r="L14856" s="23" t="s">
        <v>8</v>
      </c>
      <c r="M14856" s="23" t="s">
        <v>8</v>
      </c>
    </row>
    <row r="14857" spans="1:13" s="21" customFormat="1" x14ac:dyDescent="0.25">
      <c r="A14857" s="22" t="s">
        <v>8</v>
      </c>
      <c r="B14857" s="18" t="str">
        <f>"675727"</f>
        <v>675727</v>
      </c>
      <c r="C14857" s="19" t="s">
        <v>14576</v>
      </c>
      <c r="D14857" s="19" t="s">
        <v>30247</v>
      </c>
      <c r="E14857" s="19" t="s">
        <v>31495</v>
      </c>
      <c r="F14857" s="19" t="s">
        <v>36018</v>
      </c>
      <c r="G14857" s="33" t="str">
        <f>"78626"</f>
        <v>78626</v>
      </c>
      <c r="H14857" s="34" t="s">
        <v>35514</v>
      </c>
      <c r="I14857" s="35">
        <v>19.382999999999999</v>
      </c>
      <c r="J14857" s="47" t="s">
        <v>8</v>
      </c>
      <c r="K14857" s="23" t="s">
        <v>8</v>
      </c>
      <c r="L14857" s="23" t="s">
        <v>8</v>
      </c>
      <c r="M14857" s="23" t="s">
        <v>8</v>
      </c>
    </row>
    <row r="14858" spans="1:13" s="21" customFormat="1" x14ac:dyDescent="0.25">
      <c r="A14858" s="22" t="s">
        <v>8</v>
      </c>
      <c r="B14858" s="18" t="str">
        <f>"675729"</f>
        <v>675729</v>
      </c>
      <c r="C14858" s="19" t="s">
        <v>14577</v>
      </c>
      <c r="D14858" s="19" t="s">
        <v>30248</v>
      </c>
      <c r="E14858" s="19" t="s">
        <v>35838</v>
      </c>
      <c r="F14858" s="19" t="s">
        <v>36018</v>
      </c>
      <c r="G14858" s="33" t="str">
        <f>"75972"</f>
        <v>75972</v>
      </c>
      <c r="H14858" s="34" t="s">
        <v>35838</v>
      </c>
      <c r="I14858" s="35">
        <v>23.734000000000002</v>
      </c>
      <c r="J14858" s="47" t="s">
        <v>8</v>
      </c>
      <c r="K14858" s="23" t="s">
        <v>8</v>
      </c>
      <c r="L14858" s="23" t="s">
        <v>8</v>
      </c>
      <c r="M14858" s="23" t="s">
        <v>8</v>
      </c>
    </row>
    <row r="14859" spans="1:13" s="21" customFormat="1" x14ac:dyDescent="0.25">
      <c r="A14859" s="22" t="s">
        <v>8</v>
      </c>
      <c r="B14859" s="18" t="str">
        <f>"675733"</f>
        <v>675733</v>
      </c>
      <c r="C14859" s="19" t="s">
        <v>14578</v>
      </c>
      <c r="D14859" s="19" t="s">
        <v>30249</v>
      </c>
      <c r="E14859" s="19" t="s">
        <v>33383</v>
      </c>
      <c r="F14859" s="19" t="s">
        <v>36018</v>
      </c>
      <c r="G14859" s="33" t="str">
        <f>"78704"</f>
        <v>78704</v>
      </c>
      <c r="H14859" s="34" t="s">
        <v>36817</v>
      </c>
      <c r="I14859" s="35">
        <v>16.919</v>
      </c>
      <c r="J14859" s="47" t="s">
        <v>8</v>
      </c>
      <c r="K14859" s="23" t="s">
        <v>8</v>
      </c>
      <c r="L14859" s="23" t="s">
        <v>8</v>
      </c>
      <c r="M14859" s="23" t="s">
        <v>8</v>
      </c>
    </row>
    <row r="14860" spans="1:13" s="21" customFormat="1" x14ac:dyDescent="0.25">
      <c r="A14860" s="22" t="s">
        <v>8</v>
      </c>
      <c r="B14860" s="18" t="str">
        <f>"675736"</f>
        <v>675736</v>
      </c>
      <c r="C14860" s="19" t="s">
        <v>14579</v>
      </c>
      <c r="D14860" s="19" t="s">
        <v>30250</v>
      </c>
      <c r="E14860" s="19" t="s">
        <v>35260</v>
      </c>
      <c r="F14860" s="19" t="s">
        <v>36018</v>
      </c>
      <c r="G14860" s="33" t="str">
        <f>"77995"</f>
        <v>77995</v>
      </c>
      <c r="H14860" s="34" t="s">
        <v>36813</v>
      </c>
      <c r="I14860" s="35">
        <v>20.012</v>
      </c>
      <c r="J14860" s="47" t="s">
        <v>8</v>
      </c>
      <c r="K14860" s="23" t="s">
        <v>8</v>
      </c>
      <c r="L14860" s="23" t="s">
        <v>8</v>
      </c>
      <c r="M14860" s="23" t="s">
        <v>8</v>
      </c>
    </row>
    <row r="14861" spans="1:13" s="21" customFormat="1" x14ac:dyDescent="0.25">
      <c r="A14861" s="22" t="s">
        <v>8</v>
      </c>
      <c r="B14861" s="18" t="str">
        <f>"675739"</f>
        <v>675739</v>
      </c>
      <c r="C14861" s="19" t="s">
        <v>14580</v>
      </c>
      <c r="D14861" s="19" t="s">
        <v>30251</v>
      </c>
      <c r="E14861" s="19" t="s">
        <v>35301</v>
      </c>
      <c r="F14861" s="19" t="s">
        <v>36018</v>
      </c>
      <c r="G14861" s="33" t="str">
        <f>"77381"</f>
        <v>77381</v>
      </c>
      <c r="H14861" s="34" t="s">
        <v>30833</v>
      </c>
      <c r="I14861" s="35">
        <v>19.707000000000001</v>
      </c>
      <c r="J14861" s="47" t="s">
        <v>8</v>
      </c>
      <c r="K14861" s="23" t="s">
        <v>8</v>
      </c>
      <c r="L14861" s="23" t="s">
        <v>8</v>
      </c>
      <c r="M14861" s="23" t="s">
        <v>8</v>
      </c>
    </row>
    <row r="14862" spans="1:13" s="21" customFormat="1" x14ac:dyDescent="0.25">
      <c r="A14862" s="22" t="s">
        <v>8</v>
      </c>
      <c r="B14862" s="18" t="str">
        <f>"675740"</f>
        <v>675740</v>
      </c>
      <c r="C14862" s="19" t="s">
        <v>14581</v>
      </c>
      <c r="D14862" s="19" t="s">
        <v>30252</v>
      </c>
      <c r="E14862" s="19" t="s">
        <v>35242</v>
      </c>
      <c r="F14862" s="19" t="s">
        <v>36018</v>
      </c>
      <c r="G14862" s="33" t="str">
        <f>"78624"</f>
        <v>78624</v>
      </c>
      <c r="H14862" s="34" t="s">
        <v>31975</v>
      </c>
      <c r="I14862" s="35">
        <v>17.968</v>
      </c>
      <c r="J14862" s="47" t="s">
        <v>8</v>
      </c>
      <c r="K14862" s="23" t="s">
        <v>8</v>
      </c>
      <c r="L14862" s="23" t="s">
        <v>8</v>
      </c>
      <c r="M14862" s="23" t="s">
        <v>8</v>
      </c>
    </row>
    <row r="14863" spans="1:13" s="21" customFormat="1" x14ac:dyDescent="0.25">
      <c r="A14863" s="22" t="s">
        <v>8</v>
      </c>
      <c r="B14863" s="18" t="str">
        <f>"675743"</f>
        <v>675743</v>
      </c>
      <c r="C14863" s="19" t="s">
        <v>14582</v>
      </c>
      <c r="D14863" s="19" t="s">
        <v>30253</v>
      </c>
      <c r="E14863" s="19" t="s">
        <v>35252</v>
      </c>
      <c r="F14863" s="19" t="s">
        <v>36018</v>
      </c>
      <c r="G14863" s="33" t="str">
        <f>"77590"</f>
        <v>77590</v>
      </c>
      <c r="H14863" s="34" t="s">
        <v>35824</v>
      </c>
      <c r="I14863" s="35">
        <v>20.556000000000001</v>
      </c>
      <c r="J14863" s="47" t="s">
        <v>8</v>
      </c>
      <c r="K14863" s="23" t="s">
        <v>8</v>
      </c>
      <c r="L14863" s="23" t="s">
        <v>8</v>
      </c>
      <c r="M14863" s="23" t="s">
        <v>8</v>
      </c>
    </row>
    <row r="14864" spans="1:13" s="21" customFormat="1" x14ac:dyDescent="0.25">
      <c r="A14864" s="22" t="s">
        <v>8</v>
      </c>
      <c r="B14864" s="18" t="str">
        <f>"675744"</f>
        <v>675744</v>
      </c>
      <c r="C14864" s="19" t="s">
        <v>14583</v>
      </c>
      <c r="D14864" s="19" t="s">
        <v>30254</v>
      </c>
      <c r="E14864" s="19" t="s">
        <v>35883</v>
      </c>
      <c r="F14864" s="19" t="s">
        <v>36018</v>
      </c>
      <c r="G14864" s="33" t="str">
        <f>"77546"</f>
        <v>77546</v>
      </c>
      <c r="H14864" s="34" t="s">
        <v>35824</v>
      </c>
      <c r="I14864" s="35">
        <v>21.98</v>
      </c>
      <c r="J14864" s="47" t="s">
        <v>8</v>
      </c>
      <c r="K14864" s="23" t="s">
        <v>8</v>
      </c>
      <c r="L14864" s="23" t="s">
        <v>8</v>
      </c>
      <c r="M14864" s="23" t="s">
        <v>8</v>
      </c>
    </row>
    <row r="14865" spans="1:13" s="21" customFormat="1" x14ac:dyDescent="0.25">
      <c r="A14865" s="22" t="s">
        <v>8</v>
      </c>
      <c r="B14865" s="18" t="str">
        <f>"675746"</f>
        <v>675746</v>
      </c>
      <c r="C14865" s="19" t="s">
        <v>14584</v>
      </c>
      <c r="D14865" s="19" t="s">
        <v>30255</v>
      </c>
      <c r="E14865" s="19" t="s">
        <v>32593</v>
      </c>
      <c r="F14865" s="19" t="s">
        <v>36018</v>
      </c>
      <c r="G14865" s="33" t="str">
        <f>"79603"</f>
        <v>79603</v>
      </c>
      <c r="H14865" s="34" t="s">
        <v>31080</v>
      </c>
      <c r="I14865" s="35">
        <v>19.093</v>
      </c>
      <c r="J14865" s="47" t="s">
        <v>8</v>
      </c>
      <c r="K14865" s="23" t="s">
        <v>8</v>
      </c>
      <c r="L14865" s="23" t="s">
        <v>8</v>
      </c>
      <c r="M14865" s="23" t="s">
        <v>8</v>
      </c>
    </row>
    <row r="14866" spans="1:13" s="21" customFormat="1" x14ac:dyDescent="0.25">
      <c r="A14866" s="22" t="s">
        <v>8</v>
      </c>
      <c r="B14866" s="18" t="str">
        <f>"675748"</f>
        <v>675748</v>
      </c>
      <c r="C14866" s="19" t="s">
        <v>14585</v>
      </c>
      <c r="D14866" s="19" t="s">
        <v>30256</v>
      </c>
      <c r="E14866" s="19" t="s">
        <v>35274</v>
      </c>
      <c r="F14866" s="19" t="s">
        <v>36018</v>
      </c>
      <c r="G14866" s="33" t="str">
        <f>"76033"</f>
        <v>76033</v>
      </c>
      <c r="H14866" s="34" t="s">
        <v>36072</v>
      </c>
      <c r="I14866" s="35">
        <v>22.036000000000001</v>
      </c>
      <c r="J14866" s="47" t="s">
        <v>8</v>
      </c>
      <c r="K14866" s="23" t="s">
        <v>8</v>
      </c>
      <c r="L14866" s="23" t="s">
        <v>8</v>
      </c>
      <c r="M14866" s="23" t="s">
        <v>8</v>
      </c>
    </row>
    <row r="14867" spans="1:13" s="21" customFormat="1" x14ac:dyDescent="0.25">
      <c r="A14867" s="22" t="s">
        <v>8</v>
      </c>
      <c r="B14867" s="18" t="str">
        <f>"675751"</f>
        <v>675751</v>
      </c>
      <c r="C14867" s="19" t="s">
        <v>14586</v>
      </c>
      <c r="D14867" s="19" t="s">
        <v>30257</v>
      </c>
      <c r="E14867" s="19" t="s">
        <v>33664</v>
      </c>
      <c r="F14867" s="19" t="s">
        <v>36018</v>
      </c>
      <c r="G14867" s="33" t="str">
        <f>"79763"</f>
        <v>79763</v>
      </c>
      <c r="H14867" s="34" t="s">
        <v>36821</v>
      </c>
      <c r="I14867" s="35">
        <v>18.285</v>
      </c>
      <c r="J14867" s="47" t="s">
        <v>8</v>
      </c>
      <c r="K14867" s="23" t="s">
        <v>8</v>
      </c>
      <c r="L14867" s="23" t="s">
        <v>8</v>
      </c>
      <c r="M14867" s="23" t="s">
        <v>8</v>
      </c>
    </row>
    <row r="14868" spans="1:13" s="21" customFormat="1" x14ac:dyDescent="0.25">
      <c r="A14868" s="22" t="s">
        <v>8</v>
      </c>
      <c r="B14868" s="18" t="str">
        <f>"675754"</f>
        <v>675754</v>
      </c>
      <c r="C14868" s="19" t="s">
        <v>14587</v>
      </c>
      <c r="D14868" s="19" t="s">
        <v>30258</v>
      </c>
      <c r="E14868" s="19" t="s">
        <v>31723</v>
      </c>
      <c r="F14868" s="19" t="s">
        <v>36018</v>
      </c>
      <c r="G14868" s="33" t="str">
        <f>"75209"</f>
        <v>75209</v>
      </c>
      <c r="H14868" s="34" t="s">
        <v>31723</v>
      </c>
      <c r="I14868" s="35">
        <v>22.984999999999999</v>
      </c>
      <c r="J14868" s="47" t="s">
        <v>8</v>
      </c>
      <c r="K14868" s="23" t="s">
        <v>8</v>
      </c>
      <c r="L14868" s="23" t="s">
        <v>8</v>
      </c>
      <c r="M14868" s="23" t="s">
        <v>8</v>
      </c>
    </row>
    <row r="14869" spans="1:13" s="21" customFormat="1" x14ac:dyDescent="0.25">
      <c r="A14869" s="22" t="s">
        <v>8</v>
      </c>
      <c r="B14869" s="18" t="str">
        <f>"675755"</f>
        <v>675755</v>
      </c>
      <c r="C14869" s="19" t="s">
        <v>14588</v>
      </c>
      <c r="D14869" s="19" t="s">
        <v>30259</v>
      </c>
      <c r="E14869" s="19" t="s">
        <v>35891</v>
      </c>
      <c r="F14869" s="19" t="s">
        <v>36018</v>
      </c>
      <c r="G14869" s="33" t="str">
        <f>"75638"</f>
        <v>75638</v>
      </c>
      <c r="H14869" s="34" t="s">
        <v>32051</v>
      </c>
      <c r="I14869" s="35">
        <v>20.802</v>
      </c>
      <c r="J14869" s="47" t="s">
        <v>8</v>
      </c>
      <c r="K14869" s="23" t="s">
        <v>8</v>
      </c>
      <c r="L14869" s="23" t="s">
        <v>8</v>
      </c>
      <c r="M14869" s="23" t="s">
        <v>8</v>
      </c>
    </row>
    <row r="14870" spans="1:13" s="21" customFormat="1" x14ac:dyDescent="0.25">
      <c r="A14870" s="22" t="s">
        <v>8</v>
      </c>
      <c r="B14870" s="18" t="str">
        <f>"675756"</f>
        <v>675756</v>
      </c>
      <c r="C14870" s="19" t="s">
        <v>14589</v>
      </c>
      <c r="D14870" s="19" t="s">
        <v>30260</v>
      </c>
      <c r="E14870" s="19" t="s">
        <v>35316</v>
      </c>
      <c r="F14870" s="19" t="s">
        <v>36018</v>
      </c>
      <c r="G14870" s="33" t="str">
        <f>"75115"</f>
        <v>75115</v>
      </c>
      <c r="H14870" s="34" t="s">
        <v>31723</v>
      </c>
      <c r="I14870" s="35">
        <v>21.251999999999999</v>
      </c>
      <c r="J14870" s="47" t="s">
        <v>8</v>
      </c>
      <c r="K14870" s="23" t="s">
        <v>8</v>
      </c>
      <c r="L14870" s="23" t="s">
        <v>8</v>
      </c>
      <c r="M14870" s="23" t="s">
        <v>8</v>
      </c>
    </row>
    <row r="14871" spans="1:13" s="21" customFormat="1" x14ac:dyDescent="0.25">
      <c r="A14871" s="22" t="s">
        <v>8</v>
      </c>
      <c r="B14871" s="18" t="str">
        <f>"675757"</f>
        <v>675757</v>
      </c>
      <c r="C14871" s="19" t="s">
        <v>14590</v>
      </c>
      <c r="D14871" s="19" t="s">
        <v>30261</v>
      </c>
      <c r="E14871" s="19" t="s">
        <v>31723</v>
      </c>
      <c r="F14871" s="19" t="s">
        <v>36018</v>
      </c>
      <c r="G14871" s="33" t="str">
        <f>"75254"</f>
        <v>75254</v>
      </c>
      <c r="H14871" s="34" t="s">
        <v>31723</v>
      </c>
      <c r="I14871" s="35">
        <v>17.094999999999999</v>
      </c>
      <c r="J14871" s="47" t="s">
        <v>8</v>
      </c>
      <c r="K14871" s="23" t="s">
        <v>8</v>
      </c>
      <c r="L14871" s="23" t="s">
        <v>8</v>
      </c>
      <c r="M14871" s="23" t="s">
        <v>8</v>
      </c>
    </row>
    <row r="14872" spans="1:13" s="21" customFormat="1" x14ac:dyDescent="0.25">
      <c r="A14872" s="22" t="s">
        <v>8</v>
      </c>
      <c r="B14872" s="18" t="str">
        <f>"675759"</f>
        <v>675759</v>
      </c>
      <c r="C14872" s="19" t="s">
        <v>14591</v>
      </c>
      <c r="D14872" s="19" t="s">
        <v>30262</v>
      </c>
      <c r="E14872" s="19" t="s">
        <v>35245</v>
      </c>
      <c r="F14872" s="19" t="s">
        <v>36018</v>
      </c>
      <c r="G14872" s="33" t="str">
        <f>"76109"</f>
        <v>76109</v>
      </c>
      <c r="H14872" s="34" t="s">
        <v>36806</v>
      </c>
      <c r="I14872" s="35">
        <v>19.734999999999999</v>
      </c>
      <c r="J14872" s="47" t="s">
        <v>8</v>
      </c>
      <c r="K14872" s="23" t="s">
        <v>8</v>
      </c>
      <c r="L14872" s="23" t="s">
        <v>8</v>
      </c>
      <c r="M14872" s="23" t="s">
        <v>8</v>
      </c>
    </row>
    <row r="14873" spans="1:13" s="21" customFormat="1" x14ac:dyDescent="0.25">
      <c r="A14873" s="22" t="s">
        <v>8</v>
      </c>
      <c r="B14873" s="18" t="str">
        <f>"675764"</f>
        <v>675764</v>
      </c>
      <c r="C14873" s="19" t="s">
        <v>14592</v>
      </c>
      <c r="D14873" s="19" t="s">
        <v>30263</v>
      </c>
      <c r="E14873" s="19" t="s">
        <v>33493</v>
      </c>
      <c r="F14873" s="19" t="s">
        <v>36018</v>
      </c>
      <c r="G14873" s="33" t="str">
        <f>"77055"</f>
        <v>77055</v>
      </c>
      <c r="H14873" s="34" t="s">
        <v>34183</v>
      </c>
      <c r="I14873" s="35">
        <v>16.977</v>
      </c>
      <c r="J14873" s="47" t="s">
        <v>8</v>
      </c>
      <c r="K14873" s="23" t="s">
        <v>8</v>
      </c>
      <c r="L14873" s="23" t="s">
        <v>8</v>
      </c>
      <c r="M14873" s="23" t="s">
        <v>8</v>
      </c>
    </row>
    <row r="14874" spans="1:13" s="21" customFormat="1" x14ac:dyDescent="0.25">
      <c r="A14874" s="22" t="s">
        <v>8</v>
      </c>
      <c r="B14874" s="18" t="str">
        <f>"675765"</f>
        <v>675765</v>
      </c>
      <c r="C14874" s="19" t="s">
        <v>14593</v>
      </c>
      <c r="D14874" s="19" t="s">
        <v>30264</v>
      </c>
      <c r="E14874" s="19" t="s">
        <v>31723</v>
      </c>
      <c r="F14874" s="19" t="s">
        <v>36018</v>
      </c>
      <c r="G14874" s="33" t="str">
        <f>"75231"</f>
        <v>75231</v>
      </c>
      <c r="H14874" s="34" t="s">
        <v>31723</v>
      </c>
      <c r="I14874" s="35">
        <v>22.449000000000002</v>
      </c>
      <c r="J14874" s="47" t="s">
        <v>8</v>
      </c>
      <c r="K14874" s="23" t="s">
        <v>8</v>
      </c>
      <c r="L14874" s="23" t="s">
        <v>8</v>
      </c>
      <c r="M14874" s="23" t="s">
        <v>8</v>
      </c>
    </row>
    <row r="14875" spans="1:13" s="21" customFormat="1" x14ac:dyDescent="0.25">
      <c r="A14875" s="22" t="s">
        <v>8</v>
      </c>
      <c r="B14875" s="18" t="str">
        <f>"675766"</f>
        <v>675766</v>
      </c>
      <c r="C14875" s="19" t="s">
        <v>14594</v>
      </c>
      <c r="D14875" s="19" t="s">
        <v>30265</v>
      </c>
      <c r="E14875" s="19" t="s">
        <v>35284</v>
      </c>
      <c r="F14875" s="19" t="s">
        <v>36018</v>
      </c>
      <c r="G14875" s="33" t="str">
        <f>"77901"</f>
        <v>77901</v>
      </c>
      <c r="H14875" s="34" t="s">
        <v>35284</v>
      </c>
      <c r="I14875" s="35">
        <v>20.757000000000001</v>
      </c>
      <c r="J14875" s="47" t="s">
        <v>8</v>
      </c>
      <c r="K14875" s="23" t="s">
        <v>8</v>
      </c>
      <c r="L14875" s="23" t="s">
        <v>8</v>
      </c>
      <c r="M14875" s="23" t="s">
        <v>8</v>
      </c>
    </row>
    <row r="14876" spans="1:13" s="21" customFormat="1" x14ac:dyDescent="0.25">
      <c r="A14876" s="22" t="s">
        <v>8</v>
      </c>
      <c r="B14876" s="18" t="str">
        <f>"675767"</f>
        <v>675767</v>
      </c>
      <c r="C14876" s="19" t="s">
        <v>14595</v>
      </c>
      <c r="D14876" s="19" t="s">
        <v>30266</v>
      </c>
      <c r="E14876" s="19" t="s">
        <v>35241</v>
      </c>
      <c r="F14876" s="19" t="s">
        <v>36018</v>
      </c>
      <c r="G14876" s="33" t="str">
        <f>"76901"</f>
        <v>76901</v>
      </c>
      <c r="H14876" s="34" t="s">
        <v>36802</v>
      </c>
      <c r="I14876" s="35">
        <v>22.091000000000001</v>
      </c>
      <c r="J14876" s="47" t="s">
        <v>8</v>
      </c>
      <c r="K14876" s="23" t="s">
        <v>8</v>
      </c>
      <c r="L14876" s="23" t="s">
        <v>8</v>
      </c>
      <c r="M14876" s="23" t="s">
        <v>8</v>
      </c>
    </row>
    <row r="14877" spans="1:13" s="21" customFormat="1" x14ac:dyDescent="0.25">
      <c r="A14877" s="22" t="s">
        <v>8</v>
      </c>
      <c r="B14877" s="18" t="str">
        <f>"675768"</f>
        <v>675768</v>
      </c>
      <c r="C14877" s="19" t="s">
        <v>14596</v>
      </c>
      <c r="D14877" s="19" t="s">
        <v>30267</v>
      </c>
      <c r="E14877" s="19" t="s">
        <v>31965</v>
      </c>
      <c r="F14877" s="19" t="s">
        <v>36018</v>
      </c>
      <c r="G14877" s="33" t="str">
        <f>"79930"</f>
        <v>79930</v>
      </c>
      <c r="H14877" s="34" t="s">
        <v>31965</v>
      </c>
      <c r="I14877" s="35">
        <v>18.689</v>
      </c>
      <c r="J14877" s="47" t="s">
        <v>8</v>
      </c>
      <c r="K14877" s="23" t="s">
        <v>8</v>
      </c>
      <c r="L14877" s="23" t="s">
        <v>8</v>
      </c>
      <c r="M14877" s="23" t="s">
        <v>8</v>
      </c>
    </row>
    <row r="14878" spans="1:13" s="21" customFormat="1" x14ac:dyDescent="0.25">
      <c r="A14878" s="22" t="s">
        <v>8</v>
      </c>
      <c r="B14878" s="18" t="str">
        <f>"675769"</f>
        <v>675769</v>
      </c>
      <c r="C14878" s="19" t="s">
        <v>14597</v>
      </c>
      <c r="D14878" s="19" t="s">
        <v>30268</v>
      </c>
      <c r="E14878" s="19" t="s">
        <v>31404</v>
      </c>
      <c r="F14878" s="19" t="s">
        <v>36018</v>
      </c>
      <c r="G14878" s="33" t="str">
        <f>"79553"</f>
        <v>79553</v>
      </c>
      <c r="H14878" s="34" t="s">
        <v>34651</v>
      </c>
      <c r="I14878" s="35">
        <v>20.547000000000001</v>
      </c>
      <c r="J14878" s="47" t="s">
        <v>8</v>
      </c>
      <c r="K14878" s="23" t="s">
        <v>8</v>
      </c>
      <c r="L14878" s="23" t="s">
        <v>8</v>
      </c>
      <c r="M14878" s="23" t="s">
        <v>8</v>
      </c>
    </row>
    <row r="14879" spans="1:13" s="21" customFormat="1" x14ac:dyDescent="0.25">
      <c r="A14879" s="22" t="s">
        <v>8</v>
      </c>
      <c r="B14879" s="18" t="str">
        <f>"675773"</f>
        <v>675773</v>
      </c>
      <c r="C14879" s="19" t="s">
        <v>14598</v>
      </c>
      <c r="D14879" s="19" t="s">
        <v>30269</v>
      </c>
      <c r="E14879" s="19" t="s">
        <v>35243</v>
      </c>
      <c r="F14879" s="19" t="s">
        <v>36018</v>
      </c>
      <c r="G14879" s="33" t="str">
        <f>"78401"</f>
        <v>78401</v>
      </c>
      <c r="H14879" s="34" t="s">
        <v>36804</v>
      </c>
      <c r="I14879" s="35">
        <v>19.181999999999999</v>
      </c>
      <c r="J14879" s="47" t="s">
        <v>8</v>
      </c>
      <c r="K14879" s="23" t="s">
        <v>8</v>
      </c>
      <c r="L14879" s="23" t="s">
        <v>8</v>
      </c>
      <c r="M14879" s="23" t="s">
        <v>8</v>
      </c>
    </row>
    <row r="14880" spans="1:13" s="21" customFormat="1" x14ac:dyDescent="0.25">
      <c r="A14880" s="22" t="s">
        <v>8</v>
      </c>
      <c r="B14880" s="18" t="str">
        <f>"675774"</f>
        <v>675774</v>
      </c>
      <c r="C14880" s="19" t="s">
        <v>14599</v>
      </c>
      <c r="D14880" s="19" t="s">
        <v>30270</v>
      </c>
      <c r="E14880" s="19" t="s">
        <v>30817</v>
      </c>
      <c r="F14880" s="19" t="s">
        <v>36018</v>
      </c>
      <c r="G14880" s="33" t="str">
        <f>"75402"</f>
        <v>75402</v>
      </c>
      <c r="H14880" s="34" t="s">
        <v>36950</v>
      </c>
      <c r="I14880" s="35">
        <v>22.949000000000002</v>
      </c>
      <c r="J14880" s="47" t="s">
        <v>8</v>
      </c>
      <c r="K14880" s="23" t="s">
        <v>8</v>
      </c>
      <c r="L14880" s="23" t="s">
        <v>8</v>
      </c>
      <c r="M14880" s="23" t="s">
        <v>8</v>
      </c>
    </row>
    <row r="14881" spans="1:13" s="21" customFormat="1" x14ac:dyDescent="0.25">
      <c r="A14881" s="22" t="s">
        <v>8</v>
      </c>
      <c r="B14881" s="18" t="str">
        <f>"675777"</f>
        <v>675777</v>
      </c>
      <c r="C14881" s="19" t="s">
        <v>14600</v>
      </c>
      <c r="D14881" s="19" t="s">
        <v>30271</v>
      </c>
      <c r="E14881" s="19" t="s">
        <v>33493</v>
      </c>
      <c r="F14881" s="19" t="s">
        <v>36018</v>
      </c>
      <c r="G14881" s="33" t="str">
        <f>"77077"</f>
        <v>77077</v>
      </c>
      <c r="H14881" s="34" t="s">
        <v>34183</v>
      </c>
      <c r="I14881" s="35">
        <v>17.443000000000001</v>
      </c>
      <c r="J14881" s="47" t="s">
        <v>8</v>
      </c>
      <c r="K14881" s="23" t="s">
        <v>8</v>
      </c>
      <c r="L14881" s="23" t="s">
        <v>8</v>
      </c>
      <c r="M14881" s="23" t="s">
        <v>8</v>
      </c>
    </row>
    <row r="14882" spans="1:13" s="21" customFormat="1" x14ac:dyDescent="0.25">
      <c r="A14882" s="22" t="s">
        <v>8</v>
      </c>
      <c r="B14882" s="18" t="str">
        <f>"675779"</f>
        <v>675779</v>
      </c>
      <c r="C14882" s="19" t="s">
        <v>14601</v>
      </c>
      <c r="D14882" s="19" t="s">
        <v>30272</v>
      </c>
      <c r="E14882" s="19" t="s">
        <v>35245</v>
      </c>
      <c r="F14882" s="19" t="s">
        <v>36018</v>
      </c>
      <c r="G14882" s="33" t="str">
        <f>"76106"</f>
        <v>76106</v>
      </c>
      <c r="H14882" s="34" t="s">
        <v>36806</v>
      </c>
      <c r="I14882" s="35">
        <v>20.210999999999999</v>
      </c>
      <c r="J14882" s="47" t="s">
        <v>8</v>
      </c>
      <c r="K14882" s="23" t="s">
        <v>8</v>
      </c>
      <c r="L14882" s="23" t="s">
        <v>8</v>
      </c>
      <c r="M14882" s="23" t="s">
        <v>8</v>
      </c>
    </row>
    <row r="14883" spans="1:13" s="21" customFormat="1" x14ac:dyDescent="0.25">
      <c r="A14883" s="22" t="s">
        <v>8</v>
      </c>
      <c r="B14883" s="18" t="str">
        <f>"675782"</f>
        <v>675782</v>
      </c>
      <c r="C14883" s="19" t="s">
        <v>14602</v>
      </c>
      <c r="D14883" s="19" t="s">
        <v>30273</v>
      </c>
      <c r="E14883" s="19" t="s">
        <v>35217</v>
      </c>
      <c r="F14883" s="19" t="s">
        <v>36018</v>
      </c>
      <c r="G14883" s="33" t="str">
        <f>"79501"</f>
        <v>79501</v>
      </c>
      <c r="H14883" s="34" t="s">
        <v>34651</v>
      </c>
      <c r="I14883" s="35">
        <v>19.783000000000001</v>
      </c>
      <c r="J14883" s="47" t="s">
        <v>8</v>
      </c>
      <c r="K14883" s="23" t="s">
        <v>8</v>
      </c>
      <c r="L14883" s="23" t="s">
        <v>8</v>
      </c>
      <c r="M14883" s="23" t="s">
        <v>8</v>
      </c>
    </row>
    <row r="14884" spans="1:13" s="21" customFormat="1" x14ac:dyDescent="0.25">
      <c r="A14884" s="22" t="s">
        <v>8</v>
      </c>
      <c r="B14884" s="18" t="str">
        <f>"675783"</f>
        <v>675783</v>
      </c>
      <c r="C14884" s="19" t="s">
        <v>14603</v>
      </c>
      <c r="D14884" s="19" t="s">
        <v>30274</v>
      </c>
      <c r="E14884" s="19" t="s">
        <v>31723</v>
      </c>
      <c r="F14884" s="19" t="s">
        <v>36018</v>
      </c>
      <c r="G14884" s="33" t="str">
        <f>"75211"</f>
        <v>75211</v>
      </c>
      <c r="H14884" s="34" t="s">
        <v>31723</v>
      </c>
      <c r="I14884" s="35">
        <v>19.606000000000002</v>
      </c>
      <c r="J14884" s="47" t="s">
        <v>8</v>
      </c>
      <c r="K14884" s="23" t="s">
        <v>8</v>
      </c>
      <c r="L14884" s="23" t="s">
        <v>8</v>
      </c>
      <c r="M14884" s="23" t="s">
        <v>8</v>
      </c>
    </row>
    <row r="14885" spans="1:13" s="21" customFormat="1" x14ac:dyDescent="0.25">
      <c r="A14885" s="22" t="s">
        <v>8</v>
      </c>
      <c r="B14885" s="18" t="str">
        <f>"675785"</f>
        <v>675785</v>
      </c>
      <c r="C14885" s="19" t="s">
        <v>14604</v>
      </c>
      <c r="D14885" s="19" t="s">
        <v>30275</v>
      </c>
      <c r="E14885" s="19" t="s">
        <v>35851</v>
      </c>
      <c r="F14885" s="19" t="s">
        <v>36018</v>
      </c>
      <c r="G14885" s="33" t="str">
        <f>"78539"</f>
        <v>78539</v>
      </c>
      <c r="H14885" s="34" t="s">
        <v>36592</v>
      </c>
      <c r="I14885" s="35">
        <v>19.074999999999999</v>
      </c>
      <c r="J14885" s="47" t="s">
        <v>8</v>
      </c>
      <c r="K14885" s="23" t="s">
        <v>8</v>
      </c>
      <c r="L14885" s="23" t="s">
        <v>8</v>
      </c>
      <c r="M14885" s="23" t="s">
        <v>8</v>
      </c>
    </row>
    <row r="14886" spans="1:13" s="21" customFormat="1" x14ac:dyDescent="0.25">
      <c r="A14886" s="22" t="s">
        <v>8</v>
      </c>
      <c r="B14886" s="18" t="str">
        <f>"675786"</f>
        <v>675786</v>
      </c>
      <c r="C14886" s="19" t="s">
        <v>14605</v>
      </c>
      <c r="D14886" s="19" t="s">
        <v>30276</v>
      </c>
      <c r="E14886" s="19" t="s">
        <v>35244</v>
      </c>
      <c r="F14886" s="19" t="s">
        <v>36018</v>
      </c>
      <c r="G14886" s="33" t="str">
        <f>"78245"</f>
        <v>78245</v>
      </c>
      <c r="H14886" s="34" t="s">
        <v>36805</v>
      </c>
      <c r="I14886" s="35">
        <v>19.146999999999998</v>
      </c>
      <c r="J14886" s="47" t="s">
        <v>8</v>
      </c>
      <c r="K14886" s="23" t="s">
        <v>8</v>
      </c>
      <c r="L14886" s="23" t="s">
        <v>8</v>
      </c>
      <c r="M14886" s="23" t="s">
        <v>8</v>
      </c>
    </row>
    <row r="14887" spans="1:13" s="21" customFormat="1" x14ac:dyDescent="0.25">
      <c r="A14887" s="22" t="s">
        <v>8</v>
      </c>
      <c r="B14887" s="18" t="str">
        <f>"675788"</f>
        <v>675788</v>
      </c>
      <c r="C14887" s="19" t="s">
        <v>14606</v>
      </c>
      <c r="D14887" s="19" t="s">
        <v>30277</v>
      </c>
      <c r="E14887" s="19" t="s">
        <v>31691</v>
      </c>
      <c r="F14887" s="19" t="s">
        <v>36018</v>
      </c>
      <c r="G14887" s="33" t="str">
        <f>"75428"</f>
        <v>75428</v>
      </c>
      <c r="H14887" s="34" t="s">
        <v>36950</v>
      </c>
      <c r="I14887" s="35">
        <v>17.363</v>
      </c>
      <c r="J14887" s="47" t="s">
        <v>8</v>
      </c>
      <c r="K14887" s="23" t="s">
        <v>8</v>
      </c>
      <c r="L14887" s="23" t="s">
        <v>8</v>
      </c>
      <c r="M14887" s="23" t="s">
        <v>8</v>
      </c>
    </row>
    <row r="14888" spans="1:13" s="21" customFormat="1" x14ac:dyDescent="0.25">
      <c r="A14888" s="22" t="s">
        <v>8</v>
      </c>
      <c r="B14888" s="18" t="str">
        <f>"675789"</f>
        <v>675789</v>
      </c>
      <c r="C14888" s="19" t="s">
        <v>12555</v>
      </c>
      <c r="D14888" s="19" t="s">
        <v>30278</v>
      </c>
      <c r="E14888" s="19" t="s">
        <v>33493</v>
      </c>
      <c r="F14888" s="19" t="s">
        <v>36018</v>
      </c>
      <c r="G14888" s="33" t="str">
        <f>"77055"</f>
        <v>77055</v>
      </c>
      <c r="H14888" s="34" t="s">
        <v>34183</v>
      </c>
      <c r="I14888" s="35">
        <v>17.808</v>
      </c>
      <c r="J14888" s="47" t="s">
        <v>8</v>
      </c>
      <c r="K14888" s="23" t="s">
        <v>8</v>
      </c>
      <c r="L14888" s="23" t="s">
        <v>8</v>
      </c>
      <c r="M14888" s="23" t="s">
        <v>8</v>
      </c>
    </row>
    <row r="14889" spans="1:13" s="21" customFormat="1" x14ac:dyDescent="0.25">
      <c r="A14889" s="22" t="s">
        <v>8</v>
      </c>
      <c r="B14889" s="18" t="str">
        <f>"675790"</f>
        <v>675790</v>
      </c>
      <c r="C14889" s="19" t="s">
        <v>14607</v>
      </c>
      <c r="D14889" s="19" t="s">
        <v>30279</v>
      </c>
      <c r="E14889" s="19" t="s">
        <v>35286</v>
      </c>
      <c r="F14889" s="19" t="s">
        <v>36018</v>
      </c>
      <c r="G14889" s="33" t="str">
        <f>"75042"</f>
        <v>75042</v>
      </c>
      <c r="H14889" s="34" t="s">
        <v>31723</v>
      </c>
      <c r="I14889" s="35">
        <v>20.74</v>
      </c>
      <c r="J14889" s="47" t="s">
        <v>8</v>
      </c>
      <c r="K14889" s="23" t="s">
        <v>8</v>
      </c>
      <c r="L14889" s="23" t="s">
        <v>8</v>
      </c>
      <c r="M14889" s="23" t="s">
        <v>8</v>
      </c>
    </row>
    <row r="14890" spans="1:13" s="21" customFormat="1" x14ac:dyDescent="0.25">
      <c r="A14890" s="22" t="s">
        <v>8</v>
      </c>
      <c r="B14890" s="18" t="str">
        <f>"675791"</f>
        <v>675791</v>
      </c>
      <c r="C14890" s="19" t="s">
        <v>14608</v>
      </c>
      <c r="D14890" s="19" t="s">
        <v>30280</v>
      </c>
      <c r="E14890" s="19" t="s">
        <v>33493</v>
      </c>
      <c r="F14890" s="19" t="s">
        <v>36018</v>
      </c>
      <c r="G14890" s="33" t="str">
        <f>"77061"</f>
        <v>77061</v>
      </c>
      <c r="H14890" s="34" t="s">
        <v>34183</v>
      </c>
      <c r="I14890" s="35">
        <v>20.992999999999999</v>
      </c>
      <c r="J14890" s="47" t="s">
        <v>8</v>
      </c>
      <c r="K14890" s="23" t="s">
        <v>8</v>
      </c>
      <c r="L14890" s="23" t="s">
        <v>8</v>
      </c>
      <c r="M14890" s="23" t="s">
        <v>8</v>
      </c>
    </row>
    <row r="14891" spans="1:13" s="21" customFormat="1" x14ac:dyDescent="0.25">
      <c r="A14891" s="22" t="s">
        <v>8</v>
      </c>
      <c r="B14891" s="18" t="str">
        <f>"675792"</f>
        <v>675792</v>
      </c>
      <c r="C14891" s="19" t="s">
        <v>14609</v>
      </c>
      <c r="D14891" s="19" t="s">
        <v>30281</v>
      </c>
      <c r="E14891" s="19" t="s">
        <v>31481</v>
      </c>
      <c r="F14891" s="19" t="s">
        <v>36018</v>
      </c>
      <c r="G14891" s="33" t="str">
        <f>"76063"</f>
        <v>76063</v>
      </c>
      <c r="H14891" s="34" t="s">
        <v>36806</v>
      </c>
      <c r="I14891" s="35">
        <v>17.61</v>
      </c>
      <c r="J14891" s="47" t="s">
        <v>8</v>
      </c>
      <c r="K14891" s="23" t="s">
        <v>8</v>
      </c>
      <c r="L14891" s="23" t="s">
        <v>8</v>
      </c>
      <c r="M14891" s="23" t="s">
        <v>8</v>
      </c>
    </row>
    <row r="14892" spans="1:13" s="21" customFormat="1" x14ac:dyDescent="0.25">
      <c r="A14892" s="22" t="s">
        <v>8</v>
      </c>
      <c r="B14892" s="18" t="str">
        <f>"675793"</f>
        <v>675793</v>
      </c>
      <c r="C14892" s="19" t="s">
        <v>14610</v>
      </c>
      <c r="D14892" s="19" t="s">
        <v>30282</v>
      </c>
      <c r="E14892" s="19" t="s">
        <v>33493</v>
      </c>
      <c r="F14892" s="19" t="s">
        <v>36018</v>
      </c>
      <c r="G14892" s="33" t="str">
        <f>"77008"</f>
        <v>77008</v>
      </c>
      <c r="H14892" s="34" t="s">
        <v>34183</v>
      </c>
      <c r="I14892" s="35">
        <v>18.305</v>
      </c>
      <c r="J14892" s="47" t="s">
        <v>8</v>
      </c>
      <c r="K14892" s="23" t="s">
        <v>8</v>
      </c>
      <c r="L14892" s="23" t="s">
        <v>8</v>
      </c>
      <c r="M14892" s="23" t="s">
        <v>8</v>
      </c>
    </row>
    <row r="14893" spans="1:13" s="21" customFormat="1" x14ac:dyDescent="0.25">
      <c r="A14893" s="22" t="s">
        <v>8</v>
      </c>
      <c r="B14893" s="18" t="str">
        <f>"675795"</f>
        <v>675795</v>
      </c>
      <c r="C14893" s="19" t="s">
        <v>14611</v>
      </c>
      <c r="D14893" s="19" t="s">
        <v>30283</v>
      </c>
      <c r="E14893" s="19" t="s">
        <v>35244</v>
      </c>
      <c r="F14893" s="19" t="s">
        <v>36018</v>
      </c>
      <c r="G14893" s="33" t="str">
        <f>"78212"</f>
        <v>78212</v>
      </c>
      <c r="H14893" s="34" t="s">
        <v>36805</v>
      </c>
      <c r="I14893" s="35">
        <v>17.802</v>
      </c>
      <c r="J14893" s="47" t="s">
        <v>8</v>
      </c>
      <c r="K14893" s="23" t="s">
        <v>8</v>
      </c>
      <c r="L14893" s="23" t="s">
        <v>8</v>
      </c>
      <c r="M14893" s="23" t="s">
        <v>8</v>
      </c>
    </row>
    <row r="14894" spans="1:13" s="21" customFormat="1" x14ac:dyDescent="0.25">
      <c r="A14894" s="22" t="s">
        <v>8</v>
      </c>
      <c r="B14894" s="18" t="str">
        <f>"675796"</f>
        <v>675796</v>
      </c>
      <c r="C14894" s="19" t="s">
        <v>14612</v>
      </c>
      <c r="D14894" s="19" t="s">
        <v>30284</v>
      </c>
      <c r="E14894" s="19" t="s">
        <v>35892</v>
      </c>
      <c r="F14894" s="19" t="s">
        <v>36018</v>
      </c>
      <c r="G14894" s="33" t="str">
        <f>"78361"</f>
        <v>78361</v>
      </c>
      <c r="H14894" s="34" t="s">
        <v>36970</v>
      </c>
      <c r="I14894" s="35">
        <v>19.088999999999999</v>
      </c>
      <c r="J14894" s="47" t="s">
        <v>8</v>
      </c>
      <c r="K14894" s="23" t="s">
        <v>8</v>
      </c>
      <c r="L14894" s="23" t="s">
        <v>8</v>
      </c>
      <c r="M14894" s="23" t="s">
        <v>8</v>
      </c>
    </row>
    <row r="14895" spans="1:13" s="21" customFormat="1" x14ac:dyDescent="0.25">
      <c r="A14895" s="22" t="s">
        <v>8</v>
      </c>
      <c r="B14895" s="18" t="str">
        <f>"675797"</f>
        <v>675797</v>
      </c>
      <c r="C14895" s="19" t="s">
        <v>14613</v>
      </c>
      <c r="D14895" s="19" t="s">
        <v>30285</v>
      </c>
      <c r="E14895" s="19" t="s">
        <v>34717</v>
      </c>
      <c r="F14895" s="19" t="s">
        <v>36018</v>
      </c>
      <c r="G14895" s="33" t="str">
        <f>"76504"</f>
        <v>76504</v>
      </c>
      <c r="H14895" s="34" t="s">
        <v>31306</v>
      </c>
      <c r="I14895" s="35">
        <v>16.742999999999999</v>
      </c>
      <c r="J14895" s="47" t="s">
        <v>8</v>
      </c>
      <c r="K14895" s="23" t="s">
        <v>8</v>
      </c>
      <c r="L14895" s="23" t="s">
        <v>8</v>
      </c>
      <c r="M14895" s="23" t="s">
        <v>8</v>
      </c>
    </row>
    <row r="14896" spans="1:13" s="21" customFormat="1" x14ac:dyDescent="0.25">
      <c r="A14896" s="22" t="s">
        <v>8</v>
      </c>
      <c r="B14896" s="18" t="str">
        <f>"675798"</f>
        <v>675798</v>
      </c>
      <c r="C14896" s="19" t="s">
        <v>14614</v>
      </c>
      <c r="D14896" s="19" t="s">
        <v>30286</v>
      </c>
      <c r="E14896" s="19" t="s">
        <v>35893</v>
      </c>
      <c r="F14896" s="19" t="s">
        <v>36018</v>
      </c>
      <c r="G14896" s="33" t="str">
        <f>"77665"</f>
        <v>77665</v>
      </c>
      <c r="H14896" s="34" t="s">
        <v>36037</v>
      </c>
      <c r="I14896" s="35">
        <v>17.93</v>
      </c>
      <c r="J14896" s="47" t="s">
        <v>8</v>
      </c>
      <c r="K14896" s="23" t="s">
        <v>8</v>
      </c>
      <c r="L14896" s="23" t="s">
        <v>8</v>
      </c>
      <c r="M14896" s="23" t="s">
        <v>8</v>
      </c>
    </row>
    <row r="14897" spans="1:13" s="21" customFormat="1" x14ac:dyDescent="0.25">
      <c r="A14897" s="22" t="s">
        <v>8</v>
      </c>
      <c r="B14897" s="18" t="str">
        <f>"675799"</f>
        <v>675799</v>
      </c>
      <c r="C14897" s="19" t="s">
        <v>14615</v>
      </c>
      <c r="D14897" s="19" t="s">
        <v>30287</v>
      </c>
      <c r="E14897" s="19" t="s">
        <v>35223</v>
      </c>
      <c r="F14897" s="19" t="s">
        <v>36018</v>
      </c>
      <c r="G14897" s="33" t="str">
        <f>"77833"</f>
        <v>77833</v>
      </c>
      <c r="H14897" s="34" t="s">
        <v>31500</v>
      </c>
      <c r="I14897" s="35">
        <v>19.065000000000001</v>
      </c>
      <c r="J14897" s="47" t="s">
        <v>8</v>
      </c>
      <c r="K14897" s="23" t="s">
        <v>8</v>
      </c>
      <c r="L14897" s="23" t="s">
        <v>8</v>
      </c>
      <c r="M14897" s="23" t="s">
        <v>8</v>
      </c>
    </row>
    <row r="14898" spans="1:13" s="21" customFormat="1" x14ac:dyDescent="0.25">
      <c r="A14898" s="22" t="s">
        <v>8</v>
      </c>
      <c r="B14898" s="18" t="str">
        <f>"675800"</f>
        <v>675800</v>
      </c>
      <c r="C14898" s="19" t="s">
        <v>14616</v>
      </c>
      <c r="D14898" s="19" t="s">
        <v>30288</v>
      </c>
      <c r="E14898" s="19" t="s">
        <v>35219</v>
      </c>
      <c r="F14898" s="19" t="s">
        <v>36018</v>
      </c>
      <c r="G14898" s="33" t="str">
        <f>"78840"</f>
        <v>78840</v>
      </c>
      <c r="H14898" s="34" t="s">
        <v>36789</v>
      </c>
      <c r="I14898" s="35">
        <v>17.516999999999999</v>
      </c>
      <c r="J14898" s="47" t="s">
        <v>8</v>
      </c>
      <c r="K14898" s="23" t="s">
        <v>8</v>
      </c>
      <c r="L14898" s="23" t="s">
        <v>8</v>
      </c>
      <c r="M14898" s="23" t="s">
        <v>8</v>
      </c>
    </row>
    <row r="14899" spans="1:13" s="21" customFormat="1" x14ac:dyDescent="0.25">
      <c r="A14899" s="22" t="s">
        <v>8</v>
      </c>
      <c r="B14899" s="18" t="str">
        <f>"675801"</f>
        <v>675801</v>
      </c>
      <c r="C14899" s="19" t="s">
        <v>14617</v>
      </c>
      <c r="D14899" s="19" t="s">
        <v>30289</v>
      </c>
      <c r="E14899" s="19" t="s">
        <v>35875</v>
      </c>
      <c r="F14899" s="19" t="s">
        <v>36018</v>
      </c>
      <c r="G14899" s="33" t="str">
        <f>"75644"</f>
        <v>75644</v>
      </c>
      <c r="H14899" s="34" t="s">
        <v>36915</v>
      </c>
      <c r="I14899" s="35">
        <v>18.082000000000001</v>
      </c>
      <c r="J14899" s="47" t="s">
        <v>8</v>
      </c>
      <c r="K14899" s="23" t="s">
        <v>8</v>
      </c>
      <c r="L14899" s="23" t="s">
        <v>8</v>
      </c>
      <c r="M14899" s="23" t="s">
        <v>8</v>
      </c>
    </row>
    <row r="14900" spans="1:13" s="21" customFormat="1" x14ac:dyDescent="0.25">
      <c r="A14900" s="22" t="s">
        <v>8</v>
      </c>
      <c r="B14900" s="18" t="str">
        <f>"675802"</f>
        <v>675802</v>
      </c>
      <c r="C14900" s="19" t="s">
        <v>14618</v>
      </c>
      <c r="D14900" s="19" t="s">
        <v>30290</v>
      </c>
      <c r="E14900" s="19" t="s">
        <v>35894</v>
      </c>
      <c r="F14900" s="19" t="s">
        <v>36018</v>
      </c>
      <c r="G14900" s="33" t="str">
        <f>"75143"</f>
        <v>75143</v>
      </c>
      <c r="H14900" s="34" t="s">
        <v>35313</v>
      </c>
      <c r="I14900" s="35">
        <v>21.859000000000002</v>
      </c>
      <c r="J14900" s="47" t="s">
        <v>8</v>
      </c>
      <c r="K14900" s="23" t="s">
        <v>8</v>
      </c>
      <c r="L14900" s="23" t="s">
        <v>8</v>
      </c>
      <c r="M14900" s="23" t="s">
        <v>8</v>
      </c>
    </row>
    <row r="14901" spans="1:13" s="21" customFormat="1" x14ac:dyDescent="0.25">
      <c r="A14901" s="22" t="s">
        <v>8</v>
      </c>
      <c r="B14901" s="18" t="str">
        <f>"675806"</f>
        <v>675806</v>
      </c>
      <c r="C14901" s="19" t="s">
        <v>14619</v>
      </c>
      <c r="D14901" s="19" t="s">
        <v>30291</v>
      </c>
      <c r="E14901" s="19" t="s">
        <v>35895</v>
      </c>
      <c r="F14901" s="19" t="s">
        <v>36018</v>
      </c>
      <c r="G14901" s="33" t="str">
        <f>"75116"</f>
        <v>75116</v>
      </c>
      <c r="H14901" s="34" t="s">
        <v>31723</v>
      </c>
      <c r="I14901" s="35">
        <v>19.111000000000001</v>
      </c>
      <c r="J14901" s="47" t="s">
        <v>8</v>
      </c>
      <c r="K14901" s="23" t="s">
        <v>8</v>
      </c>
      <c r="L14901" s="23" t="s">
        <v>8</v>
      </c>
      <c r="M14901" s="23" t="s">
        <v>8</v>
      </c>
    </row>
    <row r="14902" spans="1:13" s="21" customFormat="1" x14ac:dyDescent="0.25">
      <c r="A14902" s="22" t="s">
        <v>8</v>
      </c>
      <c r="B14902" s="18" t="str">
        <f>"675808"</f>
        <v>675808</v>
      </c>
      <c r="C14902" s="19" t="s">
        <v>4977</v>
      </c>
      <c r="D14902" s="19" t="s">
        <v>30292</v>
      </c>
      <c r="E14902" s="19" t="s">
        <v>35805</v>
      </c>
      <c r="F14902" s="19" t="s">
        <v>36018</v>
      </c>
      <c r="G14902" s="33" t="str">
        <f>"75160"</f>
        <v>75160</v>
      </c>
      <c r="H14902" s="34" t="s">
        <v>35313</v>
      </c>
      <c r="I14902" s="35">
        <v>22.353000000000002</v>
      </c>
      <c r="J14902" s="47" t="s">
        <v>8</v>
      </c>
      <c r="K14902" s="23" t="s">
        <v>8</v>
      </c>
      <c r="L14902" s="23" t="s">
        <v>8</v>
      </c>
      <c r="M14902" s="23" t="s">
        <v>8</v>
      </c>
    </row>
    <row r="14903" spans="1:13" s="21" customFormat="1" x14ac:dyDescent="0.25">
      <c r="A14903" s="22" t="s">
        <v>8</v>
      </c>
      <c r="B14903" s="18" t="str">
        <f>"675809"</f>
        <v>675809</v>
      </c>
      <c r="C14903" s="19" t="s">
        <v>14620</v>
      </c>
      <c r="D14903" s="19" t="s">
        <v>30293</v>
      </c>
      <c r="E14903" s="19" t="s">
        <v>31184</v>
      </c>
      <c r="F14903" s="19" t="s">
        <v>36018</v>
      </c>
      <c r="G14903" s="33" t="str">
        <f>"75146"</f>
        <v>75146</v>
      </c>
      <c r="H14903" s="34" t="s">
        <v>31723</v>
      </c>
      <c r="I14903" s="35">
        <v>18.763999999999999</v>
      </c>
      <c r="J14903" s="47" t="s">
        <v>8</v>
      </c>
      <c r="K14903" s="23" t="s">
        <v>8</v>
      </c>
      <c r="L14903" s="23" t="s">
        <v>8</v>
      </c>
      <c r="M14903" s="23" t="s">
        <v>8</v>
      </c>
    </row>
    <row r="14904" spans="1:13" s="21" customFormat="1" x14ac:dyDescent="0.25">
      <c r="A14904" s="22" t="s">
        <v>8</v>
      </c>
      <c r="B14904" s="18" t="str">
        <f>"675810"</f>
        <v>675810</v>
      </c>
      <c r="C14904" s="19" t="s">
        <v>14621</v>
      </c>
      <c r="D14904" s="19" t="s">
        <v>30294</v>
      </c>
      <c r="E14904" s="19" t="s">
        <v>31184</v>
      </c>
      <c r="F14904" s="19" t="s">
        <v>36018</v>
      </c>
      <c r="G14904" s="33" t="str">
        <f>"75134"</f>
        <v>75134</v>
      </c>
      <c r="H14904" s="34" t="s">
        <v>31723</v>
      </c>
      <c r="I14904" s="35">
        <v>18.562000000000001</v>
      </c>
      <c r="J14904" s="47" t="s">
        <v>8</v>
      </c>
      <c r="K14904" s="23" t="s">
        <v>8</v>
      </c>
      <c r="L14904" s="23" t="s">
        <v>8</v>
      </c>
      <c r="M14904" s="23" t="s">
        <v>8</v>
      </c>
    </row>
    <row r="14905" spans="1:13" s="21" customFormat="1" x14ac:dyDescent="0.25">
      <c r="A14905" s="22" t="s">
        <v>8</v>
      </c>
      <c r="B14905" s="18" t="str">
        <f>"675811"</f>
        <v>675811</v>
      </c>
      <c r="C14905" s="19" t="s">
        <v>14622</v>
      </c>
      <c r="D14905" s="19" t="s">
        <v>30295</v>
      </c>
      <c r="E14905" s="19" t="s">
        <v>31332</v>
      </c>
      <c r="F14905" s="19" t="s">
        <v>36018</v>
      </c>
      <c r="G14905" s="33" t="str">
        <f>"75035"</f>
        <v>75035</v>
      </c>
      <c r="H14905" s="34" t="s">
        <v>36828</v>
      </c>
      <c r="I14905" s="35">
        <v>19.13</v>
      </c>
      <c r="J14905" s="47" t="s">
        <v>8</v>
      </c>
      <c r="K14905" s="23" t="s">
        <v>8</v>
      </c>
      <c r="L14905" s="23" t="s">
        <v>8</v>
      </c>
      <c r="M14905" s="23" t="s">
        <v>8</v>
      </c>
    </row>
    <row r="14906" spans="1:13" s="21" customFormat="1" x14ac:dyDescent="0.25">
      <c r="A14906" s="22" t="s">
        <v>8</v>
      </c>
      <c r="B14906" s="18" t="str">
        <f>"675812"</f>
        <v>675812</v>
      </c>
      <c r="C14906" s="19" t="s">
        <v>14623</v>
      </c>
      <c r="D14906" s="19" t="s">
        <v>30296</v>
      </c>
      <c r="E14906" s="19" t="s">
        <v>32782</v>
      </c>
      <c r="F14906" s="19" t="s">
        <v>36018</v>
      </c>
      <c r="G14906" s="33" t="str">
        <f>"75494"</f>
        <v>75494</v>
      </c>
      <c r="H14906" s="34" t="s">
        <v>36673</v>
      </c>
      <c r="I14906" s="35">
        <v>17.771999999999998</v>
      </c>
      <c r="J14906" s="47" t="s">
        <v>8</v>
      </c>
      <c r="K14906" s="23" t="s">
        <v>8</v>
      </c>
      <c r="L14906" s="23" t="s">
        <v>8</v>
      </c>
      <c r="M14906" s="23" t="s">
        <v>8</v>
      </c>
    </row>
    <row r="14907" spans="1:13" s="21" customFormat="1" x14ac:dyDescent="0.25">
      <c r="A14907" s="22" t="s">
        <v>8</v>
      </c>
      <c r="B14907" s="18" t="str">
        <f>"675814"</f>
        <v>675814</v>
      </c>
      <c r="C14907" s="19" t="s">
        <v>14624</v>
      </c>
      <c r="D14907" s="19" t="s">
        <v>30297</v>
      </c>
      <c r="E14907" s="19" t="s">
        <v>35896</v>
      </c>
      <c r="F14907" s="19" t="s">
        <v>36018</v>
      </c>
      <c r="G14907" s="33" t="str">
        <f>"75662"</f>
        <v>75662</v>
      </c>
      <c r="H14907" s="34" t="s">
        <v>36814</v>
      </c>
      <c r="I14907" s="35">
        <v>19.177</v>
      </c>
      <c r="J14907" s="47" t="s">
        <v>8</v>
      </c>
      <c r="K14907" s="23" t="s">
        <v>8</v>
      </c>
      <c r="L14907" s="23" t="s">
        <v>8</v>
      </c>
      <c r="M14907" s="23" t="s">
        <v>8</v>
      </c>
    </row>
    <row r="14908" spans="1:13" s="21" customFormat="1" x14ac:dyDescent="0.25">
      <c r="A14908" s="22" t="s">
        <v>8</v>
      </c>
      <c r="B14908" s="18" t="str">
        <f>"675815"</f>
        <v>675815</v>
      </c>
      <c r="C14908" s="19" t="s">
        <v>14625</v>
      </c>
      <c r="D14908" s="19" t="s">
        <v>30298</v>
      </c>
      <c r="E14908" s="19" t="s">
        <v>34530</v>
      </c>
      <c r="F14908" s="19" t="s">
        <v>36018</v>
      </c>
      <c r="G14908" s="33" t="str">
        <f>"78363"</f>
        <v>78363</v>
      </c>
      <c r="H14908" s="34" t="s">
        <v>36962</v>
      </c>
      <c r="I14908" s="35">
        <v>19.48</v>
      </c>
      <c r="J14908" s="47" t="s">
        <v>8</v>
      </c>
      <c r="K14908" s="23" t="s">
        <v>8</v>
      </c>
      <c r="L14908" s="23" t="s">
        <v>8</v>
      </c>
      <c r="M14908" s="23" t="s">
        <v>8</v>
      </c>
    </row>
    <row r="14909" spans="1:13" s="21" customFormat="1" x14ac:dyDescent="0.25">
      <c r="A14909" s="22" t="s">
        <v>8</v>
      </c>
      <c r="B14909" s="18" t="str">
        <f>"675816"</f>
        <v>675816</v>
      </c>
      <c r="C14909" s="19" t="s">
        <v>14626</v>
      </c>
      <c r="D14909" s="19" t="s">
        <v>30299</v>
      </c>
      <c r="E14909" s="19" t="s">
        <v>35262</v>
      </c>
      <c r="F14909" s="19" t="s">
        <v>36018</v>
      </c>
      <c r="G14909" s="33" t="str">
        <f>"75803"</f>
        <v>75803</v>
      </c>
      <c r="H14909" s="34" t="s">
        <v>32202</v>
      </c>
      <c r="I14909" s="35">
        <v>16.465</v>
      </c>
      <c r="J14909" s="47" t="s">
        <v>8</v>
      </c>
      <c r="K14909" s="23" t="s">
        <v>8</v>
      </c>
      <c r="L14909" s="23" t="s">
        <v>8</v>
      </c>
      <c r="M14909" s="23" t="s">
        <v>8</v>
      </c>
    </row>
    <row r="14910" spans="1:13" s="21" customFormat="1" x14ac:dyDescent="0.25">
      <c r="A14910" s="22" t="s">
        <v>8</v>
      </c>
      <c r="B14910" s="18" t="str">
        <f>"675817"</f>
        <v>675817</v>
      </c>
      <c r="C14910" s="19" t="s">
        <v>14627</v>
      </c>
      <c r="D14910" s="19" t="s">
        <v>30300</v>
      </c>
      <c r="E14910" s="19" t="s">
        <v>35245</v>
      </c>
      <c r="F14910" s="19" t="s">
        <v>36018</v>
      </c>
      <c r="G14910" s="33" t="str">
        <f>"76133"</f>
        <v>76133</v>
      </c>
      <c r="H14910" s="34" t="s">
        <v>36806</v>
      </c>
      <c r="I14910" s="35">
        <v>19.170999999999999</v>
      </c>
      <c r="J14910" s="47" t="s">
        <v>8</v>
      </c>
      <c r="K14910" s="23" t="s">
        <v>8</v>
      </c>
      <c r="L14910" s="23" t="s">
        <v>8</v>
      </c>
      <c r="M14910" s="23" t="s">
        <v>8</v>
      </c>
    </row>
    <row r="14911" spans="1:13" s="21" customFormat="1" x14ac:dyDescent="0.25">
      <c r="A14911" s="22" t="s">
        <v>8</v>
      </c>
      <c r="B14911" s="18" t="str">
        <f>"675818"</f>
        <v>675818</v>
      </c>
      <c r="C14911" s="19" t="s">
        <v>14628</v>
      </c>
      <c r="D14911" s="19" t="s">
        <v>30301</v>
      </c>
      <c r="E14911" s="19" t="s">
        <v>33493</v>
      </c>
      <c r="F14911" s="19" t="s">
        <v>36018</v>
      </c>
      <c r="G14911" s="33" t="str">
        <f>"77064"</f>
        <v>77064</v>
      </c>
      <c r="H14911" s="34" t="s">
        <v>34183</v>
      </c>
      <c r="I14911" s="35">
        <v>17.696000000000002</v>
      </c>
      <c r="J14911" s="47" t="s">
        <v>8</v>
      </c>
      <c r="K14911" s="23" t="s">
        <v>8</v>
      </c>
      <c r="L14911" s="23" t="s">
        <v>8</v>
      </c>
      <c r="M14911" s="23" t="s">
        <v>8</v>
      </c>
    </row>
    <row r="14912" spans="1:13" s="21" customFormat="1" x14ac:dyDescent="0.25">
      <c r="A14912" s="22" t="s">
        <v>8</v>
      </c>
      <c r="B14912" s="18" t="str">
        <f>"675819"</f>
        <v>675819</v>
      </c>
      <c r="C14912" s="19" t="s">
        <v>14629</v>
      </c>
      <c r="D14912" s="19" t="s">
        <v>30302</v>
      </c>
      <c r="E14912" s="19" t="s">
        <v>33493</v>
      </c>
      <c r="F14912" s="19" t="s">
        <v>36018</v>
      </c>
      <c r="G14912" s="33" t="str">
        <f>"77089"</f>
        <v>77089</v>
      </c>
      <c r="H14912" s="34" t="s">
        <v>34183</v>
      </c>
      <c r="I14912" s="35">
        <v>16.806999999999999</v>
      </c>
      <c r="J14912" s="47" t="s">
        <v>8</v>
      </c>
      <c r="K14912" s="23" t="s">
        <v>8</v>
      </c>
      <c r="L14912" s="23" t="s">
        <v>8</v>
      </c>
      <c r="M14912" s="23" t="s">
        <v>8</v>
      </c>
    </row>
    <row r="14913" spans="1:13" s="21" customFormat="1" x14ac:dyDescent="0.25">
      <c r="A14913" s="22" t="s">
        <v>8</v>
      </c>
      <c r="B14913" s="18" t="str">
        <f>"675820"</f>
        <v>675820</v>
      </c>
      <c r="C14913" s="19" t="s">
        <v>14630</v>
      </c>
      <c r="D14913" s="19" t="s">
        <v>30303</v>
      </c>
      <c r="E14913" s="19" t="s">
        <v>31723</v>
      </c>
      <c r="F14913" s="19" t="s">
        <v>36018</v>
      </c>
      <c r="G14913" s="33" t="str">
        <f>"75237"</f>
        <v>75237</v>
      </c>
      <c r="H14913" s="34" t="s">
        <v>31723</v>
      </c>
      <c r="I14913" s="35">
        <v>19.974</v>
      </c>
      <c r="J14913" s="47" t="s">
        <v>8</v>
      </c>
      <c r="K14913" s="23" t="s">
        <v>8</v>
      </c>
      <c r="L14913" s="23" t="s">
        <v>8</v>
      </c>
      <c r="M14913" s="23" t="s">
        <v>8</v>
      </c>
    </row>
    <row r="14914" spans="1:13" s="21" customFormat="1" x14ac:dyDescent="0.25">
      <c r="A14914" s="22" t="s">
        <v>8</v>
      </c>
      <c r="B14914" s="18" t="str">
        <f>"675821"</f>
        <v>675821</v>
      </c>
      <c r="C14914" s="19" t="s">
        <v>14631</v>
      </c>
      <c r="D14914" s="19" t="s">
        <v>30304</v>
      </c>
      <c r="E14914" s="19" t="s">
        <v>32689</v>
      </c>
      <c r="F14914" s="19" t="s">
        <v>36018</v>
      </c>
      <c r="G14914" s="33" t="str">
        <f>"77864"</f>
        <v>77864</v>
      </c>
      <c r="H14914" s="34" t="s">
        <v>30899</v>
      </c>
      <c r="I14914" s="35">
        <v>21.2</v>
      </c>
      <c r="J14914" s="47" t="s">
        <v>8</v>
      </c>
      <c r="K14914" s="23" t="s">
        <v>8</v>
      </c>
      <c r="L14914" s="23" t="s">
        <v>8</v>
      </c>
      <c r="M14914" s="23" t="s">
        <v>8</v>
      </c>
    </row>
    <row r="14915" spans="1:13" s="21" customFormat="1" x14ac:dyDescent="0.25">
      <c r="A14915" s="22" t="s">
        <v>8</v>
      </c>
      <c r="B14915" s="18" t="str">
        <f>"675822"</f>
        <v>675822</v>
      </c>
      <c r="C14915" s="19" t="s">
        <v>14632</v>
      </c>
      <c r="D14915" s="19" t="s">
        <v>30305</v>
      </c>
      <c r="E14915" s="19" t="s">
        <v>35286</v>
      </c>
      <c r="F14915" s="19" t="s">
        <v>36018</v>
      </c>
      <c r="G14915" s="33" t="str">
        <f>"75040"</f>
        <v>75040</v>
      </c>
      <c r="H14915" s="34" t="s">
        <v>31723</v>
      </c>
      <c r="I14915" s="35">
        <v>17.620999999999999</v>
      </c>
      <c r="J14915" s="47" t="s">
        <v>8</v>
      </c>
      <c r="K14915" s="23" t="s">
        <v>8</v>
      </c>
      <c r="L14915" s="23" t="s">
        <v>8</v>
      </c>
      <c r="M14915" s="23" t="s">
        <v>8</v>
      </c>
    </row>
    <row r="14916" spans="1:13" s="21" customFormat="1" x14ac:dyDescent="0.25">
      <c r="A14916" s="22" t="s">
        <v>8</v>
      </c>
      <c r="B14916" s="18" t="str">
        <f>"675823"</f>
        <v>675823</v>
      </c>
      <c r="C14916" s="19" t="s">
        <v>14633</v>
      </c>
      <c r="D14916" s="19" t="s">
        <v>30306</v>
      </c>
      <c r="E14916" s="19" t="s">
        <v>35244</v>
      </c>
      <c r="F14916" s="19" t="s">
        <v>36018</v>
      </c>
      <c r="G14916" s="33" t="str">
        <f>"78220"</f>
        <v>78220</v>
      </c>
      <c r="H14916" s="34" t="s">
        <v>36805</v>
      </c>
      <c r="I14916" s="35">
        <v>19.079000000000001</v>
      </c>
      <c r="J14916" s="47" t="s">
        <v>8</v>
      </c>
      <c r="K14916" s="23" t="s">
        <v>8</v>
      </c>
      <c r="L14916" s="23" t="s">
        <v>8</v>
      </c>
      <c r="M14916" s="23" t="s">
        <v>8</v>
      </c>
    </row>
    <row r="14917" spans="1:13" s="21" customFormat="1" x14ac:dyDescent="0.25">
      <c r="A14917" s="22" t="s">
        <v>8</v>
      </c>
      <c r="B14917" s="18" t="str">
        <f>"675826"</f>
        <v>675826</v>
      </c>
      <c r="C14917" s="19" t="s">
        <v>3324</v>
      </c>
      <c r="D14917" s="19" t="s">
        <v>30307</v>
      </c>
      <c r="E14917" s="19" t="s">
        <v>32168</v>
      </c>
      <c r="F14917" s="19" t="s">
        <v>36018</v>
      </c>
      <c r="G14917" s="33" t="str">
        <f>"76634"</f>
        <v>76634</v>
      </c>
      <c r="H14917" s="34" t="s">
        <v>36785</v>
      </c>
      <c r="I14917" s="35">
        <v>17.52</v>
      </c>
      <c r="J14917" s="47" t="s">
        <v>8</v>
      </c>
      <c r="K14917" s="23" t="s">
        <v>8</v>
      </c>
      <c r="L14917" s="23" t="s">
        <v>8</v>
      </c>
      <c r="M14917" s="23" t="s">
        <v>8</v>
      </c>
    </row>
    <row r="14918" spans="1:13" s="21" customFormat="1" x14ac:dyDescent="0.25">
      <c r="A14918" s="22" t="s">
        <v>8</v>
      </c>
      <c r="B14918" s="18" t="str">
        <f>"675830"</f>
        <v>675830</v>
      </c>
      <c r="C14918" s="19" t="s">
        <v>14634</v>
      </c>
      <c r="D14918" s="19" t="s">
        <v>30308</v>
      </c>
      <c r="E14918" s="19" t="s">
        <v>31723</v>
      </c>
      <c r="F14918" s="19" t="s">
        <v>36018</v>
      </c>
      <c r="G14918" s="33" t="str">
        <f>"75218"</f>
        <v>75218</v>
      </c>
      <c r="H14918" s="34" t="s">
        <v>31723</v>
      </c>
      <c r="I14918" s="35">
        <v>22.748000000000001</v>
      </c>
      <c r="J14918" s="47" t="s">
        <v>8</v>
      </c>
      <c r="K14918" s="23" t="s">
        <v>8</v>
      </c>
      <c r="L14918" s="23" t="s">
        <v>8</v>
      </c>
      <c r="M14918" s="23" t="s">
        <v>8</v>
      </c>
    </row>
    <row r="14919" spans="1:13" s="21" customFormat="1" x14ac:dyDescent="0.25">
      <c r="A14919" s="22" t="s">
        <v>8</v>
      </c>
      <c r="B14919" s="18" t="str">
        <f>"675831"</f>
        <v>675831</v>
      </c>
      <c r="C14919" s="19" t="s">
        <v>14635</v>
      </c>
      <c r="D14919" s="19" t="s">
        <v>30309</v>
      </c>
      <c r="E14919" s="19" t="s">
        <v>31965</v>
      </c>
      <c r="F14919" s="19" t="s">
        <v>36018</v>
      </c>
      <c r="G14919" s="33" t="str">
        <f>"79935"</f>
        <v>79935</v>
      </c>
      <c r="H14919" s="34" t="s">
        <v>31965</v>
      </c>
      <c r="I14919" s="35">
        <v>20.914000000000001</v>
      </c>
      <c r="J14919" s="47" t="s">
        <v>8</v>
      </c>
      <c r="K14919" s="23" t="s">
        <v>8</v>
      </c>
      <c r="L14919" s="23" t="s">
        <v>8</v>
      </c>
      <c r="M14919" s="23" t="s">
        <v>8</v>
      </c>
    </row>
    <row r="14920" spans="1:13" s="21" customFormat="1" x14ac:dyDescent="0.25">
      <c r="A14920" s="22" t="s">
        <v>8</v>
      </c>
      <c r="B14920" s="18" t="str">
        <f>"675832"</f>
        <v>675832</v>
      </c>
      <c r="C14920" s="19" t="s">
        <v>14636</v>
      </c>
      <c r="D14920" s="19" t="s">
        <v>30310</v>
      </c>
      <c r="E14920" s="19" t="s">
        <v>35897</v>
      </c>
      <c r="F14920" s="19" t="s">
        <v>36018</v>
      </c>
      <c r="G14920" s="33" t="str">
        <f>"76471"</f>
        <v>76471</v>
      </c>
      <c r="H14920" s="34" t="s">
        <v>35230</v>
      </c>
      <c r="I14920" s="35">
        <v>19.25</v>
      </c>
      <c r="J14920" s="47" t="s">
        <v>8</v>
      </c>
      <c r="K14920" s="23" t="s">
        <v>8</v>
      </c>
      <c r="L14920" s="23" t="s">
        <v>8</v>
      </c>
      <c r="M14920" s="23" t="s">
        <v>8</v>
      </c>
    </row>
    <row r="14921" spans="1:13" s="21" customFormat="1" x14ac:dyDescent="0.25">
      <c r="A14921" s="22" t="s">
        <v>8</v>
      </c>
      <c r="B14921" s="18" t="str">
        <f>"675833"</f>
        <v>675833</v>
      </c>
      <c r="C14921" s="19" t="s">
        <v>14637</v>
      </c>
      <c r="D14921" s="19" t="s">
        <v>30311</v>
      </c>
      <c r="E14921" s="19" t="s">
        <v>35244</v>
      </c>
      <c r="F14921" s="19" t="s">
        <v>36018</v>
      </c>
      <c r="G14921" s="33" t="str">
        <f>"78218"</f>
        <v>78218</v>
      </c>
      <c r="H14921" s="34" t="s">
        <v>36805</v>
      </c>
      <c r="I14921" s="35">
        <v>17.045999999999999</v>
      </c>
      <c r="J14921" s="47" t="s">
        <v>8</v>
      </c>
      <c r="K14921" s="23" t="s">
        <v>8</v>
      </c>
      <c r="L14921" s="23" t="s">
        <v>8</v>
      </c>
      <c r="M14921" s="23" t="s">
        <v>8</v>
      </c>
    </row>
    <row r="14922" spans="1:13" s="21" customFormat="1" x14ac:dyDescent="0.25">
      <c r="A14922" s="22" t="s">
        <v>8</v>
      </c>
      <c r="B14922" s="18" t="str">
        <f>"675834"</f>
        <v>675834</v>
      </c>
      <c r="C14922" s="19" t="s">
        <v>14638</v>
      </c>
      <c r="D14922" s="19" t="s">
        <v>30312</v>
      </c>
      <c r="E14922" s="19" t="s">
        <v>33493</v>
      </c>
      <c r="F14922" s="19" t="s">
        <v>36018</v>
      </c>
      <c r="G14922" s="33" t="str">
        <f>"77056"</f>
        <v>77056</v>
      </c>
      <c r="H14922" s="34" t="s">
        <v>34183</v>
      </c>
      <c r="I14922" s="35">
        <v>17.809000000000001</v>
      </c>
      <c r="J14922" s="47" t="s">
        <v>8</v>
      </c>
      <c r="K14922" s="23" t="s">
        <v>8</v>
      </c>
      <c r="L14922" s="23" t="s">
        <v>8</v>
      </c>
      <c r="M14922" s="23" t="s">
        <v>8</v>
      </c>
    </row>
    <row r="14923" spans="1:13" s="21" customFormat="1" x14ac:dyDescent="0.25">
      <c r="A14923" s="22" t="s">
        <v>8</v>
      </c>
      <c r="B14923" s="18" t="str">
        <f>"675835"</f>
        <v>675835</v>
      </c>
      <c r="C14923" s="19" t="s">
        <v>14639</v>
      </c>
      <c r="D14923" s="19" t="s">
        <v>30313</v>
      </c>
      <c r="E14923" s="19" t="s">
        <v>35296</v>
      </c>
      <c r="F14923" s="19" t="s">
        <v>36018</v>
      </c>
      <c r="G14923" s="33" t="str">
        <f>"75785"</f>
        <v>75785</v>
      </c>
      <c r="H14923" s="34" t="s">
        <v>32436</v>
      </c>
      <c r="I14923" s="35">
        <v>17.564</v>
      </c>
      <c r="J14923" s="47" t="s">
        <v>8</v>
      </c>
      <c r="K14923" s="23" t="s">
        <v>8</v>
      </c>
      <c r="L14923" s="23" t="s">
        <v>8</v>
      </c>
      <c r="M14923" s="23" t="s">
        <v>8</v>
      </c>
    </row>
    <row r="14924" spans="1:13" s="21" customFormat="1" x14ac:dyDescent="0.25">
      <c r="A14924" s="22" t="s">
        <v>8</v>
      </c>
      <c r="B14924" s="18" t="str">
        <f>"675836"</f>
        <v>675836</v>
      </c>
      <c r="C14924" s="19" t="s">
        <v>14640</v>
      </c>
      <c r="D14924" s="19" t="s">
        <v>30314</v>
      </c>
      <c r="E14924" s="19" t="s">
        <v>35898</v>
      </c>
      <c r="F14924" s="19" t="s">
        <v>36018</v>
      </c>
      <c r="G14924" s="33" t="str">
        <f>"76849"</f>
        <v>76849</v>
      </c>
      <c r="H14924" s="34" t="s">
        <v>36971</v>
      </c>
      <c r="I14924" s="35">
        <v>19.481999999999999</v>
      </c>
      <c r="J14924" s="47" t="s">
        <v>8</v>
      </c>
      <c r="K14924" s="23" t="s">
        <v>8</v>
      </c>
      <c r="L14924" s="23" t="s">
        <v>8</v>
      </c>
      <c r="M14924" s="23" t="s">
        <v>8</v>
      </c>
    </row>
    <row r="14925" spans="1:13" s="21" customFormat="1" x14ac:dyDescent="0.25">
      <c r="A14925" s="22" t="s">
        <v>8</v>
      </c>
      <c r="B14925" s="18" t="str">
        <f>"675837"</f>
        <v>675837</v>
      </c>
      <c r="C14925" s="19" t="s">
        <v>14641</v>
      </c>
      <c r="D14925" s="19" t="s">
        <v>30315</v>
      </c>
      <c r="E14925" s="19" t="s">
        <v>35223</v>
      </c>
      <c r="F14925" s="19" t="s">
        <v>36018</v>
      </c>
      <c r="G14925" s="33" t="str">
        <f>"77833"</f>
        <v>77833</v>
      </c>
      <c r="H14925" s="34" t="s">
        <v>31500</v>
      </c>
      <c r="I14925" s="35">
        <v>19.991</v>
      </c>
      <c r="J14925" s="47" t="s">
        <v>8</v>
      </c>
      <c r="K14925" s="23" t="s">
        <v>8</v>
      </c>
      <c r="L14925" s="23" t="s">
        <v>8</v>
      </c>
      <c r="M14925" s="23" t="s">
        <v>8</v>
      </c>
    </row>
    <row r="14926" spans="1:13" s="21" customFormat="1" x14ac:dyDescent="0.25">
      <c r="A14926" s="22" t="s">
        <v>8</v>
      </c>
      <c r="B14926" s="18" t="str">
        <f>"675838"</f>
        <v>675838</v>
      </c>
      <c r="C14926" s="19" t="s">
        <v>14642</v>
      </c>
      <c r="D14926" s="19" t="s">
        <v>30316</v>
      </c>
      <c r="E14926" s="19" t="s">
        <v>35899</v>
      </c>
      <c r="F14926" s="19" t="s">
        <v>36018</v>
      </c>
      <c r="G14926" s="33" t="str">
        <f>"75432"</f>
        <v>75432</v>
      </c>
      <c r="H14926" s="34" t="s">
        <v>31363</v>
      </c>
      <c r="I14926" s="35">
        <v>17.771999999999998</v>
      </c>
      <c r="J14926" s="47" t="s">
        <v>8</v>
      </c>
      <c r="K14926" s="23" t="s">
        <v>8</v>
      </c>
      <c r="L14926" s="23" t="s">
        <v>8</v>
      </c>
      <c r="M14926" s="23" t="s">
        <v>8</v>
      </c>
    </row>
    <row r="14927" spans="1:13" s="21" customFormat="1" x14ac:dyDescent="0.25">
      <c r="A14927" s="22" t="s">
        <v>8</v>
      </c>
      <c r="B14927" s="18" t="str">
        <f>"675839"</f>
        <v>675839</v>
      </c>
      <c r="C14927" s="19" t="s">
        <v>14643</v>
      </c>
      <c r="D14927" s="19" t="s">
        <v>30317</v>
      </c>
      <c r="E14927" s="19" t="s">
        <v>35814</v>
      </c>
      <c r="F14927" s="19" t="s">
        <v>36018</v>
      </c>
      <c r="G14927" s="33" t="str">
        <f>"77642"</f>
        <v>77642</v>
      </c>
      <c r="H14927" s="34" t="s">
        <v>32391</v>
      </c>
      <c r="I14927" s="35">
        <v>20.530999999999999</v>
      </c>
      <c r="J14927" s="47" t="s">
        <v>8</v>
      </c>
      <c r="K14927" s="23" t="s">
        <v>8</v>
      </c>
      <c r="L14927" s="23" t="s">
        <v>8</v>
      </c>
      <c r="M14927" s="23" t="s">
        <v>8</v>
      </c>
    </row>
    <row r="14928" spans="1:13" s="21" customFormat="1" x14ac:dyDescent="0.25">
      <c r="A14928" s="22" t="s">
        <v>8</v>
      </c>
      <c r="B14928" s="18" t="str">
        <f>"675840"</f>
        <v>675840</v>
      </c>
      <c r="C14928" s="19" t="s">
        <v>12476</v>
      </c>
      <c r="D14928" s="19" t="s">
        <v>30318</v>
      </c>
      <c r="E14928" s="19" t="s">
        <v>35900</v>
      </c>
      <c r="F14928" s="19" t="s">
        <v>36018</v>
      </c>
      <c r="G14928" s="33" t="str">
        <f>"76118"</f>
        <v>76118</v>
      </c>
      <c r="H14928" s="34" t="s">
        <v>36806</v>
      </c>
      <c r="I14928" s="35">
        <v>19.346</v>
      </c>
      <c r="J14928" s="47" t="s">
        <v>8</v>
      </c>
      <c r="K14928" s="23" t="s">
        <v>8</v>
      </c>
      <c r="L14928" s="23" t="s">
        <v>8</v>
      </c>
      <c r="M14928" s="23" t="s">
        <v>8</v>
      </c>
    </row>
    <row r="14929" spans="1:13" s="21" customFormat="1" x14ac:dyDescent="0.25">
      <c r="A14929" s="22" t="s">
        <v>8</v>
      </c>
      <c r="B14929" s="18" t="str">
        <f>"675842"</f>
        <v>675842</v>
      </c>
      <c r="C14929" s="19" t="s">
        <v>14644</v>
      </c>
      <c r="D14929" s="19" t="s">
        <v>30319</v>
      </c>
      <c r="E14929" s="19" t="s">
        <v>35310</v>
      </c>
      <c r="F14929" s="19" t="s">
        <v>36018</v>
      </c>
      <c r="G14929" s="33" t="str">
        <f>"79410"</f>
        <v>79410</v>
      </c>
      <c r="H14929" s="34" t="s">
        <v>35310</v>
      </c>
      <c r="I14929" s="35">
        <v>18.065000000000001</v>
      </c>
      <c r="J14929" s="47" t="s">
        <v>8</v>
      </c>
      <c r="K14929" s="23" t="s">
        <v>8</v>
      </c>
      <c r="L14929" s="23" t="s">
        <v>8</v>
      </c>
      <c r="M14929" s="23" t="s">
        <v>8</v>
      </c>
    </row>
    <row r="14930" spans="1:13" s="21" customFormat="1" x14ac:dyDescent="0.25">
      <c r="A14930" s="22" t="s">
        <v>8</v>
      </c>
      <c r="B14930" s="18" t="str">
        <f>"675844"</f>
        <v>675844</v>
      </c>
      <c r="C14930" s="19" t="s">
        <v>14645</v>
      </c>
      <c r="D14930" s="19" t="s">
        <v>30320</v>
      </c>
      <c r="E14930" s="19" t="s">
        <v>35250</v>
      </c>
      <c r="F14930" s="19" t="s">
        <v>36018</v>
      </c>
      <c r="G14930" s="33" t="str">
        <f>"76712"</f>
        <v>76712</v>
      </c>
      <c r="H14930" s="34" t="s">
        <v>36809</v>
      </c>
      <c r="I14930" s="35">
        <v>21.082999999999998</v>
      </c>
      <c r="J14930" s="47" t="s">
        <v>8</v>
      </c>
      <c r="K14930" s="23" t="s">
        <v>8</v>
      </c>
      <c r="L14930" s="23" t="s">
        <v>8</v>
      </c>
      <c r="M14930" s="23" t="s">
        <v>8</v>
      </c>
    </row>
    <row r="14931" spans="1:13" s="21" customFormat="1" x14ac:dyDescent="0.25">
      <c r="A14931" s="22" t="s">
        <v>8</v>
      </c>
      <c r="B14931" s="18" t="str">
        <f>"675845"</f>
        <v>675845</v>
      </c>
      <c r="C14931" s="19" t="s">
        <v>14646</v>
      </c>
      <c r="D14931" s="19" t="s">
        <v>30321</v>
      </c>
      <c r="E14931" s="19" t="s">
        <v>33363</v>
      </c>
      <c r="F14931" s="19" t="s">
        <v>36018</v>
      </c>
      <c r="G14931" s="33" t="str">
        <f>"76424"</f>
        <v>76424</v>
      </c>
      <c r="H14931" s="34" t="s">
        <v>36167</v>
      </c>
      <c r="I14931" s="35">
        <v>17.260000000000002</v>
      </c>
      <c r="J14931" s="47" t="s">
        <v>8</v>
      </c>
      <c r="K14931" s="23" t="s">
        <v>8</v>
      </c>
      <c r="L14931" s="23" t="s">
        <v>8</v>
      </c>
      <c r="M14931" s="23" t="s">
        <v>8</v>
      </c>
    </row>
    <row r="14932" spans="1:13" s="21" customFormat="1" x14ac:dyDescent="0.25">
      <c r="A14932" s="22" t="s">
        <v>8</v>
      </c>
      <c r="B14932" s="18" t="str">
        <f>"675846"</f>
        <v>675846</v>
      </c>
      <c r="C14932" s="19" t="s">
        <v>14647</v>
      </c>
      <c r="D14932" s="19" t="s">
        <v>30322</v>
      </c>
      <c r="E14932" s="19" t="s">
        <v>35838</v>
      </c>
      <c r="F14932" s="19" t="s">
        <v>36018</v>
      </c>
      <c r="G14932" s="33" t="str">
        <f>"75972"</f>
        <v>75972</v>
      </c>
      <c r="H14932" s="34" t="s">
        <v>35838</v>
      </c>
      <c r="I14932" s="35">
        <v>20.603999999999999</v>
      </c>
      <c r="J14932" s="47" t="s">
        <v>8</v>
      </c>
      <c r="K14932" s="23" t="s">
        <v>8</v>
      </c>
      <c r="L14932" s="23" t="s">
        <v>8</v>
      </c>
      <c r="M14932" s="23" t="s">
        <v>8</v>
      </c>
    </row>
    <row r="14933" spans="1:13" s="21" customFormat="1" x14ac:dyDescent="0.25">
      <c r="A14933" s="22" t="s">
        <v>8</v>
      </c>
      <c r="B14933" s="18" t="str">
        <f>"675847"</f>
        <v>675847</v>
      </c>
      <c r="C14933" s="19" t="s">
        <v>14648</v>
      </c>
      <c r="D14933" s="19" t="s">
        <v>30323</v>
      </c>
      <c r="E14933" s="19" t="s">
        <v>35901</v>
      </c>
      <c r="F14933" s="19" t="s">
        <v>36018</v>
      </c>
      <c r="G14933" s="33" t="str">
        <f>"79567"</f>
        <v>79567</v>
      </c>
      <c r="H14933" s="34" t="s">
        <v>36958</v>
      </c>
      <c r="I14933" s="35">
        <v>18.524000000000001</v>
      </c>
      <c r="J14933" s="47" t="s">
        <v>8</v>
      </c>
      <c r="K14933" s="23" t="s">
        <v>8</v>
      </c>
      <c r="L14933" s="23" t="s">
        <v>8</v>
      </c>
      <c r="M14933" s="23" t="s">
        <v>8</v>
      </c>
    </row>
    <row r="14934" spans="1:13" s="21" customFormat="1" x14ac:dyDescent="0.25">
      <c r="A14934" s="22" t="s">
        <v>8</v>
      </c>
      <c r="B14934" s="18" t="str">
        <f>"675848"</f>
        <v>675848</v>
      </c>
      <c r="C14934" s="19" t="s">
        <v>14649</v>
      </c>
      <c r="D14934" s="19" t="s">
        <v>30324</v>
      </c>
      <c r="E14934" s="19" t="s">
        <v>33048</v>
      </c>
      <c r="F14934" s="19" t="s">
        <v>36018</v>
      </c>
      <c r="G14934" s="33" t="str">
        <f>"77598"</f>
        <v>77598</v>
      </c>
      <c r="H14934" s="34" t="s">
        <v>34183</v>
      </c>
      <c r="I14934" s="35">
        <v>20.440999999999999</v>
      </c>
      <c r="J14934" s="47" t="s">
        <v>8</v>
      </c>
      <c r="K14934" s="23" t="s">
        <v>8</v>
      </c>
      <c r="L14934" s="23" t="s">
        <v>8</v>
      </c>
      <c r="M14934" s="23" t="s">
        <v>8</v>
      </c>
    </row>
    <row r="14935" spans="1:13" s="21" customFormat="1" x14ac:dyDescent="0.25">
      <c r="A14935" s="22" t="s">
        <v>8</v>
      </c>
      <c r="B14935" s="18" t="str">
        <f>"675849"</f>
        <v>675849</v>
      </c>
      <c r="C14935" s="19" t="s">
        <v>14650</v>
      </c>
      <c r="D14935" s="19" t="s">
        <v>30325</v>
      </c>
      <c r="E14935" s="19" t="s">
        <v>35288</v>
      </c>
      <c r="F14935" s="19" t="s">
        <v>36018</v>
      </c>
      <c r="G14935" s="33" t="str">
        <f>"77521"</f>
        <v>77521</v>
      </c>
      <c r="H14935" s="34" t="s">
        <v>34183</v>
      </c>
      <c r="I14935" s="35">
        <v>19.001000000000001</v>
      </c>
      <c r="J14935" s="47" t="s">
        <v>8</v>
      </c>
      <c r="K14935" s="23" t="s">
        <v>8</v>
      </c>
      <c r="L14935" s="23" t="s">
        <v>8</v>
      </c>
      <c r="M14935" s="23" t="s">
        <v>8</v>
      </c>
    </row>
    <row r="14936" spans="1:13" s="21" customFormat="1" x14ac:dyDescent="0.25">
      <c r="A14936" s="22" t="s">
        <v>8</v>
      </c>
      <c r="B14936" s="18" t="str">
        <f>"675850"</f>
        <v>675850</v>
      </c>
      <c r="C14936" s="19" t="s">
        <v>14651</v>
      </c>
      <c r="D14936" s="19" t="s">
        <v>30326</v>
      </c>
      <c r="E14936" s="19" t="s">
        <v>31432</v>
      </c>
      <c r="F14936" s="19" t="s">
        <v>36018</v>
      </c>
      <c r="G14936" s="33" t="str">
        <f>"78374"</f>
        <v>78374</v>
      </c>
      <c r="H14936" s="34" t="s">
        <v>36824</v>
      </c>
      <c r="I14936" s="35">
        <v>21.007000000000001</v>
      </c>
      <c r="J14936" s="47" t="s">
        <v>8</v>
      </c>
      <c r="K14936" s="23" t="s">
        <v>8</v>
      </c>
      <c r="L14936" s="23" t="s">
        <v>8</v>
      </c>
      <c r="M14936" s="23" t="s">
        <v>8</v>
      </c>
    </row>
    <row r="14937" spans="1:13" s="21" customFormat="1" x14ac:dyDescent="0.25">
      <c r="A14937" s="22" t="s">
        <v>8</v>
      </c>
      <c r="B14937" s="18" t="str">
        <f>"675851"</f>
        <v>675851</v>
      </c>
      <c r="C14937" s="19" t="s">
        <v>14652</v>
      </c>
      <c r="D14937" s="19" t="s">
        <v>30327</v>
      </c>
      <c r="E14937" s="19" t="s">
        <v>35247</v>
      </c>
      <c r="F14937" s="19" t="s">
        <v>36018</v>
      </c>
      <c r="G14937" s="33" t="str">
        <f>"79110"</f>
        <v>79110</v>
      </c>
      <c r="H14937" s="34" t="s">
        <v>36963</v>
      </c>
      <c r="I14937" s="35">
        <v>19.818000000000001</v>
      </c>
      <c r="J14937" s="47" t="s">
        <v>8</v>
      </c>
      <c r="K14937" s="23" t="s">
        <v>8</v>
      </c>
      <c r="L14937" s="23" t="s">
        <v>8</v>
      </c>
      <c r="M14937" s="23" t="s">
        <v>8</v>
      </c>
    </row>
    <row r="14938" spans="1:13" s="21" customFormat="1" x14ac:dyDescent="0.25">
      <c r="A14938" s="22" t="s">
        <v>8</v>
      </c>
      <c r="B14938" s="18" t="str">
        <f>"675852"</f>
        <v>675852</v>
      </c>
      <c r="C14938" s="19" t="s">
        <v>14653</v>
      </c>
      <c r="D14938" s="19" t="s">
        <v>30328</v>
      </c>
      <c r="E14938" s="19" t="s">
        <v>35304</v>
      </c>
      <c r="F14938" s="19" t="s">
        <v>36018</v>
      </c>
      <c r="G14938" s="33" t="str">
        <f>"76308"</f>
        <v>76308</v>
      </c>
      <c r="H14938" s="34" t="s">
        <v>32555</v>
      </c>
      <c r="I14938" s="35">
        <v>17.956</v>
      </c>
      <c r="J14938" s="47" t="s">
        <v>8</v>
      </c>
      <c r="K14938" s="23" t="s">
        <v>8</v>
      </c>
      <c r="L14938" s="23" t="s">
        <v>8</v>
      </c>
      <c r="M14938" s="23" t="s">
        <v>8</v>
      </c>
    </row>
    <row r="14939" spans="1:13" s="21" customFormat="1" x14ac:dyDescent="0.25">
      <c r="A14939" s="22" t="s">
        <v>8</v>
      </c>
      <c r="B14939" s="18" t="str">
        <f>"675853"</f>
        <v>675853</v>
      </c>
      <c r="C14939" s="19" t="s">
        <v>14654</v>
      </c>
      <c r="D14939" s="19" t="s">
        <v>30329</v>
      </c>
      <c r="E14939" s="19" t="s">
        <v>35310</v>
      </c>
      <c r="F14939" s="19" t="s">
        <v>36018</v>
      </c>
      <c r="G14939" s="33" t="str">
        <f>"79424"</f>
        <v>79424</v>
      </c>
      <c r="H14939" s="34" t="s">
        <v>35310</v>
      </c>
      <c r="I14939" s="35">
        <v>18.236000000000001</v>
      </c>
      <c r="J14939" s="47" t="s">
        <v>8</v>
      </c>
      <c r="K14939" s="23" t="s">
        <v>8</v>
      </c>
      <c r="L14939" s="23" t="s">
        <v>8</v>
      </c>
      <c r="M14939" s="23" t="s">
        <v>8</v>
      </c>
    </row>
    <row r="14940" spans="1:13" s="21" customFormat="1" x14ac:dyDescent="0.25">
      <c r="A14940" s="22" t="s">
        <v>8</v>
      </c>
      <c r="B14940" s="18" t="str">
        <f>"675856"</f>
        <v>675856</v>
      </c>
      <c r="C14940" s="19" t="s">
        <v>14655</v>
      </c>
      <c r="D14940" s="19" t="s">
        <v>30330</v>
      </c>
      <c r="E14940" s="19" t="s">
        <v>35902</v>
      </c>
      <c r="F14940" s="19" t="s">
        <v>36018</v>
      </c>
      <c r="G14940" s="33" t="str">
        <f>"76273"</f>
        <v>76273</v>
      </c>
      <c r="H14940" s="34" t="s">
        <v>32731</v>
      </c>
      <c r="I14940" s="35">
        <v>18.695</v>
      </c>
      <c r="J14940" s="47" t="s">
        <v>8</v>
      </c>
      <c r="K14940" s="23" t="s">
        <v>8</v>
      </c>
      <c r="L14940" s="23" t="s">
        <v>8</v>
      </c>
      <c r="M14940" s="23" t="s">
        <v>8</v>
      </c>
    </row>
    <row r="14941" spans="1:13" s="21" customFormat="1" x14ac:dyDescent="0.25">
      <c r="A14941" s="22" t="s">
        <v>8</v>
      </c>
      <c r="B14941" s="18" t="str">
        <f>"675857"</f>
        <v>675857</v>
      </c>
      <c r="C14941" s="19" t="s">
        <v>14656</v>
      </c>
      <c r="D14941" s="19" t="s">
        <v>30331</v>
      </c>
      <c r="E14941" s="19" t="s">
        <v>34717</v>
      </c>
      <c r="F14941" s="19" t="s">
        <v>36018</v>
      </c>
      <c r="G14941" s="33" t="str">
        <f>"76504"</f>
        <v>76504</v>
      </c>
      <c r="H14941" s="34" t="s">
        <v>31306</v>
      </c>
      <c r="I14941" s="35">
        <v>17.934999999999999</v>
      </c>
      <c r="J14941" s="47" t="s">
        <v>8</v>
      </c>
      <c r="K14941" s="23" t="s">
        <v>8</v>
      </c>
      <c r="L14941" s="23" t="s">
        <v>8</v>
      </c>
      <c r="M14941" s="23" t="s">
        <v>8</v>
      </c>
    </row>
    <row r="14942" spans="1:13" s="21" customFormat="1" x14ac:dyDescent="0.25">
      <c r="A14942" s="22" t="s">
        <v>8</v>
      </c>
      <c r="B14942" s="18" t="str">
        <f>"675858"</f>
        <v>675858</v>
      </c>
      <c r="C14942" s="19" t="s">
        <v>14657</v>
      </c>
      <c r="D14942" s="19" t="s">
        <v>30332</v>
      </c>
      <c r="E14942" s="19" t="s">
        <v>35244</v>
      </c>
      <c r="F14942" s="19" t="s">
        <v>36018</v>
      </c>
      <c r="G14942" s="33" t="str">
        <f>"78218"</f>
        <v>78218</v>
      </c>
      <c r="H14942" s="34" t="s">
        <v>36805</v>
      </c>
      <c r="I14942" s="35">
        <v>19.228999999999999</v>
      </c>
      <c r="J14942" s="47" t="s">
        <v>8</v>
      </c>
      <c r="K14942" s="23" t="s">
        <v>8</v>
      </c>
      <c r="L14942" s="23" t="s">
        <v>8</v>
      </c>
      <c r="M14942" s="23" t="s">
        <v>8</v>
      </c>
    </row>
    <row r="14943" spans="1:13" s="21" customFormat="1" x14ac:dyDescent="0.25">
      <c r="A14943" s="22" t="s">
        <v>8</v>
      </c>
      <c r="B14943" s="18" t="str">
        <f>"675862"</f>
        <v>675862</v>
      </c>
      <c r="C14943" s="19" t="s">
        <v>14658</v>
      </c>
      <c r="D14943" s="19" t="s">
        <v>30333</v>
      </c>
      <c r="E14943" s="19" t="s">
        <v>33383</v>
      </c>
      <c r="F14943" s="19" t="s">
        <v>36018</v>
      </c>
      <c r="G14943" s="33" t="str">
        <f>"78758"</f>
        <v>78758</v>
      </c>
      <c r="H14943" s="34" t="s">
        <v>36817</v>
      </c>
      <c r="I14943" s="35">
        <v>19.829000000000001</v>
      </c>
      <c r="J14943" s="47" t="s">
        <v>8</v>
      </c>
      <c r="K14943" s="23" t="s">
        <v>8</v>
      </c>
      <c r="L14943" s="23" t="s">
        <v>8</v>
      </c>
      <c r="M14943" s="23" t="s">
        <v>8</v>
      </c>
    </row>
    <row r="14944" spans="1:13" s="21" customFormat="1" x14ac:dyDescent="0.25">
      <c r="A14944" s="22" t="s">
        <v>8</v>
      </c>
      <c r="B14944" s="18" t="str">
        <f>"675863"</f>
        <v>675863</v>
      </c>
      <c r="C14944" s="19" t="s">
        <v>14659</v>
      </c>
      <c r="D14944" s="19" t="s">
        <v>30334</v>
      </c>
      <c r="E14944" s="19" t="s">
        <v>35218</v>
      </c>
      <c r="F14944" s="19" t="s">
        <v>36018</v>
      </c>
      <c r="G14944" s="33" t="str">
        <f>"78114"</f>
        <v>78114</v>
      </c>
      <c r="H14944" s="34" t="s">
        <v>32577</v>
      </c>
      <c r="I14944" s="35">
        <v>17.920999999999999</v>
      </c>
      <c r="J14944" s="47" t="s">
        <v>8</v>
      </c>
      <c r="K14944" s="23" t="s">
        <v>8</v>
      </c>
      <c r="L14944" s="23" t="s">
        <v>8</v>
      </c>
      <c r="M14944" s="23" t="s">
        <v>8</v>
      </c>
    </row>
    <row r="14945" spans="1:13" s="21" customFormat="1" x14ac:dyDescent="0.25">
      <c r="A14945" s="22" t="s">
        <v>8</v>
      </c>
      <c r="B14945" s="18" t="str">
        <f>"675866"</f>
        <v>675866</v>
      </c>
      <c r="C14945" s="19" t="s">
        <v>14660</v>
      </c>
      <c r="D14945" s="19" t="s">
        <v>30335</v>
      </c>
      <c r="E14945" s="19" t="s">
        <v>35289</v>
      </c>
      <c r="F14945" s="19" t="s">
        <v>36018</v>
      </c>
      <c r="G14945" s="33" t="str">
        <f>"76401"</f>
        <v>76401</v>
      </c>
      <c r="H14945" s="34" t="s">
        <v>36823</v>
      </c>
      <c r="I14945" s="35">
        <v>18.699000000000002</v>
      </c>
      <c r="J14945" s="47" t="s">
        <v>8</v>
      </c>
      <c r="K14945" s="23" t="s">
        <v>8</v>
      </c>
      <c r="L14945" s="23" t="s">
        <v>8</v>
      </c>
      <c r="M14945" s="23" t="s">
        <v>8</v>
      </c>
    </row>
    <row r="14946" spans="1:13" s="21" customFormat="1" x14ac:dyDescent="0.25">
      <c r="A14946" s="22" t="s">
        <v>8</v>
      </c>
      <c r="B14946" s="18" t="str">
        <f>"675867"</f>
        <v>675867</v>
      </c>
      <c r="C14946" s="19" t="s">
        <v>14661</v>
      </c>
      <c r="D14946" s="19" t="s">
        <v>30336</v>
      </c>
      <c r="E14946" s="19" t="s">
        <v>35903</v>
      </c>
      <c r="F14946" s="19" t="s">
        <v>36018</v>
      </c>
      <c r="G14946" s="33" t="str">
        <f>"75144"</f>
        <v>75144</v>
      </c>
      <c r="H14946" s="34" t="s">
        <v>36955</v>
      </c>
      <c r="I14946" s="35">
        <v>18.748999999999999</v>
      </c>
      <c r="J14946" s="47" t="s">
        <v>8</v>
      </c>
      <c r="K14946" s="23" t="s">
        <v>8</v>
      </c>
      <c r="L14946" s="23" t="s">
        <v>8</v>
      </c>
      <c r="M14946" s="23" t="s">
        <v>8</v>
      </c>
    </row>
    <row r="14947" spans="1:13" s="21" customFormat="1" x14ac:dyDescent="0.25">
      <c r="A14947" s="22" t="s">
        <v>8</v>
      </c>
      <c r="B14947" s="18" t="str">
        <f>"675868"</f>
        <v>675868</v>
      </c>
      <c r="C14947" s="19" t="s">
        <v>14662</v>
      </c>
      <c r="D14947" s="19" t="s">
        <v>30337</v>
      </c>
      <c r="E14947" s="19" t="s">
        <v>35220</v>
      </c>
      <c r="F14947" s="19" t="s">
        <v>36018</v>
      </c>
      <c r="G14947" s="33" t="str">
        <f>"79045"</f>
        <v>79045</v>
      </c>
      <c r="H14947" s="34" t="s">
        <v>36790</v>
      </c>
      <c r="I14947" s="35">
        <v>17.446999999999999</v>
      </c>
      <c r="J14947" s="47" t="s">
        <v>8</v>
      </c>
      <c r="K14947" s="23" t="s">
        <v>8</v>
      </c>
      <c r="L14947" s="23" t="s">
        <v>8</v>
      </c>
      <c r="M14947" s="23" t="s">
        <v>8</v>
      </c>
    </row>
    <row r="14948" spans="1:13" s="21" customFormat="1" x14ac:dyDescent="0.25">
      <c r="A14948" s="22" t="s">
        <v>8</v>
      </c>
      <c r="B14948" s="18" t="str">
        <f>"675870"</f>
        <v>675870</v>
      </c>
      <c r="C14948" s="19" t="s">
        <v>14663</v>
      </c>
      <c r="D14948" s="19" t="s">
        <v>30338</v>
      </c>
      <c r="E14948" s="19" t="s">
        <v>35806</v>
      </c>
      <c r="F14948" s="19" t="s">
        <v>36018</v>
      </c>
      <c r="G14948" s="33" t="str">
        <f>"75081"</f>
        <v>75081</v>
      </c>
      <c r="H14948" s="34" t="s">
        <v>31723</v>
      </c>
      <c r="I14948" s="35">
        <v>19.192</v>
      </c>
      <c r="J14948" s="47" t="s">
        <v>8</v>
      </c>
      <c r="K14948" s="23" t="s">
        <v>8</v>
      </c>
      <c r="L14948" s="23" t="s">
        <v>8</v>
      </c>
      <c r="M14948" s="23" t="s">
        <v>8</v>
      </c>
    </row>
    <row r="14949" spans="1:13" s="21" customFormat="1" x14ac:dyDescent="0.25">
      <c r="A14949" s="22" t="s">
        <v>8</v>
      </c>
      <c r="B14949" s="18" t="str">
        <f>"675871"</f>
        <v>675871</v>
      </c>
      <c r="C14949" s="19" t="s">
        <v>14664</v>
      </c>
      <c r="D14949" s="19" t="s">
        <v>30339</v>
      </c>
      <c r="E14949" s="19" t="s">
        <v>35904</v>
      </c>
      <c r="F14949" s="19" t="s">
        <v>36018</v>
      </c>
      <c r="G14949" s="33" t="str">
        <f>"78013"</f>
        <v>78013</v>
      </c>
      <c r="H14949" s="34" t="s">
        <v>31642</v>
      </c>
      <c r="I14949" s="35">
        <v>17.741</v>
      </c>
      <c r="J14949" s="47" t="s">
        <v>8</v>
      </c>
      <c r="K14949" s="23" t="s">
        <v>8</v>
      </c>
      <c r="L14949" s="23" t="s">
        <v>8</v>
      </c>
      <c r="M14949" s="23" t="s">
        <v>8</v>
      </c>
    </row>
    <row r="14950" spans="1:13" s="21" customFormat="1" x14ac:dyDescent="0.25">
      <c r="A14950" s="22" t="s">
        <v>8</v>
      </c>
      <c r="B14950" s="18" t="str">
        <f>"675873"</f>
        <v>675873</v>
      </c>
      <c r="C14950" s="19" t="s">
        <v>14665</v>
      </c>
      <c r="D14950" s="19" t="s">
        <v>30340</v>
      </c>
      <c r="E14950" s="19" t="s">
        <v>35828</v>
      </c>
      <c r="F14950" s="19" t="s">
        <v>36018</v>
      </c>
      <c r="G14950" s="33" t="str">
        <f>"75418"</f>
        <v>75418</v>
      </c>
      <c r="H14950" s="34" t="s">
        <v>36155</v>
      </c>
      <c r="I14950" s="35">
        <v>20.215</v>
      </c>
      <c r="J14950" s="47" t="s">
        <v>8</v>
      </c>
      <c r="K14950" s="23" t="s">
        <v>8</v>
      </c>
      <c r="L14950" s="23" t="s">
        <v>8</v>
      </c>
      <c r="M14950" s="23" t="s">
        <v>8</v>
      </c>
    </row>
    <row r="14951" spans="1:13" s="21" customFormat="1" x14ac:dyDescent="0.25">
      <c r="A14951" s="22" t="s">
        <v>8</v>
      </c>
      <c r="B14951" s="18" t="str">
        <f>"675874"</f>
        <v>675874</v>
      </c>
      <c r="C14951" s="19" t="s">
        <v>14666</v>
      </c>
      <c r="D14951" s="19" t="s">
        <v>30341</v>
      </c>
      <c r="E14951" s="19" t="s">
        <v>35857</v>
      </c>
      <c r="F14951" s="19" t="s">
        <v>36018</v>
      </c>
      <c r="G14951" s="33" t="str">
        <f>"79720"</f>
        <v>79720</v>
      </c>
      <c r="H14951" s="34" t="s">
        <v>32644</v>
      </c>
      <c r="I14951" s="35">
        <v>18.459</v>
      </c>
      <c r="J14951" s="47" t="s">
        <v>8</v>
      </c>
      <c r="K14951" s="23" t="s">
        <v>8</v>
      </c>
      <c r="L14951" s="23" t="s">
        <v>8</v>
      </c>
      <c r="M14951" s="23" t="s">
        <v>8</v>
      </c>
    </row>
    <row r="14952" spans="1:13" s="21" customFormat="1" x14ac:dyDescent="0.25">
      <c r="A14952" s="22" t="s">
        <v>8</v>
      </c>
      <c r="B14952" s="18" t="str">
        <f>"675877"</f>
        <v>675877</v>
      </c>
      <c r="C14952" s="19" t="s">
        <v>14667</v>
      </c>
      <c r="D14952" s="19" t="s">
        <v>30342</v>
      </c>
      <c r="E14952" s="19" t="s">
        <v>33116</v>
      </c>
      <c r="F14952" s="19" t="s">
        <v>36018</v>
      </c>
      <c r="G14952" s="33" t="str">
        <f>"76011"</f>
        <v>76011</v>
      </c>
      <c r="H14952" s="34" t="s">
        <v>36806</v>
      </c>
      <c r="I14952" s="35">
        <v>18.623999999999999</v>
      </c>
      <c r="J14952" s="47" t="s">
        <v>8</v>
      </c>
      <c r="K14952" s="23" t="s">
        <v>8</v>
      </c>
      <c r="L14952" s="23" t="s">
        <v>8</v>
      </c>
      <c r="M14952" s="23" t="s">
        <v>8</v>
      </c>
    </row>
    <row r="14953" spans="1:13" s="21" customFormat="1" x14ac:dyDescent="0.25">
      <c r="A14953" s="22" t="s">
        <v>8</v>
      </c>
      <c r="B14953" s="18" t="str">
        <f>"675878"</f>
        <v>675878</v>
      </c>
      <c r="C14953" s="19" t="s">
        <v>14668</v>
      </c>
      <c r="D14953" s="19" t="s">
        <v>30343</v>
      </c>
      <c r="E14953" s="19" t="s">
        <v>35823</v>
      </c>
      <c r="F14953" s="19" t="s">
        <v>36018</v>
      </c>
      <c r="G14953" s="33" t="str">
        <f>"75140"</f>
        <v>75140</v>
      </c>
      <c r="H14953" s="34" t="s">
        <v>36827</v>
      </c>
      <c r="I14953" s="35">
        <v>19.012</v>
      </c>
      <c r="J14953" s="47" t="s">
        <v>8</v>
      </c>
      <c r="K14953" s="23" t="s">
        <v>8</v>
      </c>
      <c r="L14953" s="23" t="s">
        <v>8</v>
      </c>
      <c r="M14953" s="23" t="s">
        <v>8</v>
      </c>
    </row>
    <row r="14954" spans="1:13" s="21" customFormat="1" x14ac:dyDescent="0.25">
      <c r="A14954" s="22" t="s">
        <v>8</v>
      </c>
      <c r="B14954" s="18" t="str">
        <f>"675879"</f>
        <v>675879</v>
      </c>
      <c r="C14954" s="19" t="s">
        <v>14669</v>
      </c>
      <c r="D14954" s="19" t="s">
        <v>30344</v>
      </c>
      <c r="E14954" s="19" t="s">
        <v>35805</v>
      </c>
      <c r="F14954" s="19" t="s">
        <v>36018</v>
      </c>
      <c r="G14954" s="33" t="str">
        <f>"75160"</f>
        <v>75160</v>
      </c>
      <c r="H14954" s="34" t="s">
        <v>35313</v>
      </c>
      <c r="I14954" s="35">
        <v>20.09</v>
      </c>
      <c r="J14954" s="47" t="s">
        <v>8</v>
      </c>
      <c r="K14954" s="23" t="s">
        <v>8</v>
      </c>
      <c r="L14954" s="23" t="s">
        <v>8</v>
      </c>
      <c r="M14954" s="23" t="s">
        <v>8</v>
      </c>
    </row>
    <row r="14955" spans="1:13" s="21" customFormat="1" x14ac:dyDescent="0.25">
      <c r="A14955" s="22" t="s">
        <v>8</v>
      </c>
      <c r="B14955" s="18" t="str">
        <f>"675880"</f>
        <v>675880</v>
      </c>
      <c r="C14955" s="19" t="s">
        <v>14670</v>
      </c>
      <c r="D14955" s="19" t="s">
        <v>30345</v>
      </c>
      <c r="E14955" s="19" t="s">
        <v>35905</v>
      </c>
      <c r="F14955" s="19" t="s">
        <v>36018</v>
      </c>
      <c r="G14955" s="33" t="str">
        <f>"76951"</f>
        <v>76951</v>
      </c>
      <c r="H14955" s="34" t="s">
        <v>31347</v>
      </c>
      <c r="I14955" s="35">
        <v>21.491</v>
      </c>
      <c r="J14955" s="47" t="s">
        <v>8</v>
      </c>
      <c r="K14955" s="23" t="s">
        <v>8</v>
      </c>
      <c r="L14955" s="23" t="s">
        <v>8</v>
      </c>
      <c r="M14955" s="23" t="s">
        <v>8</v>
      </c>
    </row>
    <row r="14956" spans="1:13" s="21" customFormat="1" x14ac:dyDescent="0.25">
      <c r="A14956" s="22" t="s">
        <v>8</v>
      </c>
      <c r="B14956" s="18" t="str">
        <f>"675881"</f>
        <v>675881</v>
      </c>
      <c r="C14956" s="19" t="s">
        <v>14671</v>
      </c>
      <c r="D14956" s="19" t="s">
        <v>30346</v>
      </c>
      <c r="E14956" s="19" t="s">
        <v>35906</v>
      </c>
      <c r="F14956" s="19" t="s">
        <v>36018</v>
      </c>
      <c r="G14956" s="33" t="str">
        <f>"79772"</f>
        <v>79772</v>
      </c>
      <c r="H14956" s="34" t="s">
        <v>36972</v>
      </c>
      <c r="I14956" s="35">
        <v>19.251000000000001</v>
      </c>
      <c r="J14956" s="47" t="s">
        <v>8</v>
      </c>
      <c r="K14956" s="23" t="s">
        <v>8</v>
      </c>
      <c r="L14956" s="23" t="s">
        <v>8</v>
      </c>
      <c r="M14956" s="23" t="s">
        <v>8</v>
      </c>
    </row>
    <row r="14957" spans="1:13" s="21" customFormat="1" x14ac:dyDescent="0.25">
      <c r="A14957" s="22" t="s">
        <v>8</v>
      </c>
      <c r="B14957" s="18" t="str">
        <f>"675882"</f>
        <v>675882</v>
      </c>
      <c r="C14957" s="19" t="s">
        <v>14672</v>
      </c>
      <c r="D14957" s="19" t="s">
        <v>30347</v>
      </c>
      <c r="E14957" s="19" t="s">
        <v>34710</v>
      </c>
      <c r="F14957" s="19" t="s">
        <v>36018</v>
      </c>
      <c r="G14957" s="33" t="str">
        <f>"75002"</f>
        <v>75002</v>
      </c>
      <c r="H14957" s="34" t="s">
        <v>36828</v>
      </c>
      <c r="I14957" s="35">
        <v>23.297999999999998</v>
      </c>
      <c r="J14957" s="47" t="s">
        <v>8</v>
      </c>
      <c r="K14957" s="23" t="s">
        <v>8</v>
      </c>
      <c r="L14957" s="23" t="s">
        <v>8</v>
      </c>
      <c r="M14957" s="23" t="s">
        <v>8</v>
      </c>
    </row>
    <row r="14958" spans="1:13" s="21" customFormat="1" x14ac:dyDescent="0.25">
      <c r="A14958" s="22" t="s">
        <v>8</v>
      </c>
      <c r="B14958" s="18" t="str">
        <f>"675883"</f>
        <v>675883</v>
      </c>
      <c r="C14958" s="19" t="s">
        <v>14673</v>
      </c>
      <c r="D14958" s="19" t="s">
        <v>30348</v>
      </c>
      <c r="E14958" s="19" t="s">
        <v>35244</v>
      </c>
      <c r="F14958" s="19" t="s">
        <v>36018</v>
      </c>
      <c r="G14958" s="33" t="str">
        <f>"78222"</f>
        <v>78222</v>
      </c>
      <c r="H14958" s="34" t="s">
        <v>36805</v>
      </c>
      <c r="I14958" s="35">
        <v>19.920000000000002</v>
      </c>
      <c r="J14958" s="47" t="s">
        <v>8</v>
      </c>
      <c r="K14958" s="23" t="s">
        <v>8</v>
      </c>
      <c r="L14958" s="23" t="s">
        <v>8</v>
      </c>
      <c r="M14958" s="23" t="s">
        <v>8</v>
      </c>
    </row>
    <row r="14959" spans="1:13" s="21" customFormat="1" x14ac:dyDescent="0.25">
      <c r="A14959" s="22" t="s">
        <v>8</v>
      </c>
      <c r="B14959" s="18" t="str">
        <f>"675884"</f>
        <v>675884</v>
      </c>
      <c r="C14959" s="19" t="s">
        <v>14674</v>
      </c>
      <c r="D14959" s="19" t="s">
        <v>30349</v>
      </c>
      <c r="E14959" s="19" t="s">
        <v>35907</v>
      </c>
      <c r="F14959" s="19" t="s">
        <v>36018</v>
      </c>
      <c r="G14959" s="33" t="str">
        <f>"75860"</f>
        <v>75860</v>
      </c>
      <c r="H14959" s="34" t="s">
        <v>36957</v>
      </c>
      <c r="I14959" s="35">
        <v>16.771999999999998</v>
      </c>
      <c r="J14959" s="47" t="s">
        <v>8</v>
      </c>
      <c r="K14959" s="23" t="s">
        <v>8</v>
      </c>
      <c r="L14959" s="23" t="s">
        <v>8</v>
      </c>
      <c r="M14959" s="23" t="s">
        <v>8</v>
      </c>
    </row>
    <row r="14960" spans="1:13" s="21" customFormat="1" x14ac:dyDescent="0.25">
      <c r="A14960" s="22" t="s">
        <v>8</v>
      </c>
      <c r="B14960" s="18" t="str">
        <f>"675885"</f>
        <v>675885</v>
      </c>
      <c r="C14960" s="19" t="s">
        <v>14675</v>
      </c>
      <c r="D14960" s="19" t="s">
        <v>30350</v>
      </c>
      <c r="E14960" s="19" t="s">
        <v>31876</v>
      </c>
      <c r="F14960" s="19" t="s">
        <v>36018</v>
      </c>
      <c r="G14960" s="33" t="str">
        <f>"77836"</f>
        <v>77836</v>
      </c>
      <c r="H14960" s="34" t="s">
        <v>35291</v>
      </c>
      <c r="I14960" s="35">
        <v>18.027999999999999</v>
      </c>
      <c r="J14960" s="47" t="s">
        <v>8</v>
      </c>
      <c r="K14960" s="23" t="s">
        <v>8</v>
      </c>
      <c r="L14960" s="23" t="s">
        <v>8</v>
      </c>
      <c r="M14960" s="23" t="s">
        <v>8</v>
      </c>
    </row>
    <row r="14961" spans="1:13" s="21" customFormat="1" x14ac:dyDescent="0.25">
      <c r="A14961" s="22" t="s">
        <v>8</v>
      </c>
      <c r="B14961" s="18" t="str">
        <f>"675886"</f>
        <v>675886</v>
      </c>
      <c r="C14961" s="19" t="s">
        <v>12294</v>
      </c>
      <c r="D14961" s="19" t="s">
        <v>30351</v>
      </c>
      <c r="E14961" s="19" t="s">
        <v>34334</v>
      </c>
      <c r="F14961" s="19" t="s">
        <v>36018</v>
      </c>
      <c r="G14961" s="33" t="str">
        <f>"76528"</f>
        <v>76528</v>
      </c>
      <c r="H14961" s="34" t="s">
        <v>36810</v>
      </c>
      <c r="I14961" s="35">
        <v>19.138999999999999</v>
      </c>
      <c r="J14961" s="47" t="s">
        <v>8</v>
      </c>
      <c r="K14961" s="23" t="s">
        <v>8</v>
      </c>
      <c r="L14961" s="23" t="s">
        <v>8</v>
      </c>
      <c r="M14961" s="23" t="s">
        <v>8</v>
      </c>
    </row>
    <row r="14962" spans="1:13" s="21" customFormat="1" x14ac:dyDescent="0.25">
      <c r="A14962" s="22" t="s">
        <v>8</v>
      </c>
      <c r="B14962" s="18" t="str">
        <f>"675887"</f>
        <v>675887</v>
      </c>
      <c r="C14962" s="19" t="s">
        <v>14676</v>
      </c>
      <c r="D14962" s="19" t="s">
        <v>30352</v>
      </c>
      <c r="E14962" s="19" t="s">
        <v>34543</v>
      </c>
      <c r="F14962" s="19" t="s">
        <v>36018</v>
      </c>
      <c r="G14962" s="33" t="str">
        <f>"77802"</f>
        <v>77802</v>
      </c>
      <c r="H14962" s="34" t="s">
        <v>36803</v>
      </c>
      <c r="I14962" s="35">
        <v>18.21</v>
      </c>
      <c r="J14962" s="47" t="s">
        <v>8</v>
      </c>
      <c r="K14962" s="23" t="s">
        <v>8</v>
      </c>
      <c r="L14962" s="23" t="s">
        <v>8</v>
      </c>
      <c r="M14962" s="23" t="s">
        <v>8</v>
      </c>
    </row>
    <row r="14963" spans="1:13" s="21" customFormat="1" x14ac:dyDescent="0.25">
      <c r="A14963" s="22" t="s">
        <v>8</v>
      </c>
      <c r="B14963" s="18" t="str">
        <f>"675888"</f>
        <v>675888</v>
      </c>
      <c r="C14963" s="19" t="s">
        <v>14677</v>
      </c>
      <c r="D14963" s="19" t="s">
        <v>30353</v>
      </c>
      <c r="E14963" s="19" t="s">
        <v>33401</v>
      </c>
      <c r="F14963" s="19" t="s">
        <v>36018</v>
      </c>
      <c r="G14963" s="33" t="str">
        <f>"75703"</f>
        <v>75703</v>
      </c>
      <c r="H14963" s="34" t="s">
        <v>36304</v>
      </c>
      <c r="I14963" s="35">
        <v>22.108000000000001</v>
      </c>
      <c r="J14963" s="47" t="s">
        <v>8</v>
      </c>
      <c r="K14963" s="23" t="s">
        <v>8</v>
      </c>
      <c r="L14963" s="23" t="s">
        <v>8</v>
      </c>
      <c r="M14963" s="23" t="s">
        <v>8</v>
      </c>
    </row>
    <row r="14964" spans="1:13" s="21" customFormat="1" x14ac:dyDescent="0.25">
      <c r="A14964" s="22" t="s">
        <v>8</v>
      </c>
      <c r="B14964" s="18" t="str">
        <f>"675889"</f>
        <v>675889</v>
      </c>
      <c r="C14964" s="19" t="s">
        <v>14678</v>
      </c>
      <c r="D14964" s="19" t="s">
        <v>30354</v>
      </c>
      <c r="E14964" s="19" t="s">
        <v>35267</v>
      </c>
      <c r="F14964" s="19" t="s">
        <v>36018</v>
      </c>
      <c r="G14964" s="33" t="str">
        <f>"75165"</f>
        <v>75165</v>
      </c>
      <c r="H14964" s="34" t="s">
        <v>32612</v>
      </c>
      <c r="I14964" s="35">
        <v>23.611999999999998</v>
      </c>
      <c r="J14964" s="47" t="s">
        <v>8</v>
      </c>
      <c r="K14964" s="23" t="s">
        <v>8</v>
      </c>
      <c r="L14964" s="23" t="s">
        <v>8</v>
      </c>
      <c r="M14964" s="23" t="s">
        <v>8</v>
      </c>
    </row>
    <row r="14965" spans="1:13" s="21" customFormat="1" x14ac:dyDescent="0.25">
      <c r="A14965" s="22" t="s">
        <v>8</v>
      </c>
      <c r="B14965" s="18" t="str">
        <f>"675890"</f>
        <v>675890</v>
      </c>
      <c r="C14965" s="19" t="s">
        <v>14679</v>
      </c>
      <c r="D14965" s="19" t="s">
        <v>30355</v>
      </c>
      <c r="E14965" s="19" t="s">
        <v>35244</v>
      </c>
      <c r="F14965" s="19" t="s">
        <v>36018</v>
      </c>
      <c r="G14965" s="33" t="str">
        <f>"78229"</f>
        <v>78229</v>
      </c>
      <c r="H14965" s="34" t="s">
        <v>36805</v>
      </c>
      <c r="I14965" s="35">
        <v>15.984999999999999</v>
      </c>
      <c r="J14965" s="47" t="s">
        <v>8</v>
      </c>
      <c r="K14965" s="23" t="s">
        <v>8</v>
      </c>
      <c r="L14965" s="23" t="s">
        <v>8</v>
      </c>
      <c r="M14965" s="23" t="s">
        <v>8</v>
      </c>
    </row>
    <row r="14966" spans="1:13" s="21" customFormat="1" x14ac:dyDescent="0.25">
      <c r="A14966" s="22" t="s">
        <v>8</v>
      </c>
      <c r="B14966" s="18" t="str">
        <f>"675891"</f>
        <v>675891</v>
      </c>
      <c r="C14966" s="19" t="s">
        <v>14680</v>
      </c>
      <c r="D14966" s="19" t="s">
        <v>30356</v>
      </c>
      <c r="E14966" s="19" t="s">
        <v>30920</v>
      </c>
      <c r="F14966" s="19" t="s">
        <v>36018</v>
      </c>
      <c r="G14966" s="33" t="str">
        <f>"76426"</f>
        <v>76426</v>
      </c>
      <c r="H14966" s="34" t="s">
        <v>35421</v>
      </c>
      <c r="I14966" s="35">
        <v>18.353999999999999</v>
      </c>
      <c r="J14966" s="47" t="s">
        <v>8</v>
      </c>
      <c r="K14966" s="23" t="s">
        <v>8</v>
      </c>
      <c r="L14966" s="23" t="s">
        <v>8</v>
      </c>
      <c r="M14966" s="23" t="s">
        <v>8</v>
      </c>
    </row>
    <row r="14967" spans="1:13" s="21" customFormat="1" x14ac:dyDescent="0.25">
      <c r="A14967" s="22" t="s">
        <v>8</v>
      </c>
      <c r="B14967" s="18" t="str">
        <f>"675892"</f>
        <v>675892</v>
      </c>
      <c r="C14967" s="19" t="s">
        <v>14681</v>
      </c>
      <c r="D14967" s="19" t="s">
        <v>30357</v>
      </c>
      <c r="E14967" s="19" t="s">
        <v>32250</v>
      </c>
      <c r="F14967" s="19" t="s">
        <v>36018</v>
      </c>
      <c r="G14967" s="33" t="str">
        <f>"78382"</f>
        <v>78382</v>
      </c>
      <c r="H14967" s="34" t="s">
        <v>36831</v>
      </c>
      <c r="I14967" s="35">
        <v>19.273</v>
      </c>
      <c r="J14967" s="47" t="s">
        <v>8</v>
      </c>
      <c r="K14967" s="23" t="s">
        <v>8</v>
      </c>
      <c r="L14967" s="23" t="s">
        <v>8</v>
      </c>
      <c r="M14967" s="23" t="s">
        <v>8</v>
      </c>
    </row>
    <row r="14968" spans="1:13" s="21" customFormat="1" x14ac:dyDescent="0.25">
      <c r="A14968" s="22" t="s">
        <v>8</v>
      </c>
      <c r="B14968" s="18" t="str">
        <f>"675893"</f>
        <v>675893</v>
      </c>
      <c r="C14968" s="19" t="s">
        <v>14682</v>
      </c>
      <c r="D14968" s="19" t="s">
        <v>30358</v>
      </c>
      <c r="E14968" s="19" t="s">
        <v>31723</v>
      </c>
      <c r="F14968" s="19" t="s">
        <v>36018</v>
      </c>
      <c r="G14968" s="33" t="str">
        <f>"75243"</f>
        <v>75243</v>
      </c>
      <c r="H14968" s="34" t="s">
        <v>31723</v>
      </c>
      <c r="I14968" s="35">
        <v>17.341999999999999</v>
      </c>
      <c r="J14968" s="47" t="s">
        <v>8</v>
      </c>
      <c r="K14968" s="23" t="s">
        <v>8</v>
      </c>
      <c r="L14968" s="23" t="s">
        <v>8</v>
      </c>
      <c r="M14968" s="23" t="s">
        <v>8</v>
      </c>
    </row>
    <row r="14969" spans="1:13" s="21" customFormat="1" x14ac:dyDescent="0.25">
      <c r="A14969" s="22" t="s">
        <v>8</v>
      </c>
      <c r="B14969" s="18" t="str">
        <f>"675894"</f>
        <v>675894</v>
      </c>
      <c r="C14969" s="19" t="s">
        <v>14683</v>
      </c>
      <c r="D14969" s="19" t="s">
        <v>30359</v>
      </c>
      <c r="E14969" s="19" t="s">
        <v>35819</v>
      </c>
      <c r="F14969" s="19" t="s">
        <v>36018</v>
      </c>
      <c r="G14969" s="33" t="str">
        <f>"77301"</f>
        <v>77301</v>
      </c>
      <c r="H14969" s="34" t="s">
        <v>30833</v>
      </c>
      <c r="I14969" s="35">
        <v>22.12</v>
      </c>
      <c r="J14969" s="47" t="s">
        <v>8</v>
      </c>
      <c r="K14969" s="23" t="s">
        <v>8</v>
      </c>
      <c r="L14969" s="23" t="s">
        <v>8</v>
      </c>
      <c r="M14969" s="23" t="s">
        <v>8</v>
      </c>
    </row>
    <row r="14970" spans="1:13" s="21" customFormat="1" x14ac:dyDescent="0.25">
      <c r="A14970" s="22" t="s">
        <v>8</v>
      </c>
      <c r="B14970" s="18" t="str">
        <f>"675896"</f>
        <v>675896</v>
      </c>
      <c r="C14970" s="19" t="s">
        <v>14684</v>
      </c>
      <c r="D14970" s="19" t="s">
        <v>30360</v>
      </c>
      <c r="E14970" s="19" t="s">
        <v>35244</v>
      </c>
      <c r="F14970" s="19" t="s">
        <v>36018</v>
      </c>
      <c r="G14970" s="33" t="str">
        <f>"78202"</f>
        <v>78202</v>
      </c>
      <c r="H14970" s="34" t="s">
        <v>36805</v>
      </c>
      <c r="I14970" s="35">
        <v>18.184999999999999</v>
      </c>
      <c r="J14970" s="47" t="s">
        <v>8</v>
      </c>
      <c r="K14970" s="23" t="s">
        <v>8</v>
      </c>
      <c r="L14970" s="23" t="s">
        <v>8</v>
      </c>
      <c r="M14970" s="23" t="s">
        <v>8</v>
      </c>
    </row>
    <row r="14971" spans="1:13" s="21" customFormat="1" x14ac:dyDescent="0.25">
      <c r="A14971" s="22" t="s">
        <v>8</v>
      </c>
      <c r="B14971" s="18" t="str">
        <f>"675897"</f>
        <v>675897</v>
      </c>
      <c r="C14971" s="19" t="s">
        <v>14685</v>
      </c>
      <c r="D14971" s="19" t="s">
        <v>30361</v>
      </c>
      <c r="E14971" s="19" t="s">
        <v>5</v>
      </c>
      <c r="F14971" s="19" t="s">
        <v>36018</v>
      </c>
      <c r="G14971" s="33" t="str">
        <f>"77856"</f>
        <v>77856</v>
      </c>
      <c r="H14971" s="34" t="s">
        <v>36348</v>
      </c>
      <c r="I14971" s="35">
        <v>20.323</v>
      </c>
      <c r="J14971" s="47" t="s">
        <v>8</v>
      </c>
      <c r="K14971" s="23" t="s">
        <v>8</v>
      </c>
      <c r="L14971" s="23" t="s">
        <v>8</v>
      </c>
      <c r="M14971" s="23" t="s">
        <v>8</v>
      </c>
    </row>
    <row r="14972" spans="1:13" s="21" customFormat="1" x14ac:dyDescent="0.25">
      <c r="A14972" s="22" t="s">
        <v>8</v>
      </c>
      <c r="B14972" s="18" t="str">
        <f>"675898"</f>
        <v>675898</v>
      </c>
      <c r="C14972" s="19" t="s">
        <v>14686</v>
      </c>
      <c r="D14972" s="19" t="s">
        <v>30362</v>
      </c>
      <c r="E14972" s="19" t="s">
        <v>35908</v>
      </c>
      <c r="F14972" s="19" t="s">
        <v>36018</v>
      </c>
      <c r="G14972" s="33" t="str">
        <f>"75148"</f>
        <v>75148</v>
      </c>
      <c r="H14972" s="34" t="s">
        <v>32699</v>
      </c>
      <c r="I14972" s="35">
        <v>20.963000000000001</v>
      </c>
      <c r="J14972" s="47" t="s">
        <v>8</v>
      </c>
      <c r="K14972" s="23" t="s">
        <v>8</v>
      </c>
      <c r="L14972" s="23" t="s">
        <v>8</v>
      </c>
      <c r="M14972" s="23" t="s">
        <v>8</v>
      </c>
    </row>
    <row r="14973" spans="1:13" s="21" customFormat="1" x14ac:dyDescent="0.25">
      <c r="A14973" s="22" t="s">
        <v>8</v>
      </c>
      <c r="B14973" s="18" t="str">
        <f>"675899"</f>
        <v>675899</v>
      </c>
      <c r="C14973" s="19" t="s">
        <v>14687</v>
      </c>
      <c r="D14973" s="19" t="s">
        <v>30363</v>
      </c>
      <c r="E14973" s="19" t="s">
        <v>33247</v>
      </c>
      <c r="F14973" s="19" t="s">
        <v>36018</v>
      </c>
      <c r="G14973" s="33" t="str">
        <f>"77414"</f>
        <v>77414</v>
      </c>
      <c r="H14973" s="34" t="s">
        <v>36816</v>
      </c>
      <c r="I14973" s="35">
        <v>20.385000000000002</v>
      </c>
      <c r="J14973" s="47" t="s">
        <v>8</v>
      </c>
      <c r="K14973" s="23" t="s">
        <v>8</v>
      </c>
      <c r="L14973" s="23" t="s">
        <v>8</v>
      </c>
      <c r="M14973" s="23" t="s">
        <v>8</v>
      </c>
    </row>
    <row r="14974" spans="1:13" s="21" customFormat="1" x14ac:dyDescent="0.25">
      <c r="A14974" s="22" t="s">
        <v>8</v>
      </c>
      <c r="B14974" s="18" t="str">
        <f>"675900"</f>
        <v>675900</v>
      </c>
      <c r="C14974" s="19" t="s">
        <v>14688</v>
      </c>
      <c r="D14974" s="19" t="s">
        <v>30364</v>
      </c>
      <c r="E14974" s="19" t="s">
        <v>31679</v>
      </c>
      <c r="F14974" s="19" t="s">
        <v>36018</v>
      </c>
      <c r="G14974" s="33" t="str">
        <f>"75862"</f>
        <v>75862</v>
      </c>
      <c r="H14974" s="34" t="s">
        <v>31679</v>
      </c>
      <c r="I14974" s="35">
        <v>21.524000000000001</v>
      </c>
      <c r="J14974" s="47" t="s">
        <v>8</v>
      </c>
      <c r="K14974" s="23" t="s">
        <v>8</v>
      </c>
      <c r="L14974" s="23" t="s">
        <v>8</v>
      </c>
      <c r="M14974" s="23" t="s">
        <v>8</v>
      </c>
    </row>
    <row r="14975" spans="1:13" s="21" customFormat="1" x14ac:dyDescent="0.25">
      <c r="A14975" s="22" t="s">
        <v>8</v>
      </c>
      <c r="B14975" s="18" t="str">
        <f>"675901"</f>
        <v>675901</v>
      </c>
      <c r="C14975" s="19" t="s">
        <v>1595</v>
      </c>
      <c r="D14975" s="19" t="s">
        <v>30365</v>
      </c>
      <c r="E14975" s="19" t="s">
        <v>31178</v>
      </c>
      <c r="F14975" s="19" t="s">
        <v>36018</v>
      </c>
      <c r="G14975" s="33" t="str">
        <f>"77469"</f>
        <v>77469</v>
      </c>
      <c r="H14975" s="34" t="s">
        <v>36826</v>
      </c>
      <c r="I14975" s="35">
        <v>18.914999999999999</v>
      </c>
      <c r="J14975" s="47" t="s">
        <v>8</v>
      </c>
      <c r="K14975" s="23" t="s">
        <v>8</v>
      </c>
      <c r="L14975" s="23" t="s">
        <v>8</v>
      </c>
      <c r="M14975" s="23" t="s">
        <v>8</v>
      </c>
    </row>
    <row r="14976" spans="1:13" s="21" customFormat="1" x14ac:dyDescent="0.25">
      <c r="A14976" s="22" t="s">
        <v>8</v>
      </c>
      <c r="B14976" s="18" t="str">
        <f>"675902"</f>
        <v>675902</v>
      </c>
      <c r="C14976" s="19" t="s">
        <v>14689</v>
      </c>
      <c r="D14976" s="19" t="s">
        <v>30366</v>
      </c>
      <c r="E14976" s="19" t="s">
        <v>35309</v>
      </c>
      <c r="F14976" s="19" t="s">
        <v>36018</v>
      </c>
      <c r="G14976" s="33" t="str">
        <f>"76258"</f>
        <v>76258</v>
      </c>
      <c r="H14976" s="34" t="s">
        <v>32938</v>
      </c>
      <c r="I14976" s="35">
        <v>17.170000000000002</v>
      </c>
      <c r="J14976" s="47" t="s">
        <v>8</v>
      </c>
      <c r="K14976" s="23" t="s">
        <v>8</v>
      </c>
      <c r="L14976" s="23" t="s">
        <v>8</v>
      </c>
      <c r="M14976" s="23" t="s">
        <v>8</v>
      </c>
    </row>
    <row r="14977" spans="1:13" s="21" customFormat="1" x14ac:dyDescent="0.25">
      <c r="A14977" s="22" t="s">
        <v>8</v>
      </c>
      <c r="B14977" s="18" t="str">
        <f>"675903"</f>
        <v>675903</v>
      </c>
      <c r="C14977" s="19" t="s">
        <v>14690</v>
      </c>
      <c r="D14977" s="19" t="s">
        <v>30367</v>
      </c>
      <c r="E14977" s="19" t="s">
        <v>35229</v>
      </c>
      <c r="F14977" s="19" t="s">
        <v>36018</v>
      </c>
      <c r="G14977" s="33" t="str">
        <f>"76667"</f>
        <v>76667</v>
      </c>
      <c r="H14977" s="34" t="s">
        <v>35216</v>
      </c>
      <c r="I14977" s="35">
        <v>20.073</v>
      </c>
      <c r="J14977" s="47" t="s">
        <v>8</v>
      </c>
      <c r="K14977" s="23" t="s">
        <v>8</v>
      </c>
      <c r="L14977" s="23" t="s">
        <v>8</v>
      </c>
      <c r="M14977" s="23" t="s">
        <v>8</v>
      </c>
    </row>
    <row r="14978" spans="1:13" s="21" customFormat="1" x14ac:dyDescent="0.25">
      <c r="A14978" s="22" t="s">
        <v>8</v>
      </c>
      <c r="B14978" s="18" t="str">
        <f>"675904"</f>
        <v>675904</v>
      </c>
      <c r="C14978" s="19" t="s">
        <v>14691</v>
      </c>
      <c r="D14978" s="19" t="s">
        <v>30368</v>
      </c>
      <c r="E14978" s="19" t="s">
        <v>35247</v>
      </c>
      <c r="F14978" s="19" t="s">
        <v>36018</v>
      </c>
      <c r="G14978" s="33" t="str">
        <f>"79106"</f>
        <v>79106</v>
      </c>
      <c r="H14978" s="34" t="s">
        <v>36736</v>
      </c>
      <c r="I14978" s="35">
        <v>19.039000000000001</v>
      </c>
      <c r="J14978" s="47" t="s">
        <v>8</v>
      </c>
      <c r="K14978" s="23" t="s">
        <v>8</v>
      </c>
      <c r="L14978" s="23" t="s">
        <v>8</v>
      </c>
      <c r="M14978" s="23" t="s">
        <v>8</v>
      </c>
    </row>
    <row r="14979" spans="1:13" s="21" customFormat="1" x14ac:dyDescent="0.25">
      <c r="A14979" s="22" t="s">
        <v>8</v>
      </c>
      <c r="B14979" s="18" t="str">
        <f>"675905"</f>
        <v>675905</v>
      </c>
      <c r="C14979" s="19" t="s">
        <v>12555</v>
      </c>
      <c r="D14979" s="19" t="s">
        <v>30369</v>
      </c>
      <c r="E14979" s="19" t="s">
        <v>35909</v>
      </c>
      <c r="F14979" s="19" t="s">
        <v>36018</v>
      </c>
      <c r="G14979" s="33" t="str">
        <f>"76051"</f>
        <v>76051</v>
      </c>
      <c r="H14979" s="34" t="s">
        <v>36806</v>
      </c>
      <c r="I14979" s="35">
        <v>19.170000000000002</v>
      </c>
      <c r="J14979" s="47" t="s">
        <v>8</v>
      </c>
      <c r="K14979" s="23" t="s">
        <v>8</v>
      </c>
      <c r="L14979" s="23" t="s">
        <v>8</v>
      </c>
      <c r="M14979" s="23" t="s">
        <v>8</v>
      </c>
    </row>
    <row r="14980" spans="1:13" s="21" customFormat="1" x14ac:dyDescent="0.25">
      <c r="A14980" s="22" t="s">
        <v>8</v>
      </c>
      <c r="B14980" s="18" t="str">
        <f>"675906"</f>
        <v>675906</v>
      </c>
      <c r="C14980" s="19" t="s">
        <v>14692</v>
      </c>
      <c r="D14980" s="19" t="s">
        <v>30370</v>
      </c>
      <c r="E14980" s="19" t="s">
        <v>35910</v>
      </c>
      <c r="F14980" s="19" t="s">
        <v>36018</v>
      </c>
      <c r="G14980" s="33" t="str">
        <f>"76126"</f>
        <v>76126</v>
      </c>
      <c r="H14980" s="34" t="s">
        <v>36806</v>
      </c>
      <c r="I14980" s="35">
        <v>20.126000000000001</v>
      </c>
      <c r="J14980" s="47" t="s">
        <v>8</v>
      </c>
      <c r="K14980" s="23" t="s">
        <v>8</v>
      </c>
      <c r="L14980" s="23" t="s">
        <v>8</v>
      </c>
      <c r="M14980" s="23" t="s">
        <v>8</v>
      </c>
    </row>
    <row r="14981" spans="1:13" s="21" customFormat="1" x14ac:dyDescent="0.25">
      <c r="A14981" s="22" t="s">
        <v>8</v>
      </c>
      <c r="B14981" s="18" t="str">
        <f>"675907"</f>
        <v>675907</v>
      </c>
      <c r="C14981" s="19" t="s">
        <v>14693</v>
      </c>
      <c r="D14981" s="19" t="s">
        <v>30371</v>
      </c>
      <c r="E14981" s="19" t="s">
        <v>35911</v>
      </c>
      <c r="F14981" s="19" t="s">
        <v>36018</v>
      </c>
      <c r="G14981" s="33" t="str">
        <f>"75941"</f>
        <v>75941</v>
      </c>
      <c r="H14981" s="34" t="s">
        <v>36820</v>
      </c>
      <c r="I14981" s="35">
        <v>18.140999999999998</v>
      </c>
      <c r="J14981" s="47" t="s">
        <v>8</v>
      </c>
      <c r="K14981" s="23" t="s">
        <v>8</v>
      </c>
      <c r="L14981" s="23" t="s">
        <v>8</v>
      </c>
      <c r="M14981" s="23" t="s">
        <v>8</v>
      </c>
    </row>
    <row r="14982" spans="1:13" s="21" customFormat="1" x14ac:dyDescent="0.25">
      <c r="A14982" s="22" t="s">
        <v>8</v>
      </c>
      <c r="B14982" s="18" t="str">
        <f>"675908"</f>
        <v>675908</v>
      </c>
      <c r="C14982" s="19" t="s">
        <v>14694</v>
      </c>
      <c r="D14982" s="19" t="s">
        <v>30372</v>
      </c>
      <c r="E14982" s="19" t="s">
        <v>34206</v>
      </c>
      <c r="F14982" s="19" t="s">
        <v>36018</v>
      </c>
      <c r="G14982" s="33" t="str">
        <f>"75061"</f>
        <v>75061</v>
      </c>
      <c r="H14982" s="34" t="s">
        <v>31723</v>
      </c>
      <c r="I14982" s="35">
        <v>18.201000000000001</v>
      </c>
      <c r="J14982" s="47" t="s">
        <v>8</v>
      </c>
      <c r="K14982" s="23" t="s">
        <v>8</v>
      </c>
      <c r="L14982" s="23" t="s">
        <v>8</v>
      </c>
      <c r="M14982" s="23" t="s">
        <v>8</v>
      </c>
    </row>
    <row r="14983" spans="1:13" s="21" customFormat="1" x14ac:dyDescent="0.25">
      <c r="A14983" s="22" t="s">
        <v>8</v>
      </c>
      <c r="B14983" s="18" t="str">
        <f>"675909"</f>
        <v>675909</v>
      </c>
      <c r="C14983" s="19" t="s">
        <v>14695</v>
      </c>
      <c r="D14983" s="19" t="s">
        <v>30373</v>
      </c>
      <c r="E14983" s="19" t="s">
        <v>35912</v>
      </c>
      <c r="F14983" s="19" t="s">
        <v>36018</v>
      </c>
      <c r="G14983" s="33" t="str">
        <f>"76548"</f>
        <v>76548</v>
      </c>
      <c r="H14983" s="34" t="s">
        <v>31306</v>
      </c>
      <c r="I14983" s="35">
        <v>18.78</v>
      </c>
      <c r="J14983" s="47" t="s">
        <v>8</v>
      </c>
      <c r="K14983" s="23" t="s">
        <v>8</v>
      </c>
      <c r="L14983" s="23" t="s">
        <v>8</v>
      </c>
      <c r="M14983" s="23" t="s">
        <v>8</v>
      </c>
    </row>
    <row r="14984" spans="1:13" s="21" customFormat="1" x14ac:dyDescent="0.25">
      <c r="A14984" s="22" t="s">
        <v>8</v>
      </c>
      <c r="B14984" s="18" t="str">
        <f>"675910"</f>
        <v>675910</v>
      </c>
      <c r="C14984" s="19" t="s">
        <v>14696</v>
      </c>
      <c r="D14984" s="19" t="s">
        <v>30374</v>
      </c>
      <c r="E14984" s="19" t="s">
        <v>33207</v>
      </c>
      <c r="F14984" s="19" t="s">
        <v>36018</v>
      </c>
      <c r="G14984" s="33" t="str">
        <f>"79705"</f>
        <v>79705</v>
      </c>
      <c r="H14984" s="34" t="s">
        <v>33207</v>
      </c>
      <c r="I14984" s="35">
        <v>18.510999999999999</v>
      </c>
      <c r="J14984" s="47" t="s">
        <v>8</v>
      </c>
      <c r="K14984" s="23" t="s">
        <v>8</v>
      </c>
      <c r="L14984" s="23" t="s">
        <v>8</v>
      </c>
      <c r="M14984" s="23" t="s">
        <v>8</v>
      </c>
    </row>
    <row r="14985" spans="1:13" s="21" customFormat="1" x14ac:dyDescent="0.25">
      <c r="A14985" s="22" t="s">
        <v>8</v>
      </c>
      <c r="B14985" s="18" t="str">
        <f>"675911"</f>
        <v>675911</v>
      </c>
      <c r="C14985" s="19" t="s">
        <v>14697</v>
      </c>
      <c r="D14985" s="19" t="s">
        <v>30375</v>
      </c>
      <c r="E14985" s="19" t="s">
        <v>32378</v>
      </c>
      <c r="F14985" s="19" t="s">
        <v>36018</v>
      </c>
      <c r="G14985" s="33" t="str">
        <f>"76530"</f>
        <v>76530</v>
      </c>
      <c r="H14985" s="34" t="s">
        <v>35514</v>
      </c>
      <c r="I14985" s="35">
        <v>20.359000000000002</v>
      </c>
      <c r="J14985" s="47" t="s">
        <v>8</v>
      </c>
      <c r="K14985" s="23" t="s">
        <v>8</v>
      </c>
      <c r="L14985" s="23" t="s">
        <v>8</v>
      </c>
      <c r="M14985" s="23" t="s">
        <v>8</v>
      </c>
    </row>
    <row r="14986" spans="1:13" s="21" customFormat="1" x14ac:dyDescent="0.25">
      <c r="A14986" s="22" t="s">
        <v>8</v>
      </c>
      <c r="B14986" s="18" t="str">
        <f>"675912"</f>
        <v>675912</v>
      </c>
      <c r="C14986" s="19" t="s">
        <v>14698</v>
      </c>
      <c r="D14986" s="19" t="s">
        <v>30376</v>
      </c>
      <c r="E14986" s="19" t="s">
        <v>33401</v>
      </c>
      <c r="F14986" s="19" t="s">
        <v>36018</v>
      </c>
      <c r="G14986" s="33" t="str">
        <f>"75701"</f>
        <v>75701</v>
      </c>
      <c r="H14986" s="34" t="s">
        <v>36304</v>
      </c>
      <c r="I14986" s="35">
        <v>19.407</v>
      </c>
      <c r="J14986" s="47" t="s">
        <v>8</v>
      </c>
      <c r="K14986" s="23" t="s">
        <v>8</v>
      </c>
      <c r="L14986" s="23" t="s">
        <v>8</v>
      </c>
      <c r="M14986" s="23" t="s">
        <v>8</v>
      </c>
    </row>
    <row r="14987" spans="1:13" s="21" customFormat="1" x14ac:dyDescent="0.25">
      <c r="A14987" s="22" t="s">
        <v>8</v>
      </c>
      <c r="B14987" s="18" t="str">
        <f>"675913"</f>
        <v>675913</v>
      </c>
      <c r="C14987" s="19" t="s">
        <v>14699</v>
      </c>
      <c r="D14987" s="19" t="s">
        <v>30377</v>
      </c>
      <c r="E14987" s="19" t="s">
        <v>35913</v>
      </c>
      <c r="F14987" s="19" t="s">
        <v>36018</v>
      </c>
      <c r="G14987" s="33" t="str">
        <f>"78660"</f>
        <v>78660</v>
      </c>
      <c r="H14987" s="34" t="s">
        <v>36817</v>
      </c>
      <c r="I14987" s="35">
        <v>20.629000000000001</v>
      </c>
      <c r="J14987" s="47" t="s">
        <v>8</v>
      </c>
      <c r="K14987" s="23" t="s">
        <v>8</v>
      </c>
      <c r="L14987" s="23" t="s">
        <v>8</v>
      </c>
      <c r="M14987" s="23" t="s">
        <v>8</v>
      </c>
    </row>
    <row r="14988" spans="1:13" s="21" customFormat="1" x14ac:dyDescent="0.25">
      <c r="A14988" s="22" t="s">
        <v>8</v>
      </c>
      <c r="B14988" s="18" t="str">
        <f>"675914"</f>
        <v>675914</v>
      </c>
      <c r="C14988" s="19" t="s">
        <v>14700</v>
      </c>
      <c r="D14988" s="19" t="s">
        <v>30378</v>
      </c>
      <c r="E14988" s="19" t="s">
        <v>33383</v>
      </c>
      <c r="F14988" s="19" t="s">
        <v>36018</v>
      </c>
      <c r="G14988" s="33" t="str">
        <f>"78758"</f>
        <v>78758</v>
      </c>
      <c r="H14988" s="34" t="s">
        <v>36817</v>
      </c>
      <c r="I14988" s="35">
        <v>20.137</v>
      </c>
      <c r="J14988" s="47" t="s">
        <v>8</v>
      </c>
      <c r="K14988" s="23" t="s">
        <v>8</v>
      </c>
      <c r="L14988" s="23" t="s">
        <v>8</v>
      </c>
      <c r="M14988" s="23" t="s">
        <v>8</v>
      </c>
    </row>
    <row r="14989" spans="1:13" s="21" customFormat="1" x14ac:dyDescent="0.25">
      <c r="A14989" s="22" t="s">
        <v>8</v>
      </c>
      <c r="B14989" s="18" t="str">
        <f>"675915"</f>
        <v>675915</v>
      </c>
      <c r="C14989" s="19" t="s">
        <v>14701</v>
      </c>
      <c r="D14989" s="19" t="s">
        <v>30379</v>
      </c>
      <c r="E14989" s="19" t="s">
        <v>31495</v>
      </c>
      <c r="F14989" s="19" t="s">
        <v>36018</v>
      </c>
      <c r="G14989" s="33" t="str">
        <f>"78626"</f>
        <v>78626</v>
      </c>
      <c r="H14989" s="34" t="s">
        <v>35514</v>
      </c>
      <c r="I14989" s="35">
        <v>19.196000000000002</v>
      </c>
      <c r="J14989" s="47" t="s">
        <v>8</v>
      </c>
      <c r="K14989" s="23" t="s">
        <v>8</v>
      </c>
      <c r="L14989" s="23" t="s">
        <v>8</v>
      </c>
      <c r="M14989" s="23" t="s">
        <v>8</v>
      </c>
    </row>
    <row r="14990" spans="1:13" s="21" customFormat="1" x14ac:dyDescent="0.25">
      <c r="A14990" s="22" t="s">
        <v>8</v>
      </c>
      <c r="B14990" s="18" t="str">
        <f>"675916"</f>
        <v>675916</v>
      </c>
      <c r="C14990" s="19" t="s">
        <v>14702</v>
      </c>
      <c r="D14990" s="19" t="s">
        <v>30380</v>
      </c>
      <c r="E14990" s="19" t="s">
        <v>33116</v>
      </c>
      <c r="F14990" s="19" t="s">
        <v>36018</v>
      </c>
      <c r="G14990" s="33" t="str">
        <f>"76012"</f>
        <v>76012</v>
      </c>
      <c r="H14990" s="34" t="s">
        <v>36806</v>
      </c>
      <c r="I14990" s="35">
        <v>18.231999999999999</v>
      </c>
      <c r="J14990" s="47" t="s">
        <v>8</v>
      </c>
      <c r="K14990" s="23" t="s">
        <v>8</v>
      </c>
      <c r="L14990" s="23" t="s">
        <v>8</v>
      </c>
      <c r="M14990" s="23" t="s">
        <v>8</v>
      </c>
    </row>
    <row r="14991" spans="1:13" s="21" customFormat="1" x14ac:dyDescent="0.25">
      <c r="A14991" s="22" t="s">
        <v>8</v>
      </c>
      <c r="B14991" s="18" t="str">
        <f>"675918"</f>
        <v>675918</v>
      </c>
      <c r="C14991" s="19" t="s">
        <v>14703</v>
      </c>
      <c r="D14991" s="19" t="s">
        <v>30381</v>
      </c>
      <c r="E14991" s="19" t="s">
        <v>33383</v>
      </c>
      <c r="F14991" s="19" t="s">
        <v>36018</v>
      </c>
      <c r="G14991" s="33" t="str">
        <f>"78758"</f>
        <v>78758</v>
      </c>
      <c r="H14991" s="34" t="s">
        <v>36817</v>
      </c>
      <c r="I14991" s="35">
        <v>17.448</v>
      </c>
      <c r="J14991" s="47" t="s">
        <v>8</v>
      </c>
      <c r="K14991" s="23" t="s">
        <v>8</v>
      </c>
      <c r="L14991" s="23" t="s">
        <v>8</v>
      </c>
      <c r="M14991" s="23" t="s">
        <v>8</v>
      </c>
    </row>
    <row r="14992" spans="1:13" s="21" customFormat="1" x14ac:dyDescent="0.25">
      <c r="A14992" s="22" t="s">
        <v>8</v>
      </c>
      <c r="B14992" s="18" t="str">
        <f>"675920"</f>
        <v>675920</v>
      </c>
      <c r="C14992" s="19" t="s">
        <v>14704</v>
      </c>
      <c r="D14992" s="19" t="s">
        <v>30382</v>
      </c>
      <c r="E14992" s="19" t="s">
        <v>34740</v>
      </c>
      <c r="F14992" s="19" t="s">
        <v>36018</v>
      </c>
      <c r="G14992" s="33" t="str">
        <f>"79549"</f>
        <v>79549</v>
      </c>
      <c r="H14992" s="34" t="s">
        <v>36967</v>
      </c>
      <c r="I14992" s="35">
        <v>19.366</v>
      </c>
      <c r="J14992" s="47" t="s">
        <v>8</v>
      </c>
      <c r="K14992" s="23" t="s">
        <v>8</v>
      </c>
      <c r="L14992" s="23" t="s">
        <v>8</v>
      </c>
      <c r="M14992" s="23" t="s">
        <v>8</v>
      </c>
    </row>
    <row r="14993" spans="1:13" s="21" customFormat="1" x14ac:dyDescent="0.25">
      <c r="A14993" s="22" t="s">
        <v>8</v>
      </c>
      <c r="B14993" s="18" t="str">
        <f>"675922"</f>
        <v>675922</v>
      </c>
      <c r="C14993" s="19" t="s">
        <v>14705</v>
      </c>
      <c r="D14993" s="19" t="s">
        <v>30383</v>
      </c>
      <c r="E14993" s="19" t="s">
        <v>35914</v>
      </c>
      <c r="F14993" s="19" t="s">
        <v>36018</v>
      </c>
      <c r="G14993" s="33" t="str">
        <f>"78962"</f>
        <v>78962</v>
      </c>
      <c r="H14993" s="34" t="s">
        <v>36794</v>
      </c>
      <c r="I14993" s="35">
        <v>19.888000000000002</v>
      </c>
      <c r="J14993" s="47" t="s">
        <v>8</v>
      </c>
      <c r="K14993" s="23" t="s">
        <v>8</v>
      </c>
      <c r="L14993" s="23" t="s">
        <v>8</v>
      </c>
      <c r="M14993" s="23" t="s">
        <v>8</v>
      </c>
    </row>
    <row r="14994" spans="1:13" s="21" customFormat="1" x14ac:dyDescent="0.25">
      <c r="A14994" s="22" t="s">
        <v>8</v>
      </c>
      <c r="B14994" s="18" t="str">
        <f>"675923"</f>
        <v>675923</v>
      </c>
      <c r="C14994" s="19" t="s">
        <v>14706</v>
      </c>
      <c r="D14994" s="19" t="s">
        <v>30384</v>
      </c>
      <c r="E14994" s="19" t="s">
        <v>35915</v>
      </c>
      <c r="F14994" s="19" t="s">
        <v>36018</v>
      </c>
      <c r="G14994" s="33" t="str">
        <f>"78652"</f>
        <v>78652</v>
      </c>
      <c r="H14994" s="34" t="s">
        <v>36817</v>
      </c>
      <c r="I14994" s="35">
        <v>19.734999999999999</v>
      </c>
      <c r="J14994" s="47" t="s">
        <v>8</v>
      </c>
      <c r="K14994" s="23" t="s">
        <v>8</v>
      </c>
      <c r="L14994" s="23" t="s">
        <v>8</v>
      </c>
      <c r="M14994" s="23" t="s">
        <v>8</v>
      </c>
    </row>
    <row r="14995" spans="1:13" s="21" customFormat="1" x14ac:dyDescent="0.25">
      <c r="A14995" s="22" t="s">
        <v>8</v>
      </c>
      <c r="B14995" s="18" t="str">
        <f>"675924"</f>
        <v>675924</v>
      </c>
      <c r="C14995" s="19" t="s">
        <v>14707</v>
      </c>
      <c r="D14995" s="19" t="s">
        <v>30385</v>
      </c>
      <c r="E14995" s="19" t="s">
        <v>35250</v>
      </c>
      <c r="F14995" s="19" t="s">
        <v>36018</v>
      </c>
      <c r="G14995" s="33" t="str">
        <f>"76712"</f>
        <v>76712</v>
      </c>
      <c r="H14995" s="34" t="s">
        <v>36809</v>
      </c>
      <c r="I14995" s="35">
        <v>18.997</v>
      </c>
      <c r="J14995" s="47" t="s">
        <v>8</v>
      </c>
      <c r="K14995" s="23" t="s">
        <v>8</v>
      </c>
      <c r="L14995" s="23" t="s">
        <v>8</v>
      </c>
      <c r="M14995" s="23" t="s">
        <v>8</v>
      </c>
    </row>
    <row r="14996" spans="1:13" s="21" customFormat="1" x14ac:dyDescent="0.25">
      <c r="A14996" s="22" t="s">
        <v>8</v>
      </c>
      <c r="B14996" s="18" t="str">
        <f>"675925"</f>
        <v>675925</v>
      </c>
      <c r="C14996" s="19" t="s">
        <v>14708</v>
      </c>
      <c r="D14996" s="19" t="s">
        <v>30386</v>
      </c>
      <c r="E14996" s="19" t="s">
        <v>35310</v>
      </c>
      <c r="F14996" s="19" t="s">
        <v>36018</v>
      </c>
      <c r="G14996" s="33" t="str">
        <f>"79415"</f>
        <v>79415</v>
      </c>
      <c r="H14996" s="34" t="s">
        <v>35310</v>
      </c>
      <c r="I14996" s="35">
        <v>24.69</v>
      </c>
      <c r="J14996" s="47" t="s">
        <v>8</v>
      </c>
      <c r="K14996" s="23" t="s">
        <v>8</v>
      </c>
      <c r="L14996" s="23" t="s">
        <v>8</v>
      </c>
      <c r="M14996" s="23" t="s">
        <v>8</v>
      </c>
    </row>
    <row r="14997" spans="1:13" s="21" customFormat="1" x14ac:dyDescent="0.25">
      <c r="A14997" s="22" t="s">
        <v>8</v>
      </c>
      <c r="B14997" s="18" t="str">
        <f>"675927"</f>
        <v>675927</v>
      </c>
      <c r="C14997" s="19" t="s">
        <v>14709</v>
      </c>
      <c r="D14997" s="19" t="s">
        <v>30387</v>
      </c>
      <c r="E14997" s="19" t="s">
        <v>33608</v>
      </c>
      <c r="F14997" s="19" t="s">
        <v>36018</v>
      </c>
      <c r="G14997" s="33" t="str">
        <f>"79731"</f>
        <v>79731</v>
      </c>
      <c r="H14997" s="34" t="s">
        <v>33608</v>
      </c>
      <c r="I14997" s="35">
        <v>19.652000000000001</v>
      </c>
      <c r="J14997" s="47" t="s">
        <v>8</v>
      </c>
      <c r="K14997" s="23" t="s">
        <v>8</v>
      </c>
      <c r="L14997" s="23" t="s">
        <v>8</v>
      </c>
      <c r="M14997" s="23" t="s">
        <v>8</v>
      </c>
    </row>
    <row r="14998" spans="1:13" s="21" customFormat="1" x14ac:dyDescent="0.25">
      <c r="A14998" s="22" t="s">
        <v>8</v>
      </c>
      <c r="B14998" s="18" t="str">
        <f>"675928"</f>
        <v>675928</v>
      </c>
      <c r="C14998" s="19" t="s">
        <v>14710</v>
      </c>
      <c r="D14998" s="19" t="s">
        <v>30388</v>
      </c>
      <c r="E14998" s="19" t="s">
        <v>33664</v>
      </c>
      <c r="F14998" s="19" t="s">
        <v>36018</v>
      </c>
      <c r="G14998" s="33" t="str">
        <f>"79763"</f>
        <v>79763</v>
      </c>
      <c r="H14998" s="34" t="s">
        <v>36821</v>
      </c>
      <c r="I14998" s="35">
        <v>16.616</v>
      </c>
      <c r="J14998" s="47" t="s">
        <v>8</v>
      </c>
      <c r="K14998" s="23" t="s">
        <v>8</v>
      </c>
      <c r="L14998" s="23" t="s">
        <v>8</v>
      </c>
      <c r="M14998" s="23" t="s">
        <v>8</v>
      </c>
    </row>
    <row r="14999" spans="1:13" s="21" customFormat="1" x14ac:dyDescent="0.25">
      <c r="A14999" s="22" t="s">
        <v>8</v>
      </c>
      <c r="B14999" s="18" t="str">
        <f>"675929"</f>
        <v>675929</v>
      </c>
      <c r="C14999" s="19" t="s">
        <v>14711</v>
      </c>
      <c r="D14999" s="19" t="s">
        <v>30389</v>
      </c>
      <c r="E14999" s="19" t="s">
        <v>35916</v>
      </c>
      <c r="F14999" s="19" t="s">
        <v>36018</v>
      </c>
      <c r="G14999" s="33" t="str">
        <f>"78003"</f>
        <v>78003</v>
      </c>
      <c r="H14999" s="34" t="s">
        <v>35916</v>
      </c>
      <c r="I14999" s="35">
        <v>18.992999999999999</v>
      </c>
      <c r="J14999" s="47" t="s">
        <v>8</v>
      </c>
      <c r="K14999" s="23" t="s">
        <v>8</v>
      </c>
      <c r="L14999" s="23" t="s">
        <v>8</v>
      </c>
      <c r="M14999" s="23" t="s">
        <v>8</v>
      </c>
    </row>
    <row r="15000" spans="1:13" s="21" customFormat="1" x14ac:dyDescent="0.25">
      <c r="A15000" s="22" t="s">
        <v>8</v>
      </c>
      <c r="B15000" s="18" t="str">
        <f>"675930"</f>
        <v>675930</v>
      </c>
      <c r="C15000" s="19" t="s">
        <v>14712</v>
      </c>
      <c r="D15000" s="19" t="s">
        <v>30390</v>
      </c>
      <c r="E15000" s="19" t="s">
        <v>33116</v>
      </c>
      <c r="F15000" s="19" t="s">
        <v>36018</v>
      </c>
      <c r="G15000" s="33" t="str">
        <f>"76014"</f>
        <v>76014</v>
      </c>
      <c r="H15000" s="34" t="s">
        <v>36806</v>
      </c>
      <c r="I15000" s="35">
        <v>23.872</v>
      </c>
      <c r="J15000" s="47" t="s">
        <v>8</v>
      </c>
      <c r="K15000" s="23" t="s">
        <v>8</v>
      </c>
      <c r="L15000" s="23" t="s">
        <v>8</v>
      </c>
      <c r="M15000" s="23" t="s">
        <v>8</v>
      </c>
    </row>
    <row r="15001" spans="1:13" s="21" customFormat="1" x14ac:dyDescent="0.25">
      <c r="A15001" s="22" t="s">
        <v>8</v>
      </c>
      <c r="B15001" s="18" t="str">
        <f>"675931"</f>
        <v>675931</v>
      </c>
      <c r="C15001" s="19" t="s">
        <v>14713</v>
      </c>
      <c r="D15001" s="19" t="s">
        <v>30391</v>
      </c>
      <c r="E15001" s="19" t="s">
        <v>35917</v>
      </c>
      <c r="F15001" s="19" t="s">
        <v>36018</v>
      </c>
      <c r="G15001" s="33" t="str">
        <f>"78833"</f>
        <v>78833</v>
      </c>
      <c r="H15001" s="34" t="s">
        <v>36973</v>
      </c>
      <c r="I15001" s="35">
        <v>18.381</v>
      </c>
      <c r="J15001" s="47" t="s">
        <v>8</v>
      </c>
      <c r="K15001" s="23" t="s">
        <v>8</v>
      </c>
      <c r="L15001" s="23" t="s">
        <v>8</v>
      </c>
      <c r="M15001" s="23" t="s">
        <v>8</v>
      </c>
    </row>
    <row r="15002" spans="1:13" s="21" customFormat="1" x14ac:dyDescent="0.25">
      <c r="A15002" s="22" t="s">
        <v>8</v>
      </c>
      <c r="B15002" s="18" t="str">
        <f>"675932"</f>
        <v>675932</v>
      </c>
      <c r="C15002" s="19" t="s">
        <v>14714</v>
      </c>
      <c r="D15002" s="19" t="s">
        <v>30392</v>
      </c>
      <c r="E15002" s="19" t="s">
        <v>35241</v>
      </c>
      <c r="F15002" s="19" t="s">
        <v>36018</v>
      </c>
      <c r="G15002" s="33" t="str">
        <f>"76903"</f>
        <v>76903</v>
      </c>
      <c r="H15002" s="34" t="s">
        <v>36802</v>
      </c>
      <c r="I15002" s="35">
        <v>20.998000000000001</v>
      </c>
      <c r="J15002" s="47" t="s">
        <v>8</v>
      </c>
      <c r="K15002" s="23" t="s">
        <v>8</v>
      </c>
      <c r="L15002" s="23" t="s">
        <v>8</v>
      </c>
      <c r="M15002" s="23" t="s">
        <v>8</v>
      </c>
    </row>
    <row r="15003" spans="1:13" s="21" customFormat="1" x14ac:dyDescent="0.25">
      <c r="A15003" s="22" t="s">
        <v>8</v>
      </c>
      <c r="B15003" s="18" t="str">
        <f>"675933"</f>
        <v>675933</v>
      </c>
      <c r="C15003" s="19" t="s">
        <v>14715</v>
      </c>
      <c r="D15003" s="19" t="s">
        <v>30393</v>
      </c>
      <c r="E15003" s="19" t="s">
        <v>35276</v>
      </c>
      <c r="F15003" s="19" t="s">
        <v>36018</v>
      </c>
      <c r="G15003" s="33" t="str">
        <f>"78550"</f>
        <v>78550</v>
      </c>
      <c r="H15003" s="34" t="s">
        <v>33578</v>
      </c>
      <c r="I15003" s="35">
        <v>18.545999999999999</v>
      </c>
      <c r="J15003" s="47" t="s">
        <v>8</v>
      </c>
      <c r="K15003" s="23" t="s">
        <v>8</v>
      </c>
      <c r="L15003" s="23" t="s">
        <v>8</v>
      </c>
      <c r="M15003" s="23" t="s">
        <v>8</v>
      </c>
    </row>
    <row r="15004" spans="1:13" s="21" customFormat="1" x14ac:dyDescent="0.25">
      <c r="A15004" s="22" t="s">
        <v>8</v>
      </c>
      <c r="B15004" s="18" t="str">
        <f>"675934"</f>
        <v>675934</v>
      </c>
      <c r="C15004" s="19" t="s">
        <v>14716</v>
      </c>
      <c r="D15004" s="19" t="s">
        <v>30394</v>
      </c>
      <c r="E15004" s="19" t="s">
        <v>32215</v>
      </c>
      <c r="F15004" s="19" t="s">
        <v>36018</v>
      </c>
      <c r="G15004" s="33" t="str">
        <f>"76021"</f>
        <v>76021</v>
      </c>
      <c r="H15004" s="34" t="s">
        <v>36806</v>
      </c>
      <c r="I15004" s="35">
        <v>17.989000000000001</v>
      </c>
      <c r="J15004" s="47" t="s">
        <v>8</v>
      </c>
      <c r="K15004" s="23" t="s">
        <v>8</v>
      </c>
      <c r="L15004" s="23" t="s">
        <v>8</v>
      </c>
      <c r="M15004" s="23" t="s">
        <v>8</v>
      </c>
    </row>
    <row r="15005" spans="1:13" s="21" customFormat="1" x14ac:dyDescent="0.25">
      <c r="A15005" s="22" t="s">
        <v>8</v>
      </c>
      <c r="B15005" s="18" t="str">
        <f>"675935"</f>
        <v>675935</v>
      </c>
      <c r="C15005" s="19" t="s">
        <v>14717</v>
      </c>
      <c r="D15005" s="19" t="s">
        <v>30395</v>
      </c>
      <c r="E15005" s="19" t="s">
        <v>35245</v>
      </c>
      <c r="F15005" s="19" t="s">
        <v>36018</v>
      </c>
      <c r="G15005" s="33" t="str">
        <f>"76117"</f>
        <v>76117</v>
      </c>
      <c r="H15005" s="34" t="s">
        <v>36806</v>
      </c>
      <c r="I15005" s="35">
        <v>18.675999999999998</v>
      </c>
      <c r="J15005" s="47" t="s">
        <v>8</v>
      </c>
      <c r="K15005" s="23" t="s">
        <v>8</v>
      </c>
      <c r="L15005" s="23" t="s">
        <v>8</v>
      </c>
      <c r="M15005" s="23" t="s">
        <v>8</v>
      </c>
    </row>
    <row r="15006" spans="1:13" s="21" customFormat="1" x14ac:dyDescent="0.25">
      <c r="A15006" s="22" t="s">
        <v>8</v>
      </c>
      <c r="B15006" s="18" t="str">
        <f>"675936"</f>
        <v>675936</v>
      </c>
      <c r="C15006" s="19" t="s">
        <v>14718</v>
      </c>
      <c r="D15006" s="19" t="s">
        <v>30396</v>
      </c>
      <c r="E15006" s="19" t="s">
        <v>33552</v>
      </c>
      <c r="F15006" s="19" t="s">
        <v>36018</v>
      </c>
      <c r="G15006" s="33" t="str">
        <f>"75559"</f>
        <v>75559</v>
      </c>
      <c r="H15006" s="34" t="s">
        <v>32980</v>
      </c>
      <c r="I15006" s="35">
        <v>20.885000000000002</v>
      </c>
      <c r="J15006" s="47" t="s">
        <v>8</v>
      </c>
      <c r="K15006" s="23" t="s">
        <v>8</v>
      </c>
      <c r="L15006" s="23" t="s">
        <v>8</v>
      </c>
      <c r="M15006" s="23" t="s">
        <v>8</v>
      </c>
    </row>
    <row r="15007" spans="1:13" s="21" customFormat="1" x14ac:dyDescent="0.25">
      <c r="A15007" s="22" t="s">
        <v>8</v>
      </c>
      <c r="B15007" s="18" t="str">
        <f>"675937"</f>
        <v>675937</v>
      </c>
      <c r="C15007" s="19" t="s">
        <v>14719</v>
      </c>
      <c r="D15007" s="19" t="s">
        <v>30397</v>
      </c>
      <c r="E15007" s="19" t="s">
        <v>35918</v>
      </c>
      <c r="F15007" s="19" t="s">
        <v>36018</v>
      </c>
      <c r="G15007" s="33" t="str">
        <f>"78613"</f>
        <v>78613</v>
      </c>
      <c r="H15007" s="34" t="s">
        <v>35514</v>
      </c>
      <c r="I15007" s="35">
        <v>18.782</v>
      </c>
      <c r="J15007" s="47" t="s">
        <v>8</v>
      </c>
      <c r="K15007" s="23" t="s">
        <v>8</v>
      </c>
      <c r="L15007" s="23" t="s">
        <v>8</v>
      </c>
      <c r="M15007" s="23" t="s">
        <v>8</v>
      </c>
    </row>
    <row r="15008" spans="1:13" s="21" customFormat="1" x14ac:dyDescent="0.25">
      <c r="A15008" s="22" t="s">
        <v>8</v>
      </c>
      <c r="B15008" s="18" t="str">
        <f>"675938"</f>
        <v>675938</v>
      </c>
      <c r="C15008" s="19" t="s">
        <v>14720</v>
      </c>
      <c r="D15008" s="19" t="s">
        <v>30398</v>
      </c>
      <c r="E15008" s="19" t="s">
        <v>35919</v>
      </c>
      <c r="F15008" s="19" t="s">
        <v>36018</v>
      </c>
      <c r="G15008" s="33" t="str">
        <f>"77984"</f>
        <v>77984</v>
      </c>
      <c r="H15008" s="34" t="s">
        <v>36813</v>
      </c>
      <c r="I15008" s="35">
        <v>20.616</v>
      </c>
      <c r="J15008" s="47" t="s">
        <v>8</v>
      </c>
      <c r="K15008" s="23" t="s">
        <v>8</v>
      </c>
      <c r="L15008" s="23" t="s">
        <v>8</v>
      </c>
      <c r="M15008" s="23" t="s">
        <v>8</v>
      </c>
    </row>
    <row r="15009" spans="1:13" s="21" customFormat="1" x14ac:dyDescent="0.25">
      <c r="A15009" s="22" t="s">
        <v>8</v>
      </c>
      <c r="B15009" s="18" t="str">
        <f>"675939"</f>
        <v>675939</v>
      </c>
      <c r="C15009" s="19" t="s">
        <v>14721</v>
      </c>
      <c r="D15009" s="19" t="s">
        <v>30399</v>
      </c>
      <c r="E15009" s="19" t="s">
        <v>32938</v>
      </c>
      <c r="F15009" s="19" t="s">
        <v>36018</v>
      </c>
      <c r="G15009" s="33" t="str">
        <f>"76201"</f>
        <v>76201</v>
      </c>
      <c r="H15009" s="34" t="s">
        <v>32938</v>
      </c>
      <c r="I15009" s="35">
        <v>19.84</v>
      </c>
      <c r="J15009" s="47" t="s">
        <v>8</v>
      </c>
      <c r="K15009" s="23" t="s">
        <v>8</v>
      </c>
      <c r="L15009" s="23" t="s">
        <v>8</v>
      </c>
      <c r="M15009" s="23" t="s">
        <v>8</v>
      </c>
    </row>
    <row r="15010" spans="1:13" s="21" customFormat="1" x14ac:dyDescent="0.25">
      <c r="A15010" s="22" t="s">
        <v>8</v>
      </c>
      <c r="B15010" s="18" t="str">
        <f>"675940"</f>
        <v>675940</v>
      </c>
      <c r="C15010" s="19" t="s">
        <v>14722</v>
      </c>
      <c r="D15010" s="19" t="s">
        <v>30400</v>
      </c>
      <c r="E15010" s="19" t="s">
        <v>35920</v>
      </c>
      <c r="F15010" s="19" t="s">
        <v>36018</v>
      </c>
      <c r="G15010" s="33" t="str">
        <f>"75948"</f>
        <v>75948</v>
      </c>
      <c r="H15010" s="34" t="s">
        <v>36372</v>
      </c>
      <c r="I15010" s="35">
        <v>21.408000000000001</v>
      </c>
      <c r="J15010" s="47" t="s">
        <v>8</v>
      </c>
      <c r="K15010" s="23" t="s">
        <v>8</v>
      </c>
      <c r="L15010" s="23" t="s">
        <v>8</v>
      </c>
      <c r="M15010" s="23" t="s">
        <v>8</v>
      </c>
    </row>
    <row r="15011" spans="1:13" s="21" customFormat="1" x14ac:dyDescent="0.25">
      <c r="A15011" s="22" t="s">
        <v>8</v>
      </c>
      <c r="B15011" s="18" t="str">
        <f>"675942"</f>
        <v>675942</v>
      </c>
      <c r="C15011" s="19" t="s">
        <v>14723</v>
      </c>
      <c r="D15011" s="19" t="s">
        <v>30401</v>
      </c>
      <c r="E15011" s="19" t="s">
        <v>33653</v>
      </c>
      <c r="F15011" s="19" t="s">
        <v>36018</v>
      </c>
      <c r="G15011" s="33" t="str">
        <f>"78957"</f>
        <v>78957</v>
      </c>
      <c r="H15011" s="34" t="s">
        <v>32780</v>
      </c>
      <c r="I15011" s="35">
        <v>17.164000000000001</v>
      </c>
      <c r="J15011" s="47" t="s">
        <v>8</v>
      </c>
      <c r="K15011" s="23" t="s">
        <v>8</v>
      </c>
      <c r="L15011" s="23" t="s">
        <v>8</v>
      </c>
      <c r="M15011" s="23" t="s">
        <v>8</v>
      </c>
    </row>
    <row r="15012" spans="1:13" s="21" customFormat="1" x14ac:dyDescent="0.25">
      <c r="A15012" s="22" t="s">
        <v>8</v>
      </c>
      <c r="B15012" s="18" t="str">
        <f>"675943"</f>
        <v>675943</v>
      </c>
      <c r="C15012" s="19" t="s">
        <v>14724</v>
      </c>
      <c r="D15012" s="19" t="s">
        <v>30402</v>
      </c>
      <c r="E15012" s="19" t="s">
        <v>35918</v>
      </c>
      <c r="F15012" s="19" t="s">
        <v>36018</v>
      </c>
      <c r="G15012" s="33" t="str">
        <f>"78613"</f>
        <v>78613</v>
      </c>
      <c r="H15012" s="34" t="s">
        <v>35514</v>
      </c>
      <c r="I15012" s="35">
        <v>18.890999999999998</v>
      </c>
      <c r="J15012" s="47" t="s">
        <v>8</v>
      </c>
      <c r="K15012" s="23" t="s">
        <v>8</v>
      </c>
      <c r="L15012" s="23" t="s">
        <v>8</v>
      </c>
      <c r="M15012" s="23" t="s">
        <v>8</v>
      </c>
    </row>
    <row r="15013" spans="1:13" s="21" customFormat="1" x14ac:dyDescent="0.25">
      <c r="A15013" s="22" t="s">
        <v>8</v>
      </c>
      <c r="B15013" s="18" t="str">
        <f>"675944"</f>
        <v>675944</v>
      </c>
      <c r="C15013" s="19" t="s">
        <v>14725</v>
      </c>
      <c r="D15013" s="19" t="s">
        <v>30403</v>
      </c>
      <c r="E15013" s="19" t="s">
        <v>35297</v>
      </c>
      <c r="F15013" s="19" t="s">
        <v>36018</v>
      </c>
      <c r="G15013" s="33" t="str">
        <f>"76801"</f>
        <v>76801</v>
      </c>
      <c r="H15013" s="34" t="s">
        <v>36244</v>
      </c>
      <c r="I15013" s="35">
        <v>21.529</v>
      </c>
      <c r="J15013" s="47" t="s">
        <v>8</v>
      </c>
      <c r="K15013" s="23" t="s">
        <v>8</v>
      </c>
      <c r="L15013" s="23" t="s">
        <v>8</v>
      </c>
      <c r="M15013" s="23" t="s">
        <v>8</v>
      </c>
    </row>
    <row r="15014" spans="1:13" s="21" customFormat="1" x14ac:dyDescent="0.25">
      <c r="A15014" s="22" t="s">
        <v>8</v>
      </c>
      <c r="B15014" s="18" t="str">
        <f>"675945"</f>
        <v>675945</v>
      </c>
      <c r="C15014" s="19" t="s">
        <v>14726</v>
      </c>
      <c r="D15014" s="19" t="s">
        <v>30404</v>
      </c>
      <c r="E15014" s="19" t="s">
        <v>31683</v>
      </c>
      <c r="F15014" s="19" t="s">
        <v>36018</v>
      </c>
      <c r="G15014" s="33" t="str">
        <f>"79095"</f>
        <v>79095</v>
      </c>
      <c r="H15014" s="34" t="s">
        <v>36974</v>
      </c>
      <c r="I15014" s="35">
        <v>18.045000000000002</v>
      </c>
      <c r="J15014" s="47" t="s">
        <v>8</v>
      </c>
      <c r="K15014" s="23" t="s">
        <v>8</v>
      </c>
      <c r="L15014" s="23" t="s">
        <v>8</v>
      </c>
      <c r="M15014" s="23" t="s">
        <v>8</v>
      </c>
    </row>
    <row r="15015" spans="1:13" s="21" customFormat="1" x14ac:dyDescent="0.25">
      <c r="A15015" s="22" t="s">
        <v>8</v>
      </c>
      <c r="B15015" s="18" t="str">
        <f>"675946"</f>
        <v>675946</v>
      </c>
      <c r="C15015" s="19" t="s">
        <v>14727</v>
      </c>
      <c r="D15015" s="19" t="s">
        <v>30405</v>
      </c>
      <c r="E15015" s="19" t="s">
        <v>34717</v>
      </c>
      <c r="F15015" s="19" t="s">
        <v>36018</v>
      </c>
      <c r="G15015" s="33" t="str">
        <f>"76502"</f>
        <v>76502</v>
      </c>
      <c r="H15015" s="34" t="s">
        <v>31306</v>
      </c>
      <c r="I15015" s="35">
        <v>18.173999999999999</v>
      </c>
      <c r="J15015" s="47" t="s">
        <v>8</v>
      </c>
      <c r="K15015" s="23" t="s">
        <v>8</v>
      </c>
      <c r="L15015" s="23" t="s">
        <v>8</v>
      </c>
      <c r="M15015" s="23" t="s">
        <v>8</v>
      </c>
    </row>
    <row r="15016" spans="1:13" s="21" customFormat="1" x14ac:dyDescent="0.25">
      <c r="A15016" s="22" t="s">
        <v>8</v>
      </c>
      <c r="B15016" s="18" t="str">
        <f>"675947"</f>
        <v>675947</v>
      </c>
      <c r="C15016" s="19" t="s">
        <v>14728</v>
      </c>
      <c r="D15016" s="19" t="s">
        <v>30406</v>
      </c>
      <c r="E15016" s="19" t="s">
        <v>35921</v>
      </c>
      <c r="F15016" s="19" t="s">
        <v>36018</v>
      </c>
      <c r="G15016" s="33" t="str">
        <f>"78121"</f>
        <v>78121</v>
      </c>
      <c r="H15016" s="34" t="s">
        <v>32577</v>
      </c>
      <c r="I15016" s="35">
        <v>18.507999999999999</v>
      </c>
      <c r="J15016" s="47" t="s">
        <v>8</v>
      </c>
      <c r="K15016" s="23" t="s">
        <v>8</v>
      </c>
      <c r="L15016" s="23" t="s">
        <v>8</v>
      </c>
      <c r="M15016" s="23" t="s">
        <v>8</v>
      </c>
    </row>
    <row r="15017" spans="1:13" s="21" customFormat="1" x14ac:dyDescent="0.25">
      <c r="A15017" s="22" t="s">
        <v>8</v>
      </c>
      <c r="B15017" s="18" t="str">
        <f>"675948"</f>
        <v>675948</v>
      </c>
      <c r="C15017" s="19" t="s">
        <v>14729</v>
      </c>
      <c r="D15017" s="19" t="s">
        <v>30407</v>
      </c>
      <c r="E15017" s="19" t="s">
        <v>33721</v>
      </c>
      <c r="F15017" s="19" t="s">
        <v>36018</v>
      </c>
      <c r="G15017" s="33" t="str">
        <f>"76513"</f>
        <v>76513</v>
      </c>
      <c r="H15017" s="34" t="s">
        <v>31306</v>
      </c>
      <c r="I15017" s="35">
        <v>17.544</v>
      </c>
      <c r="J15017" s="47" t="s">
        <v>8</v>
      </c>
      <c r="K15017" s="23" t="s">
        <v>8</v>
      </c>
      <c r="L15017" s="23" t="s">
        <v>8</v>
      </c>
      <c r="M15017" s="23" t="s">
        <v>8</v>
      </c>
    </row>
    <row r="15018" spans="1:13" s="21" customFormat="1" x14ac:dyDescent="0.25">
      <c r="A15018" s="22" t="s">
        <v>8</v>
      </c>
      <c r="B15018" s="18" t="str">
        <f>"675949"</f>
        <v>675949</v>
      </c>
      <c r="C15018" s="19" t="s">
        <v>14730</v>
      </c>
      <c r="D15018" s="19" t="s">
        <v>30408</v>
      </c>
      <c r="E15018" s="19" t="s">
        <v>31021</v>
      </c>
      <c r="F15018" s="19" t="s">
        <v>36018</v>
      </c>
      <c r="G15018" s="33" t="str">
        <f>"75503"</f>
        <v>75503</v>
      </c>
      <c r="H15018" s="34" t="s">
        <v>32980</v>
      </c>
      <c r="I15018" s="35">
        <v>22</v>
      </c>
      <c r="J15018" s="47" t="s">
        <v>8</v>
      </c>
      <c r="K15018" s="23" t="s">
        <v>8</v>
      </c>
      <c r="L15018" s="23" t="s">
        <v>8</v>
      </c>
      <c r="M15018" s="23" t="s">
        <v>8</v>
      </c>
    </row>
    <row r="15019" spans="1:13" s="21" customFormat="1" x14ac:dyDescent="0.25">
      <c r="A15019" s="22" t="s">
        <v>8</v>
      </c>
      <c r="B15019" s="18" t="str">
        <f>"675952"</f>
        <v>675952</v>
      </c>
      <c r="C15019" s="19" t="s">
        <v>14731</v>
      </c>
      <c r="D15019" s="19" t="s">
        <v>30409</v>
      </c>
      <c r="E15019" s="19" t="s">
        <v>31723</v>
      </c>
      <c r="F15019" s="19" t="s">
        <v>36018</v>
      </c>
      <c r="G15019" s="33" t="str">
        <f>"75214"</f>
        <v>75214</v>
      </c>
      <c r="H15019" s="34" t="s">
        <v>31723</v>
      </c>
      <c r="I15019" s="35">
        <v>16.61</v>
      </c>
      <c r="J15019" s="47" t="s">
        <v>8</v>
      </c>
      <c r="K15019" s="23" t="s">
        <v>8</v>
      </c>
      <c r="L15019" s="23" t="s">
        <v>8</v>
      </c>
      <c r="M15019" s="23" t="s">
        <v>8</v>
      </c>
    </row>
    <row r="15020" spans="1:13" s="21" customFormat="1" x14ac:dyDescent="0.25">
      <c r="A15020" s="22" t="s">
        <v>8</v>
      </c>
      <c r="B15020" s="18" t="str">
        <f>"675954"</f>
        <v>675954</v>
      </c>
      <c r="C15020" s="19" t="s">
        <v>14732</v>
      </c>
      <c r="D15020" s="19" t="s">
        <v>30410</v>
      </c>
      <c r="E15020" s="19" t="s">
        <v>35922</v>
      </c>
      <c r="F15020" s="19" t="s">
        <v>36018</v>
      </c>
      <c r="G15020" s="33" t="str">
        <f>"79070"</f>
        <v>79070</v>
      </c>
      <c r="H15020" s="34" t="s">
        <v>36975</v>
      </c>
      <c r="I15020" s="35">
        <v>20.050999999999998</v>
      </c>
      <c r="J15020" s="47" t="s">
        <v>8</v>
      </c>
      <c r="K15020" s="23" t="s">
        <v>8</v>
      </c>
      <c r="L15020" s="23" t="s">
        <v>8</v>
      </c>
      <c r="M15020" s="23" t="s">
        <v>8</v>
      </c>
    </row>
    <row r="15021" spans="1:13" s="21" customFormat="1" x14ac:dyDescent="0.25">
      <c r="A15021" s="22" t="s">
        <v>8</v>
      </c>
      <c r="B15021" s="18" t="str">
        <f>"675956"</f>
        <v>675956</v>
      </c>
      <c r="C15021" s="19" t="s">
        <v>14733</v>
      </c>
      <c r="D15021" s="19" t="s">
        <v>30411</v>
      </c>
      <c r="E15021" s="19" t="s">
        <v>33383</v>
      </c>
      <c r="F15021" s="19" t="s">
        <v>36018</v>
      </c>
      <c r="G15021" s="33" t="str">
        <f>"78727"</f>
        <v>78727</v>
      </c>
      <c r="H15021" s="34" t="s">
        <v>36817</v>
      </c>
      <c r="I15021" s="35">
        <v>16.782</v>
      </c>
      <c r="J15021" s="47" t="s">
        <v>8</v>
      </c>
      <c r="K15021" s="23" t="s">
        <v>8</v>
      </c>
      <c r="L15021" s="23" t="s">
        <v>8</v>
      </c>
      <c r="M15021" s="23" t="s">
        <v>8</v>
      </c>
    </row>
    <row r="15022" spans="1:13" s="21" customFormat="1" x14ac:dyDescent="0.25">
      <c r="A15022" s="22" t="s">
        <v>8</v>
      </c>
      <c r="B15022" s="18" t="str">
        <f>"675958"</f>
        <v>675958</v>
      </c>
      <c r="C15022" s="19" t="s">
        <v>12429</v>
      </c>
      <c r="D15022" s="19" t="s">
        <v>30412</v>
      </c>
      <c r="E15022" s="19" t="s">
        <v>31021</v>
      </c>
      <c r="F15022" s="19" t="s">
        <v>36018</v>
      </c>
      <c r="G15022" s="33" t="str">
        <f>"75501"</f>
        <v>75501</v>
      </c>
      <c r="H15022" s="34" t="s">
        <v>32980</v>
      </c>
      <c r="I15022" s="35">
        <v>21.542999999999999</v>
      </c>
      <c r="J15022" s="47" t="s">
        <v>8</v>
      </c>
      <c r="K15022" s="23" t="s">
        <v>8</v>
      </c>
      <c r="L15022" s="23" t="s">
        <v>8</v>
      </c>
      <c r="M15022" s="23" t="s">
        <v>8</v>
      </c>
    </row>
    <row r="15023" spans="1:13" s="21" customFormat="1" x14ac:dyDescent="0.25">
      <c r="A15023" s="22" t="s">
        <v>8</v>
      </c>
      <c r="B15023" s="18" t="str">
        <f>"675959"</f>
        <v>675959</v>
      </c>
      <c r="C15023" s="19" t="s">
        <v>14734</v>
      </c>
      <c r="D15023" s="19" t="s">
        <v>30413</v>
      </c>
      <c r="E15023" s="19" t="s">
        <v>35297</v>
      </c>
      <c r="F15023" s="19" t="s">
        <v>36018</v>
      </c>
      <c r="G15023" s="33" t="str">
        <f>"76801"</f>
        <v>76801</v>
      </c>
      <c r="H15023" s="34" t="s">
        <v>36244</v>
      </c>
      <c r="I15023" s="35">
        <v>21.056999999999999</v>
      </c>
      <c r="J15023" s="47" t="s">
        <v>8</v>
      </c>
      <c r="K15023" s="23" t="s">
        <v>8</v>
      </c>
      <c r="L15023" s="23" t="s">
        <v>8</v>
      </c>
      <c r="M15023" s="23" t="s">
        <v>8</v>
      </c>
    </row>
    <row r="15024" spans="1:13" s="21" customFormat="1" x14ac:dyDescent="0.25">
      <c r="A15024" s="22" t="s">
        <v>8</v>
      </c>
      <c r="B15024" s="18" t="str">
        <f>"675960"</f>
        <v>675960</v>
      </c>
      <c r="C15024" s="19" t="s">
        <v>14735</v>
      </c>
      <c r="D15024" s="19" t="s">
        <v>30414</v>
      </c>
      <c r="E15024" s="19" t="s">
        <v>35277</v>
      </c>
      <c r="F15024" s="19" t="s">
        <v>36018</v>
      </c>
      <c r="G15024" s="33" t="str">
        <f>"75904"</f>
        <v>75904</v>
      </c>
      <c r="H15024" s="34" t="s">
        <v>36820</v>
      </c>
      <c r="I15024" s="35">
        <v>21.445</v>
      </c>
      <c r="J15024" s="47" t="s">
        <v>8</v>
      </c>
      <c r="K15024" s="23" t="s">
        <v>8</v>
      </c>
      <c r="L15024" s="23" t="s">
        <v>8</v>
      </c>
      <c r="M15024" s="23" t="s">
        <v>8</v>
      </c>
    </row>
    <row r="15025" spans="1:13" s="21" customFormat="1" x14ac:dyDescent="0.25">
      <c r="A15025" s="22" t="s">
        <v>8</v>
      </c>
      <c r="B15025" s="18" t="str">
        <f>"675961"</f>
        <v>675961</v>
      </c>
      <c r="C15025" s="19" t="s">
        <v>14736</v>
      </c>
      <c r="D15025" s="19" t="s">
        <v>30415</v>
      </c>
      <c r="E15025" s="19" t="s">
        <v>33048</v>
      </c>
      <c r="F15025" s="19" t="s">
        <v>36018</v>
      </c>
      <c r="G15025" s="33" t="str">
        <f>"77598"</f>
        <v>77598</v>
      </c>
      <c r="H15025" s="34" t="s">
        <v>34183</v>
      </c>
      <c r="I15025" s="35">
        <v>22.132000000000001</v>
      </c>
      <c r="J15025" s="47" t="s">
        <v>8</v>
      </c>
      <c r="K15025" s="23" t="s">
        <v>8</v>
      </c>
      <c r="L15025" s="23" t="s">
        <v>8</v>
      </c>
      <c r="M15025" s="23" t="s">
        <v>8</v>
      </c>
    </row>
    <row r="15026" spans="1:13" s="21" customFormat="1" x14ac:dyDescent="0.25">
      <c r="A15026" s="22" t="s">
        <v>8</v>
      </c>
      <c r="B15026" s="18" t="str">
        <f>"675962"</f>
        <v>675962</v>
      </c>
      <c r="C15026" s="19" t="s">
        <v>14737</v>
      </c>
      <c r="D15026" s="19" t="s">
        <v>30416</v>
      </c>
      <c r="E15026" s="19" t="s">
        <v>35277</v>
      </c>
      <c r="F15026" s="19" t="s">
        <v>36018</v>
      </c>
      <c r="G15026" s="33" t="str">
        <f>"75901"</f>
        <v>75901</v>
      </c>
      <c r="H15026" s="34" t="s">
        <v>36820</v>
      </c>
      <c r="I15026" s="35">
        <v>18.483000000000001</v>
      </c>
      <c r="J15026" s="47" t="s">
        <v>8</v>
      </c>
      <c r="K15026" s="23" t="s">
        <v>8</v>
      </c>
      <c r="L15026" s="23" t="s">
        <v>8</v>
      </c>
      <c r="M15026" s="23" t="s">
        <v>8</v>
      </c>
    </row>
    <row r="15027" spans="1:13" s="21" customFormat="1" x14ac:dyDescent="0.25">
      <c r="A15027" s="22" t="s">
        <v>8</v>
      </c>
      <c r="B15027" s="18" t="str">
        <f>"675963"</f>
        <v>675963</v>
      </c>
      <c r="C15027" s="19" t="s">
        <v>14738</v>
      </c>
      <c r="D15027" s="19" t="s">
        <v>30417</v>
      </c>
      <c r="E15027" s="19" t="s">
        <v>35923</v>
      </c>
      <c r="F15027" s="19" t="s">
        <v>36018</v>
      </c>
      <c r="G15027" s="33" t="str">
        <f>"76148"</f>
        <v>76148</v>
      </c>
      <c r="H15027" s="34" t="s">
        <v>36806</v>
      </c>
      <c r="I15027" s="35">
        <v>20.481000000000002</v>
      </c>
      <c r="J15027" s="47" t="s">
        <v>8</v>
      </c>
      <c r="K15027" s="23" t="s">
        <v>8</v>
      </c>
      <c r="L15027" s="23" t="s">
        <v>8</v>
      </c>
      <c r="M15027" s="23" t="s">
        <v>8</v>
      </c>
    </row>
    <row r="15028" spans="1:13" s="21" customFormat="1" x14ac:dyDescent="0.25">
      <c r="A15028" s="22" t="s">
        <v>8</v>
      </c>
      <c r="B15028" s="18" t="str">
        <f>"675964"</f>
        <v>675964</v>
      </c>
      <c r="C15028" s="19" t="s">
        <v>14739</v>
      </c>
      <c r="D15028" s="19" t="s">
        <v>30418</v>
      </c>
      <c r="E15028" s="19" t="s">
        <v>30851</v>
      </c>
      <c r="F15028" s="19" t="s">
        <v>36018</v>
      </c>
      <c r="G15028" s="33" t="str">
        <f>"77340"</f>
        <v>77340</v>
      </c>
      <c r="H15028" s="34" t="s">
        <v>33386</v>
      </c>
      <c r="I15028" s="35">
        <v>24.193000000000001</v>
      </c>
      <c r="J15028" s="47" t="s">
        <v>8</v>
      </c>
      <c r="K15028" s="23" t="s">
        <v>8</v>
      </c>
      <c r="L15028" s="23" t="s">
        <v>8</v>
      </c>
      <c r="M15028" s="23" t="s">
        <v>8</v>
      </c>
    </row>
    <row r="15029" spans="1:13" s="21" customFormat="1" x14ac:dyDescent="0.25">
      <c r="A15029" s="22" t="s">
        <v>8</v>
      </c>
      <c r="B15029" s="18" t="str">
        <f>"675966"</f>
        <v>675966</v>
      </c>
      <c r="C15029" s="19" t="s">
        <v>14740</v>
      </c>
      <c r="D15029" s="19" t="s">
        <v>30419</v>
      </c>
      <c r="E15029" s="19" t="s">
        <v>31021</v>
      </c>
      <c r="F15029" s="19" t="s">
        <v>36018</v>
      </c>
      <c r="G15029" s="33" t="str">
        <f>"75503"</f>
        <v>75503</v>
      </c>
      <c r="H15029" s="34" t="s">
        <v>32980</v>
      </c>
      <c r="I15029" s="35">
        <v>19.832999999999998</v>
      </c>
      <c r="J15029" s="47" t="s">
        <v>8</v>
      </c>
      <c r="K15029" s="23" t="s">
        <v>8</v>
      </c>
      <c r="L15029" s="23" t="s">
        <v>8</v>
      </c>
      <c r="M15029" s="23" t="s">
        <v>8</v>
      </c>
    </row>
    <row r="15030" spans="1:13" s="21" customFormat="1" x14ac:dyDescent="0.25">
      <c r="A15030" s="22" t="s">
        <v>8</v>
      </c>
      <c r="B15030" s="18" t="str">
        <f>"675967"</f>
        <v>675967</v>
      </c>
      <c r="C15030" s="19" t="s">
        <v>14741</v>
      </c>
      <c r="D15030" s="19" t="s">
        <v>30420</v>
      </c>
      <c r="E15030" s="19" t="s">
        <v>34206</v>
      </c>
      <c r="F15030" s="19" t="s">
        <v>36018</v>
      </c>
      <c r="G15030" s="33" t="str">
        <f>"75062"</f>
        <v>75062</v>
      </c>
      <c r="H15030" s="34" t="s">
        <v>31723</v>
      </c>
      <c r="I15030" s="35">
        <v>18.655999999999999</v>
      </c>
      <c r="J15030" s="47" t="s">
        <v>8</v>
      </c>
      <c r="K15030" s="23" t="s">
        <v>8</v>
      </c>
      <c r="L15030" s="23" t="s">
        <v>8</v>
      </c>
      <c r="M15030" s="23" t="s">
        <v>8</v>
      </c>
    </row>
    <row r="15031" spans="1:13" s="21" customFormat="1" x14ac:dyDescent="0.25">
      <c r="A15031" s="22" t="s">
        <v>8</v>
      </c>
      <c r="B15031" s="18" t="str">
        <f>"675968"</f>
        <v>675968</v>
      </c>
      <c r="C15031" s="19" t="s">
        <v>14742</v>
      </c>
      <c r="D15031" s="19" t="s">
        <v>30421</v>
      </c>
      <c r="E15031" s="19" t="s">
        <v>35244</v>
      </c>
      <c r="F15031" s="19" t="s">
        <v>36018</v>
      </c>
      <c r="G15031" s="33" t="str">
        <f>"78258"</f>
        <v>78258</v>
      </c>
      <c r="H15031" s="34" t="s">
        <v>36805</v>
      </c>
      <c r="I15031" s="35">
        <v>19.619</v>
      </c>
      <c r="J15031" s="47" t="s">
        <v>8</v>
      </c>
      <c r="K15031" s="23" t="s">
        <v>8</v>
      </c>
      <c r="L15031" s="23" t="s">
        <v>8</v>
      </c>
      <c r="M15031" s="23" t="s">
        <v>8</v>
      </c>
    </row>
    <row r="15032" spans="1:13" s="21" customFormat="1" x14ac:dyDescent="0.25">
      <c r="A15032" s="22" t="s">
        <v>8</v>
      </c>
      <c r="B15032" s="18" t="str">
        <f>"675969"</f>
        <v>675969</v>
      </c>
      <c r="C15032" s="19" t="s">
        <v>14743</v>
      </c>
      <c r="D15032" s="19" t="s">
        <v>30422</v>
      </c>
      <c r="E15032" s="19" t="s">
        <v>34455</v>
      </c>
      <c r="F15032" s="19" t="s">
        <v>36018</v>
      </c>
      <c r="G15032" s="33" t="str">
        <f>"75009"</f>
        <v>75009</v>
      </c>
      <c r="H15032" s="34" t="s">
        <v>36828</v>
      </c>
      <c r="I15032" s="35">
        <v>18.332000000000001</v>
      </c>
      <c r="J15032" s="47" t="s">
        <v>8</v>
      </c>
      <c r="K15032" s="23" t="s">
        <v>8</v>
      </c>
      <c r="L15032" s="23" t="s">
        <v>8</v>
      </c>
      <c r="M15032" s="23" t="s">
        <v>8</v>
      </c>
    </row>
    <row r="15033" spans="1:13" s="21" customFormat="1" x14ac:dyDescent="0.25">
      <c r="A15033" s="22" t="s">
        <v>8</v>
      </c>
      <c r="B15033" s="18" t="str">
        <f>"675970"</f>
        <v>675970</v>
      </c>
      <c r="C15033" s="19" t="s">
        <v>14744</v>
      </c>
      <c r="D15033" s="19" t="s">
        <v>30423</v>
      </c>
      <c r="E15033" s="19" t="s">
        <v>33722</v>
      </c>
      <c r="F15033" s="19" t="s">
        <v>36018</v>
      </c>
      <c r="G15033" s="33" t="str">
        <f>"79245"</f>
        <v>79245</v>
      </c>
      <c r="H15033" s="34" t="s">
        <v>36156</v>
      </c>
      <c r="I15033" s="35">
        <v>18.28</v>
      </c>
      <c r="J15033" s="47" t="s">
        <v>8</v>
      </c>
      <c r="K15033" s="23" t="s">
        <v>8</v>
      </c>
      <c r="L15033" s="23" t="s">
        <v>8</v>
      </c>
      <c r="M15033" s="23" t="s">
        <v>8</v>
      </c>
    </row>
    <row r="15034" spans="1:13" s="21" customFormat="1" x14ac:dyDescent="0.25">
      <c r="A15034" s="22" t="s">
        <v>8</v>
      </c>
      <c r="B15034" s="18" t="str">
        <f>"675971"</f>
        <v>675971</v>
      </c>
      <c r="C15034" s="19" t="s">
        <v>1027</v>
      </c>
      <c r="D15034" s="19" t="s">
        <v>30424</v>
      </c>
      <c r="E15034" s="19" t="s">
        <v>35306</v>
      </c>
      <c r="F15034" s="19" t="s">
        <v>36018</v>
      </c>
      <c r="G15034" s="33" t="str">
        <f>"78956"</f>
        <v>78956</v>
      </c>
      <c r="H15034" s="34" t="s">
        <v>30805</v>
      </c>
      <c r="I15034" s="35">
        <v>20.57</v>
      </c>
      <c r="J15034" s="47" t="s">
        <v>8</v>
      </c>
      <c r="K15034" s="23" t="s">
        <v>8</v>
      </c>
      <c r="L15034" s="23" t="s">
        <v>8</v>
      </c>
      <c r="M15034" s="23" t="s">
        <v>8</v>
      </c>
    </row>
    <row r="15035" spans="1:13" s="21" customFormat="1" x14ac:dyDescent="0.25">
      <c r="A15035" s="22" t="s">
        <v>8</v>
      </c>
      <c r="B15035" s="18" t="str">
        <f>"675972"</f>
        <v>675972</v>
      </c>
      <c r="C15035" s="19" t="s">
        <v>14745</v>
      </c>
      <c r="D15035" s="19" t="s">
        <v>30425</v>
      </c>
      <c r="E15035" s="19" t="s">
        <v>30812</v>
      </c>
      <c r="F15035" s="19" t="s">
        <v>36018</v>
      </c>
      <c r="G15035" s="33" t="str">
        <f>"75006"</f>
        <v>75006</v>
      </c>
      <c r="H15035" s="34" t="s">
        <v>31723</v>
      </c>
      <c r="I15035" s="35">
        <v>21.344999999999999</v>
      </c>
      <c r="J15035" s="47" t="s">
        <v>8</v>
      </c>
      <c r="K15035" s="23" t="s">
        <v>8</v>
      </c>
      <c r="L15035" s="23" t="s">
        <v>8</v>
      </c>
      <c r="M15035" s="23" t="s">
        <v>8</v>
      </c>
    </row>
    <row r="15036" spans="1:13" s="21" customFormat="1" x14ac:dyDescent="0.25">
      <c r="A15036" s="22" t="s">
        <v>8</v>
      </c>
      <c r="B15036" s="18" t="str">
        <f>"675973"</f>
        <v>675973</v>
      </c>
      <c r="C15036" s="19" t="s">
        <v>14746</v>
      </c>
      <c r="D15036" s="19" t="s">
        <v>30426</v>
      </c>
      <c r="E15036" s="19" t="s">
        <v>35924</v>
      </c>
      <c r="F15036" s="19" t="s">
        <v>36018</v>
      </c>
      <c r="G15036" s="33" t="str">
        <f>"79057"</f>
        <v>79057</v>
      </c>
      <c r="H15036" s="34" t="s">
        <v>31780</v>
      </c>
      <c r="I15036" s="35">
        <v>19.923999999999999</v>
      </c>
      <c r="J15036" s="47" t="s">
        <v>8</v>
      </c>
      <c r="K15036" s="23" t="s">
        <v>8</v>
      </c>
      <c r="L15036" s="23" t="s">
        <v>8</v>
      </c>
      <c r="M15036" s="23" t="s">
        <v>8</v>
      </c>
    </row>
    <row r="15037" spans="1:13" s="21" customFormat="1" x14ac:dyDescent="0.25">
      <c r="A15037" s="22" t="s">
        <v>8</v>
      </c>
      <c r="B15037" s="18" t="str">
        <f>"675974"</f>
        <v>675974</v>
      </c>
      <c r="C15037" s="19" t="s">
        <v>14747</v>
      </c>
      <c r="D15037" s="19" t="s">
        <v>30427</v>
      </c>
      <c r="E15037" s="19" t="s">
        <v>35925</v>
      </c>
      <c r="F15037" s="19" t="s">
        <v>36018</v>
      </c>
      <c r="G15037" s="33" t="str">
        <f>"78009"</f>
        <v>78009</v>
      </c>
      <c r="H15037" s="34" t="s">
        <v>34102</v>
      </c>
      <c r="I15037" s="35">
        <v>20.045999999999999</v>
      </c>
      <c r="J15037" s="47" t="s">
        <v>8</v>
      </c>
      <c r="K15037" s="23" t="s">
        <v>8</v>
      </c>
      <c r="L15037" s="23" t="s">
        <v>8</v>
      </c>
      <c r="M15037" s="23" t="s">
        <v>8</v>
      </c>
    </row>
    <row r="15038" spans="1:13" s="21" customFormat="1" x14ac:dyDescent="0.25">
      <c r="A15038" s="22" t="s">
        <v>8</v>
      </c>
      <c r="B15038" s="18" t="str">
        <f>"675975"</f>
        <v>675975</v>
      </c>
      <c r="C15038" s="19" t="s">
        <v>14748</v>
      </c>
      <c r="D15038" s="19" t="s">
        <v>30428</v>
      </c>
      <c r="E15038" s="19" t="s">
        <v>33575</v>
      </c>
      <c r="F15038" s="19" t="s">
        <v>36018</v>
      </c>
      <c r="G15038" s="33" t="str">
        <f>"77657"</f>
        <v>77657</v>
      </c>
      <c r="H15038" s="34" t="s">
        <v>32124</v>
      </c>
      <c r="I15038" s="35">
        <v>19.224</v>
      </c>
      <c r="J15038" s="47" t="s">
        <v>8</v>
      </c>
      <c r="K15038" s="23" t="s">
        <v>8</v>
      </c>
      <c r="L15038" s="23" t="s">
        <v>8</v>
      </c>
      <c r="M15038" s="23" t="s">
        <v>8</v>
      </c>
    </row>
    <row r="15039" spans="1:13" s="21" customFormat="1" x14ac:dyDescent="0.25">
      <c r="A15039" s="22" t="s">
        <v>8</v>
      </c>
      <c r="B15039" s="18" t="str">
        <f>"675976"</f>
        <v>675976</v>
      </c>
      <c r="C15039" s="19" t="s">
        <v>14749</v>
      </c>
      <c r="D15039" s="19" t="s">
        <v>30429</v>
      </c>
      <c r="E15039" s="19" t="s">
        <v>35265</v>
      </c>
      <c r="F15039" s="19" t="s">
        <v>36018</v>
      </c>
      <c r="G15039" s="33" t="str">
        <f>"75835"</f>
        <v>75835</v>
      </c>
      <c r="H15039" s="34" t="s">
        <v>33493</v>
      </c>
      <c r="I15039" s="35">
        <v>17.437999999999999</v>
      </c>
      <c r="J15039" s="47" t="s">
        <v>8</v>
      </c>
      <c r="K15039" s="23" t="s">
        <v>8</v>
      </c>
      <c r="L15039" s="23" t="s">
        <v>8</v>
      </c>
      <c r="M15039" s="23" t="s">
        <v>8</v>
      </c>
    </row>
    <row r="15040" spans="1:13" s="21" customFormat="1" x14ac:dyDescent="0.25">
      <c r="A15040" s="22" t="s">
        <v>8</v>
      </c>
      <c r="B15040" s="18" t="str">
        <f>"675977"</f>
        <v>675977</v>
      </c>
      <c r="C15040" s="19" t="s">
        <v>14750</v>
      </c>
      <c r="D15040" s="19" t="s">
        <v>30430</v>
      </c>
      <c r="E15040" s="19" t="s">
        <v>35245</v>
      </c>
      <c r="F15040" s="19" t="s">
        <v>36018</v>
      </c>
      <c r="G15040" s="33" t="str">
        <f>"76119"</f>
        <v>76119</v>
      </c>
      <c r="H15040" s="34" t="s">
        <v>36806</v>
      </c>
      <c r="I15040" s="35">
        <v>19.812000000000001</v>
      </c>
      <c r="J15040" s="47" t="s">
        <v>8</v>
      </c>
      <c r="K15040" s="23" t="s">
        <v>8</v>
      </c>
      <c r="L15040" s="23" t="s">
        <v>8</v>
      </c>
      <c r="M15040" s="23" t="s">
        <v>8</v>
      </c>
    </row>
    <row r="15041" spans="1:13" s="21" customFormat="1" x14ac:dyDescent="0.25">
      <c r="A15041" s="22" t="s">
        <v>8</v>
      </c>
      <c r="B15041" s="18" t="str">
        <f>"675978"</f>
        <v>675978</v>
      </c>
      <c r="C15041" s="19" t="s">
        <v>14751</v>
      </c>
      <c r="D15041" s="19" t="s">
        <v>30431</v>
      </c>
      <c r="E15041" s="19" t="s">
        <v>35236</v>
      </c>
      <c r="F15041" s="19" t="s">
        <v>36018</v>
      </c>
      <c r="G15041" s="33" t="str">
        <f>"79339"</f>
        <v>79339</v>
      </c>
      <c r="H15041" s="34" t="s">
        <v>36799</v>
      </c>
      <c r="I15041" s="35">
        <v>18.905000000000001</v>
      </c>
      <c r="J15041" s="47" t="s">
        <v>8</v>
      </c>
      <c r="K15041" s="23" t="s">
        <v>8</v>
      </c>
      <c r="L15041" s="23" t="s">
        <v>8</v>
      </c>
      <c r="M15041" s="23" t="s">
        <v>8</v>
      </c>
    </row>
    <row r="15042" spans="1:13" s="21" customFormat="1" x14ac:dyDescent="0.25">
      <c r="A15042" s="22" t="s">
        <v>8</v>
      </c>
      <c r="B15042" s="18" t="str">
        <f>"675979"</f>
        <v>675979</v>
      </c>
      <c r="C15042" s="19" t="s">
        <v>14752</v>
      </c>
      <c r="D15042" s="19" t="s">
        <v>30432</v>
      </c>
      <c r="E15042" s="19" t="s">
        <v>34543</v>
      </c>
      <c r="F15042" s="19" t="s">
        <v>36018</v>
      </c>
      <c r="G15042" s="33" t="str">
        <f>"77802"</f>
        <v>77802</v>
      </c>
      <c r="H15042" s="34" t="s">
        <v>36803</v>
      </c>
      <c r="I15042" s="35">
        <v>17.167000000000002</v>
      </c>
      <c r="J15042" s="47" t="s">
        <v>8</v>
      </c>
      <c r="K15042" s="23" t="s">
        <v>8</v>
      </c>
      <c r="L15042" s="23" t="s">
        <v>8</v>
      </c>
      <c r="M15042" s="23" t="s">
        <v>8</v>
      </c>
    </row>
    <row r="15043" spans="1:13" s="21" customFormat="1" x14ac:dyDescent="0.25">
      <c r="A15043" s="22" t="s">
        <v>8</v>
      </c>
      <c r="B15043" s="18" t="str">
        <f>"675980"</f>
        <v>675980</v>
      </c>
      <c r="C15043" s="19" t="s">
        <v>14753</v>
      </c>
      <c r="D15043" s="19" t="s">
        <v>30433</v>
      </c>
      <c r="E15043" s="19" t="s">
        <v>35926</v>
      </c>
      <c r="F15043" s="19" t="s">
        <v>36018</v>
      </c>
      <c r="G15043" s="33" t="str">
        <f>"78620"</f>
        <v>78620</v>
      </c>
      <c r="H15043" s="34" t="s">
        <v>32610</v>
      </c>
      <c r="I15043" s="35">
        <v>17.917000000000002</v>
      </c>
      <c r="J15043" s="47" t="s">
        <v>8</v>
      </c>
      <c r="K15043" s="23" t="s">
        <v>8</v>
      </c>
      <c r="L15043" s="23" t="s">
        <v>8</v>
      </c>
      <c r="M15043" s="23" t="s">
        <v>8</v>
      </c>
    </row>
    <row r="15044" spans="1:13" s="21" customFormat="1" x14ac:dyDescent="0.25">
      <c r="A15044" s="22" t="s">
        <v>8</v>
      </c>
      <c r="B15044" s="18" t="str">
        <f>"675981"</f>
        <v>675981</v>
      </c>
      <c r="C15044" s="19" t="s">
        <v>14754</v>
      </c>
      <c r="D15044" s="19" t="s">
        <v>30434</v>
      </c>
      <c r="E15044" s="19" t="s">
        <v>35880</v>
      </c>
      <c r="F15044" s="19" t="s">
        <v>36018</v>
      </c>
      <c r="G15044" s="33" t="str">
        <f>"75773"</f>
        <v>75773</v>
      </c>
      <c r="H15044" s="34" t="s">
        <v>36673</v>
      </c>
      <c r="I15044" s="35">
        <v>21.891999999999999</v>
      </c>
      <c r="J15044" s="47" t="s">
        <v>8</v>
      </c>
      <c r="K15044" s="23" t="s">
        <v>8</v>
      </c>
      <c r="L15044" s="23" t="s">
        <v>8</v>
      </c>
      <c r="M15044" s="23" t="s">
        <v>8</v>
      </c>
    </row>
    <row r="15045" spans="1:13" s="21" customFormat="1" x14ac:dyDescent="0.25">
      <c r="A15045" s="22" t="s">
        <v>8</v>
      </c>
      <c r="B15045" s="18" t="str">
        <f>"675982"</f>
        <v>675982</v>
      </c>
      <c r="C15045" s="19" t="s">
        <v>14755</v>
      </c>
      <c r="D15045" s="19" t="s">
        <v>30435</v>
      </c>
      <c r="E15045" s="19" t="s">
        <v>35241</v>
      </c>
      <c r="F15045" s="19" t="s">
        <v>36018</v>
      </c>
      <c r="G15045" s="33" t="str">
        <f>"76901"</f>
        <v>76901</v>
      </c>
      <c r="H15045" s="34" t="s">
        <v>36802</v>
      </c>
      <c r="I15045" s="35">
        <v>20.59</v>
      </c>
      <c r="J15045" s="47" t="s">
        <v>8</v>
      </c>
      <c r="K15045" s="23" t="s">
        <v>8</v>
      </c>
      <c r="L15045" s="23" t="s">
        <v>8</v>
      </c>
      <c r="M15045" s="23" t="s">
        <v>8</v>
      </c>
    </row>
    <row r="15046" spans="1:13" s="21" customFormat="1" x14ac:dyDescent="0.25">
      <c r="A15046" s="22" t="s">
        <v>8</v>
      </c>
      <c r="B15046" s="18" t="str">
        <f>"675986"</f>
        <v>675986</v>
      </c>
      <c r="C15046" s="19" t="s">
        <v>14756</v>
      </c>
      <c r="D15046" s="19" t="s">
        <v>30436</v>
      </c>
      <c r="E15046" s="19" t="s">
        <v>33493</v>
      </c>
      <c r="F15046" s="19" t="s">
        <v>36018</v>
      </c>
      <c r="G15046" s="33" t="str">
        <f>"77090"</f>
        <v>77090</v>
      </c>
      <c r="H15046" s="34" t="s">
        <v>34183</v>
      </c>
      <c r="I15046" s="35">
        <v>21.216000000000001</v>
      </c>
      <c r="J15046" s="47" t="s">
        <v>8</v>
      </c>
      <c r="K15046" s="23" t="s">
        <v>8</v>
      </c>
      <c r="L15046" s="23" t="s">
        <v>8</v>
      </c>
      <c r="M15046" s="23" t="s">
        <v>8</v>
      </c>
    </row>
    <row r="15047" spans="1:13" s="21" customFormat="1" x14ac:dyDescent="0.25">
      <c r="A15047" s="22" t="s">
        <v>8</v>
      </c>
      <c r="B15047" s="18" t="str">
        <f>"675988"</f>
        <v>675988</v>
      </c>
      <c r="C15047" s="19" t="s">
        <v>14757</v>
      </c>
      <c r="D15047" s="19" t="s">
        <v>30437</v>
      </c>
      <c r="E15047" s="19" t="s">
        <v>34690</v>
      </c>
      <c r="F15047" s="19" t="s">
        <v>36018</v>
      </c>
      <c r="G15047" s="33" t="str">
        <f>"76086"</f>
        <v>76086</v>
      </c>
      <c r="H15047" s="34" t="s">
        <v>31392</v>
      </c>
      <c r="I15047" s="35">
        <v>20.925999999999998</v>
      </c>
      <c r="J15047" s="47" t="s">
        <v>8</v>
      </c>
      <c r="K15047" s="23" t="s">
        <v>8</v>
      </c>
      <c r="L15047" s="23" t="s">
        <v>8</v>
      </c>
      <c r="M15047" s="23" t="s">
        <v>8</v>
      </c>
    </row>
    <row r="15048" spans="1:13" s="21" customFormat="1" x14ac:dyDescent="0.25">
      <c r="A15048" s="22" t="s">
        <v>8</v>
      </c>
      <c r="B15048" s="18" t="str">
        <f>"675991"</f>
        <v>675991</v>
      </c>
      <c r="C15048" s="19" t="s">
        <v>14758</v>
      </c>
      <c r="D15048" s="19" t="s">
        <v>30438</v>
      </c>
      <c r="E15048" s="19" t="s">
        <v>35283</v>
      </c>
      <c r="F15048" s="19" t="s">
        <v>36018</v>
      </c>
      <c r="G15048" s="33" t="str">
        <f>"77338"</f>
        <v>77338</v>
      </c>
      <c r="H15048" s="34" t="s">
        <v>34183</v>
      </c>
      <c r="I15048" s="35">
        <v>19.117000000000001</v>
      </c>
      <c r="J15048" s="47" t="s">
        <v>8</v>
      </c>
      <c r="K15048" s="23" t="s">
        <v>8</v>
      </c>
      <c r="L15048" s="23" t="s">
        <v>8</v>
      </c>
      <c r="M15048" s="23" t="s">
        <v>8</v>
      </c>
    </row>
    <row r="15049" spans="1:13" s="21" customFormat="1" x14ac:dyDescent="0.25">
      <c r="A15049" s="22" t="s">
        <v>8</v>
      </c>
      <c r="B15049" s="18" t="str">
        <f>"675993"</f>
        <v>675993</v>
      </c>
      <c r="C15049" s="19" t="s">
        <v>14759</v>
      </c>
      <c r="D15049" s="19" t="s">
        <v>30439</v>
      </c>
      <c r="E15049" s="19" t="s">
        <v>35814</v>
      </c>
      <c r="F15049" s="19" t="s">
        <v>36018</v>
      </c>
      <c r="G15049" s="33" t="str">
        <f>"77642"</f>
        <v>77642</v>
      </c>
      <c r="H15049" s="34" t="s">
        <v>32391</v>
      </c>
      <c r="I15049" s="35">
        <v>20.16</v>
      </c>
      <c r="J15049" s="47" t="s">
        <v>8</v>
      </c>
      <c r="K15049" s="23" t="s">
        <v>8</v>
      </c>
      <c r="L15049" s="23" t="s">
        <v>8</v>
      </c>
      <c r="M15049" s="23" t="s">
        <v>8</v>
      </c>
    </row>
    <row r="15050" spans="1:13" s="21" customFormat="1" x14ac:dyDescent="0.25">
      <c r="A15050" s="22" t="s">
        <v>8</v>
      </c>
      <c r="B15050" s="18" t="str">
        <f>"675995"</f>
        <v>675995</v>
      </c>
      <c r="C15050" s="19" t="s">
        <v>14760</v>
      </c>
      <c r="D15050" s="19" t="s">
        <v>30440</v>
      </c>
      <c r="E15050" s="19" t="s">
        <v>32938</v>
      </c>
      <c r="F15050" s="19" t="s">
        <v>36018</v>
      </c>
      <c r="G15050" s="33" t="str">
        <f>"76208"</f>
        <v>76208</v>
      </c>
      <c r="H15050" s="34" t="s">
        <v>32938</v>
      </c>
      <c r="I15050" s="35">
        <v>20.843</v>
      </c>
      <c r="J15050" s="47" t="s">
        <v>8</v>
      </c>
      <c r="K15050" s="23" t="s">
        <v>8</v>
      </c>
      <c r="L15050" s="23" t="s">
        <v>8</v>
      </c>
      <c r="M15050" s="23" t="s">
        <v>8</v>
      </c>
    </row>
    <row r="15051" spans="1:13" s="21" customFormat="1" x14ac:dyDescent="0.25">
      <c r="A15051" s="22" t="s">
        <v>8</v>
      </c>
      <c r="B15051" s="18" t="str">
        <f>"675996"</f>
        <v>675996</v>
      </c>
      <c r="C15051" s="19" t="s">
        <v>14761</v>
      </c>
      <c r="D15051" s="19" t="s">
        <v>30441</v>
      </c>
      <c r="E15051" s="19" t="s">
        <v>31715</v>
      </c>
      <c r="F15051" s="19" t="s">
        <v>36018</v>
      </c>
      <c r="G15051" s="33" t="str">
        <f>"78934"</f>
        <v>78934</v>
      </c>
      <c r="H15051" s="34" t="s">
        <v>36794</v>
      </c>
      <c r="I15051" s="35">
        <v>17.64</v>
      </c>
      <c r="J15051" s="47" t="s">
        <v>8</v>
      </c>
      <c r="K15051" s="23" t="s">
        <v>8</v>
      </c>
      <c r="L15051" s="23" t="s">
        <v>8</v>
      </c>
      <c r="M15051" s="23" t="s">
        <v>8</v>
      </c>
    </row>
    <row r="15052" spans="1:13" s="21" customFormat="1" x14ac:dyDescent="0.25">
      <c r="A15052" s="22" t="s">
        <v>8</v>
      </c>
      <c r="B15052" s="18" t="str">
        <f>"675997"</f>
        <v>675997</v>
      </c>
      <c r="C15052" s="19" t="s">
        <v>14762</v>
      </c>
      <c r="D15052" s="19" t="s">
        <v>30442</v>
      </c>
      <c r="E15052" s="19" t="s">
        <v>35310</v>
      </c>
      <c r="F15052" s="19" t="s">
        <v>36018</v>
      </c>
      <c r="G15052" s="33" t="str">
        <f>"79416"</f>
        <v>79416</v>
      </c>
      <c r="H15052" s="34" t="s">
        <v>35310</v>
      </c>
      <c r="I15052" s="35">
        <v>16.664999999999999</v>
      </c>
      <c r="J15052" s="47" t="s">
        <v>8</v>
      </c>
      <c r="K15052" s="23" t="s">
        <v>8</v>
      </c>
      <c r="L15052" s="23" t="s">
        <v>8</v>
      </c>
      <c r="M15052" s="23" t="s">
        <v>8</v>
      </c>
    </row>
    <row r="15053" spans="1:13" s="21" customFormat="1" x14ac:dyDescent="0.25">
      <c r="A15053" s="22" t="s">
        <v>8</v>
      </c>
      <c r="B15053" s="18" t="str">
        <f>"675998"</f>
        <v>675998</v>
      </c>
      <c r="C15053" s="19" t="s">
        <v>14763</v>
      </c>
      <c r="D15053" s="19" t="s">
        <v>30443</v>
      </c>
      <c r="E15053" s="19" t="s">
        <v>35262</v>
      </c>
      <c r="F15053" s="19" t="s">
        <v>36018</v>
      </c>
      <c r="G15053" s="33" t="str">
        <f>"75801"</f>
        <v>75801</v>
      </c>
      <c r="H15053" s="34" t="s">
        <v>32202</v>
      </c>
      <c r="I15053" s="35">
        <v>16.658000000000001</v>
      </c>
      <c r="J15053" s="47" t="s">
        <v>8</v>
      </c>
      <c r="K15053" s="23" t="s">
        <v>8</v>
      </c>
      <c r="L15053" s="23" t="s">
        <v>8</v>
      </c>
      <c r="M15053" s="23" t="s">
        <v>8</v>
      </c>
    </row>
    <row r="15054" spans="1:13" s="21" customFormat="1" x14ac:dyDescent="0.25">
      <c r="A15054" s="22" t="s">
        <v>8</v>
      </c>
      <c r="B15054" s="18" t="str">
        <f>"675999"</f>
        <v>675999</v>
      </c>
      <c r="C15054" s="19" t="s">
        <v>14764</v>
      </c>
      <c r="D15054" s="19" t="s">
        <v>30444</v>
      </c>
      <c r="E15054" s="19" t="s">
        <v>35288</v>
      </c>
      <c r="F15054" s="19" t="s">
        <v>36018</v>
      </c>
      <c r="G15054" s="33" t="str">
        <f>"77520"</f>
        <v>77520</v>
      </c>
      <c r="H15054" s="34" t="s">
        <v>34183</v>
      </c>
      <c r="I15054" s="35">
        <v>18.658000000000001</v>
      </c>
      <c r="J15054" s="47" t="s">
        <v>8</v>
      </c>
      <c r="K15054" s="23" t="s">
        <v>8</v>
      </c>
      <c r="L15054" s="23" t="s">
        <v>8</v>
      </c>
      <c r="M15054" s="23" t="s">
        <v>8</v>
      </c>
    </row>
    <row r="15055" spans="1:13" s="21" customFormat="1" x14ac:dyDescent="0.25">
      <c r="A15055" s="22" t="s">
        <v>8</v>
      </c>
      <c r="B15055" s="18" t="str">
        <f>"676000"</f>
        <v>676000</v>
      </c>
      <c r="C15055" s="19" t="s">
        <v>14765</v>
      </c>
      <c r="D15055" s="19" t="s">
        <v>30445</v>
      </c>
      <c r="E15055" s="19" t="s">
        <v>33740</v>
      </c>
      <c r="F15055" s="19" t="s">
        <v>36018</v>
      </c>
      <c r="G15055" s="33" t="str">
        <f>"77351"</f>
        <v>77351</v>
      </c>
      <c r="H15055" s="34" t="s">
        <v>36062</v>
      </c>
      <c r="I15055" s="35">
        <v>20.222000000000001</v>
      </c>
      <c r="J15055" s="47" t="s">
        <v>8</v>
      </c>
      <c r="K15055" s="23" t="s">
        <v>8</v>
      </c>
      <c r="L15055" s="23" t="s">
        <v>8</v>
      </c>
      <c r="M15055" s="23" t="s">
        <v>8</v>
      </c>
    </row>
    <row r="15056" spans="1:13" s="21" customFormat="1" x14ac:dyDescent="0.25">
      <c r="A15056" s="22" t="s">
        <v>8</v>
      </c>
      <c r="B15056" s="18" t="str">
        <f>"676002"</f>
        <v>676002</v>
      </c>
      <c r="C15056" s="19" t="s">
        <v>14766</v>
      </c>
      <c r="D15056" s="19" t="s">
        <v>30446</v>
      </c>
      <c r="E15056" s="19" t="s">
        <v>31723</v>
      </c>
      <c r="F15056" s="19" t="s">
        <v>36018</v>
      </c>
      <c r="G15056" s="33" t="str">
        <f>"75225"</f>
        <v>75225</v>
      </c>
      <c r="H15056" s="34" t="s">
        <v>31723</v>
      </c>
      <c r="I15056" s="35">
        <v>18.309000000000001</v>
      </c>
      <c r="J15056" s="47" t="s">
        <v>8</v>
      </c>
      <c r="K15056" s="23" t="s">
        <v>8</v>
      </c>
      <c r="L15056" s="23" t="s">
        <v>8</v>
      </c>
      <c r="M15056" s="23" t="s">
        <v>8</v>
      </c>
    </row>
    <row r="15057" spans="1:13" s="21" customFormat="1" x14ac:dyDescent="0.25">
      <c r="A15057" s="22" t="s">
        <v>8</v>
      </c>
      <c r="B15057" s="18" t="str">
        <f>"676003"</f>
        <v>676003</v>
      </c>
      <c r="C15057" s="19" t="s">
        <v>14767</v>
      </c>
      <c r="D15057" s="19" t="s">
        <v>30447</v>
      </c>
      <c r="E15057" s="19" t="s">
        <v>35927</v>
      </c>
      <c r="F15057" s="19" t="s">
        <v>36018</v>
      </c>
      <c r="G15057" s="33" t="str">
        <f>"76020"</f>
        <v>76020</v>
      </c>
      <c r="H15057" s="34" t="s">
        <v>36806</v>
      </c>
      <c r="I15057" s="35">
        <v>18.707999999999998</v>
      </c>
      <c r="J15057" s="47" t="s">
        <v>8</v>
      </c>
      <c r="K15057" s="23" t="s">
        <v>8</v>
      </c>
      <c r="L15057" s="23" t="s">
        <v>8</v>
      </c>
      <c r="M15057" s="23" t="s">
        <v>8</v>
      </c>
    </row>
    <row r="15058" spans="1:13" s="21" customFormat="1" x14ac:dyDescent="0.25">
      <c r="A15058" s="22" t="s">
        <v>8</v>
      </c>
      <c r="B15058" s="18" t="str">
        <f>"676004"</f>
        <v>676004</v>
      </c>
      <c r="C15058" s="19" t="s">
        <v>14768</v>
      </c>
      <c r="D15058" s="19" t="s">
        <v>30448</v>
      </c>
      <c r="E15058" s="19" t="s">
        <v>30853</v>
      </c>
      <c r="F15058" s="19" t="s">
        <v>36018</v>
      </c>
      <c r="G15058" s="33" t="str">
        <f>"76234"</f>
        <v>76234</v>
      </c>
      <c r="H15058" s="34" t="s">
        <v>35421</v>
      </c>
      <c r="I15058" s="35">
        <v>18.181999999999999</v>
      </c>
      <c r="J15058" s="47" t="s">
        <v>8</v>
      </c>
      <c r="K15058" s="23" t="s">
        <v>8</v>
      </c>
      <c r="L15058" s="23" t="s">
        <v>8</v>
      </c>
      <c r="M15058" s="23" t="s">
        <v>8</v>
      </c>
    </row>
    <row r="15059" spans="1:13" s="21" customFormat="1" x14ac:dyDescent="0.25">
      <c r="A15059" s="22" t="s">
        <v>8</v>
      </c>
      <c r="B15059" s="18" t="str">
        <f>"676005"</f>
        <v>676005</v>
      </c>
      <c r="C15059" s="19" t="s">
        <v>14769</v>
      </c>
      <c r="D15059" s="19" t="s">
        <v>30449</v>
      </c>
      <c r="E15059" s="19" t="s">
        <v>33401</v>
      </c>
      <c r="F15059" s="19" t="s">
        <v>36018</v>
      </c>
      <c r="G15059" s="33" t="str">
        <f>"75701"</f>
        <v>75701</v>
      </c>
      <c r="H15059" s="34" t="s">
        <v>36304</v>
      </c>
      <c r="I15059" s="35">
        <v>21.039000000000001</v>
      </c>
      <c r="J15059" s="47" t="s">
        <v>8</v>
      </c>
      <c r="K15059" s="23" t="s">
        <v>8</v>
      </c>
      <c r="L15059" s="23" t="s">
        <v>8</v>
      </c>
      <c r="M15059" s="23" t="s">
        <v>8</v>
      </c>
    </row>
    <row r="15060" spans="1:13" s="21" customFormat="1" x14ac:dyDescent="0.25">
      <c r="A15060" s="22" t="s">
        <v>8</v>
      </c>
      <c r="B15060" s="18" t="str">
        <f>"676006"</f>
        <v>676006</v>
      </c>
      <c r="C15060" s="19" t="s">
        <v>14770</v>
      </c>
      <c r="D15060" s="19" t="s">
        <v>30450</v>
      </c>
      <c r="E15060" s="19" t="s">
        <v>31178</v>
      </c>
      <c r="F15060" s="19" t="s">
        <v>36018</v>
      </c>
      <c r="G15060" s="33" t="str">
        <f>"77469"</f>
        <v>77469</v>
      </c>
      <c r="H15060" s="34" t="s">
        <v>36826</v>
      </c>
      <c r="I15060" s="35">
        <v>20.484000000000002</v>
      </c>
      <c r="J15060" s="47" t="s">
        <v>8</v>
      </c>
      <c r="K15060" s="23" t="s">
        <v>8</v>
      </c>
      <c r="L15060" s="23" t="s">
        <v>8</v>
      </c>
      <c r="M15060" s="23" t="s">
        <v>8</v>
      </c>
    </row>
    <row r="15061" spans="1:13" s="21" customFormat="1" x14ac:dyDescent="0.25">
      <c r="A15061" s="22" t="s">
        <v>8</v>
      </c>
      <c r="B15061" s="18" t="str">
        <f>"676007"</f>
        <v>676007</v>
      </c>
      <c r="C15061" s="19" t="s">
        <v>14771</v>
      </c>
      <c r="D15061" s="19" t="s">
        <v>30451</v>
      </c>
      <c r="E15061" s="19" t="s">
        <v>35896</v>
      </c>
      <c r="F15061" s="19" t="s">
        <v>36018</v>
      </c>
      <c r="G15061" s="33" t="str">
        <f>"75662"</f>
        <v>75662</v>
      </c>
      <c r="H15061" s="34" t="s">
        <v>36814</v>
      </c>
      <c r="I15061" s="35">
        <v>19.859000000000002</v>
      </c>
      <c r="J15061" s="47" t="s">
        <v>8</v>
      </c>
      <c r="K15061" s="23" t="s">
        <v>8</v>
      </c>
      <c r="L15061" s="23" t="s">
        <v>8</v>
      </c>
      <c r="M15061" s="23" t="s">
        <v>8</v>
      </c>
    </row>
    <row r="15062" spans="1:13" s="21" customFormat="1" x14ac:dyDescent="0.25">
      <c r="A15062" s="22" t="s">
        <v>8</v>
      </c>
      <c r="B15062" s="18" t="str">
        <f>"676008"</f>
        <v>676008</v>
      </c>
      <c r="C15062" s="19" t="s">
        <v>14772</v>
      </c>
      <c r="D15062" s="19" t="s">
        <v>30452</v>
      </c>
      <c r="E15062" s="19" t="s">
        <v>35836</v>
      </c>
      <c r="F15062" s="19" t="s">
        <v>36018</v>
      </c>
      <c r="G15062" s="33" t="str">
        <f>"77656"</f>
        <v>77656</v>
      </c>
      <c r="H15062" s="34" t="s">
        <v>32124</v>
      </c>
      <c r="I15062" s="35">
        <v>17.643999999999998</v>
      </c>
      <c r="J15062" s="47" t="s">
        <v>8</v>
      </c>
      <c r="K15062" s="23" t="s">
        <v>8</v>
      </c>
      <c r="L15062" s="23" t="s">
        <v>8</v>
      </c>
      <c r="M15062" s="23" t="s">
        <v>8</v>
      </c>
    </row>
    <row r="15063" spans="1:13" s="21" customFormat="1" x14ac:dyDescent="0.25">
      <c r="A15063" s="22" t="s">
        <v>8</v>
      </c>
      <c r="B15063" s="18" t="str">
        <f>"676009"</f>
        <v>676009</v>
      </c>
      <c r="C15063" s="19" t="s">
        <v>14773</v>
      </c>
      <c r="D15063" s="19" t="s">
        <v>30453</v>
      </c>
      <c r="E15063" s="19" t="s">
        <v>33493</v>
      </c>
      <c r="F15063" s="19" t="s">
        <v>36018</v>
      </c>
      <c r="G15063" s="33" t="str">
        <f>"77063"</f>
        <v>77063</v>
      </c>
      <c r="H15063" s="34" t="s">
        <v>34183</v>
      </c>
      <c r="I15063" s="35">
        <v>18.315999999999999</v>
      </c>
      <c r="J15063" s="47" t="s">
        <v>8</v>
      </c>
      <c r="K15063" s="23" t="s">
        <v>8</v>
      </c>
      <c r="L15063" s="23" t="s">
        <v>8</v>
      </c>
      <c r="M15063" s="23" t="s">
        <v>8</v>
      </c>
    </row>
    <row r="15064" spans="1:13" s="21" customFormat="1" x14ac:dyDescent="0.25">
      <c r="A15064" s="22" t="s">
        <v>8</v>
      </c>
      <c r="B15064" s="18" t="str">
        <f>"676010"</f>
        <v>676010</v>
      </c>
      <c r="C15064" s="19" t="s">
        <v>14774</v>
      </c>
      <c r="D15064" s="19" t="s">
        <v>30454</v>
      </c>
      <c r="E15064" s="19" t="s">
        <v>35247</v>
      </c>
      <c r="F15064" s="19" t="s">
        <v>36018</v>
      </c>
      <c r="G15064" s="33" t="str">
        <f>"79109"</f>
        <v>79109</v>
      </c>
      <c r="H15064" s="34" t="s">
        <v>36963</v>
      </c>
      <c r="I15064" s="35">
        <v>20.11</v>
      </c>
      <c r="J15064" s="47" t="s">
        <v>8</v>
      </c>
      <c r="K15064" s="23" t="s">
        <v>8</v>
      </c>
      <c r="L15064" s="23" t="s">
        <v>8</v>
      </c>
      <c r="M15064" s="23" t="s">
        <v>8</v>
      </c>
    </row>
    <row r="15065" spans="1:13" s="21" customFormat="1" x14ac:dyDescent="0.25">
      <c r="A15065" s="22" t="s">
        <v>8</v>
      </c>
      <c r="B15065" s="18" t="str">
        <f>"676011"</f>
        <v>676011</v>
      </c>
      <c r="C15065" s="19" t="s">
        <v>14775</v>
      </c>
      <c r="D15065" s="19" t="s">
        <v>30455</v>
      </c>
      <c r="E15065" s="19" t="s">
        <v>32284</v>
      </c>
      <c r="F15065" s="19" t="s">
        <v>36018</v>
      </c>
      <c r="G15065" s="33" t="str">
        <f>"77575"</f>
        <v>77575</v>
      </c>
      <c r="H15065" s="34" t="s">
        <v>32284</v>
      </c>
      <c r="I15065" s="35">
        <v>19.914000000000001</v>
      </c>
      <c r="J15065" s="47" t="s">
        <v>8</v>
      </c>
      <c r="K15065" s="23" t="s">
        <v>8</v>
      </c>
      <c r="L15065" s="23" t="s">
        <v>8</v>
      </c>
      <c r="M15065" s="23" t="s">
        <v>8</v>
      </c>
    </row>
    <row r="15066" spans="1:13" s="21" customFormat="1" x14ac:dyDescent="0.25">
      <c r="A15066" s="22" t="s">
        <v>8</v>
      </c>
      <c r="B15066" s="18" t="str">
        <f>"676012"</f>
        <v>676012</v>
      </c>
      <c r="C15066" s="19" t="s">
        <v>14776</v>
      </c>
      <c r="D15066" s="19" t="s">
        <v>30456</v>
      </c>
      <c r="E15066" s="19" t="s">
        <v>35244</v>
      </c>
      <c r="F15066" s="19" t="s">
        <v>36018</v>
      </c>
      <c r="G15066" s="33" t="str">
        <f>"78254"</f>
        <v>78254</v>
      </c>
      <c r="H15066" s="34" t="s">
        <v>36805</v>
      </c>
      <c r="I15066" s="35">
        <v>18.940000000000001</v>
      </c>
      <c r="J15066" s="47" t="s">
        <v>8</v>
      </c>
      <c r="K15066" s="23" t="s">
        <v>8</v>
      </c>
      <c r="L15066" s="23" t="s">
        <v>8</v>
      </c>
      <c r="M15066" s="23" t="s">
        <v>8</v>
      </c>
    </row>
    <row r="15067" spans="1:13" s="21" customFormat="1" x14ac:dyDescent="0.25">
      <c r="A15067" s="22" t="s">
        <v>8</v>
      </c>
      <c r="B15067" s="18" t="str">
        <f>"676013"</f>
        <v>676013</v>
      </c>
      <c r="C15067" s="19" t="s">
        <v>14777</v>
      </c>
      <c r="D15067" s="19" t="s">
        <v>30457</v>
      </c>
      <c r="E15067" s="19" t="s">
        <v>33383</v>
      </c>
      <c r="F15067" s="19" t="s">
        <v>36018</v>
      </c>
      <c r="G15067" s="33" t="str">
        <f>"78753"</f>
        <v>78753</v>
      </c>
      <c r="H15067" s="34" t="s">
        <v>36817</v>
      </c>
      <c r="I15067" s="35">
        <v>18.702999999999999</v>
      </c>
      <c r="J15067" s="47" t="s">
        <v>8</v>
      </c>
      <c r="K15067" s="23" t="s">
        <v>8</v>
      </c>
      <c r="L15067" s="23" t="s">
        <v>8</v>
      </c>
      <c r="M15067" s="23" t="s">
        <v>8</v>
      </c>
    </row>
    <row r="15068" spans="1:13" s="21" customFormat="1" x14ac:dyDescent="0.25">
      <c r="A15068" s="22" t="s">
        <v>8</v>
      </c>
      <c r="B15068" s="18" t="str">
        <f>"676014"</f>
        <v>676014</v>
      </c>
      <c r="C15068" s="19" t="s">
        <v>14778</v>
      </c>
      <c r="D15068" s="19" t="s">
        <v>30458</v>
      </c>
      <c r="E15068" s="19" t="s">
        <v>35822</v>
      </c>
      <c r="F15068" s="19" t="s">
        <v>36018</v>
      </c>
      <c r="G15068" s="33" t="str">
        <f>"75110"</f>
        <v>75110</v>
      </c>
      <c r="H15068" s="34" t="s">
        <v>36955</v>
      </c>
      <c r="I15068" s="35">
        <v>19.106999999999999</v>
      </c>
      <c r="J15068" s="47" t="s">
        <v>8</v>
      </c>
      <c r="K15068" s="23" t="s">
        <v>8</v>
      </c>
      <c r="L15068" s="23" t="s">
        <v>8</v>
      </c>
      <c r="M15068" s="23" t="s">
        <v>8</v>
      </c>
    </row>
    <row r="15069" spans="1:13" s="21" customFormat="1" x14ac:dyDescent="0.25">
      <c r="A15069" s="22" t="s">
        <v>8</v>
      </c>
      <c r="B15069" s="18" t="str">
        <f>"676015"</f>
        <v>676015</v>
      </c>
      <c r="C15069" s="19" t="s">
        <v>14779</v>
      </c>
      <c r="D15069" s="19" t="s">
        <v>30459</v>
      </c>
      <c r="E15069" s="19" t="s">
        <v>33207</v>
      </c>
      <c r="F15069" s="19" t="s">
        <v>36018</v>
      </c>
      <c r="G15069" s="33" t="str">
        <f>"79707"</f>
        <v>79707</v>
      </c>
      <c r="H15069" s="34" t="s">
        <v>33207</v>
      </c>
      <c r="I15069" s="35">
        <v>21.542000000000002</v>
      </c>
      <c r="J15069" s="47" t="s">
        <v>8</v>
      </c>
      <c r="K15069" s="23" t="s">
        <v>8</v>
      </c>
      <c r="L15069" s="23" t="s">
        <v>8</v>
      </c>
      <c r="M15069" s="23" t="s">
        <v>8</v>
      </c>
    </row>
    <row r="15070" spans="1:13" s="21" customFormat="1" x14ac:dyDescent="0.25">
      <c r="A15070" s="22" t="s">
        <v>8</v>
      </c>
      <c r="B15070" s="18" t="str">
        <f>"676016"</f>
        <v>676016</v>
      </c>
      <c r="C15070" s="19" t="s">
        <v>14780</v>
      </c>
      <c r="D15070" s="19" t="s">
        <v>30460</v>
      </c>
      <c r="E15070" s="19" t="s">
        <v>35928</v>
      </c>
      <c r="F15070" s="19" t="s">
        <v>36018</v>
      </c>
      <c r="G15070" s="33" t="str">
        <f>"75452"</f>
        <v>75452</v>
      </c>
      <c r="H15070" s="34" t="s">
        <v>36155</v>
      </c>
      <c r="I15070" s="35">
        <v>19.757999999999999</v>
      </c>
      <c r="J15070" s="47" t="s">
        <v>8</v>
      </c>
      <c r="K15070" s="23" t="s">
        <v>8</v>
      </c>
      <c r="L15070" s="23" t="s">
        <v>8</v>
      </c>
      <c r="M15070" s="23" t="s">
        <v>8</v>
      </c>
    </row>
    <row r="15071" spans="1:13" s="21" customFormat="1" x14ac:dyDescent="0.25">
      <c r="A15071" s="22" t="s">
        <v>8</v>
      </c>
      <c r="B15071" s="18" t="str">
        <f>"676017"</f>
        <v>676017</v>
      </c>
      <c r="C15071" s="19" t="s">
        <v>14781</v>
      </c>
      <c r="D15071" s="19" t="s">
        <v>30461</v>
      </c>
      <c r="E15071" s="19" t="s">
        <v>35929</v>
      </c>
      <c r="F15071" s="19" t="s">
        <v>36018</v>
      </c>
      <c r="G15071" s="33" t="str">
        <f>"76470"</f>
        <v>76470</v>
      </c>
      <c r="H15071" s="34" t="s">
        <v>35230</v>
      </c>
      <c r="I15071" s="35">
        <v>19.835999999999999</v>
      </c>
      <c r="J15071" s="47" t="s">
        <v>8</v>
      </c>
      <c r="K15071" s="23" t="s">
        <v>8</v>
      </c>
      <c r="L15071" s="23" t="s">
        <v>8</v>
      </c>
      <c r="M15071" s="23" t="s">
        <v>8</v>
      </c>
    </row>
    <row r="15072" spans="1:13" s="21" customFormat="1" x14ac:dyDescent="0.25">
      <c r="A15072" s="22" t="s">
        <v>8</v>
      </c>
      <c r="B15072" s="18" t="str">
        <f>"676019"</f>
        <v>676019</v>
      </c>
      <c r="C15072" s="19" t="s">
        <v>14782</v>
      </c>
      <c r="D15072" s="19" t="s">
        <v>30462</v>
      </c>
      <c r="E15072" s="19" t="s">
        <v>34543</v>
      </c>
      <c r="F15072" s="19" t="s">
        <v>36018</v>
      </c>
      <c r="G15072" s="33" t="str">
        <f>"77802"</f>
        <v>77802</v>
      </c>
      <c r="H15072" s="34" t="s">
        <v>36803</v>
      </c>
      <c r="I15072" s="35">
        <v>21.016999999999999</v>
      </c>
      <c r="J15072" s="47" t="s">
        <v>8</v>
      </c>
      <c r="K15072" s="23" t="s">
        <v>8</v>
      </c>
      <c r="L15072" s="23" t="s">
        <v>8</v>
      </c>
      <c r="M15072" s="23" t="s">
        <v>8</v>
      </c>
    </row>
    <row r="15073" spans="1:13" s="21" customFormat="1" x14ac:dyDescent="0.25">
      <c r="A15073" s="22" t="s">
        <v>8</v>
      </c>
      <c r="B15073" s="18" t="str">
        <f>"676020"</f>
        <v>676020</v>
      </c>
      <c r="C15073" s="19" t="s">
        <v>14783</v>
      </c>
      <c r="D15073" s="19" t="s">
        <v>30463</v>
      </c>
      <c r="E15073" s="19" t="s">
        <v>35930</v>
      </c>
      <c r="F15073" s="19" t="s">
        <v>36018</v>
      </c>
      <c r="G15073" s="33" t="str">
        <f>"76859"</f>
        <v>76859</v>
      </c>
      <c r="H15073" s="34" t="s">
        <v>35930</v>
      </c>
      <c r="I15073" s="35">
        <v>18.536000000000001</v>
      </c>
      <c r="J15073" s="47" t="s">
        <v>8</v>
      </c>
      <c r="K15073" s="23" t="s">
        <v>8</v>
      </c>
      <c r="L15073" s="23" t="s">
        <v>8</v>
      </c>
      <c r="M15073" s="23" t="s">
        <v>8</v>
      </c>
    </row>
    <row r="15074" spans="1:13" s="21" customFormat="1" x14ac:dyDescent="0.25">
      <c r="A15074" s="22" t="s">
        <v>8</v>
      </c>
      <c r="B15074" s="18" t="str">
        <f>"676021"</f>
        <v>676021</v>
      </c>
      <c r="C15074" s="19" t="s">
        <v>14784</v>
      </c>
      <c r="D15074" s="19" t="s">
        <v>30464</v>
      </c>
      <c r="E15074" s="19" t="s">
        <v>33493</v>
      </c>
      <c r="F15074" s="19" t="s">
        <v>36018</v>
      </c>
      <c r="G15074" s="33" t="str">
        <f>"77036"</f>
        <v>77036</v>
      </c>
      <c r="H15074" s="34" t="s">
        <v>34183</v>
      </c>
      <c r="I15074" s="35">
        <v>17.14</v>
      </c>
      <c r="J15074" s="47" t="s">
        <v>8</v>
      </c>
      <c r="K15074" s="23" t="s">
        <v>8</v>
      </c>
      <c r="L15074" s="23" t="s">
        <v>8</v>
      </c>
      <c r="M15074" s="23" t="s">
        <v>8</v>
      </c>
    </row>
    <row r="15075" spans="1:13" s="21" customFormat="1" x14ac:dyDescent="0.25">
      <c r="A15075" s="22" t="s">
        <v>8</v>
      </c>
      <c r="B15075" s="18" t="str">
        <f>"676023"</f>
        <v>676023</v>
      </c>
      <c r="C15075" s="19" t="s">
        <v>14785</v>
      </c>
      <c r="D15075" s="19" t="s">
        <v>30465</v>
      </c>
      <c r="E15075" s="19" t="s">
        <v>35812</v>
      </c>
      <c r="F15075" s="19" t="s">
        <v>36018</v>
      </c>
      <c r="G15075" s="33" t="str">
        <f>"76248"</f>
        <v>76248</v>
      </c>
      <c r="H15075" s="34" t="s">
        <v>36806</v>
      </c>
      <c r="I15075" s="35">
        <v>19.292000000000002</v>
      </c>
      <c r="J15075" s="47" t="s">
        <v>8</v>
      </c>
      <c r="K15075" s="23" t="s">
        <v>8</v>
      </c>
      <c r="L15075" s="23" t="s">
        <v>8</v>
      </c>
      <c r="M15075" s="23" t="s">
        <v>8</v>
      </c>
    </row>
    <row r="15076" spans="1:13" s="21" customFormat="1" x14ac:dyDescent="0.25">
      <c r="A15076" s="22" t="s">
        <v>8</v>
      </c>
      <c r="B15076" s="18" t="str">
        <f>"676024"</f>
        <v>676024</v>
      </c>
      <c r="C15076" s="19" t="s">
        <v>14786</v>
      </c>
      <c r="D15076" s="19" t="s">
        <v>30466</v>
      </c>
      <c r="E15076" s="19" t="s">
        <v>35931</v>
      </c>
      <c r="F15076" s="19" t="s">
        <v>36018</v>
      </c>
      <c r="G15076" s="33" t="str">
        <f>"79041"</f>
        <v>79041</v>
      </c>
      <c r="H15076" s="34" t="s">
        <v>36031</v>
      </c>
      <c r="I15076" s="35">
        <v>18.952000000000002</v>
      </c>
      <c r="J15076" s="47" t="s">
        <v>8</v>
      </c>
      <c r="K15076" s="23" t="s">
        <v>8</v>
      </c>
      <c r="L15076" s="23" t="s">
        <v>8</v>
      </c>
      <c r="M15076" s="23" t="s">
        <v>8</v>
      </c>
    </row>
    <row r="15077" spans="1:13" s="21" customFormat="1" x14ac:dyDescent="0.25">
      <c r="A15077" s="22" t="s">
        <v>8</v>
      </c>
      <c r="B15077" s="18" t="str">
        <f>"676025"</f>
        <v>676025</v>
      </c>
      <c r="C15077" s="19" t="s">
        <v>14787</v>
      </c>
      <c r="D15077" s="19" t="s">
        <v>30467</v>
      </c>
      <c r="E15077" s="19" t="s">
        <v>32699</v>
      </c>
      <c r="F15077" s="19" t="s">
        <v>36018</v>
      </c>
      <c r="G15077" s="33" t="str">
        <f>"75652"</f>
        <v>75652</v>
      </c>
      <c r="H15077" s="34" t="s">
        <v>35296</v>
      </c>
      <c r="I15077" s="35">
        <v>20.472000000000001</v>
      </c>
      <c r="J15077" s="47" t="s">
        <v>8</v>
      </c>
      <c r="K15077" s="23" t="s">
        <v>8</v>
      </c>
      <c r="L15077" s="23" t="s">
        <v>8</v>
      </c>
      <c r="M15077" s="23" t="s">
        <v>8</v>
      </c>
    </row>
    <row r="15078" spans="1:13" s="21" customFormat="1" x14ac:dyDescent="0.25">
      <c r="A15078" s="22" t="s">
        <v>8</v>
      </c>
      <c r="B15078" s="18" t="str">
        <f>"676026"</f>
        <v>676026</v>
      </c>
      <c r="C15078" s="19" t="s">
        <v>14788</v>
      </c>
      <c r="D15078" s="19" t="s">
        <v>30468</v>
      </c>
      <c r="E15078" s="19" t="s">
        <v>32185</v>
      </c>
      <c r="F15078" s="19" t="s">
        <v>36018</v>
      </c>
      <c r="G15078" s="33" t="str">
        <f>"76511"</f>
        <v>76511</v>
      </c>
      <c r="H15078" s="34" t="s">
        <v>31306</v>
      </c>
      <c r="I15078" s="35">
        <v>21.367999999999999</v>
      </c>
      <c r="J15078" s="47" t="s">
        <v>8</v>
      </c>
      <c r="K15078" s="23" t="s">
        <v>8</v>
      </c>
      <c r="L15078" s="23" t="s">
        <v>8</v>
      </c>
      <c r="M15078" s="23" t="s">
        <v>8</v>
      </c>
    </row>
    <row r="15079" spans="1:13" s="21" customFormat="1" x14ac:dyDescent="0.25">
      <c r="A15079" s="22" t="s">
        <v>8</v>
      </c>
      <c r="B15079" s="18" t="str">
        <f>"676028"</f>
        <v>676028</v>
      </c>
      <c r="C15079" s="19" t="s">
        <v>14789</v>
      </c>
      <c r="D15079" s="19" t="s">
        <v>30469</v>
      </c>
      <c r="E15079" s="19" t="s">
        <v>35310</v>
      </c>
      <c r="F15079" s="19" t="s">
        <v>36018</v>
      </c>
      <c r="G15079" s="33" t="str">
        <f>"79407"</f>
        <v>79407</v>
      </c>
      <c r="H15079" s="34" t="s">
        <v>35310</v>
      </c>
      <c r="I15079" s="35">
        <v>18.216999999999999</v>
      </c>
      <c r="J15079" s="47" t="s">
        <v>8</v>
      </c>
      <c r="K15079" s="23" t="s">
        <v>8</v>
      </c>
      <c r="L15079" s="23" t="s">
        <v>8</v>
      </c>
      <c r="M15079" s="23" t="s">
        <v>8</v>
      </c>
    </row>
    <row r="15080" spans="1:13" s="21" customFormat="1" x14ac:dyDescent="0.25">
      <c r="A15080" s="22" t="s">
        <v>8</v>
      </c>
      <c r="B15080" s="18" t="str">
        <f>"676029"</f>
        <v>676029</v>
      </c>
      <c r="C15080" s="19" t="s">
        <v>14790</v>
      </c>
      <c r="D15080" s="19" t="s">
        <v>30470</v>
      </c>
      <c r="E15080" s="19" t="s">
        <v>35932</v>
      </c>
      <c r="F15080" s="19" t="s">
        <v>36018</v>
      </c>
      <c r="G15080" s="33" t="str">
        <f>"76040"</f>
        <v>76040</v>
      </c>
      <c r="H15080" s="34" t="s">
        <v>36806</v>
      </c>
      <c r="I15080" s="35">
        <v>20.521999999999998</v>
      </c>
      <c r="J15080" s="47" t="s">
        <v>8</v>
      </c>
      <c r="K15080" s="23" t="s">
        <v>8</v>
      </c>
      <c r="L15080" s="23" t="s">
        <v>8</v>
      </c>
      <c r="M15080" s="23" t="s">
        <v>8</v>
      </c>
    </row>
    <row r="15081" spans="1:13" s="21" customFormat="1" x14ac:dyDescent="0.25">
      <c r="A15081" s="22" t="s">
        <v>8</v>
      </c>
      <c r="B15081" s="18" t="str">
        <f>"676030"</f>
        <v>676030</v>
      </c>
      <c r="C15081" s="19" t="s">
        <v>14791</v>
      </c>
      <c r="D15081" s="19" t="s">
        <v>30471</v>
      </c>
      <c r="E15081" s="19" t="s">
        <v>30807</v>
      </c>
      <c r="F15081" s="19" t="s">
        <v>36018</v>
      </c>
      <c r="G15081" s="33" t="str">
        <f>"77975"</f>
        <v>77975</v>
      </c>
      <c r="H15081" s="34" t="s">
        <v>36813</v>
      </c>
      <c r="I15081" s="35">
        <v>19.088999999999999</v>
      </c>
      <c r="J15081" s="47" t="s">
        <v>8</v>
      </c>
      <c r="K15081" s="23" t="s">
        <v>8</v>
      </c>
      <c r="L15081" s="23" t="s">
        <v>8</v>
      </c>
      <c r="M15081" s="23" t="s">
        <v>8</v>
      </c>
    </row>
    <row r="15082" spans="1:13" s="21" customFormat="1" x14ac:dyDescent="0.25">
      <c r="A15082" s="22" t="s">
        <v>8</v>
      </c>
      <c r="B15082" s="18" t="str">
        <f>"676031"</f>
        <v>676031</v>
      </c>
      <c r="C15082" s="19" t="s">
        <v>14792</v>
      </c>
      <c r="D15082" s="19" t="s">
        <v>30472</v>
      </c>
      <c r="E15082" s="19" t="s">
        <v>35241</v>
      </c>
      <c r="F15082" s="19" t="s">
        <v>36018</v>
      </c>
      <c r="G15082" s="33" t="str">
        <f>"76904"</f>
        <v>76904</v>
      </c>
      <c r="H15082" s="34" t="s">
        <v>36802</v>
      </c>
      <c r="I15082" s="35">
        <v>20.085999999999999</v>
      </c>
      <c r="J15082" s="47" t="s">
        <v>8</v>
      </c>
      <c r="K15082" s="23" t="s">
        <v>8</v>
      </c>
      <c r="L15082" s="23" t="s">
        <v>8</v>
      </c>
      <c r="M15082" s="23" t="s">
        <v>8</v>
      </c>
    </row>
    <row r="15083" spans="1:13" s="21" customFormat="1" x14ac:dyDescent="0.25">
      <c r="A15083" s="22" t="s">
        <v>8</v>
      </c>
      <c r="B15083" s="18" t="str">
        <f>"676033"</f>
        <v>676033</v>
      </c>
      <c r="C15083" s="19" t="s">
        <v>14793</v>
      </c>
      <c r="D15083" s="19" t="s">
        <v>30473</v>
      </c>
      <c r="E15083" s="19" t="s">
        <v>32016</v>
      </c>
      <c r="F15083" s="19" t="s">
        <v>36018</v>
      </c>
      <c r="G15083" s="33" t="str">
        <f>"76645"</f>
        <v>76645</v>
      </c>
      <c r="H15083" s="34" t="s">
        <v>36533</v>
      </c>
      <c r="I15083" s="35">
        <v>19.73</v>
      </c>
      <c r="J15083" s="47" t="s">
        <v>8</v>
      </c>
      <c r="K15083" s="23" t="s">
        <v>8</v>
      </c>
      <c r="L15083" s="23" t="s">
        <v>8</v>
      </c>
      <c r="M15083" s="23" t="s">
        <v>8</v>
      </c>
    </row>
    <row r="15084" spans="1:13" s="21" customFormat="1" x14ac:dyDescent="0.25">
      <c r="A15084" s="22" t="s">
        <v>8</v>
      </c>
      <c r="B15084" s="18" t="str">
        <f>"676034"</f>
        <v>676034</v>
      </c>
      <c r="C15084" s="19" t="s">
        <v>14794</v>
      </c>
      <c r="D15084" s="19" t="s">
        <v>30474</v>
      </c>
      <c r="E15084" s="19" t="s">
        <v>35933</v>
      </c>
      <c r="F15084" s="19" t="s">
        <v>36018</v>
      </c>
      <c r="G15084" s="33" t="str">
        <f>"76825"</f>
        <v>76825</v>
      </c>
      <c r="H15084" s="34" t="s">
        <v>36976</v>
      </c>
      <c r="I15084" s="35">
        <v>18.997</v>
      </c>
      <c r="J15084" s="47" t="s">
        <v>8</v>
      </c>
      <c r="K15084" s="23" t="s">
        <v>8</v>
      </c>
      <c r="L15084" s="23" t="s">
        <v>8</v>
      </c>
      <c r="M15084" s="23" t="s">
        <v>8</v>
      </c>
    </row>
    <row r="15085" spans="1:13" s="21" customFormat="1" x14ac:dyDescent="0.25">
      <c r="A15085" s="22" t="s">
        <v>8</v>
      </c>
      <c r="B15085" s="18" t="str">
        <f>"676035"</f>
        <v>676035</v>
      </c>
      <c r="C15085" s="19" t="s">
        <v>14795</v>
      </c>
      <c r="D15085" s="19" t="s">
        <v>30475</v>
      </c>
      <c r="E15085" s="19" t="s">
        <v>35934</v>
      </c>
      <c r="F15085" s="19" t="s">
        <v>36018</v>
      </c>
      <c r="G15085" s="33" t="str">
        <f>"78639"</f>
        <v>78639</v>
      </c>
      <c r="H15085" s="34" t="s">
        <v>35311</v>
      </c>
      <c r="I15085" s="35">
        <v>19.074000000000002</v>
      </c>
      <c r="J15085" s="47" t="s">
        <v>8</v>
      </c>
      <c r="K15085" s="23" t="s">
        <v>8</v>
      </c>
      <c r="L15085" s="23" t="s">
        <v>8</v>
      </c>
      <c r="M15085" s="23" t="s">
        <v>8</v>
      </c>
    </row>
    <row r="15086" spans="1:13" s="21" customFormat="1" x14ac:dyDescent="0.25">
      <c r="A15086" s="22" t="s">
        <v>8</v>
      </c>
      <c r="B15086" s="18" t="str">
        <f>"676036"</f>
        <v>676036</v>
      </c>
      <c r="C15086" s="19" t="s">
        <v>14796</v>
      </c>
      <c r="D15086" s="19" t="s">
        <v>30476</v>
      </c>
      <c r="E15086" s="19" t="s">
        <v>35871</v>
      </c>
      <c r="F15086" s="19" t="s">
        <v>36018</v>
      </c>
      <c r="G15086" s="33" t="str">
        <f>"75067"</f>
        <v>75067</v>
      </c>
      <c r="H15086" s="34" t="s">
        <v>32938</v>
      </c>
      <c r="I15086" s="35">
        <v>18.783999999999999</v>
      </c>
      <c r="J15086" s="47" t="s">
        <v>8</v>
      </c>
      <c r="K15086" s="23" t="s">
        <v>8</v>
      </c>
      <c r="L15086" s="23" t="s">
        <v>8</v>
      </c>
      <c r="M15086" s="23" t="s">
        <v>8</v>
      </c>
    </row>
    <row r="15087" spans="1:13" s="21" customFormat="1" x14ac:dyDescent="0.25">
      <c r="A15087" s="22" t="s">
        <v>8</v>
      </c>
      <c r="B15087" s="18" t="str">
        <f>"676037"</f>
        <v>676037</v>
      </c>
      <c r="C15087" s="19" t="s">
        <v>14797</v>
      </c>
      <c r="D15087" s="19" t="s">
        <v>30477</v>
      </c>
      <c r="E15087" s="19" t="s">
        <v>35271</v>
      </c>
      <c r="F15087" s="19" t="s">
        <v>36018</v>
      </c>
      <c r="G15087" s="33" t="str">
        <f>"78596"</f>
        <v>78596</v>
      </c>
      <c r="H15087" s="34" t="s">
        <v>36592</v>
      </c>
      <c r="I15087" s="35">
        <v>17.744</v>
      </c>
      <c r="J15087" s="47" t="s">
        <v>8</v>
      </c>
      <c r="K15087" s="23" t="s">
        <v>8</v>
      </c>
      <c r="L15087" s="23" t="s">
        <v>8</v>
      </c>
      <c r="M15087" s="23" t="s">
        <v>8</v>
      </c>
    </row>
    <row r="15088" spans="1:13" s="21" customFormat="1" x14ac:dyDescent="0.25">
      <c r="A15088" s="22" t="s">
        <v>8</v>
      </c>
      <c r="B15088" s="18" t="str">
        <f>"676038"</f>
        <v>676038</v>
      </c>
      <c r="C15088" s="19" t="s">
        <v>14798</v>
      </c>
      <c r="D15088" s="19" t="s">
        <v>30478</v>
      </c>
      <c r="E15088" s="19" t="s">
        <v>1675</v>
      </c>
      <c r="F15088" s="19" t="s">
        <v>36018</v>
      </c>
      <c r="G15088" s="33" t="str">
        <f>"78071"</f>
        <v>78071</v>
      </c>
      <c r="H15088" s="34" t="s">
        <v>5397</v>
      </c>
      <c r="I15088" s="35">
        <v>19.524999999999999</v>
      </c>
      <c r="J15088" s="47" t="s">
        <v>8</v>
      </c>
      <c r="K15088" s="23" t="s">
        <v>8</v>
      </c>
      <c r="L15088" s="23" t="s">
        <v>8</v>
      </c>
      <c r="M15088" s="23" t="s">
        <v>8</v>
      </c>
    </row>
    <row r="15089" spans="1:13" s="21" customFormat="1" x14ac:dyDescent="0.25">
      <c r="A15089" s="22" t="s">
        <v>8</v>
      </c>
      <c r="B15089" s="18" t="str">
        <f>"676039"</f>
        <v>676039</v>
      </c>
      <c r="C15089" s="19" t="s">
        <v>14799</v>
      </c>
      <c r="D15089" s="19" t="s">
        <v>30479</v>
      </c>
      <c r="E15089" s="19" t="s">
        <v>35286</v>
      </c>
      <c r="F15089" s="19" t="s">
        <v>36018</v>
      </c>
      <c r="G15089" s="33" t="str">
        <f>"75044"</f>
        <v>75044</v>
      </c>
      <c r="H15089" s="34" t="s">
        <v>31723</v>
      </c>
      <c r="I15089" s="35">
        <v>19.579000000000001</v>
      </c>
      <c r="J15089" s="47" t="s">
        <v>8</v>
      </c>
      <c r="K15089" s="23" t="s">
        <v>8</v>
      </c>
      <c r="L15089" s="23" t="s">
        <v>8</v>
      </c>
      <c r="M15089" s="23" t="s">
        <v>8</v>
      </c>
    </row>
    <row r="15090" spans="1:13" s="21" customFormat="1" x14ac:dyDescent="0.25">
      <c r="A15090" s="22" t="s">
        <v>8</v>
      </c>
      <c r="B15090" s="18" t="str">
        <f>"676040"</f>
        <v>676040</v>
      </c>
      <c r="C15090" s="19" t="s">
        <v>14800</v>
      </c>
      <c r="D15090" s="19" t="s">
        <v>30480</v>
      </c>
      <c r="E15090" s="19" t="s">
        <v>35235</v>
      </c>
      <c r="F15090" s="19" t="s">
        <v>36018</v>
      </c>
      <c r="G15090" s="33" t="str">
        <f>"77437"</f>
        <v>77437</v>
      </c>
      <c r="H15090" s="34" t="s">
        <v>35278</v>
      </c>
      <c r="I15090" s="35">
        <v>22.254999999999999</v>
      </c>
      <c r="J15090" s="47" t="s">
        <v>8</v>
      </c>
      <c r="K15090" s="23" t="s">
        <v>8</v>
      </c>
      <c r="L15090" s="23" t="s">
        <v>8</v>
      </c>
      <c r="M15090" s="23" t="s">
        <v>8</v>
      </c>
    </row>
    <row r="15091" spans="1:13" s="21" customFormat="1" x14ac:dyDescent="0.25">
      <c r="A15091" s="22" t="s">
        <v>8</v>
      </c>
      <c r="B15091" s="18" t="str">
        <f>"676041"</f>
        <v>676041</v>
      </c>
      <c r="C15091" s="19" t="s">
        <v>14801</v>
      </c>
      <c r="D15091" s="19" t="s">
        <v>30481</v>
      </c>
      <c r="E15091" s="19" t="s">
        <v>35244</v>
      </c>
      <c r="F15091" s="19" t="s">
        <v>36018</v>
      </c>
      <c r="G15091" s="33" t="str">
        <f>"78227"</f>
        <v>78227</v>
      </c>
      <c r="H15091" s="34" t="s">
        <v>36805</v>
      </c>
      <c r="I15091" s="35">
        <v>20.588000000000001</v>
      </c>
      <c r="J15091" s="47" t="s">
        <v>8</v>
      </c>
      <c r="K15091" s="23" t="s">
        <v>8</v>
      </c>
      <c r="L15091" s="23" t="s">
        <v>8</v>
      </c>
      <c r="M15091" s="23" t="s">
        <v>8</v>
      </c>
    </row>
    <row r="15092" spans="1:13" s="21" customFormat="1" x14ac:dyDescent="0.25">
      <c r="A15092" s="22" t="s">
        <v>8</v>
      </c>
      <c r="B15092" s="18" t="str">
        <f>"676042"</f>
        <v>676042</v>
      </c>
      <c r="C15092" s="19" t="s">
        <v>14802</v>
      </c>
      <c r="D15092" s="19" t="s">
        <v>30482</v>
      </c>
      <c r="E15092" s="19" t="s">
        <v>35935</v>
      </c>
      <c r="F15092" s="19" t="s">
        <v>36018</v>
      </c>
      <c r="G15092" s="33" t="str">
        <f>"78503"</f>
        <v>78503</v>
      </c>
      <c r="H15092" s="34" t="s">
        <v>36592</v>
      </c>
      <c r="I15092" s="35">
        <v>19.337</v>
      </c>
      <c r="J15092" s="47" t="s">
        <v>8</v>
      </c>
      <c r="K15092" s="23" t="s">
        <v>8</v>
      </c>
      <c r="L15092" s="23" t="s">
        <v>8</v>
      </c>
      <c r="M15092" s="23" t="s">
        <v>8</v>
      </c>
    </row>
    <row r="15093" spans="1:13" s="21" customFormat="1" x14ac:dyDescent="0.25">
      <c r="A15093" s="22" t="s">
        <v>8</v>
      </c>
      <c r="B15093" s="18" t="str">
        <f>"676043"</f>
        <v>676043</v>
      </c>
      <c r="C15093" s="19" t="s">
        <v>14803</v>
      </c>
      <c r="D15093" s="19" t="s">
        <v>30483</v>
      </c>
      <c r="E15093" s="19" t="s">
        <v>35265</v>
      </c>
      <c r="F15093" s="19" t="s">
        <v>36018</v>
      </c>
      <c r="G15093" s="33" t="str">
        <f>"75835"</f>
        <v>75835</v>
      </c>
      <c r="H15093" s="34" t="s">
        <v>33493</v>
      </c>
      <c r="I15093" s="35">
        <v>19.478000000000002</v>
      </c>
      <c r="J15093" s="47" t="s">
        <v>8</v>
      </c>
      <c r="K15093" s="23" t="s">
        <v>8</v>
      </c>
      <c r="L15093" s="23" t="s">
        <v>8</v>
      </c>
      <c r="M15093" s="23" t="s">
        <v>8</v>
      </c>
    </row>
    <row r="15094" spans="1:13" s="21" customFormat="1" x14ac:dyDescent="0.25">
      <c r="A15094" s="22" t="s">
        <v>8</v>
      </c>
      <c r="B15094" s="18" t="str">
        <f>"676044"</f>
        <v>676044</v>
      </c>
      <c r="C15094" s="19" t="s">
        <v>14804</v>
      </c>
      <c r="D15094" s="19" t="s">
        <v>30484</v>
      </c>
      <c r="E15094" s="19" t="s">
        <v>32821</v>
      </c>
      <c r="F15094" s="19" t="s">
        <v>36018</v>
      </c>
      <c r="G15094" s="33" t="str">
        <f>"78648"</f>
        <v>78648</v>
      </c>
      <c r="H15094" s="34" t="s">
        <v>31876</v>
      </c>
      <c r="I15094" s="35">
        <v>20.05</v>
      </c>
      <c r="J15094" s="47" t="s">
        <v>8</v>
      </c>
      <c r="K15094" s="23" t="s">
        <v>8</v>
      </c>
      <c r="L15094" s="23" t="s">
        <v>8</v>
      </c>
      <c r="M15094" s="23" t="s">
        <v>8</v>
      </c>
    </row>
    <row r="15095" spans="1:13" s="21" customFormat="1" x14ac:dyDescent="0.25">
      <c r="A15095" s="22" t="s">
        <v>8</v>
      </c>
      <c r="B15095" s="18" t="str">
        <f>"676045"</f>
        <v>676045</v>
      </c>
      <c r="C15095" s="19" t="s">
        <v>14805</v>
      </c>
      <c r="D15095" s="19" t="s">
        <v>30485</v>
      </c>
      <c r="E15095" s="19" t="s">
        <v>31050</v>
      </c>
      <c r="F15095" s="19" t="s">
        <v>36018</v>
      </c>
      <c r="G15095" s="33" t="str">
        <f>"75460"</f>
        <v>75460</v>
      </c>
      <c r="H15095" s="34" t="s">
        <v>31372</v>
      </c>
      <c r="I15095" s="35">
        <v>18.446999999999999</v>
      </c>
      <c r="J15095" s="47" t="s">
        <v>8</v>
      </c>
      <c r="K15095" s="23" t="s">
        <v>8</v>
      </c>
      <c r="L15095" s="23" t="s">
        <v>8</v>
      </c>
      <c r="M15095" s="23" t="s">
        <v>8</v>
      </c>
    </row>
    <row r="15096" spans="1:13" s="21" customFormat="1" x14ac:dyDescent="0.25">
      <c r="A15096" s="22" t="s">
        <v>8</v>
      </c>
      <c r="B15096" s="18" t="str">
        <f>"676046"</f>
        <v>676046</v>
      </c>
      <c r="C15096" s="19" t="s">
        <v>14806</v>
      </c>
      <c r="D15096" s="19" t="s">
        <v>30486</v>
      </c>
      <c r="E15096" s="19" t="s">
        <v>35297</v>
      </c>
      <c r="F15096" s="19" t="s">
        <v>36018</v>
      </c>
      <c r="G15096" s="33" t="str">
        <f>"76802"</f>
        <v>76802</v>
      </c>
      <c r="H15096" s="34" t="s">
        <v>36244</v>
      </c>
      <c r="I15096" s="35">
        <v>21.126999999999999</v>
      </c>
      <c r="J15096" s="47" t="s">
        <v>8</v>
      </c>
      <c r="K15096" s="23" t="s">
        <v>8</v>
      </c>
      <c r="L15096" s="23" t="s">
        <v>8</v>
      </c>
      <c r="M15096" s="23" t="s">
        <v>8</v>
      </c>
    </row>
    <row r="15097" spans="1:13" s="21" customFormat="1" x14ac:dyDescent="0.25">
      <c r="A15097" s="22" t="s">
        <v>8</v>
      </c>
      <c r="B15097" s="18" t="str">
        <f>"676047"</f>
        <v>676047</v>
      </c>
      <c r="C15097" s="19" t="s">
        <v>14807</v>
      </c>
      <c r="D15097" s="19" t="s">
        <v>30487</v>
      </c>
      <c r="E15097" s="19" t="s">
        <v>33850</v>
      </c>
      <c r="F15097" s="19" t="s">
        <v>36018</v>
      </c>
      <c r="G15097" s="33" t="str">
        <f>"76051"</f>
        <v>76051</v>
      </c>
      <c r="H15097" s="34" t="s">
        <v>36806</v>
      </c>
      <c r="I15097" s="35">
        <v>20.911999999999999</v>
      </c>
      <c r="J15097" s="47" t="s">
        <v>8</v>
      </c>
      <c r="K15097" s="23" t="s">
        <v>8</v>
      </c>
      <c r="L15097" s="23" t="s">
        <v>8</v>
      </c>
      <c r="M15097" s="23" t="s">
        <v>8</v>
      </c>
    </row>
    <row r="15098" spans="1:13" s="21" customFormat="1" x14ac:dyDescent="0.25">
      <c r="A15098" s="22" t="s">
        <v>8</v>
      </c>
      <c r="B15098" s="18" t="str">
        <f>"676048"</f>
        <v>676048</v>
      </c>
      <c r="C15098" s="19" t="s">
        <v>14808</v>
      </c>
      <c r="D15098" s="19" t="s">
        <v>30488</v>
      </c>
      <c r="E15098" s="19" t="s">
        <v>35936</v>
      </c>
      <c r="F15098" s="19" t="s">
        <v>36018</v>
      </c>
      <c r="G15098" s="33" t="str">
        <f>"75647"</f>
        <v>75647</v>
      </c>
      <c r="H15098" s="34" t="s">
        <v>36814</v>
      </c>
      <c r="I15098" s="35">
        <v>19.036000000000001</v>
      </c>
      <c r="J15098" s="47" t="s">
        <v>8</v>
      </c>
      <c r="K15098" s="23" t="s">
        <v>8</v>
      </c>
      <c r="L15098" s="23" t="s">
        <v>8</v>
      </c>
      <c r="M15098" s="23" t="s">
        <v>8</v>
      </c>
    </row>
    <row r="15099" spans="1:13" s="21" customFormat="1" x14ac:dyDescent="0.25">
      <c r="A15099" s="22" t="s">
        <v>8</v>
      </c>
      <c r="B15099" s="18" t="str">
        <f>"676049"</f>
        <v>676049</v>
      </c>
      <c r="C15099" s="19" t="s">
        <v>14809</v>
      </c>
      <c r="D15099" s="19" t="s">
        <v>30489</v>
      </c>
      <c r="E15099" s="19" t="s">
        <v>31050</v>
      </c>
      <c r="F15099" s="19" t="s">
        <v>36018</v>
      </c>
      <c r="G15099" s="33" t="str">
        <f>"75460"</f>
        <v>75460</v>
      </c>
      <c r="H15099" s="34" t="s">
        <v>31372</v>
      </c>
      <c r="I15099" s="35">
        <v>16.754999999999999</v>
      </c>
      <c r="J15099" s="47" t="s">
        <v>8</v>
      </c>
      <c r="K15099" s="23" t="s">
        <v>8</v>
      </c>
      <c r="L15099" s="23" t="s">
        <v>8</v>
      </c>
      <c r="M15099" s="23" t="s">
        <v>8</v>
      </c>
    </row>
    <row r="15100" spans="1:13" s="21" customFormat="1" x14ac:dyDescent="0.25">
      <c r="A15100" s="22" t="s">
        <v>8</v>
      </c>
      <c r="B15100" s="18" t="str">
        <f>"676050"</f>
        <v>676050</v>
      </c>
      <c r="C15100" s="19" t="s">
        <v>14810</v>
      </c>
      <c r="D15100" s="19" t="s">
        <v>30490</v>
      </c>
      <c r="E15100" s="19" t="s">
        <v>31191</v>
      </c>
      <c r="F15100" s="19" t="s">
        <v>36018</v>
      </c>
      <c r="G15100" s="33" t="str">
        <f>"77504"</f>
        <v>77504</v>
      </c>
      <c r="H15100" s="34" t="s">
        <v>34183</v>
      </c>
      <c r="I15100" s="35">
        <v>19.148</v>
      </c>
      <c r="J15100" s="47" t="s">
        <v>8</v>
      </c>
      <c r="K15100" s="23" t="s">
        <v>8</v>
      </c>
      <c r="L15100" s="23" t="s">
        <v>8</v>
      </c>
      <c r="M15100" s="23" t="s">
        <v>8</v>
      </c>
    </row>
    <row r="15101" spans="1:13" s="21" customFormat="1" x14ac:dyDescent="0.25">
      <c r="A15101" s="22" t="s">
        <v>8</v>
      </c>
      <c r="B15101" s="18" t="str">
        <f>"676051"</f>
        <v>676051</v>
      </c>
      <c r="C15101" s="19" t="s">
        <v>14811</v>
      </c>
      <c r="D15101" s="19" t="s">
        <v>30491</v>
      </c>
      <c r="E15101" s="19" t="s">
        <v>33527</v>
      </c>
      <c r="F15101" s="19" t="s">
        <v>36018</v>
      </c>
      <c r="G15101" s="33" t="str">
        <f>"75633"</f>
        <v>75633</v>
      </c>
      <c r="H15101" s="34" t="s">
        <v>36495</v>
      </c>
      <c r="I15101" s="35">
        <v>19.481999999999999</v>
      </c>
      <c r="J15101" s="47" t="s">
        <v>8</v>
      </c>
      <c r="K15101" s="23" t="s">
        <v>8</v>
      </c>
      <c r="L15101" s="23" t="s">
        <v>8</v>
      </c>
      <c r="M15101" s="23" t="s">
        <v>8</v>
      </c>
    </row>
    <row r="15102" spans="1:13" s="21" customFormat="1" x14ac:dyDescent="0.25">
      <c r="A15102" s="22" t="s">
        <v>8</v>
      </c>
      <c r="B15102" s="18" t="str">
        <f>"676052"</f>
        <v>676052</v>
      </c>
      <c r="C15102" s="19" t="s">
        <v>14812</v>
      </c>
      <c r="D15102" s="19" t="s">
        <v>30492</v>
      </c>
      <c r="E15102" s="19" t="s">
        <v>35245</v>
      </c>
      <c r="F15102" s="19" t="s">
        <v>36018</v>
      </c>
      <c r="G15102" s="33" t="str">
        <f>"76119"</f>
        <v>76119</v>
      </c>
      <c r="H15102" s="34" t="s">
        <v>36806</v>
      </c>
      <c r="I15102" s="35">
        <v>17.643999999999998</v>
      </c>
      <c r="J15102" s="47" t="s">
        <v>8</v>
      </c>
      <c r="K15102" s="23" t="s">
        <v>8</v>
      </c>
      <c r="L15102" s="23" t="s">
        <v>8</v>
      </c>
      <c r="M15102" s="23" t="s">
        <v>8</v>
      </c>
    </row>
    <row r="15103" spans="1:13" s="21" customFormat="1" x14ac:dyDescent="0.25">
      <c r="A15103" s="22" t="s">
        <v>8</v>
      </c>
      <c r="B15103" s="18" t="str">
        <f>"676053"</f>
        <v>676053</v>
      </c>
      <c r="C15103" s="19" t="s">
        <v>14813</v>
      </c>
      <c r="D15103" s="19" t="s">
        <v>30493</v>
      </c>
      <c r="E15103" s="19" t="s">
        <v>35937</v>
      </c>
      <c r="F15103" s="19" t="s">
        <v>36018</v>
      </c>
      <c r="G15103" s="33" t="str">
        <f>"79536"</f>
        <v>79536</v>
      </c>
      <c r="H15103" s="34" t="s">
        <v>31080</v>
      </c>
      <c r="I15103" s="35">
        <v>17.547000000000001</v>
      </c>
      <c r="J15103" s="47" t="s">
        <v>8</v>
      </c>
      <c r="K15103" s="23" t="s">
        <v>8</v>
      </c>
      <c r="L15103" s="23" t="s">
        <v>8</v>
      </c>
      <c r="M15103" s="23" t="s">
        <v>8</v>
      </c>
    </row>
    <row r="15104" spans="1:13" s="21" customFormat="1" x14ac:dyDescent="0.25">
      <c r="A15104" s="22" t="s">
        <v>8</v>
      </c>
      <c r="B15104" s="18" t="str">
        <f>"676055"</f>
        <v>676055</v>
      </c>
      <c r="C15104" s="19" t="s">
        <v>14814</v>
      </c>
      <c r="D15104" s="19" t="s">
        <v>30494</v>
      </c>
      <c r="E15104" s="19" t="s">
        <v>32101</v>
      </c>
      <c r="F15104" s="19" t="s">
        <v>36018</v>
      </c>
      <c r="G15104" s="33" t="str">
        <f>"75966"</f>
        <v>75966</v>
      </c>
      <c r="H15104" s="34" t="s">
        <v>32101</v>
      </c>
      <c r="I15104" s="35">
        <v>18.573</v>
      </c>
      <c r="J15104" s="47" t="s">
        <v>8</v>
      </c>
      <c r="K15104" s="23" t="s">
        <v>8</v>
      </c>
      <c r="L15104" s="23" t="s">
        <v>8</v>
      </c>
      <c r="M15104" s="23" t="s">
        <v>8</v>
      </c>
    </row>
    <row r="15105" spans="1:13" s="21" customFormat="1" x14ac:dyDescent="0.25">
      <c r="A15105" s="22" t="s">
        <v>8</v>
      </c>
      <c r="B15105" s="18" t="str">
        <f>"676057"</f>
        <v>676057</v>
      </c>
      <c r="C15105" s="19" t="s">
        <v>14815</v>
      </c>
      <c r="D15105" s="19" t="s">
        <v>30495</v>
      </c>
      <c r="E15105" s="19" t="s">
        <v>35252</v>
      </c>
      <c r="F15105" s="19" t="s">
        <v>36018</v>
      </c>
      <c r="G15105" s="33" t="str">
        <f>"77591"</f>
        <v>77591</v>
      </c>
      <c r="H15105" s="34" t="s">
        <v>35824</v>
      </c>
      <c r="I15105" s="35">
        <v>21.603000000000002</v>
      </c>
      <c r="J15105" s="47" t="s">
        <v>8</v>
      </c>
      <c r="K15105" s="23" t="s">
        <v>8</v>
      </c>
      <c r="L15105" s="23" t="s">
        <v>8</v>
      </c>
      <c r="M15105" s="23" t="s">
        <v>8</v>
      </c>
    </row>
    <row r="15106" spans="1:13" s="21" customFormat="1" x14ac:dyDescent="0.25">
      <c r="A15106" s="22" t="s">
        <v>8</v>
      </c>
      <c r="B15106" s="18" t="str">
        <f>"676058"</f>
        <v>676058</v>
      </c>
      <c r="C15106" s="19" t="s">
        <v>14816</v>
      </c>
      <c r="D15106" s="19" t="s">
        <v>30496</v>
      </c>
      <c r="E15106" s="19" t="s">
        <v>35938</v>
      </c>
      <c r="F15106" s="19" t="s">
        <v>36018</v>
      </c>
      <c r="G15106" s="33" t="str">
        <f>"79226"</f>
        <v>79226</v>
      </c>
      <c r="H15106" s="34" t="s">
        <v>36977</v>
      </c>
      <c r="I15106" s="35">
        <v>18.568999999999999</v>
      </c>
      <c r="J15106" s="47" t="s">
        <v>8</v>
      </c>
      <c r="K15106" s="23" t="s">
        <v>8</v>
      </c>
      <c r="L15106" s="23" t="s">
        <v>8</v>
      </c>
      <c r="M15106" s="23" t="s">
        <v>8</v>
      </c>
    </row>
    <row r="15107" spans="1:13" s="21" customFormat="1" x14ac:dyDescent="0.25">
      <c r="A15107" s="22" t="s">
        <v>8</v>
      </c>
      <c r="B15107" s="18" t="str">
        <f>"676059"</f>
        <v>676059</v>
      </c>
      <c r="C15107" s="19" t="s">
        <v>14817</v>
      </c>
      <c r="D15107" s="19" t="s">
        <v>30497</v>
      </c>
      <c r="E15107" s="19" t="s">
        <v>33493</v>
      </c>
      <c r="F15107" s="19" t="s">
        <v>36018</v>
      </c>
      <c r="G15107" s="33" t="str">
        <f>"77082"</f>
        <v>77082</v>
      </c>
      <c r="H15107" s="34" t="s">
        <v>34183</v>
      </c>
      <c r="I15107" s="35">
        <v>18.452000000000002</v>
      </c>
      <c r="J15107" s="47" t="s">
        <v>8</v>
      </c>
      <c r="K15107" s="23" t="s">
        <v>8</v>
      </c>
      <c r="L15107" s="23" t="s">
        <v>8</v>
      </c>
      <c r="M15107" s="23" t="s">
        <v>8</v>
      </c>
    </row>
    <row r="15108" spans="1:13" s="21" customFormat="1" x14ac:dyDescent="0.25">
      <c r="A15108" s="22" t="s">
        <v>8</v>
      </c>
      <c r="B15108" s="18" t="str">
        <f>"676060"</f>
        <v>676060</v>
      </c>
      <c r="C15108" s="19" t="s">
        <v>14818</v>
      </c>
      <c r="D15108" s="19" t="s">
        <v>30498</v>
      </c>
      <c r="E15108" s="19" t="s">
        <v>31965</v>
      </c>
      <c r="F15108" s="19" t="s">
        <v>36018</v>
      </c>
      <c r="G15108" s="33" t="str">
        <f>"79924"</f>
        <v>79924</v>
      </c>
      <c r="H15108" s="34" t="s">
        <v>31965</v>
      </c>
      <c r="I15108" s="35">
        <v>17.654</v>
      </c>
      <c r="J15108" s="47" t="s">
        <v>8</v>
      </c>
      <c r="K15108" s="23" t="s">
        <v>8</v>
      </c>
      <c r="L15108" s="23" t="s">
        <v>8</v>
      </c>
      <c r="M15108" s="23" t="s">
        <v>8</v>
      </c>
    </row>
    <row r="15109" spans="1:13" s="21" customFormat="1" x14ac:dyDescent="0.25">
      <c r="A15109" s="22" t="s">
        <v>8</v>
      </c>
      <c r="B15109" s="18" t="str">
        <f>"676063"</f>
        <v>676063</v>
      </c>
      <c r="C15109" s="19" t="s">
        <v>14819</v>
      </c>
      <c r="D15109" s="19" t="s">
        <v>30499</v>
      </c>
      <c r="E15109" s="19" t="s">
        <v>35261</v>
      </c>
      <c r="F15109" s="19" t="s">
        <v>36018</v>
      </c>
      <c r="G15109" s="33" t="str">
        <f>"78503"</f>
        <v>78503</v>
      </c>
      <c r="H15109" s="34" t="s">
        <v>36592</v>
      </c>
      <c r="I15109" s="35">
        <v>20.263000000000002</v>
      </c>
      <c r="J15109" s="47" t="s">
        <v>8</v>
      </c>
      <c r="K15109" s="23" t="s">
        <v>8</v>
      </c>
      <c r="L15109" s="23" t="s">
        <v>8</v>
      </c>
      <c r="M15109" s="23" t="s">
        <v>8</v>
      </c>
    </row>
    <row r="15110" spans="1:13" s="21" customFormat="1" x14ac:dyDescent="0.25">
      <c r="A15110" s="22" t="s">
        <v>8</v>
      </c>
      <c r="B15110" s="18" t="str">
        <f>"676064"</f>
        <v>676064</v>
      </c>
      <c r="C15110" s="19" t="s">
        <v>14820</v>
      </c>
      <c r="D15110" s="19" t="s">
        <v>30500</v>
      </c>
      <c r="E15110" s="19" t="s">
        <v>35281</v>
      </c>
      <c r="F15110" s="19" t="s">
        <v>36018</v>
      </c>
      <c r="G15110" s="33" t="str">
        <f>"77494"</f>
        <v>77494</v>
      </c>
      <c r="H15110" s="34" t="s">
        <v>36826</v>
      </c>
      <c r="I15110" s="35">
        <v>17.858000000000001</v>
      </c>
      <c r="J15110" s="47" t="s">
        <v>8</v>
      </c>
      <c r="K15110" s="23" t="s">
        <v>8</v>
      </c>
      <c r="L15110" s="23" t="s">
        <v>8</v>
      </c>
      <c r="M15110" s="23" t="s">
        <v>8</v>
      </c>
    </row>
    <row r="15111" spans="1:13" s="21" customFormat="1" x14ac:dyDescent="0.25">
      <c r="A15111" s="22" t="s">
        <v>8</v>
      </c>
      <c r="B15111" s="18" t="str">
        <f>"676066"</f>
        <v>676066</v>
      </c>
      <c r="C15111" s="19" t="s">
        <v>14821</v>
      </c>
      <c r="D15111" s="19" t="s">
        <v>30501</v>
      </c>
      <c r="E15111" s="19" t="s">
        <v>33493</v>
      </c>
      <c r="F15111" s="19" t="s">
        <v>36018</v>
      </c>
      <c r="G15111" s="33" t="str">
        <f>"77077"</f>
        <v>77077</v>
      </c>
      <c r="H15111" s="34" t="s">
        <v>34183</v>
      </c>
      <c r="I15111" s="35">
        <v>17.056000000000001</v>
      </c>
      <c r="J15111" s="47" t="s">
        <v>8</v>
      </c>
      <c r="K15111" s="23" t="s">
        <v>8</v>
      </c>
      <c r="L15111" s="23" t="s">
        <v>8</v>
      </c>
      <c r="M15111" s="23" t="s">
        <v>8</v>
      </c>
    </row>
    <row r="15112" spans="1:13" s="21" customFormat="1" x14ac:dyDescent="0.25">
      <c r="A15112" s="22" t="s">
        <v>8</v>
      </c>
      <c r="B15112" s="18" t="str">
        <f>"676067"</f>
        <v>676067</v>
      </c>
      <c r="C15112" s="19" t="s">
        <v>14822</v>
      </c>
      <c r="D15112" s="19" t="s">
        <v>30502</v>
      </c>
      <c r="E15112" s="19" t="s">
        <v>35245</v>
      </c>
      <c r="F15112" s="19" t="s">
        <v>36018</v>
      </c>
      <c r="G15112" s="33" t="str">
        <f>"76132"</f>
        <v>76132</v>
      </c>
      <c r="H15112" s="34" t="s">
        <v>36806</v>
      </c>
      <c r="I15112" s="35">
        <v>19.988</v>
      </c>
      <c r="J15112" s="47" t="s">
        <v>8</v>
      </c>
      <c r="K15112" s="23" t="s">
        <v>8</v>
      </c>
      <c r="L15112" s="23" t="s">
        <v>8</v>
      </c>
      <c r="M15112" s="23" t="s">
        <v>8</v>
      </c>
    </row>
    <row r="15113" spans="1:13" s="21" customFormat="1" x14ac:dyDescent="0.25">
      <c r="A15113" s="22" t="s">
        <v>8</v>
      </c>
      <c r="B15113" s="18" t="str">
        <f>"676068"</f>
        <v>676068</v>
      </c>
      <c r="C15113" s="19" t="s">
        <v>14823</v>
      </c>
      <c r="D15113" s="19" t="s">
        <v>30503</v>
      </c>
      <c r="E15113" s="19" t="s">
        <v>35241</v>
      </c>
      <c r="F15113" s="19" t="s">
        <v>36018</v>
      </c>
      <c r="G15113" s="33" t="str">
        <f>"76901"</f>
        <v>76901</v>
      </c>
      <c r="H15113" s="34" t="s">
        <v>36802</v>
      </c>
      <c r="I15113" s="35">
        <v>19.591000000000001</v>
      </c>
      <c r="J15113" s="47" t="s">
        <v>8</v>
      </c>
      <c r="K15113" s="23" t="s">
        <v>8</v>
      </c>
      <c r="L15113" s="23" t="s">
        <v>8</v>
      </c>
      <c r="M15113" s="23" t="s">
        <v>8</v>
      </c>
    </row>
    <row r="15114" spans="1:13" s="21" customFormat="1" x14ac:dyDescent="0.25">
      <c r="A15114" s="22" t="s">
        <v>8</v>
      </c>
      <c r="B15114" s="18" t="str">
        <f>"676069"</f>
        <v>676069</v>
      </c>
      <c r="C15114" s="19" t="s">
        <v>14824</v>
      </c>
      <c r="D15114" s="19" t="s">
        <v>30504</v>
      </c>
      <c r="E15114" s="19" t="s">
        <v>31021</v>
      </c>
      <c r="F15114" s="19" t="s">
        <v>36018</v>
      </c>
      <c r="G15114" s="33" t="str">
        <f>"75503"</f>
        <v>75503</v>
      </c>
      <c r="H15114" s="34" t="s">
        <v>32980</v>
      </c>
      <c r="I15114" s="35">
        <v>21.707000000000001</v>
      </c>
      <c r="J15114" s="47" t="s">
        <v>8</v>
      </c>
      <c r="K15114" s="23" t="s">
        <v>8</v>
      </c>
      <c r="L15114" s="23" t="s">
        <v>8</v>
      </c>
      <c r="M15114" s="23" t="s">
        <v>8</v>
      </c>
    </row>
    <row r="15115" spans="1:13" s="21" customFormat="1" x14ac:dyDescent="0.25">
      <c r="A15115" s="22" t="s">
        <v>8</v>
      </c>
      <c r="B15115" s="18" t="str">
        <f>"676071"</f>
        <v>676071</v>
      </c>
      <c r="C15115" s="19" t="s">
        <v>14825</v>
      </c>
      <c r="D15115" s="19" t="s">
        <v>30505</v>
      </c>
      <c r="E15115" s="19" t="s">
        <v>35810</v>
      </c>
      <c r="F15115" s="19" t="s">
        <v>36018</v>
      </c>
      <c r="G15115" s="33" t="str">
        <f>"76642"</f>
        <v>76642</v>
      </c>
      <c r="H15115" s="34" t="s">
        <v>35216</v>
      </c>
      <c r="I15115" s="35">
        <v>19.635999999999999</v>
      </c>
      <c r="J15115" s="47" t="s">
        <v>8</v>
      </c>
      <c r="K15115" s="23" t="s">
        <v>8</v>
      </c>
      <c r="L15115" s="23" t="s">
        <v>8</v>
      </c>
      <c r="M15115" s="23" t="s">
        <v>8</v>
      </c>
    </row>
    <row r="15116" spans="1:13" s="21" customFormat="1" x14ac:dyDescent="0.25">
      <c r="A15116" s="22" t="s">
        <v>8</v>
      </c>
      <c r="B15116" s="18" t="str">
        <f>"676072"</f>
        <v>676072</v>
      </c>
      <c r="C15116" s="19" t="s">
        <v>14826</v>
      </c>
      <c r="D15116" s="19" t="s">
        <v>30506</v>
      </c>
      <c r="E15116" s="19" t="s">
        <v>35939</v>
      </c>
      <c r="F15116" s="19" t="s">
        <v>36018</v>
      </c>
      <c r="G15116" s="33" t="str">
        <f>"75939"</f>
        <v>75939</v>
      </c>
      <c r="H15116" s="34" t="s">
        <v>36062</v>
      </c>
      <c r="I15116" s="35">
        <v>18.393999999999998</v>
      </c>
      <c r="J15116" s="47" t="s">
        <v>8</v>
      </c>
      <c r="K15116" s="23" t="s">
        <v>8</v>
      </c>
      <c r="L15116" s="23" t="s">
        <v>8</v>
      </c>
      <c r="M15116" s="23" t="s">
        <v>8</v>
      </c>
    </row>
    <row r="15117" spans="1:13" s="21" customFormat="1" x14ac:dyDescent="0.25">
      <c r="A15117" s="22" t="s">
        <v>8</v>
      </c>
      <c r="B15117" s="18" t="str">
        <f>"676073"</f>
        <v>676073</v>
      </c>
      <c r="C15117" s="19" t="s">
        <v>14827</v>
      </c>
      <c r="D15117" s="19" t="s">
        <v>30507</v>
      </c>
      <c r="E15117" s="19" t="s">
        <v>35294</v>
      </c>
      <c r="F15117" s="19" t="s">
        <v>36018</v>
      </c>
      <c r="G15117" s="33" t="str">
        <f>"77459"</f>
        <v>77459</v>
      </c>
      <c r="H15117" s="34" t="s">
        <v>36826</v>
      </c>
      <c r="I15117" s="35">
        <v>20.36</v>
      </c>
      <c r="J15117" s="47" t="s">
        <v>8</v>
      </c>
      <c r="K15117" s="23" t="s">
        <v>8</v>
      </c>
      <c r="L15117" s="23" t="s">
        <v>8</v>
      </c>
      <c r="M15117" s="23" t="s">
        <v>8</v>
      </c>
    </row>
    <row r="15118" spans="1:13" s="21" customFormat="1" x14ac:dyDescent="0.25">
      <c r="A15118" s="22" t="s">
        <v>8</v>
      </c>
      <c r="B15118" s="18" t="str">
        <f>"676074"</f>
        <v>676074</v>
      </c>
      <c r="C15118" s="19" t="s">
        <v>14828</v>
      </c>
      <c r="D15118" s="19" t="s">
        <v>30508</v>
      </c>
      <c r="E15118" s="19" t="s">
        <v>35816</v>
      </c>
      <c r="F15118" s="19" t="s">
        <v>36018</v>
      </c>
      <c r="G15118" s="33" t="str">
        <f>"76692"</f>
        <v>76692</v>
      </c>
      <c r="H15118" s="34" t="s">
        <v>36533</v>
      </c>
      <c r="I15118" s="35">
        <v>18.795000000000002</v>
      </c>
      <c r="J15118" s="47" t="s">
        <v>8</v>
      </c>
      <c r="K15118" s="23" t="s">
        <v>8</v>
      </c>
      <c r="L15118" s="23" t="s">
        <v>8</v>
      </c>
      <c r="M15118" s="23" t="s">
        <v>8</v>
      </c>
    </row>
    <row r="15119" spans="1:13" s="21" customFormat="1" x14ac:dyDescent="0.25">
      <c r="A15119" s="22" t="s">
        <v>8</v>
      </c>
      <c r="B15119" s="18" t="str">
        <f>"676075"</f>
        <v>676075</v>
      </c>
      <c r="C15119" s="19" t="s">
        <v>14829</v>
      </c>
      <c r="D15119" s="19" t="s">
        <v>30509</v>
      </c>
      <c r="E15119" s="19" t="s">
        <v>35242</v>
      </c>
      <c r="F15119" s="19" t="s">
        <v>36018</v>
      </c>
      <c r="G15119" s="33" t="str">
        <f>"78624"</f>
        <v>78624</v>
      </c>
      <c r="H15119" s="34" t="s">
        <v>31975</v>
      </c>
      <c r="I15119" s="35">
        <v>18.789000000000001</v>
      </c>
      <c r="J15119" s="47" t="s">
        <v>8</v>
      </c>
      <c r="K15119" s="23" t="s">
        <v>8</v>
      </c>
      <c r="L15119" s="23" t="s">
        <v>8</v>
      </c>
      <c r="M15119" s="23" t="s">
        <v>8</v>
      </c>
    </row>
    <row r="15120" spans="1:13" s="21" customFormat="1" x14ac:dyDescent="0.25">
      <c r="A15120" s="22" t="s">
        <v>8</v>
      </c>
      <c r="B15120" s="18" t="str">
        <f>"676077"</f>
        <v>676077</v>
      </c>
      <c r="C15120" s="19" t="s">
        <v>14830</v>
      </c>
      <c r="D15120" s="19" t="s">
        <v>30510</v>
      </c>
      <c r="E15120" s="19" t="s">
        <v>35940</v>
      </c>
      <c r="F15120" s="19" t="s">
        <v>36018</v>
      </c>
      <c r="G15120" s="33" t="str">
        <f>"79502"</f>
        <v>79502</v>
      </c>
      <c r="H15120" s="34" t="s">
        <v>36978</v>
      </c>
      <c r="I15120" s="35">
        <v>18.864000000000001</v>
      </c>
      <c r="J15120" s="47" t="s">
        <v>8</v>
      </c>
      <c r="K15120" s="23" t="s">
        <v>8</v>
      </c>
      <c r="L15120" s="23" t="s">
        <v>8</v>
      </c>
      <c r="M15120" s="23" t="s">
        <v>8</v>
      </c>
    </row>
    <row r="15121" spans="1:13" s="21" customFormat="1" x14ac:dyDescent="0.25">
      <c r="A15121" s="22" t="s">
        <v>8</v>
      </c>
      <c r="B15121" s="18" t="str">
        <f>"676079"</f>
        <v>676079</v>
      </c>
      <c r="C15121" s="19" t="s">
        <v>14831</v>
      </c>
      <c r="D15121" s="19" t="s">
        <v>30511</v>
      </c>
      <c r="E15121" s="19" t="s">
        <v>35941</v>
      </c>
      <c r="F15121" s="19" t="s">
        <v>36018</v>
      </c>
      <c r="G15121" s="33" t="str">
        <f>"79347"</f>
        <v>79347</v>
      </c>
      <c r="H15121" s="34" t="s">
        <v>36979</v>
      </c>
      <c r="I15121" s="35">
        <v>20.609000000000002</v>
      </c>
      <c r="J15121" s="47" t="s">
        <v>8</v>
      </c>
      <c r="K15121" s="23" t="s">
        <v>8</v>
      </c>
      <c r="L15121" s="23" t="s">
        <v>8</v>
      </c>
      <c r="M15121" s="23" t="s">
        <v>8</v>
      </c>
    </row>
    <row r="15122" spans="1:13" s="21" customFormat="1" x14ac:dyDescent="0.25">
      <c r="A15122" s="22" t="s">
        <v>8</v>
      </c>
      <c r="B15122" s="18" t="str">
        <f>"676080"</f>
        <v>676080</v>
      </c>
      <c r="C15122" s="19" t="s">
        <v>14832</v>
      </c>
      <c r="D15122" s="19" t="s">
        <v>30512</v>
      </c>
      <c r="E15122" s="19" t="s">
        <v>33116</v>
      </c>
      <c r="F15122" s="19" t="s">
        <v>36018</v>
      </c>
      <c r="G15122" s="33" t="str">
        <f>"76015"</f>
        <v>76015</v>
      </c>
      <c r="H15122" s="34" t="s">
        <v>36806</v>
      </c>
      <c r="I15122" s="35">
        <v>18.119</v>
      </c>
      <c r="J15122" s="47" t="s">
        <v>8</v>
      </c>
      <c r="K15122" s="23" t="s">
        <v>8</v>
      </c>
      <c r="L15122" s="23" t="s">
        <v>8</v>
      </c>
      <c r="M15122" s="23" t="s">
        <v>8</v>
      </c>
    </row>
    <row r="15123" spans="1:13" s="21" customFormat="1" x14ac:dyDescent="0.25">
      <c r="A15123" s="22" t="s">
        <v>8</v>
      </c>
      <c r="B15123" s="18" t="str">
        <f>"676081"</f>
        <v>676081</v>
      </c>
      <c r="C15123" s="19" t="s">
        <v>14833</v>
      </c>
      <c r="D15123" s="19" t="s">
        <v>30513</v>
      </c>
      <c r="E15123" s="19" t="s">
        <v>33493</v>
      </c>
      <c r="F15123" s="19" t="s">
        <v>36018</v>
      </c>
      <c r="G15123" s="33" t="str">
        <f>"77049"</f>
        <v>77049</v>
      </c>
      <c r="H15123" s="34" t="s">
        <v>34183</v>
      </c>
      <c r="I15123" s="35">
        <v>21.850999999999999</v>
      </c>
      <c r="J15123" s="47" t="s">
        <v>8</v>
      </c>
      <c r="K15123" s="23" t="s">
        <v>8</v>
      </c>
      <c r="L15123" s="23" t="s">
        <v>8</v>
      </c>
      <c r="M15123" s="23" t="s">
        <v>8</v>
      </c>
    </row>
    <row r="15124" spans="1:13" s="21" customFormat="1" x14ac:dyDescent="0.25">
      <c r="A15124" s="22" t="s">
        <v>8</v>
      </c>
      <c r="B15124" s="18" t="str">
        <f>"676083"</f>
        <v>676083</v>
      </c>
      <c r="C15124" s="19" t="s">
        <v>14834</v>
      </c>
      <c r="D15124" s="19" t="s">
        <v>30514</v>
      </c>
      <c r="E15124" s="19" t="s">
        <v>32762</v>
      </c>
      <c r="F15124" s="19" t="s">
        <v>36018</v>
      </c>
      <c r="G15124" s="33" t="str">
        <f>"78520"</f>
        <v>78520</v>
      </c>
      <c r="H15124" s="34" t="s">
        <v>33578</v>
      </c>
      <c r="I15124" s="35">
        <v>20.199000000000002</v>
      </c>
      <c r="J15124" s="47" t="s">
        <v>8</v>
      </c>
      <c r="K15124" s="23" t="s">
        <v>8</v>
      </c>
      <c r="L15124" s="23" t="s">
        <v>8</v>
      </c>
      <c r="M15124" s="23" t="s">
        <v>8</v>
      </c>
    </row>
    <row r="15125" spans="1:13" s="21" customFormat="1" x14ac:dyDescent="0.25">
      <c r="A15125" s="22" t="s">
        <v>8</v>
      </c>
      <c r="B15125" s="18" t="str">
        <f>"676084"</f>
        <v>676084</v>
      </c>
      <c r="C15125" s="19" t="s">
        <v>14835</v>
      </c>
      <c r="D15125" s="19" t="s">
        <v>30515</v>
      </c>
      <c r="E15125" s="19" t="s">
        <v>35244</v>
      </c>
      <c r="F15125" s="19" t="s">
        <v>36018</v>
      </c>
      <c r="G15125" s="33" t="str">
        <f>"78229"</f>
        <v>78229</v>
      </c>
      <c r="H15125" s="34" t="s">
        <v>36805</v>
      </c>
      <c r="I15125" s="35">
        <v>19.821999999999999</v>
      </c>
      <c r="J15125" s="47" t="s">
        <v>8</v>
      </c>
      <c r="K15125" s="23" t="s">
        <v>8</v>
      </c>
      <c r="L15125" s="23" t="s">
        <v>8</v>
      </c>
      <c r="M15125" s="23" t="s">
        <v>8</v>
      </c>
    </row>
    <row r="15126" spans="1:13" s="21" customFormat="1" x14ac:dyDescent="0.25">
      <c r="A15126" s="22" t="s">
        <v>8</v>
      </c>
      <c r="B15126" s="18" t="str">
        <f>"676085"</f>
        <v>676085</v>
      </c>
      <c r="C15126" s="19" t="s">
        <v>14836</v>
      </c>
      <c r="D15126" s="19" t="s">
        <v>30516</v>
      </c>
      <c r="E15126" s="19" t="s">
        <v>35247</v>
      </c>
      <c r="F15126" s="19" t="s">
        <v>36018</v>
      </c>
      <c r="G15126" s="33" t="str">
        <f>"79106"</f>
        <v>79106</v>
      </c>
      <c r="H15126" s="34" t="s">
        <v>36736</v>
      </c>
      <c r="I15126" s="35">
        <v>20.446999999999999</v>
      </c>
      <c r="J15126" s="47" t="s">
        <v>8</v>
      </c>
      <c r="K15126" s="23" t="s">
        <v>8</v>
      </c>
      <c r="L15126" s="23" t="s">
        <v>8</v>
      </c>
      <c r="M15126" s="23" t="s">
        <v>8</v>
      </c>
    </row>
    <row r="15127" spans="1:13" s="21" customFormat="1" x14ac:dyDescent="0.25">
      <c r="A15127" s="22" t="s">
        <v>8</v>
      </c>
      <c r="B15127" s="18" t="str">
        <f>"676086"</f>
        <v>676086</v>
      </c>
      <c r="C15127" s="19" t="s">
        <v>14837</v>
      </c>
      <c r="D15127" s="19" t="s">
        <v>30517</v>
      </c>
      <c r="E15127" s="19" t="s">
        <v>35843</v>
      </c>
      <c r="F15127" s="19" t="s">
        <v>36018</v>
      </c>
      <c r="G15127" s="33" t="str">
        <f>"76844"</f>
        <v>76844</v>
      </c>
      <c r="H15127" s="34" t="s">
        <v>36292</v>
      </c>
      <c r="I15127" s="35">
        <v>19.077999999999999</v>
      </c>
      <c r="J15127" s="47" t="s">
        <v>8</v>
      </c>
      <c r="K15127" s="23" t="s">
        <v>8</v>
      </c>
      <c r="L15127" s="23" t="s">
        <v>8</v>
      </c>
      <c r="M15127" s="23" t="s">
        <v>8</v>
      </c>
    </row>
    <row r="15128" spans="1:13" s="21" customFormat="1" x14ac:dyDescent="0.25">
      <c r="A15128" s="22" t="s">
        <v>8</v>
      </c>
      <c r="B15128" s="18" t="str">
        <f>"676087"</f>
        <v>676087</v>
      </c>
      <c r="C15128" s="19" t="s">
        <v>14838</v>
      </c>
      <c r="D15128" s="19" t="s">
        <v>30518</v>
      </c>
      <c r="E15128" s="19" t="s">
        <v>35243</v>
      </c>
      <c r="F15128" s="19" t="s">
        <v>36018</v>
      </c>
      <c r="G15128" s="33" t="str">
        <f>"78414"</f>
        <v>78414</v>
      </c>
      <c r="H15128" s="34" t="s">
        <v>36804</v>
      </c>
      <c r="I15128" s="35">
        <v>19.097999999999999</v>
      </c>
      <c r="J15128" s="47" t="s">
        <v>8</v>
      </c>
      <c r="K15128" s="23" t="s">
        <v>8</v>
      </c>
      <c r="L15128" s="23" t="s">
        <v>8</v>
      </c>
      <c r="M15128" s="23" t="s">
        <v>8</v>
      </c>
    </row>
    <row r="15129" spans="1:13" s="21" customFormat="1" x14ac:dyDescent="0.25">
      <c r="A15129" s="22" t="s">
        <v>8</v>
      </c>
      <c r="B15129" s="18" t="str">
        <f>"676089"</f>
        <v>676089</v>
      </c>
      <c r="C15129" s="19" t="s">
        <v>14839</v>
      </c>
      <c r="D15129" s="19" t="s">
        <v>30519</v>
      </c>
      <c r="E15129" s="19" t="s">
        <v>33578</v>
      </c>
      <c r="F15129" s="19" t="s">
        <v>36018</v>
      </c>
      <c r="G15129" s="33" t="str">
        <f>"76520"</f>
        <v>76520</v>
      </c>
      <c r="H15129" s="34" t="s">
        <v>36980</v>
      </c>
      <c r="I15129" s="35">
        <v>17.547999999999998</v>
      </c>
      <c r="J15129" s="47" t="s">
        <v>8</v>
      </c>
      <c r="K15129" s="23" t="s">
        <v>8</v>
      </c>
      <c r="L15129" s="23" t="s">
        <v>8</v>
      </c>
      <c r="M15129" s="23" t="s">
        <v>8</v>
      </c>
    </row>
    <row r="15130" spans="1:13" s="21" customFormat="1" x14ac:dyDescent="0.25">
      <c r="A15130" s="22" t="s">
        <v>8</v>
      </c>
      <c r="B15130" s="18" t="str">
        <f>"676090"</f>
        <v>676090</v>
      </c>
      <c r="C15130" s="19" t="s">
        <v>14840</v>
      </c>
      <c r="D15130" s="19" t="s">
        <v>30520</v>
      </c>
      <c r="E15130" s="19" t="s">
        <v>32593</v>
      </c>
      <c r="F15130" s="19" t="s">
        <v>36018</v>
      </c>
      <c r="G15130" s="33" t="str">
        <f>"79606"</f>
        <v>79606</v>
      </c>
      <c r="H15130" s="34" t="s">
        <v>31080</v>
      </c>
      <c r="I15130" s="35">
        <v>16.957999999999998</v>
      </c>
      <c r="J15130" s="47" t="s">
        <v>8</v>
      </c>
      <c r="K15130" s="23" t="s">
        <v>8</v>
      </c>
      <c r="L15130" s="23" t="s">
        <v>8</v>
      </c>
      <c r="M15130" s="23" t="s">
        <v>8</v>
      </c>
    </row>
    <row r="15131" spans="1:13" s="21" customFormat="1" x14ac:dyDescent="0.25">
      <c r="A15131" s="22" t="s">
        <v>8</v>
      </c>
      <c r="B15131" s="18" t="str">
        <f>"676091"</f>
        <v>676091</v>
      </c>
      <c r="C15131" s="19" t="s">
        <v>14841</v>
      </c>
      <c r="D15131" s="19" t="s">
        <v>30521</v>
      </c>
      <c r="E15131" s="19" t="s">
        <v>35241</v>
      </c>
      <c r="F15131" s="19" t="s">
        <v>36018</v>
      </c>
      <c r="G15131" s="33" t="str">
        <f>"76903"</f>
        <v>76903</v>
      </c>
      <c r="H15131" s="34" t="s">
        <v>36802</v>
      </c>
      <c r="I15131" s="35">
        <v>17.981999999999999</v>
      </c>
      <c r="J15131" s="47" t="s">
        <v>8</v>
      </c>
      <c r="K15131" s="23" t="s">
        <v>8</v>
      </c>
      <c r="L15131" s="23" t="s">
        <v>8</v>
      </c>
      <c r="M15131" s="23" t="s">
        <v>8</v>
      </c>
    </row>
    <row r="15132" spans="1:13" s="21" customFormat="1" x14ac:dyDescent="0.25">
      <c r="A15132" s="22" t="s">
        <v>8</v>
      </c>
      <c r="B15132" s="18" t="str">
        <f>"676092"</f>
        <v>676092</v>
      </c>
      <c r="C15132" s="19" t="s">
        <v>14842</v>
      </c>
      <c r="D15132" s="19" t="s">
        <v>30522</v>
      </c>
      <c r="E15132" s="19" t="s">
        <v>30912</v>
      </c>
      <c r="F15132" s="19" t="s">
        <v>36018</v>
      </c>
      <c r="G15132" s="33" t="str">
        <f>"75766"</f>
        <v>75766</v>
      </c>
      <c r="H15132" s="34" t="s">
        <v>32436</v>
      </c>
      <c r="I15132" s="35">
        <v>18.085000000000001</v>
      </c>
      <c r="J15132" s="47" t="s">
        <v>8</v>
      </c>
      <c r="K15132" s="23" t="s">
        <v>8</v>
      </c>
      <c r="L15132" s="23" t="s">
        <v>8</v>
      </c>
      <c r="M15132" s="23" t="s">
        <v>8</v>
      </c>
    </row>
    <row r="15133" spans="1:13" s="21" customFormat="1" x14ac:dyDescent="0.25">
      <c r="A15133" s="22" t="s">
        <v>8</v>
      </c>
      <c r="B15133" s="18" t="str">
        <f>"676093"</f>
        <v>676093</v>
      </c>
      <c r="C15133" s="19" t="s">
        <v>14843</v>
      </c>
      <c r="D15133" s="19" t="s">
        <v>30523</v>
      </c>
      <c r="E15133" s="19" t="s">
        <v>35942</v>
      </c>
      <c r="F15133" s="19" t="s">
        <v>36018</v>
      </c>
      <c r="G15133" s="33" t="str">
        <f>"76567"</f>
        <v>76567</v>
      </c>
      <c r="H15133" s="34" t="s">
        <v>36980</v>
      </c>
      <c r="I15133" s="35">
        <v>18.82</v>
      </c>
      <c r="J15133" s="47" t="s">
        <v>8</v>
      </c>
      <c r="K15133" s="23" t="s">
        <v>8</v>
      </c>
      <c r="L15133" s="23" t="s">
        <v>8</v>
      </c>
      <c r="M15133" s="23" t="s">
        <v>8</v>
      </c>
    </row>
    <row r="15134" spans="1:13" s="21" customFormat="1" x14ac:dyDescent="0.25">
      <c r="A15134" s="22" t="s">
        <v>8</v>
      </c>
      <c r="B15134" s="18" t="str">
        <f>"676094"</f>
        <v>676094</v>
      </c>
      <c r="C15134" s="19" t="s">
        <v>14844</v>
      </c>
      <c r="D15134" s="19" t="s">
        <v>30524</v>
      </c>
      <c r="E15134" s="19" t="s">
        <v>31169</v>
      </c>
      <c r="F15134" s="19" t="s">
        <v>36018</v>
      </c>
      <c r="G15134" s="33" t="str">
        <f>"77630"</f>
        <v>77630</v>
      </c>
      <c r="H15134" s="34" t="s">
        <v>31169</v>
      </c>
      <c r="I15134" s="35">
        <v>19.614999999999998</v>
      </c>
      <c r="J15134" s="47" t="s">
        <v>8</v>
      </c>
      <c r="K15134" s="23" t="s">
        <v>8</v>
      </c>
      <c r="L15134" s="23" t="s">
        <v>8</v>
      </c>
      <c r="M15134" s="23" t="s">
        <v>8</v>
      </c>
    </row>
    <row r="15135" spans="1:13" s="21" customFormat="1" x14ac:dyDescent="0.25">
      <c r="A15135" s="22" t="s">
        <v>8</v>
      </c>
      <c r="B15135" s="18" t="str">
        <f>"676095"</f>
        <v>676095</v>
      </c>
      <c r="C15135" s="19" t="s">
        <v>14845</v>
      </c>
      <c r="D15135" s="19" t="s">
        <v>30525</v>
      </c>
      <c r="E15135" s="19" t="s">
        <v>33383</v>
      </c>
      <c r="F15135" s="19" t="s">
        <v>36018</v>
      </c>
      <c r="G15135" s="33" t="str">
        <f>"78748"</f>
        <v>78748</v>
      </c>
      <c r="H15135" s="34" t="s">
        <v>36817</v>
      </c>
      <c r="I15135" s="35">
        <v>20.047999999999998</v>
      </c>
      <c r="J15135" s="47" t="s">
        <v>8</v>
      </c>
      <c r="K15135" s="23" t="s">
        <v>8</v>
      </c>
      <c r="L15135" s="23" t="s">
        <v>8</v>
      </c>
      <c r="M15135" s="23" t="s">
        <v>8</v>
      </c>
    </row>
    <row r="15136" spans="1:13" s="21" customFormat="1" x14ac:dyDescent="0.25">
      <c r="A15136" s="22" t="s">
        <v>8</v>
      </c>
      <c r="B15136" s="18" t="str">
        <f>"676096"</f>
        <v>676096</v>
      </c>
      <c r="C15136" s="19" t="s">
        <v>14846</v>
      </c>
      <c r="D15136" s="19" t="s">
        <v>30526</v>
      </c>
      <c r="E15136" s="19" t="s">
        <v>35787</v>
      </c>
      <c r="F15136" s="19" t="s">
        <v>36018</v>
      </c>
      <c r="G15136" s="33" t="str">
        <f>"75070"</f>
        <v>75070</v>
      </c>
      <c r="H15136" s="34" t="s">
        <v>36828</v>
      </c>
      <c r="I15136" s="35">
        <v>20.265999999999998</v>
      </c>
      <c r="J15136" s="47" t="s">
        <v>8</v>
      </c>
      <c r="K15136" s="23" t="s">
        <v>8</v>
      </c>
      <c r="L15136" s="23" t="s">
        <v>8</v>
      </c>
      <c r="M15136" s="23" t="s">
        <v>8</v>
      </c>
    </row>
    <row r="15137" spans="1:13" s="21" customFormat="1" x14ac:dyDescent="0.25">
      <c r="A15137" s="22" t="s">
        <v>8</v>
      </c>
      <c r="B15137" s="18" t="str">
        <f>"676097"</f>
        <v>676097</v>
      </c>
      <c r="C15137" s="19" t="s">
        <v>14847</v>
      </c>
      <c r="D15137" s="19" t="s">
        <v>30527</v>
      </c>
      <c r="E15137" s="19" t="s">
        <v>35846</v>
      </c>
      <c r="F15137" s="19" t="s">
        <v>36018</v>
      </c>
      <c r="G15137" s="33" t="str">
        <f>"77868"</f>
        <v>77868</v>
      </c>
      <c r="H15137" s="34" t="s">
        <v>32547</v>
      </c>
      <c r="I15137" s="35">
        <v>20.413</v>
      </c>
      <c r="J15137" s="47" t="s">
        <v>8</v>
      </c>
      <c r="K15137" s="23" t="s">
        <v>8</v>
      </c>
      <c r="L15137" s="23" t="s">
        <v>8</v>
      </c>
      <c r="M15137" s="23" t="s">
        <v>8</v>
      </c>
    </row>
    <row r="15138" spans="1:13" s="21" customFormat="1" x14ac:dyDescent="0.25">
      <c r="A15138" s="22" t="s">
        <v>8</v>
      </c>
      <c r="B15138" s="18" t="str">
        <f>"676098"</f>
        <v>676098</v>
      </c>
      <c r="C15138" s="19" t="s">
        <v>14848</v>
      </c>
      <c r="D15138" s="19" t="s">
        <v>30528</v>
      </c>
      <c r="E15138" s="19" t="s">
        <v>35806</v>
      </c>
      <c r="F15138" s="19" t="s">
        <v>36018</v>
      </c>
      <c r="G15138" s="33" t="str">
        <f>"75080"</f>
        <v>75080</v>
      </c>
      <c r="H15138" s="34" t="s">
        <v>31723</v>
      </c>
      <c r="I15138" s="35">
        <v>21.809000000000001</v>
      </c>
      <c r="J15138" s="47" t="s">
        <v>8</v>
      </c>
      <c r="K15138" s="23" t="s">
        <v>8</v>
      </c>
      <c r="L15138" s="23" t="s">
        <v>8</v>
      </c>
      <c r="M15138" s="23" t="s">
        <v>8</v>
      </c>
    </row>
    <row r="15139" spans="1:13" s="21" customFormat="1" x14ac:dyDescent="0.25">
      <c r="A15139" s="22" t="s">
        <v>8</v>
      </c>
      <c r="B15139" s="18" t="str">
        <f>"676099"</f>
        <v>676099</v>
      </c>
      <c r="C15139" s="19" t="s">
        <v>14849</v>
      </c>
      <c r="D15139" s="19" t="s">
        <v>30529</v>
      </c>
      <c r="E15139" s="19" t="s">
        <v>33383</v>
      </c>
      <c r="F15139" s="19" t="s">
        <v>36018</v>
      </c>
      <c r="G15139" s="33" t="str">
        <f>"78731"</f>
        <v>78731</v>
      </c>
      <c r="H15139" s="34" t="s">
        <v>36817</v>
      </c>
      <c r="I15139" s="35">
        <v>16.649999999999999</v>
      </c>
      <c r="J15139" s="47" t="s">
        <v>8</v>
      </c>
      <c r="K15139" s="23" t="s">
        <v>8</v>
      </c>
      <c r="L15139" s="23" t="s">
        <v>8</v>
      </c>
      <c r="M15139" s="23" t="s">
        <v>8</v>
      </c>
    </row>
    <row r="15140" spans="1:13" s="21" customFormat="1" x14ac:dyDescent="0.25">
      <c r="A15140" s="22" t="s">
        <v>8</v>
      </c>
      <c r="B15140" s="18" t="str">
        <f>"676100"</f>
        <v>676100</v>
      </c>
      <c r="C15140" s="19" t="s">
        <v>14850</v>
      </c>
      <c r="D15140" s="19" t="s">
        <v>30530</v>
      </c>
      <c r="E15140" s="19" t="s">
        <v>35241</v>
      </c>
      <c r="F15140" s="19" t="s">
        <v>36018</v>
      </c>
      <c r="G15140" s="33" t="str">
        <f>"76904"</f>
        <v>76904</v>
      </c>
      <c r="H15140" s="34" t="s">
        <v>36802</v>
      </c>
      <c r="I15140" s="35">
        <v>21.597999999999999</v>
      </c>
      <c r="J15140" s="47" t="s">
        <v>8</v>
      </c>
      <c r="K15140" s="23" t="s">
        <v>8</v>
      </c>
      <c r="L15140" s="23" t="s">
        <v>8</v>
      </c>
      <c r="M15140" s="23" t="s">
        <v>8</v>
      </c>
    </row>
    <row r="15141" spans="1:13" s="21" customFormat="1" x14ac:dyDescent="0.25">
      <c r="A15141" s="22" t="s">
        <v>8</v>
      </c>
      <c r="B15141" s="18" t="str">
        <f>"676101"</f>
        <v>676101</v>
      </c>
      <c r="C15141" s="19" t="s">
        <v>14851</v>
      </c>
      <c r="D15141" s="19" t="s">
        <v>30531</v>
      </c>
      <c r="E15141" s="19" t="s">
        <v>35245</v>
      </c>
      <c r="F15141" s="19" t="s">
        <v>36018</v>
      </c>
      <c r="G15141" s="33" t="str">
        <f>"76116"</f>
        <v>76116</v>
      </c>
      <c r="H15141" s="34" t="s">
        <v>36806</v>
      </c>
      <c r="I15141" s="35">
        <v>16.565999999999999</v>
      </c>
      <c r="J15141" s="47" t="s">
        <v>8</v>
      </c>
      <c r="K15141" s="23" t="s">
        <v>8</v>
      </c>
      <c r="L15141" s="23" t="s">
        <v>8</v>
      </c>
      <c r="M15141" s="23" t="s">
        <v>8</v>
      </c>
    </row>
    <row r="15142" spans="1:13" s="21" customFormat="1" x14ac:dyDescent="0.25">
      <c r="A15142" s="22" t="s">
        <v>8</v>
      </c>
      <c r="B15142" s="18" t="str">
        <f>"676102"</f>
        <v>676102</v>
      </c>
      <c r="C15142" s="19" t="s">
        <v>14852</v>
      </c>
      <c r="D15142" s="19" t="s">
        <v>30532</v>
      </c>
      <c r="E15142" s="19" t="s">
        <v>30912</v>
      </c>
      <c r="F15142" s="19" t="s">
        <v>36018</v>
      </c>
      <c r="G15142" s="33" t="str">
        <f>"75766"</f>
        <v>75766</v>
      </c>
      <c r="H15142" s="34" t="s">
        <v>32436</v>
      </c>
      <c r="I15142" s="35">
        <v>17.315000000000001</v>
      </c>
      <c r="J15142" s="47" t="s">
        <v>8</v>
      </c>
      <c r="K15142" s="23" t="s">
        <v>8</v>
      </c>
      <c r="L15142" s="23" t="s">
        <v>8</v>
      </c>
      <c r="M15142" s="23" t="s">
        <v>8</v>
      </c>
    </row>
    <row r="15143" spans="1:13" s="21" customFormat="1" x14ac:dyDescent="0.25">
      <c r="A15143" s="22" t="s">
        <v>8</v>
      </c>
      <c r="B15143" s="18" t="str">
        <f>"676103"</f>
        <v>676103</v>
      </c>
      <c r="C15143" s="19" t="s">
        <v>14853</v>
      </c>
      <c r="D15143" s="19" t="s">
        <v>30533</v>
      </c>
      <c r="E15143" s="19" t="s">
        <v>33439</v>
      </c>
      <c r="F15143" s="19" t="s">
        <v>36018</v>
      </c>
      <c r="G15143" s="33" t="str">
        <f>"75976"</f>
        <v>75976</v>
      </c>
      <c r="H15143" s="34" t="s">
        <v>32436</v>
      </c>
      <c r="I15143" s="35">
        <v>19.225000000000001</v>
      </c>
      <c r="J15143" s="47" t="s">
        <v>8</v>
      </c>
      <c r="K15143" s="23" t="s">
        <v>8</v>
      </c>
      <c r="L15143" s="23" t="s">
        <v>8</v>
      </c>
      <c r="M15143" s="23" t="s">
        <v>8</v>
      </c>
    </row>
    <row r="15144" spans="1:13" s="21" customFormat="1" x14ac:dyDescent="0.25">
      <c r="A15144" s="22" t="s">
        <v>8</v>
      </c>
      <c r="B15144" s="18" t="str">
        <f>"676104"</f>
        <v>676104</v>
      </c>
      <c r="C15144" s="19" t="s">
        <v>14854</v>
      </c>
      <c r="D15144" s="19" t="s">
        <v>30534</v>
      </c>
      <c r="E15144" s="19" t="s">
        <v>35909</v>
      </c>
      <c r="F15144" s="19" t="s">
        <v>36018</v>
      </c>
      <c r="G15144" s="33" t="str">
        <f>"76051"</f>
        <v>76051</v>
      </c>
      <c r="H15144" s="34" t="s">
        <v>36806</v>
      </c>
      <c r="I15144" s="35">
        <v>18.143999999999998</v>
      </c>
      <c r="J15144" s="47" t="s">
        <v>8</v>
      </c>
      <c r="K15144" s="23" t="s">
        <v>8</v>
      </c>
      <c r="L15144" s="23" t="s">
        <v>8</v>
      </c>
      <c r="M15144" s="23" t="s">
        <v>8</v>
      </c>
    </row>
    <row r="15145" spans="1:13" s="21" customFormat="1" x14ac:dyDescent="0.25">
      <c r="A15145" s="22" t="s">
        <v>8</v>
      </c>
      <c r="B15145" s="18" t="str">
        <f>"676105"</f>
        <v>676105</v>
      </c>
      <c r="C15145" s="19" t="s">
        <v>14855</v>
      </c>
      <c r="D15145" s="19" t="s">
        <v>30535</v>
      </c>
      <c r="E15145" s="19" t="s">
        <v>35310</v>
      </c>
      <c r="F15145" s="19" t="s">
        <v>36018</v>
      </c>
      <c r="G15145" s="33" t="str">
        <f>"79416"</f>
        <v>79416</v>
      </c>
      <c r="H15145" s="34" t="s">
        <v>35310</v>
      </c>
      <c r="I15145" s="35">
        <v>19.442</v>
      </c>
      <c r="J15145" s="47" t="s">
        <v>8</v>
      </c>
      <c r="K15145" s="23" t="s">
        <v>8</v>
      </c>
      <c r="L15145" s="23" t="s">
        <v>8</v>
      </c>
      <c r="M15145" s="23" t="s">
        <v>8</v>
      </c>
    </row>
    <row r="15146" spans="1:13" s="21" customFormat="1" x14ac:dyDescent="0.25">
      <c r="A15146" s="22" t="s">
        <v>8</v>
      </c>
      <c r="B15146" s="18" t="str">
        <f>"676106"</f>
        <v>676106</v>
      </c>
      <c r="C15146" s="19" t="s">
        <v>14856</v>
      </c>
      <c r="D15146" s="19" t="s">
        <v>30536</v>
      </c>
      <c r="E15146" s="19" t="s">
        <v>35807</v>
      </c>
      <c r="F15146" s="19" t="s">
        <v>36018</v>
      </c>
      <c r="G15146" s="33" t="str">
        <f>"77954"</f>
        <v>77954</v>
      </c>
      <c r="H15146" s="34" t="s">
        <v>31012</v>
      </c>
      <c r="I15146" s="35">
        <v>18.065999999999999</v>
      </c>
      <c r="J15146" s="47" t="s">
        <v>8</v>
      </c>
      <c r="K15146" s="23" t="s">
        <v>8</v>
      </c>
      <c r="L15146" s="23" t="s">
        <v>8</v>
      </c>
      <c r="M15146" s="23" t="s">
        <v>8</v>
      </c>
    </row>
    <row r="15147" spans="1:13" s="21" customFormat="1" x14ac:dyDescent="0.25">
      <c r="A15147" s="22" t="s">
        <v>8</v>
      </c>
      <c r="B15147" s="18" t="str">
        <f>"676107"</f>
        <v>676107</v>
      </c>
      <c r="C15147" s="19" t="s">
        <v>14857</v>
      </c>
      <c r="D15147" s="19" t="s">
        <v>30537</v>
      </c>
      <c r="E15147" s="19" t="s">
        <v>35243</v>
      </c>
      <c r="F15147" s="19" t="s">
        <v>36018</v>
      </c>
      <c r="G15147" s="33" t="str">
        <f>"78414"</f>
        <v>78414</v>
      </c>
      <c r="H15147" s="34" t="s">
        <v>36804</v>
      </c>
      <c r="I15147" s="35">
        <v>19.190000000000001</v>
      </c>
      <c r="J15147" s="47" t="s">
        <v>8</v>
      </c>
      <c r="K15147" s="23" t="s">
        <v>8</v>
      </c>
      <c r="L15147" s="23" t="s">
        <v>8</v>
      </c>
      <c r="M15147" s="23" t="s">
        <v>8</v>
      </c>
    </row>
    <row r="15148" spans="1:13" s="21" customFormat="1" x14ac:dyDescent="0.25">
      <c r="A15148" s="22" t="s">
        <v>8</v>
      </c>
      <c r="B15148" s="18" t="str">
        <f>"676108"</f>
        <v>676108</v>
      </c>
      <c r="C15148" s="19" t="s">
        <v>14858</v>
      </c>
      <c r="D15148" s="19" t="s">
        <v>30538</v>
      </c>
      <c r="E15148" s="19" t="s">
        <v>35845</v>
      </c>
      <c r="F15148" s="19" t="s">
        <v>36018</v>
      </c>
      <c r="G15148" s="33" t="str">
        <f>"77662"</f>
        <v>77662</v>
      </c>
      <c r="H15148" s="34" t="s">
        <v>31169</v>
      </c>
      <c r="I15148" s="35">
        <v>19.887</v>
      </c>
      <c r="J15148" s="47" t="s">
        <v>8</v>
      </c>
      <c r="K15148" s="23" t="s">
        <v>8</v>
      </c>
      <c r="L15148" s="23" t="s">
        <v>8</v>
      </c>
      <c r="M15148" s="23" t="s">
        <v>8</v>
      </c>
    </row>
    <row r="15149" spans="1:13" s="21" customFormat="1" x14ac:dyDescent="0.25">
      <c r="A15149" s="22" t="s">
        <v>8</v>
      </c>
      <c r="B15149" s="18" t="str">
        <f>"676109"</f>
        <v>676109</v>
      </c>
      <c r="C15149" s="19" t="s">
        <v>14859</v>
      </c>
      <c r="D15149" s="19" t="s">
        <v>30539</v>
      </c>
      <c r="E15149" s="19" t="s">
        <v>35239</v>
      </c>
      <c r="F15149" s="19" t="s">
        <v>36018</v>
      </c>
      <c r="G15149" s="33" t="str">
        <f>"77706"</f>
        <v>77706</v>
      </c>
      <c r="H15149" s="34" t="s">
        <v>32391</v>
      </c>
      <c r="I15149" s="35">
        <v>18.539000000000001</v>
      </c>
      <c r="J15149" s="47" t="s">
        <v>8</v>
      </c>
      <c r="K15149" s="23" t="s">
        <v>8</v>
      </c>
      <c r="L15149" s="23" t="s">
        <v>8</v>
      </c>
      <c r="M15149" s="23" t="s">
        <v>8</v>
      </c>
    </row>
    <row r="15150" spans="1:13" s="21" customFormat="1" x14ac:dyDescent="0.25">
      <c r="A15150" s="22" t="s">
        <v>8</v>
      </c>
      <c r="B15150" s="18" t="str">
        <f>"676111"</f>
        <v>676111</v>
      </c>
      <c r="C15150" s="19" t="s">
        <v>14860</v>
      </c>
      <c r="D15150" s="19" t="s">
        <v>30540</v>
      </c>
      <c r="E15150" s="19" t="s">
        <v>33493</v>
      </c>
      <c r="F15150" s="19" t="s">
        <v>36018</v>
      </c>
      <c r="G15150" s="33" t="str">
        <f>"77063"</f>
        <v>77063</v>
      </c>
      <c r="H15150" s="34" t="s">
        <v>34183</v>
      </c>
      <c r="I15150" s="35">
        <v>18.46</v>
      </c>
      <c r="J15150" s="47" t="s">
        <v>8</v>
      </c>
      <c r="K15150" s="23" t="s">
        <v>8</v>
      </c>
      <c r="L15150" s="23" t="s">
        <v>8</v>
      </c>
      <c r="M15150" s="23" t="s">
        <v>8</v>
      </c>
    </row>
    <row r="15151" spans="1:13" s="21" customFormat="1" x14ac:dyDescent="0.25">
      <c r="A15151" s="22" t="s">
        <v>8</v>
      </c>
      <c r="B15151" s="18" t="str">
        <f>"676112"</f>
        <v>676112</v>
      </c>
      <c r="C15151" s="19" t="s">
        <v>14861</v>
      </c>
      <c r="D15151" s="19" t="s">
        <v>30541</v>
      </c>
      <c r="E15151" s="19" t="s">
        <v>33647</v>
      </c>
      <c r="F15151" s="19" t="s">
        <v>36018</v>
      </c>
      <c r="G15151" s="33" t="str">
        <f>"75104"</f>
        <v>75104</v>
      </c>
      <c r="H15151" s="34" t="s">
        <v>31723</v>
      </c>
      <c r="I15151" s="35">
        <v>16.867999999999999</v>
      </c>
      <c r="J15151" s="47" t="s">
        <v>8</v>
      </c>
      <c r="K15151" s="23" t="s">
        <v>8</v>
      </c>
      <c r="L15151" s="23" t="s">
        <v>8</v>
      </c>
      <c r="M15151" s="23" t="s">
        <v>8</v>
      </c>
    </row>
    <row r="15152" spans="1:13" s="21" customFormat="1" x14ac:dyDescent="0.25">
      <c r="A15152" s="22" t="s">
        <v>8</v>
      </c>
      <c r="B15152" s="18" t="str">
        <f>"676113"</f>
        <v>676113</v>
      </c>
      <c r="C15152" s="19" t="s">
        <v>14862</v>
      </c>
      <c r="D15152" s="19" t="s">
        <v>30542</v>
      </c>
      <c r="E15152" s="19" t="s">
        <v>35244</v>
      </c>
      <c r="F15152" s="19" t="s">
        <v>36018</v>
      </c>
      <c r="G15152" s="33" t="str">
        <f>"78224"</f>
        <v>78224</v>
      </c>
      <c r="H15152" s="34" t="s">
        <v>36805</v>
      </c>
      <c r="I15152" s="35">
        <v>17.381</v>
      </c>
      <c r="J15152" s="47" t="s">
        <v>8</v>
      </c>
      <c r="K15152" s="23" t="s">
        <v>8</v>
      </c>
      <c r="L15152" s="23" t="s">
        <v>8</v>
      </c>
      <c r="M15152" s="23" t="s">
        <v>8</v>
      </c>
    </row>
    <row r="15153" spans="1:13" s="21" customFormat="1" x14ac:dyDescent="0.25">
      <c r="A15153" s="22" t="s">
        <v>8</v>
      </c>
      <c r="B15153" s="18" t="str">
        <f>"676114"</f>
        <v>676114</v>
      </c>
      <c r="C15153" s="19" t="s">
        <v>14863</v>
      </c>
      <c r="D15153" s="19" t="s">
        <v>30543</v>
      </c>
      <c r="E15153" s="19" t="s">
        <v>35273</v>
      </c>
      <c r="F15153" s="19" t="s">
        <v>36018</v>
      </c>
      <c r="G15153" s="33" t="str">
        <f>"78028"</f>
        <v>78028</v>
      </c>
      <c r="H15153" s="34" t="s">
        <v>36819</v>
      </c>
      <c r="I15153" s="35">
        <v>21.242999999999999</v>
      </c>
      <c r="J15153" s="47" t="s">
        <v>8</v>
      </c>
      <c r="K15153" s="23" t="s">
        <v>8</v>
      </c>
      <c r="L15153" s="23" t="s">
        <v>8</v>
      </c>
      <c r="M15153" s="23" t="s">
        <v>8</v>
      </c>
    </row>
    <row r="15154" spans="1:13" s="21" customFormat="1" x14ac:dyDescent="0.25">
      <c r="A15154" s="22" t="s">
        <v>8</v>
      </c>
      <c r="B15154" s="18" t="str">
        <f>"676116"</f>
        <v>676116</v>
      </c>
      <c r="C15154" s="19" t="s">
        <v>14864</v>
      </c>
      <c r="D15154" s="19" t="s">
        <v>30544</v>
      </c>
      <c r="E15154" s="19" t="s">
        <v>33493</v>
      </c>
      <c r="F15154" s="19" t="s">
        <v>36018</v>
      </c>
      <c r="G15154" s="33" t="str">
        <f>"77099"</f>
        <v>77099</v>
      </c>
      <c r="H15154" s="34" t="s">
        <v>34183</v>
      </c>
      <c r="I15154" s="35">
        <v>19.3</v>
      </c>
      <c r="J15154" s="47" t="s">
        <v>8</v>
      </c>
      <c r="K15154" s="23" t="s">
        <v>8</v>
      </c>
      <c r="L15154" s="23" t="s">
        <v>8</v>
      </c>
      <c r="M15154" s="23" t="s">
        <v>8</v>
      </c>
    </row>
    <row r="15155" spans="1:13" s="21" customFormat="1" x14ac:dyDescent="0.25">
      <c r="A15155" s="22" t="s">
        <v>8</v>
      </c>
      <c r="B15155" s="18" t="str">
        <f>"676117"</f>
        <v>676117</v>
      </c>
      <c r="C15155" s="19" t="s">
        <v>14865</v>
      </c>
      <c r="D15155" s="19" t="s">
        <v>30545</v>
      </c>
      <c r="E15155" s="19" t="s">
        <v>35943</v>
      </c>
      <c r="F15155" s="19" t="s">
        <v>36018</v>
      </c>
      <c r="G15155" s="33" t="str">
        <f>"78605"</f>
        <v>78605</v>
      </c>
      <c r="H15155" s="34" t="s">
        <v>35878</v>
      </c>
      <c r="I15155" s="35">
        <v>19.196000000000002</v>
      </c>
      <c r="J15155" s="47" t="s">
        <v>8</v>
      </c>
      <c r="K15155" s="23" t="s">
        <v>8</v>
      </c>
      <c r="L15155" s="23" t="s">
        <v>8</v>
      </c>
      <c r="M15155" s="23" t="s">
        <v>8</v>
      </c>
    </row>
    <row r="15156" spans="1:13" s="21" customFormat="1" x14ac:dyDescent="0.25">
      <c r="A15156" s="22" t="s">
        <v>8</v>
      </c>
      <c r="B15156" s="18" t="str">
        <f>"676119"</f>
        <v>676119</v>
      </c>
      <c r="C15156" s="19" t="s">
        <v>14866</v>
      </c>
      <c r="D15156" s="19" t="s">
        <v>30546</v>
      </c>
      <c r="E15156" s="19" t="s">
        <v>35853</v>
      </c>
      <c r="F15156" s="19" t="s">
        <v>36018</v>
      </c>
      <c r="G15156" s="33" t="str">
        <f>"78582"</f>
        <v>78582</v>
      </c>
      <c r="H15156" s="34" t="s">
        <v>36960</v>
      </c>
      <c r="I15156" s="35">
        <v>17.800999999999998</v>
      </c>
      <c r="J15156" s="47" t="s">
        <v>8</v>
      </c>
      <c r="K15156" s="23" t="s">
        <v>8</v>
      </c>
      <c r="L15156" s="23" t="s">
        <v>8</v>
      </c>
      <c r="M15156" s="23" t="s">
        <v>8</v>
      </c>
    </row>
    <row r="15157" spans="1:13" s="21" customFormat="1" x14ac:dyDescent="0.25">
      <c r="A15157" s="22" t="s">
        <v>8</v>
      </c>
      <c r="B15157" s="18" t="str">
        <f>"676120"</f>
        <v>676120</v>
      </c>
      <c r="C15157" s="19" t="s">
        <v>14867</v>
      </c>
      <c r="D15157" s="19" t="s">
        <v>30547</v>
      </c>
      <c r="E15157" s="19" t="s">
        <v>32078</v>
      </c>
      <c r="F15157" s="19" t="s">
        <v>36018</v>
      </c>
      <c r="G15157" s="33" t="str">
        <f>"75090"</f>
        <v>75090</v>
      </c>
      <c r="H15157" s="34" t="s">
        <v>32731</v>
      </c>
      <c r="I15157" s="35">
        <v>18.381</v>
      </c>
      <c r="J15157" s="47" t="s">
        <v>8</v>
      </c>
      <c r="K15157" s="23" t="s">
        <v>8</v>
      </c>
      <c r="L15157" s="23" t="s">
        <v>8</v>
      </c>
      <c r="M15157" s="23" t="s">
        <v>8</v>
      </c>
    </row>
    <row r="15158" spans="1:13" s="21" customFormat="1" x14ac:dyDescent="0.25">
      <c r="A15158" s="22" t="s">
        <v>8</v>
      </c>
      <c r="B15158" s="18" t="str">
        <f>"676121"</f>
        <v>676121</v>
      </c>
      <c r="C15158" s="19" t="s">
        <v>14868</v>
      </c>
      <c r="D15158" s="19" t="s">
        <v>30548</v>
      </c>
      <c r="E15158" s="19" t="s">
        <v>35944</v>
      </c>
      <c r="F15158" s="19" t="s">
        <v>36018</v>
      </c>
      <c r="G15158" s="33" t="str">
        <f>"78154"</f>
        <v>78154</v>
      </c>
      <c r="H15158" s="34" t="s">
        <v>36829</v>
      </c>
      <c r="I15158" s="35">
        <v>23.591000000000001</v>
      </c>
      <c r="J15158" s="47" t="s">
        <v>8</v>
      </c>
      <c r="K15158" s="23" t="s">
        <v>8</v>
      </c>
      <c r="L15158" s="23" t="s">
        <v>8</v>
      </c>
      <c r="M15158" s="23" t="s">
        <v>8</v>
      </c>
    </row>
    <row r="15159" spans="1:13" s="21" customFormat="1" x14ac:dyDescent="0.25">
      <c r="A15159" s="22" t="s">
        <v>8</v>
      </c>
      <c r="B15159" s="18" t="str">
        <f>"676122"</f>
        <v>676122</v>
      </c>
      <c r="C15159" s="19" t="s">
        <v>14869</v>
      </c>
      <c r="D15159" s="19" t="s">
        <v>30549</v>
      </c>
      <c r="E15159" s="19" t="s">
        <v>35259</v>
      </c>
      <c r="F15159" s="19" t="s">
        <v>36018</v>
      </c>
      <c r="G15159" s="33" t="str">
        <f>"77619"</f>
        <v>77619</v>
      </c>
      <c r="H15159" s="34" t="s">
        <v>32391</v>
      </c>
      <c r="I15159" s="35">
        <v>19.834</v>
      </c>
      <c r="J15159" s="47" t="s">
        <v>8</v>
      </c>
      <c r="K15159" s="23" t="s">
        <v>8</v>
      </c>
      <c r="L15159" s="23" t="s">
        <v>8</v>
      </c>
      <c r="M15159" s="23" t="s">
        <v>8</v>
      </c>
    </row>
    <row r="15160" spans="1:13" s="21" customFormat="1" x14ac:dyDescent="0.25">
      <c r="A15160" s="22" t="s">
        <v>8</v>
      </c>
      <c r="B15160" s="18" t="str">
        <f>"676123"</f>
        <v>676123</v>
      </c>
      <c r="C15160" s="19" t="s">
        <v>5669</v>
      </c>
      <c r="D15160" s="19" t="s">
        <v>30550</v>
      </c>
      <c r="E15160" s="19" t="s">
        <v>31103</v>
      </c>
      <c r="F15160" s="19" t="s">
        <v>36018</v>
      </c>
      <c r="G15160" s="33" t="str">
        <f>"75840"</f>
        <v>75840</v>
      </c>
      <c r="H15160" s="34" t="s">
        <v>36957</v>
      </c>
      <c r="I15160" s="35">
        <v>23.241</v>
      </c>
      <c r="J15160" s="47" t="s">
        <v>8</v>
      </c>
      <c r="K15160" s="23" t="s">
        <v>8</v>
      </c>
      <c r="L15160" s="23" t="s">
        <v>8</v>
      </c>
      <c r="M15160" s="23" t="s">
        <v>8</v>
      </c>
    </row>
    <row r="15161" spans="1:13" s="21" customFormat="1" x14ac:dyDescent="0.25">
      <c r="A15161" s="22" t="s">
        <v>8</v>
      </c>
      <c r="B15161" s="18" t="str">
        <f>"676124"</f>
        <v>676124</v>
      </c>
      <c r="C15161" s="19" t="s">
        <v>14870</v>
      </c>
      <c r="D15161" s="19" t="s">
        <v>30551</v>
      </c>
      <c r="E15161" s="19" t="s">
        <v>35277</v>
      </c>
      <c r="F15161" s="19" t="s">
        <v>36018</v>
      </c>
      <c r="G15161" s="33" t="str">
        <f>"75904"</f>
        <v>75904</v>
      </c>
      <c r="H15161" s="34" t="s">
        <v>36820</v>
      </c>
      <c r="I15161" s="35">
        <v>21.83</v>
      </c>
      <c r="J15161" s="47" t="s">
        <v>8</v>
      </c>
      <c r="K15161" s="23" t="s">
        <v>8</v>
      </c>
      <c r="L15161" s="23" t="s">
        <v>8</v>
      </c>
      <c r="M15161" s="23" t="s">
        <v>8</v>
      </c>
    </row>
    <row r="15162" spans="1:13" s="21" customFormat="1" x14ac:dyDescent="0.25">
      <c r="A15162" s="22" t="s">
        <v>8</v>
      </c>
      <c r="B15162" s="18" t="str">
        <f>"676125"</f>
        <v>676125</v>
      </c>
      <c r="C15162" s="19" t="s">
        <v>14871</v>
      </c>
      <c r="D15162" s="19" t="s">
        <v>30552</v>
      </c>
      <c r="E15162" s="19" t="s">
        <v>35276</v>
      </c>
      <c r="F15162" s="19" t="s">
        <v>36018</v>
      </c>
      <c r="G15162" s="33" t="str">
        <f>"78550"</f>
        <v>78550</v>
      </c>
      <c r="H15162" s="34" t="s">
        <v>33578</v>
      </c>
      <c r="I15162" s="35">
        <v>15.786</v>
      </c>
      <c r="J15162" s="47" t="s">
        <v>8</v>
      </c>
      <c r="K15162" s="23" t="s">
        <v>8</v>
      </c>
      <c r="L15162" s="23" t="s">
        <v>8</v>
      </c>
      <c r="M15162" s="23" t="s">
        <v>8</v>
      </c>
    </row>
    <row r="15163" spans="1:13" s="21" customFormat="1" x14ac:dyDescent="0.25">
      <c r="A15163" s="22" t="s">
        <v>8</v>
      </c>
      <c r="B15163" s="18" t="str">
        <f>"676127"</f>
        <v>676127</v>
      </c>
      <c r="C15163" s="19" t="s">
        <v>14872</v>
      </c>
      <c r="D15163" s="19" t="s">
        <v>30553</v>
      </c>
      <c r="E15163" s="19" t="s">
        <v>35253</v>
      </c>
      <c r="F15163" s="19" t="s">
        <v>36018</v>
      </c>
      <c r="G15163" s="33" t="str">
        <f>"76180"</f>
        <v>76180</v>
      </c>
      <c r="H15163" s="34" t="s">
        <v>36806</v>
      </c>
      <c r="I15163" s="35">
        <v>18.029</v>
      </c>
      <c r="J15163" s="47" t="s">
        <v>8</v>
      </c>
      <c r="K15163" s="23" t="s">
        <v>8</v>
      </c>
      <c r="L15163" s="23" t="s">
        <v>8</v>
      </c>
      <c r="M15163" s="23" t="s">
        <v>8</v>
      </c>
    </row>
    <row r="15164" spans="1:13" s="21" customFormat="1" x14ac:dyDescent="0.25">
      <c r="A15164" s="22" t="s">
        <v>8</v>
      </c>
      <c r="B15164" s="18" t="str">
        <f>"676128"</f>
        <v>676128</v>
      </c>
      <c r="C15164" s="19" t="s">
        <v>14873</v>
      </c>
      <c r="D15164" s="19" t="s">
        <v>30554</v>
      </c>
      <c r="E15164" s="19" t="s">
        <v>30812</v>
      </c>
      <c r="F15164" s="19" t="s">
        <v>36018</v>
      </c>
      <c r="G15164" s="33" t="str">
        <f>"75006"</f>
        <v>75006</v>
      </c>
      <c r="H15164" s="34" t="s">
        <v>31723</v>
      </c>
      <c r="I15164" s="35">
        <v>17.79</v>
      </c>
      <c r="J15164" s="47" t="s">
        <v>8</v>
      </c>
      <c r="K15164" s="23" t="s">
        <v>8</v>
      </c>
      <c r="L15164" s="23" t="s">
        <v>8</v>
      </c>
      <c r="M15164" s="23" t="s">
        <v>8</v>
      </c>
    </row>
    <row r="15165" spans="1:13" s="21" customFormat="1" x14ac:dyDescent="0.25">
      <c r="A15165" s="22" t="s">
        <v>8</v>
      </c>
      <c r="B15165" s="18" t="str">
        <f>"676130"</f>
        <v>676130</v>
      </c>
      <c r="C15165" s="19" t="s">
        <v>14874</v>
      </c>
      <c r="D15165" s="19" t="s">
        <v>30555</v>
      </c>
      <c r="E15165" s="19" t="s">
        <v>32348</v>
      </c>
      <c r="F15165" s="19" t="s">
        <v>36018</v>
      </c>
      <c r="G15165" s="33" t="str">
        <f>"75455"</f>
        <v>75455</v>
      </c>
      <c r="H15165" s="34" t="s">
        <v>36812</v>
      </c>
      <c r="I15165" s="35">
        <v>21.123999999999999</v>
      </c>
      <c r="J15165" s="47" t="s">
        <v>8</v>
      </c>
      <c r="K15165" s="23" t="s">
        <v>8</v>
      </c>
      <c r="L15165" s="23" t="s">
        <v>8</v>
      </c>
      <c r="M15165" s="23" t="s">
        <v>8</v>
      </c>
    </row>
    <row r="15166" spans="1:13" s="21" customFormat="1" x14ac:dyDescent="0.25">
      <c r="A15166" s="22" t="s">
        <v>8</v>
      </c>
      <c r="B15166" s="18" t="str">
        <f>"676131"</f>
        <v>676131</v>
      </c>
      <c r="C15166" s="19" t="s">
        <v>14875</v>
      </c>
      <c r="D15166" s="19" t="s">
        <v>30556</v>
      </c>
      <c r="E15166" s="19" t="s">
        <v>35945</v>
      </c>
      <c r="F15166" s="19" t="s">
        <v>36018</v>
      </c>
      <c r="G15166" s="33" t="str">
        <f>"78734"</f>
        <v>78734</v>
      </c>
      <c r="H15166" s="34" t="s">
        <v>36817</v>
      </c>
      <c r="I15166" s="35">
        <v>21.372</v>
      </c>
      <c r="J15166" s="47" t="s">
        <v>8</v>
      </c>
      <c r="K15166" s="23" t="s">
        <v>8</v>
      </c>
      <c r="L15166" s="23" t="s">
        <v>8</v>
      </c>
      <c r="M15166" s="23" t="s">
        <v>8</v>
      </c>
    </row>
    <row r="15167" spans="1:13" s="21" customFormat="1" x14ac:dyDescent="0.25">
      <c r="A15167" s="22" t="s">
        <v>8</v>
      </c>
      <c r="B15167" s="18" t="str">
        <f>"676132"</f>
        <v>676132</v>
      </c>
      <c r="C15167" s="19" t="s">
        <v>14876</v>
      </c>
      <c r="D15167" s="19" t="s">
        <v>30557</v>
      </c>
      <c r="E15167" s="19" t="s">
        <v>35245</v>
      </c>
      <c r="F15167" s="19" t="s">
        <v>36018</v>
      </c>
      <c r="G15167" s="33" t="str">
        <f>"76133"</f>
        <v>76133</v>
      </c>
      <c r="H15167" s="34" t="s">
        <v>36806</v>
      </c>
      <c r="I15167" s="35">
        <v>21.036000000000001</v>
      </c>
      <c r="J15167" s="47" t="s">
        <v>8</v>
      </c>
      <c r="K15167" s="23" t="s">
        <v>8</v>
      </c>
      <c r="L15167" s="23" t="s">
        <v>8</v>
      </c>
      <c r="M15167" s="23" t="s">
        <v>8</v>
      </c>
    </row>
    <row r="15168" spans="1:13" s="21" customFormat="1" x14ac:dyDescent="0.25">
      <c r="A15168" s="22" t="s">
        <v>8</v>
      </c>
      <c r="B15168" s="18" t="str">
        <f>"676133"</f>
        <v>676133</v>
      </c>
      <c r="C15168" s="19" t="s">
        <v>14877</v>
      </c>
      <c r="D15168" s="19" t="s">
        <v>30558</v>
      </c>
      <c r="E15168" s="19" t="s">
        <v>35877</v>
      </c>
      <c r="F15168" s="19" t="s">
        <v>36018</v>
      </c>
      <c r="G15168" s="33" t="str">
        <f>"78852"</f>
        <v>78852</v>
      </c>
      <c r="H15168" s="34" t="s">
        <v>36966</v>
      </c>
      <c r="I15168" s="35">
        <v>19.692</v>
      </c>
      <c r="J15168" s="47" t="s">
        <v>8</v>
      </c>
      <c r="K15168" s="23" t="s">
        <v>8</v>
      </c>
      <c r="L15168" s="23" t="s">
        <v>8</v>
      </c>
      <c r="M15168" s="23" t="s">
        <v>8</v>
      </c>
    </row>
    <row r="15169" spans="1:13" s="21" customFormat="1" x14ac:dyDescent="0.25">
      <c r="A15169" s="22" t="s">
        <v>8</v>
      </c>
      <c r="B15169" s="18" t="str">
        <f>"676135"</f>
        <v>676135</v>
      </c>
      <c r="C15169" s="19" t="s">
        <v>14878</v>
      </c>
      <c r="D15169" s="19" t="s">
        <v>30559</v>
      </c>
      <c r="E15169" s="19" t="s">
        <v>31723</v>
      </c>
      <c r="F15169" s="19" t="s">
        <v>36018</v>
      </c>
      <c r="G15169" s="33" t="str">
        <f>"75243"</f>
        <v>75243</v>
      </c>
      <c r="H15169" s="34" t="s">
        <v>31723</v>
      </c>
      <c r="I15169" s="35">
        <v>17.026</v>
      </c>
      <c r="J15169" s="47" t="s">
        <v>8</v>
      </c>
      <c r="K15169" s="23" t="s">
        <v>8</v>
      </c>
      <c r="L15169" s="23" t="s">
        <v>8</v>
      </c>
      <c r="M15169" s="23" t="s">
        <v>8</v>
      </c>
    </row>
    <row r="15170" spans="1:13" s="21" customFormat="1" x14ac:dyDescent="0.25">
      <c r="A15170" s="22" t="s">
        <v>8</v>
      </c>
      <c r="B15170" s="18" t="str">
        <f>"676136"</f>
        <v>676136</v>
      </c>
      <c r="C15170" s="19" t="s">
        <v>14879</v>
      </c>
      <c r="D15170" s="19" t="s">
        <v>30560</v>
      </c>
      <c r="E15170" s="19" t="s">
        <v>35244</v>
      </c>
      <c r="F15170" s="19" t="s">
        <v>36018</v>
      </c>
      <c r="G15170" s="33" t="str">
        <f>"78240"</f>
        <v>78240</v>
      </c>
      <c r="H15170" s="34" t="s">
        <v>36805</v>
      </c>
      <c r="I15170" s="35">
        <v>19.135000000000002</v>
      </c>
      <c r="J15170" s="47" t="s">
        <v>8</v>
      </c>
      <c r="K15170" s="23" t="s">
        <v>8</v>
      </c>
      <c r="L15170" s="23" t="s">
        <v>8</v>
      </c>
      <c r="M15170" s="23" t="s">
        <v>8</v>
      </c>
    </row>
    <row r="15171" spans="1:13" s="21" customFormat="1" x14ac:dyDescent="0.25">
      <c r="A15171" s="22" t="s">
        <v>8</v>
      </c>
      <c r="B15171" s="18" t="str">
        <f>"676137"</f>
        <v>676137</v>
      </c>
      <c r="C15171" s="19" t="s">
        <v>14862</v>
      </c>
      <c r="D15171" s="19" t="s">
        <v>30561</v>
      </c>
      <c r="E15171" s="19" t="s">
        <v>33493</v>
      </c>
      <c r="F15171" s="19" t="s">
        <v>36018</v>
      </c>
      <c r="G15171" s="33" t="str">
        <f>"77064"</f>
        <v>77064</v>
      </c>
      <c r="H15171" s="34" t="s">
        <v>34183</v>
      </c>
      <c r="I15171" s="35">
        <v>19.146999999999998</v>
      </c>
      <c r="J15171" s="47" t="s">
        <v>8</v>
      </c>
      <c r="K15171" s="23" t="s">
        <v>8</v>
      </c>
      <c r="L15171" s="23" t="s">
        <v>8</v>
      </c>
      <c r="M15171" s="23" t="s">
        <v>8</v>
      </c>
    </row>
    <row r="15172" spans="1:13" s="21" customFormat="1" x14ac:dyDescent="0.25">
      <c r="A15172" s="22" t="s">
        <v>8</v>
      </c>
      <c r="B15172" s="18" t="str">
        <f>"676138"</f>
        <v>676138</v>
      </c>
      <c r="C15172" s="19" t="s">
        <v>14880</v>
      </c>
      <c r="D15172" s="19" t="s">
        <v>30562</v>
      </c>
      <c r="E15172" s="19" t="s">
        <v>32816</v>
      </c>
      <c r="F15172" s="19" t="s">
        <v>36018</v>
      </c>
      <c r="G15172" s="33" t="str">
        <f>"78629"</f>
        <v>78629</v>
      </c>
      <c r="H15172" s="34" t="s">
        <v>32816</v>
      </c>
      <c r="I15172" s="35">
        <v>17.524999999999999</v>
      </c>
      <c r="J15172" s="47" t="s">
        <v>8</v>
      </c>
      <c r="K15172" s="23" t="s">
        <v>8</v>
      </c>
      <c r="L15172" s="23" t="s">
        <v>8</v>
      </c>
      <c r="M15172" s="23" t="s">
        <v>8</v>
      </c>
    </row>
    <row r="15173" spans="1:13" s="21" customFormat="1" x14ac:dyDescent="0.25">
      <c r="A15173" s="22" t="s">
        <v>8</v>
      </c>
      <c r="B15173" s="18" t="str">
        <f>"676139"</f>
        <v>676139</v>
      </c>
      <c r="C15173" s="19" t="s">
        <v>14881</v>
      </c>
      <c r="D15173" s="19" t="s">
        <v>30563</v>
      </c>
      <c r="E15173" s="19" t="s">
        <v>33116</v>
      </c>
      <c r="F15173" s="19" t="s">
        <v>36018</v>
      </c>
      <c r="G15173" s="33" t="str">
        <f>"76016"</f>
        <v>76016</v>
      </c>
      <c r="H15173" s="34" t="s">
        <v>36806</v>
      </c>
      <c r="I15173" s="35">
        <v>17.867000000000001</v>
      </c>
      <c r="J15173" s="47" t="s">
        <v>8</v>
      </c>
      <c r="K15173" s="23" t="s">
        <v>8</v>
      </c>
      <c r="L15173" s="23" t="s">
        <v>8</v>
      </c>
      <c r="M15173" s="23" t="s">
        <v>8</v>
      </c>
    </row>
    <row r="15174" spans="1:13" s="21" customFormat="1" x14ac:dyDescent="0.25">
      <c r="A15174" s="22" t="s">
        <v>8</v>
      </c>
      <c r="B15174" s="18" t="str">
        <f>"676140"</f>
        <v>676140</v>
      </c>
      <c r="C15174" s="19" t="s">
        <v>14882</v>
      </c>
      <c r="D15174" s="19" t="s">
        <v>30564</v>
      </c>
      <c r="E15174" s="19" t="s">
        <v>35882</v>
      </c>
      <c r="F15174" s="19" t="s">
        <v>36018</v>
      </c>
      <c r="G15174" s="33" t="str">
        <f>"78377"</f>
        <v>78377</v>
      </c>
      <c r="H15174" s="34" t="s">
        <v>35882</v>
      </c>
      <c r="I15174" s="35">
        <v>17.731000000000002</v>
      </c>
      <c r="J15174" s="47" t="s">
        <v>8</v>
      </c>
      <c r="K15174" s="23" t="s">
        <v>8</v>
      </c>
      <c r="L15174" s="23" t="s">
        <v>8</v>
      </c>
      <c r="M15174" s="23" t="s">
        <v>8</v>
      </c>
    </row>
    <row r="15175" spans="1:13" s="21" customFormat="1" x14ac:dyDescent="0.25">
      <c r="A15175" s="22" t="s">
        <v>8</v>
      </c>
      <c r="B15175" s="18" t="str">
        <f>"676141"</f>
        <v>676141</v>
      </c>
      <c r="C15175" s="19" t="s">
        <v>14883</v>
      </c>
      <c r="D15175" s="19" t="s">
        <v>30565</v>
      </c>
      <c r="E15175" s="19" t="s">
        <v>33116</v>
      </c>
      <c r="F15175" s="19" t="s">
        <v>36018</v>
      </c>
      <c r="G15175" s="33" t="str">
        <f>"76002"</f>
        <v>76002</v>
      </c>
      <c r="H15175" s="34" t="s">
        <v>36806</v>
      </c>
      <c r="I15175" s="35">
        <v>18.861999999999998</v>
      </c>
      <c r="J15175" s="47" t="s">
        <v>8</v>
      </c>
      <c r="K15175" s="23" t="s">
        <v>8</v>
      </c>
      <c r="L15175" s="23" t="s">
        <v>8</v>
      </c>
      <c r="M15175" s="23" t="s">
        <v>8</v>
      </c>
    </row>
    <row r="15176" spans="1:13" s="21" customFormat="1" x14ac:dyDescent="0.25">
      <c r="A15176" s="22" t="s">
        <v>8</v>
      </c>
      <c r="B15176" s="18" t="str">
        <f>"676142"</f>
        <v>676142</v>
      </c>
      <c r="C15176" s="19" t="s">
        <v>14884</v>
      </c>
      <c r="D15176" s="19" t="s">
        <v>30566</v>
      </c>
      <c r="E15176" s="19" t="s">
        <v>35946</v>
      </c>
      <c r="F15176" s="19" t="s">
        <v>36018</v>
      </c>
      <c r="G15176" s="33" t="str">
        <f>"75440"</f>
        <v>75440</v>
      </c>
      <c r="H15176" s="34" t="s">
        <v>36981</v>
      </c>
      <c r="I15176" s="35">
        <v>19.684999999999999</v>
      </c>
      <c r="J15176" s="47" t="s">
        <v>8</v>
      </c>
      <c r="K15176" s="23" t="s">
        <v>8</v>
      </c>
      <c r="L15176" s="23" t="s">
        <v>8</v>
      </c>
      <c r="M15176" s="23" t="s">
        <v>8</v>
      </c>
    </row>
    <row r="15177" spans="1:13" s="21" customFormat="1" x14ac:dyDescent="0.25">
      <c r="A15177" s="22" t="s">
        <v>8</v>
      </c>
      <c r="B15177" s="18" t="str">
        <f>"676143"</f>
        <v>676143</v>
      </c>
      <c r="C15177" s="19" t="s">
        <v>14885</v>
      </c>
      <c r="D15177" s="19" t="s">
        <v>30567</v>
      </c>
      <c r="E15177" s="19" t="s">
        <v>31481</v>
      </c>
      <c r="F15177" s="19" t="s">
        <v>36018</v>
      </c>
      <c r="G15177" s="33" t="str">
        <f>"76063"</f>
        <v>76063</v>
      </c>
      <c r="H15177" s="34" t="s">
        <v>36806</v>
      </c>
      <c r="I15177" s="35">
        <v>19.119</v>
      </c>
      <c r="J15177" s="47" t="s">
        <v>8</v>
      </c>
      <c r="K15177" s="23" t="s">
        <v>8</v>
      </c>
      <c r="L15177" s="23" t="s">
        <v>8</v>
      </c>
      <c r="M15177" s="23" t="s">
        <v>8</v>
      </c>
    </row>
    <row r="15178" spans="1:13" s="21" customFormat="1" x14ac:dyDescent="0.25">
      <c r="A15178" s="22" t="s">
        <v>8</v>
      </c>
      <c r="B15178" s="18" t="str">
        <f>"676144"</f>
        <v>676144</v>
      </c>
      <c r="C15178" s="19" t="s">
        <v>14886</v>
      </c>
      <c r="D15178" s="19" t="s">
        <v>30568</v>
      </c>
      <c r="E15178" s="19" t="s">
        <v>35304</v>
      </c>
      <c r="F15178" s="19" t="s">
        <v>36018</v>
      </c>
      <c r="G15178" s="33" t="str">
        <f>"76302"</f>
        <v>76302</v>
      </c>
      <c r="H15178" s="34" t="s">
        <v>32555</v>
      </c>
      <c r="I15178" s="35">
        <v>19.206</v>
      </c>
      <c r="J15178" s="47" t="s">
        <v>8</v>
      </c>
      <c r="K15178" s="23" t="s">
        <v>8</v>
      </c>
      <c r="L15178" s="23" t="s">
        <v>8</v>
      </c>
      <c r="M15178" s="23" t="s">
        <v>8</v>
      </c>
    </row>
    <row r="15179" spans="1:13" s="21" customFormat="1" x14ac:dyDescent="0.25">
      <c r="A15179" s="22" t="s">
        <v>8</v>
      </c>
      <c r="B15179" s="18" t="str">
        <f>"676145"</f>
        <v>676145</v>
      </c>
      <c r="C15179" s="19" t="s">
        <v>14887</v>
      </c>
      <c r="D15179" s="19" t="s">
        <v>30569</v>
      </c>
      <c r="E15179" s="19" t="s">
        <v>31332</v>
      </c>
      <c r="F15179" s="19" t="s">
        <v>36018</v>
      </c>
      <c r="G15179" s="33" t="str">
        <f>"75034"</f>
        <v>75034</v>
      </c>
      <c r="H15179" s="34" t="s">
        <v>32938</v>
      </c>
      <c r="I15179" s="35">
        <v>20.396000000000001</v>
      </c>
      <c r="J15179" s="47" t="s">
        <v>8</v>
      </c>
      <c r="K15179" s="23" t="s">
        <v>8</v>
      </c>
      <c r="L15179" s="23" t="s">
        <v>8</v>
      </c>
      <c r="M15179" s="23" t="s">
        <v>8</v>
      </c>
    </row>
    <row r="15180" spans="1:13" s="21" customFormat="1" x14ac:dyDescent="0.25">
      <c r="A15180" s="22" t="s">
        <v>8</v>
      </c>
      <c r="B15180" s="18" t="str">
        <f>"676146"</f>
        <v>676146</v>
      </c>
      <c r="C15180" s="19" t="s">
        <v>14888</v>
      </c>
      <c r="D15180" s="19" t="s">
        <v>30570</v>
      </c>
      <c r="E15180" s="19" t="s">
        <v>33844</v>
      </c>
      <c r="F15180" s="19" t="s">
        <v>36018</v>
      </c>
      <c r="G15180" s="33" t="str">
        <f>"75150"</f>
        <v>75150</v>
      </c>
      <c r="H15180" s="34" t="s">
        <v>31723</v>
      </c>
      <c r="I15180" s="35">
        <v>19.504000000000001</v>
      </c>
      <c r="J15180" s="47" t="s">
        <v>8</v>
      </c>
      <c r="K15180" s="23" t="s">
        <v>8</v>
      </c>
      <c r="L15180" s="23" t="s">
        <v>8</v>
      </c>
      <c r="M15180" s="23" t="s">
        <v>8</v>
      </c>
    </row>
    <row r="15181" spans="1:13" s="21" customFormat="1" x14ac:dyDescent="0.25">
      <c r="A15181" s="22" t="s">
        <v>8</v>
      </c>
      <c r="B15181" s="18" t="str">
        <f>"676147"</f>
        <v>676147</v>
      </c>
      <c r="C15181" s="19" t="s">
        <v>14889</v>
      </c>
      <c r="D15181" s="19" t="s">
        <v>30571</v>
      </c>
      <c r="E15181" s="19" t="s">
        <v>35279</v>
      </c>
      <c r="F15181" s="19" t="s">
        <v>36018</v>
      </c>
      <c r="G15181" s="33" t="str">
        <f>"75965"</f>
        <v>75965</v>
      </c>
      <c r="H15181" s="34" t="s">
        <v>35279</v>
      </c>
      <c r="I15181" s="35">
        <v>20.408000000000001</v>
      </c>
      <c r="J15181" s="47" t="s">
        <v>8</v>
      </c>
      <c r="K15181" s="23" t="s">
        <v>8</v>
      </c>
      <c r="L15181" s="23" t="s">
        <v>8</v>
      </c>
      <c r="M15181" s="23" t="s">
        <v>8</v>
      </c>
    </row>
    <row r="15182" spans="1:13" s="21" customFormat="1" x14ac:dyDescent="0.25">
      <c r="A15182" s="22" t="s">
        <v>8</v>
      </c>
      <c r="B15182" s="18" t="str">
        <f>"676148"</f>
        <v>676148</v>
      </c>
      <c r="C15182" s="19" t="s">
        <v>14890</v>
      </c>
      <c r="D15182" s="19" t="s">
        <v>30572</v>
      </c>
      <c r="E15182" s="19" t="s">
        <v>34690</v>
      </c>
      <c r="F15182" s="19" t="s">
        <v>36018</v>
      </c>
      <c r="G15182" s="33" t="str">
        <f>"76086"</f>
        <v>76086</v>
      </c>
      <c r="H15182" s="34" t="s">
        <v>31392</v>
      </c>
      <c r="I15182" s="35">
        <v>17.614999999999998</v>
      </c>
      <c r="J15182" s="47" t="s">
        <v>8</v>
      </c>
      <c r="K15182" s="23" t="s">
        <v>8</v>
      </c>
      <c r="L15182" s="23" t="s">
        <v>8</v>
      </c>
      <c r="M15182" s="23" t="s">
        <v>8</v>
      </c>
    </row>
    <row r="15183" spans="1:13" s="21" customFormat="1" x14ac:dyDescent="0.25">
      <c r="A15183" s="22" t="s">
        <v>8</v>
      </c>
      <c r="B15183" s="18" t="str">
        <f>"676152"</f>
        <v>676152</v>
      </c>
      <c r="C15183" s="19" t="s">
        <v>14891</v>
      </c>
      <c r="D15183" s="19" t="s">
        <v>30573</v>
      </c>
      <c r="E15183" s="19" t="s">
        <v>33493</v>
      </c>
      <c r="F15183" s="19" t="s">
        <v>36018</v>
      </c>
      <c r="G15183" s="33" t="str">
        <f>"77074"</f>
        <v>77074</v>
      </c>
      <c r="H15183" s="34" t="s">
        <v>34183</v>
      </c>
      <c r="I15183" s="35">
        <v>21.542000000000002</v>
      </c>
      <c r="J15183" s="47" t="s">
        <v>8</v>
      </c>
      <c r="K15183" s="23" t="s">
        <v>8</v>
      </c>
      <c r="L15183" s="23" t="s">
        <v>8</v>
      </c>
      <c r="M15183" s="23" t="s">
        <v>8</v>
      </c>
    </row>
    <row r="15184" spans="1:13" s="21" customFormat="1" x14ac:dyDescent="0.25">
      <c r="A15184" s="22" t="s">
        <v>8</v>
      </c>
      <c r="B15184" s="18" t="str">
        <f>"676153"</f>
        <v>676153</v>
      </c>
      <c r="C15184" s="19" t="s">
        <v>14892</v>
      </c>
      <c r="D15184" s="19" t="s">
        <v>30574</v>
      </c>
      <c r="E15184" s="19" t="s">
        <v>35302</v>
      </c>
      <c r="F15184" s="19" t="s">
        <v>36018</v>
      </c>
      <c r="G15184" s="33" t="str">
        <f>"77573"</f>
        <v>77573</v>
      </c>
      <c r="H15184" s="34" t="s">
        <v>35824</v>
      </c>
      <c r="I15184" s="35">
        <v>20.463999999999999</v>
      </c>
      <c r="J15184" s="47" t="s">
        <v>8</v>
      </c>
      <c r="K15184" s="23" t="s">
        <v>8</v>
      </c>
      <c r="L15184" s="23" t="s">
        <v>8</v>
      </c>
      <c r="M15184" s="23" t="s">
        <v>8</v>
      </c>
    </row>
    <row r="15185" spans="1:13" s="21" customFormat="1" x14ac:dyDescent="0.25">
      <c r="A15185" s="22" t="s">
        <v>8</v>
      </c>
      <c r="B15185" s="18" t="str">
        <f>"676154"</f>
        <v>676154</v>
      </c>
      <c r="C15185" s="19" t="s">
        <v>14893</v>
      </c>
      <c r="D15185" s="19" t="s">
        <v>30575</v>
      </c>
      <c r="E15185" s="19" t="s">
        <v>35821</v>
      </c>
      <c r="F15185" s="19" t="s">
        <v>36018</v>
      </c>
      <c r="G15185" s="33" t="str">
        <f>"75656"</f>
        <v>75656</v>
      </c>
      <c r="H15185" s="34" t="s">
        <v>36246</v>
      </c>
      <c r="I15185" s="35">
        <v>19.733000000000001</v>
      </c>
      <c r="J15185" s="47" t="s">
        <v>8</v>
      </c>
      <c r="K15185" s="23" t="s">
        <v>8</v>
      </c>
      <c r="L15185" s="23" t="s">
        <v>8</v>
      </c>
      <c r="M15185" s="23" t="s">
        <v>8</v>
      </c>
    </row>
    <row r="15186" spans="1:13" s="21" customFormat="1" x14ac:dyDescent="0.25">
      <c r="A15186" s="22" t="s">
        <v>8</v>
      </c>
      <c r="B15186" s="18" t="str">
        <f>"676155"</f>
        <v>676155</v>
      </c>
      <c r="C15186" s="19" t="s">
        <v>14894</v>
      </c>
      <c r="D15186" s="19" t="s">
        <v>30576</v>
      </c>
      <c r="E15186" s="19" t="s">
        <v>31191</v>
      </c>
      <c r="F15186" s="19" t="s">
        <v>36018</v>
      </c>
      <c r="G15186" s="33" t="str">
        <f>"77503"</f>
        <v>77503</v>
      </c>
      <c r="H15186" s="34" t="s">
        <v>34183</v>
      </c>
      <c r="I15186" s="35">
        <v>20.655999999999999</v>
      </c>
      <c r="J15186" s="47" t="s">
        <v>8</v>
      </c>
      <c r="K15186" s="23" t="s">
        <v>8</v>
      </c>
      <c r="L15186" s="23" t="s">
        <v>8</v>
      </c>
      <c r="M15186" s="23" t="s">
        <v>8</v>
      </c>
    </row>
    <row r="15187" spans="1:13" s="21" customFormat="1" x14ac:dyDescent="0.25">
      <c r="A15187" s="22" t="s">
        <v>8</v>
      </c>
      <c r="B15187" s="18" t="str">
        <f>"676156"</f>
        <v>676156</v>
      </c>
      <c r="C15187" s="19" t="s">
        <v>14895</v>
      </c>
      <c r="D15187" s="19" t="s">
        <v>30577</v>
      </c>
      <c r="E15187" s="19" t="s">
        <v>35299</v>
      </c>
      <c r="F15187" s="19" t="s">
        <v>36018</v>
      </c>
      <c r="G15187" s="33" t="str">
        <f>"75093"</f>
        <v>75093</v>
      </c>
      <c r="H15187" s="34" t="s">
        <v>36828</v>
      </c>
      <c r="I15187" s="35">
        <v>17.663</v>
      </c>
      <c r="J15187" s="47" t="s">
        <v>8</v>
      </c>
      <c r="K15187" s="23" t="s">
        <v>8</v>
      </c>
      <c r="L15187" s="23" t="s">
        <v>8</v>
      </c>
      <c r="M15187" s="23" t="s">
        <v>8</v>
      </c>
    </row>
    <row r="15188" spans="1:13" s="21" customFormat="1" x14ac:dyDescent="0.25">
      <c r="A15188" s="22" t="s">
        <v>8</v>
      </c>
      <c r="B15188" s="18" t="str">
        <f>"676157"</f>
        <v>676157</v>
      </c>
      <c r="C15188" s="19" t="s">
        <v>14896</v>
      </c>
      <c r="D15188" s="19" t="s">
        <v>30578</v>
      </c>
      <c r="E15188" s="19" t="s">
        <v>35247</v>
      </c>
      <c r="F15188" s="19" t="s">
        <v>36018</v>
      </c>
      <c r="G15188" s="33" t="str">
        <f>"79124"</f>
        <v>79124</v>
      </c>
      <c r="H15188" s="34" t="s">
        <v>36736</v>
      </c>
      <c r="I15188" s="35">
        <v>16.765000000000001</v>
      </c>
      <c r="J15188" s="47" t="s">
        <v>8</v>
      </c>
      <c r="K15188" s="23" t="s">
        <v>8</v>
      </c>
      <c r="L15188" s="23" t="s">
        <v>8</v>
      </c>
      <c r="M15188" s="23" t="s">
        <v>8</v>
      </c>
    </row>
    <row r="15189" spans="1:13" s="21" customFormat="1" x14ac:dyDescent="0.25">
      <c r="A15189" s="22" t="s">
        <v>8</v>
      </c>
      <c r="B15189" s="18" t="str">
        <f>"676158"</f>
        <v>676158</v>
      </c>
      <c r="C15189" s="19" t="s">
        <v>14897</v>
      </c>
      <c r="D15189" s="19" t="s">
        <v>30579</v>
      </c>
      <c r="E15189" s="19" t="s">
        <v>35244</v>
      </c>
      <c r="F15189" s="19" t="s">
        <v>36018</v>
      </c>
      <c r="G15189" s="33" t="str">
        <f>"78258"</f>
        <v>78258</v>
      </c>
      <c r="H15189" s="34" t="s">
        <v>36805</v>
      </c>
      <c r="I15189" s="35">
        <v>18.202000000000002</v>
      </c>
      <c r="J15189" s="47" t="s">
        <v>8</v>
      </c>
      <c r="K15189" s="23" t="s">
        <v>8</v>
      </c>
      <c r="L15189" s="23" t="s">
        <v>8</v>
      </c>
      <c r="M15189" s="23" t="s">
        <v>8</v>
      </c>
    </row>
    <row r="15190" spans="1:13" s="21" customFormat="1" x14ac:dyDescent="0.25">
      <c r="A15190" s="22" t="s">
        <v>8</v>
      </c>
      <c r="B15190" s="18" t="str">
        <f>"676160"</f>
        <v>676160</v>
      </c>
      <c r="C15190" s="19" t="s">
        <v>14898</v>
      </c>
      <c r="D15190" s="19" t="s">
        <v>30580</v>
      </c>
      <c r="E15190" s="19" t="s">
        <v>35515</v>
      </c>
      <c r="F15190" s="19" t="s">
        <v>36018</v>
      </c>
      <c r="G15190" s="33" t="str">
        <f>"77339"</f>
        <v>77339</v>
      </c>
      <c r="H15190" s="34" t="s">
        <v>34183</v>
      </c>
      <c r="I15190" s="35">
        <v>23.507000000000001</v>
      </c>
      <c r="J15190" s="47" t="s">
        <v>8</v>
      </c>
      <c r="K15190" s="23" t="s">
        <v>8</v>
      </c>
      <c r="L15190" s="23" t="s">
        <v>8</v>
      </c>
      <c r="M15190" s="23" t="s">
        <v>8</v>
      </c>
    </row>
    <row r="15191" spans="1:13" s="21" customFormat="1" x14ac:dyDescent="0.25">
      <c r="A15191" s="22" t="s">
        <v>8</v>
      </c>
      <c r="B15191" s="18" t="str">
        <f>"676161"</f>
        <v>676161</v>
      </c>
      <c r="C15191" s="19" t="s">
        <v>14899</v>
      </c>
      <c r="D15191" s="19" t="s">
        <v>30581</v>
      </c>
      <c r="E15191" s="19" t="s">
        <v>35245</v>
      </c>
      <c r="F15191" s="19" t="s">
        <v>36018</v>
      </c>
      <c r="G15191" s="33" t="str">
        <f>"76148"</f>
        <v>76148</v>
      </c>
      <c r="H15191" s="34" t="s">
        <v>36806</v>
      </c>
      <c r="I15191" s="35">
        <v>20.158999999999999</v>
      </c>
      <c r="J15191" s="47" t="s">
        <v>8</v>
      </c>
      <c r="K15191" s="23" t="s">
        <v>8</v>
      </c>
      <c r="L15191" s="23" t="s">
        <v>8</v>
      </c>
      <c r="M15191" s="23" t="s">
        <v>8</v>
      </c>
    </row>
    <row r="15192" spans="1:13" s="21" customFormat="1" x14ac:dyDescent="0.25">
      <c r="A15192" s="22" t="s">
        <v>8</v>
      </c>
      <c r="B15192" s="18" t="str">
        <f>"676163"</f>
        <v>676163</v>
      </c>
      <c r="C15192" s="19" t="s">
        <v>14900</v>
      </c>
      <c r="D15192" s="19" t="s">
        <v>30582</v>
      </c>
      <c r="E15192" s="19" t="s">
        <v>35310</v>
      </c>
      <c r="F15192" s="19" t="s">
        <v>36018</v>
      </c>
      <c r="G15192" s="33" t="str">
        <f>"79410"</f>
        <v>79410</v>
      </c>
      <c r="H15192" s="34" t="s">
        <v>35310</v>
      </c>
      <c r="I15192" s="35">
        <v>16.849</v>
      </c>
      <c r="J15192" s="47" t="s">
        <v>8</v>
      </c>
      <c r="K15192" s="23" t="s">
        <v>8</v>
      </c>
      <c r="L15192" s="23" t="s">
        <v>8</v>
      </c>
      <c r="M15192" s="23" t="s">
        <v>8</v>
      </c>
    </row>
    <row r="15193" spans="1:13" s="21" customFormat="1" x14ac:dyDescent="0.25">
      <c r="A15193" s="22" t="s">
        <v>8</v>
      </c>
      <c r="B15193" s="18" t="str">
        <f>"676164"</f>
        <v>676164</v>
      </c>
      <c r="C15193" s="19" t="s">
        <v>14901</v>
      </c>
      <c r="D15193" s="19" t="s">
        <v>30583</v>
      </c>
      <c r="E15193" s="19" t="s">
        <v>34565</v>
      </c>
      <c r="F15193" s="19" t="s">
        <v>36018</v>
      </c>
      <c r="G15193" s="33" t="str">
        <f>"77418"</f>
        <v>77418</v>
      </c>
      <c r="H15193" s="34" t="s">
        <v>33383</v>
      </c>
      <c r="I15193" s="35">
        <v>19.704000000000001</v>
      </c>
      <c r="J15193" s="47" t="s">
        <v>8</v>
      </c>
      <c r="K15193" s="23" t="s">
        <v>8</v>
      </c>
      <c r="L15193" s="23" t="s">
        <v>8</v>
      </c>
      <c r="M15193" s="23" t="s">
        <v>8</v>
      </c>
    </row>
    <row r="15194" spans="1:13" s="21" customFormat="1" x14ac:dyDescent="0.25">
      <c r="A15194" s="22" t="s">
        <v>8</v>
      </c>
      <c r="B15194" s="18" t="str">
        <f>"676165"</f>
        <v>676165</v>
      </c>
      <c r="C15194" s="19" t="s">
        <v>14902</v>
      </c>
      <c r="D15194" s="19" t="s">
        <v>30584</v>
      </c>
      <c r="E15194" s="19" t="s">
        <v>35885</v>
      </c>
      <c r="F15194" s="19" t="s">
        <v>36018</v>
      </c>
      <c r="G15194" s="33" t="str">
        <f>"77375"</f>
        <v>77375</v>
      </c>
      <c r="H15194" s="34" t="s">
        <v>34183</v>
      </c>
      <c r="I15194" s="35">
        <v>18.951000000000001</v>
      </c>
      <c r="J15194" s="47" t="s">
        <v>8</v>
      </c>
      <c r="K15194" s="23" t="s">
        <v>8</v>
      </c>
      <c r="L15194" s="23" t="s">
        <v>8</v>
      </c>
      <c r="M15194" s="23" t="s">
        <v>8</v>
      </c>
    </row>
    <row r="15195" spans="1:13" s="21" customFormat="1" x14ac:dyDescent="0.25">
      <c r="A15195" s="22" t="s">
        <v>8</v>
      </c>
      <c r="B15195" s="18" t="str">
        <f>"676166"</f>
        <v>676166</v>
      </c>
      <c r="C15195" s="19" t="s">
        <v>14903</v>
      </c>
      <c r="D15195" s="19" t="s">
        <v>30585</v>
      </c>
      <c r="E15195" s="19" t="s">
        <v>35947</v>
      </c>
      <c r="F15195" s="19" t="s">
        <v>36018</v>
      </c>
      <c r="G15195" s="33" t="str">
        <f>"77474"</f>
        <v>77474</v>
      </c>
      <c r="H15195" s="34" t="s">
        <v>33383</v>
      </c>
      <c r="I15195" s="35">
        <v>21.347000000000001</v>
      </c>
      <c r="J15195" s="47" t="s">
        <v>8</v>
      </c>
      <c r="K15195" s="23" t="s">
        <v>8</v>
      </c>
      <c r="L15195" s="23" t="s">
        <v>8</v>
      </c>
      <c r="M15195" s="23" t="s">
        <v>8</v>
      </c>
    </row>
    <row r="15196" spans="1:13" s="21" customFormat="1" x14ac:dyDescent="0.25">
      <c r="A15196" s="22" t="s">
        <v>8</v>
      </c>
      <c r="B15196" s="18" t="str">
        <f>"676167"</f>
        <v>676167</v>
      </c>
      <c r="C15196" s="19" t="s">
        <v>14904</v>
      </c>
      <c r="D15196" s="19" t="s">
        <v>30586</v>
      </c>
      <c r="E15196" s="19" t="s">
        <v>35263</v>
      </c>
      <c r="F15196" s="19" t="s">
        <v>36018</v>
      </c>
      <c r="G15196" s="33" t="str">
        <f>"75605"</f>
        <v>75605</v>
      </c>
      <c r="H15196" s="34" t="s">
        <v>36814</v>
      </c>
      <c r="I15196" s="35">
        <v>19.501999999999999</v>
      </c>
      <c r="J15196" s="47" t="s">
        <v>8</v>
      </c>
      <c r="K15196" s="23" t="s">
        <v>8</v>
      </c>
      <c r="L15196" s="23" t="s">
        <v>8</v>
      </c>
      <c r="M15196" s="23" t="s">
        <v>8</v>
      </c>
    </row>
    <row r="15197" spans="1:13" s="21" customFormat="1" x14ac:dyDescent="0.25">
      <c r="A15197" s="22" t="s">
        <v>8</v>
      </c>
      <c r="B15197" s="18" t="str">
        <f>"676168"</f>
        <v>676168</v>
      </c>
      <c r="C15197" s="19" t="s">
        <v>14905</v>
      </c>
      <c r="D15197" s="19" t="s">
        <v>30587</v>
      </c>
      <c r="E15197" s="19" t="s">
        <v>35948</v>
      </c>
      <c r="F15197" s="19" t="s">
        <v>36018</v>
      </c>
      <c r="G15197" s="33" t="str">
        <f>"75077"</f>
        <v>75077</v>
      </c>
      <c r="H15197" s="34" t="s">
        <v>32938</v>
      </c>
      <c r="I15197" s="35">
        <v>18.097999999999999</v>
      </c>
      <c r="J15197" s="47" t="s">
        <v>8</v>
      </c>
      <c r="K15197" s="23" t="s">
        <v>8</v>
      </c>
      <c r="L15197" s="23" t="s">
        <v>8</v>
      </c>
      <c r="M15197" s="23" t="s">
        <v>8</v>
      </c>
    </row>
    <row r="15198" spans="1:13" s="21" customFormat="1" x14ac:dyDescent="0.25">
      <c r="A15198" s="22" t="s">
        <v>8</v>
      </c>
      <c r="B15198" s="18" t="str">
        <f>"676169"</f>
        <v>676169</v>
      </c>
      <c r="C15198" s="19" t="s">
        <v>14906</v>
      </c>
      <c r="D15198" s="19" t="s">
        <v>30588</v>
      </c>
      <c r="E15198" s="19" t="s">
        <v>35949</v>
      </c>
      <c r="F15198" s="19" t="s">
        <v>36018</v>
      </c>
      <c r="G15198" s="33" t="str">
        <f>"78375"</f>
        <v>78375</v>
      </c>
      <c r="H15198" s="34" t="s">
        <v>36807</v>
      </c>
      <c r="I15198" s="35">
        <v>22.332999999999998</v>
      </c>
      <c r="J15198" s="47" t="s">
        <v>8</v>
      </c>
      <c r="K15198" s="23" t="s">
        <v>8</v>
      </c>
      <c r="L15198" s="23" t="s">
        <v>8</v>
      </c>
      <c r="M15198" s="23" t="s">
        <v>8</v>
      </c>
    </row>
    <row r="15199" spans="1:13" s="21" customFormat="1" x14ac:dyDescent="0.25">
      <c r="A15199" s="22" t="s">
        <v>8</v>
      </c>
      <c r="B15199" s="18" t="str">
        <f>"676170"</f>
        <v>676170</v>
      </c>
      <c r="C15199" s="19" t="s">
        <v>14907</v>
      </c>
      <c r="D15199" s="19" t="s">
        <v>30589</v>
      </c>
      <c r="E15199" s="19" t="s">
        <v>33493</v>
      </c>
      <c r="F15199" s="19" t="s">
        <v>36018</v>
      </c>
      <c r="G15199" s="33" t="str">
        <f>"77021"</f>
        <v>77021</v>
      </c>
      <c r="H15199" s="34" t="s">
        <v>34183</v>
      </c>
      <c r="I15199" s="35">
        <v>21.213999999999999</v>
      </c>
      <c r="J15199" s="47" t="s">
        <v>8</v>
      </c>
      <c r="K15199" s="23" t="s">
        <v>8</v>
      </c>
      <c r="L15199" s="23" t="s">
        <v>8</v>
      </c>
      <c r="M15199" s="23" t="s">
        <v>8</v>
      </c>
    </row>
    <row r="15200" spans="1:13" s="21" customFormat="1" x14ac:dyDescent="0.25">
      <c r="A15200" s="22" t="s">
        <v>8</v>
      </c>
      <c r="B15200" s="18" t="str">
        <f>"676171"</f>
        <v>676171</v>
      </c>
      <c r="C15200" s="19" t="s">
        <v>14908</v>
      </c>
      <c r="D15200" s="19" t="s">
        <v>30590</v>
      </c>
      <c r="E15200" s="19" t="s">
        <v>32391</v>
      </c>
      <c r="F15200" s="19" t="s">
        <v>36018</v>
      </c>
      <c r="G15200" s="33" t="str">
        <f>"75657"</f>
        <v>75657</v>
      </c>
      <c r="H15200" s="34" t="s">
        <v>30850</v>
      </c>
      <c r="I15200" s="35">
        <v>17.16</v>
      </c>
      <c r="J15200" s="47" t="s">
        <v>8</v>
      </c>
      <c r="K15200" s="23" t="s">
        <v>8</v>
      </c>
      <c r="L15200" s="23" t="s">
        <v>8</v>
      </c>
      <c r="M15200" s="23" t="s">
        <v>8</v>
      </c>
    </row>
    <row r="15201" spans="1:13" s="21" customFormat="1" x14ac:dyDescent="0.25">
      <c r="A15201" s="22" t="s">
        <v>8</v>
      </c>
      <c r="B15201" s="18" t="str">
        <f>"676172"</f>
        <v>676172</v>
      </c>
      <c r="C15201" s="19" t="s">
        <v>14909</v>
      </c>
      <c r="D15201" s="19" t="s">
        <v>30591</v>
      </c>
      <c r="E15201" s="19" t="s">
        <v>35950</v>
      </c>
      <c r="F15201" s="19" t="s">
        <v>36018</v>
      </c>
      <c r="G15201" s="33" t="str">
        <f>"75845"</f>
        <v>75845</v>
      </c>
      <c r="H15201" s="34" t="s">
        <v>31679</v>
      </c>
      <c r="I15201" s="35">
        <v>20.382000000000001</v>
      </c>
      <c r="J15201" s="47" t="s">
        <v>8</v>
      </c>
      <c r="K15201" s="23" t="s">
        <v>8</v>
      </c>
      <c r="L15201" s="23" t="s">
        <v>8</v>
      </c>
      <c r="M15201" s="23" t="s">
        <v>8</v>
      </c>
    </row>
    <row r="15202" spans="1:13" s="21" customFormat="1" x14ac:dyDescent="0.25">
      <c r="A15202" s="22" t="s">
        <v>8</v>
      </c>
      <c r="B15202" s="18" t="str">
        <f>"676173"</f>
        <v>676173</v>
      </c>
      <c r="C15202" s="19" t="s">
        <v>14910</v>
      </c>
      <c r="D15202" s="19" t="s">
        <v>30592</v>
      </c>
      <c r="E15202" s="19" t="s">
        <v>35951</v>
      </c>
      <c r="F15202" s="19" t="s">
        <v>36018</v>
      </c>
      <c r="G15202" s="33" t="str">
        <f>"78119"</f>
        <v>78119</v>
      </c>
      <c r="H15202" s="34" t="s">
        <v>36822</v>
      </c>
      <c r="I15202" s="35">
        <v>17.681999999999999</v>
      </c>
      <c r="J15202" s="47" t="s">
        <v>8</v>
      </c>
      <c r="K15202" s="23" t="s">
        <v>8</v>
      </c>
      <c r="L15202" s="23" t="s">
        <v>8</v>
      </c>
      <c r="M15202" s="23" t="s">
        <v>8</v>
      </c>
    </row>
    <row r="15203" spans="1:13" s="21" customFormat="1" x14ac:dyDescent="0.25">
      <c r="A15203" s="22" t="s">
        <v>8</v>
      </c>
      <c r="B15203" s="18" t="str">
        <f>"676174"</f>
        <v>676174</v>
      </c>
      <c r="C15203" s="19" t="s">
        <v>14911</v>
      </c>
      <c r="D15203" s="19" t="s">
        <v>30593</v>
      </c>
      <c r="E15203" s="19" t="s">
        <v>33578</v>
      </c>
      <c r="F15203" s="19" t="s">
        <v>36018</v>
      </c>
      <c r="G15203" s="33" t="str">
        <f>"76520"</f>
        <v>76520</v>
      </c>
      <c r="H15203" s="34" t="s">
        <v>36980</v>
      </c>
      <c r="I15203" s="35">
        <v>19.789000000000001</v>
      </c>
      <c r="J15203" s="47" t="s">
        <v>8</v>
      </c>
      <c r="K15203" s="23" t="s">
        <v>8</v>
      </c>
      <c r="L15203" s="23" t="s">
        <v>8</v>
      </c>
      <c r="M15203" s="23" t="s">
        <v>8</v>
      </c>
    </row>
    <row r="15204" spans="1:13" s="21" customFormat="1" x14ac:dyDescent="0.25">
      <c r="A15204" s="22" t="s">
        <v>8</v>
      </c>
      <c r="B15204" s="18" t="str">
        <f>"676175"</f>
        <v>676175</v>
      </c>
      <c r="C15204" s="19" t="s">
        <v>14912</v>
      </c>
      <c r="D15204" s="19" t="s">
        <v>30594</v>
      </c>
      <c r="E15204" s="19" t="s">
        <v>34341</v>
      </c>
      <c r="F15204" s="19" t="s">
        <v>36018</v>
      </c>
      <c r="G15204" s="33" t="str">
        <f>"79714"</f>
        <v>79714</v>
      </c>
      <c r="H15204" s="34" t="s">
        <v>34341</v>
      </c>
      <c r="I15204" s="35">
        <v>19.254999999999999</v>
      </c>
      <c r="J15204" s="47" t="s">
        <v>8</v>
      </c>
      <c r="K15204" s="23" t="s">
        <v>8</v>
      </c>
      <c r="L15204" s="23" t="s">
        <v>8</v>
      </c>
      <c r="M15204" s="23" t="s">
        <v>8</v>
      </c>
    </row>
    <row r="15205" spans="1:13" s="21" customFormat="1" x14ac:dyDescent="0.25">
      <c r="A15205" s="22" t="s">
        <v>8</v>
      </c>
      <c r="B15205" s="18" t="str">
        <f>"676176"</f>
        <v>676176</v>
      </c>
      <c r="C15205" s="19" t="s">
        <v>14913</v>
      </c>
      <c r="D15205" s="19" t="s">
        <v>30595</v>
      </c>
      <c r="E15205" s="19" t="s">
        <v>32833</v>
      </c>
      <c r="F15205" s="19" t="s">
        <v>36018</v>
      </c>
      <c r="G15205" s="33" t="str">
        <f>"76036"</f>
        <v>76036</v>
      </c>
      <c r="H15205" s="34" t="s">
        <v>36806</v>
      </c>
      <c r="I15205" s="35">
        <v>16.491</v>
      </c>
      <c r="J15205" s="47" t="s">
        <v>8</v>
      </c>
      <c r="K15205" s="23" t="s">
        <v>8</v>
      </c>
      <c r="L15205" s="23" t="s">
        <v>8</v>
      </c>
      <c r="M15205" s="23" t="s">
        <v>8</v>
      </c>
    </row>
    <row r="15206" spans="1:13" s="21" customFormat="1" x14ac:dyDescent="0.25">
      <c r="A15206" s="22" t="s">
        <v>8</v>
      </c>
      <c r="B15206" s="18" t="str">
        <f>"676177"</f>
        <v>676177</v>
      </c>
      <c r="C15206" s="19" t="s">
        <v>14914</v>
      </c>
      <c r="D15206" s="19" t="s">
        <v>30596</v>
      </c>
      <c r="E15206" s="19" t="s">
        <v>34383</v>
      </c>
      <c r="F15206" s="19" t="s">
        <v>36018</v>
      </c>
      <c r="G15206" s="33" t="str">
        <f>"75946"</f>
        <v>75946</v>
      </c>
      <c r="H15206" s="34" t="s">
        <v>35279</v>
      </c>
      <c r="I15206" s="35">
        <v>18.957000000000001</v>
      </c>
      <c r="J15206" s="47" t="s">
        <v>8</v>
      </c>
      <c r="K15206" s="23" t="s">
        <v>8</v>
      </c>
      <c r="L15206" s="23" t="s">
        <v>8</v>
      </c>
      <c r="M15206" s="23" t="s">
        <v>8</v>
      </c>
    </row>
    <row r="15207" spans="1:13" s="21" customFormat="1" x14ac:dyDescent="0.25">
      <c r="A15207" s="22" t="s">
        <v>8</v>
      </c>
      <c r="B15207" s="18" t="str">
        <f>"676178"</f>
        <v>676178</v>
      </c>
      <c r="C15207" s="19" t="s">
        <v>14915</v>
      </c>
      <c r="D15207" s="19" t="s">
        <v>30597</v>
      </c>
      <c r="E15207" s="19" t="s">
        <v>35895</v>
      </c>
      <c r="F15207" s="19" t="s">
        <v>36018</v>
      </c>
      <c r="G15207" s="33" t="str">
        <f>"75116"</f>
        <v>75116</v>
      </c>
      <c r="H15207" s="34" t="s">
        <v>31723</v>
      </c>
      <c r="I15207" s="35">
        <v>18.658999999999999</v>
      </c>
      <c r="J15207" s="47" t="s">
        <v>8</v>
      </c>
      <c r="K15207" s="23" t="s">
        <v>8</v>
      </c>
      <c r="L15207" s="23" t="s">
        <v>8</v>
      </c>
      <c r="M15207" s="23" t="s">
        <v>8</v>
      </c>
    </row>
    <row r="15208" spans="1:13" s="21" customFormat="1" x14ac:dyDescent="0.25">
      <c r="A15208" s="22" t="s">
        <v>8</v>
      </c>
      <c r="B15208" s="18" t="str">
        <f>"676179"</f>
        <v>676179</v>
      </c>
      <c r="C15208" s="19" t="s">
        <v>14916</v>
      </c>
      <c r="D15208" s="19" t="s">
        <v>30598</v>
      </c>
      <c r="E15208" s="19" t="s">
        <v>33207</v>
      </c>
      <c r="F15208" s="19" t="s">
        <v>36018</v>
      </c>
      <c r="G15208" s="33" t="str">
        <f>"79705"</f>
        <v>79705</v>
      </c>
      <c r="H15208" s="34" t="s">
        <v>33207</v>
      </c>
      <c r="I15208" s="35">
        <v>19.170000000000002</v>
      </c>
      <c r="J15208" s="47" t="s">
        <v>8</v>
      </c>
      <c r="K15208" s="23" t="s">
        <v>8</v>
      </c>
      <c r="L15208" s="23" t="s">
        <v>8</v>
      </c>
      <c r="M15208" s="23" t="s">
        <v>8</v>
      </c>
    </row>
    <row r="15209" spans="1:13" s="21" customFormat="1" x14ac:dyDescent="0.25">
      <c r="A15209" s="22" t="s">
        <v>8</v>
      </c>
      <c r="B15209" s="18" t="str">
        <f>"676180"</f>
        <v>676180</v>
      </c>
      <c r="C15209" s="19" t="s">
        <v>14917</v>
      </c>
      <c r="D15209" s="19" t="s">
        <v>30599</v>
      </c>
      <c r="E15209" s="19" t="s">
        <v>31915</v>
      </c>
      <c r="F15209" s="19" t="s">
        <v>36018</v>
      </c>
      <c r="G15209" s="33" t="str">
        <f>"78621"</f>
        <v>78621</v>
      </c>
      <c r="H15209" s="34" t="s">
        <v>32780</v>
      </c>
      <c r="I15209" s="35">
        <v>21.053999999999998</v>
      </c>
      <c r="J15209" s="47" t="s">
        <v>8</v>
      </c>
      <c r="K15209" s="23" t="s">
        <v>8</v>
      </c>
      <c r="L15209" s="23" t="s">
        <v>8</v>
      </c>
      <c r="M15209" s="23" t="s">
        <v>8</v>
      </c>
    </row>
    <row r="15210" spans="1:13" s="21" customFormat="1" x14ac:dyDescent="0.25">
      <c r="A15210" s="22" t="s">
        <v>8</v>
      </c>
      <c r="B15210" s="18" t="str">
        <f>"676181"</f>
        <v>676181</v>
      </c>
      <c r="C15210" s="19" t="s">
        <v>14918</v>
      </c>
      <c r="D15210" s="19" t="s">
        <v>30600</v>
      </c>
      <c r="E15210" s="19" t="s">
        <v>31321</v>
      </c>
      <c r="F15210" s="19" t="s">
        <v>36018</v>
      </c>
      <c r="G15210" s="33" t="str">
        <f>"78064"</f>
        <v>78064</v>
      </c>
      <c r="H15210" s="34" t="s">
        <v>36791</v>
      </c>
      <c r="I15210" s="35">
        <v>20.376999999999999</v>
      </c>
      <c r="J15210" s="47" t="s">
        <v>8</v>
      </c>
      <c r="K15210" s="23" t="s">
        <v>8</v>
      </c>
      <c r="L15210" s="23" t="s">
        <v>8</v>
      </c>
      <c r="M15210" s="23" t="s">
        <v>8</v>
      </c>
    </row>
    <row r="15211" spans="1:13" s="21" customFormat="1" x14ac:dyDescent="0.25">
      <c r="A15211" s="22" t="s">
        <v>8</v>
      </c>
      <c r="B15211" s="18" t="str">
        <f>"676183"</f>
        <v>676183</v>
      </c>
      <c r="C15211" s="19" t="s">
        <v>14919</v>
      </c>
      <c r="D15211" s="19" t="s">
        <v>30601</v>
      </c>
      <c r="E15211" s="19" t="s">
        <v>32207</v>
      </c>
      <c r="F15211" s="19" t="s">
        <v>36018</v>
      </c>
      <c r="G15211" s="33" t="str">
        <f>"75949"</f>
        <v>75949</v>
      </c>
      <c r="H15211" s="34" t="s">
        <v>36820</v>
      </c>
      <c r="I15211" s="35">
        <v>18.335000000000001</v>
      </c>
      <c r="J15211" s="47" t="s">
        <v>8</v>
      </c>
      <c r="K15211" s="23" t="s">
        <v>8</v>
      </c>
      <c r="L15211" s="23" t="s">
        <v>8</v>
      </c>
      <c r="M15211" s="23" t="s">
        <v>8</v>
      </c>
    </row>
    <row r="15212" spans="1:13" s="21" customFormat="1" x14ac:dyDescent="0.25">
      <c r="A15212" s="22" t="s">
        <v>8</v>
      </c>
      <c r="B15212" s="18" t="str">
        <f>"676184"</f>
        <v>676184</v>
      </c>
      <c r="C15212" s="19" t="s">
        <v>14920</v>
      </c>
      <c r="D15212" s="19" t="s">
        <v>30602</v>
      </c>
      <c r="E15212" s="19" t="s">
        <v>33401</v>
      </c>
      <c r="F15212" s="19" t="s">
        <v>36018</v>
      </c>
      <c r="G15212" s="33" t="str">
        <f>"75703"</f>
        <v>75703</v>
      </c>
      <c r="H15212" s="34" t="s">
        <v>36304</v>
      </c>
      <c r="I15212" s="35">
        <v>21.609000000000002</v>
      </c>
      <c r="J15212" s="47" t="s">
        <v>8</v>
      </c>
      <c r="K15212" s="23" t="s">
        <v>8</v>
      </c>
      <c r="L15212" s="23" t="s">
        <v>8</v>
      </c>
      <c r="M15212" s="23" t="s">
        <v>8</v>
      </c>
    </row>
    <row r="15213" spans="1:13" s="21" customFormat="1" x14ac:dyDescent="0.25">
      <c r="A15213" s="22" t="s">
        <v>8</v>
      </c>
      <c r="B15213" s="18" t="str">
        <f>"676185"</f>
        <v>676185</v>
      </c>
      <c r="C15213" s="19" t="s">
        <v>14921</v>
      </c>
      <c r="D15213" s="19" t="s">
        <v>30603</v>
      </c>
      <c r="E15213" s="19" t="s">
        <v>35307</v>
      </c>
      <c r="F15213" s="19" t="s">
        <v>36018</v>
      </c>
      <c r="G15213" s="33" t="str">
        <f>"76048"</f>
        <v>76048</v>
      </c>
      <c r="H15213" s="34" t="s">
        <v>36830</v>
      </c>
      <c r="I15213" s="35">
        <v>16.331</v>
      </c>
      <c r="J15213" s="47" t="s">
        <v>8</v>
      </c>
      <c r="K15213" s="23" t="s">
        <v>8</v>
      </c>
      <c r="L15213" s="23" t="s">
        <v>8</v>
      </c>
      <c r="M15213" s="23" t="s">
        <v>8</v>
      </c>
    </row>
    <row r="15214" spans="1:13" s="21" customFormat="1" x14ac:dyDescent="0.25">
      <c r="A15214" s="22" t="s">
        <v>8</v>
      </c>
      <c r="B15214" s="18" t="str">
        <f>"676186"</f>
        <v>676186</v>
      </c>
      <c r="C15214" s="19" t="s">
        <v>14922</v>
      </c>
      <c r="D15214" s="19" t="s">
        <v>30604</v>
      </c>
      <c r="E15214" s="19" t="s">
        <v>35952</v>
      </c>
      <c r="F15214" s="19" t="s">
        <v>36018</v>
      </c>
      <c r="G15214" s="33" t="str">
        <f>"79027"</f>
        <v>79027</v>
      </c>
      <c r="H15214" s="34" t="s">
        <v>36982</v>
      </c>
      <c r="I15214" s="35">
        <v>17.542999999999999</v>
      </c>
      <c r="J15214" s="47" t="s">
        <v>8</v>
      </c>
      <c r="K15214" s="23" t="s">
        <v>8</v>
      </c>
      <c r="L15214" s="23" t="s">
        <v>8</v>
      </c>
      <c r="M15214" s="23" t="s">
        <v>8</v>
      </c>
    </row>
    <row r="15215" spans="1:13" s="21" customFormat="1" x14ac:dyDescent="0.25">
      <c r="A15215" s="22" t="s">
        <v>8</v>
      </c>
      <c r="B15215" s="18" t="str">
        <f>"676187"</f>
        <v>676187</v>
      </c>
      <c r="C15215" s="19" t="s">
        <v>14923</v>
      </c>
      <c r="D15215" s="19" t="s">
        <v>30605</v>
      </c>
      <c r="E15215" s="19" t="s">
        <v>31063</v>
      </c>
      <c r="F15215" s="19" t="s">
        <v>36018</v>
      </c>
      <c r="G15215" s="33" t="str">
        <f>"75672"</f>
        <v>75672</v>
      </c>
      <c r="H15215" s="34" t="s">
        <v>31020</v>
      </c>
      <c r="I15215" s="35">
        <v>20.72</v>
      </c>
      <c r="J15215" s="47" t="s">
        <v>8</v>
      </c>
      <c r="K15215" s="23" t="s">
        <v>8</v>
      </c>
      <c r="L15215" s="23" t="s">
        <v>8</v>
      </c>
      <c r="M15215" s="23" t="s">
        <v>8</v>
      </c>
    </row>
    <row r="15216" spans="1:13" s="21" customFormat="1" x14ac:dyDescent="0.25">
      <c r="A15216" s="22" t="s">
        <v>8</v>
      </c>
      <c r="B15216" s="18" t="str">
        <f>"676188"</f>
        <v>676188</v>
      </c>
      <c r="C15216" s="19" t="s">
        <v>14924</v>
      </c>
      <c r="D15216" s="19" t="s">
        <v>30606</v>
      </c>
      <c r="E15216" s="19" t="s">
        <v>31184</v>
      </c>
      <c r="F15216" s="19" t="s">
        <v>36018</v>
      </c>
      <c r="G15216" s="33" t="str">
        <f>"75146"</f>
        <v>75146</v>
      </c>
      <c r="H15216" s="34" t="s">
        <v>31723</v>
      </c>
      <c r="I15216" s="35">
        <v>19.681000000000001</v>
      </c>
      <c r="J15216" s="47" t="s">
        <v>8</v>
      </c>
      <c r="K15216" s="23" t="s">
        <v>8</v>
      </c>
      <c r="L15216" s="23" t="s">
        <v>8</v>
      </c>
      <c r="M15216" s="23" t="s">
        <v>8</v>
      </c>
    </row>
    <row r="15217" spans="1:13" s="21" customFormat="1" x14ac:dyDescent="0.25">
      <c r="A15217" s="22" t="s">
        <v>8</v>
      </c>
      <c r="B15217" s="18" t="str">
        <f>"676189"</f>
        <v>676189</v>
      </c>
      <c r="C15217" s="19" t="s">
        <v>14925</v>
      </c>
      <c r="D15217" s="19" t="s">
        <v>30607</v>
      </c>
      <c r="E15217" s="19" t="s">
        <v>35299</v>
      </c>
      <c r="F15217" s="19" t="s">
        <v>36018</v>
      </c>
      <c r="G15217" s="33" t="str">
        <f>"75024"</f>
        <v>75024</v>
      </c>
      <c r="H15217" s="34" t="s">
        <v>36828</v>
      </c>
      <c r="I15217" s="35">
        <v>18.87</v>
      </c>
      <c r="J15217" s="47" t="s">
        <v>8</v>
      </c>
      <c r="K15217" s="23" t="s">
        <v>8</v>
      </c>
      <c r="L15217" s="23" t="s">
        <v>8</v>
      </c>
      <c r="M15217" s="23" t="s">
        <v>8</v>
      </c>
    </row>
    <row r="15218" spans="1:13" s="21" customFormat="1" x14ac:dyDescent="0.25">
      <c r="A15218" s="22" t="s">
        <v>8</v>
      </c>
      <c r="B15218" s="18" t="str">
        <f>"676190"</f>
        <v>676190</v>
      </c>
      <c r="C15218" s="19" t="s">
        <v>14926</v>
      </c>
      <c r="D15218" s="19" t="s">
        <v>30608</v>
      </c>
      <c r="E15218" s="19" t="s">
        <v>31050</v>
      </c>
      <c r="F15218" s="19" t="s">
        <v>36018</v>
      </c>
      <c r="G15218" s="33" t="str">
        <f>"75462"</f>
        <v>75462</v>
      </c>
      <c r="H15218" s="34" t="s">
        <v>31372</v>
      </c>
      <c r="I15218" s="35">
        <v>25.36</v>
      </c>
      <c r="J15218" s="47" t="s">
        <v>8</v>
      </c>
      <c r="K15218" s="23" t="s">
        <v>8</v>
      </c>
      <c r="L15218" s="23" t="s">
        <v>8</v>
      </c>
      <c r="M15218" s="23" t="s">
        <v>8</v>
      </c>
    </row>
    <row r="15219" spans="1:13" s="21" customFormat="1" x14ac:dyDescent="0.25">
      <c r="A15219" s="22" t="s">
        <v>8</v>
      </c>
      <c r="B15219" s="18" t="str">
        <f>"676191"</f>
        <v>676191</v>
      </c>
      <c r="C15219" s="19" t="s">
        <v>14927</v>
      </c>
      <c r="D15219" s="19" t="s">
        <v>30609</v>
      </c>
      <c r="E15219" s="19" t="s">
        <v>35240</v>
      </c>
      <c r="F15219" s="19" t="s">
        <v>36018</v>
      </c>
      <c r="G15219" s="33" t="str">
        <f>"78130"</f>
        <v>78130</v>
      </c>
      <c r="H15219" s="34" t="s">
        <v>36801</v>
      </c>
      <c r="I15219" s="35">
        <v>18.734999999999999</v>
      </c>
      <c r="J15219" s="47" t="s">
        <v>8</v>
      </c>
      <c r="K15219" s="23" t="s">
        <v>8</v>
      </c>
      <c r="L15219" s="23" t="s">
        <v>8</v>
      </c>
      <c r="M15219" s="23" t="s">
        <v>8</v>
      </c>
    </row>
    <row r="15220" spans="1:13" s="21" customFormat="1" x14ac:dyDescent="0.25">
      <c r="A15220" s="22" t="s">
        <v>8</v>
      </c>
      <c r="B15220" s="18" t="str">
        <f>"676192"</f>
        <v>676192</v>
      </c>
      <c r="C15220" s="19" t="s">
        <v>14928</v>
      </c>
      <c r="D15220" s="19" t="s">
        <v>30610</v>
      </c>
      <c r="E15220" s="19" t="s">
        <v>35786</v>
      </c>
      <c r="F15220" s="19" t="s">
        <v>36018</v>
      </c>
      <c r="G15220" s="33" t="str">
        <f>"75098"</f>
        <v>75098</v>
      </c>
      <c r="H15220" s="34" t="s">
        <v>36828</v>
      </c>
      <c r="I15220" s="35">
        <v>19.452999999999999</v>
      </c>
      <c r="J15220" s="47" t="s">
        <v>8</v>
      </c>
      <c r="K15220" s="23" t="s">
        <v>8</v>
      </c>
      <c r="L15220" s="23" t="s">
        <v>8</v>
      </c>
      <c r="M15220" s="23" t="s">
        <v>8</v>
      </c>
    </row>
    <row r="15221" spans="1:13" s="21" customFormat="1" x14ac:dyDescent="0.25">
      <c r="A15221" s="22" t="s">
        <v>8</v>
      </c>
      <c r="B15221" s="18" t="str">
        <f>"676193"</f>
        <v>676193</v>
      </c>
      <c r="C15221" s="19" t="s">
        <v>14929</v>
      </c>
      <c r="D15221" s="19" t="s">
        <v>30611</v>
      </c>
      <c r="E15221" s="19" t="s">
        <v>33401</v>
      </c>
      <c r="F15221" s="19" t="s">
        <v>36018</v>
      </c>
      <c r="G15221" s="33" t="str">
        <f>"75703"</f>
        <v>75703</v>
      </c>
      <c r="H15221" s="34" t="s">
        <v>36304</v>
      </c>
      <c r="I15221" s="35">
        <v>21.966999999999999</v>
      </c>
      <c r="J15221" s="47" t="s">
        <v>8</v>
      </c>
      <c r="K15221" s="23" t="s">
        <v>8</v>
      </c>
      <c r="L15221" s="23" t="s">
        <v>8</v>
      </c>
      <c r="M15221" s="23" t="s">
        <v>8</v>
      </c>
    </row>
    <row r="15222" spans="1:13" s="21" customFormat="1" x14ac:dyDescent="0.25">
      <c r="A15222" s="22" t="s">
        <v>8</v>
      </c>
      <c r="B15222" s="18" t="str">
        <f>"676194"</f>
        <v>676194</v>
      </c>
      <c r="C15222" s="19" t="s">
        <v>14930</v>
      </c>
      <c r="D15222" s="19" t="s">
        <v>30612</v>
      </c>
      <c r="E15222" s="19" t="s">
        <v>35281</v>
      </c>
      <c r="F15222" s="19" t="s">
        <v>36018</v>
      </c>
      <c r="G15222" s="33" t="str">
        <f>"77450"</f>
        <v>77450</v>
      </c>
      <c r="H15222" s="34" t="s">
        <v>34183</v>
      </c>
      <c r="I15222" s="35">
        <v>19.960999999999999</v>
      </c>
      <c r="J15222" s="47" t="s">
        <v>8</v>
      </c>
      <c r="K15222" s="23" t="s">
        <v>8</v>
      </c>
      <c r="L15222" s="23" t="s">
        <v>8</v>
      </c>
      <c r="M15222" s="23" t="s">
        <v>8</v>
      </c>
    </row>
    <row r="15223" spans="1:13" s="21" customFormat="1" x14ac:dyDescent="0.25">
      <c r="A15223" s="22" t="s">
        <v>8</v>
      </c>
      <c r="B15223" s="18" t="str">
        <f>"676195"</f>
        <v>676195</v>
      </c>
      <c r="C15223" s="19" t="s">
        <v>14931</v>
      </c>
      <c r="D15223" s="19" t="s">
        <v>30613</v>
      </c>
      <c r="E15223" s="19" t="s">
        <v>35281</v>
      </c>
      <c r="F15223" s="19" t="s">
        <v>36018</v>
      </c>
      <c r="G15223" s="33" t="str">
        <f>"77494"</f>
        <v>77494</v>
      </c>
      <c r="H15223" s="34" t="s">
        <v>36826</v>
      </c>
      <c r="I15223" s="35">
        <v>20.745000000000001</v>
      </c>
      <c r="J15223" s="47" t="s">
        <v>8</v>
      </c>
      <c r="K15223" s="23" t="s">
        <v>8</v>
      </c>
      <c r="L15223" s="23" t="s">
        <v>8</v>
      </c>
      <c r="M15223" s="23" t="s">
        <v>8</v>
      </c>
    </row>
    <row r="15224" spans="1:13" s="21" customFormat="1" x14ac:dyDescent="0.25">
      <c r="A15224" s="22" t="s">
        <v>8</v>
      </c>
      <c r="B15224" s="18" t="str">
        <f>"676196"</f>
        <v>676196</v>
      </c>
      <c r="C15224" s="19" t="s">
        <v>14932</v>
      </c>
      <c r="D15224" s="19" t="s">
        <v>30614</v>
      </c>
      <c r="E15224" s="19" t="s">
        <v>34717</v>
      </c>
      <c r="F15224" s="19" t="s">
        <v>36018</v>
      </c>
      <c r="G15224" s="33" t="str">
        <f>"76505"</f>
        <v>76505</v>
      </c>
      <c r="H15224" s="34" t="s">
        <v>31306</v>
      </c>
      <c r="I15224" s="35">
        <v>18.751999999999999</v>
      </c>
      <c r="J15224" s="47" t="s">
        <v>8</v>
      </c>
      <c r="K15224" s="23" t="s">
        <v>8</v>
      </c>
      <c r="L15224" s="23" t="s">
        <v>8</v>
      </c>
      <c r="M15224" s="23" t="s">
        <v>8</v>
      </c>
    </row>
    <row r="15225" spans="1:13" s="21" customFormat="1" x14ac:dyDescent="0.25">
      <c r="A15225" s="22" t="s">
        <v>8</v>
      </c>
      <c r="B15225" s="18" t="str">
        <f>"676197"</f>
        <v>676197</v>
      </c>
      <c r="C15225" s="19" t="s">
        <v>14933</v>
      </c>
      <c r="D15225" s="19" t="s">
        <v>30615</v>
      </c>
      <c r="E15225" s="19" t="s">
        <v>35274</v>
      </c>
      <c r="F15225" s="19" t="s">
        <v>36018</v>
      </c>
      <c r="G15225" s="33" t="str">
        <f>"76033"</f>
        <v>76033</v>
      </c>
      <c r="H15225" s="34" t="s">
        <v>36072</v>
      </c>
      <c r="I15225" s="35">
        <v>16.844999999999999</v>
      </c>
      <c r="J15225" s="47" t="s">
        <v>8</v>
      </c>
      <c r="K15225" s="23" t="s">
        <v>8</v>
      </c>
      <c r="L15225" s="23" t="s">
        <v>8</v>
      </c>
      <c r="M15225" s="23" t="s">
        <v>8</v>
      </c>
    </row>
    <row r="15226" spans="1:13" s="21" customFormat="1" x14ac:dyDescent="0.25">
      <c r="A15226" s="22" t="s">
        <v>8</v>
      </c>
      <c r="B15226" s="18" t="str">
        <f>"676198"</f>
        <v>676198</v>
      </c>
      <c r="C15226" s="19" t="s">
        <v>14934</v>
      </c>
      <c r="D15226" s="19" t="s">
        <v>30616</v>
      </c>
      <c r="E15226" s="19" t="s">
        <v>33383</v>
      </c>
      <c r="F15226" s="19" t="s">
        <v>36018</v>
      </c>
      <c r="G15226" s="33" t="str">
        <f>"78735"</f>
        <v>78735</v>
      </c>
      <c r="H15226" s="34" t="s">
        <v>36817</v>
      </c>
      <c r="I15226" s="35">
        <v>15.579000000000001</v>
      </c>
      <c r="J15226" s="47" t="s">
        <v>8</v>
      </c>
      <c r="K15226" s="23" t="s">
        <v>8</v>
      </c>
      <c r="L15226" s="23" t="s">
        <v>8</v>
      </c>
      <c r="M15226" s="23" t="s">
        <v>8</v>
      </c>
    </row>
    <row r="15227" spans="1:13" s="21" customFormat="1" x14ac:dyDescent="0.25">
      <c r="A15227" s="22" t="s">
        <v>8</v>
      </c>
      <c r="B15227" s="18" t="str">
        <f>"676199"</f>
        <v>676199</v>
      </c>
      <c r="C15227" s="19" t="s">
        <v>14935</v>
      </c>
      <c r="D15227" s="19" t="s">
        <v>30617</v>
      </c>
      <c r="E15227" s="19" t="s">
        <v>32762</v>
      </c>
      <c r="F15227" s="19" t="s">
        <v>36018</v>
      </c>
      <c r="G15227" s="33" t="str">
        <f>"78520"</f>
        <v>78520</v>
      </c>
      <c r="H15227" s="34" t="s">
        <v>33578</v>
      </c>
      <c r="I15227" s="35">
        <v>21.905999999999999</v>
      </c>
      <c r="J15227" s="47" t="s">
        <v>8</v>
      </c>
      <c r="K15227" s="23" t="s">
        <v>8</v>
      </c>
      <c r="L15227" s="23" t="s">
        <v>8</v>
      </c>
      <c r="M15227" s="23" t="s">
        <v>8</v>
      </c>
    </row>
    <row r="15228" spans="1:13" s="21" customFormat="1" x14ac:dyDescent="0.25">
      <c r="A15228" s="22" t="s">
        <v>8</v>
      </c>
      <c r="B15228" s="18" t="str">
        <f>"676201"</f>
        <v>676201</v>
      </c>
      <c r="C15228" s="19" t="s">
        <v>14936</v>
      </c>
      <c r="D15228" s="19" t="s">
        <v>30618</v>
      </c>
      <c r="E15228" s="19" t="s">
        <v>35870</v>
      </c>
      <c r="F15228" s="19" t="s">
        <v>36018</v>
      </c>
      <c r="G15228" s="33" t="str">
        <f>"77584"</f>
        <v>77584</v>
      </c>
      <c r="H15228" s="34" t="s">
        <v>36808</v>
      </c>
      <c r="I15228" s="35">
        <v>17.843</v>
      </c>
      <c r="J15228" s="47" t="s">
        <v>8</v>
      </c>
      <c r="K15228" s="23" t="s">
        <v>8</v>
      </c>
      <c r="L15228" s="23" t="s">
        <v>8</v>
      </c>
      <c r="M15228" s="23" t="s">
        <v>8</v>
      </c>
    </row>
    <row r="15229" spans="1:13" s="21" customFormat="1" x14ac:dyDescent="0.25">
      <c r="A15229" s="22" t="s">
        <v>8</v>
      </c>
      <c r="B15229" s="18" t="str">
        <f>"676202"</f>
        <v>676202</v>
      </c>
      <c r="C15229" s="19" t="s">
        <v>14937</v>
      </c>
      <c r="D15229" s="19" t="s">
        <v>30619</v>
      </c>
      <c r="E15229" s="19" t="s">
        <v>35292</v>
      </c>
      <c r="F15229" s="19" t="s">
        <v>36018</v>
      </c>
      <c r="G15229" s="33" t="str">
        <f>"78681"</f>
        <v>78681</v>
      </c>
      <c r="H15229" s="34" t="s">
        <v>35514</v>
      </c>
      <c r="I15229" s="35">
        <v>20.952999999999999</v>
      </c>
      <c r="J15229" s="47" t="s">
        <v>8</v>
      </c>
      <c r="K15229" s="23" t="s">
        <v>8</v>
      </c>
      <c r="L15229" s="23" t="s">
        <v>8</v>
      </c>
      <c r="M15229" s="23" t="s">
        <v>8</v>
      </c>
    </row>
    <row r="15230" spans="1:13" s="21" customFormat="1" x14ac:dyDescent="0.25">
      <c r="A15230" s="22" t="s">
        <v>8</v>
      </c>
      <c r="B15230" s="18" t="str">
        <f>"676203"</f>
        <v>676203</v>
      </c>
      <c r="C15230" s="19" t="s">
        <v>11297</v>
      </c>
      <c r="D15230" s="19" t="s">
        <v>30620</v>
      </c>
      <c r="E15230" s="19" t="s">
        <v>35304</v>
      </c>
      <c r="F15230" s="19" t="s">
        <v>36018</v>
      </c>
      <c r="G15230" s="33" t="str">
        <f>"76309"</f>
        <v>76309</v>
      </c>
      <c r="H15230" s="34" t="s">
        <v>32555</v>
      </c>
      <c r="I15230" s="35">
        <v>18.803000000000001</v>
      </c>
      <c r="J15230" s="47" t="s">
        <v>8</v>
      </c>
      <c r="K15230" s="23" t="s">
        <v>8</v>
      </c>
      <c r="L15230" s="23" t="s">
        <v>8</v>
      </c>
      <c r="M15230" s="23" t="s">
        <v>8</v>
      </c>
    </row>
    <row r="15231" spans="1:13" s="21" customFormat="1" x14ac:dyDescent="0.25">
      <c r="A15231" s="22" t="s">
        <v>8</v>
      </c>
      <c r="B15231" s="18" t="str">
        <f>"676204"</f>
        <v>676204</v>
      </c>
      <c r="C15231" s="19" t="s">
        <v>14938</v>
      </c>
      <c r="D15231" s="19" t="s">
        <v>30621</v>
      </c>
      <c r="E15231" s="19" t="s">
        <v>35288</v>
      </c>
      <c r="F15231" s="19" t="s">
        <v>36018</v>
      </c>
      <c r="G15231" s="33" t="str">
        <f>"77521"</f>
        <v>77521</v>
      </c>
      <c r="H15231" s="34" t="s">
        <v>34183</v>
      </c>
      <c r="I15231" s="35">
        <v>19.905999999999999</v>
      </c>
      <c r="J15231" s="47" t="s">
        <v>8</v>
      </c>
      <c r="K15231" s="23" t="s">
        <v>8</v>
      </c>
      <c r="L15231" s="23" t="s">
        <v>8</v>
      </c>
      <c r="M15231" s="23" t="s">
        <v>8</v>
      </c>
    </row>
    <row r="15232" spans="1:13" s="21" customFormat="1" x14ac:dyDescent="0.25">
      <c r="A15232" s="22" t="s">
        <v>8</v>
      </c>
      <c r="B15232" s="18" t="str">
        <f>"676205"</f>
        <v>676205</v>
      </c>
      <c r="C15232" s="19" t="s">
        <v>14939</v>
      </c>
      <c r="D15232" s="19" t="s">
        <v>30622</v>
      </c>
      <c r="E15232" s="19" t="s">
        <v>35292</v>
      </c>
      <c r="F15232" s="19" t="s">
        <v>36018</v>
      </c>
      <c r="G15232" s="33" t="str">
        <f>"78681"</f>
        <v>78681</v>
      </c>
      <c r="H15232" s="34" t="s">
        <v>35514</v>
      </c>
      <c r="I15232" s="35">
        <v>20.193999999999999</v>
      </c>
      <c r="J15232" s="47" t="s">
        <v>8</v>
      </c>
      <c r="K15232" s="23" t="s">
        <v>8</v>
      </c>
      <c r="L15232" s="23" t="s">
        <v>8</v>
      </c>
      <c r="M15232" s="23" t="s">
        <v>8</v>
      </c>
    </row>
    <row r="15233" spans="1:13" s="21" customFormat="1" x14ac:dyDescent="0.25">
      <c r="A15233" s="22" t="s">
        <v>8</v>
      </c>
      <c r="B15233" s="18" t="str">
        <f>"676206"</f>
        <v>676206</v>
      </c>
      <c r="C15233" s="19" t="s">
        <v>14940</v>
      </c>
      <c r="D15233" s="19" t="s">
        <v>30623</v>
      </c>
      <c r="E15233" s="19" t="s">
        <v>35851</v>
      </c>
      <c r="F15233" s="19" t="s">
        <v>36018</v>
      </c>
      <c r="G15233" s="33" t="str">
        <f>"78539"</f>
        <v>78539</v>
      </c>
      <c r="H15233" s="34" t="s">
        <v>36592</v>
      </c>
      <c r="I15233" s="35">
        <v>15.656000000000001</v>
      </c>
      <c r="J15233" s="47" t="s">
        <v>8</v>
      </c>
      <c r="K15233" s="23" t="s">
        <v>8</v>
      </c>
      <c r="L15233" s="23" t="s">
        <v>8</v>
      </c>
      <c r="M15233" s="23" t="s">
        <v>8</v>
      </c>
    </row>
    <row r="15234" spans="1:13" s="21" customFormat="1" x14ac:dyDescent="0.25">
      <c r="A15234" s="22" t="s">
        <v>8</v>
      </c>
      <c r="B15234" s="18" t="str">
        <f>"676207"</f>
        <v>676207</v>
      </c>
      <c r="C15234" s="19" t="s">
        <v>14941</v>
      </c>
      <c r="D15234" s="19" t="s">
        <v>30624</v>
      </c>
      <c r="E15234" s="19" t="s">
        <v>35870</v>
      </c>
      <c r="F15234" s="19" t="s">
        <v>36018</v>
      </c>
      <c r="G15234" s="33" t="str">
        <f>"77584"</f>
        <v>77584</v>
      </c>
      <c r="H15234" s="34" t="s">
        <v>36808</v>
      </c>
      <c r="I15234" s="35">
        <v>18.321999999999999</v>
      </c>
      <c r="J15234" s="47" t="s">
        <v>8</v>
      </c>
      <c r="K15234" s="23" t="s">
        <v>8</v>
      </c>
      <c r="L15234" s="23" t="s">
        <v>8</v>
      </c>
      <c r="M15234" s="23" t="s">
        <v>8</v>
      </c>
    </row>
    <row r="15235" spans="1:13" s="21" customFormat="1" x14ac:dyDescent="0.25">
      <c r="A15235" s="22" t="s">
        <v>8</v>
      </c>
      <c r="B15235" s="18" t="str">
        <f>"676208"</f>
        <v>676208</v>
      </c>
      <c r="C15235" s="19" t="s">
        <v>14942</v>
      </c>
      <c r="D15235" s="19" t="s">
        <v>30625</v>
      </c>
      <c r="E15235" s="19" t="s">
        <v>33493</v>
      </c>
      <c r="F15235" s="19" t="s">
        <v>36018</v>
      </c>
      <c r="G15235" s="33" t="str">
        <f>"77095"</f>
        <v>77095</v>
      </c>
      <c r="H15235" s="34" t="s">
        <v>34183</v>
      </c>
      <c r="I15235" s="35">
        <v>22.315999999999999</v>
      </c>
      <c r="J15235" s="47" t="s">
        <v>8</v>
      </c>
      <c r="K15235" s="23" t="s">
        <v>8</v>
      </c>
      <c r="L15235" s="23" t="s">
        <v>8</v>
      </c>
      <c r="M15235" s="23" t="s">
        <v>8</v>
      </c>
    </row>
    <row r="15236" spans="1:13" s="21" customFormat="1" x14ac:dyDescent="0.25">
      <c r="A15236" s="22" t="s">
        <v>8</v>
      </c>
      <c r="B15236" s="18" t="str">
        <f>"676209"</f>
        <v>676209</v>
      </c>
      <c r="C15236" s="19" t="s">
        <v>14943</v>
      </c>
      <c r="D15236" s="19" t="s">
        <v>30626</v>
      </c>
      <c r="E15236" s="19" t="s">
        <v>30853</v>
      </c>
      <c r="F15236" s="19" t="s">
        <v>36018</v>
      </c>
      <c r="G15236" s="33" t="str">
        <f>"76234"</f>
        <v>76234</v>
      </c>
      <c r="H15236" s="34" t="s">
        <v>35421</v>
      </c>
      <c r="I15236" s="35">
        <v>20.062999999999999</v>
      </c>
      <c r="J15236" s="47" t="s">
        <v>8</v>
      </c>
      <c r="K15236" s="23" t="s">
        <v>8</v>
      </c>
      <c r="L15236" s="23" t="s">
        <v>8</v>
      </c>
      <c r="M15236" s="23" t="s">
        <v>8</v>
      </c>
    </row>
    <row r="15237" spans="1:13" s="21" customFormat="1" x14ac:dyDescent="0.25">
      <c r="A15237" s="22" t="s">
        <v>8</v>
      </c>
      <c r="B15237" s="18" t="str">
        <f>"676210"</f>
        <v>676210</v>
      </c>
      <c r="C15237" s="19" t="s">
        <v>14944</v>
      </c>
      <c r="D15237" s="19" t="s">
        <v>30627</v>
      </c>
      <c r="E15237" s="19" t="s">
        <v>35239</v>
      </c>
      <c r="F15237" s="19" t="s">
        <v>36018</v>
      </c>
      <c r="G15237" s="33" t="str">
        <f>"77707"</f>
        <v>77707</v>
      </c>
      <c r="H15237" s="34" t="s">
        <v>32391</v>
      </c>
      <c r="I15237" s="35">
        <v>21.564</v>
      </c>
      <c r="J15237" s="47" t="s">
        <v>8</v>
      </c>
      <c r="K15237" s="23" t="s">
        <v>8</v>
      </c>
      <c r="L15237" s="23" t="s">
        <v>8</v>
      </c>
      <c r="M15237" s="23" t="s">
        <v>8</v>
      </c>
    </row>
    <row r="15238" spans="1:13" s="21" customFormat="1" x14ac:dyDescent="0.25">
      <c r="A15238" s="22" t="s">
        <v>8</v>
      </c>
      <c r="B15238" s="18" t="str">
        <f>"676211"</f>
        <v>676211</v>
      </c>
      <c r="C15238" s="19" t="s">
        <v>14945</v>
      </c>
      <c r="D15238" s="19" t="s">
        <v>30628</v>
      </c>
      <c r="E15238" s="19" t="s">
        <v>35250</v>
      </c>
      <c r="F15238" s="19" t="s">
        <v>36018</v>
      </c>
      <c r="G15238" s="33" t="str">
        <f>"76712"</f>
        <v>76712</v>
      </c>
      <c r="H15238" s="34" t="s">
        <v>36809</v>
      </c>
      <c r="I15238" s="35">
        <v>17.776</v>
      </c>
      <c r="J15238" s="47" t="s">
        <v>8</v>
      </c>
      <c r="K15238" s="23" t="s">
        <v>8</v>
      </c>
      <c r="L15238" s="23" t="s">
        <v>8</v>
      </c>
      <c r="M15238" s="23" t="s">
        <v>8</v>
      </c>
    </row>
    <row r="15239" spans="1:13" s="21" customFormat="1" x14ac:dyDescent="0.25">
      <c r="A15239" s="22" t="s">
        <v>8</v>
      </c>
      <c r="B15239" s="18" t="str">
        <f>"676212"</f>
        <v>676212</v>
      </c>
      <c r="C15239" s="19" t="s">
        <v>14946</v>
      </c>
      <c r="D15239" s="19" t="s">
        <v>30629</v>
      </c>
      <c r="E15239" s="19" t="s">
        <v>34690</v>
      </c>
      <c r="F15239" s="19" t="s">
        <v>36018</v>
      </c>
      <c r="G15239" s="33" t="str">
        <f>"76086"</f>
        <v>76086</v>
      </c>
      <c r="H15239" s="34" t="s">
        <v>31392</v>
      </c>
      <c r="I15239" s="35">
        <v>19.161999999999999</v>
      </c>
      <c r="J15239" s="47" t="s">
        <v>8</v>
      </c>
      <c r="K15239" s="23" t="s">
        <v>8</v>
      </c>
      <c r="L15239" s="23" t="s">
        <v>8</v>
      </c>
      <c r="M15239" s="23" t="s">
        <v>8</v>
      </c>
    </row>
    <row r="15240" spans="1:13" s="21" customFormat="1" x14ac:dyDescent="0.25">
      <c r="A15240" s="22" t="s">
        <v>8</v>
      </c>
      <c r="B15240" s="18" t="str">
        <f>"676213"</f>
        <v>676213</v>
      </c>
      <c r="C15240" s="19" t="s">
        <v>14947</v>
      </c>
      <c r="D15240" s="19" t="s">
        <v>30630</v>
      </c>
      <c r="E15240" s="19" t="s">
        <v>35953</v>
      </c>
      <c r="F15240" s="19" t="s">
        <v>36018</v>
      </c>
      <c r="G15240" s="33" t="str">
        <f>"76643"</f>
        <v>76643</v>
      </c>
      <c r="H15240" s="34" t="s">
        <v>36809</v>
      </c>
      <c r="I15240" s="35">
        <v>20.303000000000001</v>
      </c>
      <c r="J15240" s="47" t="s">
        <v>8</v>
      </c>
      <c r="K15240" s="23" t="s">
        <v>8</v>
      </c>
      <c r="L15240" s="23" t="s">
        <v>8</v>
      </c>
      <c r="M15240" s="23" t="s">
        <v>8</v>
      </c>
    </row>
    <row r="15241" spans="1:13" s="21" customFormat="1" x14ac:dyDescent="0.25">
      <c r="A15241" s="22" t="s">
        <v>8</v>
      </c>
      <c r="B15241" s="18" t="str">
        <f>"676214"</f>
        <v>676214</v>
      </c>
      <c r="C15241" s="19" t="s">
        <v>14948</v>
      </c>
      <c r="D15241" s="19" t="s">
        <v>30631</v>
      </c>
      <c r="E15241" s="19" t="s">
        <v>35954</v>
      </c>
      <c r="F15241" s="19" t="s">
        <v>36018</v>
      </c>
      <c r="G15241" s="33" t="str">
        <f>"78076"</f>
        <v>78076</v>
      </c>
      <c r="H15241" s="34" t="s">
        <v>35954</v>
      </c>
      <c r="I15241" s="35">
        <v>18.742999999999999</v>
      </c>
      <c r="J15241" s="47" t="s">
        <v>8</v>
      </c>
      <c r="K15241" s="23" t="s">
        <v>8</v>
      </c>
      <c r="L15241" s="23" t="s">
        <v>8</v>
      </c>
      <c r="M15241" s="23" t="s">
        <v>8</v>
      </c>
    </row>
    <row r="15242" spans="1:13" s="21" customFormat="1" x14ac:dyDescent="0.25">
      <c r="A15242" s="22" t="s">
        <v>8</v>
      </c>
      <c r="B15242" s="18" t="str">
        <f>"676215"</f>
        <v>676215</v>
      </c>
      <c r="C15242" s="19" t="s">
        <v>14949</v>
      </c>
      <c r="D15242" s="19" t="s">
        <v>30632</v>
      </c>
      <c r="E15242" s="19" t="s">
        <v>31723</v>
      </c>
      <c r="F15242" s="19" t="s">
        <v>36018</v>
      </c>
      <c r="G15242" s="33" t="str">
        <f>"75204"</f>
        <v>75204</v>
      </c>
      <c r="H15242" s="34" t="s">
        <v>31723</v>
      </c>
      <c r="I15242" s="35">
        <v>16.835000000000001</v>
      </c>
      <c r="J15242" s="47" t="s">
        <v>8</v>
      </c>
      <c r="K15242" s="23" t="s">
        <v>8</v>
      </c>
      <c r="L15242" s="23" t="s">
        <v>8</v>
      </c>
      <c r="M15242" s="23" t="s">
        <v>8</v>
      </c>
    </row>
    <row r="15243" spans="1:13" s="21" customFormat="1" x14ac:dyDescent="0.25">
      <c r="A15243" s="22" t="s">
        <v>8</v>
      </c>
      <c r="B15243" s="18" t="str">
        <f>"676216"</f>
        <v>676216</v>
      </c>
      <c r="C15243" s="19" t="s">
        <v>14950</v>
      </c>
      <c r="D15243" s="19" t="s">
        <v>30633</v>
      </c>
      <c r="E15243" s="19" t="s">
        <v>35244</v>
      </c>
      <c r="F15243" s="19" t="s">
        <v>36018</v>
      </c>
      <c r="G15243" s="33" t="str">
        <f>"78240"</f>
        <v>78240</v>
      </c>
      <c r="H15243" s="34" t="s">
        <v>36805</v>
      </c>
      <c r="I15243" s="35">
        <v>17.849</v>
      </c>
      <c r="J15243" s="47" t="s">
        <v>8</v>
      </c>
      <c r="K15243" s="23" t="s">
        <v>8</v>
      </c>
      <c r="L15243" s="23" t="s">
        <v>8</v>
      </c>
      <c r="M15243" s="23" t="s">
        <v>8</v>
      </c>
    </row>
    <row r="15244" spans="1:13" s="21" customFormat="1" x14ac:dyDescent="0.25">
      <c r="A15244" s="22" t="s">
        <v>8</v>
      </c>
      <c r="B15244" s="18" t="str">
        <f>"676217"</f>
        <v>676217</v>
      </c>
      <c r="C15244" s="19" t="s">
        <v>14951</v>
      </c>
      <c r="D15244" s="19" t="s">
        <v>30634</v>
      </c>
      <c r="E15244" s="19" t="s">
        <v>35955</v>
      </c>
      <c r="F15244" s="19" t="s">
        <v>36018</v>
      </c>
      <c r="G15244" s="33" t="str">
        <f>"75189"</f>
        <v>75189</v>
      </c>
      <c r="H15244" s="34" t="s">
        <v>35847</v>
      </c>
      <c r="I15244" s="35">
        <v>17.963999999999999</v>
      </c>
      <c r="J15244" s="47" t="s">
        <v>8</v>
      </c>
      <c r="K15244" s="23" t="s">
        <v>8</v>
      </c>
      <c r="L15244" s="23" t="s">
        <v>8</v>
      </c>
      <c r="M15244" s="23" t="s">
        <v>8</v>
      </c>
    </row>
    <row r="15245" spans="1:13" s="21" customFormat="1" x14ac:dyDescent="0.25">
      <c r="A15245" s="22" t="s">
        <v>8</v>
      </c>
      <c r="B15245" s="18" t="str">
        <f>"676218"</f>
        <v>676218</v>
      </c>
      <c r="C15245" s="19" t="s">
        <v>14952</v>
      </c>
      <c r="D15245" s="19" t="s">
        <v>30635</v>
      </c>
      <c r="E15245" s="19" t="s">
        <v>35239</v>
      </c>
      <c r="F15245" s="19" t="s">
        <v>36018</v>
      </c>
      <c r="G15245" s="33" t="str">
        <f>"77706"</f>
        <v>77706</v>
      </c>
      <c r="H15245" s="34" t="s">
        <v>32391</v>
      </c>
      <c r="I15245" s="35">
        <v>18.431999999999999</v>
      </c>
      <c r="J15245" s="47" t="s">
        <v>8</v>
      </c>
      <c r="K15245" s="23" t="s">
        <v>8</v>
      </c>
      <c r="L15245" s="23" t="s">
        <v>8</v>
      </c>
      <c r="M15245" s="23" t="s">
        <v>8</v>
      </c>
    </row>
    <row r="15246" spans="1:13" s="21" customFormat="1" x14ac:dyDescent="0.25">
      <c r="A15246" s="22" t="s">
        <v>8</v>
      </c>
      <c r="B15246" s="18" t="str">
        <f>"676219"</f>
        <v>676219</v>
      </c>
      <c r="C15246" s="19" t="s">
        <v>14953</v>
      </c>
      <c r="D15246" s="19" t="s">
        <v>30636</v>
      </c>
      <c r="E15246" s="19" t="s">
        <v>32593</v>
      </c>
      <c r="F15246" s="19" t="s">
        <v>36018</v>
      </c>
      <c r="G15246" s="33" t="str">
        <f>"79606"</f>
        <v>79606</v>
      </c>
      <c r="H15246" s="34" t="s">
        <v>31080</v>
      </c>
      <c r="I15246" s="35">
        <v>16.725000000000001</v>
      </c>
      <c r="J15246" s="47" t="s">
        <v>8</v>
      </c>
      <c r="K15246" s="23" t="s">
        <v>8</v>
      </c>
      <c r="L15246" s="23" t="s">
        <v>8</v>
      </c>
      <c r="M15246" s="23" t="s">
        <v>8</v>
      </c>
    </row>
    <row r="15247" spans="1:13" s="21" customFormat="1" x14ac:dyDescent="0.25">
      <c r="A15247" s="22" t="s">
        <v>8</v>
      </c>
      <c r="B15247" s="18" t="str">
        <f>"676220"</f>
        <v>676220</v>
      </c>
      <c r="C15247" s="19" t="s">
        <v>14954</v>
      </c>
      <c r="D15247" s="19" t="s">
        <v>30637</v>
      </c>
      <c r="E15247" s="19" t="s">
        <v>35956</v>
      </c>
      <c r="F15247" s="19" t="s">
        <v>36018</v>
      </c>
      <c r="G15247" s="33" t="str">
        <f>"78654"</f>
        <v>78654</v>
      </c>
      <c r="H15247" s="34" t="s">
        <v>35878</v>
      </c>
      <c r="I15247" s="35">
        <v>17.876000000000001</v>
      </c>
      <c r="J15247" s="47" t="s">
        <v>8</v>
      </c>
      <c r="K15247" s="23" t="s">
        <v>8</v>
      </c>
      <c r="L15247" s="23" t="s">
        <v>8</v>
      </c>
      <c r="M15247" s="23" t="s">
        <v>8</v>
      </c>
    </row>
    <row r="15248" spans="1:13" s="21" customFormat="1" x14ac:dyDescent="0.25">
      <c r="A15248" s="22" t="s">
        <v>8</v>
      </c>
      <c r="B15248" s="18" t="str">
        <f>"676221"</f>
        <v>676221</v>
      </c>
      <c r="C15248" s="19" t="s">
        <v>14955</v>
      </c>
      <c r="D15248" s="19" t="s">
        <v>30638</v>
      </c>
      <c r="E15248" s="19" t="s">
        <v>35281</v>
      </c>
      <c r="F15248" s="19" t="s">
        <v>36018</v>
      </c>
      <c r="G15248" s="33" t="str">
        <f>"77493"</f>
        <v>77493</v>
      </c>
      <c r="H15248" s="34" t="s">
        <v>34183</v>
      </c>
      <c r="I15248" s="35">
        <v>20.138999999999999</v>
      </c>
      <c r="J15248" s="47" t="s">
        <v>8</v>
      </c>
      <c r="K15248" s="23" t="s">
        <v>8</v>
      </c>
      <c r="L15248" s="23" t="s">
        <v>8</v>
      </c>
      <c r="M15248" s="23" t="s">
        <v>8</v>
      </c>
    </row>
    <row r="15249" spans="1:13" s="21" customFormat="1" x14ac:dyDescent="0.25">
      <c r="A15249" s="22" t="s">
        <v>8</v>
      </c>
      <c r="B15249" s="18" t="str">
        <f>"676222"</f>
        <v>676222</v>
      </c>
      <c r="C15249" s="19" t="s">
        <v>14956</v>
      </c>
      <c r="D15249" s="19" t="s">
        <v>30639</v>
      </c>
      <c r="E15249" s="19" t="s">
        <v>32780</v>
      </c>
      <c r="F15249" s="19" t="s">
        <v>36018</v>
      </c>
      <c r="G15249" s="33" t="str">
        <f>"78602"</f>
        <v>78602</v>
      </c>
      <c r="H15249" s="34" t="s">
        <v>32780</v>
      </c>
      <c r="I15249" s="35">
        <v>20.652000000000001</v>
      </c>
      <c r="J15249" s="47" t="s">
        <v>8</v>
      </c>
      <c r="K15249" s="23" t="s">
        <v>8</v>
      </c>
      <c r="L15249" s="23" t="s">
        <v>8</v>
      </c>
      <c r="M15249" s="23" t="s">
        <v>8</v>
      </c>
    </row>
    <row r="15250" spans="1:13" s="21" customFormat="1" x14ac:dyDescent="0.25">
      <c r="A15250" s="22" t="s">
        <v>8</v>
      </c>
      <c r="B15250" s="18" t="str">
        <f>"676223"</f>
        <v>676223</v>
      </c>
      <c r="C15250" s="19" t="s">
        <v>14957</v>
      </c>
      <c r="D15250" s="19" t="s">
        <v>30640</v>
      </c>
      <c r="E15250" s="19" t="s">
        <v>35957</v>
      </c>
      <c r="F15250" s="19" t="s">
        <v>36018</v>
      </c>
      <c r="G15250" s="33" t="str">
        <f>"77568"</f>
        <v>77568</v>
      </c>
      <c r="H15250" s="34" t="s">
        <v>35824</v>
      </c>
      <c r="I15250" s="35">
        <v>15.103</v>
      </c>
      <c r="J15250" s="47" t="s">
        <v>8</v>
      </c>
      <c r="K15250" s="23" t="s">
        <v>8</v>
      </c>
      <c r="L15250" s="23" t="s">
        <v>8</v>
      </c>
      <c r="M15250" s="23" t="s">
        <v>8</v>
      </c>
    </row>
    <row r="15251" spans="1:13" s="21" customFormat="1" x14ac:dyDescent="0.25">
      <c r="A15251" s="22" t="s">
        <v>8</v>
      </c>
      <c r="B15251" s="18" t="str">
        <f>"676224"</f>
        <v>676224</v>
      </c>
      <c r="C15251" s="19" t="s">
        <v>14958</v>
      </c>
      <c r="D15251" s="19" t="s">
        <v>30641</v>
      </c>
      <c r="E15251" s="19" t="s">
        <v>35244</v>
      </c>
      <c r="F15251" s="19" t="s">
        <v>36018</v>
      </c>
      <c r="G15251" s="33" t="str">
        <f>"78240"</f>
        <v>78240</v>
      </c>
      <c r="H15251" s="34" t="s">
        <v>36805</v>
      </c>
      <c r="I15251" s="35">
        <v>18.927</v>
      </c>
      <c r="J15251" s="47" t="s">
        <v>8</v>
      </c>
      <c r="K15251" s="23" t="s">
        <v>8</v>
      </c>
      <c r="L15251" s="23" t="s">
        <v>8</v>
      </c>
      <c r="M15251" s="23" t="s">
        <v>8</v>
      </c>
    </row>
    <row r="15252" spans="1:13" s="21" customFormat="1" x14ac:dyDescent="0.25">
      <c r="A15252" s="22" t="s">
        <v>8</v>
      </c>
      <c r="B15252" s="18" t="str">
        <f>"676225"</f>
        <v>676225</v>
      </c>
      <c r="C15252" s="19" t="s">
        <v>14959</v>
      </c>
      <c r="D15252" s="19" t="s">
        <v>30642</v>
      </c>
      <c r="E15252" s="19" t="s">
        <v>35958</v>
      </c>
      <c r="F15252" s="19" t="s">
        <v>36018</v>
      </c>
      <c r="G15252" s="33" t="str">
        <f>"79512"</f>
        <v>79512</v>
      </c>
      <c r="H15252" s="34" t="s">
        <v>32259</v>
      </c>
      <c r="I15252" s="35">
        <v>18.026</v>
      </c>
      <c r="J15252" s="47" t="s">
        <v>8</v>
      </c>
      <c r="K15252" s="23" t="s">
        <v>8</v>
      </c>
      <c r="L15252" s="23" t="s">
        <v>8</v>
      </c>
      <c r="M15252" s="23" t="s">
        <v>8</v>
      </c>
    </row>
    <row r="15253" spans="1:13" s="21" customFormat="1" x14ac:dyDescent="0.25">
      <c r="A15253" s="22" t="s">
        <v>8</v>
      </c>
      <c r="B15253" s="18" t="str">
        <f>"676226"</f>
        <v>676226</v>
      </c>
      <c r="C15253" s="19" t="s">
        <v>14960</v>
      </c>
      <c r="D15253" s="19" t="s">
        <v>30643</v>
      </c>
      <c r="E15253" s="19" t="s">
        <v>35312</v>
      </c>
      <c r="F15253" s="19" t="s">
        <v>36018</v>
      </c>
      <c r="G15253" s="33" t="str">
        <f>"78666"</f>
        <v>78666</v>
      </c>
      <c r="H15253" s="34" t="s">
        <v>32610</v>
      </c>
      <c r="I15253" s="35">
        <v>17.898</v>
      </c>
      <c r="J15253" s="47" t="s">
        <v>8</v>
      </c>
      <c r="K15253" s="23" t="s">
        <v>8</v>
      </c>
      <c r="L15253" s="23" t="s">
        <v>8</v>
      </c>
      <c r="M15253" s="23" t="s">
        <v>8</v>
      </c>
    </row>
    <row r="15254" spans="1:13" s="21" customFormat="1" x14ac:dyDescent="0.25">
      <c r="A15254" s="22" t="s">
        <v>8</v>
      </c>
      <c r="B15254" s="18" t="str">
        <f>"676227"</f>
        <v>676227</v>
      </c>
      <c r="C15254" s="19" t="s">
        <v>14961</v>
      </c>
      <c r="D15254" s="19" t="s">
        <v>30644</v>
      </c>
      <c r="E15254" s="19" t="s">
        <v>31876</v>
      </c>
      <c r="F15254" s="19" t="s">
        <v>36018</v>
      </c>
      <c r="G15254" s="33" t="str">
        <f>"77836"</f>
        <v>77836</v>
      </c>
      <c r="H15254" s="34" t="s">
        <v>35291</v>
      </c>
      <c r="I15254" s="35">
        <v>18.478999999999999</v>
      </c>
      <c r="J15254" s="47" t="s">
        <v>8</v>
      </c>
      <c r="K15254" s="23" t="s">
        <v>8</v>
      </c>
      <c r="L15254" s="23" t="s">
        <v>8</v>
      </c>
      <c r="M15254" s="23" t="s">
        <v>8</v>
      </c>
    </row>
    <row r="15255" spans="1:13" s="21" customFormat="1" x14ac:dyDescent="0.25">
      <c r="A15255" s="22" t="s">
        <v>8</v>
      </c>
      <c r="B15255" s="18" t="str">
        <f>"676228"</f>
        <v>676228</v>
      </c>
      <c r="C15255" s="19" t="s">
        <v>14962</v>
      </c>
      <c r="D15255" s="19" t="s">
        <v>30645</v>
      </c>
      <c r="E15255" s="19" t="s">
        <v>35293</v>
      </c>
      <c r="F15255" s="19" t="s">
        <v>36018</v>
      </c>
      <c r="G15255" s="33" t="str">
        <f>"78006"</f>
        <v>78006</v>
      </c>
      <c r="H15255" s="34" t="s">
        <v>31642</v>
      </c>
      <c r="I15255" s="35">
        <v>22.004999999999999</v>
      </c>
      <c r="J15255" s="47" t="s">
        <v>8</v>
      </c>
      <c r="K15255" s="23" t="s">
        <v>8</v>
      </c>
      <c r="L15255" s="23" t="s">
        <v>8</v>
      </c>
      <c r="M15255" s="23" t="s">
        <v>8</v>
      </c>
    </row>
    <row r="15256" spans="1:13" s="21" customFormat="1" x14ac:dyDescent="0.25">
      <c r="A15256" s="22" t="s">
        <v>8</v>
      </c>
      <c r="B15256" s="18" t="str">
        <f>"676229"</f>
        <v>676229</v>
      </c>
      <c r="C15256" s="19" t="s">
        <v>14963</v>
      </c>
      <c r="D15256" s="19" t="s">
        <v>30646</v>
      </c>
      <c r="E15256" s="19" t="s">
        <v>31715</v>
      </c>
      <c r="F15256" s="19" t="s">
        <v>36018</v>
      </c>
      <c r="G15256" s="33" t="str">
        <f>"78934"</f>
        <v>78934</v>
      </c>
      <c r="H15256" s="34" t="s">
        <v>36794</v>
      </c>
      <c r="I15256" s="35">
        <v>22.908000000000001</v>
      </c>
      <c r="J15256" s="47" t="s">
        <v>8</v>
      </c>
      <c r="K15256" s="23" t="s">
        <v>8</v>
      </c>
      <c r="L15256" s="23" t="s">
        <v>8</v>
      </c>
      <c r="M15256" s="23" t="s">
        <v>8</v>
      </c>
    </row>
    <row r="15257" spans="1:13" s="21" customFormat="1" x14ac:dyDescent="0.25">
      <c r="A15257" s="22" t="s">
        <v>8</v>
      </c>
      <c r="B15257" s="18" t="str">
        <f>"676230"</f>
        <v>676230</v>
      </c>
      <c r="C15257" s="19" t="s">
        <v>14964</v>
      </c>
      <c r="D15257" s="19" t="s">
        <v>30647</v>
      </c>
      <c r="E15257" s="19" t="s">
        <v>33493</v>
      </c>
      <c r="F15257" s="19" t="s">
        <v>36018</v>
      </c>
      <c r="G15257" s="33" t="str">
        <f>"77095"</f>
        <v>77095</v>
      </c>
      <c r="H15257" s="34" t="s">
        <v>34183</v>
      </c>
      <c r="I15257" s="35">
        <v>18.635999999999999</v>
      </c>
      <c r="J15257" s="47" t="s">
        <v>8</v>
      </c>
      <c r="K15257" s="23" t="s">
        <v>8</v>
      </c>
      <c r="L15257" s="23" t="s">
        <v>8</v>
      </c>
      <c r="M15257" s="23" t="s">
        <v>8</v>
      </c>
    </row>
    <row r="15258" spans="1:13" s="21" customFormat="1" x14ac:dyDescent="0.25">
      <c r="A15258" s="22" t="s">
        <v>8</v>
      </c>
      <c r="B15258" s="18" t="str">
        <f>"676231"</f>
        <v>676231</v>
      </c>
      <c r="C15258" s="19" t="s">
        <v>14965</v>
      </c>
      <c r="D15258" s="19" t="s">
        <v>30648</v>
      </c>
      <c r="E15258" s="19" t="s">
        <v>35250</v>
      </c>
      <c r="F15258" s="19" t="s">
        <v>36018</v>
      </c>
      <c r="G15258" s="33" t="str">
        <f>"76708"</f>
        <v>76708</v>
      </c>
      <c r="H15258" s="34" t="s">
        <v>36809</v>
      </c>
      <c r="I15258" s="35">
        <v>21.481999999999999</v>
      </c>
      <c r="J15258" s="47" t="s">
        <v>8</v>
      </c>
      <c r="K15258" s="23" t="s">
        <v>8</v>
      </c>
      <c r="L15258" s="23" t="s">
        <v>8</v>
      </c>
      <c r="M15258" s="23" t="s">
        <v>8</v>
      </c>
    </row>
    <row r="15259" spans="1:13" s="21" customFormat="1" x14ac:dyDescent="0.25">
      <c r="A15259" s="22" t="s">
        <v>8</v>
      </c>
      <c r="B15259" s="18" t="str">
        <f>"676233"</f>
        <v>676233</v>
      </c>
      <c r="C15259" s="19" t="s">
        <v>14966</v>
      </c>
      <c r="D15259" s="19" t="s">
        <v>30649</v>
      </c>
      <c r="E15259" s="19" t="s">
        <v>35916</v>
      </c>
      <c r="F15259" s="19" t="s">
        <v>36018</v>
      </c>
      <c r="G15259" s="33" t="str">
        <f>"78003"</f>
        <v>78003</v>
      </c>
      <c r="H15259" s="34" t="s">
        <v>35916</v>
      </c>
      <c r="I15259" s="35">
        <v>21.593</v>
      </c>
      <c r="J15259" s="47" t="s">
        <v>8</v>
      </c>
      <c r="K15259" s="23" t="s">
        <v>8</v>
      </c>
      <c r="L15259" s="23" t="s">
        <v>8</v>
      </c>
      <c r="M15259" s="23" t="s">
        <v>8</v>
      </c>
    </row>
    <row r="15260" spans="1:13" s="21" customFormat="1" x14ac:dyDescent="0.25">
      <c r="A15260" s="22" t="s">
        <v>8</v>
      </c>
      <c r="B15260" s="18" t="str">
        <f>"676234"</f>
        <v>676234</v>
      </c>
      <c r="C15260" s="19" t="s">
        <v>14967</v>
      </c>
      <c r="D15260" s="19" t="s">
        <v>30650</v>
      </c>
      <c r="E15260" s="19" t="s">
        <v>35959</v>
      </c>
      <c r="F15260" s="19" t="s">
        <v>36018</v>
      </c>
      <c r="G15260" s="33" t="str">
        <f>"77379"</f>
        <v>77379</v>
      </c>
      <c r="H15260" s="34" t="s">
        <v>34183</v>
      </c>
      <c r="I15260" s="35">
        <v>21.279</v>
      </c>
      <c r="J15260" s="47" t="s">
        <v>8</v>
      </c>
      <c r="K15260" s="23" t="s">
        <v>8</v>
      </c>
      <c r="L15260" s="23" t="s">
        <v>8</v>
      </c>
      <c r="M15260" s="23" t="s">
        <v>8</v>
      </c>
    </row>
    <row r="15261" spans="1:13" s="21" customFormat="1" x14ac:dyDescent="0.25">
      <c r="A15261" s="22" t="s">
        <v>8</v>
      </c>
      <c r="B15261" s="18" t="str">
        <f>"676235"</f>
        <v>676235</v>
      </c>
      <c r="C15261" s="19" t="s">
        <v>14968</v>
      </c>
      <c r="D15261" s="19" t="s">
        <v>30651</v>
      </c>
      <c r="E15261" s="19" t="s">
        <v>35266</v>
      </c>
      <c r="F15261" s="19" t="s">
        <v>36018</v>
      </c>
      <c r="G15261" s="33" t="str">
        <f>"75482"</f>
        <v>75482</v>
      </c>
      <c r="H15261" s="34" t="s">
        <v>33374</v>
      </c>
      <c r="I15261" s="35">
        <v>18.271000000000001</v>
      </c>
      <c r="J15261" s="47" t="s">
        <v>8</v>
      </c>
      <c r="K15261" s="23" t="s">
        <v>8</v>
      </c>
      <c r="L15261" s="23" t="s">
        <v>8</v>
      </c>
      <c r="M15261" s="23" t="s">
        <v>8</v>
      </c>
    </row>
    <row r="15262" spans="1:13" s="21" customFormat="1" x14ac:dyDescent="0.25">
      <c r="A15262" s="22" t="s">
        <v>8</v>
      </c>
      <c r="B15262" s="18" t="str">
        <f>"676236"</f>
        <v>676236</v>
      </c>
      <c r="C15262" s="19" t="s">
        <v>14969</v>
      </c>
      <c r="D15262" s="19" t="s">
        <v>30652</v>
      </c>
      <c r="E15262" s="19" t="s">
        <v>33493</v>
      </c>
      <c r="F15262" s="19" t="s">
        <v>36018</v>
      </c>
      <c r="G15262" s="33" t="str">
        <f>"77070"</f>
        <v>77070</v>
      </c>
      <c r="H15262" s="34" t="s">
        <v>34183</v>
      </c>
      <c r="I15262" s="35">
        <v>19.437999999999999</v>
      </c>
      <c r="J15262" s="47" t="s">
        <v>8</v>
      </c>
      <c r="K15262" s="23" t="s">
        <v>8</v>
      </c>
      <c r="L15262" s="23" t="s">
        <v>8</v>
      </c>
      <c r="M15262" s="23" t="s">
        <v>8</v>
      </c>
    </row>
    <row r="15263" spans="1:13" s="21" customFormat="1" x14ac:dyDescent="0.25">
      <c r="A15263" s="22" t="s">
        <v>8</v>
      </c>
      <c r="B15263" s="18" t="str">
        <f>"676237"</f>
        <v>676237</v>
      </c>
      <c r="C15263" s="19" t="s">
        <v>14970</v>
      </c>
      <c r="D15263" s="19" t="s">
        <v>30653</v>
      </c>
      <c r="E15263" s="19" t="s">
        <v>34710</v>
      </c>
      <c r="F15263" s="19" t="s">
        <v>36018</v>
      </c>
      <c r="G15263" s="33" t="str">
        <f>"75013"</f>
        <v>75013</v>
      </c>
      <c r="H15263" s="34" t="s">
        <v>36828</v>
      </c>
      <c r="I15263" s="35">
        <v>18.704000000000001</v>
      </c>
      <c r="J15263" s="47" t="s">
        <v>8</v>
      </c>
      <c r="K15263" s="23" t="s">
        <v>8</v>
      </c>
      <c r="L15263" s="23" t="s">
        <v>8</v>
      </c>
      <c r="M15263" s="23" t="s">
        <v>8</v>
      </c>
    </row>
    <row r="15264" spans="1:13" s="21" customFormat="1" x14ac:dyDescent="0.25">
      <c r="A15264" s="22" t="s">
        <v>8</v>
      </c>
      <c r="B15264" s="18" t="str">
        <f>"676238"</f>
        <v>676238</v>
      </c>
      <c r="C15264" s="19" t="s">
        <v>14971</v>
      </c>
      <c r="D15264" s="19" t="s">
        <v>30654</v>
      </c>
      <c r="E15264" s="19" t="s">
        <v>33383</v>
      </c>
      <c r="F15264" s="19" t="s">
        <v>36018</v>
      </c>
      <c r="G15264" s="33" t="str">
        <f>"78754"</f>
        <v>78754</v>
      </c>
      <c r="H15264" s="34" t="s">
        <v>36817</v>
      </c>
      <c r="I15264" s="35">
        <v>20.978999999999999</v>
      </c>
      <c r="J15264" s="47" t="s">
        <v>8</v>
      </c>
      <c r="K15264" s="23" t="s">
        <v>8</v>
      </c>
      <c r="L15264" s="23" t="s">
        <v>8</v>
      </c>
      <c r="M15264" s="23" t="s">
        <v>8</v>
      </c>
    </row>
    <row r="15265" spans="1:13" s="21" customFormat="1" x14ac:dyDescent="0.25">
      <c r="A15265" s="22" t="s">
        <v>8</v>
      </c>
      <c r="B15265" s="18" t="str">
        <f>"676239"</f>
        <v>676239</v>
      </c>
      <c r="C15265" s="19" t="s">
        <v>14972</v>
      </c>
      <c r="D15265" s="19" t="s">
        <v>30655</v>
      </c>
      <c r="E15265" s="19" t="s">
        <v>33493</v>
      </c>
      <c r="F15265" s="19" t="s">
        <v>36018</v>
      </c>
      <c r="G15265" s="33" t="str">
        <f>"77014"</f>
        <v>77014</v>
      </c>
      <c r="H15265" s="34" t="s">
        <v>34183</v>
      </c>
      <c r="I15265" s="35">
        <v>20.631</v>
      </c>
      <c r="J15265" s="47" t="s">
        <v>8</v>
      </c>
      <c r="K15265" s="23" t="s">
        <v>8</v>
      </c>
      <c r="L15265" s="23" t="s">
        <v>8</v>
      </c>
      <c r="M15265" s="23" t="s">
        <v>8</v>
      </c>
    </row>
    <row r="15266" spans="1:13" s="21" customFormat="1" x14ac:dyDescent="0.25">
      <c r="A15266" s="22" t="s">
        <v>8</v>
      </c>
      <c r="B15266" s="18" t="str">
        <f>"676240"</f>
        <v>676240</v>
      </c>
      <c r="C15266" s="19" t="s">
        <v>14973</v>
      </c>
      <c r="D15266" s="19" t="s">
        <v>30656</v>
      </c>
      <c r="E15266" s="19" t="s">
        <v>35293</v>
      </c>
      <c r="F15266" s="19" t="s">
        <v>36018</v>
      </c>
      <c r="G15266" s="33" t="str">
        <f>"78006"</f>
        <v>78006</v>
      </c>
      <c r="H15266" s="34" t="s">
        <v>31642</v>
      </c>
      <c r="I15266" s="35">
        <v>16.940000000000001</v>
      </c>
      <c r="J15266" s="47" t="s">
        <v>8</v>
      </c>
      <c r="K15266" s="23" t="s">
        <v>8</v>
      </c>
      <c r="L15266" s="23" t="s">
        <v>8</v>
      </c>
      <c r="M15266" s="23" t="s">
        <v>8</v>
      </c>
    </row>
    <row r="15267" spans="1:13" s="21" customFormat="1" x14ac:dyDescent="0.25">
      <c r="A15267" s="22" t="s">
        <v>8</v>
      </c>
      <c r="B15267" s="18" t="str">
        <f>"676241"</f>
        <v>676241</v>
      </c>
      <c r="C15267" s="19" t="s">
        <v>14974</v>
      </c>
      <c r="D15267" s="19" t="s">
        <v>30657</v>
      </c>
      <c r="E15267" s="19" t="s">
        <v>32348</v>
      </c>
      <c r="F15267" s="19" t="s">
        <v>36018</v>
      </c>
      <c r="G15267" s="33" t="str">
        <f>"75455"</f>
        <v>75455</v>
      </c>
      <c r="H15267" s="34" t="s">
        <v>36812</v>
      </c>
      <c r="I15267" s="35">
        <v>22.073</v>
      </c>
      <c r="J15267" s="47" t="s">
        <v>8</v>
      </c>
      <c r="K15267" s="23" t="s">
        <v>8</v>
      </c>
      <c r="L15267" s="23" t="s">
        <v>8</v>
      </c>
      <c r="M15267" s="23" t="s">
        <v>8</v>
      </c>
    </row>
    <row r="15268" spans="1:13" s="21" customFormat="1" x14ac:dyDescent="0.25">
      <c r="A15268" s="22" t="s">
        <v>8</v>
      </c>
      <c r="B15268" s="18" t="str">
        <f>"676242"</f>
        <v>676242</v>
      </c>
      <c r="C15268" s="19" t="s">
        <v>14975</v>
      </c>
      <c r="D15268" s="19" t="s">
        <v>30658</v>
      </c>
      <c r="E15268" s="19" t="s">
        <v>35960</v>
      </c>
      <c r="F15268" s="19" t="s">
        <v>36018</v>
      </c>
      <c r="G15268" s="33" t="str">
        <f>"77962"</f>
        <v>77962</v>
      </c>
      <c r="H15268" s="34" t="s">
        <v>30816</v>
      </c>
      <c r="I15268" s="35">
        <v>18.312000000000001</v>
      </c>
      <c r="J15268" s="47" t="s">
        <v>8</v>
      </c>
      <c r="K15268" s="23" t="s">
        <v>8</v>
      </c>
      <c r="L15268" s="23" t="s">
        <v>8</v>
      </c>
      <c r="M15268" s="23" t="s">
        <v>8</v>
      </c>
    </row>
    <row r="15269" spans="1:13" s="21" customFormat="1" x14ac:dyDescent="0.25">
      <c r="A15269" s="22" t="s">
        <v>8</v>
      </c>
      <c r="B15269" s="18" t="str">
        <f>"676243"</f>
        <v>676243</v>
      </c>
      <c r="C15269" s="19" t="s">
        <v>14976</v>
      </c>
      <c r="D15269" s="19" t="s">
        <v>30659</v>
      </c>
      <c r="E15269" s="19" t="s">
        <v>35806</v>
      </c>
      <c r="F15269" s="19" t="s">
        <v>36018</v>
      </c>
      <c r="G15269" s="33" t="str">
        <f>"75082"</f>
        <v>75082</v>
      </c>
      <c r="H15269" s="34" t="s">
        <v>31723</v>
      </c>
      <c r="I15269" s="35">
        <v>20.815000000000001</v>
      </c>
      <c r="J15269" s="47" t="s">
        <v>8</v>
      </c>
      <c r="K15269" s="23" t="s">
        <v>8</v>
      </c>
      <c r="L15269" s="23" t="s">
        <v>8</v>
      </c>
      <c r="M15269" s="23" t="s">
        <v>8</v>
      </c>
    </row>
    <row r="15270" spans="1:13" s="21" customFormat="1" x14ac:dyDescent="0.25">
      <c r="A15270" s="22" t="s">
        <v>8</v>
      </c>
      <c r="B15270" s="18" t="str">
        <f>"676244"</f>
        <v>676244</v>
      </c>
      <c r="C15270" s="19" t="s">
        <v>14977</v>
      </c>
      <c r="D15270" s="19" t="s">
        <v>30660</v>
      </c>
      <c r="E15270" s="19" t="s">
        <v>35885</v>
      </c>
      <c r="F15270" s="19" t="s">
        <v>36018</v>
      </c>
      <c r="G15270" s="33" t="str">
        <f>"77377"</f>
        <v>77377</v>
      </c>
      <c r="H15270" s="34" t="s">
        <v>34183</v>
      </c>
      <c r="I15270" s="35">
        <v>21.021000000000001</v>
      </c>
      <c r="J15270" s="47" t="s">
        <v>8</v>
      </c>
      <c r="K15270" s="23" t="s">
        <v>8</v>
      </c>
      <c r="L15270" s="23" t="s">
        <v>8</v>
      </c>
      <c r="M15270" s="23" t="s">
        <v>8</v>
      </c>
    </row>
    <row r="15271" spans="1:13" s="21" customFormat="1" x14ac:dyDescent="0.25">
      <c r="A15271" s="22" t="s">
        <v>8</v>
      </c>
      <c r="B15271" s="18" t="str">
        <f>"676245"</f>
        <v>676245</v>
      </c>
      <c r="C15271" s="19" t="s">
        <v>14978</v>
      </c>
      <c r="D15271" s="19" t="s">
        <v>30661</v>
      </c>
      <c r="E15271" s="19" t="s">
        <v>35913</v>
      </c>
      <c r="F15271" s="19" t="s">
        <v>36018</v>
      </c>
      <c r="G15271" s="33" t="str">
        <f>"78660"</f>
        <v>78660</v>
      </c>
      <c r="H15271" s="34" t="s">
        <v>36817</v>
      </c>
      <c r="I15271" s="35">
        <v>20.071000000000002</v>
      </c>
      <c r="J15271" s="47" t="s">
        <v>8</v>
      </c>
      <c r="K15271" s="23" t="s">
        <v>8</v>
      </c>
      <c r="L15271" s="23" t="s">
        <v>8</v>
      </c>
      <c r="M15271" s="23" t="s">
        <v>8</v>
      </c>
    </row>
    <row r="15272" spans="1:13" s="21" customFormat="1" x14ac:dyDescent="0.25">
      <c r="A15272" s="22" t="s">
        <v>8</v>
      </c>
      <c r="B15272" s="18" t="str">
        <f>"676246"</f>
        <v>676246</v>
      </c>
      <c r="C15272" s="19" t="s">
        <v>14979</v>
      </c>
      <c r="D15272" s="19" t="s">
        <v>30662</v>
      </c>
      <c r="E15272" s="19" t="s">
        <v>33383</v>
      </c>
      <c r="F15272" s="19" t="s">
        <v>36018</v>
      </c>
      <c r="G15272" s="33" t="str">
        <f>"78741"</f>
        <v>78741</v>
      </c>
      <c r="H15272" s="34" t="s">
        <v>36817</v>
      </c>
      <c r="I15272" s="35">
        <v>18.459</v>
      </c>
      <c r="J15272" s="47" t="s">
        <v>8</v>
      </c>
      <c r="K15272" s="23" t="s">
        <v>8</v>
      </c>
      <c r="L15272" s="23" t="s">
        <v>8</v>
      </c>
      <c r="M15272" s="23" t="s">
        <v>8</v>
      </c>
    </row>
    <row r="15273" spans="1:13" s="21" customFormat="1" x14ac:dyDescent="0.25">
      <c r="A15273" s="22" t="s">
        <v>8</v>
      </c>
      <c r="B15273" s="18" t="str">
        <f>"676247"</f>
        <v>676247</v>
      </c>
      <c r="C15273" s="19" t="s">
        <v>14980</v>
      </c>
      <c r="D15273" s="19" t="s">
        <v>30663</v>
      </c>
      <c r="E15273" s="19" t="s">
        <v>35961</v>
      </c>
      <c r="F15273" s="19" t="s">
        <v>36018</v>
      </c>
      <c r="G15273" s="33" t="str">
        <f>"75019"</f>
        <v>75019</v>
      </c>
      <c r="H15273" s="34" t="s">
        <v>31723</v>
      </c>
      <c r="I15273" s="35">
        <v>19.869</v>
      </c>
      <c r="J15273" s="47" t="s">
        <v>8</v>
      </c>
      <c r="K15273" s="23" t="s">
        <v>8</v>
      </c>
      <c r="L15273" s="23" t="s">
        <v>8</v>
      </c>
      <c r="M15273" s="23" t="s">
        <v>8</v>
      </c>
    </row>
    <row r="15274" spans="1:13" s="21" customFormat="1" x14ac:dyDescent="0.25">
      <c r="A15274" s="22" t="s">
        <v>8</v>
      </c>
      <c r="B15274" s="18" t="str">
        <f>"676248"</f>
        <v>676248</v>
      </c>
      <c r="C15274" s="19" t="s">
        <v>14981</v>
      </c>
      <c r="D15274" s="19" t="s">
        <v>30664</v>
      </c>
      <c r="E15274" s="19" t="s">
        <v>35786</v>
      </c>
      <c r="F15274" s="19" t="s">
        <v>36018</v>
      </c>
      <c r="G15274" s="33" t="str">
        <f>"75098"</f>
        <v>75098</v>
      </c>
      <c r="H15274" s="34" t="s">
        <v>36828</v>
      </c>
      <c r="I15274" s="35">
        <v>18.670999999999999</v>
      </c>
      <c r="J15274" s="47" t="s">
        <v>8</v>
      </c>
      <c r="K15274" s="23" t="s">
        <v>8</v>
      </c>
      <c r="L15274" s="23" t="s">
        <v>8</v>
      </c>
      <c r="M15274" s="23" t="s">
        <v>8</v>
      </c>
    </row>
    <row r="15275" spans="1:13" s="21" customFormat="1" x14ac:dyDescent="0.25">
      <c r="A15275" s="22" t="s">
        <v>8</v>
      </c>
      <c r="B15275" s="18" t="str">
        <f>"676249"</f>
        <v>676249</v>
      </c>
      <c r="C15275" s="19" t="s">
        <v>14982</v>
      </c>
      <c r="D15275" s="19" t="s">
        <v>30665</v>
      </c>
      <c r="E15275" s="19" t="s">
        <v>35962</v>
      </c>
      <c r="F15275" s="19" t="s">
        <v>36018</v>
      </c>
      <c r="G15275" s="33" t="str">
        <f>"76092"</f>
        <v>76092</v>
      </c>
      <c r="H15275" s="34" t="s">
        <v>36806</v>
      </c>
      <c r="I15275" s="35">
        <v>18.722000000000001</v>
      </c>
      <c r="J15275" s="47" t="s">
        <v>8</v>
      </c>
      <c r="K15275" s="23" t="s">
        <v>8</v>
      </c>
      <c r="L15275" s="23" t="s">
        <v>8</v>
      </c>
      <c r="M15275" s="23" t="s">
        <v>8</v>
      </c>
    </row>
    <row r="15276" spans="1:13" s="21" customFormat="1" x14ac:dyDescent="0.25">
      <c r="A15276" s="22" t="s">
        <v>8</v>
      </c>
      <c r="B15276" s="18" t="str">
        <f>"676250"</f>
        <v>676250</v>
      </c>
      <c r="C15276" s="19" t="s">
        <v>14983</v>
      </c>
      <c r="D15276" s="19" t="s">
        <v>30666</v>
      </c>
      <c r="E15276" s="19" t="s">
        <v>35244</v>
      </c>
      <c r="F15276" s="19" t="s">
        <v>36018</v>
      </c>
      <c r="G15276" s="33" t="str">
        <f>"78222"</f>
        <v>78222</v>
      </c>
      <c r="H15276" s="34" t="s">
        <v>36805</v>
      </c>
      <c r="I15276" s="35">
        <v>17.302</v>
      </c>
      <c r="J15276" s="47" t="s">
        <v>8</v>
      </c>
      <c r="K15276" s="23" t="s">
        <v>8</v>
      </c>
      <c r="L15276" s="23" t="s">
        <v>8</v>
      </c>
      <c r="M15276" s="23" t="s">
        <v>8</v>
      </c>
    </row>
    <row r="15277" spans="1:13" s="21" customFormat="1" x14ac:dyDescent="0.25">
      <c r="A15277" s="22" t="s">
        <v>8</v>
      </c>
      <c r="B15277" s="18" t="str">
        <f>"676251"</f>
        <v>676251</v>
      </c>
      <c r="C15277" s="19" t="s">
        <v>14984</v>
      </c>
      <c r="D15277" s="19" t="s">
        <v>30667</v>
      </c>
      <c r="E15277" s="19" t="s">
        <v>33493</v>
      </c>
      <c r="F15277" s="19" t="s">
        <v>36018</v>
      </c>
      <c r="G15277" s="33" t="str">
        <f>"77070"</f>
        <v>77070</v>
      </c>
      <c r="H15277" s="34" t="s">
        <v>34183</v>
      </c>
      <c r="I15277" s="35">
        <v>17.363</v>
      </c>
      <c r="J15277" s="47" t="s">
        <v>8</v>
      </c>
      <c r="K15277" s="23" t="s">
        <v>8</v>
      </c>
      <c r="L15277" s="23" t="s">
        <v>8</v>
      </c>
      <c r="M15277" s="23" t="s">
        <v>8</v>
      </c>
    </row>
    <row r="15278" spans="1:13" s="21" customFormat="1" x14ac:dyDescent="0.25">
      <c r="A15278" s="22" t="s">
        <v>8</v>
      </c>
      <c r="B15278" s="18" t="str">
        <f>"676252"</f>
        <v>676252</v>
      </c>
      <c r="C15278" s="19" t="s">
        <v>14985</v>
      </c>
      <c r="D15278" s="19" t="s">
        <v>30668</v>
      </c>
      <c r="E15278" s="19" t="s">
        <v>33493</v>
      </c>
      <c r="F15278" s="19" t="s">
        <v>36018</v>
      </c>
      <c r="G15278" s="33" t="str">
        <f>"77038"</f>
        <v>77038</v>
      </c>
      <c r="H15278" s="34" t="s">
        <v>34183</v>
      </c>
      <c r="I15278" s="35">
        <v>20.538</v>
      </c>
      <c r="J15278" s="47" t="s">
        <v>8</v>
      </c>
      <c r="K15278" s="23" t="s">
        <v>8</v>
      </c>
      <c r="L15278" s="23" t="s">
        <v>8</v>
      </c>
      <c r="M15278" s="23" t="s">
        <v>8</v>
      </c>
    </row>
    <row r="15279" spans="1:13" s="21" customFormat="1" x14ac:dyDescent="0.25">
      <c r="A15279" s="22" t="s">
        <v>8</v>
      </c>
      <c r="B15279" s="18" t="str">
        <f>"676253"</f>
        <v>676253</v>
      </c>
      <c r="C15279" s="19" t="s">
        <v>14986</v>
      </c>
      <c r="D15279" s="19" t="s">
        <v>30669</v>
      </c>
      <c r="E15279" s="19" t="s">
        <v>33761</v>
      </c>
      <c r="F15279" s="19" t="s">
        <v>36018</v>
      </c>
      <c r="G15279" s="33" t="str">
        <f>"75119"</f>
        <v>75119</v>
      </c>
      <c r="H15279" s="34" t="s">
        <v>32612</v>
      </c>
      <c r="I15279" s="35">
        <v>23.393000000000001</v>
      </c>
      <c r="J15279" s="47" t="s">
        <v>8</v>
      </c>
      <c r="K15279" s="23" t="s">
        <v>8</v>
      </c>
      <c r="L15279" s="23" t="s">
        <v>8</v>
      </c>
      <c r="M15279" s="23" t="s">
        <v>8</v>
      </c>
    </row>
    <row r="15280" spans="1:13" s="21" customFormat="1" x14ac:dyDescent="0.25">
      <c r="A15280" s="22" t="s">
        <v>8</v>
      </c>
      <c r="B15280" s="18" t="str">
        <f>"676255"</f>
        <v>676255</v>
      </c>
      <c r="C15280" s="19" t="s">
        <v>14987</v>
      </c>
      <c r="D15280" s="19" t="s">
        <v>30670</v>
      </c>
      <c r="E15280" s="19" t="s">
        <v>35245</v>
      </c>
      <c r="F15280" s="19" t="s">
        <v>36018</v>
      </c>
      <c r="G15280" s="33" t="str">
        <f>"76104"</f>
        <v>76104</v>
      </c>
      <c r="H15280" s="34" t="s">
        <v>36806</v>
      </c>
      <c r="I15280" s="35">
        <v>17.788</v>
      </c>
      <c r="J15280" s="47" t="s">
        <v>8</v>
      </c>
      <c r="K15280" s="23" t="s">
        <v>8</v>
      </c>
      <c r="L15280" s="23" t="s">
        <v>8</v>
      </c>
      <c r="M15280" s="23" t="s">
        <v>8</v>
      </c>
    </row>
    <row r="15281" spans="1:13" s="21" customFormat="1" x14ac:dyDescent="0.25">
      <c r="A15281" s="22" t="s">
        <v>8</v>
      </c>
      <c r="B15281" s="18" t="str">
        <f>"676256"</f>
        <v>676256</v>
      </c>
      <c r="C15281" s="19" t="s">
        <v>14988</v>
      </c>
      <c r="D15281" s="19" t="s">
        <v>30671</v>
      </c>
      <c r="E15281" s="19" t="s">
        <v>35806</v>
      </c>
      <c r="F15281" s="19" t="s">
        <v>36018</v>
      </c>
      <c r="G15281" s="33" t="str">
        <f>"75082"</f>
        <v>75082</v>
      </c>
      <c r="H15281" s="34" t="s">
        <v>31723</v>
      </c>
      <c r="I15281" s="35">
        <v>20.277999999999999</v>
      </c>
      <c r="J15281" s="47" t="s">
        <v>8</v>
      </c>
      <c r="K15281" s="23" t="s">
        <v>8</v>
      </c>
      <c r="L15281" s="23" t="s">
        <v>8</v>
      </c>
      <c r="M15281" s="23" t="s">
        <v>8</v>
      </c>
    </row>
    <row r="15282" spans="1:13" s="21" customFormat="1" x14ac:dyDescent="0.25">
      <c r="A15282" s="22" t="s">
        <v>8</v>
      </c>
      <c r="B15282" s="18" t="str">
        <f>"676257"</f>
        <v>676257</v>
      </c>
      <c r="C15282" s="19" t="s">
        <v>14989</v>
      </c>
      <c r="D15282" s="19" t="s">
        <v>30672</v>
      </c>
      <c r="E15282" s="19" t="s">
        <v>35262</v>
      </c>
      <c r="F15282" s="19" t="s">
        <v>36018</v>
      </c>
      <c r="G15282" s="33" t="str">
        <f>"75801"</f>
        <v>75801</v>
      </c>
      <c r="H15282" s="34" t="s">
        <v>32202</v>
      </c>
      <c r="I15282" s="35">
        <v>19.756</v>
      </c>
      <c r="J15282" s="47" t="s">
        <v>8</v>
      </c>
      <c r="K15282" s="23" t="s">
        <v>8</v>
      </c>
      <c r="L15282" s="23" t="s">
        <v>8</v>
      </c>
      <c r="M15282" s="23" t="s">
        <v>8</v>
      </c>
    </row>
    <row r="15283" spans="1:13" s="21" customFormat="1" x14ac:dyDescent="0.25">
      <c r="A15283" s="22" t="s">
        <v>8</v>
      </c>
      <c r="B15283" s="18" t="str">
        <f>"676258"</f>
        <v>676258</v>
      </c>
      <c r="C15283" s="19" t="s">
        <v>14990</v>
      </c>
      <c r="D15283" s="19" t="s">
        <v>30673</v>
      </c>
      <c r="E15283" s="19" t="s">
        <v>33493</v>
      </c>
      <c r="F15283" s="19" t="s">
        <v>36018</v>
      </c>
      <c r="G15283" s="33" t="str">
        <f>"77055"</f>
        <v>77055</v>
      </c>
      <c r="H15283" s="34" t="s">
        <v>34183</v>
      </c>
      <c r="I15283" s="35">
        <v>18.134</v>
      </c>
      <c r="J15283" s="47" t="s">
        <v>8</v>
      </c>
      <c r="K15283" s="23" t="s">
        <v>8</v>
      </c>
      <c r="L15283" s="23" t="s">
        <v>8</v>
      </c>
      <c r="M15283" s="23" t="s">
        <v>8</v>
      </c>
    </row>
    <row r="15284" spans="1:13" s="21" customFormat="1" x14ac:dyDescent="0.25">
      <c r="A15284" s="22" t="s">
        <v>8</v>
      </c>
      <c r="B15284" s="18" t="str">
        <f>"676259"</f>
        <v>676259</v>
      </c>
      <c r="C15284" s="19" t="s">
        <v>14991</v>
      </c>
      <c r="D15284" s="19" t="s">
        <v>30674</v>
      </c>
      <c r="E15284" s="19" t="s">
        <v>35963</v>
      </c>
      <c r="F15284" s="19" t="s">
        <v>36018</v>
      </c>
      <c r="G15284" s="33" t="str">
        <f>"79323"</f>
        <v>79323</v>
      </c>
      <c r="H15284" s="34" t="s">
        <v>35260</v>
      </c>
      <c r="I15284" s="35">
        <v>17.033999999999999</v>
      </c>
      <c r="J15284" s="47" t="s">
        <v>8</v>
      </c>
      <c r="K15284" s="23" t="s">
        <v>8</v>
      </c>
      <c r="L15284" s="23" t="s">
        <v>8</v>
      </c>
      <c r="M15284" s="23" t="s">
        <v>8</v>
      </c>
    </row>
    <row r="15285" spans="1:13" s="21" customFormat="1" x14ac:dyDescent="0.25">
      <c r="A15285" s="22" t="s">
        <v>8</v>
      </c>
      <c r="B15285" s="18" t="str">
        <f>"676260"</f>
        <v>676260</v>
      </c>
      <c r="C15285" s="19" t="s">
        <v>14992</v>
      </c>
      <c r="D15285" s="19" t="s">
        <v>30675</v>
      </c>
      <c r="E15285" s="19" t="s">
        <v>35824</v>
      </c>
      <c r="F15285" s="19" t="s">
        <v>36018</v>
      </c>
      <c r="G15285" s="33" t="str">
        <f>"77550"</f>
        <v>77550</v>
      </c>
      <c r="H15285" s="34" t="s">
        <v>35824</v>
      </c>
      <c r="I15285" s="35">
        <v>21.715</v>
      </c>
      <c r="J15285" s="47" t="s">
        <v>8</v>
      </c>
      <c r="K15285" s="23" t="s">
        <v>8</v>
      </c>
      <c r="L15285" s="23" t="s">
        <v>8</v>
      </c>
      <c r="M15285" s="23" t="s">
        <v>8</v>
      </c>
    </row>
    <row r="15286" spans="1:13" s="21" customFormat="1" x14ac:dyDescent="0.25">
      <c r="A15286" s="22" t="s">
        <v>8</v>
      </c>
      <c r="B15286" s="18" t="str">
        <f>"676261"</f>
        <v>676261</v>
      </c>
      <c r="C15286" s="19" t="s">
        <v>14993</v>
      </c>
      <c r="D15286" s="19" t="s">
        <v>30676</v>
      </c>
      <c r="E15286" s="19" t="s">
        <v>35220</v>
      </c>
      <c r="F15286" s="19" t="s">
        <v>36018</v>
      </c>
      <c r="G15286" s="33" t="str">
        <f>"79045"</f>
        <v>79045</v>
      </c>
      <c r="H15286" s="34" t="s">
        <v>36790</v>
      </c>
      <c r="I15286" s="35">
        <v>18.137</v>
      </c>
      <c r="J15286" s="47" t="s">
        <v>8</v>
      </c>
      <c r="K15286" s="23" t="s">
        <v>8</v>
      </c>
      <c r="L15286" s="23" t="s">
        <v>8</v>
      </c>
      <c r="M15286" s="23" t="s">
        <v>8</v>
      </c>
    </row>
    <row r="15287" spans="1:13" s="21" customFormat="1" x14ac:dyDescent="0.25">
      <c r="A15287" s="22" t="s">
        <v>8</v>
      </c>
      <c r="B15287" s="18" t="str">
        <f>"676262"</f>
        <v>676262</v>
      </c>
      <c r="C15287" s="19" t="s">
        <v>14994</v>
      </c>
      <c r="D15287" s="19" t="s">
        <v>30677</v>
      </c>
      <c r="E15287" s="19" t="s">
        <v>33401</v>
      </c>
      <c r="F15287" s="19" t="s">
        <v>36018</v>
      </c>
      <c r="G15287" s="33" t="str">
        <f>"75703"</f>
        <v>75703</v>
      </c>
      <c r="H15287" s="34" t="s">
        <v>36304</v>
      </c>
      <c r="I15287" s="35">
        <v>20.218</v>
      </c>
      <c r="J15287" s="47" t="s">
        <v>8</v>
      </c>
      <c r="K15287" s="23" t="s">
        <v>8</v>
      </c>
      <c r="L15287" s="23" t="s">
        <v>8</v>
      </c>
      <c r="M15287" s="23" t="s">
        <v>8</v>
      </c>
    </row>
    <row r="15288" spans="1:13" s="21" customFormat="1" x14ac:dyDescent="0.25">
      <c r="A15288" s="22" t="s">
        <v>8</v>
      </c>
      <c r="B15288" s="18" t="str">
        <f>"676263"</f>
        <v>676263</v>
      </c>
      <c r="C15288" s="19" t="s">
        <v>14995</v>
      </c>
      <c r="D15288" s="19" t="s">
        <v>30678</v>
      </c>
      <c r="E15288" s="19" t="s">
        <v>35283</v>
      </c>
      <c r="F15288" s="19" t="s">
        <v>36018</v>
      </c>
      <c r="G15288" s="33" t="str">
        <f>"77338"</f>
        <v>77338</v>
      </c>
      <c r="H15288" s="34" t="s">
        <v>34183</v>
      </c>
      <c r="I15288" s="35">
        <v>20.928999999999998</v>
      </c>
      <c r="J15288" s="47" t="s">
        <v>8</v>
      </c>
      <c r="K15288" s="23" t="s">
        <v>8</v>
      </c>
      <c r="L15288" s="23" t="s">
        <v>8</v>
      </c>
      <c r="M15288" s="23" t="s">
        <v>8</v>
      </c>
    </row>
    <row r="15289" spans="1:13" s="21" customFormat="1" x14ac:dyDescent="0.25">
      <c r="A15289" s="22" t="s">
        <v>8</v>
      </c>
      <c r="B15289" s="18" t="str">
        <f>"676264"</f>
        <v>676264</v>
      </c>
      <c r="C15289" s="19" t="s">
        <v>14996</v>
      </c>
      <c r="D15289" s="19" t="s">
        <v>30679</v>
      </c>
      <c r="E15289" s="19" t="s">
        <v>35865</v>
      </c>
      <c r="F15289" s="19" t="s">
        <v>36018</v>
      </c>
      <c r="G15289" s="33" t="str">
        <f>"77511"</f>
        <v>77511</v>
      </c>
      <c r="H15289" s="34" t="s">
        <v>36808</v>
      </c>
      <c r="I15289" s="35">
        <v>17.655000000000001</v>
      </c>
      <c r="J15289" s="47" t="s">
        <v>8</v>
      </c>
      <c r="K15289" s="23" t="s">
        <v>8</v>
      </c>
      <c r="L15289" s="23" t="s">
        <v>8</v>
      </c>
      <c r="M15289" s="23" t="s">
        <v>8</v>
      </c>
    </row>
    <row r="15290" spans="1:13" s="21" customFormat="1" x14ac:dyDescent="0.25">
      <c r="A15290" s="22" t="s">
        <v>8</v>
      </c>
      <c r="B15290" s="18" t="str">
        <f>"676266"</f>
        <v>676266</v>
      </c>
      <c r="C15290" s="19" t="s">
        <v>14997</v>
      </c>
      <c r="D15290" s="19" t="s">
        <v>30680</v>
      </c>
      <c r="E15290" s="19" t="s">
        <v>33383</v>
      </c>
      <c r="F15290" s="19" t="s">
        <v>36018</v>
      </c>
      <c r="G15290" s="33" t="str">
        <f>"78732"</f>
        <v>78732</v>
      </c>
      <c r="H15290" s="34" t="s">
        <v>36817</v>
      </c>
      <c r="I15290" s="35">
        <v>17.122</v>
      </c>
      <c r="J15290" s="47" t="s">
        <v>8</v>
      </c>
      <c r="K15290" s="23" t="s">
        <v>8</v>
      </c>
      <c r="L15290" s="23" t="s">
        <v>8</v>
      </c>
      <c r="M15290" s="23" t="s">
        <v>8</v>
      </c>
    </row>
    <row r="15291" spans="1:13" s="21" customFormat="1" x14ac:dyDescent="0.25">
      <c r="A15291" s="22" t="s">
        <v>8</v>
      </c>
      <c r="B15291" s="18" t="str">
        <f>"676267"</f>
        <v>676267</v>
      </c>
      <c r="C15291" s="19" t="s">
        <v>14998</v>
      </c>
      <c r="D15291" s="19" t="s">
        <v>30681</v>
      </c>
      <c r="E15291" s="19" t="s">
        <v>33383</v>
      </c>
      <c r="F15291" s="19" t="s">
        <v>36018</v>
      </c>
      <c r="G15291" s="33" t="str">
        <f>"78748"</f>
        <v>78748</v>
      </c>
      <c r="H15291" s="34" t="s">
        <v>36817</v>
      </c>
      <c r="I15291" s="35">
        <v>22.042999999999999</v>
      </c>
      <c r="J15291" s="47" t="s">
        <v>8</v>
      </c>
      <c r="K15291" s="23" t="s">
        <v>8</v>
      </c>
      <c r="L15291" s="23" t="s">
        <v>8</v>
      </c>
      <c r="M15291" s="23" t="s">
        <v>8</v>
      </c>
    </row>
    <row r="15292" spans="1:13" s="21" customFormat="1" x14ac:dyDescent="0.25">
      <c r="A15292" s="22" t="s">
        <v>8</v>
      </c>
      <c r="B15292" s="18" t="str">
        <f>"676268"</f>
        <v>676268</v>
      </c>
      <c r="C15292" s="19" t="s">
        <v>14999</v>
      </c>
      <c r="D15292" s="19" t="s">
        <v>30682</v>
      </c>
      <c r="E15292" s="19" t="s">
        <v>31723</v>
      </c>
      <c r="F15292" s="19" t="s">
        <v>36018</v>
      </c>
      <c r="G15292" s="33" t="str">
        <f>"75238"</f>
        <v>75238</v>
      </c>
      <c r="H15292" s="34" t="s">
        <v>31723</v>
      </c>
      <c r="I15292" s="35">
        <v>18.295000000000002</v>
      </c>
      <c r="J15292" s="47" t="s">
        <v>8</v>
      </c>
      <c r="K15292" s="23" t="s">
        <v>8</v>
      </c>
      <c r="L15292" s="23" t="s">
        <v>8</v>
      </c>
      <c r="M15292" s="23" t="s">
        <v>8</v>
      </c>
    </row>
    <row r="15293" spans="1:13" s="21" customFormat="1" x14ac:dyDescent="0.25">
      <c r="A15293" s="22" t="s">
        <v>8</v>
      </c>
      <c r="B15293" s="18" t="str">
        <f>"676269"</f>
        <v>676269</v>
      </c>
      <c r="C15293" s="19" t="s">
        <v>15000</v>
      </c>
      <c r="D15293" s="19" t="s">
        <v>30683</v>
      </c>
      <c r="E15293" s="19" t="s">
        <v>30854</v>
      </c>
      <c r="F15293" s="19" t="s">
        <v>36018</v>
      </c>
      <c r="G15293" s="33" t="str">
        <f>"75951"</f>
        <v>75951</v>
      </c>
      <c r="H15293" s="34" t="s">
        <v>30854</v>
      </c>
      <c r="I15293" s="35">
        <v>19.411000000000001</v>
      </c>
      <c r="J15293" s="47" t="s">
        <v>8</v>
      </c>
      <c r="K15293" s="23" t="s">
        <v>8</v>
      </c>
      <c r="L15293" s="23" t="s">
        <v>8</v>
      </c>
      <c r="M15293" s="23" t="s">
        <v>8</v>
      </c>
    </row>
    <row r="15294" spans="1:13" s="21" customFormat="1" x14ac:dyDescent="0.25">
      <c r="A15294" s="22" t="s">
        <v>8</v>
      </c>
      <c r="B15294" s="18" t="str">
        <f>"676270"</f>
        <v>676270</v>
      </c>
      <c r="C15294" s="19" t="s">
        <v>15001</v>
      </c>
      <c r="D15294" s="19" t="s">
        <v>30684</v>
      </c>
      <c r="E15294" s="19" t="s">
        <v>31723</v>
      </c>
      <c r="F15294" s="19" t="s">
        <v>36018</v>
      </c>
      <c r="G15294" s="33" t="str">
        <f>"75227"</f>
        <v>75227</v>
      </c>
      <c r="H15294" s="34" t="s">
        <v>31723</v>
      </c>
      <c r="I15294" s="35">
        <v>17.43</v>
      </c>
      <c r="J15294" s="47" t="s">
        <v>8</v>
      </c>
      <c r="K15294" s="23" t="s">
        <v>8</v>
      </c>
      <c r="L15294" s="23" t="s">
        <v>8</v>
      </c>
      <c r="M15294" s="23" t="s">
        <v>8</v>
      </c>
    </row>
    <row r="15295" spans="1:13" s="21" customFormat="1" x14ac:dyDescent="0.25">
      <c r="A15295" s="22" t="s">
        <v>8</v>
      </c>
      <c r="B15295" s="18" t="str">
        <f>"676271"</f>
        <v>676271</v>
      </c>
      <c r="C15295" s="19" t="s">
        <v>15002</v>
      </c>
      <c r="D15295" s="19" t="s">
        <v>30685</v>
      </c>
      <c r="E15295" s="19" t="s">
        <v>33383</v>
      </c>
      <c r="F15295" s="19" t="s">
        <v>36018</v>
      </c>
      <c r="G15295" s="33" t="str">
        <f>"78748"</f>
        <v>78748</v>
      </c>
      <c r="H15295" s="34" t="s">
        <v>36817</v>
      </c>
      <c r="I15295" s="35">
        <v>21.309000000000001</v>
      </c>
      <c r="J15295" s="47" t="s">
        <v>8</v>
      </c>
      <c r="K15295" s="23" t="s">
        <v>8</v>
      </c>
      <c r="L15295" s="23" t="s">
        <v>8</v>
      </c>
      <c r="M15295" s="23" t="s">
        <v>8</v>
      </c>
    </row>
    <row r="15296" spans="1:13" s="21" customFormat="1" x14ac:dyDescent="0.25">
      <c r="A15296" s="22" t="s">
        <v>8</v>
      </c>
      <c r="B15296" s="18" t="str">
        <f>"676272"</f>
        <v>676272</v>
      </c>
      <c r="C15296" s="19" t="s">
        <v>15003</v>
      </c>
      <c r="D15296" s="19" t="s">
        <v>30686</v>
      </c>
      <c r="E15296" s="19" t="s">
        <v>35964</v>
      </c>
      <c r="F15296" s="19" t="s">
        <v>36018</v>
      </c>
      <c r="G15296" s="33" t="str">
        <f>"78640"</f>
        <v>78640</v>
      </c>
      <c r="H15296" s="34" t="s">
        <v>32610</v>
      </c>
      <c r="I15296" s="35">
        <v>16.991</v>
      </c>
      <c r="J15296" s="47" t="s">
        <v>8</v>
      </c>
      <c r="K15296" s="23" t="s">
        <v>8</v>
      </c>
      <c r="L15296" s="23" t="s">
        <v>8</v>
      </c>
      <c r="M15296" s="23" t="s">
        <v>8</v>
      </c>
    </row>
    <row r="15297" spans="1:13" s="21" customFormat="1" x14ac:dyDescent="0.25">
      <c r="A15297" s="22" t="s">
        <v>8</v>
      </c>
      <c r="B15297" s="18" t="str">
        <f>"676273"</f>
        <v>676273</v>
      </c>
      <c r="C15297" s="19" t="s">
        <v>15004</v>
      </c>
      <c r="D15297" s="19" t="s">
        <v>30687</v>
      </c>
      <c r="E15297" s="19" t="s">
        <v>35301</v>
      </c>
      <c r="F15297" s="19" t="s">
        <v>36018</v>
      </c>
      <c r="G15297" s="33" t="str">
        <f>"77384"</f>
        <v>77384</v>
      </c>
      <c r="H15297" s="34" t="s">
        <v>30833</v>
      </c>
      <c r="I15297" s="35">
        <v>20.741</v>
      </c>
      <c r="J15297" s="47" t="s">
        <v>8</v>
      </c>
      <c r="K15297" s="23" t="s">
        <v>8</v>
      </c>
      <c r="L15297" s="23" t="s">
        <v>8</v>
      </c>
      <c r="M15297" s="23" t="s">
        <v>8</v>
      </c>
    </row>
    <row r="15298" spans="1:13" s="21" customFormat="1" x14ac:dyDescent="0.25">
      <c r="A15298" s="22" t="s">
        <v>8</v>
      </c>
      <c r="B15298" s="18" t="str">
        <f>"676274"</f>
        <v>676274</v>
      </c>
      <c r="C15298" s="19" t="s">
        <v>15005</v>
      </c>
      <c r="D15298" s="19" t="s">
        <v>30688</v>
      </c>
      <c r="E15298" s="19" t="s">
        <v>35300</v>
      </c>
      <c r="F15298" s="19" t="s">
        <v>36018</v>
      </c>
      <c r="G15298" s="33" t="str">
        <f>"78155"</f>
        <v>78155</v>
      </c>
      <c r="H15298" s="34" t="s">
        <v>36829</v>
      </c>
      <c r="I15298" s="35">
        <v>25.077999999999999</v>
      </c>
      <c r="J15298" s="47" t="s">
        <v>8</v>
      </c>
      <c r="K15298" s="23" t="s">
        <v>8</v>
      </c>
      <c r="L15298" s="23" t="s">
        <v>8</v>
      </c>
      <c r="M15298" s="23" t="s">
        <v>8</v>
      </c>
    </row>
    <row r="15299" spans="1:13" s="21" customFormat="1" x14ac:dyDescent="0.25">
      <c r="A15299" s="22" t="s">
        <v>8</v>
      </c>
      <c r="B15299" s="18" t="str">
        <f>"676275"</f>
        <v>676275</v>
      </c>
      <c r="C15299" s="19" t="s">
        <v>15006</v>
      </c>
      <c r="D15299" s="19" t="s">
        <v>30689</v>
      </c>
      <c r="E15299" s="19" t="s">
        <v>35965</v>
      </c>
      <c r="F15299" s="19" t="s">
        <v>36018</v>
      </c>
      <c r="G15299" s="33" t="str">
        <f>"75126"</f>
        <v>75126</v>
      </c>
      <c r="H15299" s="34" t="s">
        <v>35313</v>
      </c>
      <c r="I15299" s="35">
        <v>17.469000000000001</v>
      </c>
      <c r="J15299" s="47" t="s">
        <v>8</v>
      </c>
      <c r="K15299" s="23" t="s">
        <v>8</v>
      </c>
      <c r="L15299" s="23" t="s">
        <v>8</v>
      </c>
      <c r="M15299" s="23" t="s">
        <v>8</v>
      </c>
    </row>
    <row r="15300" spans="1:13" s="21" customFormat="1" x14ac:dyDescent="0.25">
      <c r="A15300" s="22" t="s">
        <v>8</v>
      </c>
      <c r="B15300" s="18" t="str">
        <f>"676276"</f>
        <v>676276</v>
      </c>
      <c r="C15300" s="19" t="s">
        <v>15007</v>
      </c>
      <c r="D15300" s="19" t="s">
        <v>30690</v>
      </c>
      <c r="E15300" s="19" t="s">
        <v>31723</v>
      </c>
      <c r="F15300" s="19" t="s">
        <v>36018</v>
      </c>
      <c r="G15300" s="33" t="str">
        <f>"75212"</f>
        <v>75212</v>
      </c>
      <c r="H15300" s="34" t="s">
        <v>31723</v>
      </c>
      <c r="I15300" s="35">
        <v>17.077000000000002</v>
      </c>
      <c r="J15300" s="47" t="s">
        <v>8</v>
      </c>
      <c r="K15300" s="23" t="s">
        <v>8</v>
      </c>
      <c r="L15300" s="23" t="s">
        <v>8</v>
      </c>
      <c r="M15300" s="23" t="s">
        <v>8</v>
      </c>
    </row>
    <row r="15301" spans="1:13" s="21" customFormat="1" x14ac:dyDescent="0.25">
      <c r="A15301" s="22" t="s">
        <v>8</v>
      </c>
      <c r="B15301" s="18" t="str">
        <f>"676277"</f>
        <v>676277</v>
      </c>
      <c r="C15301" s="19" t="s">
        <v>15008</v>
      </c>
      <c r="D15301" s="19" t="s">
        <v>30691</v>
      </c>
      <c r="E15301" s="19" t="s">
        <v>34543</v>
      </c>
      <c r="F15301" s="19" t="s">
        <v>36018</v>
      </c>
      <c r="G15301" s="33" t="str">
        <f>"77802"</f>
        <v>77802</v>
      </c>
      <c r="H15301" s="34" t="s">
        <v>36803</v>
      </c>
      <c r="I15301" s="35">
        <v>21.164000000000001</v>
      </c>
      <c r="J15301" s="47" t="s">
        <v>8</v>
      </c>
      <c r="K15301" s="23" t="s">
        <v>8</v>
      </c>
      <c r="L15301" s="23" t="s">
        <v>8</v>
      </c>
      <c r="M15301" s="23" t="s">
        <v>8</v>
      </c>
    </row>
    <row r="15302" spans="1:13" s="21" customFormat="1" x14ac:dyDescent="0.25">
      <c r="A15302" s="22" t="s">
        <v>8</v>
      </c>
      <c r="B15302" s="18" t="str">
        <f>"676278"</f>
        <v>676278</v>
      </c>
      <c r="C15302" s="19" t="s">
        <v>15009</v>
      </c>
      <c r="D15302" s="19" t="s">
        <v>30692</v>
      </c>
      <c r="E15302" s="19" t="s">
        <v>35297</v>
      </c>
      <c r="F15302" s="19" t="s">
        <v>36018</v>
      </c>
      <c r="G15302" s="33" t="str">
        <f>"76801"</f>
        <v>76801</v>
      </c>
      <c r="H15302" s="34" t="s">
        <v>36244</v>
      </c>
      <c r="I15302" s="35">
        <v>19.100000000000001</v>
      </c>
      <c r="J15302" s="47" t="s">
        <v>8</v>
      </c>
      <c r="K15302" s="23" t="s">
        <v>8</v>
      </c>
      <c r="L15302" s="23" t="s">
        <v>8</v>
      </c>
      <c r="M15302" s="23" t="s">
        <v>8</v>
      </c>
    </row>
    <row r="15303" spans="1:13" s="21" customFormat="1" x14ac:dyDescent="0.25">
      <c r="A15303" s="22" t="s">
        <v>8</v>
      </c>
      <c r="B15303" s="18" t="str">
        <f>"676279"</f>
        <v>676279</v>
      </c>
      <c r="C15303" s="19" t="s">
        <v>15010</v>
      </c>
      <c r="D15303" s="19" t="s">
        <v>30693</v>
      </c>
      <c r="E15303" s="19" t="s">
        <v>35310</v>
      </c>
      <c r="F15303" s="19" t="s">
        <v>36018</v>
      </c>
      <c r="G15303" s="33" t="str">
        <f>"79424"</f>
        <v>79424</v>
      </c>
      <c r="H15303" s="34" t="s">
        <v>35310</v>
      </c>
      <c r="I15303" s="35">
        <v>17.337</v>
      </c>
      <c r="J15303" s="47" t="s">
        <v>8</v>
      </c>
      <c r="K15303" s="23" t="s">
        <v>8</v>
      </c>
      <c r="L15303" s="23" t="s">
        <v>8</v>
      </c>
      <c r="M15303" s="23" t="s">
        <v>8</v>
      </c>
    </row>
    <row r="15304" spans="1:13" s="21" customFormat="1" x14ac:dyDescent="0.25">
      <c r="A15304" s="22" t="s">
        <v>8</v>
      </c>
      <c r="B15304" s="18" t="str">
        <f>"676280"</f>
        <v>676280</v>
      </c>
      <c r="C15304" s="19" t="s">
        <v>15011</v>
      </c>
      <c r="D15304" s="19" t="s">
        <v>30694</v>
      </c>
      <c r="E15304" s="19" t="s">
        <v>31495</v>
      </c>
      <c r="F15304" s="19" t="s">
        <v>36018</v>
      </c>
      <c r="G15304" s="33" t="str">
        <f>"78628"</f>
        <v>78628</v>
      </c>
      <c r="H15304" s="34" t="s">
        <v>35514</v>
      </c>
      <c r="I15304" s="35">
        <v>20.815000000000001</v>
      </c>
      <c r="J15304" s="47" t="s">
        <v>8</v>
      </c>
      <c r="K15304" s="23" t="s">
        <v>8</v>
      </c>
      <c r="L15304" s="23" t="s">
        <v>8</v>
      </c>
      <c r="M15304" s="23" t="s">
        <v>8</v>
      </c>
    </row>
    <row r="15305" spans="1:13" s="21" customFormat="1" x14ac:dyDescent="0.25">
      <c r="A15305" s="22" t="s">
        <v>8</v>
      </c>
      <c r="B15305" s="18" t="str">
        <f>"676281"</f>
        <v>676281</v>
      </c>
      <c r="C15305" s="19" t="s">
        <v>15012</v>
      </c>
      <c r="D15305" s="19" t="s">
        <v>30695</v>
      </c>
      <c r="E15305" s="19" t="s">
        <v>35244</v>
      </c>
      <c r="F15305" s="19" t="s">
        <v>36018</v>
      </c>
      <c r="G15305" s="33" t="str">
        <f>"78251"</f>
        <v>78251</v>
      </c>
      <c r="H15305" s="34" t="s">
        <v>36805</v>
      </c>
      <c r="I15305" s="35">
        <v>21.134</v>
      </c>
      <c r="J15305" s="47" t="s">
        <v>8</v>
      </c>
      <c r="K15305" s="23" t="s">
        <v>8</v>
      </c>
      <c r="L15305" s="23" t="s">
        <v>8</v>
      </c>
      <c r="M15305" s="23" t="s">
        <v>8</v>
      </c>
    </row>
    <row r="15306" spans="1:13" s="21" customFormat="1" x14ac:dyDescent="0.25">
      <c r="A15306" s="22" t="s">
        <v>8</v>
      </c>
      <c r="B15306" s="18" t="str">
        <f>"676282"</f>
        <v>676282</v>
      </c>
      <c r="C15306" s="19" t="s">
        <v>15013</v>
      </c>
      <c r="D15306" s="19" t="s">
        <v>30696</v>
      </c>
      <c r="E15306" s="19" t="s">
        <v>33493</v>
      </c>
      <c r="F15306" s="19" t="s">
        <v>36018</v>
      </c>
      <c r="G15306" s="33" t="str">
        <f>"77025"</f>
        <v>77025</v>
      </c>
      <c r="H15306" s="34" t="s">
        <v>34183</v>
      </c>
      <c r="I15306" s="35">
        <v>21.36</v>
      </c>
      <c r="J15306" s="47" t="s">
        <v>8</v>
      </c>
      <c r="K15306" s="23" t="s">
        <v>8</v>
      </c>
      <c r="L15306" s="23" t="s">
        <v>8</v>
      </c>
      <c r="M15306" s="23" t="s">
        <v>8</v>
      </c>
    </row>
    <row r="15307" spans="1:13" s="21" customFormat="1" x14ac:dyDescent="0.25">
      <c r="A15307" s="22" t="s">
        <v>8</v>
      </c>
      <c r="B15307" s="18" t="str">
        <f>"676283"</f>
        <v>676283</v>
      </c>
      <c r="C15307" s="19" t="s">
        <v>15014</v>
      </c>
      <c r="D15307" s="19" t="s">
        <v>30697</v>
      </c>
      <c r="E15307" s="19" t="s">
        <v>31965</v>
      </c>
      <c r="F15307" s="19" t="s">
        <v>36018</v>
      </c>
      <c r="G15307" s="33" t="str">
        <f>"79934"</f>
        <v>79934</v>
      </c>
      <c r="H15307" s="34" t="s">
        <v>31965</v>
      </c>
      <c r="I15307" s="35">
        <v>19.016999999999999</v>
      </c>
      <c r="J15307" s="47" t="s">
        <v>8</v>
      </c>
      <c r="K15307" s="23" t="s">
        <v>8</v>
      </c>
      <c r="L15307" s="23" t="s">
        <v>8</v>
      </c>
      <c r="M15307" s="23" t="s">
        <v>8</v>
      </c>
    </row>
    <row r="15308" spans="1:13" s="21" customFormat="1" x14ac:dyDescent="0.25">
      <c r="A15308" s="22" t="s">
        <v>8</v>
      </c>
      <c r="B15308" s="18" t="str">
        <f>"676284"</f>
        <v>676284</v>
      </c>
      <c r="C15308" s="19" t="s">
        <v>15015</v>
      </c>
      <c r="D15308" s="19" t="s">
        <v>30698</v>
      </c>
      <c r="E15308" s="19" t="s">
        <v>31723</v>
      </c>
      <c r="F15308" s="19" t="s">
        <v>36018</v>
      </c>
      <c r="G15308" s="33" t="str">
        <f>"75243"</f>
        <v>75243</v>
      </c>
      <c r="H15308" s="34" t="s">
        <v>31723</v>
      </c>
      <c r="I15308" s="35">
        <v>19.260000000000002</v>
      </c>
      <c r="J15308" s="47" t="s">
        <v>8</v>
      </c>
      <c r="K15308" s="23" t="s">
        <v>8</v>
      </c>
      <c r="L15308" s="23" t="s">
        <v>8</v>
      </c>
      <c r="M15308" s="23" t="s">
        <v>8</v>
      </c>
    </row>
    <row r="15309" spans="1:13" s="21" customFormat="1" x14ac:dyDescent="0.25">
      <c r="A15309" s="22" t="s">
        <v>8</v>
      </c>
      <c r="B15309" s="18" t="str">
        <f>"676285"</f>
        <v>676285</v>
      </c>
      <c r="C15309" s="19" t="s">
        <v>15016</v>
      </c>
      <c r="D15309" s="19" t="s">
        <v>30699</v>
      </c>
      <c r="E15309" s="19" t="s">
        <v>35245</v>
      </c>
      <c r="F15309" s="19" t="s">
        <v>36018</v>
      </c>
      <c r="G15309" s="33" t="str">
        <f>"76137"</f>
        <v>76137</v>
      </c>
      <c r="H15309" s="34" t="s">
        <v>36806</v>
      </c>
      <c r="I15309" s="35">
        <v>17.152999999999999</v>
      </c>
      <c r="J15309" s="47" t="s">
        <v>8</v>
      </c>
      <c r="K15309" s="23" t="s">
        <v>8</v>
      </c>
      <c r="L15309" s="23" t="s">
        <v>8</v>
      </c>
      <c r="M15309" s="23" t="s">
        <v>8</v>
      </c>
    </row>
    <row r="15310" spans="1:13" s="21" customFormat="1" x14ac:dyDescent="0.25">
      <c r="A15310" s="22" t="s">
        <v>8</v>
      </c>
      <c r="B15310" s="18" t="str">
        <f>"676286"</f>
        <v>676286</v>
      </c>
      <c r="C15310" s="19" t="s">
        <v>15017</v>
      </c>
      <c r="D15310" s="19" t="s">
        <v>30700</v>
      </c>
      <c r="E15310" s="19" t="s">
        <v>33401</v>
      </c>
      <c r="F15310" s="19" t="s">
        <v>36018</v>
      </c>
      <c r="G15310" s="33" t="str">
        <f>"75703"</f>
        <v>75703</v>
      </c>
      <c r="H15310" s="34" t="s">
        <v>36304</v>
      </c>
      <c r="I15310" s="35">
        <v>19.094999999999999</v>
      </c>
      <c r="J15310" s="47" t="s">
        <v>8</v>
      </c>
      <c r="K15310" s="23" t="s">
        <v>8</v>
      </c>
      <c r="L15310" s="23" t="s">
        <v>8</v>
      </c>
      <c r="M15310" s="23" t="s">
        <v>8</v>
      </c>
    </row>
    <row r="15311" spans="1:13" s="21" customFormat="1" x14ac:dyDescent="0.25">
      <c r="A15311" s="22" t="s">
        <v>8</v>
      </c>
      <c r="B15311" s="18" t="str">
        <f>"676288"</f>
        <v>676288</v>
      </c>
      <c r="C15311" s="19" t="s">
        <v>15018</v>
      </c>
      <c r="D15311" s="19" t="s">
        <v>30701</v>
      </c>
      <c r="E15311" s="19" t="s">
        <v>35966</v>
      </c>
      <c r="F15311" s="19" t="s">
        <v>36018</v>
      </c>
      <c r="G15311" s="33" t="str">
        <f>"78014"</f>
        <v>78014</v>
      </c>
      <c r="H15311" s="34" t="s">
        <v>31983</v>
      </c>
      <c r="I15311" s="35">
        <v>17.736999999999998</v>
      </c>
      <c r="J15311" s="47" t="s">
        <v>8</v>
      </c>
      <c r="K15311" s="23" t="s">
        <v>8</v>
      </c>
      <c r="L15311" s="23" t="s">
        <v>8</v>
      </c>
      <c r="M15311" s="23" t="s">
        <v>8</v>
      </c>
    </row>
    <row r="15312" spans="1:13" s="21" customFormat="1" x14ac:dyDescent="0.25">
      <c r="A15312" s="22" t="s">
        <v>8</v>
      </c>
      <c r="B15312" s="18" t="str">
        <f>"676289"</f>
        <v>676289</v>
      </c>
      <c r="C15312" s="19" t="s">
        <v>15019</v>
      </c>
      <c r="D15312" s="19" t="s">
        <v>30702</v>
      </c>
      <c r="E15312" s="19" t="s">
        <v>35967</v>
      </c>
      <c r="F15312" s="19" t="s">
        <v>36018</v>
      </c>
      <c r="G15312" s="33" t="str">
        <f>"76705"</f>
        <v>76705</v>
      </c>
      <c r="H15312" s="34" t="s">
        <v>36809</v>
      </c>
      <c r="I15312" s="35">
        <v>23.382999999999999</v>
      </c>
      <c r="J15312" s="47" t="s">
        <v>8</v>
      </c>
      <c r="K15312" s="23" t="s">
        <v>8</v>
      </c>
      <c r="L15312" s="23" t="s">
        <v>8</v>
      </c>
      <c r="M15312" s="23" t="s">
        <v>8</v>
      </c>
    </row>
    <row r="15313" spans="1:13" s="21" customFormat="1" x14ac:dyDescent="0.25">
      <c r="A15313" s="22" t="s">
        <v>8</v>
      </c>
      <c r="B15313" s="18" t="str">
        <f>"676290"</f>
        <v>676290</v>
      </c>
      <c r="C15313" s="19" t="s">
        <v>15020</v>
      </c>
      <c r="D15313" s="19" t="s">
        <v>30703</v>
      </c>
      <c r="E15313" s="19" t="s">
        <v>31080</v>
      </c>
      <c r="F15313" s="19" t="s">
        <v>36018</v>
      </c>
      <c r="G15313" s="33" t="str">
        <f>"76574"</f>
        <v>76574</v>
      </c>
      <c r="H15313" s="34" t="s">
        <v>35514</v>
      </c>
      <c r="I15313" s="35">
        <v>18.946999999999999</v>
      </c>
      <c r="J15313" s="47" t="s">
        <v>8</v>
      </c>
      <c r="K15313" s="23" t="s">
        <v>8</v>
      </c>
      <c r="L15313" s="23" t="s">
        <v>8</v>
      </c>
      <c r="M15313" s="23" t="s">
        <v>8</v>
      </c>
    </row>
    <row r="15314" spans="1:13" s="21" customFormat="1" x14ac:dyDescent="0.25">
      <c r="A15314" s="22" t="s">
        <v>8</v>
      </c>
      <c r="B15314" s="18" t="str">
        <f>"676292"</f>
        <v>676292</v>
      </c>
      <c r="C15314" s="19" t="s">
        <v>15021</v>
      </c>
      <c r="D15314" s="19" t="s">
        <v>30704</v>
      </c>
      <c r="E15314" s="19" t="s">
        <v>32821</v>
      </c>
      <c r="F15314" s="19" t="s">
        <v>36018</v>
      </c>
      <c r="G15314" s="33" t="str">
        <f>"78648"</f>
        <v>78648</v>
      </c>
      <c r="H15314" s="34" t="s">
        <v>31876</v>
      </c>
      <c r="I15314" s="35">
        <v>18.902000000000001</v>
      </c>
      <c r="J15314" s="47" t="s">
        <v>8</v>
      </c>
      <c r="K15314" s="23" t="s">
        <v>8</v>
      </c>
      <c r="L15314" s="23" t="s">
        <v>8</v>
      </c>
      <c r="M15314" s="23" t="s">
        <v>8</v>
      </c>
    </row>
    <row r="15315" spans="1:13" s="21" customFormat="1" x14ac:dyDescent="0.25">
      <c r="A15315" s="22" t="s">
        <v>8</v>
      </c>
      <c r="B15315" s="18" t="str">
        <f>"676293"</f>
        <v>676293</v>
      </c>
      <c r="C15315" s="19" t="s">
        <v>15022</v>
      </c>
      <c r="D15315" s="19" t="s">
        <v>30705</v>
      </c>
      <c r="E15315" s="19" t="s">
        <v>31723</v>
      </c>
      <c r="F15315" s="19" t="s">
        <v>36018</v>
      </c>
      <c r="G15315" s="33" t="str">
        <f>"75235"</f>
        <v>75235</v>
      </c>
      <c r="H15315" s="34" t="s">
        <v>31723</v>
      </c>
      <c r="I15315" s="35">
        <v>18.466000000000001</v>
      </c>
      <c r="J15315" s="47" t="s">
        <v>8</v>
      </c>
      <c r="K15315" s="23" t="s">
        <v>8</v>
      </c>
      <c r="L15315" s="23" t="s">
        <v>8</v>
      </c>
      <c r="M15315" s="23" t="s">
        <v>8</v>
      </c>
    </row>
    <row r="15316" spans="1:13" s="21" customFormat="1" x14ac:dyDescent="0.25">
      <c r="A15316" s="22" t="s">
        <v>8</v>
      </c>
      <c r="B15316" s="18" t="str">
        <f>"676294"</f>
        <v>676294</v>
      </c>
      <c r="C15316" s="19" t="s">
        <v>15023</v>
      </c>
      <c r="D15316" s="19" t="s">
        <v>30706</v>
      </c>
      <c r="E15316" s="19" t="s">
        <v>31050</v>
      </c>
      <c r="F15316" s="19" t="s">
        <v>36018</v>
      </c>
      <c r="G15316" s="33" t="str">
        <f>"75462"</f>
        <v>75462</v>
      </c>
      <c r="H15316" s="34" t="s">
        <v>31372</v>
      </c>
      <c r="I15316" s="35">
        <v>20.25</v>
      </c>
      <c r="J15316" s="47" t="s">
        <v>8</v>
      </c>
      <c r="K15316" s="23" t="s">
        <v>8</v>
      </c>
      <c r="L15316" s="23" t="s">
        <v>8</v>
      </c>
      <c r="M15316" s="23" t="s">
        <v>8</v>
      </c>
    </row>
    <row r="15317" spans="1:13" s="21" customFormat="1" x14ac:dyDescent="0.25">
      <c r="A15317" s="22" t="s">
        <v>8</v>
      </c>
      <c r="B15317" s="18" t="str">
        <f>"676295"</f>
        <v>676295</v>
      </c>
      <c r="C15317" s="19" t="s">
        <v>15024</v>
      </c>
      <c r="D15317" s="19" t="s">
        <v>30707</v>
      </c>
      <c r="E15317" s="19" t="s">
        <v>35822</v>
      </c>
      <c r="F15317" s="19" t="s">
        <v>36018</v>
      </c>
      <c r="G15317" s="33" t="str">
        <f>"75110"</f>
        <v>75110</v>
      </c>
      <c r="H15317" s="34" t="s">
        <v>36955</v>
      </c>
      <c r="I15317" s="35">
        <v>19.576000000000001</v>
      </c>
      <c r="J15317" s="47" t="s">
        <v>8</v>
      </c>
      <c r="K15317" s="23" t="s">
        <v>8</v>
      </c>
      <c r="L15317" s="23" t="s">
        <v>8</v>
      </c>
      <c r="M15317" s="23" t="s">
        <v>8</v>
      </c>
    </row>
    <row r="15318" spans="1:13" s="21" customFormat="1" x14ac:dyDescent="0.25">
      <c r="A15318" s="22" t="s">
        <v>8</v>
      </c>
      <c r="B15318" s="18" t="str">
        <f>"676297"</f>
        <v>676297</v>
      </c>
      <c r="C15318" s="19" t="s">
        <v>15025</v>
      </c>
      <c r="D15318" s="19" t="s">
        <v>30708</v>
      </c>
      <c r="E15318" s="19" t="s">
        <v>35244</v>
      </c>
      <c r="F15318" s="19" t="s">
        <v>36018</v>
      </c>
      <c r="G15318" s="33" t="str">
        <f>"78223"</f>
        <v>78223</v>
      </c>
      <c r="H15318" s="34" t="s">
        <v>36805</v>
      </c>
      <c r="I15318" s="35">
        <v>18.552</v>
      </c>
      <c r="J15318" s="47" t="s">
        <v>8</v>
      </c>
      <c r="K15318" s="23" t="s">
        <v>8</v>
      </c>
      <c r="L15318" s="23" t="s">
        <v>8</v>
      </c>
      <c r="M15318" s="23" t="s">
        <v>8</v>
      </c>
    </row>
    <row r="15319" spans="1:13" s="21" customFormat="1" x14ac:dyDescent="0.25">
      <c r="A15319" s="22" t="s">
        <v>8</v>
      </c>
      <c r="B15319" s="18" t="str">
        <f>"676298"</f>
        <v>676298</v>
      </c>
      <c r="C15319" s="19" t="s">
        <v>15026</v>
      </c>
      <c r="D15319" s="19" t="s">
        <v>30709</v>
      </c>
      <c r="E15319" s="19" t="s">
        <v>35968</v>
      </c>
      <c r="F15319" s="19" t="s">
        <v>36018</v>
      </c>
      <c r="G15319" s="33" t="str">
        <f>"77461"</f>
        <v>77461</v>
      </c>
      <c r="H15319" s="34" t="s">
        <v>36826</v>
      </c>
      <c r="I15319" s="35">
        <v>17.727</v>
      </c>
      <c r="J15319" s="47" t="s">
        <v>8</v>
      </c>
      <c r="K15319" s="23" t="s">
        <v>8</v>
      </c>
      <c r="L15319" s="23" t="s">
        <v>8</v>
      </c>
      <c r="M15319" s="23" t="s">
        <v>8</v>
      </c>
    </row>
    <row r="15320" spans="1:13" s="21" customFormat="1" x14ac:dyDescent="0.25">
      <c r="A15320" s="22" t="s">
        <v>8</v>
      </c>
      <c r="B15320" s="18" t="str">
        <f>"676299"</f>
        <v>676299</v>
      </c>
      <c r="C15320" s="19" t="s">
        <v>15027</v>
      </c>
      <c r="D15320" s="19" t="s">
        <v>30710</v>
      </c>
      <c r="E15320" s="19" t="s">
        <v>33383</v>
      </c>
      <c r="F15320" s="19" t="s">
        <v>36018</v>
      </c>
      <c r="G15320" s="33" t="str">
        <f>"78748"</f>
        <v>78748</v>
      </c>
      <c r="H15320" s="34" t="s">
        <v>36817</v>
      </c>
      <c r="I15320" s="35">
        <v>20.696000000000002</v>
      </c>
      <c r="J15320" s="47" t="s">
        <v>8</v>
      </c>
      <c r="K15320" s="23" t="s">
        <v>8</v>
      </c>
      <c r="L15320" s="23" t="s">
        <v>8</v>
      </c>
      <c r="M15320" s="23" t="s">
        <v>8</v>
      </c>
    </row>
    <row r="15321" spans="1:13" s="21" customFormat="1" x14ac:dyDescent="0.25">
      <c r="A15321" s="22" t="s">
        <v>8</v>
      </c>
      <c r="B15321" s="18" t="str">
        <f>"676300"</f>
        <v>676300</v>
      </c>
      <c r="C15321" s="19" t="s">
        <v>15028</v>
      </c>
      <c r="D15321" s="19" t="s">
        <v>30711</v>
      </c>
      <c r="E15321" s="19" t="s">
        <v>31791</v>
      </c>
      <c r="F15321" s="19" t="s">
        <v>36018</v>
      </c>
      <c r="G15321" s="33" t="str">
        <f>"75103"</f>
        <v>75103</v>
      </c>
      <c r="H15321" s="34" t="s">
        <v>36827</v>
      </c>
      <c r="I15321" s="35">
        <v>24.577000000000002</v>
      </c>
      <c r="J15321" s="47" t="s">
        <v>8</v>
      </c>
      <c r="K15321" s="23" t="s">
        <v>8</v>
      </c>
      <c r="L15321" s="23" t="s">
        <v>8</v>
      </c>
      <c r="M15321" s="23" t="s">
        <v>8</v>
      </c>
    </row>
    <row r="15322" spans="1:13" s="21" customFormat="1" x14ac:dyDescent="0.25">
      <c r="A15322" s="22" t="s">
        <v>8</v>
      </c>
      <c r="B15322" s="18" t="str">
        <f>"676301"</f>
        <v>676301</v>
      </c>
      <c r="C15322" s="19" t="s">
        <v>15029</v>
      </c>
      <c r="D15322" s="19" t="s">
        <v>30712</v>
      </c>
      <c r="E15322" s="19" t="s">
        <v>35944</v>
      </c>
      <c r="F15322" s="19" t="s">
        <v>36018</v>
      </c>
      <c r="G15322" s="33" t="str">
        <f>"78154"</f>
        <v>78154</v>
      </c>
      <c r="H15322" s="34" t="s">
        <v>36829</v>
      </c>
      <c r="I15322" s="35">
        <v>16.843</v>
      </c>
      <c r="J15322" s="47" t="s">
        <v>8</v>
      </c>
      <c r="K15322" s="23" t="s">
        <v>8</v>
      </c>
      <c r="L15322" s="23" t="s">
        <v>8</v>
      </c>
      <c r="M15322" s="23" t="s">
        <v>8</v>
      </c>
    </row>
    <row r="15323" spans="1:13" s="21" customFormat="1" x14ac:dyDescent="0.25">
      <c r="A15323" s="22" t="s">
        <v>8</v>
      </c>
      <c r="B15323" s="18" t="str">
        <f>"676302"</f>
        <v>676302</v>
      </c>
      <c r="C15323" s="19" t="s">
        <v>15030</v>
      </c>
      <c r="D15323" s="19" t="s">
        <v>30713</v>
      </c>
      <c r="E15323" s="19" t="s">
        <v>35918</v>
      </c>
      <c r="F15323" s="19" t="s">
        <v>36018</v>
      </c>
      <c r="G15323" s="33" t="str">
        <f>"78613"</f>
        <v>78613</v>
      </c>
      <c r="H15323" s="34" t="s">
        <v>35514</v>
      </c>
      <c r="I15323" s="35">
        <v>21.515999999999998</v>
      </c>
      <c r="J15323" s="47" t="s">
        <v>8</v>
      </c>
      <c r="K15323" s="23" t="s">
        <v>8</v>
      </c>
      <c r="L15323" s="23" t="s">
        <v>8</v>
      </c>
      <c r="M15323" s="23" t="s">
        <v>8</v>
      </c>
    </row>
    <row r="15324" spans="1:13" s="21" customFormat="1" x14ac:dyDescent="0.25">
      <c r="A15324" s="22" t="s">
        <v>8</v>
      </c>
      <c r="B15324" s="18" t="str">
        <f>"676303"</f>
        <v>676303</v>
      </c>
      <c r="C15324" s="19" t="s">
        <v>15031</v>
      </c>
      <c r="D15324" s="19" t="s">
        <v>30714</v>
      </c>
      <c r="E15324" s="19" t="s">
        <v>35243</v>
      </c>
      <c r="F15324" s="19" t="s">
        <v>36018</v>
      </c>
      <c r="G15324" s="33" t="str">
        <f>"78414"</f>
        <v>78414</v>
      </c>
      <c r="H15324" s="34" t="s">
        <v>36804</v>
      </c>
      <c r="I15324" s="35">
        <v>23.135999999999999</v>
      </c>
      <c r="J15324" s="47" t="s">
        <v>8</v>
      </c>
      <c r="K15324" s="23" t="s">
        <v>8</v>
      </c>
      <c r="L15324" s="23" t="s">
        <v>8</v>
      </c>
      <c r="M15324" s="23" t="s">
        <v>8</v>
      </c>
    </row>
    <row r="15325" spans="1:13" s="21" customFormat="1" x14ac:dyDescent="0.25">
      <c r="A15325" s="22" t="s">
        <v>8</v>
      </c>
      <c r="B15325" s="18" t="str">
        <f>"676304"</f>
        <v>676304</v>
      </c>
      <c r="C15325" s="19" t="s">
        <v>15032</v>
      </c>
      <c r="D15325" s="19" t="s">
        <v>30715</v>
      </c>
      <c r="E15325" s="19" t="s">
        <v>35820</v>
      </c>
      <c r="F15325" s="19" t="s">
        <v>36018</v>
      </c>
      <c r="G15325" s="33" t="str">
        <f>"77531"</f>
        <v>77531</v>
      </c>
      <c r="H15325" s="34" t="s">
        <v>36808</v>
      </c>
      <c r="I15325" s="35">
        <v>18.774999999999999</v>
      </c>
      <c r="J15325" s="47" t="s">
        <v>8</v>
      </c>
      <c r="K15325" s="23" t="s">
        <v>8</v>
      </c>
      <c r="L15325" s="23" t="s">
        <v>8</v>
      </c>
      <c r="M15325" s="23" t="s">
        <v>8</v>
      </c>
    </row>
    <row r="15326" spans="1:13" s="21" customFormat="1" x14ac:dyDescent="0.25">
      <c r="A15326" s="22" t="s">
        <v>8</v>
      </c>
      <c r="B15326" s="18" t="str">
        <f>"676305"</f>
        <v>676305</v>
      </c>
      <c r="C15326" s="19" t="s">
        <v>15033</v>
      </c>
      <c r="D15326" s="19" t="s">
        <v>30716</v>
      </c>
      <c r="E15326" s="19" t="s">
        <v>35245</v>
      </c>
      <c r="F15326" s="19" t="s">
        <v>36018</v>
      </c>
      <c r="G15326" s="33" t="str">
        <f>"76107"</f>
        <v>76107</v>
      </c>
      <c r="H15326" s="34" t="s">
        <v>36806</v>
      </c>
      <c r="I15326" s="35">
        <v>18.785</v>
      </c>
      <c r="J15326" s="47" t="s">
        <v>8</v>
      </c>
      <c r="K15326" s="23" t="s">
        <v>8</v>
      </c>
      <c r="L15326" s="23" t="s">
        <v>8</v>
      </c>
      <c r="M15326" s="23" t="s">
        <v>8</v>
      </c>
    </row>
    <row r="15327" spans="1:13" s="21" customFormat="1" x14ac:dyDescent="0.25">
      <c r="A15327" s="22" t="s">
        <v>8</v>
      </c>
      <c r="B15327" s="18" t="str">
        <f>"676306"</f>
        <v>676306</v>
      </c>
      <c r="C15327" s="19" t="s">
        <v>15034</v>
      </c>
      <c r="D15327" s="19" t="s">
        <v>30717</v>
      </c>
      <c r="E15327" s="19" t="s">
        <v>33493</v>
      </c>
      <c r="F15327" s="19" t="s">
        <v>36018</v>
      </c>
      <c r="G15327" s="33" t="str">
        <f>"77054"</f>
        <v>77054</v>
      </c>
      <c r="H15327" s="34" t="s">
        <v>34183</v>
      </c>
      <c r="I15327" s="35">
        <v>17.448</v>
      </c>
      <c r="J15327" s="47" t="s">
        <v>8</v>
      </c>
      <c r="K15327" s="23" t="s">
        <v>8</v>
      </c>
      <c r="L15327" s="23" t="s">
        <v>8</v>
      </c>
      <c r="M15327" s="23" t="s">
        <v>8</v>
      </c>
    </row>
    <row r="15328" spans="1:13" s="21" customFormat="1" x14ac:dyDescent="0.25">
      <c r="A15328" s="22" t="s">
        <v>8</v>
      </c>
      <c r="B15328" s="18" t="str">
        <f>"676307"</f>
        <v>676307</v>
      </c>
      <c r="C15328" s="19" t="s">
        <v>15035</v>
      </c>
      <c r="D15328" s="19" t="s">
        <v>30718</v>
      </c>
      <c r="E15328" s="19" t="s">
        <v>35249</v>
      </c>
      <c r="F15328" s="19" t="s">
        <v>36018</v>
      </c>
      <c r="G15328" s="33" t="str">
        <f>"77566"</f>
        <v>77566</v>
      </c>
      <c r="H15328" s="34" t="s">
        <v>36808</v>
      </c>
      <c r="I15328" s="35">
        <v>18.706</v>
      </c>
      <c r="J15328" s="47" t="s">
        <v>8</v>
      </c>
      <c r="K15328" s="23" t="s">
        <v>8</v>
      </c>
      <c r="L15328" s="23" t="s">
        <v>8</v>
      </c>
      <c r="M15328" s="23" t="s">
        <v>8</v>
      </c>
    </row>
    <row r="15329" spans="1:13" s="21" customFormat="1" x14ac:dyDescent="0.25">
      <c r="A15329" s="22" t="s">
        <v>8</v>
      </c>
      <c r="B15329" s="18" t="str">
        <f>"676308"</f>
        <v>676308</v>
      </c>
      <c r="C15329" s="19" t="s">
        <v>15036</v>
      </c>
      <c r="D15329" s="19" t="s">
        <v>30719</v>
      </c>
      <c r="E15329" s="19" t="s">
        <v>35292</v>
      </c>
      <c r="F15329" s="19" t="s">
        <v>36018</v>
      </c>
      <c r="G15329" s="33" t="str">
        <f>"78665"</f>
        <v>78665</v>
      </c>
      <c r="H15329" s="34" t="s">
        <v>35514</v>
      </c>
      <c r="I15329" s="35">
        <v>16.288</v>
      </c>
      <c r="J15329" s="47" t="s">
        <v>8</v>
      </c>
      <c r="K15329" s="23" t="s">
        <v>8</v>
      </c>
      <c r="L15329" s="23" t="s">
        <v>8</v>
      </c>
      <c r="M15329" s="23" t="s">
        <v>8</v>
      </c>
    </row>
    <row r="15330" spans="1:13" s="21" customFormat="1" x14ac:dyDescent="0.25">
      <c r="A15330" s="22" t="s">
        <v>8</v>
      </c>
      <c r="B15330" s="18" t="str">
        <f>"676309"</f>
        <v>676309</v>
      </c>
      <c r="C15330" s="19" t="s">
        <v>15037</v>
      </c>
      <c r="D15330" s="19" t="s">
        <v>30720</v>
      </c>
      <c r="E15330" s="19" t="s">
        <v>31191</v>
      </c>
      <c r="F15330" s="19" t="s">
        <v>36018</v>
      </c>
      <c r="G15330" s="33" t="str">
        <f>"77505"</f>
        <v>77505</v>
      </c>
      <c r="H15330" s="34" t="s">
        <v>34183</v>
      </c>
      <c r="I15330" s="35">
        <v>19.350000000000001</v>
      </c>
      <c r="J15330" s="47" t="s">
        <v>8</v>
      </c>
      <c r="K15330" s="23" t="s">
        <v>8</v>
      </c>
      <c r="L15330" s="23" t="s">
        <v>8</v>
      </c>
      <c r="M15330" s="23" t="s">
        <v>8</v>
      </c>
    </row>
    <row r="15331" spans="1:13" s="21" customFormat="1" x14ac:dyDescent="0.25">
      <c r="A15331" s="22" t="s">
        <v>8</v>
      </c>
      <c r="B15331" s="18" t="str">
        <f>"676310"</f>
        <v>676310</v>
      </c>
      <c r="C15331" s="19" t="s">
        <v>15038</v>
      </c>
      <c r="D15331" s="19" t="s">
        <v>30721</v>
      </c>
      <c r="E15331" s="19" t="s">
        <v>33493</v>
      </c>
      <c r="F15331" s="19" t="s">
        <v>36018</v>
      </c>
      <c r="G15331" s="33" t="str">
        <f>"77084"</f>
        <v>77084</v>
      </c>
      <c r="H15331" s="34" t="s">
        <v>34183</v>
      </c>
      <c r="I15331" s="35">
        <v>16.888999999999999</v>
      </c>
      <c r="J15331" s="47" t="s">
        <v>8</v>
      </c>
      <c r="K15331" s="23" t="s">
        <v>8</v>
      </c>
      <c r="L15331" s="23" t="s">
        <v>8</v>
      </c>
      <c r="M15331" s="23" t="s">
        <v>8</v>
      </c>
    </row>
    <row r="15332" spans="1:13" s="21" customFormat="1" x14ac:dyDescent="0.25">
      <c r="A15332" s="22" t="s">
        <v>8</v>
      </c>
      <c r="B15332" s="18" t="str">
        <f>"676311"</f>
        <v>676311</v>
      </c>
      <c r="C15332" s="19" t="s">
        <v>15039</v>
      </c>
      <c r="D15332" s="19" t="s">
        <v>30722</v>
      </c>
      <c r="E15332" s="19" t="s">
        <v>33401</v>
      </c>
      <c r="F15332" s="19" t="s">
        <v>36018</v>
      </c>
      <c r="G15332" s="33" t="str">
        <f>"75708"</f>
        <v>75708</v>
      </c>
      <c r="H15332" s="34" t="s">
        <v>36304</v>
      </c>
      <c r="I15332" s="35">
        <v>19.503</v>
      </c>
      <c r="J15332" s="47" t="s">
        <v>8</v>
      </c>
      <c r="K15332" s="23" t="s">
        <v>8</v>
      </c>
      <c r="L15332" s="23" t="s">
        <v>8</v>
      </c>
      <c r="M15332" s="23" t="s">
        <v>8</v>
      </c>
    </row>
    <row r="15333" spans="1:13" s="21" customFormat="1" x14ac:dyDescent="0.25">
      <c r="A15333" s="22" t="s">
        <v>8</v>
      </c>
      <c r="B15333" s="18" t="str">
        <f>"676312"</f>
        <v>676312</v>
      </c>
      <c r="C15333" s="19" t="s">
        <v>15040</v>
      </c>
      <c r="D15333" s="19" t="s">
        <v>30723</v>
      </c>
      <c r="E15333" s="19" t="s">
        <v>35244</v>
      </c>
      <c r="F15333" s="19" t="s">
        <v>36018</v>
      </c>
      <c r="G15333" s="33" t="str">
        <f>"78227"</f>
        <v>78227</v>
      </c>
      <c r="H15333" s="34" t="s">
        <v>36805</v>
      </c>
      <c r="I15333" s="35">
        <v>20.824000000000002</v>
      </c>
      <c r="J15333" s="47" t="s">
        <v>8</v>
      </c>
      <c r="K15333" s="23" t="s">
        <v>8</v>
      </c>
      <c r="L15333" s="23" t="s">
        <v>8</v>
      </c>
      <c r="M15333" s="23" t="s">
        <v>8</v>
      </c>
    </row>
    <row r="15334" spans="1:13" s="21" customFormat="1" x14ac:dyDescent="0.25">
      <c r="A15334" s="22" t="s">
        <v>8</v>
      </c>
      <c r="B15334" s="18" t="str">
        <f>"676313"</f>
        <v>676313</v>
      </c>
      <c r="C15334" s="19" t="s">
        <v>15041</v>
      </c>
      <c r="D15334" s="19" t="s">
        <v>30724</v>
      </c>
      <c r="E15334" s="19" t="s">
        <v>35257</v>
      </c>
      <c r="F15334" s="19" t="s">
        <v>36018</v>
      </c>
      <c r="G15334" s="33" t="str">
        <f>"78041"</f>
        <v>78041</v>
      </c>
      <c r="H15334" s="34" t="s">
        <v>36811</v>
      </c>
      <c r="I15334" s="35">
        <v>18.111000000000001</v>
      </c>
      <c r="J15334" s="47" t="s">
        <v>8</v>
      </c>
      <c r="K15334" s="23" t="s">
        <v>8</v>
      </c>
      <c r="L15334" s="23" t="s">
        <v>8</v>
      </c>
      <c r="M15334" s="23" t="s">
        <v>8</v>
      </c>
    </row>
    <row r="15335" spans="1:13" s="21" customFormat="1" x14ac:dyDescent="0.25">
      <c r="A15335" s="22" t="s">
        <v>8</v>
      </c>
      <c r="B15335" s="18" t="str">
        <f>"676314"</f>
        <v>676314</v>
      </c>
      <c r="C15335" s="19" t="s">
        <v>15042</v>
      </c>
      <c r="D15335" s="19" t="s">
        <v>30725</v>
      </c>
      <c r="E15335" s="19" t="s">
        <v>33493</v>
      </c>
      <c r="F15335" s="19" t="s">
        <v>36018</v>
      </c>
      <c r="G15335" s="33" t="str">
        <f>"77045"</f>
        <v>77045</v>
      </c>
      <c r="H15335" s="34" t="s">
        <v>34183</v>
      </c>
      <c r="I15335" s="35">
        <v>22.138000000000002</v>
      </c>
      <c r="J15335" s="47" t="s">
        <v>8</v>
      </c>
      <c r="K15335" s="23" t="s">
        <v>8</v>
      </c>
      <c r="L15335" s="23" t="s">
        <v>8</v>
      </c>
      <c r="M15335" s="23" t="s">
        <v>8</v>
      </c>
    </row>
    <row r="15336" spans="1:13" s="21" customFormat="1" x14ac:dyDescent="0.25">
      <c r="A15336" s="22" t="s">
        <v>8</v>
      </c>
      <c r="B15336" s="18" t="str">
        <f>"676315"</f>
        <v>676315</v>
      </c>
      <c r="C15336" s="19" t="s">
        <v>15043</v>
      </c>
      <c r="D15336" s="19" t="s">
        <v>30726</v>
      </c>
      <c r="E15336" s="19" t="s">
        <v>31723</v>
      </c>
      <c r="F15336" s="19" t="s">
        <v>36018</v>
      </c>
      <c r="G15336" s="33" t="str">
        <f>"75252"</f>
        <v>75252</v>
      </c>
      <c r="H15336" s="34" t="s">
        <v>36828</v>
      </c>
      <c r="I15336" s="35">
        <v>19.954000000000001</v>
      </c>
      <c r="J15336" s="47" t="s">
        <v>8</v>
      </c>
      <c r="K15336" s="23" t="s">
        <v>8</v>
      </c>
      <c r="L15336" s="23" t="s">
        <v>8</v>
      </c>
      <c r="M15336" s="23" t="s">
        <v>8</v>
      </c>
    </row>
    <row r="15337" spans="1:13" s="21" customFormat="1" x14ac:dyDescent="0.25">
      <c r="A15337" s="22" t="s">
        <v>8</v>
      </c>
      <c r="B15337" s="18" t="str">
        <f>"676316"</f>
        <v>676316</v>
      </c>
      <c r="C15337" s="19" t="s">
        <v>15044</v>
      </c>
      <c r="D15337" s="19" t="s">
        <v>30727</v>
      </c>
      <c r="E15337" s="19" t="s">
        <v>35223</v>
      </c>
      <c r="F15337" s="19" t="s">
        <v>36018</v>
      </c>
      <c r="G15337" s="33" t="str">
        <f>"77833"</f>
        <v>77833</v>
      </c>
      <c r="H15337" s="34" t="s">
        <v>31500</v>
      </c>
      <c r="I15337" s="35">
        <v>20.010000000000002</v>
      </c>
      <c r="J15337" s="47" t="s">
        <v>8</v>
      </c>
      <c r="K15337" s="23" t="s">
        <v>8</v>
      </c>
      <c r="L15337" s="23" t="s">
        <v>8</v>
      </c>
      <c r="M15337" s="23" t="s">
        <v>8</v>
      </c>
    </row>
    <row r="15338" spans="1:13" s="21" customFormat="1" x14ac:dyDescent="0.25">
      <c r="A15338" s="22" t="s">
        <v>8</v>
      </c>
      <c r="B15338" s="18" t="str">
        <f>"676317"</f>
        <v>676317</v>
      </c>
      <c r="C15338" s="19" t="s">
        <v>15045</v>
      </c>
      <c r="D15338" s="19" t="s">
        <v>30728</v>
      </c>
      <c r="E15338" s="19" t="s">
        <v>35245</v>
      </c>
      <c r="F15338" s="19" t="s">
        <v>36018</v>
      </c>
      <c r="G15338" s="33" t="str">
        <f>"76244"</f>
        <v>76244</v>
      </c>
      <c r="H15338" s="34" t="s">
        <v>36806</v>
      </c>
      <c r="I15338" s="35">
        <v>21.791</v>
      </c>
      <c r="J15338" s="47" t="s">
        <v>8</v>
      </c>
      <c r="K15338" s="23" t="s">
        <v>8</v>
      </c>
      <c r="L15338" s="23" t="s">
        <v>8</v>
      </c>
      <c r="M15338" s="23" t="s">
        <v>8</v>
      </c>
    </row>
    <row r="15339" spans="1:13" s="21" customFormat="1" x14ac:dyDescent="0.25">
      <c r="A15339" s="22" t="s">
        <v>8</v>
      </c>
      <c r="B15339" s="18" t="str">
        <f>"676318"</f>
        <v>676318</v>
      </c>
      <c r="C15339" s="19" t="s">
        <v>15046</v>
      </c>
      <c r="D15339" s="19" t="s">
        <v>30729</v>
      </c>
      <c r="E15339" s="19" t="s">
        <v>35310</v>
      </c>
      <c r="F15339" s="19" t="s">
        <v>36018</v>
      </c>
      <c r="G15339" s="33" t="str">
        <f>"79403"</f>
        <v>79403</v>
      </c>
      <c r="H15339" s="34" t="s">
        <v>35310</v>
      </c>
      <c r="I15339" s="35">
        <v>19.850000000000001</v>
      </c>
      <c r="J15339" s="47" t="s">
        <v>8</v>
      </c>
      <c r="K15339" s="23" t="s">
        <v>8</v>
      </c>
      <c r="L15339" s="23" t="s">
        <v>8</v>
      </c>
      <c r="M15339" s="23" t="s">
        <v>8</v>
      </c>
    </row>
    <row r="15340" spans="1:13" s="21" customFormat="1" x14ac:dyDescent="0.25">
      <c r="A15340" s="22" t="s">
        <v>8</v>
      </c>
      <c r="B15340" s="18" t="str">
        <f>"676319"</f>
        <v>676319</v>
      </c>
      <c r="C15340" s="19" t="s">
        <v>15047</v>
      </c>
      <c r="D15340" s="19" t="s">
        <v>30730</v>
      </c>
      <c r="E15340" s="19" t="s">
        <v>33529</v>
      </c>
      <c r="F15340" s="19" t="s">
        <v>36018</v>
      </c>
      <c r="G15340" s="33" t="str">
        <f>"76208"</f>
        <v>76208</v>
      </c>
      <c r="H15340" s="34" t="s">
        <v>32938</v>
      </c>
      <c r="I15340" s="35">
        <v>19.91</v>
      </c>
      <c r="J15340" s="47" t="s">
        <v>8</v>
      </c>
      <c r="K15340" s="23" t="s">
        <v>8</v>
      </c>
      <c r="L15340" s="23" t="s">
        <v>8</v>
      </c>
      <c r="M15340" s="23" t="s">
        <v>8</v>
      </c>
    </row>
    <row r="15341" spans="1:13" s="21" customFormat="1" x14ac:dyDescent="0.25">
      <c r="A15341" s="22" t="s">
        <v>8</v>
      </c>
      <c r="B15341" s="18" t="str">
        <f>"676320"</f>
        <v>676320</v>
      </c>
      <c r="C15341" s="19" t="s">
        <v>15048</v>
      </c>
      <c r="D15341" s="19" t="s">
        <v>30731</v>
      </c>
      <c r="E15341" s="19" t="s">
        <v>35886</v>
      </c>
      <c r="F15341" s="19" t="s">
        <v>36018</v>
      </c>
      <c r="G15341" s="33" t="str">
        <f>"75022"</f>
        <v>75022</v>
      </c>
      <c r="H15341" s="34" t="s">
        <v>32938</v>
      </c>
      <c r="I15341" s="35">
        <v>18.707999999999998</v>
      </c>
      <c r="J15341" s="47" t="s">
        <v>8</v>
      </c>
      <c r="K15341" s="23" t="s">
        <v>8</v>
      </c>
      <c r="L15341" s="23" t="s">
        <v>8</v>
      </c>
      <c r="M15341" s="23" t="s">
        <v>8</v>
      </c>
    </row>
    <row r="15342" spans="1:13" s="21" customFormat="1" x14ac:dyDescent="0.25">
      <c r="A15342" s="22" t="s">
        <v>8</v>
      </c>
      <c r="B15342" s="18" t="str">
        <f>"676321"</f>
        <v>676321</v>
      </c>
      <c r="C15342" s="19" t="s">
        <v>15049</v>
      </c>
      <c r="D15342" s="19" t="s">
        <v>30732</v>
      </c>
      <c r="E15342" s="19" t="s">
        <v>35243</v>
      </c>
      <c r="F15342" s="19" t="s">
        <v>36018</v>
      </c>
      <c r="G15342" s="33" t="str">
        <f>"78404"</f>
        <v>78404</v>
      </c>
      <c r="H15342" s="34" t="s">
        <v>36804</v>
      </c>
      <c r="I15342" s="35">
        <v>22.343</v>
      </c>
      <c r="J15342" s="47" t="s">
        <v>8</v>
      </c>
      <c r="K15342" s="23" t="s">
        <v>8</v>
      </c>
      <c r="L15342" s="23" t="s">
        <v>8</v>
      </c>
      <c r="M15342" s="23" t="s">
        <v>8</v>
      </c>
    </row>
    <row r="15343" spans="1:13" s="21" customFormat="1" x14ac:dyDescent="0.25">
      <c r="A15343" s="22" t="s">
        <v>8</v>
      </c>
      <c r="B15343" s="18" t="str">
        <f>"676322"</f>
        <v>676322</v>
      </c>
      <c r="C15343" s="19" t="s">
        <v>15050</v>
      </c>
      <c r="D15343" s="19" t="s">
        <v>30733</v>
      </c>
      <c r="E15343" s="19" t="s">
        <v>35896</v>
      </c>
      <c r="F15343" s="19" t="s">
        <v>36018</v>
      </c>
      <c r="G15343" s="33" t="str">
        <f>"75662"</f>
        <v>75662</v>
      </c>
      <c r="H15343" s="34" t="s">
        <v>36814</v>
      </c>
      <c r="I15343" s="35">
        <v>19.241</v>
      </c>
      <c r="J15343" s="47" t="s">
        <v>8</v>
      </c>
      <c r="K15343" s="23" t="s">
        <v>8</v>
      </c>
      <c r="L15343" s="23" t="s">
        <v>8</v>
      </c>
      <c r="M15343" s="23" t="s">
        <v>8</v>
      </c>
    </row>
    <row r="15344" spans="1:13" s="21" customFormat="1" x14ac:dyDescent="0.25">
      <c r="A15344" s="22" t="s">
        <v>8</v>
      </c>
      <c r="B15344" s="18" t="str">
        <f>"676323"</f>
        <v>676323</v>
      </c>
      <c r="C15344" s="19" t="s">
        <v>15051</v>
      </c>
      <c r="D15344" s="19" t="s">
        <v>30734</v>
      </c>
      <c r="E15344" s="19" t="s">
        <v>35868</v>
      </c>
      <c r="F15344" s="19" t="s">
        <v>36018</v>
      </c>
      <c r="G15344" s="33" t="str">
        <f>"77478"</f>
        <v>77478</v>
      </c>
      <c r="H15344" s="34" t="s">
        <v>36826</v>
      </c>
      <c r="I15344" s="35">
        <v>23.245000000000001</v>
      </c>
      <c r="J15344" s="47" t="s">
        <v>8</v>
      </c>
      <c r="K15344" s="23" t="s">
        <v>8</v>
      </c>
      <c r="L15344" s="23" t="s">
        <v>8</v>
      </c>
      <c r="M15344" s="23" t="s">
        <v>8</v>
      </c>
    </row>
    <row r="15345" spans="1:13" s="21" customFormat="1" x14ac:dyDescent="0.25">
      <c r="A15345" s="22" t="s">
        <v>8</v>
      </c>
      <c r="B15345" s="18" t="str">
        <f>"676324"</f>
        <v>676324</v>
      </c>
      <c r="C15345" s="19" t="s">
        <v>15052</v>
      </c>
      <c r="D15345" s="19" t="s">
        <v>30735</v>
      </c>
      <c r="E15345" s="19" t="s">
        <v>35279</v>
      </c>
      <c r="F15345" s="19" t="s">
        <v>36018</v>
      </c>
      <c r="G15345" s="33" t="str">
        <f>"75961"</f>
        <v>75961</v>
      </c>
      <c r="H15345" s="34" t="s">
        <v>35279</v>
      </c>
      <c r="I15345" s="35">
        <v>20.614000000000001</v>
      </c>
      <c r="J15345" s="47" t="s">
        <v>8</v>
      </c>
      <c r="K15345" s="23" t="s">
        <v>8</v>
      </c>
      <c r="L15345" s="23" t="s">
        <v>8</v>
      </c>
      <c r="M15345" s="23" t="s">
        <v>8</v>
      </c>
    </row>
    <row r="15346" spans="1:13" s="21" customFormat="1" x14ac:dyDescent="0.25">
      <c r="A15346" s="22" t="s">
        <v>8</v>
      </c>
      <c r="B15346" s="18" t="str">
        <f>"676325"</f>
        <v>676325</v>
      </c>
      <c r="C15346" s="19" t="s">
        <v>15053</v>
      </c>
      <c r="D15346" s="19" t="s">
        <v>30736</v>
      </c>
      <c r="E15346" s="19" t="s">
        <v>35244</v>
      </c>
      <c r="F15346" s="19" t="s">
        <v>36018</v>
      </c>
      <c r="G15346" s="33" t="str">
        <f>"78245"</f>
        <v>78245</v>
      </c>
      <c r="H15346" s="34" t="s">
        <v>36805</v>
      </c>
      <c r="I15346" s="35">
        <v>15.597</v>
      </c>
      <c r="J15346" s="47" t="s">
        <v>8</v>
      </c>
      <c r="K15346" s="23" t="s">
        <v>8</v>
      </c>
      <c r="L15346" s="23" t="s">
        <v>8</v>
      </c>
      <c r="M15346" s="23" t="s">
        <v>8</v>
      </c>
    </row>
    <row r="15347" spans="1:13" s="21" customFormat="1" x14ac:dyDescent="0.25">
      <c r="A15347" s="22" t="s">
        <v>8</v>
      </c>
      <c r="B15347" s="18" t="str">
        <f>"676326"</f>
        <v>676326</v>
      </c>
      <c r="C15347" s="19" t="s">
        <v>15054</v>
      </c>
      <c r="D15347" s="19" t="s">
        <v>30737</v>
      </c>
      <c r="E15347" s="19" t="s">
        <v>33844</v>
      </c>
      <c r="F15347" s="19" t="s">
        <v>36018</v>
      </c>
      <c r="G15347" s="33" t="str">
        <f>"75149"</f>
        <v>75149</v>
      </c>
      <c r="H15347" s="34" t="s">
        <v>31723</v>
      </c>
      <c r="I15347" s="35">
        <v>21.994</v>
      </c>
      <c r="J15347" s="47" t="s">
        <v>8</v>
      </c>
      <c r="K15347" s="23" t="s">
        <v>8</v>
      </c>
      <c r="L15347" s="23" t="s">
        <v>8</v>
      </c>
      <c r="M15347" s="23" t="s">
        <v>8</v>
      </c>
    </row>
    <row r="15348" spans="1:13" s="21" customFormat="1" x14ac:dyDescent="0.25">
      <c r="A15348" s="22" t="s">
        <v>8</v>
      </c>
      <c r="B15348" s="18" t="str">
        <f>"676327"</f>
        <v>676327</v>
      </c>
      <c r="C15348" s="19" t="s">
        <v>15055</v>
      </c>
      <c r="D15348" s="19" t="s">
        <v>30738</v>
      </c>
      <c r="E15348" s="19" t="s">
        <v>35918</v>
      </c>
      <c r="F15348" s="19" t="s">
        <v>36018</v>
      </c>
      <c r="G15348" s="33" t="str">
        <f>"78613"</f>
        <v>78613</v>
      </c>
      <c r="H15348" s="34" t="s">
        <v>35514</v>
      </c>
      <c r="I15348" s="35">
        <v>23.22</v>
      </c>
      <c r="J15348" s="47" t="s">
        <v>8</v>
      </c>
      <c r="K15348" s="23" t="s">
        <v>8</v>
      </c>
      <c r="L15348" s="23" t="s">
        <v>8</v>
      </c>
      <c r="M15348" s="23" t="s">
        <v>8</v>
      </c>
    </row>
    <row r="15349" spans="1:13" s="21" customFormat="1" x14ac:dyDescent="0.25">
      <c r="A15349" s="22" t="s">
        <v>8</v>
      </c>
      <c r="B15349" s="18" t="str">
        <f>"676328"</f>
        <v>676328</v>
      </c>
      <c r="C15349" s="19" t="s">
        <v>15056</v>
      </c>
      <c r="D15349" s="19" t="s">
        <v>30739</v>
      </c>
      <c r="E15349" s="19" t="s">
        <v>35244</v>
      </c>
      <c r="F15349" s="19" t="s">
        <v>36018</v>
      </c>
      <c r="G15349" s="33" t="str">
        <f>"78251"</f>
        <v>78251</v>
      </c>
      <c r="H15349" s="34" t="s">
        <v>36805</v>
      </c>
      <c r="I15349" s="35">
        <v>21.434000000000001</v>
      </c>
      <c r="J15349" s="47" t="s">
        <v>8</v>
      </c>
      <c r="K15349" s="23" t="s">
        <v>8</v>
      </c>
      <c r="L15349" s="23" t="s">
        <v>8</v>
      </c>
      <c r="M15349" s="23" t="s">
        <v>8</v>
      </c>
    </row>
    <row r="15350" spans="1:13" s="21" customFormat="1" x14ac:dyDescent="0.25">
      <c r="A15350" s="22" t="s">
        <v>8</v>
      </c>
      <c r="B15350" s="18" t="str">
        <f>"676329"</f>
        <v>676329</v>
      </c>
      <c r="C15350" s="19" t="s">
        <v>15057</v>
      </c>
      <c r="D15350" s="19" t="s">
        <v>30740</v>
      </c>
      <c r="E15350" s="19" t="s">
        <v>31723</v>
      </c>
      <c r="F15350" s="19" t="s">
        <v>36018</v>
      </c>
      <c r="G15350" s="33" t="str">
        <f>"75252"</f>
        <v>75252</v>
      </c>
      <c r="H15350" s="34" t="s">
        <v>36828</v>
      </c>
      <c r="I15350" s="35">
        <v>20.818000000000001</v>
      </c>
      <c r="J15350" s="47" t="s">
        <v>8</v>
      </c>
      <c r="K15350" s="23" t="s">
        <v>8</v>
      </c>
      <c r="L15350" s="23" t="s">
        <v>8</v>
      </c>
      <c r="M15350" s="23" t="s">
        <v>8</v>
      </c>
    </row>
    <row r="15351" spans="1:13" s="21" customFormat="1" x14ac:dyDescent="0.25">
      <c r="A15351" s="22" t="s">
        <v>8</v>
      </c>
      <c r="B15351" s="18" t="str">
        <f>"676330"</f>
        <v>676330</v>
      </c>
      <c r="C15351" s="19" t="s">
        <v>15058</v>
      </c>
      <c r="D15351" s="19" t="s">
        <v>30741</v>
      </c>
      <c r="E15351" s="19" t="s">
        <v>35515</v>
      </c>
      <c r="F15351" s="19" t="s">
        <v>36018</v>
      </c>
      <c r="G15351" s="33" t="str">
        <f>"77339"</f>
        <v>77339</v>
      </c>
      <c r="H15351" s="34" t="s">
        <v>34183</v>
      </c>
      <c r="I15351" s="35">
        <v>19.391999999999999</v>
      </c>
      <c r="J15351" s="47" t="s">
        <v>8</v>
      </c>
      <c r="K15351" s="23" t="s">
        <v>8</v>
      </c>
      <c r="L15351" s="23" t="s">
        <v>8</v>
      </c>
      <c r="M15351" s="23" t="s">
        <v>8</v>
      </c>
    </row>
    <row r="15352" spans="1:13" s="21" customFormat="1" x14ac:dyDescent="0.25">
      <c r="A15352" s="22" t="s">
        <v>8</v>
      </c>
      <c r="B15352" s="18" t="str">
        <f>"676331"</f>
        <v>676331</v>
      </c>
      <c r="C15352" s="19" t="s">
        <v>15059</v>
      </c>
      <c r="D15352" s="19" t="s">
        <v>30742</v>
      </c>
      <c r="E15352" s="19" t="s">
        <v>35244</v>
      </c>
      <c r="F15352" s="19" t="s">
        <v>36018</v>
      </c>
      <c r="G15352" s="33" t="str">
        <f>"78224"</f>
        <v>78224</v>
      </c>
      <c r="H15352" s="34" t="s">
        <v>36805</v>
      </c>
      <c r="I15352" s="35">
        <v>19.265999999999998</v>
      </c>
      <c r="J15352" s="47" t="s">
        <v>8</v>
      </c>
      <c r="K15352" s="23" t="s">
        <v>8</v>
      </c>
      <c r="L15352" s="23" t="s">
        <v>8</v>
      </c>
      <c r="M15352" s="23" t="s">
        <v>8</v>
      </c>
    </row>
    <row r="15353" spans="1:13" s="21" customFormat="1" x14ac:dyDescent="0.25">
      <c r="A15353" s="22" t="s">
        <v>8</v>
      </c>
      <c r="B15353" s="18" t="str">
        <f>"676332"</f>
        <v>676332</v>
      </c>
      <c r="C15353" s="19" t="s">
        <v>15060</v>
      </c>
      <c r="D15353" s="19" t="s">
        <v>30743</v>
      </c>
      <c r="E15353" s="19" t="s">
        <v>31191</v>
      </c>
      <c r="F15353" s="19" t="s">
        <v>36018</v>
      </c>
      <c r="G15353" s="33" t="str">
        <f>"77505"</f>
        <v>77505</v>
      </c>
      <c r="H15353" s="34" t="s">
        <v>34183</v>
      </c>
      <c r="I15353" s="35">
        <v>18.922000000000001</v>
      </c>
      <c r="J15353" s="47" t="s">
        <v>8</v>
      </c>
      <c r="K15353" s="23" t="s">
        <v>8</v>
      </c>
      <c r="L15353" s="23" t="s">
        <v>8</v>
      </c>
      <c r="M15353" s="23" t="s">
        <v>8</v>
      </c>
    </row>
    <row r="15354" spans="1:13" s="21" customFormat="1" x14ac:dyDescent="0.25">
      <c r="A15354" s="22" t="s">
        <v>8</v>
      </c>
      <c r="B15354" s="18" t="str">
        <f>"676333"</f>
        <v>676333</v>
      </c>
      <c r="C15354" s="19" t="s">
        <v>15061</v>
      </c>
      <c r="D15354" s="19" t="s">
        <v>30744</v>
      </c>
      <c r="E15354" s="19" t="s">
        <v>33493</v>
      </c>
      <c r="F15354" s="19" t="s">
        <v>36018</v>
      </c>
      <c r="G15354" s="33" t="str">
        <f>"77089"</f>
        <v>77089</v>
      </c>
      <c r="H15354" s="34" t="s">
        <v>34183</v>
      </c>
      <c r="I15354" s="35">
        <v>20.373000000000001</v>
      </c>
      <c r="J15354" s="47" t="s">
        <v>8</v>
      </c>
      <c r="K15354" s="23" t="s">
        <v>8</v>
      </c>
      <c r="L15354" s="23" t="s">
        <v>8</v>
      </c>
      <c r="M15354" s="23" t="s">
        <v>8</v>
      </c>
    </row>
    <row r="15355" spans="1:13" s="21" customFormat="1" x14ac:dyDescent="0.25">
      <c r="A15355" s="22" t="s">
        <v>8</v>
      </c>
      <c r="B15355" s="18" t="str">
        <f>"676334"</f>
        <v>676334</v>
      </c>
      <c r="C15355" s="19" t="s">
        <v>15062</v>
      </c>
      <c r="D15355" s="19" t="s">
        <v>30745</v>
      </c>
      <c r="E15355" s="19" t="s">
        <v>35294</v>
      </c>
      <c r="F15355" s="19" t="s">
        <v>36018</v>
      </c>
      <c r="G15355" s="33" t="str">
        <f>"77459"</f>
        <v>77459</v>
      </c>
      <c r="H15355" s="34" t="s">
        <v>36826</v>
      </c>
      <c r="I15355" s="35">
        <v>19.001000000000001</v>
      </c>
      <c r="J15355" s="47" t="s">
        <v>8</v>
      </c>
      <c r="K15355" s="23" t="s">
        <v>8</v>
      </c>
      <c r="L15355" s="23" t="s">
        <v>8</v>
      </c>
      <c r="M15355" s="23" t="s">
        <v>8</v>
      </c>
    </row>
    <row r="15356" spans="1:13" s="21" customFormat="1" x14ac:dyDescent="0.25">
      <c r="A15356" s="22" t="s">
        <v>8</v>
      </c>
      <c r="B15356" s="18" t="str">
        <f>"676335"</f>
        <v>676335</v>
      </c>
      <c r="C15356" s="19" t="s">
        <v>15063</v>
      </c>
      <c r="D15356" s="19" t="s">
        <v>30746</v>
      </c>
      <c r="E15356" s="19" t="s">
        <v>35847</v>
      </c>
      <c r="F15356" s="19" t="s">
        <v>36018</v>
      </c>
      <c r="G15356" s="33" t="str">
        <f>"75032"</f>
        <v>75032</v>
      </c>
      <c r="H15356" s="34" t="s">
        <v>35847</v>
      </c>
      <c r="I15356" s="35">
        <v>20.876999999999999</v>
      </c>
      <c r="J15356" s="47" t="s">
        <v>8</v>
      </c>
      <c r="K15356" s="23" t="s">
        <v>8</v>
      </c>
      <c r="L15356" s="23" t="s">
        <v>8</v>
      </c>
      <c r="M15356" s="23" t="s">
        <v>8</v>
      </c>
    </row>
    <row r="15357" spans="1:13" s="21" customFormat="1" x14ac:dyDescent="0.25">
      <c r="A15357" s="22" t="s">
        <v>8</v>
      </c>
      <c r="B15357" s="18" t="str">
        <f>"676336"</f>
        <v>676336</v>
      </c>
      <c r="C15357" s="19" t="s">
        <v>15064</v>
      </c>
      <c r="D15357" s="19" t="s">
        <v>30747</v>
      </c>
      <c r="E15357" s="19" t="s">
        <v>33493</v>
      </c>
      <c r="F15357" s="19" t="s">
        <v>36018</v>
      </c>
      <c r="G15357" s="33" t="str">
        <f>"77077"</f>
        <v>77077</v>
      </c>
      <c r="H15357" s="34" t="s">
        <v>34183</v>
      </c>
      <c r="I15357" s="35">
        <v>21.945</v>
      </c>
      <c r="J15357" s="47" t="s">
        <v>8</v>
      </c>
      <c r="K15357" s="23" t="s">
        <v>8</v>
      </c>
      <c r="L15357" s="23" t="s">
        <v>8</v>
      </c>
      <c r="M15357" s="23" t="s">
        <v>8</v>
      </c>
    </row>
    <row r="15358" spans="1:13" s="21" customFormat="1" x14ac:dyDescent="0.25">
      <c r="A15358" s="22" t="s">
        <v>8</v>
      </c>
      <c r="B15358" s="18" t="str">
        <f>"676337"</f>
        <v>676337</v>
      </c>
      <c r="C15358" s="19" t="s">
        <v>15065</v>
      </c>
      <c r="D15358" s="19" t="s">
        <v>30748</v>
      </c>
      <c r="E15358" s="19" t="s">
        <v>33493</v>
      </c>
      <c r="F15358" s="19" t="s">
        <v>36018</v>
      </c>
      <c r="G15358" s="33" t="str">
        <f>"77091"</f>
        <v>77091</v>
      </c>
      <c r="H15358" s="34" t="s">
        <v>34183</v>
      </c>
      <c r="I15358" s="35">
        <v>18.41</v>
      </c>
      <c r="J15358" s="47" t="s">
        <v>8</v>
      </c>
      <c r="K15358" s="23" t="s">
        <v>8</v>
      </c>
      <c r="L15358" s="23" t="s">
        <v>8</v>
      </c>
      <c r="M15358" s="23" t="s">
        <v>8</v>
      </c>
    </row>
    <row r="15359" spans="1:13" s="21" customFormat="1" x14ac:dyDescent="0.25">
      <c r="A15359" s="22" t="s">
        <v>8</v>
      </c>
      <c r="B15359" s="18" t="str">
        <f>"676339"</f>
        <v>676339</v>
      </c>
      <c r="C15359" s="19" t="s">
        <v>15066</v>
      </c>
      <c r="D15359" s="19" t="s">
        <v>30749</v>
      </c>
      <c r="E15359" s="19" t="s">
        <v>31723</v>
      </c>
      <c r="F15359" s="19" t="s">
        <v>36018</v>
      </c>
      <c r="G15359" s="33" t="str">
        <f>"75216"</f>
        <v>75216</v>
      </c>
      <c r="H15359" s="34" t="s">
        <v>31723</v>
      </c>
      <c r="I15359" s="35">
        <v>17.064</v>
      </c>
      <c r="J15359" s="47" t="s">
        <v>8</v>
      </c>
      <c r="K15359" s="23" t="s">
        <v>8</v>
      </c>
      <c r="L15359" s="23" t="s">
        <v>8</v>
      </c>
      <c r="M15359" s="23" t="s">
        <v>8</v>
      </c>
    </row>
    <row r="15360" spans="1:13" s="21" customFormat="1" x14ac:dyDescent="0.25">
      <c r="A15360" s="22" t="s">
        <v>8</v>
      </c>
      <c r="B15360" s="18" t="str">
        <f>"676340"</f>
        <v>676340</v>
      </c>
      <c r="C15360" s="19" t="s">
        <v>15067</v>
      </c>
      <c r="D15360" s="19" t="s">
        <v>30750</v>
      </c>
      <c r="E15360" s="19" t="s">
        <v>35279</v>
      </c>
      <c r="F15360" s="19" t="s">
        <v>36018</v>
      </c>
      <c r="G15360" s="33" t="str">
        <f>"75964"</f>
        <v>75964</v>
      </c>
      <c r="H15360" s="34" t="s">
        <v>35279</v>
      </c>
      <c r="I15360" s="35">
        <v>17.623999999999999</v>
      </c>
      <c r="J15360" s="47" t="s">
        <v>8</v>
      </c>
      <c r="K15360" s="23" t="s">
        <v>8</v>
      </c>
      <c r="L15360" s="23" t="s">
        <v>8</v>
      </c>
      <c r="M15360" s="23" t="s">
        <v>8</v>
      </c>
    </row>
    <row r="15361" spans="1:13" s="21" customFormat="1" x14ac:dyDescent="0.25">
      <c r="A15361" s="22" t="s">
        <v>8</v>
      </c>
      <c r="B15361" s="18" t="str">
        <f>"676341"</f>
        <v>676341</v>
      </c>
      <c r="C15361" s="19" t="s">
        <v>15068</v>
      </c>
      <c r="D15361" s="19" t="s">
        <v>30751</v>
      </c>
      <c r="E15361" s="19" t="s">
        <v>35315</v>
      </c>
      <c r="F15361" s="19" t="s">
        <v>36018</v>
      </c>
      <c r="G15361" s="33" t="str">
        <f>"79007"</f>
        <v>79007</v>
      </c>
      <c r="H15361" s="34" t="s">
        <v>32559</v>
      </c>
      <c r="I15361" s="35">
        <v>25.103999999999999</v>
      </c>
      <c r="J15361" s="47" t="s">
        <v>8</v>
      </c>
      <c r="K15361" s="23" t="s">
        <v>8</v>
      </c>
      <c r="L15361" s="23" t="s">
        <v>8</v>
      </c>
      <c r="M15361" s="23" t="s">
        <v>8</v>
      </c>
    </row>
    <row r="15362" spans="1:13" s="21" customFormat="1" x14ac:dyDescent="0.25">
      <c r="A15362" s="22" t="s">
        <v>8</v>
      </c>
      <c r="B15362" s="18" t="str">
        <f>"676342"</f>
        <v>676342</v>
      </c>
      <c r="C15362" s="19" t="s">
        <v>15069</v>
      </c>
      <c r="D15362" s="19" t="s">
        <v>30752</v>
      </c>
      <c r="E15362" s="19" t="s">
        <v>31965</v>
      </c>
      <c r="F15362" s="19" t="s">
        <v>36018</v>
      </c>
      <c r="G15362" s="33" t="str">
        <f>"79925"</f>
        <v>79925</v>
      </c>
      <c r="H15362" s="34" t="s">
        <v>31965</v>
      </c>
      <c r="I15362" s="35">
        <v>22.102</v>
      </c>
      <c r="J15362" s="47" t="s">
        <v>8</v>
      </c>
      <c r="K15362" s="23" t="s">
        <v>8</v>
      </c>
      <c r="L15362" s="23" t="s">
        <v>8</v>
      </c>
      <c r="M15362" s="23" t="s">
        <v>8</v>
      </c>
    </row>
    <row r="15363" spans="1:13" s="21" customFormat="1" x14ac:dyDescent="0.25">
      <c r="A15363" s="22" t="s">
        <v>8</v>
      </c>
      <c r="B15363" s="18" t="str">
        <f>"676343"</f>
        <v>676343</v>
      </c>
      <c r="C15363" s="19" t="s">
        <v>15070</v>
      </c>
      <c r="D15363" s="19" t="s">
        <v>30753</v>
      </c>
      <c r="E15363" s="19" t="s">
        <v>35250</v>
      </c>
      <c r="F15363" s="19" t="s">
        <v>36018</v>
      </c>
      <c r="G15363" s="33" t="str">
        <f>"76712"</f>
        <v>76712</v>
      </c>
      <c r="H15363" s="34" t="s">
        <v>36809</v>
      </c>
      <c r="I15363" s="35">
        <v>18.317</v>
      </c>
      <c r="J15363" s="47" t="s">
        <v>8</v>
      </c>
      <c r="K15363" s="23" t="s">
        <v>8</v>
      </c>
      <c r="L15363" s="23" t="s">
        <v>8</v>
      </c>
      <c r="M15363" s="23" t="s">
        <v>8</v>
      </c>
    </row>
    <row r="15364" spans="1:13" s="21" customFormat="1" x14ac:dyDescent="0.25">
      <c r="A15364" s="22" t="s">
        <v>8</v>
      </c>
      <c r="B15364" s="18" t="str">
        <f>"676344"</f>
        <v>676344</v>
      </c>
      <c r="C15364" s="19" t="s">
        <v>15071</v>
      </c>
      <c r="D15364" s="19" t="s">
        <v>30754</v>
      </c>
      <c r="E15364" s="19" t="s">
        <v>35920</v>
      </c>
      <c r="F15364" s="19" t="s">
        <v>36018</v>
      </c>
      <c r="G15364" s="33" t="str">
        <f>"75948"</f>
        <v>75948</v>
      </c>
      <c r="H15364" s="34" t="s">
        <v>36372</v>
      </c>
      <c r="I15364" s="35">
        <v>17.359000000000002</v>
      </c>
      <c r="J15364" s="47" t="s">
        <v>8</v>
      </c>
      <c r="K15364" s="23" t="s">
        <v>8</v>
      </c>
      <c r="L15364" s="23" t="s">
        <v>8</v>
      </c>
      <c r="M15364" s="23" t="s">
        <v>8</v>
      </c>
    </row>
    <row r="15365" spans="1:13" s="21" customFormat="1" x14ac:dyDescent="0.25">
      <c r="A15365" s="22" t="s">
        <v>8</v>
      </c>
      <c r="B15365" s="18" t="str">
        <f>"676345"</f>
        <v>676345</v>
      </c>
      <c r="C15365" s="19" t="s">
        <v>15072</v>
      </c>
      <c r="D15365" s="19" t="s">
        <v>30755</v>
      </c>
      <c r="E15365" s="19" t="s">
        <v>35292</v>
      </c>
      <c r="F15365" s="19" t="s">
        <v>36018</v>
      </c>
      <c r="G15365" s="33" t="str">
        <f>"78665"</f>
        <v>78665</v>
      </c>
      <c r="H15365" s="34" t="s">
        <v>35514</v>
      </c>
      <c r="I15365" s="35">
        <v>19.291</v>
      </c>
      <c r="J15365" s="47" t="s">
        <v>8</v>
      </c>
      <c r="K15365" s="23" t="s">
        <v>8</v>
      </c>
      <c r="L15365" s="23" t="s">
        <v>8</v>
      </c>
      <c r="M15365" s="23" t="s">
        <v>8</v>
      </c>
    </row>
    <row r="15366" spans="1:13" s="21" customFormat="1" x14ac:dyDescent="0.25">
      <c r="A15366" s="22" t="s">
        <v>8</v>
      </c>
      <c r="B15366" s="18" t="str">
        <f>"676346"</f>
        <v>676346</v>
      </c>
      <c r="C15366" s="19" t="s">
        <v>15073</v>
      </c>
      <c r="D15366" s="19" t="s">
        <v>30756</v>
      </c>
      <c r="E15366" s="19" t="s">
        <v>35851</v>
      </c>
      <c r="F15366" s="19" t="s">
        <v>36018</v>
      </c>
      <c r="G15366" s="33" t="str">
        <f>"78539"</f>
        <v>78539</v>
      </c>
      <c r="H15366" s="34" t="s">
        <v>36592</v>
      </c>
      <c r="I15366" s="35">
        <v>21.44</v>
      </c>
      <c r="J15366" s="47" t="s">
        <v>8</v>
      </c>
      <c r="K15366" s="23" t="s">
        <v>8</v>
      </c>
      <c r="L15366" s="23" t="s">
        <v>8</v>
      </c>
      <c r="M15366" s="23" t="s">
        <v>8</v>
      </c>
    </row>
    <row r="15367" spans="1:13" s="21" customFormat="1" x14ac:dyDescent="0.25">
      <c r="A15367" s="22" t="s">
        <v>8</v>
      </c>
      <c r="B15367" s="18" t="str">
        <f>"676347"</f>
        <v>676347</v>
      </c>
      <c r="C15367" s="19" t="s">
        <v>15074</v>
      </c>
      <c r="D15367" s="19" t="s">
        <v>30757</v>
      </c>
      <c r="E15367" s="19" t="s">
        <v>35247</v>
      </c>
      <c r="F15367" s="19" t="s">
        <v>36018</v>
      </c>
      <c r="G15367" s="33" t="str">
        <f>"79106"</f>
        <v>79106</v>
      </c>
      <c r="H15367" s="34" t="s">
        <v>36736</v>
      </c>
      <c r="I15367" s="35">
        <v>17.440000000000001</v>
      </c>
      <c r="J15367" s="47" t="s">
        <v>8</v>
      </c>
      <c r="K15367" s="23" t="s">
        <v>8</v>
      </c>
      <c r="L15367" s="23" t="s">
        <v>8</v>
      </c>
      <c r="M15367" s="23" t="s">
        <v>8</v>
      </c>
    </row>
    <row r="15368" spans="1:13" s="21" customFormat="1" x14ac:dyDescent="0.25">
      <c r="A15368" s="22" t="s">
        <v>8</v>
      </c>
      <c r="B15368" s="18" t="str">
        <f>"676348"</f>
        <v>676348</v>
      </c>
      <c r="C15368" s="19" t="s">
        <v>15075</v>
      </c>
      <c r="D15368" s="19" t="s">
        <v>30758</v>
      </c>
      <c r="E15368" s="19" t="s">
        <v>33664</v>
      </c>
      <c r="F15368" s="19" t="s">
        <v>36018</v>
      </c>
      <c r="G15368" s="33" t="str">
        <f>"79762"</f>
        <v>79762</v>
      </c>
      <c r="H15368" s="34" t="s">
        <v>36821</v>
      </c>
      <c r="I15368" s="35">
        <v>18.276</v>
      </c>
      <c r="J15368" s="47" t="s">
        <v>8</v>
      </c>
      <c r="K15368" s="23" t="s">
        <v>8</v>
      </c>
      <c r="L15368" s="23" t="s">
        <v>8</v>
      </c>
      <c r="M15368" s="23" t="s">
        <v>8</v>
      </c>
    </row>
    <row r="15369" spans="1:13" s="21" customFormat="1" x14ac:dyDescent="0.25">
      <c r="A15369" s="22" t="s">
        <v>8</v>
      </c>
      <c r="B15369" s="18" t="str">
        <f>"676349"</f>
        <v>676349</v>
      </c>
      <c r="C15369" s="19" t="s">
        <v>15076</v>
      </c>
      <c r="D15369" s="19" t="s">
        <v>30759</v>
      </c>
      <c r="E15369" s="19" t="s">
        <v>35299</v>
      </c>
      <c r="F15369" s="19" t="s">
        <v>36018</v>
      </c>
      <c r="G15369" s="33" t="str">
        <f>"75093"</f>
        <v>75093</v>
      </c>
      <c r="H15369" s="34" t="s">
        <v>36828</v>
      </c>
      <c r="I15369" s="35">
        <v>16.181999999999999</v>
      </c>
      <c r="J15369" s="47" t="s">
        <v>8</v>
      </c>
      <c r="K15369" s="23" t="s">
        <v>8</v>
      </c>
      <c r="L15369" s="23" t="s">
        <v>8</v>
      </c>
      <c r="M15369" s="23" t="s">
        <v>8</v>
      </c>
    </row>
    <row r="15370" spans="1:13" s="21" customFormat="1" x14ac:dyDescent="0.25">
      <c r="A15370" s="22" t="s">
        <v>8</v>
      </c>
      <c r="B15370" s="18" t="str">
        <f>"676350"</f>
        <v>676350</v>
      </c>
      <c r="C15370" s="19" t="s">
        <v>15077</v>
      </c>
      <c r="D15370" s="19" t="s">
        <v>30760</v>
      </c>
      <c r="E15370" s="19" t="s">
        <v>35885</v>
      </c>
      <c r="F15370" s="19" t="s">
        <v>36018</v>
      </c>
      <c r="G15370" s="33" t="str">
        <f>"77375"</f>
        <v>77375</v>
      </c>
      <c r="H15370" s="34" t="s">
        <v>34183</v>
      </c>
      <c r="I15370" s="35">
        <v>17.015000000000001</v>
      </c>
      <c r="J15370" s="47" t="s">
        <v>8</v>
      </c>
      <c r="K15370" s="23" t="s">
        <v>8</v>
      </c>
      <c r="L15370" s="23" t="s">
        <v>8</v>
      </c>
      <c r="M15370" s="23" t="s">
        <v>8</v>
      </c>
    </row>
    <row r="15371" spans="1:13" s="21" customFormat="1" x14ac:dyDescent="0.25">
      <c r="A15371" s="22" t="s">
        <v>8</v>
      </c>
      <c r="B15371" s="18" t="str">
        <f>"676351"</f>
        <v>676351</v>
      </c>
      <c r="C15371" s="19" t="s">
        <v>15078</v>
      </c>
      <c r="D15371" s="19" t="s">
        <v>30761</v>
      </c>
      <c r="E15371" s="19" t="s">
        <v>35962</v>
      </c>
      <c r="F15371" s="19" t="s">
        <v>36018</v>
      </c>
      <c r="G15371" s="33" t="str">
        <f>"76092"</f>
        <v>76092</v>
      </c>
      <c r="H15371" s="34" t="s">
        <v>36806</v>
      </c>
      <c r="I15371" s="35">
        <v>19.510999999999999</v>
      </c>
      <c r="J15371" s="47" t="s">
        <v>8</v>
      </c>
      <c r="K15371" s="23" t="s">
        <v>8</v>
      </c>
      <c r="L15371" s="23" t="s">
        <v>8</v>
      </c>
      <c r="M15371" s="23" t="s">
        <v>8</v>
      </c>
    </row>
    <row r="15372" spans="1:13" s="21" customFormat="1" x14ac:dyDescent="0.25">
      <c r="A15372" s="22" t="s">
        <v>8</v>
      </c>
      <c r="B15372" s="18" t="str">
        <f>"676352"</f>
        <v>676352</v>
      </c>
      <c r="C15372" s="19" t="s">
        <v>15079</v>
      </c>
      <c r="D15372" s="19" t="s">
        <v>30762</v>
      </c>
      <c r="E15372" s="19" t="s">
        <v>31332</v>
      </c>
      <c r="F15372" s="19" t="s">
        <v>36018</v>
      </c>
      <c r="G15372" s="33" t="str">
        <f>"75035"</f>
        <v>75035</v>
      </c>
      <c r="H15372" s="34" t="s">
        <v>36828</v>
      </c>
      <c r="I15372" s="35">
        <v>18.855</v>
      </c>
      <c r="J15372" s="47" t="s">
        <v>8</v>
      </c>
      <c r="K15372" s="23" t="s">
        <v>8</v>
      </c>
      <c r="L15372" s="23" t="s">
        <v>8</v>
      </c>
      <c r="M15372" s="23" t="s">
        <v>8</v>
      </c>
    </row>
    <row r="15373" spans="1:13" s="21" customFormat="1" x14ac:dyDescent="0.25">
      <c r="A15373" s="22" t="s">
        <v>8</v>
      </c>
      <c r="B15373" s="18" t="str">
        <f>"676353"</f>
        <v>676353</v>
      </c>
      <c r="C15373" s="19" t="s">
        <v>15080</v>
      </c>
      <c r="D15373" s="19" t="s">
        <v>30763</v>
      </c>
      <c r="E15373" s="19" t="s">
        <v>35244</v>
      </c>
      <c r="F15373" s="19" t="s">
        <v>36018</v>
      </c>
      <c r="G15373" s="33" t="str">
        <f>"78258"</f>
        <v>78258</v>
      </c>
      <c r="H15373" s="34" t="s">
        <v>36805</v>
      </c>
      <c r="I15373" s="35">
        <v>21.736999999999998</v>
      </c>
      <c r="J15373" s="47" t="s">
        <v>8</v>
      </c>
      <c r="K15373" s="23" t="s">
        <v>8</v>
      </c>
      <c r="L15373" s="23" t="s">
        <v>8</v>
      </c>
      <c r="M15373" s="23" t="s">
        <v>8</v>
      </c>
    </row>
    <row r="15374" spans="1:13" s="21" customFormat="1" x14ac:dyDescent="0.25">
      <c r="A15374" s="22" t="s">
        <v>8</v>
      </c>
      <c r="B15374" s="18" t="str">
        <f>"676354"</f>
        <v>676354</v>
      </c>
      <c r="C15374" s="19" t="s">
        <v>15081</v>
      </c>
      <c r="D15374" s="19" t="s">
        <v>30764</v>
      </c>
      <c r="E15374" s="19" t="s">
        <v>33493</v>
      </c>
      <c r="F15374" s="19" t="s">
        <v>36018</v>
      </c>
      <c r="G15374" s="33" t="str">
        <f>"77004"</f>
        <v>77004</v>
      </c>
      <c r="H15374" s="34" t="s">
        <v>34183</v>
      </c>
      <c r="I15374" s="35">
        <v>20.033000000000001</v>
      </c>
      <c r="J15374" s="47" t="s">
        <v>8</v>
      </c>
      <c r="K15374" s="23" t="s">
        <v>8</v>
      </c>
      <c r="L15374" s="23" t="s">
        <v>8</v>
      </c>
      <c r="M15374" s="23" t="s">
        <v>8</v>
      </c>
    </row>
    <row r="15375" spans="1:13" s="21" customFormat="1" x14ac:dyDescent="0.25">
      <c r="A15375" s="22" t="s">
        <v>8</v>
      </c>
      <c r="B15375" s="18" t="str">
        <f>"676355"</f>
        <v>676355</v>
      </c>
      <c r="C15375" s="19" t="s">
        <v>15082</v>
      </c>
      <c r="D15375" s="19" t="s">
        <v>30765</v>
      </c>
      <c r="E15375" s="19" t="s">
        <v>35223</v>
      </c>
      <c r="F15375" s="19" t="s">
        <v>36018</v>
      </c>
      <c r="G15375" s="33" t="str">
        <f>"77833"</f>
        <v>77833</v>
      </c>
      <c r="H15375" s="34" t="s">
        <v>31500</v>
      </c>
      <c r="I15375" s="35">
        <v>18.564</v>
      </c>
      <c r="J15375" s="47" t="s">
        <v>8</v>
      </c>
      <c r="K15375" s="23" t="s">
        <v>8</v>
      </c>
      <c r="L15375" s="23" t="s">
        <v>8</v>
      </c>
      <c r="M15375" s="23" t="s">
        <v>8</v>
      </c>
    </row>
    <row r="15376" spans="1:13" s="21" customFormat="1" x14ac:dyDescent="0.25">
      <c r="A15376" s="22" t="s">
        <v>8</v>
      </c>
      <c r="B15376" s="18" t="str">
        <f>"676356"</f>
        <v>676356</v>
      </c>
      <c r="C15376" s="19" t="s">
        <v>15083</v>
      </c>
      <c r="D15376" s="19" t="s">
        <v>30766</v>
      </c>
      <c r="E15376" s="19" t="s">
        <v>33493</v>
      </c>
      <c r="F15376" s="19" t="s">
        <v>36018</v>
      </c>
      <c r="G15376" s="33" t="str">
        <f>"77090"</f>
        <v>77090</v>
      </c>
      <c r="H15376" s="34" t="s">
        <v>34183</v>
      </c>
      <c r="I15376" s="35">
        <v>19.349</v>
      </c>
      <c r="J15376" s="47" t="s">
        <v>8</v>
      </c>
      <c r="K15376" s="23" t="s">
        <v>8</v>
      </c>
      <c r="L15376" s="23" t="s">
        <v>8</v>
      </c>
      <c r="M15376" s="23" t="s">
        <v>8</v>
      </c>
    </row>
    <row r="15377" spans="1:13" s="21" customFormat="1" x14ac:dyDescent="0.25">
      <c r="A15377" s="22" t="s">
        <v>8</v>
      </c>
      <c r="B15377" s="18" t="str">
        <f>"676357"</f>
        <v>676357</v>
      </c>
      <c r="C15377" s="19" t="s">
        <v>15084</v>
      </c>
      <c r="D15377" s="19" t="s">
        <v>30767</v>
      </c>
      <c r="E15377" s="19" t="s">
        <v>35301</v>
      </c>
      <c r="F15377" s="19" t="s">
        <v>36018</v>
      </c>
      <c r="G15377" s="33" t="str">
        <f>"77389"</f>
        <v>77389</v>
      </c>
      <c r="H15377" s="34" t="s">
        <v>34183</v>
      </c>
      <c r="I15377" s="35">
        <v>17.137</v>
      </c>
      <c r="J15377" s="47" t="s">
        <v>8</v>
      </c>
      <c r="K15377" s="23" t="s">
        <v>8</v>
      </c>
      <c r="L15377" s="23" t="s">
        <v>8</v>
      </c>
      <c r="M15377" s="23" t="s">
        <v>8</v>
      </c>
    </row>
    <row r="15378" spans="1:13" s="21" customFormat="1" x14ac:dyDescent="0.25">
      <c r="A15378" s="22" t="s">
        <v>8</v>
      </c>
      <c r="B15378" s="18" t="str">
        <f>"676358"</f>
        <v>676358</v>
      </c>
      <c r="C15378" s="19" t="s">
        <v>15085</v>
      </c>
      <c r="D15378" s="19" t="s">
        <v>30768</v>
      </c>
      <c r="E15378" s="19" t="s">
        <v>34206</v>
      </c>
      <c r="F15378" s="19" t="s">
        <v>36018</v>
      </c>
      <c r="G15378" s="33" t="str">
        <f>"75062"</f>
        <v>75062</v>
      </c>
      <c r="H15378" s="34" t="s">
        <v>31723</v>
      </c>
      <c r="I15378" s="35">
        <v>19.587</v>
      </c>
      <c r="J15378" s="47" t="s">
        <v>8</v>
      </c>
      <c r="K15378" s="23" t="s">
        <v>8</v>
      </c>
      <c r="L15378" s="23" t="s">
        <v>8</v>
      </c>
      <c r="M15378" s="23" t="s">
        <v>8</v>
      </c>
    </row>
    <row r="15379" spans="1:13" s="21" customFormat="1" x14ac:dyDescent="0.25">
      <c r="A15379" s="22" t="s">
        <v>8</v>
      </c>
      <c r="B15379" s="18" t="str">
        <f>"676359"</f>
        <v>676359</v>
      </c>
      <c r="C15379" s="19" t="s">
        <v>15086</v>
      </c>
      <c r="D15379" s="19" t="s">
        <v>30769</v>
      </c>
      <c r="E15379" s="19" t="s">
        <v>31021</v>
      </c>
      <c r="F15379" s="19" t="s">
        <v>36018</v>
      </c>
      <c r="G15379" s="33" t="str">
        <f>"75503"</f>
        <v>75503</v>
      </c>
      <c r="H15379" s="34" t="s">
        <v>32980</v>
      </c>
      <c r="I15379" s="35">
        <v>20.233000000000001</v>
      </c>
      <c r="J15379" s="47" t="s">
        <v>8</v>
      </c>
      <c r="K15379" s="23" t="s">
        <v>8</v>
      </c>
      <c r="L15379" s="23" t="s">
        <v>8</v>
      </c>
      <c r="M15379" s="23" t="s">
        <v>8</v>
      </c>
    </row>
    <row r="15380" spans="1:13" s="21" customFormat="1" x14ac:dyDescent="0.25">
      <c r="A15380" s="22" t="s">
        <v>8</v>
      </c>
      <c r="B15380" s="18" t="str">
        <f>"676360"</f>
        <v>676360</v>
      </c>
      <c r="C15380" s="19" t="s">
        <v>15087</v>
      </c>
      <c r="D15380" s="19" t="s">
        <v>30770</v>
      </c>
      <c r="E15380" s="19" t="s">
        <v>35252</v>
      </c>
      <c r="F15380" s="19" t="s">
        <v>36018</v>
      </c>
      <c r="G15380" s="33" t="str">
        <f>"77591"</f>
        <v>77591</v>
      </c>
      <c r="H15380" s="34" t="s">
        <v>35824</v>
      </c>
      <c r="I15380" s="35">
        <v>21.195</v>
      </c>
      <c r="J15380" s="47" t="s">
        <v>8</v>
      </c>
      <c r="K15380" s="23" t="s">
        <v>8</v>
      </c>
      <c r="L15380" s="23" t="s">
        <v>8</v>
      </c>
      <c r="M15380" s="23" t="s">
        <v>8</v>
      </c>
    </row>
    <row r="15381" spans="1:13" s="21" customFormat="1" x14ac:dyDescent="0.25">
      <c r="A15381" s="22" t="s">
        <v>8</v>
      </c>
      <c r="B15381" s="18" t="str">
        <f>"676361"</f>
        <v>676361</v>
      </c>
      <c r="C15381" s="19" t="s">
        <v>15088</v>
      </c>
      <c r="D15381" s="19" t="s">
        <v>30771</v>
      </c>
      <c r="E15381" s="19" t="s">
        <v>32914</v>
      </c>
      <c r="F15381" s="19" t="s">
        <v>36018</v>
      </c>
      <c r="G15381" s="33" t="str">
        <f>"77434"</f>
        <v>77434</v>
      </c>
      <c r="H15381" s="34" t="s">
        <v>36794</v>
      </c>
      <c r="I15381" s="35">
        <v>20.145</v>
      </c>
      <c r="J15381" s="47" t="s">
        <v>8</v>
      </c>
      <c r="K15381" s="23" t="s">
        <v>8</v>
      </c>
      <c r="L15381" s="23" t="s">
        <v>8</v>
      </c>
      <c r="M15381" s="23" t="s">
        <v>8</v>
      </c>
    </row>
    <row r="15382" spans="1:13" s="21" customFormat="1" x14ac:dyDescent="0.25">
      <c r="A15382" s="22" t="s">
        <v>8</v>
      </c>
      <c r="B15382" s="18" t="str">
        <f>"676362"</f>
        <v>676362</v>
      </c>
      <c r="C15382" s="19" t="s">
        <v>15089</v>
      </c>
      <c r="D15382" s="19" t="s">
        <v>30772</v>
      </c>
      <c r="E15382" s="19" t="s">
        <v>33493</v>
      </c>
      <c r="F15382" s="19" t="s">
        <v>36018</v>
      </c>
      <c r="G15382" s="33" t="str">
        <f>"77049"</f>
        <v>77049</v>
      </c>
      <c r="H15382" s="34" t="s">
        <v>34183</v>
      </c>
      <c r="I15382" s="35">
        <v>21.58</v>
      </c>
      <c r="J15382" s="47" t="s">
        <v>8</v>
      </c>
      <c r="K15382" s="23" t="s">
        <v>8</v>
      </c>
      <c r="L15382" s="23" t="s">
        <v>8</v>
      </c>
      <c r="M15382" s="23" t="s">
        <v>8</v>
      </c>
    </row>
    <row r="15383" spans="1:13" s="21" customFormat="1" x14ac:dyDescent="0.25">
      <c r="A15383" s="22" t="s">
        <v>8</v>
      </c>
      <c r="B15383" s="18" t="str">
        <f>"676363"</f>
        <v>676363</v>
      </c>
      <c r="C15383" s="19" t="s">
        <v>15090</v>
      </c>
      <c r="D15383" s="19" t="s">
        <v>30773</v>
      </c>
      <c r="E15383" s="19" t="s">
        <v>30812</v>
      </c>
      <c r="F15383" s="19" t="s">
        <v>36018</v>
      </c>
      <c r="G15383" s="33" t="str">
        <f>"75010"</f>
        <v>75010</v>
      </c>
      <c r="H15383" s="34" t="s">
        <v>32938</v>
      </c>
      <c r="I15383" s="35">
        <v>20.257999999999999</v>
      </c>
      <c r="J15383" s="47" t="s">
        <v>8</v>
      </c>
      <c r="K15383" s="23" t="s">
        <v>8</v>
      </c>
      <c r="L15383" s="23" t="s">
        <v>8</v>
      </c>
      <c r="M15383" s="23" t="s">
        <v>8</v>
      </c>
    </row>
    <row r="15384" spans="1:13" s="21" customFormat="1" x14ac:dyDescent="0.25">
      <c r="A15384" s="22" t="s">
        <v>8</v>
      </c>
      <c r="B15384" s="18" t="str">
        <f>"676364"</f>
        <v>676364</v>
      </c>
      <c r="C15384" s="19" t="s">
        <v>15091</v>
      </c>
      <c r="D15384" s="19" t="s">
        <v>30774</v>
      </c>
      <c r="E15384" s="19" t="s">
        <v>34717</v>
      </c>
      <c r="F15384" s="19" t="s">
        <v>36018</v>
      </c>
      <c r="G15384" s="33" t="str">
        <f>"76502"</f>
        <v>76502</v>
      </c>
      <c r="H15384" s="34" t="s">
        <v>31306</v>
      </c>
      <c r="I15384" s="35">
        <v>23.009</v>
      </c>
      <c r="J15384" s="47" t="s">
        <v>8</v>
      </c>
      <c r="K15384" s="23" t="s">
        <v>8</v>
      </c>
      <c r="L15384" s="23" t="s">
        <v>8</v>
      </c>
      <c r="M15384" s="23" t="s">
        <v>8</v>
      </c>
    </row>
    <row r="15385" spans="1:13" s="21" customFormat="1" x14ac:dyDescent="0.25">
      <c r="A15385" s="22" t="s">
        <v>8</v>
      </c>
      <c r="B15385" s="18" t="str">
        <f>"676365"</f>
        <v>676365</v>
      </c>
      <c r="C15385" s="19" t="s">
        <v>15092</v>
      </c>
      <c r="D15385" s="19" t="s">
        <v>30775</v>
      </c>
      <c r="E15385" s="19" t="s">
        <v>35969</v>
      </c>
      <c r="F15385" s="19" t="s">
        <v>36018</v>
      </c>
      <c r="G15385" s="33" t="str">
        <f>"76087"</f>
        <v>76087</v>
      </c>
      <c r="H15385" s="34" t="s">
        <v>31392</v>
      </c>
      <c r="I15385" s="35">
        <v>19.356999999999999</v>
      </c>
      <c r="J15385" s="47" t="s">
        <v>8</v>
      </c>
      <c r="K15385" s="23" t="s">
        <v>8</v>
      </c>
      <c r="L15385" s="23" t="s">
        <v>8</v>
      </c>
      <c r="M15385" s="23" t="s">
        <v>8</v>
      </c>
    </row>
    <row r="15386" spans="1:13" s="21" customFormat="1" x14ac:dyDescent="0.25">
      <c r="A15386" s="22" t="s">
        <v>8</v>
      </c>
      <c r="B15386" s="18" t="str">
        <f>"676366"</f>
        <v>676366</v>
      </c>
      <c r="C15386" s="19" t="s">
        <v>15093</v>
      </c>
      <c r="D15386" s="19" t="s">
        <v>30776</v>
      </c>
      <c r="E15386" s="19" t="s">
        <v>33401</v>
      </c>
      <c r="F15386" s="19" t="s">
        <v>36018</v>
      </c>
      <c r="G15386" s="33" t="str">
        <f>"75702"</f>
        <v>75702</v>
      </c>
      <c r="H15386" s="34" t="s">
        <v>36304</v>
      </c>
      <c r="I15386" s="35">
        <v>17.416</v>
      </c>
      <c r="J15386" s="47" t="s">
        <v>8</v>
      </c>
      <c r="K15386" s="23" t="s">
        <v>8</v>
      </c>
      <c r="L15386" s="23" t="s">
        <v>8</v>
      </c>
      <c r="M15386" s="23" t="s">
        <v>8</v>
      </c>
    </row>
    <row r="15387" spans="1:13" s="21" customFormat="1" x14ac:dyDescent="0.25">
      <c r="A15387" s="22" t="s">
        <v>8</v>
      </c>
      <c r="B15387" s="18" t="str">
        <f>"676367"</f>
        <v>676367</v>
      </c>
      <c r="C15387" s="19" t="s">
        <v>15094</v>
      </c>
      <c r="D15387" s="19" t="s">
        <v>30777</v>
      </c>
      <c r="E15387" s="19" t="s">
        <v>35787</v>
      </c>
      <c r="F15387" s="19" t="s">
        <v>36018</v>
      </c>
      <c r="G15387" s="33" t="str">
        <f>"75071"</f>
        <v>75071</v>
      </c>
      <c r="H15387" s="34" t="s">
        <v>36828</v>
      </c>
      <c r="I15387" s="35">
        <v>20.329999999999998</v>
      </c>
      <c r="J15387" s="47" t="s">
        <v>8</v>
      </c>
      <c r="K15387" s="23" t="s">
        <v>8</v>
      </c>
      <c r="L15387" s="23" t="s">
        <v>8</v>
      </c>
      <c r="M15387" s="23" t="s">
        <v>8</v>
      </c>
    </row>
    <row r="15388" spans="1:13" s="21" customFormat="1" x14ac:dyDescent="0.25">
      <c r="A15388" s="22" t="s">
        <v>8</v>
      </c>
      <c r="B15388" s="18" t="str">
        <f>"676368"</f>
        <v>676368</v>
      </c>
      <c r="C15388" s="19" t="s">
        <v>15095</v>
      </c>
      <c r="D15388" s="19" t="s">
        <v>30778</v>
      </c>
      <c r="E15388" s="19" t="s">
        <v>35263</v>
      </c>
      <c r="F15388" s="19" t="s">
        <v>36018</v>
      </c>
      <c r="G15388" s="33" t="str">
        <f>"75605"</f>
        <v>75605</v>
      </c>
      <c r="H15388" s="34" t="s">
        <v>36814</v>
      </c>
      <c r="I15388" s="35">
        <v>20.504999999999999</v>
      </c>
      <c r="J15388" s="47" t="s">
        <v>8</v>
      </c>
      <c r="K15388" s="23" t="s">
        <v>8</v>
      </c>
      <c r="L15388" s="23" t="s">
        <v>8</v>
      </c>
      <c r="M15388" s="23" t="s">
        <v>8</v>
      </c>
    </row>
    <row r="15389" spans="1:13" s="21" customFormat="1" x14ac:dyDescent="0.25">
      <c r="A15389" s="22" t="s">
        <v>8</v>
      </c>
      <c r="B15389" s="18" t="str">
        <f>"676369"</f>
        <v>676369</v>
      </c>
      <c r="C15389" s="19" t="s">
        <v>15096</v>
      </c>
      <c r="D15389" s="19" t="s">
        <v>30779</v>
      </c>
      <c r="E15389" s="19" t="s">
        <v>35886</v>
      </c>
      <c r="F15389" s="19" t="s">
        <v>36018</v>
      </c>
      <c r="G15389" s="33" t="str">
        <f>"75028"</f>
        <v>75028</v>
      </c>
      <c r="H15389" s="34" t="s">
        <v>32938</v>
      </c>
      <c r="I15389" s="35">
        <v>20.248999999999999</v>
      </c>
      <c r="J15389" s="47" t="s">
        <v>8</v>
      </c>
      <c r="K15389" s="23" t="s">
        <v>8</v>
      </c>
      <c r="L15389" s="23" t="s">
        <v>8</v>
      </c>
      <c r="M15389" s="23" t="s">
        <v>8</v>
      </c>
    </row>
    <row r="15390" spans="1:13" s="21" customFormat="1" x14ac:dyDescent="0.25">
      <c r="A15390" s="22" t="s">
        <v>8</v>
      </c>
      <c r="B15390" s="18" t="str">
        <f>"676370"</f>
        <v>676370</v>
      </c>
      <c r="C15390" s="19" t="s">
        <v>15097</v>
      </c>
      <c r="D15390" s="19" t="s">
        <v>30780</v>
      </c>
      <c r="E15390" s="19" t="s">
        <v>33080</v>
      </c>
      <c r="F15390" s="19" t="s">
        <v>36018</v>
      </c>
      <c r="G15390" s="33" t="str">
        <f>"79312"</f>
        <v>79312</v>
      </c>
      <c r="H15390" s="34" t="s">
        <v>36799</v>
      </c>
      <c r="I15390" s="35">
        <v>19.518999999999998</v>
      </c>
      <c r="J15390" s="47" t="s">
        <v>8</v>
      </c>
      <c r="K15390" s="23" t="s">
        <v>8</v>
      </c>
      <c r="L15390" s="23" t="s">
        <v>8</v>
      </c>
      <c r="M15390" s="23" t="s">
        <v>8</v>
      </c>
    </row>
    <row r="15391" spans="1:13" s="21" customFormat="1" x14ac:dyDescent="0.25">
      <c r="A15391" s="22" t="s">
        <v>8</v>
      </c>
      <c r="B15391" s="18" t="str">
        <f>"676371"</f>
        <v>676371</v>
      </c>
      <c r="C15391" s="19" t="s">
        <v>15098</v>
      </c>
      <c r="D15391" s="19" t="s">
        <v>30781</v>
      </c>
      <c r="E15391" s="19" t="s">
        <v>35294</v>
      </c>
      <c r="F15391" s="19" t="s">
        <v>36018</v>
      </c>
      <c r="G15391" s="33" t="str">
        <f>"77459"</f>
        <v>77459</v>
      </c>
      <c r="H15391" s="34" t="s">
        <v>36826</v>
      </c>
      <c r="I15391" s="35">
        <v>18.818999999999999</v>
      </c>
      <c r="J15391" s="47" t="s">
        <v>8</v>
      </c>
      <c r="K15391" s="23" t="s">
        <v>8</v>
      </c>
      <c r="L15391" s="23" t="s">
        <v>8</v>
      </c>
      <c r="M15391" s="23" t="s">
        <v>8</v>
      </c>
    </row>
    <row r="15392" spans="1:13" s="21" customFormat="1" x14ac:dyDescent="0.25">
      <c r="A15392" s="22" t="s">
        <v>8</v>
      </c>
      <c r="B15392" s="18" t="str">
        <f>"676372"</f>
        <v>676372</v>
      </c>
      <c r="C15392" s="19" t="s">
        <v>15099</v>
      </c>
      <c r="D15392" s="19" t="s">
        <v>30782</v>
      </c>
      <c r="E15392" s="19" t="s">
        <v>35284</v>
      </c>
      <c r="F15392" s="19" t="s">
        <v>36018</v>
      </c>
      <c r="G15392" s="33" t="str">
        <f>"77904"</f>
        <v>77904</v>
      </c>
      <c r="H15392" s="34" t="s">
        <v>35284</v>
      </c>
      <c r="I15392" s="35">
        <v>21.402000000000001</v>
      </c>
      <c r="J15392" s="47" t="s">
        <v>8</v>
      </c>
      <c r="K15392" s="23" t="s">
        <v>8</v>
      </c>
      <c r="L15392" s="23" t="s">
        <v>8</v>
      </c>
      <c r="M15392" s="23" t="s">
        <v>8</v>
      </c>
    </row>
    <row r="15393" spans="1:13" s="21" customFormat="1" x14ac:dyDescent="0.25">
      <c r="A15393" s="22" t="s">
        <v>8</v>
      </c>
      <c r="B15393" s="18" t="str">
        <f>"676373"</f>
        <v>676373</v>
      </c>
      <c r="C15393" s="19" t="s">
        <v>15100</v>
      </c>
      <c r="D15393" s="19" t="s">
        <v>30783</v>
      </c>
      <c r="E15393" s="19" t="s">
        <v>35970</v>
      </c>
      <c r="F15393" s="19" t="s">
        <v>36018</v>
      </c>
      <c r="G15393" s="33" t="str">
        <f>"78738"</f>
        <v>78738</v>
      </c>
      <c r="H15393" s="34" t="s">
        <v>36817</v>
      </c>
      <c r="I15393" s="35">
        <v>20.616</v>
      </c>
      <c r="J15393" s="47" t="s">
        <v>8</v>
      </c>
      <c r="K15393" s="23" t="s">
        <v>8</v>
      </c>
      <c r="L15393" s="23" t="s">
        <v>8</v>
      </c>
      <c r="M15393" s="23" t="s">
        <v>8</v>
      </c>
    </row>
    <row r="15394" spans="1:13" s="21" customFormat="1" x14ac:dyDescent="0.25">
      <c r="A15394" s="22" t="s">
        <v>8</v>
      </c>
      <c r="B15394" s="18" t="str">
        <f>"676374"</f>
        <v>676374</v>
      </c>
      <c r="C15394" s="19" t="s">
        <v>15101</v>
      </c>
      <c r="D15394" s="19" t="s">
        <v>30784</v>
      </c>
      <c r="E15394" s="19" t="s">
        <v>32131</v>
      </c>
      <c r="F15394" s="19" t="s">
        <v>36018</v>
      </c>
      <c r="G15394" s="33" t="str">
        <f>"76065"</f>
        <v>76065</v>
      </c>
      <c r="H15394" s="34" t="s">
        <v>32612</v>
      </c>
      <c r="I15394" s="35">
        <v>18.035</v>
      </c>
      <c r="J15394" s="47" t="s">
        <v>8</v>
      </c>
      <c r="K15394" s="23" t="s">
        <v>8</v>
      </c>
      <c r="L15394" s="23" t="s">
        <v>8</v>
      </c>
      <c r="M15394" s="23" t="s">
        <v>8</v>
      </c>
    </row>
    <row r="15395" spans="1:13" s="21" customFormat="1" x14ac:dyDescent="0.25">
      <c r="A15395" s="22" t="s">
        <v>8</v>
      </c>
      <c r="B15395" s="18" t="str">
        <f>"676375"</f>
        <v>676375</v>
      </c>
      <c r="C15395" s="19" t="s">
        <v>15102</v>
      </c>
      <c r="D15395" s="19" t="s">
        <v>30785</v>
      </c>
      <c r="E15395" s="19" t="s">
        <v>31965</v>
      </c>
      <c r="F15395" s="19" t="s">
        <v>36018</v>
      </c>
      <c r="G15395" s="33" t="str">
        <f>"79927"</f>
        <v>79927</v>
      </c>
      <c r="H15395" s="34" t="s">
        <v>31965</v>
      </c>
      <c r="I15395" s="35">
        <v>21.673999999999999</v>
      </c>
      <c r="J15395" s="47" t="s">
        <v>8</v>
      </c>
      <c r="K15395" s="23" t="s">
        <v>8</v>
      </c>
      <c r="L15395" s="23" t="s">
        <v>8</v>
      </c>
      <c r="M15395" s="23" t="s">
        <v>8</v>
      </c>
    </row>
    <row r="15396" spans="1:13" s="21" customFormat="1" x14ac:dyDescent="0.25">
      <c r="A15396" s="22" t="s">
        <v>8</v>
      </c>
      <c r="B15396" s="18" t="str">
        <f>"676376"</f>
        <v>676376</v>
      </c>
      <c r="C15396" s="19" t="s">
        <v>15103</v>
      </c>
      <c r="D15396" s="19" t="s">
        <v>30786</v>
      </c>
      <c r="E15396" s="19" t="s">
        <v>32593</v>
      </c>
      <c r="F15396" s="19" t="s">
        <v>36018</v>
      </c>
      <c r="G15396" s="33" t="str">
        <f>"79601"</f>
        <v>79601</v>
      </c>
      <c r="H15396" s="34" t="s">
        <v>31080</v>
      </c>
      <c r="I15396" s="35">
        <v>15.798</v>
      </c>
      <c r="J15396" s="47" t="s">
        <v>8</v>
      </c>
      <c r="K15396" s="23" t="s">
        <v>8</v>
      </c>
      <c r="L15396" s="23" t="s">
        <v>8</v>
      </c>
      <c r="M15396" s="23" t="s">
        <v>8</v>
      </c>
    </row>
    <row r="15397" spans="1:13" s="21" customFormat="1" x14ac:dyDescent="0.25">
      <c r="A15397" s="22" t="s">
        <v>8</v>
      </c>
      <c r="B15397" s="18" t="str">
        <f>"676377"</f>
        <v>676377</v>
      </c>
      <c r="C15397" s="19" t="s">
        <v>15104</v>
      </c>
      <c r="D15397" s="19" t="s">
        <v>30787</v>
      </c>
      <c r="E15397" s="19" t="s">
        <v>31723</v>
      </c>
      <c r="F15397" s="19" t="s">
        <v>36018</v>
      </c>
      <c r="G15397" s="33" t="str">
        <f>"75230"</f>
        <v>75230</v>
      </c>
      <c r="H15397" s="34" t="s">
        <v>31723</v>
      </c>
      <c r="I15397" s="35">
        <v>18.074999999999999</v>
      </c>
      <c r="J15397" s="47" t="s">
        <v>8</v>
      </c>
      <c r="K15397" s="23" t="s">
        <v>8</v>
      </c>
      <c r="L15397" s="23" t="s">
        <v>8</v>
      </c>
      <c r="M15397" s="23" t="s">
        <v>8</v>
      </c>
    </row>
    <row r="15398" spans="1:13" s="21" customFormat="1" x14ac:dyDescent="0.25">
      <c r="A15398" s="22" t="s">
        <v>8</v>
      </c>
      <c r="B15398" s="18" t="str">
        <f>"676378"</f>
        <v>676378</v>
      </c>
      <c r="C15398" s="19" t="s">
        <v>15105</v>
      </c>
      <c r="D15398" s="19" t="s">
        <v>30788</v>
      </c>
      <c r="E15398" s="19" t="s">
        <v>35244</v>
      </c>
      <c r="F15398" s="19" t="s">
        <v>36018</v>
      </c>
      <c r="G15398" s="33" t="str">
        <f>"78229"</f>
        <v>78229</v>
      </c>
      <c r="H15398" s="34" t="s">
        <v>36805</v>
      </c>
      <c r="I15398" s="35">
        <v>18.96</v>
      </c>
      <c r="J15398" s="47" t="s">
        <v>8</v>
      </c>
      <c r="K15398" s="23" t="s">
        <v>8</v>
      </c>
      <c r="L15398" s="23" t="s">
        <v>8</v>
      </c>
      <c r="M15398" s="23" t="s">
        <v>8</v>
      </c>
    </row>
    <row r="15399" spans="1:13" s="21" customFormat="1" x14ac:dyDescent="0.25">
      <c r="A15399" s="22" t="s">
        <v>8</v>
      </c>
      <c r="B15399" s="18" t="str">
        <f>"676379"</f>
        <v>676379</v>
      </c>
      <c r="C15399" s="19" t="s">
        <v>15106</v>
      </c>
      <c r="D15399" s="19" t="s">
        <v>30789</v>
      </c>
      <c r="E15399" s="19" t="s">
        <v>33493</v>
      </c>
      <c r="F15399" s="19" t="s">
        <v>36018</v>
      </c>
      <c r="G15399" s="33" t="str">
        <f>"77014"</f>
        <v>77014</v>
      </c>
      <c r="H15399" s="34" t="s">
        <v>34183</v>
      </c>
      <c r="I15399" s="35">
        <v>20.404</v>
      </c>
      <c r="J15399" s="47" t="s">
        <v>8</v>
      </c>
      <c r="K15399" s="23" t="s">
        <v>8</v>
      </c>
      <c r="L15399" s="23" t="s">
        <v>8</v>
      </c>
      <c r="M15399" s="23" t="s">
        <v>8</v>
      </c>
    </row>
    <row r="15400" spans="1:13" s="21" customFormat="1" x14ac:dyDescent="0.25">
      <c r="A15400" s="22" t="s">
        <v>8</v>
      </c>
      <c r="B15400" s="18" t="str">
        <f>"676380"</f>
        <v>676380</v>
      </c>
      <c r="C15400" s="19" t="s">
        <v>15107</v>
      </c>
      <c r="D15400" s="19" t="s">
        <v>30790</v>
      </c>
      <c r="E15400" s="19" t="s">
        <v>35857</v>
      </c>
      <c r="F15400" s="19" t="s">
        <v>36018</v>
      </c>
      <c r="G15400" s="33" t="str">
        <f>"79720"</f>
        <v>79720</v>
      </c>
      <c r="H15400" s="34" t="s">
        <v>32644</v>
      </c>
      <c r="I15400" s="35">
        <v>19.817</v>
      </c>
      <c r="J15400" s="47" t="s">
        <v>8</v>
      </c>
      <c r="K15400" s="23" t="s">
        <v>8</v>
      </c>
      <c r="L15400" s="23" t="s">
        <v>8</v>
      </c>
      <c r="M15400" s="23" t="s">
        <v>8</v>
      </c>
    </row>
    <row r="15401" spans="1:13" s="21" customFormat="1" x14ac:dyDescent="0.25">
      <c r="A15401" s="22" t="s">
        <v>8</v>
      </c>
      <c r="B15401" s="18" t="str">
        <f>"676381"</f>
        <v>676381</v>
      </c>
      <c r="C15401" s="19" t="s">
        <v>15108</v>
      </c>
      <c r="D15401" s="19" t="s">
        <v>30791</v>
      </c>
      <c r="E15401" s="19" t="s">
        <v>33493</v>
      </c>
      <c r="F15401" s="19" t="s">
        <v>36018</v>
      </c>
      <c r="G15401" s="33" t="str">
        <f>"77083"</f>
        <v>77083</v>
      </c>
      <c r="H15401" s="34" t="s">
        <v>34183</v>
      </c>
      <c r="I15401" s="35">
        <v>22.882000000000001</v>
      </c>
      <c r="J15401" s="47" t="s">
        <v>8</v>
      </c>
      <c r="K15401" s="23" t="s">
        <v>8</v>
      </c>
      <c r="L15401" s="23" t="s">
        <v>8</v>
      </c>
      <c r="M15401" s="23" t="s">
        <v>8</v>
      </c>
    </row>
    <row r="15402" spans="1:13" s="21" customFormat="1" x14ac:dyDescent="0.25">
      <c r="A15402" s="22" t="s">
        <v>8</v>
      </c>
      <c r="B15402" s="18" t="str">
        <f>"676382"</f>
        <v>676382</v>
      </c>
      <c r="C15402" s="19" t="s">
        <v>15109</v>
      </c>
      <c r="D15402" s="19" t="s">
        <v>30792</v>
      </c>
      <c r="E15402" s="19" t="s">
        <v>35971</v>
      </c>
      <c r="F15402" s="19" t="s">
        <v>36018</v>
      </c>
      <c r="G15402" s="33" t="str">
        <f>"78634"</f>
        <v>78634</v>
      </c>
      <c r="H15402" s="34" t="s">
        <v>35514</v>
      </c>
      <c r="I15402" s="35">
        <v>17.384</v>
      </c>
      <c r="J15402" s="47" t="s">
        <v>8</v>
      </c>
      <c r="K15402" s="23" t="s">
        <v>8</v>
      </c>
      <c r="L15402" s="23" t="s">
        <v>8</v>
      </c>
      <c r="M15402" s="23" t="s">
        <v>8</v>
      </c>
    </row>
    <row r="15403" spans="1:13" s="21" customFormat="1" x14ac:dyDescent="0.25">
      <c r="A15403" s="22" t="s">
        <v>8</v>
      </c>
      <c r="B15403" s="18" t="str">
        <f>"676384"</f>
        <v>676384</v>
      </c>
      <c r="C15403" s="19" t="s">
        <v>15110</v>
      </c>
      <c r="D15403" s="19" t="s">
        <v>30793</v>
      </c>
      <c r="E15403" s="19" t="s">
        <v>35868</v>
      </c>
      <c r="F15403" s="19" t="s">
        <v>36018</v>
      </c>
      <c r="G15403" s="33" t="str">
        <f>"77479"</f>
        <v>77479</v>
      </c>
      <c r="H15403" s="34" t="s">
        <v>36826</v>
      </c>
      <c r="I15403" s="35">
        <v>18.187999999999999</v>
      </c>
      <c r="J15403" s="47" t="s">
        <v>8</v>
      </c>
      <c r="K15403" s="23" t="s">
        <v>8</v>
      </c>
      <c r="L15403" s="23" t="s">
        <v>8</v>
      </c>
      <c r="M15403" s="23" t="s">
        <v>8</v>
      </c>
    </row>
    <row r="15404" spans="1:13" s="21" customFormat="1" x14ac:dyDescent="0.25">
      <c r="A15404" s="22" t="s">
        <v>8</v>
      </c>
      <c r="B15404" s="18" t="str">
        <f>"676385"</f>
        <v>676385</v>
      </c>
      <c r="C15404" s="19" t="s">
        <v>15111</v>
      </c>
      <c r="D15404" s="19" t="s">
        <v>30794</v>
      </c>
      <c r="E15404" s="19" t="s">
        <v>35799</v>
      </c>
      <c r="F15404" s="19" t="s">
        <v>36018</v>
      </c>
      <c r="G15404" s="33" t="str">
        <f>"77859"</f>
        <v>77859</v>
      </c>
      <c r="H15404" s="34" t="s">
        <v>36348</v>
      </c>
      <c r="I15404" s="35">
        <v>18.800999999999998</v>
      </c>
      <c r="J15404" s="47" t="s">
        <v>8</v>
      </c>
      <c r="K15404" s="23" t="s">
        <v>8</v>
      </c>
      <c r="L15404" s="23" t="s">
        <v>8</v>
      </c>
      <c r="M15404" s="23" t="s">
        <v>8</v>
      </c>
    </row>
    <row r="15405" spans="1:13" s="21" customFormat="1" x14ac:dyDescent="0.25">
      <c r="A15405" s="22" t="s">
        <v>8</v>
      </c>
      <c r="B15405" s="18" t="str">
        <f>"676386"</f>
        <v>676386</v>
      </c>
      <c r="C15405" s="19" t="s">
        <v>15112</v>
      </c>
      <c r="D15405" s="19" t="s">
        <v>30795</v>
      </c>
      <c r="E15405" s="19" t="s">
        <v>35972</v>
      </c>
      <c r="F15405" s="19" t="s">
        <v>36018</v>
      </c>
      <c r="G15405" s="33" t="str">
        <f>"76691"</f>
        <v>76691</v>
      </c>
      <c r="H15405" s="34" t="s">
        <v>36809</v>
      </c>
      <c r="I15405" s="35">
        <v>19.372</v>
      </c>
      <c r="J15405" s="47" t="s">
        <v>8</v>
      </c>
      <c r="K15405" s="23" t="s">
        <v>8</v>
      </c>
      <c r="L15405" s="23" t="s">
        <v>8</v>
      </c>
      <c r="M15405" s="23" t="s">
        <v>8</v>
      </c>
    </row>
    <row r="15406" spans="1:13" s="21" customFormat="1" x14ac:dyDescent="0.25">
      <c r="A15406" s="22" t="s">
        <v>8</v>
      </c>
      <c r="B15406" s="18" t="str">
        <f>"676387"</f>
        <v>676387</v>
      </c>
      <c r="C15406" s="19" t="s">
        <v>15113</v>
      </c>
      <c r="D15406" s="19" t="s">
        <v>30796</v>
      </c>
      <c r="E15406" s="19" t="s">
        <v>35847</v>
      </c>
      <c r="F15406" s="19" t="s">
        <v>36018</v>
      </c>
      <c r="G15406" s="33" t="str">
        <f>"75032"</f>
        <v>75032</v>
      </c>
      <c r="H15406" s="34" t="s">
        <v>35847</v>
      </c>
      <c r="I15406" s="35">
        <v>19.16</v>
      </c>
      <c r="J15406" s="47" t="s">
        <v>8</v>
      </c>
      <c r="K15406" s="23" t="s">
        <v>8</v>
      </c>
      <c r="L15406" s="23" t="s">
        <v>8</v>
      </c>
      <c r="M15406" s="23" t="s">
        <v>8</v>
      </c>
    </row>
    <row r="15407" spans="1:13" s="21" customFormat="1" x14ac:dyDescent="0.25">
      <c r="A15407" s="22" t="s">
        <v>8</v>
      </c>
      <c r="B15407" s="18" t="str">
        <f>"676388"</f>
        <v>676388</v>
      </c>
      <c r="C15407" s="19" t="s">
        <v>15114</v>
      </c>
      <c r="D15407" s="19" t="s">
        <v>30797</v>
      </c>
      <c r="E15407" s="19" t="s">
        <v>31481</v>
      </c>
      <c r="F15407" s="19" t="s">
        <v>36018</v>
      </c>
      <c r="G15407" s="33" t="str">
        <f>"76063"</f>
        <v>76063</v>
      </c>
      <c r="H15407" s="34" t="s">
        <v>36806</v>
      </c>
      <c r="I15407" s="35">
        <v>18.994</v>
      </c>
      <c r="J15407" s="47" t="s">
        <v>8</v>
      </c>
      <c r="K15407" s="23" t="s">
        <v>8</v>
      </c>
      <c r="L15407" s="23" t="s">
        <v>8</v>
      </c>
      <c r="M15407" s="23" t="s">
        <v>8</v>
      </c>
    </row>
    <row r="15408" spans="1:13" s="21" customFormat="1" x14ac:dyDescent="0.25">
      <c r="A15408" s="22" t="s">
        <v>8</v>
      </c>
      <c r="B15408" s="18" t="str">
        <f>"676390"</f>
        <v>676390</v>
      </c>
      <c r="C15408" s="27" t="s">
        <v>15115</v>
      </c>
      <c r="D15408" s="18" t="s">
        <v>30798</v>
      </c>
      <c r="E15408" s="18" t="s">
        <v>35973</v>
      </c>
      <c r="F15408" s="18" t="s">
        <v>36018</v>
      </c>
      <c r="G15408" s="36" t="str">
        <f>"75442"</f>
        <v>75442</v>
      </c>
      <c r="H15408" s="37" t="s">
        <v>36828</v>
      </c>
      <c r="I15408" s="38">
        <v>19.864999999999998</v>
      </c>
      <c r="J15408" s="48" t="s">
        <v>8</v>
      </c>
      <c r="K15408" s="23" t="s">
        <v>8</v>
      </c>
      <c r="L15408" s="23" t="s">
        <v>8</v>
      </c>
      <c r="M15408" s="23" t="s">
        <v>8</v>
      </c>
    </row>
    <row r="15409" spans="1:13" s="3" customFormat="1" x14ac:dyDescent="0.25">
      <c r="A15409" s="5"/>
      <c r="B15409" s="25"/>
      <c r="C15409" s="5"/>
      <c r="D15409" s="25"/>
      <c r="E15409" s="25"/>
      <c r="F15409" s="26"/>
      <c r="G15409" s="28"/>
      <c r="H15409" s="29"/>
      <c r="I15409" s="40"/>
      <c r="J15409" s="49"/>
      <c r="K15409" s="5"/>
      <c r="L15409" s="5"/>
      <c r="M15409" s="5"/>
    </row>
    <row r="15410" spans="1:13" s="3" customFormat="1" x14ac:dyDescent="0.25">
      <c r="A15410" s="5"/>
      <c r="B15410" s="5"/>
      <c r="C15410" s="5"/>
      <c r="D15410" s="5"/>
      <c r="E15410" s="5"/>
      <c r="F15410" s="5"/>
      <c r="G15410" s="5"/>
      <c r="H15410" s="5"/>
      <c r="I15410" s="41"/>
      <c r="J15410" s="49"/>
      <c r="K15410" s="5"/>
      <c r="L15410" s="5"/>
      <c r="M15410" s="5"/>
    </row>
    <row r="15411" spans="1:13" s="3" customFormat="1" x14ac:dyDescent="0.25">
      <c r="A15411" s="5"/>
      <c r="B15411" s="5"/>
      <c r="C15411" s="5"/>
      <c r="D15411" s="5"/>
      <c r="E15411" s="5"/>
      <c r="F15411" s="5"/>
      <c r="G15411" s="5"/>
      <c r="H15411" s="5"/>
      <c r="I15411" s="41"/>
      <c r="J15411" s="49"/>
      <c r="K15411" s="5"/>
      <c r="L15411" s="5"/>
      <c r="M15411" s="5"/>
    </row>
    <row r="15412" spans="1:13" s="3" customFormat="1" x14ac:dyDescent="0.25">
      <c r="A15412" s="5"/>
      <c r="B15412" s="5"/>
      <c r="C15412" s="5"/>
      <c r="D15412" s="5"/>
      <c r="E15412" s="5"/>
      <c r="F15412" s="5"/>
      <c r="G15412" s="5"/>
      <c r="H15412" s="5"/>
      <c r="I15412" s="41"/>
      <c r="J15412" s="49"/>
      <c r="K15412" s="5"/>
      <c r="L15412" s="5"/>
      <c r="M15412" s="5"/>
    </row>
    <row r="15413" spans="1:13" s="3" customFormat="1" x14ac:dyDescent="0.25">
      <c r="A15413" s="5"/>
      <c r="B15413" s="5"/>
      <c r="C15413" s="5"/>
      <c r="D15413" s="5"/>
      <c r="E15413" s="5"/>
      <c r="F15413" s="5"/>
      <c r="G15413" s="5"/>
      <c r="H15413" s="5"/>
      <c r="I15413" s="41"/>
      <c r="J15413" s="49"/>
      <c r="K15413" s="5"/>
      <c r="L15413" s="5"/>
      <c r="M15413" s="5"/>
    </row>
    <row r="15414" spans="1:13" s="3" customFormat="1" x14ac:dyDescent="0.25">
      <c r="A15414" s="5"/>
      <c r="B15414" s="5"/>
      <c r="C15414" s="5"/>
      <c r="D15414" s="5"/>
      <c r="E15414" s="5"/>
      <c r="F15414" s="5"/>
      <c r="G15414" s="5"/>
      <c r="H15414" s="5"/>
      <c r="I15414" s="41"/>
      <c r="J15414" s="49"/>
      <c r="K15414" s="5"/>
      <c r="L15414" s="5"/>
      <c r="M15414" s="5"/>
    </row>
    <row r="15415" spans="1:13" s="3" customFormat="1" x14ac:dyDescent="0.25">
      <c r="A15415" s="5"/>
      <c r="B15415" s="5"/>
      <c r="C15415" s="5"/>
      <c r="D15415" s="5"/>
      <c r="E15415" s="5"/>
      <c r="F15415" s="5"/>
      <c r="G15415" s="5"/>
      <c r="H15415" s="5"/>
      <c r="I15415" s="41"/>
      <c r="J15415" s="49"/>
      <c r="K15415" s="5"/>
      <c r="L15415" s="5"/>
      <c r="M15415" s="5"/>
    </row>
    <row r="15416" spans="1:13" s="3" customFormat="1" x14ac:dyDescent="0.25">
      <c r="A15416" s="5"/>
      <c r="B15416" s="5"/>
      <c r="C15416" s="5"/>
      <c r="D15416" s="5"/>
      <c r="E15416" s="5"/>
      <c r="F15416" s="5"/>
      <c r="G15416" s="5"/>
      <c r="H15416" s="5"/>
      <c r="I15416" s="41"/>
      <c r="J15416" s="49"/>
      <c r="K15416" s="5"/>
      <c r="L15416" s="5"/>
      <c r="M15416" s="5"/>
    </row>
    <row r="15417" spans="1:13" s="3" customFormat="1" x14ac:dyDescent="0.25">
      <c r="A15417" s="5"/>
      <c r="B15417" s="5"/>
      <c r="C15417" s="5"/>
      <c r="D15417" s="5"/>
      <c r="E15417" s="5"/>
      <c r="F15417" s="5"/>
      <c r="G15417" s="5"/>
      <c r="H15417" s="5"/>
      <c r="I15417" s="41"/>
      <c r="J15417" s="49"/>
      <c r="K15417" s="5"/>
      <c r="L15417" s="5"/>
      <c r="M15417" s="5"/>
    </row>
    <row r="15418" spans="1:13" s="3" customFormat="1" x14ac:dyDescent="0.25">
      <c r="A15418" s="5"/>
      <c r="B15418" s="5"/>
      <c r="C15418" s="5"/>
      <c r="D15418" s="5"/>
      <c r="E15418" s="5"/>
      <c r="F15418" s="5"/>
      <c r="G15418" s="5"/>
      <c r="H15418" s="5"/>
      <c r="I15418" s="42"/>
      <c r="J15418" s="50"/>
      <c r="K15418" s="5"/>
      <c r="L15418" s="5"/>
      <c r="M15418" s="5"/>
    </row>
    <row r="15419" spans="1:13" s="3" customFormat="1" x14ac:dyDescent="0.25">
      <c r="A15419" s="5"/>
      <c r="B15419" s="5"/>
      <c r="C15419" s="5"/>
      <c r="D15419" s="5"/>
      <c r="E15419" s="5"/>
      <c r="F15419" s="5"/>
      <c r="G15419" s="5"/>
      <c r="H15419" s="5"/>
      <c r="I15419" s="42"/>
      <c r="J15419" s="50"/>
      <c r="K15419" s="5"/>
      <c r="L15419" s="5"/>
      <c r="M15419" s="5"/>
    </row>
    <row r="15420" spans="1:13" s="3" customFormat="1" x14ac:dyDescent="0.25">
      <c r="A15420" s="5"/>
      <c r="B15420" s="5"/>
      <c r="C15420" s="5"/>
      <c r="D15420" s="5"/>
      <c r="E15420" s="5"/>
      <c r="F15420" s="5"/>
      <c r="G15420" s="5"/>
      <c r="H15420" s="5"/>
      <c r="I15420" s="42"/>
      <c r="J15420" s="50"/>
      <c r="K15420" s="5"/>
      <c r="L15420" s="5"/>
      <c r="M15420" s="5"/>
    </row>
    <row r="15421" spans="1:13" s="3" customFormat="1" x14ac:dyDescent="0.25">
      <c r="A15421" s="5"/>
      <c r="B15421" s="5"/>
      <c r="C15421" s="5"/>
      <c r="D15421" s="5"/>
      <c r="E15421" s="5"/>
      <c r="F15421" s="5"/>
      <c r="G15421" s="5"/>
      <c r="H15421" s="5"/>
      <c r="I15421" s="42"/>
      <c r="J15421" s="50"/>
      <c r="K15421" s="5"/>
      <c r="L15421" s="5"/>
      <c r="M15421" s="5"/>
    </row>
    <row r="15422" spans="1:13" s="3" customFormat="1" x14ac:dyDescent="0.25">
      <c r="A15422" s="5"/>
      <c r="B15422" s="5"/>
      <c r="C15422" s="5"/>
      <c r="D15422" s="5"/>
      <c r="E15422" s="5"/>
      <c r="F15422" s="5"/>
      <c r="G15422" s="5"/>
      <c r="H15422" s="5"/>
      <c r="I15422" s="42"/>
      <c r="J15422" s="50"/>
      <c r="K15422" s="5"/>
      <c r="L15422" s="5"/>
      <c r="M15422" s="5"/>
    </row>
    <row r="15423" spans="1:13" s="3" customFormat="1" x14ac:dyDescent="0.25">
      <c r="A15423" s="5"/>
      <c r="B15423" s="5"/>
      <c r="C15423" s="5"/>
      <c r="D15423" s="5"/>
      <c r="E15423" s="5"/>
      <c r="F15423" s="5"/>
      <c r="G15423" s="5"/>
      <c r="H15423" s="5"/>
      <c r="I15423" s="42"/>
      <c r="J15423" s="50"/>
      <c r="K15423" s="5"/>
      <c r="L15423" s="5"/>
      <c r="M15423" s="5"/>
    </row>
    <row r="15424" spans="1:13" s="3" customFormat="1" x14ac:dyDescent="0.25">
      <c r="A15424" s="5"/>
      <c r="B15424" s="5"/>
      <c r="C15424" s="5"/>
      <c r="D15424" s="5"/>
      <c r="E15424" s="5"/>
      <c r="F15424" s="5"/>
      <c r="G15424" s="5"/>
      <c r="H15424" s="5"/>
      <c r="I15424" s="42"/>
      <c r="J15424" s="49"/>
      <c r="K15424" s="5"/>
      <c r="L15424" s="5"/>
      <c r="M15424" s="5"/>
    </row>
    <row r="15425" spans="1:13" s="3" customFormat="1" x14ac:dyDescent="0.25">
      <c r="A15425" s="5"/>
      <c r="B15425" s="5"/>
      <c r="C15425" s="5"/>
      <c r="D15425" s="5"/>
      <c r="E15425" s="5"/>
      <c r="F15425" s="5"/>
      <c r="G15425" s="5"/>
      <c r="H15425" s="5"/>
      <c r="I15425" s="42"/>
      <c r="J15425" s="49"/>
      <c r="K15425" s="5"/>
      <c r="L15425" s="5"/>
      <c r="M15425" s="5"/>
    </row>
    <row r="15426" spans="1:13" s="3" customFormat="1" x14ac:dyDescent="0.25">
      <c r="A15426" s="5"/>
      <c r="B15426" s="5"/>
      <c r="C15426" s="5"/>
      <c r="D15426" s="5"/>
      <c r="E15426" s="5"/>
      <c r="F15426" s="5"/>
      <c r="G15426" s="5"/>
      <c r="H15426" s="5"/>
      <c r="I15426" s="42"/>
      <c r="J15426" s="49"/>
      <c r="K15426" s="5"/>
      <c r="L15426" s="5"/>
      <c r="M15426" s="5"/>
    </row>
    <row r="15427" spans="1:13" s="3" customFormat="1" x14ac:dyDescent="0.25">
      <c r="A15427" s="5"/>
      <c r="B15427" s="5"/>
      <c r="C15427" s="5"/>
      <c r="D15427" s="5"/>
      <c r="E15427" s="5"/>
      <c r="F15427" s="5"/>
      <c r="G15427" s="5"/>
      <c r="H15427" s="5"/>
      <c r="I15427" s="42"/>
      <c r="J15427" s="49"/>
      <c r="K15427" s="5"/>
      <c r="L15427" s="5"/>
      <c r="M15427" s="5"/>
    </row>
    <row r="15428" spans="1:13" s="3" customFormat="1" x14ac:dyDescent="0.25">
      <c r="A15428" s="5"/>
      <c r="B15428" s="5"/>
      <c r="C15428" s="5"/>
      <c r="D15428" s="5"/>
      <c r="E15428" s="5"/>
      <c r="F15428" s="5"/>
      <c r="G15428" s="5"/>
      <c r="H15428" s="5"/>
      <c r="I15428" s="42"/>
      <c r="J15428" s="49"/>
      <c r="K15428" s="5"/>
      <c r="L15428" s="5"/>
      <c r="M15428" s="5"/>
    </row>
    <row r="15429" spans="1:13" s="3" customFormat="1" x14ac:dyDescent="0.25">
      <c r="A15429" s="5"/>
      <c r="B15429" s="5"/>
      <c r="C15429" s="5"/>
      <c r="D15429" s="5"/>
      <c r="E15429" s="5"/>
      <c r="F15429" s="5"/>
      <c r="G15429" s="5"/>
      <c r="H15429" s="5"/>
      <c r="I15429" s="42"/>
      <c r="J15429" s="49"/>
      <c r="K15429" s="5"/>
      <c r="L15429" s="5"/>
      <c r="M15429" s="5"/>
    </row>
    <row r="15430" spans="1:13" s="3" customFormat="1" x14ac:dyDescent="0.25">
      <c r="A15430" s="5"/>
      <c r="B15430" s="5"/>
      <c r="C15430" s="5"/>
      <c r="D15430" s="5"/>
      <c r="E15430" s="5"/>
      <c r="F15430" s="5"/>
      <c r="G15430" s="5"/>
      <c r="H15430" s="5"/>
      <c r="I15430" s="42"/>
      <c r="J15430" s="49"/>
      <c r="K15430" s="5"/>
      <c r="L15430" s="5"/>
      <c r="M15430" s="5"/>
    </row>
    <row r="15431" spans="1:13" s="3" customFormat="1" x14ac:dyDescent="0.25">
      <c r="A15431" s="5"/>
      <c r="B15431" s="5"/>
      <c r="C15431" s="5"/>
      <c r="D15431" s="5"/>
      <c r="E15431" s="5"/>
      <c r="F15431" s="5"/>
      <c r="G15431" s="5"/>
      <c r="H15431" s="5"/>
      <c r="I15431" s="42"/>
      <c r="J15431" s="49"/>
      <c r="K15431" s="5"/>
      <c r="L15431" s="5"/>
      <c r="M15431" s="5"/>
    </row>
    <row r="15432" spans="1:13" s="3" customFormat="1" x14ac:dyDescent="0.25">
      <c r="A15432" s="5"/>
      <c r="B15432" s="5"/>
      <c r="C15432" s="5"/>
      <c r="D15432" s="5"/>
      <c r="E15432" s="5"/>
      <c r="F15432" s="5"/>
      <c r="G15432" s="5"/>
      <c r="H15432" s="5"/>
      <c r="I15432" s="42"/>
      <c r="J15432" s="49"/>
      <c r="K15432" s="5"/>
      <c r="L15432" s="5"/>
      <c r="M15432" s="5"/>
    </row>
    <row r="15433" spans="1:13" s="3" customFormat="1" x14ac:dyDescent="0.25">
      <c r="A15433" s="5"/>
      <c r="B15433" s="5"/>
      <c r="C15433" s="5"/>
      <c r="D15433" s="5"/>
      <c r="E15433" s="5"/>
      <c r="F15433" s="5"/>
      <c r="G15433" s="5"/>
      <c r="H15433" s="5"/>
      <c r="I15433" s="42"/>
      <c r="J15433" s="49"/>
      <c r="K15433" s="5"/>
      <c r="L15433" s="5"/>
      <c r="M15433" s="5"/>
    </row>
    <row r="15434" spans="1:13" s="3" customFormat="1" x14ac:dyDescent="0.25">
      <c r="A15434" s="5"/>
      <c r="B15434" s="5"/>
      <c r="C15434" s="5"/>
      <c r="D15434" s="5"/>
      <c r="E15434" s="5"/>
      <c r="F15434" s="5"/>
      <c r="G15434" s="5"/>
      <c r="H15434" s="5"/>
      <c r="I15434" s="42"/>
      <c r="J15434" s="49"/>
      <c r="K15434" s="5"/>
      <c r="L15434" s="5"/>
      <c r="M15434" s="5"/>
    </row>
    <row r="15435" spans="1:13" s="3" customFormat="1" x14ac:dyDescent="0.25">
      <c r="A15435" s="5"/>
      <c r="B15435" s="5"/>
      <c r="C15435" s="5"/>
      <c r="D15435" s="5"/>
      <c r="E15435" s="5"/>
      <c r="F15435" s="5"/>
      <c r="G15435" s="5"/>
      <c r="H15435" s="5"/>
      <c r="I15435" s="42"/>
      <c r="J15435" s="49"/>
      <c r="K15435" s="5"/>
      <c r="L15435" s="5"/>
      <c r="M15435" s="5"/>
    </row>
    <row r="15436" spans="1:13" s="3" customFormat="1" x14ac:dyDescent="0.25">
      <c r="A15436" s="5"/>
      <c r="B15436" s="5"/>
      <c r="C15436" s="5"/>
      <c r="D15436" s="5"/>
      <c r="E15436" s="5"/>
      <c r="F15436" s="5"/>
      <c r="G15436" s="5"/>
      <c r="H15436" s="5"/>
      <c r="I15436" s="42"/>
      <c r="J15436" s="49"/>
      <c r="K15436" s="5"/>
      <c r="L15436" s="5"/>
      <c r="M15436" s="5"/>
    </row>
    <row r="15437" spans="1:13" s="3" customFormat="1" x14ac:dyDescent="0.25">
      <c r="A15437" s="5"/>
      <c r="B15437" s="5"/>
      <c r="C15437" s="5"/>
      <c r="D15437" s="5"/>
      <c r="E15437" s="5"/>
      <c r="F15437" s="5"/>
      <c r="G15437" s="5"/>
      <c r="H15437" s="5"/>
      <c r="I15437" s="42"/>
      <c r="J15437" s="49"/>
      <c r="K15437" s="5"/>
      <c r="L15437" s="5"/>
      <c r="M15437" s="5"/>
    </row>
    <row r="15438" spans="1:13" s="3" customFormat="1" x14ac:dyDescent="0.25">
      <c r="A15438" s="5"/>
      <c r="B15438" s="5"/>
      <c r="C15438" s="5"/>
      <c r="D15438" s="5"/>
      <c r="E15438" s="5"/>
      <c r="F15438" s="5"/>
      <c r="G15438" s="5"/>
      <c r="H15438" s="5"/>
      <c r="I15438" s="42"/>
      <c r="J15438" s="49"/>
      <c r="K15438" s="5"/>
      <c r="L15438" s="5"/>
      <c r="M15438" s="5"/>
    </row>
    <row r="15439" spans="1:13" s="3" customFormat="1" x14ac:dyDescent="0.25">
      <c r="A15439" s="5"/>
      <c r="B15439" s="5"/>
      <c r="C15439" s="5"/>
      <c r="D15439" s="5"/>
      <c r="E15439" s="5"/>
      <c r="F15439" s="5"/>
      <c r="G15439" s="5"/>
      <c r="H15439" s="5"/>
      <c r="I15439" s="42"/>
      <c r="J15439" s="49"/>
      <c r="K15439" s="5"/>
      <c r="L15439" s="5"/>
      <c r="M15439" s="5"/>
    </row>
    <row r="15440" spans="1:13" s="3" customFormat="1" x14ac:dyDescent="0.25">
      <c r="A15440" s="5"/>
      <c r="B15440" s="5"/>
      <c r="C15440" s="5"/>
      <c r="D15440" s="5"/>
      <c r="E15440" s="5"/>
      <c r="F15440" s="5"/>
      <c r="G15440" s="5"/>
      <c r="H15440" s="5"/>
      <c r="I15440" s="42"/>
      <c r="J15440" s="49"/>
      <c r="K15440" s="5"/>
      <c r="L15440" s="5"/>
      <c r="M15440" s="5"/>
    </row>
    <row r="15441" spans="1:13" s="3" customFormat="1" x14ac:dyDescent="0.25">
      <c r="A15441" s="5"/>
      <c r="B15441" s="5"/>
      <c r="C15441" s="5"/>
      <c r="D15441" s="5"/>
      <c r="E15441" s="5"/>
      <c r="F15441" s="5"/>
      <c r="G15441" s="5"/>
      <c r="H15441" s="5"/>
      <c r="I15441" s="42"/>
      <c r="J15441" s="49"/>
      <c r="K15441" s="5"/>
      <c r="L15441" s="5"/>
      <c r="M15441" s="5"/>
    </row>
    <row r="15442" spans="1:13" s="3" customFormat="1" x14ac:dyDescent="0.25">
      <c r="A15442" s="5"/>
      <c r="B15442" s="5"/>
      <c r="C15442" s="5"/>
      <c r="D15442" s="5"/>
      <c r="E15442" s="5"/>
      <c r="F15442" s="5"/>
      <c r="G15442" s="5"/>
      <c r="H15442" s="5"/>
      <c r="I15442" s="42"/>
      <c r="J15442" s="49"/>
      <c r="K15442" s="5"/>
      <c r="L15442" s="5"/>
      <c r="M15442" s="5"/>
    </row>
    <row r="15443" spans="1:13" s="3" customFormat="1" x14ac:dyDescent="0.25">
      <c r="A15443" s="5"/>
      <c r="B15443" s="5"/>
      <c r="C15443" s="5"/>
      <c r="D15443" s="5"/>
      <c r="E15443" s="5"/>
      <c r="F15443" s="5"/>
      <c r="G15443" s="5"/>
      <c r="H15443" s="5"/>
      <c r="I15443" s="42"/>
      <c r="J15443" s="49"/>
      <c r="K15443" s="5"/>
      <c r="L15443" s="5"/>
      <c r="M15443" s="5"/>
    </row>
    <row r="15444" spans="1:13" s="3" customFormat="1" x14ac:dyDescent="0.25">
      <c r="A15444" s="5"/>
      <c r="B15444" s="5"/>
      <c r="C15444" s="5"/>
      <c r="D15444" s="5"/>
      <c r="E15444" s="5"/>
      <c r="F15444" s="5"/>
      <c r="G15444" s="5"/>
      <c r="H15444" s="5"/>
      <c r="I15444" s="42"/>
      <c r="J15444" s="49"/>
      <c r="K15444" s="5"/>
      <c r="L15444" s="5"/>
      <c r="M15444" s="5"/>
    </row>
    <row r="15445" spans="1:13" s="3" customFormat="1" x14ac:dyDescent="0.25">
      <c r="A15445" s="5"/>
      <c r="B15445" s="5"/>
      <c r="C15445" s="5"/>
      <c r="D15445" s="5"/>
      <c r="E15445" s="5"/>
      <c r="F15445" s="5"/>
      <c r="G15445" s="5"/>
      <c r="H15445" s="5"/>
      <c r="I15445" s="42"/>
      <c r="J15445" s="49"/>
      <c r="K15445" s="5"/>
      <c r="L15445" s="5"/>
      <c r="M15445" s="5"/>
    </row>
    <row r="15446" spans="1:13" s="3" customFormat="1" x14ac:dyDescent="0.25">
      <c r="A15446" s="5"/>
      <c r="B15446" s="5"/>
      <c r="C15446" s="5"/>
      <c r="D15446" s="5"/>
      <c r="E15446" s="5"/>
      <c r="F15446" s="5"/>
      <c r="G15446" s="5"/>
      <c r="H15446" s="5"/>
      <c r="I15446" s="42"/>
      <c r="J15446" s="49"/>
      <c r="K15446" s="5"/>
      <c r="L15446" s="5"/>
      <c r="M15446" s="5"/>
    </row>
    <row r="15447" spans="1:13" s="3" customFormat="1" x14ac:dyDescent="0.25">
      <c r="A15447" s="5"/>
      <c r="B15447" s="5"/>
      <c r="C15447" s="5"/>
      <c r="D15447" s="5"/>
      <c r="E15447" s="5"/>
      <c r="F15447" s="5"/>
      <c r="G15447" s="5"/>
      <c r="H15447" s="5"/>
      <c r="I15447" s="42"/>
      <c r="J15447" s="49"/>
      <c r="K15447" s="5"/>
      <c r="L15447" s="5"/>
      <c r="M15447" s="5"/>
    </row>
    <row r="15448" spans="1:13" s="3" customFormat="1" x14ac:dyDescent="0.25">
      <c r="A15448" s="5"/>
      <c r="B15448" s="5"/>
      <c r="C15448" s="5"/>
      <c r="D15448" s="5"/>
      <c r="E15448" s="5"/>
      <c r="F15448" s="5"/>
      <c r="G15448" s="5"/>
      <c r="H15448" s="5"/>
      <c r="I15448" s="42"/>
      <c r="J15448" s="49"/>
      <c r="K15448" s="5"/>
      <c r="L15448" s="5"/>
      <c r="M15448" s="5"/>
    </row>
    <row r="15449" spans="1:13" s="3" customFormat="1" x14ac:dyDescent="0.25">
      <c r="A15449" s="5"/>
      <c r="B15449" s="5"/>
      <c r="C15449" s="5"/>
      <c r="D15449" s="5"/>
      <c r="E15449" s="5"/>
      <c r="F15449" s="5"/>
      <c r="G15449" s="5"/>
      <c r="H15449" s="5"/>
      <c r="I15449" s="42"/>
      <c r="J15449" s="49"/>
      <c r="K15449" s="5"/>
      <c r="L15449" s="5"/>
      <c r="M15449" s="5"/>
    </row>
    <row r="15450" spans="1:13" s="3" customFormat="1" x14ac:dyDescent="0.25">
      <c r="A15450" s="5"/>
      <c r="B15450" s="5"/>
      <c r="C15450" s="5"/>
      <c r="D15450" s="5"/>
      <c r="E15450" s="5"/>
      <c r="F15450" s="5"/>
      <c r="G15450" s="5"/>
      <c r="H15450" s="5"/>
      <c r="I15450" s="42"/>
      <c r="J15450" s="49"/>
      <c r="K15450" s="5"/>
      <c r="L15450" s="5"/>
      <c r="M15450" s="5"/>
    </row>
    <row r="15451" spans="1:13" s="3" customFormat="1" x14ac:dyDescent="0.25">
      <c r="A15451" s="5"/>
      <c r="B15451" s="5"/>
      <c r="C15451" s="5"/>
      <c r="D15451" s="5"/>
      <c r="E15451" s="5"/>
      <c r="F15451" s="5"/>
      <c r="G15451" s="5"/>
      <c r="H15451" s="5"/>
      <c r="I15451" s="42"/>
      <c r="J15451" s="49"/>
      <c r="K15451" s="5"/>
      <c r="L15451" s="5"/>
      <c r="M15451" s="5"/>
    </row>
    <row r="15452" spans="1:13" s="3" customFormat="1" x14ac:dyDescent="0.25">
      <c r="A15452" s="5"/>
      <c r="B15452" s="5"/>
      <c r="C15452" s="5"/>
      <c r="D15452" s="5"/>
      <c r="E15452" s="5"/>
      <c r="F15452" s="5"/>
      <c r="G15452" s="5"/>
      <c r="H15452" s="5"/>
      <c r="I15452" s="42"/>
      <c r="J15452" s="49"/>
      <c r="K15452" s="5"/>
      <c r="L15452" s="5"/>
      <c r="M15452" s="5"/>
    </row>
    <row r="15453" spans="1:13" s="3" customFormat="1" x14ac:dyDescent="0.25">
      <c r="A15453" s="5"/>
      <c r="B15453" s="5"/>
      <c r="C15453" s="5"/>
      <c r="D15453" s="5"/>
      <c r="E15453" s="5"/>
      <c r="F15453" s="5"/>
      <c r="G15453" s="5"/>
      <c r="H15453" s="5"/>
      <c r="I15453" s="42"/>
      <c r="J15453" s="49"/>
      <c r="K15453" s="5"/>
      <c r="L15453" s="5"/>
      <c r="M15453" s="5"/>
    </row>
    <row r="15454" spans="1:13" s="3" customFormat="1" x14ac:dyDescent="0.25">
      <c r="A15454" s="5"/>
      <c r="B15454" s="5"/>
      <c r="C15454" s="5"/>
      <c r="D15454" s="5"/>
      <c r="E15454" s="5"/>
      <c r="F15454" s="5"/>
      <c r="G15454" s="5"/>
      <c r="H15454" s="5"/>
      <c r="I15454" s="42"/>
      <c r="J15454" s="49"/>
      <c r="K15454" s="5"/>
      <c r="L15454" s="5"/>
      <c r="M15454" s="5"/>
    </row>
    <row r="15455" spans="1:13" s="3" customFormat="1" x14ac:dyDescent="0.25">
      <c r="A15455" s="5"/>
      <c r="B15455" s="5"/>
      <c r="C15455" s="5"/>
      <c r="D15455" s="5"/>
      <c r="E15455" s="5"/>
      <c r="F15455" s="5"/>
      <c r="G15455" s="5"/>
      <c r="H15455" s="5"/>
      <c r="I15455" s="42"/>
      <c r="J15455" s="49"/>
      <c r="K15455" s="5"/>
      <c r="L15455" s="5"/>
      <c r="M15455" s="5"/>
    </row>
    <row r="15456" spans="1:13" s="3" customFormat="1" x14ac:dyDescent="0.25">
      <c r="A15456" s="5"/>
      <c r="B15456" s="5"/>
      <c r="C15456" s="5"/>
      <c r="D15456" s="5"/>
      <c r="E15456" s="5"/>
      <c r="F15456" s="5"/>
      <c r="G15456" s="5"/>
      <c r="H15456" s="5"/>
      <c r="I15456" s="42"/>
      <c r="J15456" s="49"/>
      <c r="K15456" s="5"/>
      <c r="L15456" s="5"/>
      <c r="M15456" s="5"/>
    </row>
    <row r="15457" spans="1:13" s="3" customFormat="1" x14ac:dyDescent="0.25">
      <c r="A15457" s="5"/>
      <c r="B15457" s="5"/>
      <c r="C15457" s="5"/>
      <c r="D15457" s="5"/>
      <c r="E15457" s="5"/>
      <c r="F15457" s="5"/>
      <c r="G15457" s="5"/>
      <c r="H15457" s="5"/>
      <c r="I15457" s="42"/>
      <c r="J15457" s="49"/>
      <c r="K15457" s="5"/>
      <c r="L15457" s="5"/>
      <c r="M15457" s="5"/>
    </row>
    <row r="15458" spans="1:13" s="3" customFormat="1" x14ac:dyDescent="0.25">
      <c r="A15458" s="5"/>
      <c r="B15458" s="5"/>
      <c r="C15458" s="5"/>
      <c r="D15458" s="5"/>
      <c r="E15458" s="5"/>
      <c r="F15458" s="5"/>
      <c r="G15458" s="5"/>
      <c r="H15458" s="5"/>
      <c r="I15458" s="42"/>
      <c r="J15458" s="49"/>
      <c r="K15458" s="5"/>
      <c r="L15458" s="5"/>
      <c r="M15458" s="5"/>
    </row>
    <row r="15459" spans="1:13" s="3" customFormat="1" x14ac:dyDescent="0.25">
      <c r="A15459" s="5"/>
      <c r="B15459" s="5"/>
      <c r="C15459" s="5"/>
      <c r="D15459" s="5"/>
      <c r="E15459" s="5"/>
      <c r="F15459" s="5"/>
      <c r="G15459" s="5"/>
      <c r="H15459" s="5"/>
      <c r="I15459" s="42"/>
      <c r="J15459" s="49"/>
      <c r="K15459" s="5"/>
      <c r="L15459" s="5"/>
      <c r="M15459" s="5"/>
    </row>
    <row r="15460" spans="1:13" s="3" customFormat="1" x14ac:dyDescent="0.25">
      <c r="A15460" s="5"/>
      <c r="B15460" s="5"/>
      <c r="C15460" s="5"/>
      <c r="D15460" s="5"/>
      <c r="E15460" s="5"/>
      <c r="F15460" s="5"/>
      <c r="G15460" s="5"/>
      <c r="H15460" s="5"/>
      <c r="I15460" s="42"/>
      <c r="J15460" s="49"/>
      <c r="K15460" s="5"/>
      <c r="L15460" s="5"/>
      <c r="M15460" s="5"/>
    </row>
    <row r="15461" spans="1:13" s="3" customFormat="1" x14ac:dyDescent="0.25">
      <c r="A15461" s="5"/>
      <c r="B15461" s="5"/>
      <c r="C15461" s="5"/>
      <c r="D15461" s="5"/>
      <c r="E15461" s="5"/>
      <c r="F15461" s="5"/>
      <c r="G15461" s="5"/>
      <c r="H15461" s="5"/>
      <c r="I15461" s="42"/>
      <c r="J15461" s="49"/>
      <c r="K15461" s="5"/>
      <c r="L15461" s="5"/>
      <c r="M15461" s="5"/>
    </row>
    <row r="15462" spans="1:13" s="3" customFormat="1" x14ac:dyDescent="0.25">
      <c r="A15462" s="5"/>
      <c r="B15462" s="5"/>
      <c r="C15462" s="5"/>
      <c r="D15462" s="5"/>
      <c r="E15462" s="5"/>
      <c r="F15462" s="5"/>
      <c r="G15462" s="5"/>
      <c r="H15462" s="5"/>
      <c r="I15462" s="42"/>
      <c r="J15462" s="49"/>
      <c r="K15462" s="5"/>
      <c r="L15462" s="5"/>
      <c r="M15462" s="5"/>
    </row>
    <row r="15463" spans="1:13" s="3" customFormat="1" x14ac:dyDescent="0.25">
      <c r="A15463" s="5"/>
      <c r="B15463" s="5"/>
      <c r="C15463" s="5"/>
      <c r="D15463" s="5"/>
      <c r="E15463" s="5"/>
      <c r="F15463" s="5"/>
      <c r="G15463" s="5"/>
      <c r="H15463" s="5"/>
      <c r="I15463" s="42"/>
      <c r="J15463" s="49"/>
      <c r="K15463" s="5"/>
      <c r="L15463" s="5"/>
      <c r="M15463" s="5"/>
    </row>
    <row r="15464" spans="1:13" s="3" customFormat="1" x14ac:dyDescent="0.25">
      <c r="A15464" s="5"/>
      <c r="B15464" s="5"/>
      <c r="C15464" s="5"/>
      <c r="D15464" s="5"/>
      <c r="E15464" s="5"/>
      <c r="F15464" s="5"/>
      <c r="G15464" s="5"/>
      <c r="H15464" s="5"/>
      <c r="I15464" s="42"/>
      <c r="J15464" s="49"/>
      <c r="K15464" s="5"/>
      <c r="L15464" s="5"/>
      <c r="M15464" s="5"/>
    </row>
    <row r="15465" spans="1:13" s="3" customFormat="1" x14ac:dyDescent="0.25">
      <c r="A15465" s="5"/>
      <c r="B15465" s="5"/>
      <c r="C15465" s="5"/>
      <c r="D15465" s="5"/>
      <c r="E15465" s="5"/>
      <c r="F15465" s="5"/>
      <c r="G15465" s="5"/>
      <c r="H15465" s="5"/>
      <c r="I15465" s="42"/>
      <c r="J15465" s="49"/>
      <c r="K15465" s="5"/>
      <c r="L15465" s="5"/>
      <c r="M15465" s="5"/>
    </row>
    <row r="15466" spans="1:13" s="3" customFormat="1" x14ac:dyDescent="0.25">
      <c r="A15466" s="5"/>
      <c r="B15466" s="5"/>
      <c r="C15466" s="5"/>
      <c r="D15466" s="5"/>
      <c r="E15466" s="5"/>
      <c r="F15466" s="5"/>
      <c r="G15466" s="5"/>
      <c r="H15466" s="5"/>
      <c r="I15466" s="42"/>
      <c r="J15466" s="49"/>
      <c r="K15466" s="5"/>
      <c r="L15466" s="5"/>
      <c r="M15466" s="5"/>
    </row>
    <row r="15467" spans="1:13" s="3" customFormat="1" x14ac:dyDescent="0.25">
      <c r="A15467" s="5"/>
      <c r="B15467" s="5"/>
      <c r="C15467" s="5"/>
      <c r="D15467" s="5"/>
      <c r="E15467" s="5"/>
      <c r="F15467" s="5"/>
      <c r="G15467" s="5"/>
      <c r="H15467" s="5"/>
      <c r="I15467" s="42"/>
      <c r="J15467" s="49"/>
      <c r="K15467" s="5"/>
      <c r="L15467" s="5"/>
      <c r="M15467" s="5"/>
    </row>
    <row r="15468" spans="1:13" s="3" customFormat="1" x14ac:dyDescent="0.25">
      <c r="A15468" s="5"/>
      <c r="B15468" s="5"/>
      <c r="C15468" s="5"/>
      <c r="D15468" s="5"/>
      <c r="E15468" s="5"/>
      <c r="F15468" s="5"/>
      <c r="G15468" s="5"/>
      <c r="H15468" s="5"/>
      <c r="I15468" s="42"/>
      <c r="J15468" s="49"/>
      <c r="K15468" s="5"/>
      <c r="L15468" s="5"/>
      <c r="M15468" s="5"/>
    </row>
    <row r="15469" spans="1:13" s="3" customFormat="1" x14ac:dyDescent="0.25">
      <c r="A15469" s="5"/>
      <c r="B15469" s="5"/>
      <c r="C15469" s="5"/>
      <c r="D15469" s="5"/>
      <c r="E15469" s="5"/>
      <c r="F15469" s="5"/>
      <c r="G15469" s="5"/>
      <c r="H15469" s="5"/>
      <c r="I15469" s="42"/>
      <c r="J15469" s="49"/>
      <c r="K15469" s="5"/>
      <c r="L15469" s="5"/>
      <c r="M15469" s="5"/>
    </row>
    <row r="15470" spans="1:13" s="3" customFormat="1" x14ac:dyDescent="0.25">
      <c r="A15470" s="5"/>
      <c r="B15470" s="5"/>
      <c r="C15470" s="5"/>
      <c r="D15470" s="5"/>
      <c r="E15470" s="5"/>
      <c r="F15470" s="5"/>
      <c r="G15470" s="5"/>
      <c r="H15470" s="5"/>
      <c r="I15470" s="42"/>
      <c r="J15470" s="49"/>
      <c r="K15470" s="5"/>
      <c r="L15470" s="5"/>
      <c r="M15470" s="5"/>
    </row>
    <row r="15471" spans="1:13" s="3" customFormat="1" x14ac:dyDescent="0.25">
      <c r="A15471" s="5"/>
      <c r="B15471" s="5"/>
      <c r="C15471" s="5"/>
      <c r="D15471" s="5"/>
      <c r="E15471" s="5"/>
      <c r="F15471" s="5"/>
      <c r="G15471" s="5"/>
      <c r="H15471" s="5"/>
      <c r="I15471" s="42"/>
      <c r="J15471" s="49"/>
      <c r="K15471" s="5"/>
      <c r="L15471" s="5"/>
      <c r="M15471" s="5"/>
    </row>
    <row r="15472" spans="1:13" s="3" customFormat="1" x14ac:dyDescent="0.25">
      <c r="A15472" s="5"/>
      <c r="B15472" s="5"/>
      <c r="C15472" s="5"/>
      <c r="D15472" s="5"/>
      <c r="E15472" s="5"/>
      <c r="F15472" s="5"/>
      <c r="G15472" s="5"/>
      <c r="H15472" s="5"/>
      <c r="I15472" s="42"/>
      <c r="J15472" s="49"/>
      <c r="K15472" s="5"/>
      <c r="L15472" s="5"/>
      <c r="M15472" s="5"/>
    </row>
    <row r="15473" spans="1:13" s="3" customFormat="1" x14ac:dyDescent="0.25">
      <c r="A15473" s="5"/>
      <c r="B15473" s="5"/>
      <c r="C15473" s="5"/>
      <c r="D15473" s="5"/>
      <c r="E15473" s="5"/>
      <c r="F15473" s="5"/>
      <c r="G15473" s="5"/>
      <c r="H15473" s="5"/>
      <c r="I15473" s="42"/>
      <c r="J15473" s="49"/>
      <c r="K15473" s="5"/>
      <c r="L15473" s="5"/>
      <c r="M15473" s="5"/>
    </row>
    <row r="15474" spans="1:13" s="3" customFormat="1" x14ac:dyDescent="0.25">
      <c r="A15474" s="5"/>
      <c r="B15474" s="5"/>
      <c r="C15474" s="5"/>
      <c r="D15474" s="5"/>
      <c r="E15474" s="5"/>
      <c r="F15474" s="5"/>
      <c r="G15474" s="5"/>
      <c r="H15474" s="5"/>
      <c r="I15474" s="42"/>
      <c r="J15474" s="49"/>
      <c r="K15474" s="5"/>
      <c r="L15474" s="5"/>
      <c r="M15474" s="5"/>
    </row>
    <row r="15475" spans="1:13" s="3" customFormat="1" x14ac:dyDescent="0.25">
      <c r="A15475" s="5"/>
      <c r="B15475" s="5"/>
      <c r="C15475" s="5"/>
      <c r="D15475" s="5"/>
      <c r="E15475" s="5"/>
      <c r="F15475" s="5"/>
      <c r="G15475" s="5"/>
      <c r="H15475" s="5"/>
      <c r="I15475" s="42"/>
      <c r="J15475" s="49"/>
      <c r="K15475" s="5"/>
      <c r="L15475" s="5"/>
      <c r="M15475" s="5"/>
    </row>
    <row r="15476" spans="1:13" s="3" customFormat="1" x14ac:dyDescent="0.25">
      <c r="A15476" s="5"/>
      <c r="B15476" s="5"/>
      <c r="C15476" s="5"/>
      <c r="D15476" s="5"/>
      <c r="E15476" s="5"/>
      <c r="F15476" s="5"/>
      <c r="G15476" s="5"/>
      <c r="H15476" s="5"/>
      <c r="I15476" s="42"/>
      <c r="J15476" s="49"/>
      <c r="K15476" s="5"/>
      <c r="L15476" s="5"/>
      <c r="M15476" s="5"/>
    </row>
    <row r="15477" spans="1:13" s="3" customFormat="1" x14ac:dyDescent="0.25">
      <c r="A15477" s="5"/>
      <c r="B15477" s="5"/>
      <c r="C15477" s="5"/>
      <c r="D15477" s="5"/>
      <c r="E15477" s="5"/>
      <c r="F15477" s="5"/>
      <c r="G15477" s="5"/>
      <c r="H15477" s="5"/>
      <c r="I15477" s="42"/>
      <c r="J15477" s="49"/>
      <c r="K15477" s="5"/>
      <c r="L15477" s="5"/>
      <c r="M15477" s="5"/>
    </row>
    <row r="15478" spans="1:13" s="3" customFormat="1" x14ac:dyDescent="0.25">
      <c r="A15478" s="5"/>
      <c r="B15478" s="5"/>
      <c r="C15478" s="5"/>
      <c r="D15478" s="5"/>
      <c r="E15478" s="5"/>
      <c r="F15478" s="5"/>
      <c r="G15478" s="5"/>
      <c r="H15478" s="5"/>
      <c r="I15478" s="42"/>
      <c r="J15478" s="49"/>
      <c r="K15478" s="5"/>
      <c r="L15478" s="5"/>
      <c r="M15478" s="5"/>
    </row>
    <row r="15479" spans="1:13" s="3" customFormat="1" x14ac:dyDescent="0.25">
      <c r="A15479" s="5"/>
      <c r="B15479" s="5"/>
      <c r="C15479" s="5"/>
      <c r="D15479" s="5"/>
      <c r="E15479" s="5"/>
      <c r="F15479" s="5"/>
      <c r="G15479" s="5"/>
      <c r="H15479" s="5"/>
      <c r="I15479" s="42"/>
      <c r="J15479" s="49"/>
      <c r="K15479" s="5"/>
      <c r="L15479" s="5"/>
      <c r="M15479" s="5"/>
    </row>
    <row r="15480" spans="1:13" s="3" customFormat="1" x14ac:dyDescent="0.25">
      <c r="A15480" s="5"/>
      <c r="B15480" s="5"/>
      <c r="C15480" s="5"/>
      <c r="D15480" s="5"/>
      <c r="E15480" s="5"/>
      <c r="F15480" s="5"/>
      <c r="G15480" s="5"/>
      <c r="H15480" s="5"/>
      <c r="I15480" s="42"/>
      <c r="J15480" s="49"/>
      <c r="K15480" s="5"/>
      <c r="L15480" s="5"/>
      <c r="M15480" s="5"/>
    </row>
    <row r="15481" spans="1:13" s="3" customFormat="1" x14ac:dyDescent="0.25">
      <c r="A15481" s="5"/>
      <c r="B15481" s="5"/>
      <c r="C15481" s="5"/>
      <c r="D15481" s="5"/>
      <c r="E15481" s="5"/>
      <c r="F15481" s="5"/>
      <c r="G15481" s="5"/>
      <c r="H15481" s="5"/>
      <c r="I15481" s="42"/>
      <c r="J15481" s="49"/>
      <c r="K15481" s="5"/>
      <c r="L15481" s="5"/>
      <c r="M15481" s="5"/>
    </row>
    <row r="15482" spans="1:13" s="3" customFormat="1" x14ac:dyDescent="0.25">
      <c r="A15482" s="5"/>
      <c r="B15482" s="5"/>
      <c r="C15482" s="5"/>
      <c r="D15482" s="5"/>
      <c r="E15482" s="5"/>
      <c r="F15482" s="5"/>
      <c r="G15482" s="5"/>
      <c r="H15482" s="5"/>
      <c r="I15482" s="42"/>
      <c r="J15482" s="49"/>
      <c r="K15482" s="5"/>
      <c r="L15482" s="5"/>
      <c r="M15482" s="5"/>
    </row>
    <row r="15483" spans="1:13" s="3" customFormat="1" x14ac:dyDescent="0.25">
      <c r="A15483" s="5"/>
      <c r="B15483" s="5"/>
      <c r="C15483" s="5"/>
      <c r="D15483" s="5"/>
      <c r="E15483" s="5"/>
      <c r="F15483" s="5"/>
      <c r="G15483" s="5"/>
      <c r="H15483" s="5"/>
      <c r="I15483" s="42"/>
      <c r="J15483" s="49"/>
      <c r="K15483" s="5"/>
      <c r="L15483" s="5"/>
      <c r="M15483" s="5"/>
    </row>
    <row r="15484" spans="1:13" s="3" customFormat="1" x14ac:dyDescent="0.25">
      <c r="A15484" s="5"/>
      <c r="B15484" s="5"/>
      <c r="C15484" s="5"/>
      <c r="D15484" s="5"/>
      <c r="E15484" s="5"/>
      <c r="F15484" s="5"/>
      <c r="G15484" s="5"/>
      <c r="H15484" s="5"/>
      <c r="I15484" s="42"/>
      <c r="J15484" s="49"/>
      <c r="K15484" s="5"/>
      <c r="L15484" s="5"/>
      <c r="M15484" s="5"/>
    </row>
    <row r="15485" spans="1:13" s="3" customFormat="1" x14ac:dyDescent="0.25">
      <c r="A15485" s="5"/>
      <c r="B15485" s="5"/>
      <c r="C15485" s="5"/>
      <c r="D15485" s="5"/>
      <c r="E15485" s="5"/>
      <c r="F15485" s="5"/>
      <c r="G15485" s="5"/>
      <c r="H15485" s="5"/>
      <c r="I15485" s="43"/>
      <c r="J15485" s="49"/>
      <c r="K15485" s="5"/>
      <c r="L15485" s="5"/>
      <c r="M15485" s="5"/>
    </row>
    <row r="15486" spans="1:13" s="3" customFormat="1" x14ac:dyDescent="0.25">
      <c r="A15486" s="5"/>
      <c r="B15486" s="5"/>
      <c r="C15486" s="5"/>
      <c r="D15486" s="5"/>
      <c r="E15486" s="5"/>
      <c r="F15486" s="5"/>
      <c r="G15486" s="5"/>
      <c r="H15486" s="5"/>
      <c r="I15486" s="43"/>
      <c r="J15486" s="49"/>
      <c r="K15486" s="5"/>
      <c r="L15486" s="5"/>
      <c r="M15486" s="5"/>
    </row>
    <row r="15487" spans="1:13" s="3" customFormat="1" x14ac:dyDescent="0.25">
      <c r="A15487" s="5"/>
      <c r="B15487" s="5"/>
      <c r="C15487" s="5"/>
      <c r="D15487" s="5"/>
      <c r="E15487" s="5"/>
      <c r="F15487" s="5"/>
      <c r="G15487" s="5"/>
      <c r="H15487" s="5"/>
      <c r="I15487" s="43"/>
      <c r="J15487" s="49"/>
      <c r="K15487" s="5"/>
      <c r="L15487" s="5"/>
      <c r="M15487" s="5"/>
    </row>
    <row r="15488" spans="1:13" s="3" customFormat="1" x14ac:dyDescent="0.25">
      <c r="A15488" s="5"/>
      <c r="B15488" s="5"/>
      <c r="C15488" s="5"/>
      <c r="D15488" s="5"/>
      <c r="E15488" s="5"/>
      <c r="F15488" s="5"/>
      <c r="G15488" s="5"/>
      <c r="H15488" s="5"/>
      <c r="I15488" s="43"/>
      <c r="J15488" s="49"/>
      <c r="K15488" s="5"/>
      <c r="L15488" s="5"/>
      <c r="M15488" s="5"/>
    </row>
    <row r="15489" spans="1:13" s="3" customFormat="1" x14ac:dyDescent="0.25">
      <c r="A15489" s="5"/>
      <c r="B15489" s="5"/>
      <c r="C15489" s="5"/>
      <c r="D15489" s="5"/>
      <c r="E15489" s="5"/>
      <c r="F15489" s="5"/>
      <c r="G15489" s="5"/>
      <c r="H15489" s="5"/>
      <c r="I15489" s="43"/>
      <c r="J15489" s="49"/>
      <c r="K15489" s="5"/>
      <c r="L15489" s="5"/>
      <c r="M15489" s="5"/>
    </row>
    <row r="15490" spans="1:13" s="3" customFormat="1" x14ac:dyDescent="0.25">
      <c r="A15490" s="5"/>
      <c r="B15490" s="5"/>
      <c r="C15490" s="5"/>
      <c r="D15490" s="5"/>
      <c r="E15490" s="5"/>
      <c r="F15490" s="5"/>
      <c r="G15490" s="5"/>
      <c r="H15490" s="5"/>
      <c r="I15490" s="43"/>
      <c r="J15490" s="49"/>
      <c r="K15490" s="5"/>
      <c r="L15490" s="5"/>
      <c r="M15490" s="5"/>
    </row>
    <row r="15491" spans="1:13" s="3" customFormat="1" x14ac:dyDescent="0.25">
      <c r="A15491" s="5"/>
      <c r="B15491" s="5"/>
      <c r="C15491" s="5"/>
      <c r="D15491" s="5"/>
      <c r="E15491" s="5"/>
      <c r="F15491" s="5"/>
      <c r="G15491" s="5"/>
      <c r="H15491" s="5"/>
      <c r="I15491" s="43"/>
      <c r="J15491" s="49"/>
      <c r="K15491" s="5"/>
      <c r="L15491" s="5"/>
      <c r="M15491" s="5"/>
    </row>
    <row r="15492" spans="1:13" s="3" customFormat="1" x14ac:dyDescent="0.25">
      <c r="A15492" s="5"/>
      <c r="B15492" s="5"/>
      <c r="C15492" s="5"/>
      <c r="D15492" s="5"/>
      <c r="E15492" s="5"/>
      <c r="F15492" s="5"/>
      <c r="G15492" s="5"/>
      <c r="H15492" s="5"/>
      <c r="I15492" s="43"/>
      <c r="J15492" s="49"/>
      <c r="K15492" s="5"/>
      <c r="L15492" s="5"/>
      <c r="M15492" s="5"/>
    </row>
    <row r="15493" spans="1:13" s="3" customFormat="1" x14ac:dyDescent="0.25">
      <c r="A15493" s="5"/>
      <c r="B15493" s="5"/>
      <c r="C15493" s="5"/>
      <c r="D15493" s="5"/>
      <c r="E15493" s="5"/>
      <c r="F15493" s="5"/>
      <c r="G15493" s="5"/>
      <c r="H15493" s="5"/>
      <c r="I15493" s="43"/>
      <c r="J15493" s="49"/>
      <c r="K15493" s="5"/>
      <c r="L15493" s="5"/>
      <c r="M15493" s="5"/>
    </row>
    <row r="15494" spans="1:13" s="3" customFormat="1" x14ac:dyDescent="0.25">
      <c r="A15494" s="5"/>
      <c r="B15494" s="5"/>
      <c r="C15494" s="5"/>
      <c r="D15494" s="5"/>
      <c r="E15494" s="5"/>
      <c r="F15494" s="5"/>
      <c r="G15494" s="5"/>
      <c r="H15494" s="5"/>
      <c r="I15494" s="43"/>
      <c r="J15494" s="49"/>
      <c r="K15494" s="5"/>
      <c r="L15494" s="5"/>
      <c r="M15494" s="5"/>
    </row>
    <row r="15495" spans="1:13" s="3" customFormat="1" x14ac:dyDescent="0.25">
      <c r="A15495" s="5"/>
      <c r="B15495" s="5"/>
      <c r="C15495" s="5"/>
      <c r="D15495" s="5"/>
      <c r="E15495" s="5"/>
      <c r="F15495" s="5"/>
      <c r="G15495" s="5"/>
      <c r="H15495" s="5"/>
      <c r="I15495" s="43"/>
      <c r="J15495" s="49"/>
      <c r="K15495" s="5"/>
      <c r="L15495" s="5"/>
      <c r="M15495" s="5"/>
    </row>
    <row r="15496" spans="1:13" s="3" customFormat="1" x14ac:dyDescent="0.25">
      <c r="A15496" s="5"/>
      <c r="B15496" s="5"/>
      <c r="C15496" s="5"/>
      <c r="D15496" s="5"/>
      <c r="E15496" s="5"/>
      <c r="F15496" s="5"/>
      <c r="G15496" s="5"/>
      <c r="H15496" s="5"/>
      <c r="I15496" s="43"/>
      <c r="J15496" s="49"/>
      <c r="K15496" s="5"/>
      <c r="L15496" s="5"/>
      <c r="M15496" s="5"/>
    </row>
    <row r="15497" spans="1:13" s="3" customFormat="1" x14ac:dyDescent="0.25">
      <c r="A15497" s="5"/>
      <c r="B15497" s="5"/>
      <c r="C15497" s="5"/>
      <c r="D15497" s="5"/>
      <c r="E15497" s="5"/>
      <c r="F15497" s="5"/>
      <c r="G15497" s="5"/>
      <c r="H15497" s="5"/>
      <c r="I15497" s="43"/>
      <c r="J15497" s="49"/>
      <c r="K15497" s="5"/>
      <c r="L15497" s="5"/>
      <c r="M15497" s="5"/>
    </row>
    <row r="15498" spans="1:13" s="3" customFormat="1" x14ac:dyDescent="0.25">
      <c r="A15498" s="5"/>
      <c r="B15498" s="5"/>
      <c r="C15498" s="5"/>
      <c r="D15498" s="5"/>
      <c r="E15498" s="5"/>
      <c r="F15498" s="5"/>
      <c r="G15498" s="5"/>
      <c r="H15498" s="5"/>
      <c r="I15498" s="43"/>
      <c r="J15498" s="49"/>
      <c r="K15498" s="5"/>
      <c r="L15498" s="5"/>
      <c r="M15498" s="5"/>
    </row>
    <row r="15499" spans="1:13" s="3" customFormat="1" x14ac:dyDescent="0.25">
      <c r="A15499" s="5"/>
      <c r="B15499" s="5"/>
      <c r="C15499" s="5"/>
      <c r="D15499" s="5"/>
      <c r="E15499" s="5"/>
      <c r="F15499" s="5"/>
      <c r="G15499" s="5"/>
      <c r="H15499" s="5"/>
      <c r="I15499" s="43"/>
      <c r="J15499" s="49"/>
      <c r="K15499" s="5"/>
      <c r="L15499" s="5"/>
      <c r="M15499" s="5"/>
    </row>
    <row r="15500" spans="1:13" s="3" customFormat="1" x14ac:dyDescent="0.25">
      <c r="A15500" s="5"/>
      <c r="B15500" s="5"/>
      <c r="C15500" s="5"/>
      <c r="D15500" s="5"/>
      <c r="E15500" s="5"/>
      <c r="F15500" s="5"/>
      <c r="G15500" s="5"/>
      <c r="H15500" s="5"/>
      <c r="I15500" s="43"/>
      <c r="J15500" s="49"/>
      <c r="K15500" s="5"/>
      <c r="L15500" s="5"/>
      <c r="M15500" s="5"/>
    </row>
    <row r="15501" spans="1:13" s="3" customFormat="1" x14ac:dyDescent="0.25">
      <c r="A15501" s="5"/>
      <c r="B15501" s="5"/>
      <c r="C15501" s="5"/>
      <c r="D15501" s="5"/>
      <c r="E15501" s="5"/>
      <c r="F15501" s="5"/>
      <c r="G15501" s="5"/>
      <c r="H15501" s="5"/>
      <c r="I15501" s="43"/>
      <c r="J15501" s="49"/>
      <c r="K15501" s="5"/>
      <c r="L15501" s="5"/>
      <c r="M15501" s="5"/>
    </row>
    <row r="15502" spans="1:13" s="3" customFormat="1" x14ac:dyDescent="0.25">
      <c r="A15502" s="5"/>
      <c r="B15502" s="5"/>
      <c r="C15502" s="5"/>
      <c r="D15502" s="5"/>
      <c r="E15502" s="5"/>
      <c r="F15502" s="5"/>
      <c r="G15502" s="5"/>
      <c r="H15502" s="5"/>
      <c r="I15502" s="43"/>
      <c r="J15502" s="49"/>
      <c r="K15502" s="5"/>
      <c r="L15502" s="5"/>
      <c r="M15502" s="5"/>
    </row>
    <row r="15503" spans="1:13" s="3" customFormat="1" x14ac:dyDescent="0.25">
      <c r="A15503" s="5"/>
      <c r="B15503" s="5"/>
      <c r="C15503" s="5"/>
      <c r="D15503" s="5"/>
      <c r="E15503" s="5"/>
      <c r="F15503" s="5"/>
      <c r="G15503" s="5"/>
      <c r="H15503" s="5"/>
      <c r="I15503" s="43"/>
      <c r="J15503" s="49"/>
      <c r="K15503" s="5"/>
      <c r="L15503" s="5"/>
      <c r="M15503" s="5"/>
    </row>
    <row r="15504" spans="1:13" s="3" customFormat="1" x14ac:dyDescent="0.25">
      <c r="A15504" s="5"/>
      <c r="B15504" s="5"/>
      <c r="C15504" s="5"/>
      <c r="D15504" s="5"/>
      <c r="E15504" s="5"/>
      <c r="F15504" s="5"/>
      <c r="G15504" s="5"/>
      <c r="H15504" s="5"/>
      <c r="I15504" s="43"/>
      <c r="J15504" s="49"/>
      <c r="K15504" s="5"/>
      <c r="L15504" s="5"/>
      <c r="M15504" s="5"/>
    </row>
    <row r="15505" spans="1:13" s="3" customFormat="1" x14ac:dyDescent="0.25">
      <c r="A15505" s="5"/>
      <c r="B15505" s="5"/>
      <c r="C15505" s="5"/>
      <c r="D15505" s="5"/>
      <c r="E15505" s="5"/>
      <c r="F15505" s="5"/>
      <c r="G15505" s="5"/>
      <c r="H15505" s="5"/>
      <c r="I15505" s="43"/>
      <c r="J15505" s="49"/>
      <c r="K15505" s="5"/>
      <c r="L15505" s="5"/>
      <c r="M15505" s="5"/>
    </row>
    <row r="15506" spans="1:13" s="3" customFormat="1" x14ac:dyDescent="0.25">
      <c r="A15506" s="5"/>
      <c r="B15506" s="5"/>
      <c r="C15506" s="5"/>
      <c r="D15506" s="5"/>
      <c r="E15506" s="5"/>
      <c r="F15506" s="5"/>
      <c r="G15506" s="5"/>
      <c r="H15506" s="5"/>
      <c r="I15506" s="43"/>
      <c r="J15506" s="49"/>
      <c r="K15506" s="5"/>
      <c r="L15506" s="5"/>
      <c r="M15506" s="5"/>
    </row>
    <row r="15507" spans="1:13" s="3" customFormat="1" x14ac:dyDescent="0.25">
      <c r="A15507" s="5"/>
      <c r="B15507" s="5"/>
      <c r="C15507" s="5"/>
      <c r="D15507" s="5"/>
      <c r="E15507" s="5"/>
      <c r="F15507" s="5"/>
      <c r="G15507" s="5"/>
      <c r="H15507" s="5"/>
      <c r="I15507" s="43"/>
      <c r="J15507" s="49"/>
      <c r="K15507" s="5"/>
      <c r="L15507" s="5"/>
      <c r="M15507" s="5"/>
    </row>
    <row r="15508" spans="1:13" s="3" customFormat="1" x14ac:dyDescent="0.25">
      <c r="A15508" s="5"/>
      <c r="B15508" s="5"/>
      <c r="C15508" s="5"/>
      <c r="D15508" s="5"/>
      <c r="E15508" s="5"/>
      <c r="F15508" s="5"/>
      <c r="G15508" s="5"/>
      <c r="H15508" s="5"/>
      <c r="I15508" s="43"/>
      <c r="J15508" s="49"/>
      <c r="K15508" s="5"/>
      <c r="L15508" s="5"/>
      <c r="M15508" s="5"/>
    </row>
    <row r="15509" spans="1:13" s="3" customFormat="1" x14ac:dyDescent="0.25">
      <c r="A15509" s="5"/>
      <c r="B15509" s="5"/>
      <c r="C15509" s="5"/>
      <c r="D15509" s="5"/>
      <c r="E15509" s="5"/>
      <c r="F15509" s="5"/>
      <c r="G15509" s="5"/>
      <c r="H15509" s="5"/>
      <c r="I15509" s="43"/>
      <c r="J15509" s="49"/>
      <c r="K15509" s="5"/>
      <c r="L15509" s="5"/>
      <c r="M15509" s="5"/>
    </row>
    <row r="15510" spans="1:13" s="3" customFormat="1" x14ac:dyDescent="0.25">
      <c r="A15510" s="5"/>
      <c r="B15510" s="5"/>
      <c r="C15510" s="5"/>
      <c r="D15510" s="5"/>
      <c r="E15510" s="5"/>
      <c r="F15510" s="5"/>
      <c r="G15510" s="5"/>
      <c r="H15510" s="5"/>
      <c r="I15510" s="43"/>
      <c r="J15510" s="49"/>
      <c r="K15510" s="5"/>
      <c r="L15510" s="5"/>
      <c r="M15510" s="5"/>
    </row>
    <row r="15511" spans="1:13" s="3" customFormat="1" x14ac:dyDescent="0.25">
      <c r="A15511" s="5"/>
      <c r="B15511" s="5"/>
      <c r="C15511" s="5"/>
      <c r="D15511" s="5"/>
      <c r="E15511" s="5"/>
      <c r="F15511" s="5"/>
      <c r="G15511" s="5"/>
      <c r="H15511" s="5"/>
      <c r="I15511" s="43"/>
      <c r="J15511" s="49"/>
      <c r="K15511" s="5"/>
      <c r="L15511" s="5"/>
      <c r="M15511" s="5"/>
    </row>
    <row r="15512" spans="1:13" s="3" customFormat="1" x14ac:dyDescent="0.25">
      <c r="A15512" s="5"/>
      <c r="B15512" s="5"/>
      <c r="C15512" s="5"/>
      <c r="D15512" s="5"/>
      <c r="E15512" s="5"/>
      <c r="F15512" s="5"/>
      <c r="G15512" s="5"/>
      <c r="H15512" s="5"/>
      <c r="I15512" s="43"/>
      <c r="J15512" s="49"/>
      <c r="K15512" s="5"/>
      <c r="L15512" s="5"/>
      <c r="M15512" s="5"/>
    </row>
    <row r="15513" spans="1:13" s="3" customFormat="1" x14ac:dyDescent="0.25">
      <c r="A15513" s="5"/>
      <c r="B15513" s="5"/>
      <c r="C15513" s="5"/>
      <c r="D15513" s="5"/>
      <c r="E15513" s="5"/>
      <c r="F15513" s="5"/>
      <c r="G15513" s="5"/>
      <c r="H15513" s="5"/>
      <c r="I15513" s="43"/>
      <c r="J15513" s="49"/>
      <c r="K15513" s="5"/>
      <c r="L15513" s="5"/>
      <c r="M15513" s="5"/>
    </row>
    <row r="15514" spans="1:13" s="3" customFormat="1" x14ac:dyDescent="0.25">
      <c r="A15514" s="5"/>
      <c r="B15514" s="5"/>
      <c r="C15514" s="5"/>
      <c r="D15514" s="5"/>
      <c r="E15514" s="5"/>
      <c r="F15514" s="5"/>
      <c r="G15514" s="5"/>
      <c r="H15514" s="5"/>
      <c r="I15514" s="43"/>
      <c r="J15514" s="49"/>
      <c r="K15514" s="5"/>
      <c r="L15514" s="5"/>
      <c r="M15514" s="5"/>
    </row>
    <row r="15515" spans="1:13" s="3" customFormat="1" x14ac:dyDescent="0.25">
      <c r="A15515" s="5"/>
      <c r="B15515" s="5"/>
      <c r="C15515" s="5"/>
      <c r="D15515" s="5"/>
      <c r="E15515" s="5"/>
      <c r="F15515" s="5"/>
      <c r="G15515" s="5"/>
      <c r="H15515" s="5"/>
      <c r="I15515" s="43"/>
      <c r="J15515" s="49"/>
      <c r="K15515" s="5"/>
      <c r="L15515" s="5"/>
      <c r="M15515" s="5"/>
    </row>
    <row r="15516" spans="1:13" s="3" customFormat="1" x14ac:dyDescent="0.25">
      <c r="A15516" s="5"/>
      <c r="B15516" s="5"/>
      <c r="C15516" s="5"/>
      <c r="D15516" s="5"/>
      <c r="E15516" s="5"/>
      <c r="F15516" s="5"/>
      <c r="G15516" s="5"/>
      <c r="H15516" s="5"/>
      <c r="I15516" s="43"/>
      <c r="J15516" s="49"/>
      <c r="K15516" s="5"/>
      <c r="L15516" s="5"/>
      <c r="M15516" s="5"/>
    </row>
    <row r="15517" spans="1:13" s="3" customFormat="1" x14ac:dyDescent="0.25">
      <c r="A15517" s="5"/>
      <c r="B15517" s="5"/>
      <c r="C15517" s="5"/>
      <c r="D15517" s="5"/>
      <c r="E15517" s="5"/>
      <c r="F15517" s="5"/>
      <c r="G15517" s="5"/>
      <c r="H15517" s="5"/>
      <c r="I15517" s="43"/>
      <c r="J15517" s="49"/>
      <c r="K15517" s="5"/>
      <c r="L15517" s="5"/>
      <c r="M15517" s="5"/>
    </row>
    <row r="15518" spans="1:13" s="3" customFormat="1" x14ac:dyDescent="0.25">
      <c r="A15518" s="5"/>
      <c r="B15518" s="5"/>
      <c r="C15518" s="5"/>
      <c r="D15518" s="5"/>
      <c r="E15518" s="5"/>
      <c r="F15518" s="5"/>
      <c r="G15518" s="5"/>
      <c r="H15518" s="5"/>
      <c r="I15518" s="43"/>
      <c r="J15518" s="49"/>
      <c r="K15518" s="5"/>
      <c r="L15518" s="5"/>
      <c r="M15518" s="5"/>
    </row>
    <row r="15519" spans="1:13" s="3" customFormat="1" x14ac:dyDescent="0.25">
      <c r="A15519" s="5"/>
      <c r="B15519" s="5"/>
      <c r="C15519" s="5"/>
      <c r="D15519" s="5"/>
      <c r="E15519" s="5"/>
      <c r="F15519" s="5"/>
      <c r="G15519" s="5"/>
      <c r="H15519" s="5"/>
      <c r="I15519" s="43"/>
      <c r="J15519" s="49"/>
      <c r="K15519" s="5"/>
      <c r="L15519" s="5"/>
      <c r="M15519" s="5"/>
    </row>
    <row r="15520" spans="1:13" s="3" customFormat="1" x14ac:dyDescent="0.25">
      <c r="A15520" s="5"/>
      <c r="B15520" s="5"/>
      <c r="C15520" s="5"/>
      <c r="D15520" s="5"/>
      <c r="E15520" s="5"/>
      <c r="F15520" s="5"/>
      <c r="G15520" s="5"/>
      <c r="H15520" s="5"/>
      <c r="I15520" s="43"/>
      <c r="J15520" s="49"/>
      <c r="K15520" s="5"/>
      <c r="L15520" s="5"/>
      <c r="M15520" s="5"/>
    </row>
    <row r="15521" spans="1:13" s="3" customFormat="1" x14ac:dyDescent="0.25">
      <c r="A15521" s="5"/>
      <c r="B15521" s="5"/>
      <c r="C15521" s="5"/>
      <c r="D15521" s="5"/>
      <c r="E15521" s="5"/>
      <c r="F15521" s="5"/>
      <c r="G15521" s="5"/>
      <c r="H15521" s="5"/>
      <c r="I15521" s="43"/>
      <c r="J15521" s="49"/>
      <c r="K15521" s="5"/>
      <c r="L15521" s="5"/>
      <c r="M15521" s="5"/>
    </row>
    <row r="15522" spans="1:13" s="3" customFormat="1" x14ac:dyDescent="0.25">
      <c r="A15522" s="5"/>
      <c r="B15522" s="5"/>
      <c r="C15522" s="5"/>
      <c r="D15522" s="5"/>
      <c r="E15522" s="5"/>
      <c r="F15522" s="5"/>
      <c r="G15522" s="5"/>
      <c r="H15522" s="5"/>
      <c r="I15522" s="43"/>
      <c r="J15522" s="49"/>
      <c r="K15522" s="5"/>
      <c r="L15522" s="5"/>
      <c r="M15522" s="5"/>
    </row>
    <row r="15523" spans="1:13" s="3" customFormat="1" x14ac:dyDescent="0.25">
      <c r="A15523" s="5"/>
      <c r="B15523" s="5"/>
      <c r="C15523" s="5"/>
      <c r="D15523" s="5"/>
      <c r="E15523" s="5"/>
      <c r="F15523" s="5"/>
      <c r="G15523" s="5"/>
      <c r="H15523" s="5"/>
      <c r="I15523" s="43"/>
      <c r="J15523" s="49"/>
      <c r="K15523" s="5"/>
      <c r="L15523" s="5"/>
      <c r="M15523" s="5"/>
    </row>
    <row r="15524" spans="1:13" s="3" customFormat="1" x14ac:dyDescent="0.25">
      <c r="A15524" s="5"/>
      <c r="B15524" s="5"/>
      <c r="C15524" s="5"/>
      <c r="D15524" s="5"/>
      <c r="E15524" s="5"/>
      <c r="F15524" s="5"/>
      <c r="G15524" s="5"/>
      <c r="H15524" s="5"/>
      <c r="I15524" s="43"/>
      <c r="J15524" s="49"/>
      <c r="K15524" s="5"/>
      <c r="L15524" s="5"/>
      <c r="M15524" s="5"/>
    </row>
    <row r="15525" spans="1:13" s="3" customFormat="1" x14ac:dyDescent="0.25">
      <c r="A15525" s="5"/>
      <c r="B15525" s="5"/>
      <c r="C15525" s="5"/>
      <c r="D15525" s="5"/>
      <c r="E15525" s="5"/>
      <c r="F15525" s="5"/>
      <c r="G15525" s="5"/>
      <c r="H15525" s="5"/>
      <c r="I15525" s="43"/>
      <c r="J15525" s="49"/>
      <c r="K15525" s="5"/>
      <c r="L15525" s="5"/>
      <c r="M15525" s="5"/>
    </row>
    <row r="15526" spans="1:13" s="3" customFormat="1" x14ac:dyDescent="0.25">
      <c r="A15526" s="5"/>
      <c r="B15526" s="5"/>
      <c r="C15526" s="5"/>
      <c r="D15526" s="5"/>
      <c r="E15526" s="5"/>
      <c r="F15526" s="5"/>
      <c r="G15526" s="5"/>
      <c r="H15526" s="5"/>
      <c r="I15526" s="43"/>
      <c r="J15526" s="49"/>
      <c r="K15526" s="5"/>
      <c r="L15526" s="5"/>
      <c r="M15526" s="5"/>
    </row>
    <row r="15527" spans="1:13" s="3" customFormat="1" x14ac:dyDescent="0.25">
      <c r="A15527" s="5"/>
      <c r="B15527" s="5"/>
      <c r="C15527" s="5"/>
      <c r="D15527" s="5"/>
      <c r="E15527" s="5"/>
      <c r="F15527" s="5"/>
      <c r="G15527" s="5"/>
      <c r="H15527" s="5"/>
      <c r="I15527" s="43"/>
      <c r="J15527" s="49"/>
      <c r="K15527" s="5"/>
      <c r="L15527" s="5"/>
      <c r="M15527" s="5"/>
    </row>
    <row r="15528" spans="1:13" s="3" customFormat="1" x14ac:dyDescent="0.25">
      <c r="A15528" s="5"/>
      <c r="B15528" s="5"/>
      <c r="C15528" s="5"/>
      <c r="D15528" s="5"/>
      <c r="E15528" s="5"/>
      <c r="F15528" s="5"/>
      <c r="G15528" s="5"/>
      <c r="H15528" s="5"/>
      <c r="I15528" s="43"/>
      <c r="J15528" s="49"/>
      <c r="K15528" s="5"/>
      <c r="L15528" s="5"/>
      <c r="M15528" s="5"/>
    </row>
    <row r="15529" spans="1:13" s="3" customFormat="1" x14ac:dyDescent="0.25">
      <c r="A15529" s="5"/>
      <c r="B15529" s="5"/>
      <c r="C15529" s="5"/>
      <c r="D15529" s="5"/>
      <c r="E15529" s="5"/>
      <c r="F15529" s="5"/>
      <c r="G15529" s="5"/>
      <c r="H15529" s="5"/>
      <c r="I15529" s="43"/>
      <c r="J15529" s="49"/>
      <c r="K15529" s="5"/>
      <c r="L15529" s="5"/>
      <c r="M15529" s="5"/>
    </row>
    <row r="15530" spans="1:13" s="3" customFormat="1" x14ac:dyDescent="0.25">
      <c r="A15530" s="5"/>
      <c r="B15530" s="5"/>
      <c r="C15530" s="5"/>
      <c r="D15530" s="5"/>
      <c r="E15530" s="5"/>
      <c r="F15530" s="5"/>
      <c r="G15530" s="5"/>
      <c r="H15530" s="5"/>
      <c r="I15530" s="43"/>
      <c r="J15530" s="49"/>
      <c r="K15530" s="5"/>
      <c r="L15530" s="5"/>
      <c r="M15530" s="5"/>
    </row>
    <row r="15531" spans="1:13" s="3" customFormat="1" x14ac:dyDescent="0.25">
      <c r="A15531" s="5"/>
      <c r="B15531" s="5"/>
      <c r="C15531" s="5"/>
      <c r="D15531" s="5"/>
      <c r="E15531" s="5"/>
      <c r="F15531" s="5"/>
      <c r="G15531" s="5"/>
      <c r="H15531" s="5"/>
      <c r="I15531" s="43"/>
      <c r="J15531" s="49"/>
      <c r="K15531" s="5"/>
      <c r="L15531" s="5"/>
      <c r="M15531" s="5"/>
    </row>
    <row r="15532" spans="1:13" s="3" customFormat="1" x14ac:dyDescent="0.25">
      <c r="A15532" s="5"/>
      <c r="B15532" s="5"/>
      <c r="C15532" s="5"/>
      <c r="D15532" s="5"/>
      <c r="E15532" s="5"/>
      <c r="F15532" s="5"/>
      <c r="G15532" s="5"/>
      <c r="H15532" s="5"/>
      <c r="I15532" s="43"/>
      <c r="J15532" s="49"/>
      <c r="K15532" s="5"/>
      <c r="L15532" s="5"/>
      <c r="M15532" s="5"/>
    </row>
    <row r="15533" spans="1:13" s="3" customFormat="1" x14ac:dyDescent="0.25">
      <c r="A15533" s="5"/>
      <c r="B15533" s="5"/>
      <c r="C15533" s="5"/>
      <c r="D15533" s="5"/>
      <c r="E15533" s="5"/>
      <c r="F15533" s="5"/>
      <c r="G15533" s="5"/>
      <c r="H15533" s="5"/>
      <c r="I15533" s="43"/>
      <c r="J15533" s="49"/>
      <c r="K15533" s="5"/>
      <c r="L15533" s="5"/>
      <c r="M15533" s="5"/>
    </row>
    <row r="15534" spans="1:13" s="3" customFormat="1" x14ac:dyDescent="0.25">
      <c r="A15534" s="5"/>
      <c r="B15534" s="5"/>
      <c r="C15534" s="5"/>
      <c r="D15534" s="5"/>
      <c r="E15534" s="5"/>
      <c r="F15534" s="5"/>
      <c r="G15534" s="5"/>
      <c r="H15534" s="5"/>
      <c r="I15534" s="43"/>
      <c r="J15534" s="49"/>
      <c r="K15534" s="5"/>
      <c r="L15534" s="5"/>
      <c r="M15534" s="5"/>
    </row>
    <row r="15535" spans="1:13" s="3" customFormat="1" x14ac:dyDescent="0.25">
      <c r="A15535" s="5"/>
      <c r="B15535" s="5"/>
      <c r="C15535" s="5"/>
      <c r="D15535" s="5"/>
      <c r="E15535" s="5"/>
      <c r="F15535" s="5"/>
      <c r="G15535" s="5"/>
      <c r="H15535" s="5"/>
      <c r="I15535" s="43"/>
      <c r="J15535" s="49"/>
      <c r="K15535" s="5"/>
      <c r="L15535" s="5"/>
      <c r="M15535" s="5"/>
    </row>
    <row r="15536" spans="1:13" s="3" customFormat="1" x14ac:dyDescent="0.25">
      <c r="A15536" s="5"/>
      <c r="B15536" s="5"/>
      <c r="C15536" s="5"/>
      <c r="D15536" s="5"/>
      <c r="E15536" s="5"/>
      <c r="F15536" s="5"/>
      <c r="G15536" s="5"/>
      <c r="H15536" s="5"/>
      <c r="I15536" s="43"/>
      <c r="J15536" s="49"/>
      <c r="K15536" s="5"/>
      <c r="L15536" s="5"/>
      <c r="M15536" s="5"/>
    </row>
    <row r="15537" spans="1:13" s="3" customFormat="1" x14ac:dyDescent="0.25">
      <c r="A15537" s="5"/>
      <c r="B15537" s="5"/>
      <c r="C15537" s="5"/>
      <c r="D15537" s="5"/>
      <c r="E15537" s="5"/>
      <c r="F15537" s="5"/>
      <c r="G15537" s="5"/>
      <c r="H15537" s="5"/>
      <c r="I15537" s="43"/>
      <c r="J15537" s="49"/>
      <c r="K15537" s="5"/>
      <c r="L15537" s="5"/>
      <c r="M15537" s="5"/>
    </row>
    <row r="15538" spans="1:13" s="3" customFormat="1" x14ac:dyDescent="0.25">
      <c r="A15538" s="5"/>
      <c r="B15538" s="5"/>
      <c r="C15538" s="5"/>
      <c r="D15538" s="5"/>
      <c r="E15538" s="5"/>
      <c r="F15538" s="5"/>
      <c r="G15538" s="5"/>
      <c r="H15538" s="5"/>
      <c r="I15538" s="43"/>
      <c r="J15538" s="49"/>
      <c r="K15538" s="5"/>
      <c r="L15538" s="5"/>
      <c r="M15538" s="5"/>
    </row>
    <row r="15539" spans="1:13" s="3" customFormat="1" x14ac:dyDescent="0.25">
      <c r="A15539" s="5"/>
      <c r="B15539" s="5"/>
      <c r="C15539" s="5"/>
      <c r="D15539" s="5"/>
      <c r="E15539" s="5"/>
      <c r="F15539" s="5"/>
      <c r="G15539" s="5"/>
      <c r="H15539" s="5"/>
      <c r="I15539" s="43"/>
      <c r="J15539" s="49"/>
      <c r="K15539" s="5"/>
      <c r="L15539" s="5"/>
      <c r="M15539" s="5"/>
    </row>
    <row r="15540" spans="1:13" s="3" customFormat="1" x14ac:dyDescent="0.25">
      <c r="A15540" s="5"/>
      <c r="B15540" s="5"/>
      <c r="C15540" s="5"/>
      <c r="D15540" s="5"/>
      <c r="E15540" s="5"/>
      <c r="F15540" s="5"/>
      <c r="G15540" s="5"/>
      <c r="H15540" s="5"/>
      <c r="I15540" s="43"/>
      <c r="J15540" s="49"/>
      <c r="K15540" s="5"/>
      <c r="L15540" s="5"/>
      <c r="M15540" s="5"/>
    </row>
    <row r="15541" spans="1:13" s="3" customFormat="1" x14ac:dyDescent="0.25">
      <c r="A15541" s="5"/>
      <c r="B15541" s="5"/>
      <c r="C15541" s="5"/>
      <c r="D15541" s="5"/>
      <c r="E15541" s="5"/>
      <c r="F15541" s="5"/>
      <c r="G15541" s="5"/>
      <c r="H15541" s="5"/>
      <c r="I15541" s="43"/>
      <c r="J15541" s="49"/>
      <c r="K15541" s="5"/>
      <c r="L15541" s="5"/>
      <c r="M15541" s="5"/>
    </row>
    <row r="15542" spans="1:13" s="3" customFormat="1" x14ac:dyDescent="0.25">
      <c r="A15542" s="5"/>
      <c r="B15542" s="5"/>
      <c r="C15542" s="5"/>
      <c r="D15542" s="5"/>
      <c r="E15542" s="5"/>
      <c r="F15542" s="5"/>
      <c r="G15542" s="5"/>
      <c r="H15542" s="5"/>
      <c r="I15542" s="43"/>
      <c r="J15542" s="49"/>
      <c r="K15542" s="5"/>
      <c r="L15542" s="5"/>
      <c r="M15542" s="5"/>
    </row>
    <row r="15543" spans="1:13" s="3" customFormat="1" x14ac:dyDescent="0.25">
      <c r="A15543" s="5"/>
      <c r="B15543" s="5"/>
      <c r="C15543" s="5"/>
      <c r="D15543" s="5"/>
      <c r="E15543" s="5"/>
      <c r="F15543" s="5"/>
      <c r="G15543" s="5"/>
      <c r="H15543" s="5"/>
      <c r="I15543" s="43"/>
      <c r="J15543" s="49"/>
      <c r="K15543" s="5"/>
      <c r="L15543" s="5"/>
      <c r="M15543" s="5"/>
    </row>
    <row r="15544" spans="1:13" s="3" customFormat="1" x14ac:dyDescent="0.25">
      <c r="A15544" s="5"/>
      <c r="B15544" s="5"/>
      <c r="C15544" s="5"/>
      <c r="D15544" s="5"/>
      <c r="E15544" s="5"/>
      <c r="F15544" s="5"/>
      <c r="G15544" s="5"/>
      <c r="H15544" s="5"/>
      <c r="I15544" s="43"/>
      <c r="J15544" s="49"/>
      <c r="K15544" s="5"/>
      <c r="L15544" s="5"/>
      <c r="M15544" s="5"/>
    </row>
    <row r="15545" spans="1:13" s="3" customFormat="1" x14ac:dyDescent="0.25">
      <c r="A15545" s="5"/>
      <c r="B15545" s="5"/>
      <c r="C15545" s="5"/>
      <c r="D15545" s="5"/>
      <c r="E15545" s="5"/>
      <c r="F15545" s="5"/>
      <c r="G15545" s="5"/>
      <c r="H15545" s="5"/>
      <c r="I15545" s="43"/>
      <c r="J15545" s="49"/>
      <c r="K15545" s="5"/>
      <c r="L15545" s="5"/>
      <c r="M15545" s="5"/>
    </row>
    <row r="15546" spans="1:13" s="3" customFormat="1" x14ac:dyDescent="0.25">
      <c r="A15546" s="5"/>
      <c r="B15546" s="5"/>
      <c r="C15546" s="5"/>
      <c r="D15546" s="5"/>
      <c r="E15546" s="5"/>
      <c r="F15546" s="5"/>
      <c r="G15546" s="5"/>
      <c r="H15546" s="5"/>
      <c r="I15546" s="43"/>
      <c r="J15546" s="49"/>
      <c r="K15546" s="5"/>
      <c r="L15546" s="5"/>
      <c r="M15546" s="5"/>
    </row>
    <row r="15547" spans="1:13" s="3" customFormat="1" x14ac:dyDescent="0.25">
      <c r="A15547" s="5"/>
      <c r="B15547" s="5"/>
      <c r="C15547" s="5"/>
      <c r="D15547" s="5"/>
      <c r="E15547" s="5"/>
      <c r="F15547" s="5"/>
      <c r="G15547" s="5"/>
      <c r="H15547" s="5"/>
      <c r="I15547" s="43"/>
      <c r="J15547" s="49"/>
      <c r="K15547" s="5"/>
      <c r="L15547" s="5"/>
      <c r="M15547" s="5"/>
    </row>
    <row r="15548" spans="1:13" s="3" customFormat="1" x14ac:dyDescent="0.25">
      <c r="A15548" s="5"/>
      <c r="B15548" s="5"/>
      <c r="C15548" s="5"/>
      <c r="D15548" s="5"/>
      <c r="E15548" s="5"/>
      <c r="F15548" s="5"/>
      <c r="G15548" s="5"/>
      <c r="H15548" s="5"/>
      <c r="I15548" s="43"/>
      <c r="J15548" s="49"/>
      <c r="K15548" s="5"/>
      <c r="L15548" s="5"/>
      <c r="M15548" s="5"/>
    </row>
    <row r="15549" spans="1:13" s="3" customFormat="1" x14ac:dyDescent="0.25">
      <c r="A15549" s="5"/>
      <c r="B15549" s="5"/>
      <c r="C15549" s="5"/>
      <c r="D15549" s="5"/>
      <c r="E15549" s="5"/>
      <c r="F15549" s="5"/>
      <c r="G15549" s="5"/>
      <c r="H15549" s="5"/>
      <c r="I15549" s="43"/>
      <c r="J15549" s="49"/>
      <c r="K15549" s="5"/>
      <c r="L15549" s="5"/>
      <c r="M15549" s="5"/>
    </row>
    <row r="15550" spans="1:13" s="3" customFormat="1" x14ac:dyDescent="0.25">
      <c r="A15550" s="5"/>
      <c r="B15550" s="5"/>
      <c r="C15550" s="5"/>
      <c r="D15550" s="5"/>
      <c r="E15550" s="5"/>
      <c r="F15550" s="5"/>
      <c r="G15550" s="5"/>
      <c r="H15550" s="5"/>
      <c r="I15550" s="43"/>
      <c r="J15550" s="49"/>
      <c r="K15550" s="5"/>
      <c r="L15550" s="5"/>
      <c r="M15550" s="5"/>
    </row>
    <row r="15551" spans="1:13" s="3" customFormat="1" x14ac:dyDescent="0.25">
      <c r="A15551" s="5"/>
      <c r="B15551" s="5"/>
      <c r="C15551" s="5"/>
      <c r="D15551" s="5"/>
      <c r="E15551" s="5"/>
      <c r="F15551" s="5"/>
      <c r="G15551" s="5"/>
      <c r="H15551" s="5"/>
      <c r="I15551" s="43"/>
      <c r="J15551" s="49"/>
      <c r="K15551" s="5"/>
      <c r="L15551" s="5"/>
      <c r="M15551" s="5"/>
    </row>
    <row r="15552" spans="1:13" s="3" customFormat="1" x14ac:dyDescent="0.25">
      <c r="A15552" s="5"/>
      <c r="B15552" s="5"/>
      <c r="C15552" s="5"/>
      <c r="D15552" s="5"/>
      <c r="E15552" s="5"/>
      <c r="F15552" s="5"/>
      <c r="G15552" s="5"/>
      <c r="H15552" s="5"/>
      <c r="I15552" s="43"/>
      <c r="J15552" s="49"/>
      <c r="K15552" s="5"/>
      <c r="L15552" s="5"/>
      <c r="M15552" s="5"/>
    </row>
    <row r="15553" spans="1:13" s="3" customFormat="1" x14ac:dyDescent="0.25">
      <c r="A15553" s="5"/>
      <c r="B15553" s="5"/>
      <c r="C15553" s="5"/>
      <c r="D15553" s="5"/>
      <c r="E15553" s="5"/>
      <c r="F15553" s="5"/>
      <c r="G15553" s="5"/>
      <c r="H15553" s="5"/>
      <c r="I15553" s="43"/>
      <c r="J15553" s="49"/>
      <c r="K15553" s="5"/>
      <c r="L15553" s="5"/>
      <c r="M15553" s="5"/>
    </row>
    <row r="15554" spans="1:13" s="3" customFormat="1" x14ac:dyDescent="0.25">
      <c r="A15554" s="5"/>
      <c r="B15554" s="5"/>
      <c r="C15554" s="5"/>
      <c r="D15554" s="5"/>
      <c r="E15554" s="5"/>
      <c r="F15554" s="5"/>
      <c r="G15554" s="5"/>
      <c r="H15554" s="5"/>
      <c r="I15554" s="43"/>
      <c r="J15554" s="49"/>
      <c r="K15554" s="5"/>
      <c r="L15554" s="5"/>
      <c r="M15554" s="5"/>
    </row>
    <row r="15555" spans="1:13" s="3" customFormat="1" x14ac:dyDescent="0.25">
      <c r="A15555" s="5"/>
      <c r="B15555" s="5"/>
      <c r="C15555" s="5"/>
      <c r="D15555" s="5"/>
      <c r="E15555" s="5"/>
      <c r="F15555" s="5"/>
      <c r="G15555" s="5"/>
      <c r="H15555" s="5"/>
      <c r="I15555" s="43"/>
      <c r="J15555" s="49"/>
      <c r="K15555" s="5"/>
      <c r="L15555" s="5"/>
      <c r="M15555" s="5"/>
    </row>
    <row r="15556" spans="1:13" s="3" customFormat="1" x14ac:dyDescent="0.25">
      <c r="A15556" s="5"/>
      <c r="B15556" s="5"/>
      <c r="C15556" s="5"/>
      <c r="D15556" s="5"/>
      <c r="E15556" s="5"/>
      <c r="F15556" s="5"/>
      <c r="G15556" s="5"/>
      <c r="H15556" s="5"/>
      <c r="I15556" s="43"/>
      <c r="J15556" s="49"/>
      <c r="K15556" s="5"/>
      <c r="L15556" s="5"/>
      <c r="M15556" s="5"/>
    </row>
    <row r="15557" spans="1:13" s="3" customFormat="1" x14ac:dyDescent="0.25">
      <c r="A15557" s="5"/>
      <c r="B15557" s="5"/>
      <c r="C15557" s="5"/>
      <c r="D15557" s="5"/>
      <c r="E15557" s="5"/>
      <c r="F15557" s="5"/>
      <c r="G15557" s="5"/>
      <c r="H15557" s="5"/>
      <c r="I15557" s="43"/>
      <c r="J15557" s="49"/>
      <c r="K15557" s="5"/>
      <c r="L15557" s="5"/>
      <c r="M15557" s="5"/>
    </row>
    <row r="15558" spans="1:13" s="3" customFormat="1" x14ac:dyDescent="0.25">
      <c r="A15558" s="5"/>
      <c r="B15558" s="5"/>
      <c r="C15558" s="5"/>
      <c r="D15558" s="5"/>
      <c r="E15558" s="5"/>
      <c r="F15558" s="5"/>
      <c r="G15558" s="5"/>
      <c r="H15558" s="5"/>
      <c r="I15558" s="43"/>
      <c r="J15558" s="49"/>
      <c r="K15558" s="5"/>
      <c r="L15558" s="5"/>
      <c r="M15558" s="5"/>
    </row>
    <row r="15559" spans="1:13" s="3" customFormat="1" x14ac:dyDescent="0.25">
      <c r="A15559" s="5"/>
      <c r="B15559" s="5"/>
      <c r="C15559" s="5"/>
      <c r="D15559" s="5"/>
      <c r="E15559" s="5"/>
      <c r="F15559" s="5"/>
      <c r="G15559" s="5"/>
      <c r="H15559" s="5"/>
      <c r="I15559" s="43"/>
      <c r="J15559" s="49"/>
      <c r="K15559" s="5"/>
      <c r="L15559" s="5"/>
      <c r="M15559" s="5"/>
    </row>
    <row r="15560" spans="1:13" s="3" customFormat="1" x14ac:dyDescent="0.25">
      <c r="A15560" s="5"/>
      <c r="B15560" s="5"/>
      <c r="C15560" s="5"/>
      <c r="D15560" s="5"/>
      <c r="E15560" s="5"/>
      <c r="F15560" s="5"/>
      <c r="G15560" s="5"/>
      <c r="H15560" s="5"/>
      <c r="I15560" s="43"/>
      <c r="J15560" s="49"/>
      <c r="K15560" s="5"/>
      <c r="L15560" s="5"/>
      <c r="M15560" s="5"/>
    </row>
    <row r="15561" spans="1:13" s="3" customFormat="1" x14ac:dyDescent="0.25">
      <c r="A15561" s="5"/>
      <c r="B15561" s="5"/>
      <c r="C15561" s="5"/>
      <c r="D15561" s="5"/>
      <c r="E15561" s="5"/>
      <c r="F15561" s="5"/>
      <c r="G15561" s="5"/>
      <c r="H15561" s="5"/>
      <c r="I15561" s="43"/>
      <c r="J15561" s="49"/>
      <c r="K15561" s="5"/>
      <c r="L15561" s="5"/>
      <c r="M15561" s="5"/>
    </row>
    <row r="15562" spans="1:13" s="3" customFormat="1" x14ac:dyDescent="0.25">
      <c r="A15562" s="5"/>
      <c r="B15562" s="5"/>
      <c r="C15562" s="5"/>
      <c r="D15562" s="5"/>
      <c r="E15562" s="5"/>
      <c r="F15562" s="5"/>
      <c r="G15562" s="5"/>
      <c r="H15562" s="5"/>
      <c r="I15562" s="43"/>
      <c r="J15562" s="49"/>
      <c r="K15562" s="5"/>
      <c r="L15562" s="5"/>
      <c r="M15562" s="5"/>
    </row>
    <row r="15563" spans="1:13" s="3" customFormat="1" x14ac:dyDescent="0.25">
      <c r="A15563" s="5"/>
      <c r="B15563" s="5"/>
      <c r="C15563" s="5"/>
      <c r="D15563" s="5"/>
      <c r="E15563" s="5"/>
      <c r="F15563" s="5"/>
      <c r="G15563" s="5"/>
      <c r="H15563" s="5"/>
      <c r="I15563" s="43"/>
      <c r="J15563" s="49"/>
      <c r="K15563" s="5"/>
      <c r="L15563" s="5"/>
      <c r="M15563" s="5"/>
    </row>
    <row r="15564" spans="1:13" s="3" customFormat="1" x14ac:dyDescent="0.25">
      <c r="A15564" s="5"/>
      <c r="B15564" s="5"/>
      <c r="C15564" s="5"/>
      <c r="D15564" s="5"/>
      <c r="E15564" s="5"/>
      <c r="F15564" s="5"/>
      <c r="G15564" s="5"/>
      <c r="H15564" s="5"/>
      <c r="I15564" s="43"/>
      <c r="J15564" s="49"/>
      <c r="K15564" s="5"/>
      <c r="L15564" s="5"/>
      <c r="M15564" s="5"/>
    </row>
    <row r="15565" spans="1:13" s="3" customFormat="1" x14ac:dyDescent="0.25">
      <c r="A15565" s="5"/>
      <c r="B15565" s="5"/>
      <c r="C15565" s="5"/>
      <c r="D15565" s="5"/>
      <c r="E15565" s="5"/>
      <c r="F15565" s="5"/>
      <c r="G15565" s="5"/>
      <c r="H15565" s="5"/>
      <c r="I15565" s="43"/>
      <c r="J15565" s="49"/>
      <c r="K15565" s="5"/>
      <c r="L15565" s="5"/>
      <c r="M15565" s="5"/>
    </row>
    <row r="15566" spans="1:13" s="3" customFormat="1" x14ac:dyDescent="0.25">
      <c r="A15566" s="5"/>
      <c r="B15566" s="5"/>
      <c r="C15566" s="5"/>
      <c r="D15566" s="5"/>
      <c r="E15566" s="5"/>
      <c r="F15566" s="5"/>
      <c r="G15566" s="5"/>
      <c r="H15566" s="5"/>
      <c r="I15566" s="43"/>
      <c r="J15566" s="49"/>
      <c r="K15566" s="5"/>
      <c r="L15566" s="5"/>
      <c r="M15566" s="5"/>
    </row>
    <row r="15567" spans="1:13" s="3" customFormat="1" x14ac:dyDescent="0.25">
      <c r="A15567" s="5"/>
      <c r="B15567" s="5"/>
      <c r="C15567" s="5"/>
      <c r="D15567" s="5"/>
      <c r="E15567" s="5"/>
      <c r="F15567" s="5"/>
      <c r="G15567" s="5"/>
      <c r="H15567" s="5"/>
      <c r="I15567" s="43"/>
      <c r="J15567" s="49"/>
      <c r="K15567" s="5"/>
      <c r="L15567" s="5"/>
      <c r="M15567" s="5"/>
    </row>
    <row r="15568" spans="1:13" s="3" customFormat="1" x14ac:dyDescent="0.25">
      <c r="A15568" s="5"/>
      <c r="B15568" s="5"/>
      <c r="C15568" s="5"/>
      <c r="D15568" s="5"/>
      <c r="E15568" s="5"/>
      <c r="F15568" s="5"/>
      <c r="G15568" s="5"/>
      <c r="H15568" s="5"/>
      <c r="I15568" s="43"/>
      <c r="J15568" s="49"/>
      <c r="K15568" s="5"/>
      <c r="L15568" s="5"/>
      <c r="M15568" s="5"/>
    </row>
    <row r="15569" spans="1:13" s="3" customFormat="1" x14ac:dyDescent="0.25">
      <c r="A15569" s="5"/>
      <c r="B15569" s="5"/>
      <c r="C15569" s="5"/>
      <c r="D15569" s="5"/>
      <c r="E15569" s="5"/>
      <c r="F15569" s="5"/>
      <c r="G15569" s="5"/>
      <c r="H15569" s="5"/>
      <c r="I15569" s="43"/>
      <c r="J15569" s="49"/>
      <c r="K15569" s="5"/>
      <c r="L15569" s="5"/>
      <c r="M15569" s="5"/>
    </row>
    <row r="15570" spans="1:13" s="3" customFormat="1" x14ac:dyDescent="0.25">
      <c r="A15570" s="5"/>
      <c r="B15570" s="5"/>
      <c r="C15570" s="5"/>
      <c r="D15570" s="5"/>
      <c r="E15570" s="5"/>
      <c r="F15570" s="5"/>
      <c r="G15570" s="5"/>
      <c r="H15570" s="5"/>
      <c r="I15570" s="43"/>
      <c r="J15570" s="49"/>
      <c r="K15570" s="5"/>
      <c r="L15570" s="5"/>
      <c r="M15570" s="5"/>
    </row>
    <row r="15571" spans="1:13" s="3" customFormat="1" x14ac:dyDescent="0.25">
      <c r="A15571" s="5"/>
      <c r="B15571" s="5"/>
      <c r="C15571" s="5"/>
      <c r="D15571" s="5"/>
      <c r="E15571" s="5"/>
      <c r="F15571" s="5"/>
      <c r="G15571" s="5"/>
      <c r="H15571" s="5"/>
      <c r="I15571" s="43"/>
      <c r="J15571" s="49"/>
      <c r="K15571" s="5"/>
      <c r="L15571" s="5"/>
      <c r="M15571" s="5"/>
    </row>
    <row r="15572" spans="1:13" s="3" customFormat="1" x14ac:dyDescent="0.25">
      <c r="A15572" s="5"/>
      <c r="B15572" s="5"/>
      <c r="C15572" s="5"/>
      <c r="D15572" s="5"/>
      <c r="E15572" s="5"/>
      <c r="F15572" s="5"/>
      <c r="G15572" s="5"/>
      <c r="H15572" s="5"/>
      <c r="I15572" s="43"/>
      <c r="J15572" s="49"/>
      <c r="K15572" s="5"/>
      <c r="L15572" s="5"/>
      <c r="M15572" s="5"/>
    </row>
    <row r="15573" spans="1:13" s="3" customFormat="1" x14ac:dyDescent="0.25">
      <c r="A15573" s="5"/>
      <c r="B15573" s="5"/>
      <c r="C15573" s="5"/>
      <c r="D15573" s="5"/>
      <c r="E15573" s="5"/>
      <c r="F15573" s="5"/>
      <c r="G15573" s="5"/>
      <c r="H15573" s="5"/>
      <c r="I15573" s="43"/>
      <c r="J15573" s="49"/>
      <c r="K15573" s="5"/>
      <c r="L15573" s="5"/>
      <c r="M15573" s="5"/>
    </row>
    <row r="15574" spans="1:13" s="3" customFormat="1" x14ac:dyDescent="0.25">
      <c r="A15574" s="5"/>
      <c r="B15574" s="5"/>
      <c r="C15574" s="5"/>
      <c r="D15574" s="5"/>
      <c r="E15574" s="5"/>
      <c r="F15574" s="5"/>
      <c r="G15574" s="5"/>
      <c r="H15574" s="5"/>
      <c r="I15574" s="43"/>
      <c r="J15574" s="49"/>
      <c r="K15574" s="5"/>
      <c r="L15574" s="5"/>
      <c r="M15574" s="5"/>
    </row>
    <row r="15575" spans="1:13" s="3" customFormat="1" x14ac:dyDescent="0.25">
      <c r="A15575" s="5"/>
      <c r="B15575" s="5"/>
      <c r="C15575" s="5"/>
      <c r="D15575" s="5"/>
      <c r="E15575" s="5"/>
      <c r="F15575" s="5"/>
      <c r="G15575" s="5"/>
      <c r="H15575" s="5"/>
      <c r="I15575" s="43"/>
      <c r="J15575" s="49"/>
      <c r="K15575" s="5"/>
      <c r="L15575" s="5"/>
      <c r="M15575" s="5"/>
    </row>
    <row r="15576" spans="1:13" s="3" customFormat="1" x14ac:dyDescent="0.25">
      <c r="A15576" s="5"/>
      <c r="B15576" s="5"/>
      <c r="C15576" s="5"/>
      <c r="D15576" s="5"/>
      <c r="E15576" s="5"/>
      <c r="F15576" s="5"/>
      <c r="G15576" s="5"/>
      <c r="H15576" s="5"/>
      <c r="I15576" s="43"/>
      <c r="J15576" s="49"/>
      <c r="K15576" s="5"/>
      <c r="L15576" s="5"/>
      <c r="M15576" s="5"/>
    </row>
    <row r="15577" spans="1:13" s="3" customFormat="1" x14ac:dyDescent="0.25">
      <c r="A15577" s="5"/>
      <c r="B15577" s="5"/>
      <c r="C15577" s="5"/>
      <c r="D15577" s="5"/>
      <c r="E15577" s="5"/>
      <c r="F15577" s="5"/>
      <c r="G15577" s="5"/>
      <c r="H15577" s="5"/>
      <c r="I15577" s="43"/>
      <c r="J15577" s="49"/>
      <c r="K15577" s="5"/>
      <c r="L15577" s="5"/>
      <c r="M15577" s="5"/>
    </row>
    <row r="15578" spans="1:13" s="3" customFormat="1" x14ac:dyDescent="0.25">
      <c r="A15578" s="5"/>
      <c r="B15578" s="5"/>
      <c r="C15578" s="5"/>
      <c r="D15578" s="5"/>
      <c r="E15578" s="5"/>
      <c r="F15578" s="5"/>
      <c r="G15578" s="5"/>
      <c r="H15578" s="5"/>
      <c r="I15578" s="43"/>
      <c r="J15578" s="49"/>
      <c r="K15578" s="5"/>
      <c r="L15578" s="5"/>
      <c r="M15578" s="5"/>
    </row>
    <row r="15579" spans="1:13" s="3" customFormat="1" x14ac:dyDescent="0.25">
      <c r="A15579" s="5"/>
      <c r="B15579" s="5"/>
      <c r="C15579" s="5"/>
      <c r="D15579" s="5"/>
      <c r="E15579" s="5"/>
      <c r="F15579" s="5"/>
      <c r="G15579" s="5"/>
      <c r="H15579" s="5"/>
      <c r="I15579" s="43"/>
      <c r="J15579" s="49"/>
      <c r="K15579" s="5"/>
      <c r="L15579" s="5"/>
      <c r="M15579" s="5"/>
    </row>
    <row r="15580" spans="1:13" s="3" customFormat="1" x14ac:dyDescent="0.25">
      <c r="A15580" s="5"/>
      <c r="B15580" s="5"/>
      <c r="C15580" s="5"/>
      <c r="D15580" s="5"/>
      <c r="E15580" s="5"/>
      <c r="F15580" s="5"/>
      <c r="G15580" s="5"/>
      <c r="H15580" s="5"/>
      <c r="I15580" s="43"/>
      <c r="J15580" s="49"/>
      <c r="K15580" s="5"/>
      <c r="L15580" s="5"/>
      <c r="M15580" s="5"/>
    </row>
    <row r="15581" spans="1:13" s="3" customFormat="1" x14ac:dyDescent="0.25">
      <c r="A15581" s="5"/>
      <c r="B15581" s="5"/>
      <c r="C15581" s="5"/>
      <c r="D15581" s="5"/>
      <c r="E15581" s="5"/>
      <c r="F15581" s="5"/>
      <c r="G15581" s="5"/>
      <c r="H15581" s="5"/>
      <c r="I15581" s="43"/>
      <c r="J15581" s="49"/>
      <c r="K15581" s="5"/>
      <c r="L15581" s="5"/>
      <c r="M15581" s="5"/>
    </row>
    <row r="15582" spans="1:13" s="3" customFormat="1" x14ac:dyDescent="0.25">
      <c r="A15582" s="5"/>
      <c r="B15582" s="5"/>
      <c r="C15582" s="5"/>
      <c r="D15582" s="5"/>
      <c r="E15582" s="5"/>
      <c r="F15582" s="5"/>
      <c r="G15582" s="5"/>
      <c r="H15582" s="5"/>
      <c r="I15582" s="43"/>
      <c r="J15582" s="49"/>
      <c r="K15582" s="5"/>
      <c r="L15582" s="5"/>
      <c r="M15582" s="5"/>
    </row>
    <row r="15583" spans="1:13" s="3" customFormat="1" x14ac:dyDescent="0.25">
      <c r="A15583" s="5"/>
      <c r="B15583" s="5"/>
      <c r="C15583" s="5"/>
      <c r="D15583" s="5"/>
      <c r="E15583" s="5"/>
      <c r="F15583" s="5"/>
      <c r="G15583" s="5"/>
      <c r="H15583" s="5"/>
      <c r="I15583" s="43"/>
      <c r="J15583" s="49"/>
      <c r="K15583" s="5"/>
      <c r="L15583" s="5"/>
      <c r="M15583" s="5"/>
    </row>
    <row r="15584" spans="1:13" s="3" customFormat="1" x14ac:dyDescent="0.25">
      <c r="A15584" s="5"/>
      <c r="B15584" s="5"/>
      <c r="C15584" s="5"/>
      <c r="D15584" s="5"/>
      <c r="E15584" s="5"/>
      <c r="F15584" s="5"/>
      <c r="G15584" s="5"/>
      <c r="H15584" s="5"/>
      <c r="I15584" s="43"/>
      <c r="J15584" s="49"/>
      <c r="K15584" s="5"/>
      <c r="L15584" s="5"/>
      <c r="M15584" s="5"/>
    </row>
    <row r="15585" spans="1:13" s="3" customFormat="1" x14ac:dyDescent="0.25">
      <c r="A15585" s="5"/>
      <c r="B15585" s="5"/>
      <c r="C15585" s="5"/>
      <c r="D15585" s="5"/>
      <c r="E15585" s="5"/>
      <c r="F15585" s="5"/>
      <c r="G15585" s="5"/>
      <c r="H15585" s="5"/>
      <c r="I15585" s="43"/>
      <c r="J15585" s="49"/>
      <c r="K15585" s="5"/>
      <c r="L15585" s="5"/>
      <c r="M15585" s="5"/>
    </row>
    <row r="15586" spans="1:13" s="3" customFormat="1" x14ac:dyDescent="0.25">
      <c r="A15586" s="5"/>
      <c r="B15586" s="5"/>
      <c r="C15586" s="5"/>
      <c r="D15586" s="5"/>
      <c r="E15586" s="5"/>
      <c r="F15586" s="5"/>
      <c r="G15586" s="5"/>
      <c r="H15586" s="5"/>
      <c r="I15586" s="43"/>
      <c r="J15586" s="49"/>
      <c r="K15586" s="5"/>
      <c r="L15586" s="5"/>
      <c r="M15586" s="5"/>
    </row>
    <row r="15587" spans="1:13" s="3" customFormat="1" x14ac:dyDescent="0.25">
      <c r="A15587" s="5"/>
      <c r="B15587" s="5"/>
      <c r="C15587" s="5"/>
      <c r="D15587" s="5"/>
      <c r="E15587" s="5"/>
      <c r="F15587" s="5"/>
      <c r="G15587" s="5"/>
      <c r="H15587" s="5"/>
      <c r="I15587" s="43"/>
      <c r="J15587" s="49"/>
      <c r="K15587" s="5"/>
      <c r="L15587" s="5"/>
      <c r="M15587" s="5"/>
    </row>
    <row r="15588" spans="1:13" s="3" customFormat="1" x14ac:dyDescent="0.25">
      <c r="A15588" s="5"/>
      <c r="B15588" s="5"/>
      <c r="C15588" s="5"/>
      <c r="D15588" s="5"/>
      <c r="E15588" s="5"/>
      <c r="F15588" s="5"/>
      <c r="G15588" s="5"/>
      <c r="H15588" s="5"/>
      <c r="I15588" s="43"/>
      <c r="J15588" s="49"/>
      <c r="K15588" s="5"/>
      <c r="L15588" s="5"/>
      <c r="M15588" s="5"/>
    </row>
    <row r="15589" spans="1:13" s="3" customFormat="1" x14ac:dyDescent="0.25">
      <c r="A15589" s="5"/>
      <c r="B15589" s="5"/>
      <c r="C15589" s="5"/>
      <c r="D15589" s="5"/>
      <c r="E15589" s="5"/>
      <c r="F15589" s="5"/>
      <c r="G15589" s="5"/>
      <c r="H15589" s="5"/>
      <c r="I15589" s="43"/>
      <c r="J15589" s="49"/>
      <c r="K15589" s="5"/>
      <c r="L15589" s="5"/>
      <c r="M15589" s="5"/>
    </row>
    <row r="15590" spans="1:13" s="3" customFormat="1" x14ac:dyDescent="0.25">
      <c r="A15590" s="5"/>
      <c r="B15590" s="5"/>
      <c r="C15590" s="5"/>
      <c r="D15590" s="5"/>
      <c r="E15590" s="5"/>
      <c r="F15590" s="5"/>
      <c r="G15590" s="5"/>
      <c r="H15590" s="5"/>
      <c r="I15590" s="43"/>
      <c r="J15590" s="49"/>
      <c r="K15590" s="5"/>
      <c r="L15590" s="5"/>
      <c r="M15590" s="5"/>
    </row>
    <row r="15591" spans="1:13" s="3" customFormat="1" x14ac:dyDescent="0.25">
      <c r="A15591" s="5"/>
      <c r="B15591" s="5"/>
      <c r="C15591" s="5"/>
      <c r="D15591" s="5"/>
      <c r="E15591" s="5"/>
      <c r="F15591" s="5"/>
      <c r="G15591" s="5"/>
      <c r="H15591" s="5"/>
      <c r="I15591" s="43"/>
      <c r="J15591" s="49"/>
      <c r="K15591" s="5"/>
      <c r="L15591" s="5"/>
      <c r="M15591" s="5"/>
    </row>
    <row r="15592" spans="1:13" s="3" customFormat="1" x14ac:dyDescent="0.25">
      <c r="A15592" s="5"/>
      <c r="B15592" s="5"/>
      <c r="C15592" s="5"/>
      <c r="D15592" s="5"/>
      <c r="E15592" s="5"/>
      <c r="F15592" s="5"/>
      <c r="G15592" s="5"/>
      <c r="H15592" s="5"/>
      <c r="I15592" s="43"/>
      <c r="J15592" s="49"/>
      <c r="K15592" s="5"/>
      <c r="L15592" s="5"/>
      <c r="M15592" s="5"/>
    </row>
    <row r="15593" spans="1:13" s="3" customFormat="1" x14ac:dyDescent="0.25">
      <c r="A15593" s="5"/>
      <c r="B15593" s="5"/>
      <c r="C15593" s="5"/>
      <c r="D15593" s="5"/>
      <c r="E15593" s="5"/>
      <c r="F15593" s="5"/>
      <c r="G15593" s="5"/>
      <c r="H15593" s="5"/>
      <c r="I15593" s="43"/>
      <c r="J15593" s="49"/>
      <c r="K15593" s="5"/>
      <c r="L15593" s="5"/>
      <c r="M15593" s="5"/>
    </row>
    <row r="15594" spans="1:13" s="3" customFormat="1" x14ac:dyDescent="0.25">
      <c r="A15594" s="5"/>
      <c r="B15594" s="5"/>
      <c r="C15594" s="5"/>
      <c r="D15594" s="5"/>
      <c r="E15594" s="5"/>
      <c r="F15594" s="5"/>
      <c r="G15594" s="5"/>
      <c r="H15594" s="5"/>
      <c r="I15594" s="43"/>
      <c r="J15594" s="49"/>
      <c r="K15594" s="5"/>
      <c r="L15594" s="5"/>
      <c r="M15594" s="5"/>
    </row>
    <row r="15595" spans="1:13" s="3" customFormat="1" x14ac:dyDescent="0.25">
      <c r="A15595" s="5"/>
      <c r="B15595" s="5"/>
      <c r="C15595" s="5"/>
      <c r="D15595" s="5"/>
      <c r="E15595" s="5"/>
      <c r="F15595" s="5"/>
      <c r="G15595" s="5"/>
      <c r="H15595" s="5"/>
      <c r="I15595" s="43"/>
      <c r="J15595" s="49"/>
      <c r="K15595" s="5"/>
      <c r="L15595" s="5"/>
      <c r="M15595" s="5"/>
    </row>
    <row r="15596" spans="1:13" s="3" customFormat="1" x14ac:dyDescent="0.25">
      <c r="A15596" s="5"/>
      <c r="B15596" s="5"/>
      <c r="C15596" s="5"/>
      <c r="D15596" s="5"/>
      <c r="E15596" s="5"/>
      <c r="F15596" s="5"/>
      <c r="G15596" s="5"/>
      <c r="H15596" s="5"/>
      <c r="I15596" s="43"/>
      <c r="J15596" s="49"/>
      <c r="K15596" s="5"/>
      <c r="L15596" s="5"/>
      <c r="M15596" s="5"/>
    </row>
    <row r="15597" spans="1:13" s="3" customFormat="1" x14ac:dyDescent="0.25">
      <c r="A15597" s="5"/>
      <c r="B15597" s="5"/>
      <c r="C15597" s="5"/>
      <c r="D15597" s="5"/>
      <c r="E15597" s="5"/>
      <c r="F15597" s="5"/>
      <c r="G15597" s="5"/>
      <c r="H15597" s="5"/>
      <c r="I15597" s="43"/>
      <c r="J15597" s="49"/>
      <c r="K15597" s="5"/>
      <c r="L15597" s="5"/>
      <c r="M15597" s="5"/>
    </row>
    <row r="15598" spans="1:13" s="3" customFormat="1" x14ac:dyDescent="0.25">
      <c r="A15598" s="5"/>
      <c r="B15598" s="5"/>
      <c r="C15598" s="5"/>
      <c r="D15598" s="5"/>
      <c r="E15598" s="5"/>
      <c r="F15598" s="5"/>
      <c r="G15598" s="5"/>
      <c r="H15598" s="5"/>
      <c r="I15598" s="43"/>
      <c r="J15598" s="49"/>
      <c r="K15598" s="5"/>
      <c r="L15598" s="5"/>
      <c r="M15598" s="5"/>
    </row>
    <row r="15599" spans="1:13" s="3" customFormat="1" x14ac:dyDescent="0.25">
      <c r="A15599" s="5"/>
      <c r="B15599" s="5"/>
      <c r="C15599" s="5"/>
      <c r="D15599" s="5"/>
      <c r="E15599" s="5"/>
      <c r="F15599" s="5"/>
      <c r="G15599" s="5"/>
      <c r="H15599" s="5"/>
      <c r="I15599" s="43"/>
      <c r="J15599" s="49"/>
      <c r="K15599" s="5"/>
      <c r="L15599" s="5"/>
      <c r="M15599" s="5"/>
    </row>
    <row r="15600" spans="1:13" s="3" customFormat="1" x14ac:dyDescent="0.25">
      <c r="A15600" s="5"/>
      <c r="B15600" s="5"/>
      <c r="C15600" s="5"/>
      <c r="D15600" s="5"/>
      <c r="E15600" s="5"/>
      <c r="F15600" s="5"/>
      <c r="G15600" s="5"/>
      <c r="H15600" s="5"/>
      <c r="I15600" s="43"/>
      <c r="J15600" s="49"/>
      <c r="K15600" s="5"/>
      <c r="L15600" s="5"/>
      <c r="M15600" s="5"/>
    </row>
    <row r="15601" spans="1:13" s="3" customFormat="1" x14ac:dyDescent="0.25">
      <c r="A15601" s="5"/>
      <c r="B15601" s="5"/>
      <c r="C15601" s="5"/>
      <c r="D15601" s="5"/>
      <c r="E15601" s="5"/>
      <c r="F15601" s="5"/>
      <c r="G15601" s="5"/>
      <c r="H15601" s="5"/>
      <c r="I15601" s="43"/>
      <c r="J15601" s="49"/>
      <c r="K15601" s="5"/>
      <c r="L15601" s="5"/>
      <c r="M15601" s="5"/>
    </row>
    <row r="15602" spans="1:13" s="3" customFormat="1" x14ac:dyDescent="0.25">
      <c r="A15602" s="5"/>
      <c r="B15602" s="5"/>
      <c r="C15602" s="5"/>
      <c r="D15602" s="5"/>
      <c r="E15602" s="5"/>
      <c r="F15602" s="5"/>
      <c r="G15602" s="5"/>
      <c r="H15602" s="5"/>
      <c r="I15602" s="43"/>
      <c r="J15602" s="49"/>
      <c r="K15602" s="5"/>
      <c r="L15602" s="5"/>
      <c r="M15602" s="5"/>
    </row>
    <row r="15603" spans="1:13" s="3" customFormat="1" x14ac:dyDescent="0.25">
      <c r="A15603" s="5"/>
      <c r="B15603" s="5"/>
      <c r="C15603" s="5"/>
      <c r="D15603" s="5"/>
      <c r="E15603" s="5"/>
      <c r="F15603" s="5"/>
      <c r="G15603" s="5"/>
      <c r="H15603" s="5"/>
      <c r="I15603" s="43"/>
      <c r="J15603" s="49"/>
      <c r="K15603" s="5"/>
      <c r="L15603" s="5"/>
      <c r="M15603" s="5"/>
    </row>
    <row r="15604" spans="1:13" s="3" customFormat="1" x14ac:dyDescent="0.25">
      <c r="A15604" s="5"/>
      <c r="B15604" s="5"/>
      <c r="C15604" s="5"/>
      <c r="D15604" s="5"/>
      <c r="E15604" s="5"/>
      <c r="F15604" s="5"/>
      <c r="G15604" s="5"/>
      <c r="H15604" s="5"/>
      <c r="I15604" s="43"/>
      <c r="J15604" s="49"/>
      <c r="K15604" s="5"/>
      <c r="L15604" s="5"/>
      <c r="M15604" s="5"/>
    </row>
    <row r="15605" spans="1:13" s="3" customFormat="1" x14ac:dyDescent="0.25">
      <c r="A15605" s="5"/>
      <c r="B15605" s="5"/>
      <c r="C15605" s="5"/>
      <c r="D15605" s="5"/>
      <c r="E15605" s="5"/>
      <c r="F15605" s="5"/>
      <c r="G15605" s="5"/>
      <c r="H15605" s="5"/>
      <c r="I15605" s="43"/>
      <c r="J15605" s="49"/>
      <c r="K15605" s="5"/>
      <c r="L15605" s="5"/>
      <c r="M15605" s="5"/>
    </row>
    <row r="15606" spans="1:13" s="3" customFormat="1" x14ac:dyDescent="0.25">
      <c r="A15606" s="5"/>
      <c r="B15606" s="5"/>
      <c r="C15606" s="5"/>
      <c r="D15606" s="5"/>
      <c r="E15606" s="5"/>
      <c r="F15606" s="5"/>
      <c r="G15606" s="5"/>
      <c r="H15606" s="5"/>
      <c r="I15606" s="43"/>
      <c r="J15606" s="49"/>
      <c r="K15606" s="5"/>
      <c r="L15606" s="5"/>
      <c r="M15606" s="5"/>
    </row>
    <row r="15607" spans="1:13" s="3" customFormat="1" x14ac:dyDescent="0.25">
      <c r="A15607" s="5"/>
      <c r="B15607" s="5"/>
      <c r="C15607" s="5"/>
      <c r="D15607" s="5"/>
      <c r="E15607" s="5"/>
      <c r="F15607" s="5"/>
      <c r="G15607" s="5"/>
      <c r="H15607" s="5"/>
      <c r="I15607" s="43"/>
      <c r="J15607" s="49"/>
      <c r="K15607" s="5"/>
      <c r="L15607" s="5"/>
      <c r="M15607" s="5"/>
    </row>
    <row r="15608" spans="1:13" s="3" customFormat="1" x14ac:dyDescent="0.25">
      <c r="A15608" s="5"/>
      <c r="B15608" s="5"/>
      <c r="C15608" s="5"/>
      <c r="D15608" s="5"/>
      <c r="E15608" s="5"/>
      <c r="F15608" s="5"/>
      <c r="G15608" s="5"/>
      <c r="H15608" s="5"/>
      <c r="I15608" s="43"/>
      <c r="J15608" s="49"/>
      <c r="K15608" s="5"/>
      <c r="L15608" s="5"/>
      <c r="M15608" s="5"/>
    </row>
    <row r="15609" spans="1:13" s="3" customFormat="1" x14ac:dyDescent="0.25">
      <c r="A15609" s="5"/>
      <c r="B15609" s="5"/>
      <c r="C15609" s="5"/>
      <c r="D15609" s="5"/>
      <c r="E15609" s="5"/>
      <c r="F15609" s="5"/>
      <c r="G15609" s="5"/>
      <c r="H15609" s="5"/>
      <c r="I15609" s="43"/>
      <c r="J15609" s="49"/>
      <c r="K15609" s="5"/>
      <c r="L15609" s="5"/>
      <c r="M15609" s="5"/>
    </row>
    <row r="15610" spans="1:13" s="3" customFormat="1" x14ac:dyDescent="0.25">
      <c r="A15610" s="5"/>
      <c r="B15610" s="5"/>
      <c r="C15610" s="5"/>
      <c r="D15610" s="5"/>
      <c r="E15610" s="5"/>
      <c r="F15610" s="5"/>
      <c r="G15610" s="5"/>
      <c r="H15610" s="5"/>
      <c r="I15610" s="43"/>
      <c r="J15610" s="49"/>
      <c r="K15610" s="5"/>
      <c r="L15610" s="5"/>
      <c r="M15610" s="5"/>
    </row>
    <row r="15611" spans="1:13" s="3" customFormat="1" x14ac:dyDescent="0.25">
      <c r="A15611" s="5"/>
      <c r="B15611" s="5"/>
      <c r="C15611" s="5"/>
      <c r="D15611" s="5"/>
      <c r="E15611" s="5"/>
      <c r="F15611" s="5"/>
      <c r="G15611" s="5"/>
      <c r="H15611" s="5"/>
      <c r="I15611" s="43"/>
      <c r="J15611" s="49"/>
      <c r="K15611" s="5"/>
      <c r="L15611" s="5"/>
      <c r="M15611" s="5"/>
    </row>
    <row r="15612" spans="1:13" s="3" customFormat="1" x14ac:dyDescent="0.25">
      <c r="A15612" s="5"/>
      <c r="B15612" s="5"/>
      <c r="C15612" s="5"/>
      <c r="D15612" s="5"/>
      <c r="E15612" s="5"/>
      <c r="F15612" s="5"/>
      <c r="G15612" s="5"/>
      <c r="H15612" s="5"/>
      <c r="I15612" s="43"/>
      <c r="J15612" s="49"/>
      <c r="K15612" s="5"/>
      <c r="L15612" s="5"/>
      <c r="M15612" s="5"/>
    </row>
    <row r="15613" spans="1:13" s="3" customFormat="1" x14ac:dyDescent="0.25">
      <c r="A15613" s="5"/>
      <c r="B15613" s="5"/>
      <c r="C15613" s="5"/>
      <c r="D15613" s="5"/>
      <c r="E15613" s="5"/>
      <c r="F15613" s="5"/>
      <c r="G15613" s="5"/>
      <c r="H15613" s="5"/>
      <c r="I15613" s="43"/>
      <c r="J15613" s="49"/>
      <c r="K15613" s="5"/>
      <c r="L15613" s="5"/>
      <c r="M15613" s="5"/>
    </row>
    <row r="15614" spans="1:13" s="3" customFormat="1" x14ac:dyDescent="0.25">
      <c r="A15614" s="5"/>
      <c r="B15614" s="5"/>
      <c r="C15614" s="5"/>
      <c r="D15614" s="5"/>
      <c r="E15614" s="5"/>
      <c r="F15614" s="5"/>
      <c r="G15614" s="5"/>
      <c r="H15614" s="5"/>
      <c r="I15614" s="43"/>
      <c r="J15614" s="49"/>
      <c r="K15614" s="5"/>
      <c r="L15614" s="5"/>
      <c r="M15614" s="5"/>
    </row>
    <row r="15615" spans="1:13" s="3" customFormat="1" x14ac:dyDescent="0.25">
      <c r="A15615" s="5"/>
      <c r="B15615" s="5"/>
      <c r="C15615" s="5"/>
      <c r="D15615" s="5"/>
      <c r="E15615" s="5"/>
      <c r="F15615" s="5"/>
      <c r="G15615" s="5"/>
      <c r="H15615" s="5"/>
      <c r="I15615" s="43"/>
      <c r="J15615" s="49"/>
      <c r="K15615" s="5"/>
      <c r="L15615" s="5"/>
      <c r="M15615" s="5"/>
    </row>
    <row r="15616" spans="1:13" s="3" customFormat="1" x14ac:dyDescent="0.25">
      <c r="A15616" s="5"/>
      <c r="B15616" s="5"/>
      <c r="C15616" s="5"/>
      <c r="D15616" s="5"/>
      <c r="E15616" s="5"/>
      <c r="F15616" s="5"/>
      <c r="G15616" s="5"/>
      <c r="H15616" s="5"/>
      <c r="I15616" s="43"/>
      <c r="J15616" s="49"/>
      <c r="K15616" s="5"/>
      <c r="L15616" s="5"/>
      <c r="M15616" s="5"/>
    </row>
    <row r="15617" spans="1:13" s="3" customFormat="1" x14ac:dyDescent="0.25">
      <c r="A15617" s="5"/>
      <c r="B15617" s="5"/>
      <c r="C15617" s="5"/>
      <c r="D15617" s="5"/>
      <c r="E15617" s="5"/>
      <c r="F15617" s="5"/>
      <c r="G15617" s="5"/>
      <c r="H15617" s="5"/>
      <c r="I15617" s="43"/>
      <c r="J15617" s="49"/>
      <c r="K15617" s="5"/>
      <c r="L15617" s="5"/>
      <c r="M15617" s="5"/>
    </row>
    <row r="15618" spans="1:13" s="3" customFormat="1" x14ac:dyDescent="0.25">
      <c r="A15618" s="5"/>
      <c r="B15618" s="5"/>
      <c r="C15618" s="5"/>
      <c r="D15618" s="5"/>
      <c r="E15618" s="5"/>
      <c r="F15618" s="5"/>
      <c r="G15618" s="5"/>
      <c r="H15618" s="5"/>
      <c r="I15618" s="43"/>
      <c r="J15618" s="49"/>
      <c r="K15618" s="5"/>
      <c r="L15618" s="5"/>
      <c r="M15618" s="5"/>
    </row>
    <row r="15619" spans="1:13" s="3" customFormat="1" x14ac:dyDescent="0.25">
      <c r="A15619" s="5"/>
      <c r="B15619" s="5"/>
      <c r="C15619" s="5"/>
      <c r="D15619" s="5"/>
      <c r="E15619" s="5"/>
      <c r="F15619" s="5"/>
      <c r="G15619" s="5"/>
      <c r="H15619" s="5"/>
      <c r="I15619" s="43"/>
      <c r="J15619" s="49"/>
      <c r="K15619" s="5"/>
      <c r="L15619" s="5"/>
      <c r="M15619" s="5"/>
    </row>
    <row r="15620" spans="1:13" s="3" customFormat="1" x14ac:dyDescent="0.25">
      <c r="A15620" s="5"/>
      <c r="B15620" s="5"/>
      <c r="C15620" s="5"/>
      <c r="D15620" s="5"/>
      <c r="E15620" s="5"/>
      <c r="F15620" s="5"/>
      <c r="G15620" s="5"/>
      <c r="H15620" s="5"/>
      <c r="I15620" s="43"/>
      <c r="J15620" s="49"/>
      <c r="K15620" s="5"/>
      <c r="L15620" s="5"/>
      <c r="M15620" s="5"/>
    </row>
    <row r="15621" spans="1:13" s="3" customFormat="1" x14ac:dyDescent="0.25">
      <c r="A15621" s="5"/>
      <c r="B15621" s="5"/>
      <c r="C15621" s="5"/>
      <c r="D15621" s="5"/>
      <c r="E15621" s="5"/>
      <c r="F15621" s="5"/>
      <c r="G15621" s="5"/>
      <c r="H15621" s="5"/>
      <c r="I15621" s="43"/>
      <c r="J15621" s="49"/>
      <c r="K15621" s="5"/>
      <c r="L15621" s="5"/>
      <c r="M15621" s="5"/>
    </row>
    <row r="15622" spans="1:13" s="3" customFormat="1" x14ac:dyDescent="0.25">
      <c r="A15622" s="5"/>
      <c r="B15622" s="5"/>
      <c r="C15622" s="5"/>
      <c r="D15622" s="5"/>
      <c r="E15622" s="5"/>
      <c r="F15622" s="5"/>
      <c r="G15622" s="5"/>
      <c r="H15622" s="5"/>
      <c r="I15622" s="43"/>
      <c r="J15622" s="49"/>
      <c r="K15622" s="5"/>
      <c r="L15622" s="5"/>
      <c r="M15622" s="5"/>
    </row>
    <row r="15623" spans="1:13" s="3" customFormat="1" x14ac:dyDescent="0.25">
      <c r="A15623" s="5"/>
      <c r="B15623" s="5"/>
      <c r="C15623" s="5"/>
      <c r="D15623" s="5"/>
      <c r="E15623" s="5"/>
      <c r="F15623" s="5"/>
      <c r="G15623" s="5"/>
      <c r="H15623" s="5"/>
      <c r="I15623" s="43"/>
      <c r="J15623" s="49"/>
      <c r="K15623" s="5"/>
      <c r="L15623" s="5"/>
      <c r="M15623" s="5"/>
    </row>
    <row r="15624" spans="1:13" s="3" customFormat="1" x14ac:dyDescent="0.25">
      <c r="A15624" s="5"/>
      <c r="B15624" s="5"/>
      <c r="C15624" s="5"/>
      <c r="D15624" s="5"/>
      <c r="E15624" s="5"/>
      <c r="F15624" s="5"/>
      <c r="G15624" s="5"/>
      <c r="H15624" s="5"/>
      <c r="I15624" s="43"/>
      <c r="J15624" s="49"/>
      <c r="K15624" s="5"/>
      <c r="L15624" s="5"/>
      <c r="M15624" s="5"/>
    </row>
    <row r="15625" spans="1:13" s="3" customFormat="1" x14ac:dyDescent="0.25">
      <c r="A15625" s="5"/>
      <c r="B15625" s="5"/>
      <c r="C15625" s="5"/>
      <c r="D15625" s="5"/>
      <c r="E15625" s="5"/>
      <c r="F15625" s="5"/>
      <c r="G15625" s="5"/>
      <c r="H15625" s="5"/>
      <c r="I15625" s="43"/>
      <c r="J15625" s="49"/>
      <c r="K15625" s="5"/>
      <c r="L15625" s="5"/>
      <c r="M15625" s="5"/>
    </row>
    <row r="15626" spans="1:13" s="3" customFormat="1" x14ac:dyDescent="0.25">
      <c r="A15626" s="5"/>
      <c r="B15626" s="5"/>
      <c r="C15626" s="5"/>
      <c r="D15626" s="5"/>
      <c r="E15626" s="5"/>
      <c r="F15626" s="5"/>
      <c r="G15626" s="5"/>
      <c r="H15626" s="5"/>
      <c r="I15626" s="43"/>
      <c r="J15626" s="49"/>
      <c r="K15626" s="5"/>
      <c r="L15626" s="5"/>
      <c r="M15626" s="5"/>
    </row>
    <row r="15627" spans="1:13" s="3" customFormat="1" x14ac:dyDescent="0.25">
      <c r="A15627" s="5"/>
      <c r="B15627" s="5"/>
      <c r="C15627" s="5"/>
      <c r="D15627" s="5"/>
      <c r="E15627" s="5"/>
      <c r="F15627" s="5"/>
      <c r="G15627" s="5"/>
      <c r="H15627" s="5"/>
      <c r="I15627" s="43"/>
      <c r="J15627" s="49"/>
      <c r="K15627" s="5"/>
      <c r="L15627" s="5"/>
      <c r="M15627" s="5"/>
    </row>
    <row r="15628" spans="1:13" s="3" customFormat="1" x14ac:dyDescent="0.25">
      <c r="A15628" s="5"/>
      <c r="B15628" s="5"/>
      <c r="C15628" s="5"/>
      <c r="D15628" s="5"/>
      <c r="E15628" s="5"/>
      <c r="F15628" s="5"/>
      <c r="G15628" s="5"/>
      <c r="H15628" s="5"/>
      <c r="I15628" s="43"/>
      <c r="J15628" s="49"/>
      <c r="K15628" s="5"/>
      <c r="L15628" s="5"/>
      <c r="M15628" s="5"/>
    </row>
    <row r="15629" spans="1:13" s="3" customFormat="1" x14ac:dyDescent="0.25">
      <c r="A15629" s="5"/>
      <c r="B15629" s="5"/>
      <c r="C15629" s="5"/>
      <c r="D15629" s="5"/>
      <c r="E15629" s="5"/>
      <c r="F15629" s="5"/>
      <c r="G15629" s="5"/>
      <c r="H15629" s="5"/>
      <c r="I15629" s="43"/>
      <c r="J15629" s="49"/>
      <c r="K15629" s="5"/>
      <c r="L15629" s="5"/>
      <c r="M15629" s="5"/>
    </row>
    <row r="15630" spans="1:13" s="3" customFormat="1" x14ac:dyDescent="0.25">
      <c r="A15630" s="5"/>
      <c r="B15630" s="5"/>
      <c r="C15630" s="5"/>
      <c r="D15630" s="5"/>
      <c r="E15630" s="5"/>
      <c r="F15630" s="5"/>
      <c r="G15630" s="5"/>
      <c r="H15630" s="5"/>
      <c r="I15630" s="43"/>
      <c r="J15630" s="49"/>
      <c r="K15630" s="5"/>
      <c r="L15630" s="5"/>
      <c r="M15630" s="5"/>
    </row>
    <row r="15631" spans="1:13" s="3" customFormat="1" x14ac:dyDescent="0.25">
      <c r="A15631" s="5"/>
      <c r="B15631" s="5"/>
      <c r="C15631" s="5"/>
      <c r="D15631" s="5"/>
      <c r="E15631" s="5"/>
      <c r="F15631" s="5"/>
      <c r="G15631" s="5"/>
      <c r="H15631" s="5"/>
      <c r="I15631" s="43"/>
      <c r="J15631" s="49"/>
      <c r="K15631" s="5"/>
      <c r="L15631" s="5"/>
      <c r="M15631" s="5"/>
    </row>
    <row r="15632" spans="1:13" s="3" customFormat="1" x14ac:dyDescent="0.25">
      <c r="A15632" s="5"/>
      <c r="B15632" s="5"/>
      <c r="C15632" s="5"/>
      <c r="D15632" s="5"/>
      <c r="E15632" s="5"/>
      <c r="F15632" s="5"/>
      <c r="G15632" s="5"/>
      <c r="H15632" s="5"/>
      <c r="I15632" s="43"/>
      <c r="J15632" s="49"/>
      <c r="K15632" s="5"/>
      <c r="L15632" s="5"/>
      <c r="M15632" s="5"/>
    </row>
    <row r="15633" spans="1:13" s="3" customFormat="1" x14ac:dyDescent="0.25">
      <c r="A15633" s="5"/>
      <c r="B15633" s="5"/>
      <c r="C15633" s="5"/>
      <c r="D15633" s="5"/>
      <c r="E15633" s="5"/>
      <c r="F15633" s="5"/>
      <c r="G15633" s="5"/>
      <c r="H15633" s="5"/>
      <c r="I15633" s="43"/>
      <c r="J15633" s="49"/>
      <c r="K15633" s="5"/>
      <c r="L15633" s="5"/>
      <c r="M15633" s="5"/>
    </row>
    <row r="15634" spans="1:13" s="3" customFormat="1" x14ac:dyDescent="0.25">
      <c r="A15634" s="5"/>
      <c r="B15634" s="5"/>
      <c r="C15634" s="5"/>
      <c r="D15634" s="5"/>
      <c r="E15634" s="5"/>
      <c r="F15634" s="5"/>
      <c r="G15634" s="5"/>
      <c r="H15634" s="5"/>
      <c r="I15634" s="43"/>
      <c r="J15634" s="49"/>
      <c r="K15634" s="5"/>
      <c r="L15634" s="5"/>
      <c r="M15634" s="5"/>
    </row>
    <row r="15635" spans="1:13" s="3" customFormat="1" x14ac:dyDescent="0.25">
      <c r="A15635" s="5"/>
      <c r="B15635" s="5"/>
      <c r="C15635" s="5"/>
      <c r="D15635" s="5"/>
      <c r="E15635" s="5"/>
      <c r="F15635" s="5"/>
      <c r="G15635" s="5"/>
      <c r="H15635" s="5"/>
      <c r="I15635" s="43"/>
      <c r="J15635" s="49"/>
      <c r="K15635" s="5"/>
      <c r="L15635" s="5"/>
      <c r="M15635" s="5"/>
    </row>
    <row r="15636" spans="1:13" s="3" customFormat="1" x14ac:dyDescent="0.25">
      <c r="A15636" s="5"/>
      <c r="B15636" s="5"/>
      <c r="C15636" s="5"/>
      <c r="D15636" s="5"/>
      <c r="E15636" s="5"/>
      <c r="F15636" s="5"/>
      <c r="G15636" s="5"/>
      <c r="H15636" s="5"/>
      <c r="I15636" s="43"/>
      <c r="J15636" s="49"/>
      <c r="K15636" s="5"/>
      <c r="L15636" s="5"/>
      <c r="M15636" s="5"/>
    </row>
    <row r="15637" spans="1:13" s="3" customFormat="1" x14ac:dyDescent="0.25">
      <c r="A15637" s="5"/>
      <c r="B15637" s="5"/>
      <c r="C15637" s="5"/>
      <c r="D15637" s="5"/>
      <c r="E15637" s="5"/>
      <c r="F15637" s="5"/>
      <c r="G15637" s="5"/>
      <c r="H15637" s="5"/>
      <c r="I15637" s="43"/>
      <c r="J15637" s="49"/>
      <c r="K15637" s="5"/>
      <c r="L15637" s="5"/>
      <c r="M15637" s="5"/>
    </row>
    <row r="15638" spans="1:13" s="3" customFormat="1" x14ac:dyDescent="0.25">
      <c r="A15638" s="5"/>
      <c r="B15638" s="5"/>
      <c r="C15638" s="5"/>
      <c r="D15638" s="5"/>
      <c r="E15638" s="5"/>
      <c r="F15638" s="5"/>
      <c r="G15638" s="5"/>
      <c r="H15638" s="5"/>
      <c r="I15638" s="43"/>
      <c r="J15638" s="49"/>
      <c r="K15638" s="5"/>
      <c r="L15638" s="5"/>
      <c r="M15638" s="5"/>
    </row>
    <row r="15639" spans="1:13" s="3" customFormat="1" x14ac:dyDescent="0.25">
      <c r="A15639" s="5"/>
      <c r="B15639" s="5"/>
      <c r="C15639" s="5"/>
      <c r="D15639" s="5"/>
      <c r="E15639" s="5"/>
      <c r="F15639" s="5"/>
      <c r="G15639" s="5"/>
      <c r="H15639" s="5"/>
      <c r="I15639" s="43"/>
      <c r="J15639" s="49"/>
      <c r="K15639" s="5"/>
      <c r="L15639" s="5"/>
      <c r="M15639" s="5"/>
    </row>
    <row r="15640" spans="1:13" s="3" customFormat="1" x14ac:dyDescent="0.25">
      <c r="A15640" s="5"/>
      <c r="B15640" s="5"/>
      <c r="C15640" s="5"/>
      <c r="D15640" s="5"/>
      <c r="E15640" s="5"/>
      <c r="F15640" s="5"/>
      <c r="G15640" s="5"/>
      <c r="H15640" s="5"/>
      <c r="I15640" s="43"/>
      <c r="J15640" s="49"/>
      <c r="K15640" s="5"/>
      <c r="L15640" s="5"/>
      <c r="M15640" s="5"/>
    </row>
    <row r="15641" spans="1:13" s="3" customFormat="1" x14ac:dyDescent="0.25">
      <c r="A15641" s="5"/>
      <c r="B15641" s="5"/>
      <c r="C15641" s="5"/>
      <c r="D15641" s="5"/>
      <c r="E15641" s="5"/>
      <c r="F15641" s="5"/>
      <c r="G15641" s="5"/>
      <c r="H15641" s="5"/>
      <c r="I15641" s="43"/>
      <c r="J15641" s="49"/>
      <c r="K15641" s="5"/>
      <c r="L15641" s="5"/>
      <c r="M15641" s="5"/>
    </row>
    <row r="15642" spans="1:13" s="3" customFormat="1" x14ac:dyDescent="0.25">
      <c r="A15642" s="5"/>
      <c r="B15642" s="5"/>
      <c r="C15642" s="5"/>
      <c r="D15642" s="5"/>
      <c r="E15642" s="5"/>
      <c r="F15642" s="5"/>
      <c r="G15642" s="5"/>
      <c r="H15642" s="5"/>
      <c r="I15642" s="43"/>
      <c r="J15642" s="49"/>
      <c r="K15642" s="5"/>
      <c r="L15642" s="5"/>
      <c r="M15642" s="5"/>
    </row>
    <row r="15643" spans="1:13" s="3" customFormat="1" x14ac:dyDescent="0.25">
      <c r="A15643" s="5"/>
      <c r="B15643" s="5"/>
      <c r="C15643" s="5"/>
      <c r="D15643" s="5"/>
      <c r="E15643" s="5"/>
      <c r="F15643" s="5"/>
      <c r="G15643" s="5"/>
      <c r="H15643" s="5"/>
      <c r="I15643" s="43"/>
      <c r="J15643" s="49"/>
      <c r="K15643" s="5"/>
      <c r="L15643" s="5"/>
      <c r="M15643" s="5"/>
    </row>
    <row r="15644" spans="1:13" s="3" customFormat="1" x14ac:dyDescent="0.25">
      <c r="A15644" s="5"/>
      <c r="B15644" s="5"/>
      <c r="C15644" s="5"/>
      <c r="D15644" s="5"/>
      <c r="E15644" s="5"/>
      <c r="F15644" s="5"/>
      <c r="G15644" s="5"/>
      <c r="H15644" s="5"/>
      <c r="I15644" s="43"/>
      <c r="J15644" s="49"/>
      <c r="K15644" s="5"/>
      <c r="L15644" s="5"/>
      <c r="M15644" s="5"/>
    </row>
    <row r="15645" spans="1:13" s="3" customFormat="1" x14ac:dyDescent="0.25">
      <c r="A15645" s="5"/>
      <c r="B15645" s="5"/>
      <c r="C15645" s="5"/>
      <c r="D15645" s="5"/>
      <c r="E15645" s="5"/>
      <c r="F15645" s="5"/>
      <c r="G15645" s="5"/>
      <c r="H15645" s="5"/>
      <c r="I15645" s="43"/>
      <c r="J15645" s="49"/>
      <c r="K15645" s="5"/>
      <c r="L15645" s="5"/>
      <c r="M15645" s="5"/>
    </row>
    <row r="15646" spans="1:13" s="3" customFormat="1" x14ac:dyDescent="0.25">
      <c r="A15646" s="5"/>
      <c r="B15646" s="5"/>
      <c r="C15646" s="5"/>
      <c r="D15646" s="5"/>
      <c r="E15646" s="5"/>
      <c r="F15646" s="5"/>
      <c r="G15646" s="5"/>
      <c r="H15646" s="5"/>
      <c r="I15646" s="43"/>
      <c r="J15646" s="49"/>
      <c r="K15646" s="5"/>
      <c r="L15646" s="5"/>
      <c r="M15646" s="5"/>
    </row>
    <row r="15647" spans="1:13" s="3" customFormat="1" x14ac:dyDescent="0.25">
      <c r="A15647" s="5"/>
      <c r="B15647" s="5"/>
      <c r="C15647" s="5"/>
      <c r="D15647" s="5"/>
      <c r="E15647" s="5"/>
      <c r="F15647" s="5"/>
      <c r="G15647" s="5"/>
      <c r="H15647" s="5"/>
      <c r="I15647" s="43"/>
      <c r="J15647" s="49"/>
      <c r="K15647" s="5"/>
      <c r="L15647" s="5"/>
      <c r="M15647" s="5"/>
    </row>
    <row r="15648" spans="1:13" s="3" customFormat="1" x14ac:dyDescent="0.25">
      <c r="A15648" s="5"/>
      <c r="B15648" s="5"/>
      <c r="C15648" s="5"/>
      <c r="D15648" s="5"/>
      <c r="E15648" s="5"/>
      <c r="F15648" s="5"/>
      <c r="G15648" s="5"/>
      <c r="H15648" s="5"/>
      <c r="I15648" s="43"/>
      <c r="J15648" s="49"/>
      <c r="K15648" s="5"/>
      <c r="L15648" s="5"/>
      <c r="M15648" s="5"/>
    </row>
    <row r="15649" spans="1:13" s="3" customFormat="1" x14ac:dyDescent="0.25">
      <c r="A15649" s="5"/>
      <c r="B15649" s="5"/>
      <c r="C15649" s="5"/>
      <c r="D15649" s="5"/>
      <c r="E15649" s="5"/>
      <c r="F15649" s="5"/>
      <c r="G15649" s="5"/>
      <c r="H15649" s="5"/>
      <c r="I15649" s="43"/>
      <c r="J15649" s="49"/>
      <c r="K15649" s="5"/>
      <c r="L15649" s="5"/>
      <c r="M15649" s="5"/>
    </row>
    <row r="15650" spans="1:13" s="3" customFormat="1" x14ac:dyDescent="0.25">
      <c r="A15650" s="5"/>
      <c r="B15650" s="5"/>
      <c r="C15650" s="5"/>
      <c r="D15650" s="5"/>
      <c r="E15650" s="5"/>
      <c r="F15650" s="5"/>
      <c r="G15650" s="5"/>
      <c r="H15650" s="5"/>
      <c r="I15650" s="43"/>
      <c r="J15650" s="49"/>
      <c r="K15650" s="5"/>
      <c r="L15650" s="5"/>
      <c r="M15650" s="5"/>
    </row>
    <row r="15651" spans="1:13" s="3" customFormat="1" x14ac:dyDescent="0.25">
      <c r="A15651" s="5"/>
      <c r="B15651" s="5"/>
      <c r="C15651" s="5"/>
      <c r="D15651" s="5"/>
      <c r="E15651" s="5"/>
      <c r="F15651" s="5"/>
      <c r="G15651" s="5"/>
      <c r="H15651" s="5"/>
      <c r="I15651" s="43"/>
      <c r="J15651" s="49"/>
      <c r="K15651" s="5"/>
      <c r="L15651" s="5"/>
      <c r="M15651" s="5"/>
    </row>
    <row r="15652" spans="1:13" s="3" customFormat="1" x14ac:dyDescent="0.25">
      <c r="A15652" s="5"/>
      <c r="B15652" s="5"/>
      <c r="C15652" s="5"/>
      <c r="D15652" s="5"/>
      <c r="E15652" s="5"/>
      <c r="F15652" s="5"/>
      <c r="G15652" s="5"/>
      <c r="H15652" s="5"/>
      <c r="I15652" s="43"/>
      <c r="J15652" s="49"/>
      <c r="K15652" s="5"/>
      <c r="L15652" s="5"/>
      <c r="M15652" s="5"/>
    </row>
    <row r="15653" spans="1:13" s="3" customFormat="1" x14ac:dyDescent="0.25">
      <c r="A15653" s="5"/>
      <c r="B15653" s="5"/>
      <c r="C15653" s="5"/>
      <c r="D15653" s="5"/>
      <c r="E15653" s="5"/>
      <c r="F15653" s="5"/>
      <c r="G15653" s="5"/>
      <c r="H15653" s="5"/>
      <c r="I15653" s="43"/>
      <c r="J15653" s="49"/>
      <c r="K15653" s="5"/>
      <c r="L15653" s="5"/>
      <c r="M15653" s="5"/>
    </row>
    <row r="15654" spans="1:13" s="3" customFormat="1" x14ac:dyDescent="0.25">
      <c r="A15654" s="5"/>
      <c r="B15654" s="5"/>
      <c r="C15654" s="5"/>
      <c r="D15654" s="5"/>
      <c r="E15654" s="5"/>
      <c r="F15654" s="5"/>
      <c r="G15654" s="5"/>
      <c r="H15654" s="5"/>
      <c r="I15654" s="43"/>
      <c r="J15654" s="49"/>
      <c r="K15654" s="5"/>
      <c r="L15654" s="5"/>
      <c r="M15654" s="5"/>
    </row>
    <row r="15655" spans="1:13" s="3" customFormat="1" x14ac:dyDescent="0.25">
      <c r="A15655" s="5"/>
      <c r="B15655" s="5"/>
      <c r="C15655" s="5"/>
      <c r="D15655" s="5"/>
      <c r="E15655" s="5"/>
      <c r="F15655" s="5"/>
      <c r="G15655" s="5"/>
      <c r="H15655" s="5"/>
      <c r="I15655" s="43"/>
      <c r="J15655" s="49"/>
      <c r="K15655" s="5"/>
      <c r="L15655" s="5"/>
      <c r="M15655" s="5"/>
    </row>
    <row r="15656" spans="1:13" s="3" customFormat="1" x14ac:dyDescent="0.25">
      <c r="A15656" s="5"/>
      <c r="B15656" s="5"/>
      <c r="C15656" s="5"/>
      <c r="D15656" s="5"/>
      <c r="E15656" s="5"/>
      <c r="F15656" s="5"/>
      <c r="G15656" s="5"/>
      <c r="H15656" s="5"/>
      <c r="I15656" s="43"/>
      <c r="J15656" s="49"/>
      <c r="K15656" s="5"/>
      <c r="L15656" s="5"/>
      <c r="M15656" s="5"/>
    </row>
    <row r="15657" spans="1:13" s="3" customFormat="1" x14ac:dyDescent="0.25">
      <c r="A15657" s="5"/>
      <c r="B15657" s="5"/>
      <c r="C15657" s="5"/>
      <c r="D15657" s="5"/>
      <c r="E15657" s="5"/>
      <c r="F15657" s="5"/>
      <c r="G15657" s="5"/>
      <c r="H15657" s="5"/>
      <c r="I15657" s="43"/>
      <c r="J15657" s="49"/>
      <c r="K15657" s="5"/>
      <c r="L15657" s="5"/>
      <c r="M15657" s="5"/>
    </row>
    <row r="15658" spans="1:13" s="3" customFormat="1" x14ac:dyDescent="0.25">
      <c r="A15658" s="5"/>
      <c r="B15658" s="5"/>
      <c r="C15658" s="5"/>
      <c r="D15658" s="5"/>
      <c r="E15658" s="5"/>
      <c r="F15658" s="5"/>
      <c r="G15658" s="5"/>
      <c r="H15658" s="5"/>
      <c r="I15658" s="43"/>
      <c r="J15658" s="49"/>
      <c r="K15658" s="5"/>
      <c r="L15658" s="5"/>
      <c r="M15658" s="5"/>
    </row>
    <row r="15659" spans="1:13" s="3" customFormat="1" x14ac:dyDescent="0.25">
      <c r="A15659" s="5"/>
      <c r="B15659" s="5"/>
      <c r="C15659" s="5"/>
      <c r="D15659" s="5"/>
      <c r="E15659" s="5"/>
      <c r="F15659" s="5"/>
      <c r="G15659" s="5"/>
      <c r="H15659" s="5"/>
      <c r="I15659" s="43"/>
      <c r="J15659" s="49"/>
      <c r="K15659" s="5"/>
      <c r="L15659" s="5"/>
      <c r="M15659" s="5"/>
    </row>
    <row r="15660" spans="1:13" s="3" customFormat="1" x14ac:dyDescent="0.25">
      <c r="A15660" s="5"/>
      <c r="B15660" s="5"/>
      <c r="C15660" s="5"/>
      <c r="D15660" s="5"/>
      <c r="E15660" s="5"/>
      <c r="F15660" s="5"/>
      <c r="G15660" s="5"/>
      <c r="H15660" s="5"/>
      <c r="I15660" s="43"/>
      <c r="J15660" s="49"/>
      <c r="K15660" s="5"/>
      <c r="L15660" s="5"/>
      <c r="M15660" s="5"/>
    </row>
    <row r="15661" spans="1:13" s="3" customFormat="1" x14ac:dyDescent="0.25">
      <c r="A15661" s="5"/>
      <c r="B15661" s="5"/>
      <c r="C15661" s="5"/>
      <c r="D15661" s="5"/>
      <c r="E15661" s="5"/>
      <c r="F15661" s="5"/>
      <c r="G15661" s="5"/>
      <c r="H15661" s="5"/>
      <c r="I15661" s="43"/>
      <c r="J15661" s="49"/>
      <c r="K15661" s="5"/>
      <c r="L15661" s="5"/>
      <c r="M15661" s="5"/>
    </row>
    <row r="15662" spans="1:13" s="3" customFormat="1" x14ac:dyDescent="0.25">
      <c r="A15662" s="5"/>
      <c r="B15662" s="5"/>
      <c r="C15662" s="5"/>
      <c r="D15662" s="5"/>
      <c r="E15662" s="5"/>
      <c r="F15662" s="5"/>
      <c r="G15662" s="5"/>
      <c r="H15662" s="5"/>
      <c r="I15662" s="43"/>
      <c r="J15662" s="49"/>
      <c r="K15662" s="5"/>
      <c r="L15662" s="5"/>
      <c r="M15662" s="5"/>
    </row>
    <row r="15663" spans="1:13" s="3" customFormat="1" x14ac:dyDescent="0.25">
      <c r="A15663" s="5"/>
      <c r="B15663" s="5"/>
      <c r="C15663" s="5"/>
      <c r="D15663" s="5"/>
      <c r="E15663" s="5"/>
      <c r="F15663" s="5"/>
      <c r="G15663" s="5"/>
      <c r="H15663" s="5"/>
      <c r="I15663" s="43"/>
      <c r="J15663" s="49"/>
      <c r="K15663" s="5"/>
      <c r="L15663" s="5"/>
      <c r="M15663" s="5"/>
    </row>
    <row r="15664" spans="1:13" s="3" customFormat="1" x14ac:dyDescent="0.25">
      <c r="A15664" s="5"/>
      <c r="B15664" s="5"/>
      <c r="C15664" s="5"/>
      <c r="D15664" s="5"/>
      <c r="E15664" s="5"/>
      <c r="F15664" s="5"/>
      <c r="G15664" s="5"/>
      <c r="H15664" s="5"/>
      <c r="I15664" s="43"/>
      <c r="J15664" s="49"/>
      <c r="K15664" s="5"/>
      <c r="L15664" s="5"/>
      <c r="M15664" s="5"/>
    </row>
    <row r="15665" spans="1:13" s="3" customFormat="1" x14ac:dyDescent="0.25">
      <c r="A15665" s="5"/>
      <c r="B15665" s="5"/>
      <c r="C15665" s="5"/>
      <c r="D15665" s="5"/>
      <c r="E15665" s="5"/>
      <c r="F15665" s="5"/>
      <c r="G15665" s="5"/>
      <c r="H15665" s="5"/>
      <c r="I15665" s="43"/>
      <c r="J15665" s="49"/>
      <c r="K15665" s="5"/>
      <c r="L15665" s="5"/>
      <c r="M15665" s="5"/>
    </row>
    <row r="15666" spans="1:13" s="3" customFormat="1" x14ac:dyDescent="0.25">
      <c r="A15666" s="5"/>
      <c r="B15666" s="5"/>
      <c r="C15666" s="5"/>
      <c r="D15666" s="5"/>
      <c r="E15666" s="5"/>
      <c r="F15666" s="5"/>
      <c r="G15666" s="5"/>
      <c r="H15666" s="5"/>
      <c r="I15666" s="43"/>
      <c r="J15666" s="49"/>
      <c r="K15666" s="5"/>
      <c r="L15666" s="5"/>
      <c r="M15666" s="5"/>
    </row>
    <row r="15667" spans="1:13" s="3" customFormat="1" x14ac:dyDescent="0.25">
      <c r="A15667" s="5"/>
      <c r="B15667" s="5"/>
      <c r="C15667" s="5"/>
      <c r="D15667" s="5"/>
      <c r="E15667" s="5"/>
      <c r="F15667" s="5"/>
      <c r="G15667" s="5"/>
      <c r="H15667" s="5"/>
      <c r="I15667" s="43"/>
      <c r="J15667" s="49"/>
      <c r="K15667" s="5"/>
      <c r="L15667" s="5"/>
      <c r="M15667" s="5"/>
    </row>
    <row r="15668" spans="1:13" s="3" customFormat="1" x14ac:dyDescent="0.25">
      <c r="A15668" s="5"/>
      <c r="B15668" s="5"/>
      <c r="C15668" s="5"/>
      <c r="D15668" s="5"/>
      <c r="E15668" s="5"/>
      <c r="F15668" s="5"/>
      <c r="G15668" s="5"/>
      <c r="H15668" s="5"/>
      <c r="I15668" s="43"/>
      <c r="J15668" s="49"/>
      <c r="K15668" s="5"/>
      <c r="L15668" s="5"/>
      <c r="M15668" s="5"/>
    </row>
    <row r="15669" spans="1:13" s="3" customFormat="1" x14ac:dyDescent="0.25">
      <c r="A15669" s="5"/>
      <c r="B15669" s="5"/>
      <c r="C15669" s="5"/>
      <c r="D15669" s="5"/>
      <c r="E15669" s="5"/>
      <c r="F15669" s="5"/>
      <c r="G15669" s="5"/>
      <c r="H15669" s="5"/>
      <c r="I15669" s="43"/>
      <c r="J15669" s="49"/>
      <c r="K15669" s="5"/>
      <c r="L15669" s="5"/>
      <c r="M15669" s="5"/>
    </row>
    <row r="15670" spans="1:13" s="3" customFormat="1" x14ac:dyDescent="0.25">
      <c r="A15670" s="5"/>
      <c r="B15670" s="5"/>
      <c r="C15670" s="5"/>
      <c r="D15670" s="5"/>
      <c r="E15670" s="5"/>
      <c r="F15670" s="5"/>
      <c r="G15670" s="5"/>
      <c r="H15670" s="5"/>
      <c r="I15670" s="43"/>
      <c r="J15670" s="49"/>
      <c r="K15670" s="5"/>
      <c r="L15670" s="5"/>
      <c r="M15670" s="5"/>
    </row>
    <row r="15671" spans="1:13" s="3" customFormat="1" x14ac:dyDescent="0.25">
      <c r="A15671" s="5"/>
      <c r="B15671" s="5"/>
      <c r="C15671" s="5"/>
      <c r="D15671" s="5"/>
      <c r="E15671" s="5"/>
      <c r="F15671" s="5"/>
      <c r="G15671" s="5"/>
      <c r="H15671" s="5"/>
      <c r="I15671" s="43"/>
      <c r="J15671" s="49"/>
      <c r="K15671" s="5"/>
      <c r="L15671" s="5"/>
      <c r="M15671" s="5"/>
    </row>
    <row r="15672" spans="1:13" s="3" customFormat="1" x14ac:dyDescent="0.25">
      <c r="A15672" s="5"/>
      <c r="B15672" s="5"/>
      <c r="C15672" s="5"/>
      <c r="D15672" s="5"/>
      <c r="E15672" s="5"/>
      <c r="F15672" s="5"/>
      <c r="G15672" s="5"/>
      <c r="H15672" s="5"/>
      <c r="I15672" s="43"/>
      <c r="J15672" s="49"/>
      <c r="K15672" s="5"/>
      <c r="L15672" s="5"/>
      <c r="M15672" s="5"/>
    </row>
    <row r="15673" spans="1:13" s="3" customFormat="1" x14ac:dyDescent="0.25">
      <c r="A15673" s="5"/>
      <c r="B15673" s="5"/>
      <c r="C15673" s="5"/>
      <c r="D15673" s="5"/>
      <c r="E15673" s="5"/>
      <c r="F15673" s="5"/>
      <c r="G15673" s="5"/>
      <c r="H15673" s="5"/>
      <c r="I15673" s="43"/>
      <c r="J15673" s="49"/>
      <c r="K15673" s="5"/>
      <c r="L15673" s="5"/>
      <c r="M15673" s="5"/>
    </row>
    <row r="15674" spans="1:13" s="3" customFormat="1" x14ac:dyDescent="0.25">
      <c r="A15674" s="5"/>
      <c r="B15674" s="5"/>
      <c r="C15674" s="5"/>
      <c r="D15674" s="5"/>
      <c r="E15674" s="5"/>
      <c r="F15674" s="5"/>
      <c r="G15674" s="5"/>
      <c r="H15674" s="5"/>
      <c r="I15674" s="43"/>
      <c r="J15674" s="49"/>
      <c r="K15674" s="5"/>
      <c r="L15674" s="5"/>
      <c r="M15674" s="5"/>
    </row>
    <row r="15675" spans="1:13" s="3" customFormat="1" x14ac:dyDescent="0.25">
      <c r="A15675" s="5"/>
      <c r="B15675" s="5"/>
      <c r="C15675" s="5"/>
      <c r="D15675" s="5"/>
      <c r="E15675" s="5"/>
      <c r="F15675" s="5"/>
      <c r="G15675" s="5"/>
      <c r="H15675" s="5"/>
      <c r="I15675" s="43"/>
      <c r="J15675" s="49"/>
      <c r="K15675" s="5"/>
      <c r="L15675" s="5"/>
      <c r="M15675" s="5"/>
    </row>
    <row r="15676" spans="1:13" s="3" customFormat="1" x14ac:dyDescent="0.25">
      <c r="A15676" s="5"/>
      <c r="B15676" s="5"/>
      <c r="C15676" s="5"/>
      <c r="D15676" s="5"/>
      <c r="E15676" s="5"/>
      <c r="F15676" s="5"/>
      <c r="G15676" s="5"/>
      <c r="H15676" s="5"/>
      <c r="I15676" s="43"/>
      <c r="J15676" s="49"/>
      <c r="K15676" s="5"/>
      <c r="L15676" s="5"/>
      <c r="M15676" s="5"/>
    </row>
    <row r="15677" spans="1:13" s="3" customFormat="1" x14ac:dyDescent="0.25">
      <c r="A15677" s="5"/>
      <c r="B15677" s="5"/>
      <c r="C15677" s="5"/>
      <c r="D15677" s="5"/>
      <c r="E15677" s="5"/>
      <c r="F15677" s="5"/>
      <c r="G15677" s="5"/>
      <c r="H15677" s="5"/>
      <c r="I15677" s="43"/>
      <c r="J15677" s="49"/>
      <c r="K15677" s="5"/>
      <c r="L15677" s="5"/>
      <c r="M15677" s="5"/>
    </row>
    <row r="15678" spans="1:13" s="3" customFormat="1" x14ac:dyDescent="0.25">
      <c r="A15678" s="5"/>
      <c r="B15678" s="5"/>
      <c r="C15678" s="5"/>
      <c r="D15678" s="5"/>
      <c r="E15678" s="5"/>
      <c r="F15678" s="5"/>
      <c r="G15678" s="5"/>
      <c r="H15678" s="5"/>
      <c r="I15678" s="43"/>
      <c r="J15678" s="49"/>
      <c r="K15678" s="5"/>
      <c r="L15678" s="5"/>
      <c r="M15678" s="5"/>
    </row>
    <row r="15679" spans="1:13" s="3" customFormat="1" x14ac:dyDescent="0.25">
      <c r="A15679" s="5"/>
      <c r="B15679" s="5"/>
      <c r="C15679" s="5"/>
      <c r="D15679" s="5"/>
      <c r="E15679" s="5"/>
      <c r="F15679" s="5"/>
      <c r="G15679" s="5"/>
      <c r="H15679" s="5"/>
      <c r="I15679" s="43"/>
      <c r="J15679" s="49"/>
      <c r="K15679" s="5"/>
      <c r="L15679" s="5"/>
      <c r="M15679" s="5"/>
    </row>
    <row r="15680" spans="1:13" s="3" customFormat="1" x14ac:dyDescent="0.25">
      <c r="A15680" s="5"/>
      <c r="B15680" s="5"/>
      <c r="C15680" s="5"/>
      <c r="D15680" s="5"/>
      <c r="E15680" s="5"/>
      <c r="F15680" s="5"/>
      <c r="G15680" s="5"/>
      <c r="H15680" s="5"/>
      <c r="I15680" s="43"/>
      <c r="J15680" s="49"/>
      <c r="K15680" s="5"/>
      <c r="L15680" s="5"/>
      <c r="M15680" s="5"/>
    </row>
    <row r="15681" spans="1:13" s="3" customFormat="1" x14ac:dyDescent="0.25">
      <c r="A15681" s="5"/>
      <c r="B15681" s="5"/>
      <c r="C15681" s="5"/>
      <c r="D15681" s="5"/>
      <c r="E15681" s="5"/>
      <c r="F15681" s="5"/>
      <c r="G15681" s="5"/>
      <c r="H15681" s="5"/>
      <c r="I15681" s="43"/>
      <c r="J15681" s="49"/>
      <c r="K15681" s="5"/>
      <c r="L15681" s="5"/>
      <c r="M15681" s="5"/>
    </row>
    <row r="15682" spans="1:13" s="3" customFormat="1" x14ac:dyDescent="0.25">
      <c r="A15682" s="5"/>
      <c r="B15682" s="5"/>
      <c r="C15682" s="5"/>
      <c r="D15682" s="5"/>
      <c r="E15682" s="5"/>
      <c r="F15682" s="5"/>
      <c r="G15682" s="5"/>
      <c r="H15682" s="5"/>
      <c r="I15682" s="43"/>
      <c r="J15682" s="49"/>
      <c r="K15682" s="5"/>
      <c r="L15682" s="5"/>
      <c r="M15682" s="5"/>
    </row>
    <row r="15683" spans="1:13" s="3" customFormat="1" x14ac:dyDescent="0.25">
      <c r="A15683" s="5"/>
      <c r="B15683" s="5"/>
      <c r="C15683" s="5"/>
      <c r="D15683" s="5"/>
      <c r="E15683" s="5"/>
      <c r="F15683" s="5"/>
      <c r="G15683" s="5"/>
      <c r="H15683" s="5"/>
      <c r="I15683" s="43"/>
      <c r="J15683" s="49"/>
      <c r="K15683" s="5"/>
      <c r="L15683" s="5"/>
      <c r="M15683" s="5"/>
    </row>
    <row r="15684" spans="1:13" s="3" customFormat="1" x14ac:dyDescent="0.25">
      <c r="A15684" s="5"/>
      <c r="B15684" s="5"/>
      <c r="C15684" s="5"/>
      <c r="D15684" s="5"/>
      <c r="E15684" s="5"/>
      <c r="F15684" s="5"/>
      <c r="G15684" s="5"/>
      <c r="H15684" s="5"/>
      <c r="I15684" s="43"/>
      <c r="J15684" s="49"/>
      <c r="K15684" s="5"/>
      <c r="L15684" s="5"/>
      <c r="M15684" s="5"/>
    </row>
    <row r="15685" spans="1:13" s="3" customFormat="1" x14ac:dyDescent="0.25">
      <c r="A15685" s="5"/>
      <c r="B15685" s="5"/>
      <c r="C15685" s="5"/>
      <c r="D15685" s="5"/>
      <c r="E15685" s="5"/>
      <c r="F15685" s="5"/>
      <c r="G15685" s="5"/>
      <c r="H15685" s="5"/>
      <c r="I15685" s="43"/>
      <c r="J15685" s="49"/>
      <c r="K15685" s="5"/>
      <c r="L15685" s="5"/>
      <c r="M15685" s="5"/>
    </row>
    <row r="15686" spans="1:13" s="3" customFormat="1" x14ac:dyDescent="0.25">
      <c r="A15686" s="5"/>
      <c r="B15686" s="5"/>
      <c r="C15686" s="5"/>
      <c r="D15686" s="5"/>
      <c r="E15686" s="5"/>
      <c r="F15686" s="5"/>
      <c r="G15686" s="5"/>
      <c r="H15686" s="5"/>
      <c r="I15686" s="43"/>
      <c r="J15686" s="49"/>
      <c r="K15686" s="5"/>
      <c r="L15686" s="5"/>
      <c r="M15686" s="5"/>
    </row>
    <row r="15687" spans="1:13" s="3" customFormat="1" x14ac:dyDescent="0.25">
      <c r="A15687" s="5"/>
      <c r="B15687" s="5"/>
      <c r="C15687" s="5"/>
      <c r="D15687" s="5"/>
      <c r="E15687" s="5"/>
      <c r="F15687" s="5"/>
      <c r="G15687" s="5"/>
      <c r="H15687" s="5"/>
      <c r="I15687" s="43"/>
      <c r="J15687" s="49"/>
      <c r="K15687" s="5"/>
      <c r="L15687" s="5"/>
      <c r="M15687" s="5"/>
    </row>
    <row r="15688" spans="1:13" s="3" customFormat="1" x14ac:dyDescent="0.25">
      <c r="A15688" s="5"/>
      <c r="B15688" s="5"/>
      <c r="C15688" s="5"/>
      <c r="D15688" s="5"/>
      <c r="E15688" s="5"/>
      <c r="F15688" s="5"/>
      <c r="G15688" s="5"/>
      <c r="H15688" s="5"/>
      <c r="I15688" s="43"/>
      <c r="J15688" s="49"/>
      <c r="K15688" s="5"/>
      <c r="L15688" s="5"/>
      <c r="M15688" s="5"/>
    </row>
    <row r="15689" spans="1:13" s="3" customFormat="1" x14ac:dyDescent="0.25">
      <c r="A15689" s="5"/>
      <c r="B15689" s="5"/>
      <c r="C15689" s="5"/>
      <c r="D15689" s="5"/>
      <c r="E15689" s="5"/>
      <c r="F15689" s="5"/>
      <c r="G15689" s="5"/>
      <c r="H15689" s="5"/>
      <c r="I15689" s="43"/>
      <c r="J15689" s="49"/>
      <c r="K15689" s="5"/>
      <c r="L15689" s="5"/>
      <c r="M15689" s="5"/>
    </row>
    <row r="15690" spans="1:13" s="3" customFormat="1" x14ac:dyDescent="0.25">
      <c r="A15690" s="5"/>
      <c r="B15690" s="5"/>
      <c r="C15690" s="5"/>
      <c r="D15690" s="5"/>
      <c r="E15690" s="5"/>
      <c r="F15690" s="5"/>
      <c r="G15690" s="5"/>
      <c r="H15690" s="5"/>
      <c r="I15690" s="43"/>
      <c r="J15690" s="49"/>
      <c r="K15690" s="5"/>
      <c r="L15690" s="5"/>
      <c r="M15690" s="5"/>
    </row>
    <row r="15691" spans="1:13" s="3" customFormat="1" x14ac:dyDescent="0.25">
      <c r="A15691" s="5"/>
      <c r="B15691" s="5"/>
      <c r="C15691" s="5"/>
      <c r="D15691" s="5"/>
      <c r="E15691" s="5"/>
      <c r="F15691" s="5"/>
      <c r="G15691" s="5"/>
      <c r="H15691" s="5"/>
      <c r="I15691" s="43"/>
      <c r="J15691" s="49"/>
      <c r="K15691" s="5"/>
      <c r="L15691" s="5"/>
      <c r="M15691" s="5"/>
    </row>
    <row r="15692" spans="1:13" s="3" customFormat="1" x14ac:dyDescent="0.25">
      <c r="A15692" s="5"/>
      <c r="B15692" s="5"/>
      <c r="C15692" s="5"/>
      <c r="D15692" s="5"/>
      <c r="E15692" s="5"/>
      <c r="F15692" s="5"/>
      <c r="G15692" s="5"/>
      <c r="H15692" s="5"/>
      <c r="I15692" s="43"/>
      <c r="J15692" s="49"/>
      <c r="K15692" s="5"/>
      <c r="L15692" s="5"/>
      <c r="M15692" s="5"/>
    </row>
    <row r="15693" spans="1:13" s="3" customFormat="1" x14ac:dyDescent="0.25">
      <c r="A15693" s="5"/>
      <c r="B15693" s="5"/>
      <c r="C15693" s="5"/>
      <c r="D15693" s="5"/>
      <c r="E15693" s="5"/>
      <c r="F15693" s="5"/>
      <c r="G15693" s="5"/>
      <c r="H15693" s="5"/>
      <c r="I15693" s="43"/>
      <c r="J15693" s="49"/>
      <c r="K15693" s="5"/>
      <c r="L15693" s="5"/>
      <c r="M15693" s="5"/>
    </row>
    <row r="15694" spans="1:13" s="3" customFormat="1" x14ac:dyDescent="0.25">
      <c r="A15694" s="5"/>
      <c r="B15694" s="5"/>
      <c r="C15694" s="5"/>
      <c r="D15694" s="5"/>
      <c r="E15694" s="5"/>
      <c r="F15694" s="5"/>
      <c r="G15694" s="5"/>
      <c r="H15694" s="5"/>
      <c r="I15694" s="43"/>
      <c r="J15694" s="49"/>
      <c r="K15694" s="5"/>
      <c r="L15694" s="5"/>
      <c r="M15694" s="5"/>
    </row>
    <row r="15695" spans="1:13" s="3" customFormat="1" x14ac:dyDescent="0.25">
      <c r="A15695" s="5"/>
      <c r="B15695" s="5"/>
      <c r="C15695" s="5"/>
      <c r="D15695" s="5"/>
      <c r="E15695" s="5"/>
      <c r="F15695" s="5"/>
      <c r="G15695" s="5"/>
      <c r="H15695" s="5"/>
      <c r="I15695" s="43"/>
      <c r="J15695" s="49"/>
      <c r="K15695" s="5"/>
      <c r="L15695" s="5"/>
      <c r="M15695" s="5"/>
    </row>
    <row r="15696" spans="1:13" s="3" customFormat="1" x14ac:dyDescent="0.25">
      <c r="A15696" s="5"/>
      <c r="B15696" s="5"/>
      <c r="C15696" s="5"/>
      <c r="D15696" s="5"/>
      <c r="E15696" s="5"/>
      <c r="F15696" s="5"/>
      <c r="G15696" s="5"/>
      <c r="H15696" s="5"/>
      <c r="I15696" s="43"/>
      <c r="J15696" s="49"/>
      <c r="K15696" s="5"/>
      <c r="L15696" s="5"/>
      <c r="M15696" s="5"/>
    </row>
    <row r="15697" spans="1:13" s="3" customFormat="1" x14ac:dyDescent="0.25">
      <c r="A15697" s="5"/>
      <c r="B15697" s="5"/>
      <c r="C15697" s="5"/>
      <c r="D15697" s="5"/>
      <c r="E15697" s="5"/>
      <c r="F15697" s="5"/>
      <c r="G15697" s="5"/>
      <c r="H15697" s="5"/>
      <c r="I15697" s="43"/>
      <c r="J15697" s="49"/>
      <c r="K15697" s="5"/>
      <c r="L15697" s="5"/>
      <c r="M15697" s="5"/>
    </row>
    <row r="15698" spans="1:13" s="3" customFormat="1" x14ac:dyDescent="0.25">
      <c r="A15698" s="5"/>
      <c r="B15698" s="5"/>
      <c r="C15698" s="5"/>
      <c r="D15698" s="5"/>
      <c r="E15698" s="5"/>
      <c r="F15698" s="5"/>
      <c r="G15698" s="5"/>
      <c r="H15698" s="5"/>
      <c r="I15698" s="43"/>
      <c r="J15698" s="49"/>
      <c r="K15698" s="5"/>
      <c r="L15698" s="5"/>
      <c r="M15698" s="5"/>
    </row>
    <row r="15699" spans="1:13" s="3" customFormat="1" x14ac:dyDescent="0.25">
      <c r="A15699" s="5"/>
      <c r="B15699" s="5"/>
      <c r="C15699" s="5"/>
      <c r="D15699" s="5"/>
      <c r="E15699" s="5"/>
      <c r="F15699" s="5"/>
      <c r="G15699" s="5"/>
      <c r="H15699" s="5"/>
      <c r="I15699" s="43"/>
      <c r="J15699" s="49"/>
      <c r="K15699" s="5"/>
      <c r="L15699" s="5"/>
      <c r="M15699" s="5"/>
    </row>
    <row r="15700" spans="1:13" s="3" customFormat="1" x14ac:dyDescent="0.25">
      <c r="A15700" s="5"/>
      <c r="B15700" s="5"/>
      <c r="C15700" s="5"/>
      <c r="D15700" s="5"/>
      <c r="E15700" s="5"/>
      <c r="F15700" s="5"/>
      <c r="G15700" s="5"/>
      <c r="H15700" s="5"/>
      <c r="I15700" s="43"/>
      <c r="J15700" s="49"/>
      <c r="K15700" s="5"/>
      <c r="L15700" s="5"/>
      <c r="M15700" s="5"/>
    </row>
    <row r="15701" spans="1:13" s="3" customFormat="1" x14ac:dyDescent="0.25">
      <c r="A15701" s="5"/>
      <c r="B15701" s="5"/>
      <c r="C15701" s="5"/>
      <c r="D15701" s="5"/>
      <c r="E15701" s="5"/>
      <c r="F15701" s="5"/>
      <c r="G15701" s="5"/>
      <c r="H15701" s="5"/>
      <c r="I15701" s="43"/>
      <c r="J15701" s="49"/>
      <c r="K15701" s="5"/>
      <c r="L15701" s="5"/>
      <c r="M15701" s="5"/>
    </row>
    <row r="15702" spans="1:13" s="3" customFormat="1" x14ac:dyDescent="0.25">
      <c r="A15702" s="5"/>
      <c r="B15702" s="5"/>
      <c r="C15702" s="5"/>
      <c r="D15702" s="5"/>
      <c r="E15702" s="5"/>
      <c r="F15702" s="5"/>
      <c r="G15702" s="5"/>
      <c r="H15702" s="5"/>
      <c r="I15702" s="43"/>
      <c r="J15702" s="49"/>
      <c r="K15702" s="5"/>
      <c r="L15702" s="5"/>
      <c r="M15702" s="5"/>
    </row>
    <row r="15703" spans="1:13" s="3" customFormat="1" x14ac:dyDescent="0.25">
      <c r="A15703" s="5"/>
      <c r="B15703" s="5"/>
      <c r="C15703" s="5"/>
      <c r="D15703" s="5"/>
      <c r="E15703" s="5"/>
      <c r="F15703" s="5"/>
      <c r="G15703" s="5"/>
      <c r="H15703" s="5"/>
      <c r="I15703" s="43"/>
      <c r="J15703" s="49"/>
      <c r="K15703" s="5"/>
      <c r="L15703" s="5"/>
      <c r="M15703" s="5"/>
    </row>
    <row r="15704" spans="1:13" s="3" customFormat="1" x14ac:dyDescent="0.25">
      <c r="A15704" s="5"/>
      <c r="B15704" s="5"/>
      <c r="C15704" s="5"/>
      <c r="D15704" s="5"/>
      <c r="E15704" s="5"/>
      <c r="F15704" s="5"/>
      <c r="G15704" s="5"/>
      <c r="H15704" s="5"/>
      <c r="I15704" s="43"/>
      <c r="J15704" s="49"/>
      <c r="K15704" s="5"/>
      <c r="L15704" s="5"/>
      <c r="M15704" s="5"/>
    </row>
    <row r="15705" spans="1:13" s="3" customFormat="1" x14ac:dyDescent="0.25">
      <c r="A15705" s="5"/>
      <c r="B15705" s="5"/>
      <c r="C15705" s="5"/>
      <c r="D15705" s="5"/>
      <c r="E15705" s="5"/>
      <c r="F15705" s="5"/>
      <c r="G15705" s="5"/>
      <c r="H15705" s="5"/>
      <c r="I15705" s="43"/>
      <c r="J15705" s="49"/>
      <c r="K15705" s="5"/>
      <c r="L15705" s="5"/>
      <c r="M15705" s="5"/>
    </row>
    <row r="15706" spans="1:13" s="3" customFormat="1" x14ac:dyDescent="0.25">
      <c r="A15706" s="5"/>
      <c r="B15706" s="5"/>
      <c r="C15706" s="5"/>
      <c r="D15706" s="5"/>
      <c r="E15706" s="5"/>
      <c r="F15706" s="5"/>
      <c r="G15706" s="5"/>
      <c r="H15706" s="5"/>
      <c r="I15706" s="43"/>
      <c r="J15706" s="49"/>
      <c r="K15706" s="5"/>
      <c r="L15706" s="5"/>
      <c r="M15706" s="5"/>
    </row>
    <row r="15707" spans="1:13" s="3" customFormat="1" x14ac:dyDescent="0.25">
      <c r="A15707" s="5"/>
      <c r="B15707" s="5"/>
      <c r="C15707" s="5"/>
      <c r="D15707" s="5"/>
      <c r="E15707" s="5"/>
      <c r="F15707" s="5"/>
      <c r="G15707" s="5"/>
      <c r="H15707" s="5"/>
      <c r="I15707" s="43"/>
      <c r="J15707" s="49"/>
      <c r="K15707" s="5"/>
      <c r="L15707" s="5"/>
      <c r="M15707" s="5"/>
    </row>
    <row r="15708" spans="1:13" s="3" customFormat="1" x14ac:dyDescent="0.25">
      <c r="A15708" s="5"/>
      <c r="B15708" s="5"/>
      <c r="C15708" s="5"/>
      <c r="D15708" s="5"/>
      <c r="E15708" s="5"/>
      <c r="F15708" s="5"/>
      <c r="G15708" s="5"/>
      <c r="H15708" s="5"/>
      <c r="I15708" s="43"/>
      <c r="J15708" s="49"/>
      <c r="K15708" s="5"/>
      <c r="L15708" s="5"/>
      <c r="M15708" s="5"/>
    </row>
    <row r="15709" spans="1:13" s="3" customFormat="1" x14ac:dyDescent="0.25">
      <c r="A15709" s="5"/>
      <c r="B15709" s="5"/>
      <c r="C15709" s="5"/>
      <c r="D15709" s="5"/>
      <c r="E15709" s="5"/>
      <c r="F15709" s="5"/>
      <c r="G15709" s="5"/>
      <c r="H15709" s="5"/>
      <c r="I15709" s="43"/>
      <c r="J15709" s="49"/>
      <c r="K15709" s="5"/>
      <c r="L15709" s="5"/>
      <c r="M15709" s="5"/>
    </row>
    <row r="15710" spans="1:13" s="3" customFormat="1" x14ac:dyDescent="0.25">
      <c r="A15710" s="5"/>
      <c r="B15710" s="5"/>
      <c r="C15710" s="5"/>
      <c r="D15710" s="5"/>
      <c r="E15710" s="5"/>
      <c r="F15710" s="5"/>
      <c r="G15710" s="5"/>
      <c r="H15710" s="5"/>
      <c r="I15710" s="43"/>
      <c r="J15710" s="49"/>
      <c r="K15710" s="5"/>
      <c r="L15710" s="5"/>
      <c r="M15710" s="5"/>
    </row>
    <row r="15711" spans="1:13" s="3" customFormat="1" x14ac:dyDescent="0.25">
      <c r="A15711" s="5"/>
      <c r="B15711" s="5"/>
      <c r="C15711" s="5"/>
      <c r="D15711" s="5"/>
      <c r="E15711" s="5"/>
      <c r="F15711" s="5"/>
      <c r="G15711" s="5"/>
      <c r="H15711" s="5"/>
      <c r="I15711" s="43"/>
      <c r="J15711" s="49"/>
      <c r="K15711" s="5"/>
      <c r="L15711" s="5"/>
      <c r="M15711" s="5"/>
    </row>
    <row r="15712" spans="1:13" s="3" customFormat="1" x14ac:dyDescent="0.25">
      <c r="A15712" s="5"/>
      <c r="B15712" s="5"/>
      <c r="C15712" s="5"/>
      <c r="D15712" s="5"/>
      <c r="E15712" s="5"/>
      <c r="F15712" s="5"/>
      <c r="G15712" s="5"/>
      <c r="H15712" s="5"/>
      <c r="I15712" s="43"/>
      <c r="J15712" s="49"/>
      <c r="K15712" s="5"/>
      <c r="L15712" s="5"/>
      <c r="M15712" s="5"/>
    </row>
    <row r="15713" spans="1:13" s="3" customFormat="1" x14ac:dyDescent="0.25">
      <c r="A15713" s="5"/>
      <c r="B15713" s="5"/>
      <c r="C15713" s="5"/>
      <c r="D15713" s="5"/>
      <c r="E15713" s="5"/>
      <c r="F15713" s="5"/>
      <c r="G15713" s="5"/>
      <c r="H15713" s="5"/>
      <c r="I15713" s="43"/>
      <c r="J15713" s="49"/>
      <c r="K15713" s="5"/>
      <c r="L15713" s="5"/>
      <c r="M15713" s="5"/>
    </row>
    <row r="15714" spans="1:13" s="3" customFormat="1" x14ac:dyDescent="0.25">
      <c r="A15714" s="5"/>
      <c r="B15714" s="5"/>
      <c r="C15714" s="5"/>
      <c r="D15714" s="5"/>
      <c r="E15714" s="5"/>
      <c r="F15714" s="5"/>
      <c r="G15714" s="5"/>
      <c r="H15714" s="5"/>
      <c r="I15714" s="43"/>
      <c r="J15714" s="49"/>
      <c r="K15714" s="5"/>
      <c r="L15714" s="5"/>
      <c r="M15714" s="5"/>
    </row>
    <row r="15715" spans="1:13" s="3" customFormat="1" x14ac:dyDescent="0.25">
      <c r="A15715" s="5"/>
      <c r="B15715" s="5"/>
      <c r="C15715" s="5"/>
      <c r="D15715" s="5"/>
      <c r="E15715" s="5"/>
      <c r="F15715" s="5"/>
      <c r="G15715" s="5"/>
      <c r="H15715" s="5"/>
      <c r="I15715" s="43"/>
      <c r="J15715" s="49"/>
      <c r="K15715" s="5"/>
      <c r="L15715" s="5"/>
      <c r="M15715" s="5"/>
    </row>
    <row r="15716" spans="1:13" s="3" customFormat="1" x14ac:dyDescent="0.25">
      <c r="A15716" s="5"/>
      <c r="B15716" s="5"/>
      <c r="C15716" s="5"/>
      <c r="D15716" s="5"/>
      <c r="E15716" s="5"/>
      <c r="F15716" s="5"/>
      <c r="G15716" s="5"/>
      <c r="H15716" s="5"/>
      <c r="I15716" s="43"/>
      <c r="J15716" s="49"/>
      <c r="K15716" s="5"/>
      <c r="L15716" s="5"/>
      <c r="M15716" s="5"/>
    </row>
    <row r="15717" spans="1:13" s="3" customFormat="1" x14ac:dyDescent="0.25">
      <c r="A15717" s="5"/>
      <c r="B15717" s="5"/>
      <c r="C15717" s="5"/>
      <c r="D15717" s="5"/>
      <c r="E15717" s="5"/>
      <c r="F15717" s="5"/>
      <c r="G15717" s="5"/>
      <c r="H15717" s="5"/>
      <c r="I15717" s="43"/>
      <c r="J15717" s="49"/>
      <c r="K15717" s="5"/>
      <c r="L15717" s="5"/>
      <c r="M15717" s="5"/>
    </row>
    <row r="15718" spans="1:13" s="3" customFormat="1" x14ac:dyDescent="0.25">
      <c r="A15718" s="5"/>
      <c r="B15718" s="5"/>
      <c r="C15718" s="5"/>
      <c r="D15718" s="5"/>
      <c r="E15718" s="5"/>
      <c r="F15718" s="5"/>
      <c r="G15718" s="5"/>
      <c r="H15718" s="5"/>
      <c r="I15718" s="43"/>
      <c r="J15718" s="49"/>
      <c r="K15718" s="5"/>
      <c r="L15718" s="5"/>
      <c r="M15718" s="5"/>
    </row>
    <row r="15719" spans="1:13" s="3" customFormat="1" x14ac:dyDescent="0.25">
      <c r="A15719" s="5"/>
      <c r="B15719" s="5"/>
      <c r="C15719" s="5"/>
      <c r="D15719" s="5"/>
      <c r="E15719" s="5"/>
      <c r="F15719" s="5"/>
      <c r="G15719" s="5"/>
      <c r="H15719" s="5"/>
      <c r="I15719" s="43"/>
      <c r="J15719" s="49"/>
      <c r="K15719" s="5"/>
      <c r="L15719" s="5"/>
      <c r="M15719" s="5"/>
    </row>
    <row r="15720" spans="1:13" s="3" customFormat="1" x14ac:dyDescent="0.25">
      <c r="A15720" s="5"/>
      <c r="B15720" s="5"/>
      <c r="C15720" s="5"/>
      <c r="D15720" s="5"/>
      <c r="E15720" s="5"/>
      <c r="F15720" s="5"/>
      <c r="G15720" s="5"/>
      <c r="H15720" s="5"/>
      <c r="I15720" s="43"/>
      <c r="J15720" s="49"/>
      <c r="K15720" s="5"/>
      <c r="L15720" s="5"/>
      <c r="M15720" s="5"/>
    </row>
    <row r="15721" spans="1:13" s="3" customFormat="1" x14ac:dyDescent="0.25">
      <c r="A15721" s="5"/>
      <c r="B15721" s="5"/>
      <c r="C15721" s="5"/>
      <c r="D15721" s="5"/>
      <c r="E15721" s="5"/>
      <c r="F15721" s="5"/>
      <c r="G15721" s="5"/>
      <c r="H15721" s="5"/>
      <c r="I15721" s="43"/>
      <c r="J15721" s="49"/>
      <c r="K15721" s="5"/>
      <c r="L15721" s="5"/>
      <c r="M15721" s="5"/>
    </row>
    <row r="15722" spans="1:13" s="3" customFormat="1" x14ac:dyDescent="0.25">
      <c r="A15722" s="5"/>
      <c r="B15722" s="5"/>
      <c r="C15722" s="5"/>
      <c r="D15722" s="5"/>
      <c r="E15722" s="5"/>
      <c r="F15722" s="5"/>
      <c r="G15722" s="5"/>
      <c r="H15722" s="5"/>
      <c r="I15722" s="43"/>
      <c r="J15722" s="49"/>
      <c r="K15722" s="5"/>
      <c r="L15722" s="5"/>
      <c r="M15722" s="5"/>
    </row>
    <row r="15723" spans="1:13" s="3" customFormat="1" x14ac:dyDescent="0.25">
      <c r="A15723" s="5"/>
      <c r="B15723" s="5"/>
      <c r="C15723" s="5"/>
      <c r="D15723" s="5"/>
      <c r="E15723" s="5"/>
      <c r="F15723" s="5"/>
      <c r="G15723" s="5"/>
      <c r="H15723" s="5"/>
      <c r="I15723" s="43"/>
      <c r="J15723" s="49"/>
      <c r="K15723" s="5"/>
      <c r="L15723" s="5"/>
      <c r="M15723" s="5"/>
    </row>
    <row r="15724" spans="1:13" s="3" customFormat="1" x14ac:dyDescent="0.25">
      <c r="A15724" s="5"/>
      <c r="B15724" s="5"/>
      <c r="C15724" s="5"/>
      <c r="D15724" s="5"/>
      <c r="E15724" s="5"/>
      <c r="F15724" s="5"/>
      <c r="G15724" s="5"/>
      <c r="H15724" s="5"/>
      <c r="I15724" s="43"/>
      <c r="J15724" s="49"/>
      <c r="K15724" s="5"/>
      <c r="L15724" s="5"/>
      <c r="M15724" s="5"/>
    </row>
    <row r="15725" spans="1:13" s="3" customFormat="1" x14ac:dyDescent="0.25">
      <c r="A15725" s="5"/>
      <c r="B15725" s="5"/>
      <c r="C15725" s="5"/>
      <c r="D15725" s="5"/>
      <c r="E15725" s="5"/>
      <c r="F15725" s="5"/>
      <c r="G15725" s="5"/>
      <c r="H15725" s="5"/>
      <c r="I15725" s="43"/>
      <c r="J15725" s="49"/>
      <c r="K15725" s="5"/>
      <c r="L15725" s="5"/>
      <c r="M15725" s="5"/>
    </row>
    <row r="15726" spans="1:13" s="3" customFormat="1" x14ac:dyDescent="0.25">
      <c r="A15726" s="5"/>
      <c r="B15726" s="5"/>
      <c r="C15726" s="5"/>
      <c r="D15726" s="5"/>
      <c r="E15726" s="5"/>
      <c r="F15726" s="5"/>
      <c r="G15726" s="5"/>
      <c r="H15726" s="5"/>
      <c r="I15726" s="43"/>
      <c r="J15726" s="49"/>
      <c r="K15726" s="5"/>
      <c r="L15726" s="5"/>
      <c r="M15726" s="5"/>
    </row>
    <row r="15727" spans="1:13" s="3" customFormat="1" x14ac:dyDescent="0.25">
      <c r="A15727" s="5"/>
      <c r="B15727" s="5"/>
      <c r="C15727" s="5"/>
      <c r="D15727" s="5"/>
      <c r="E15727" s="5"/>
      <c r="F15727" s="5"/>
      <c r="G15727" s="5"/>
      <c r="H15727" s="5"/>
      <c r="I15727" s="43"/>
      <c r="J15727" s="49"/>
      <c r="K15727" s="5"/>
      <c r="L15727" s="5"/>
      <c r="M15727" s="5"/>
    </row>
    <row r="15728" spans="1:13" s="3" customFormat="1" x14ac:dyDescent="0.25">
      <c r="A15728" s="5"/>
      <c r="B15728" s="5"/>
      <c r="C15728" s="5"/>
      <c r="D15728" s="5"/>
      <c r="E15728" s="5"/>
      <c r="F15728" s="5"/>
      <c r="G15728" s="5"/>
      <c r="H15728" s="5"/>
      <c r="I15728" s="43"/>
      <c r="J15728" s="49"/>
      <c r="K15728" s="5"/>
      <c r="L15728" s="5"/>
      <c r="M15728" s="5"/>
    </row>
    <row r="15729" spans="1:13" s="3" customFormat="1" x14ac:dyDescent="0.25">
      <c r="A15729" s="5"/>
      <c r="B15729" s="5"/>
      <c r="C15729" s="5"/>
      <c r="D15729" s="5"/>
      <c r="E15729" s="5"/>
      <c r="F15729" s="5"/>
      <c r="G15729" s="5"/>
      <c r="H15729" s="5"/>
      <c r="I15729" s="43"/>
      <c r="J15729" s="49"/>
      <c r="K15729" s="5"/>
      <c r="L15729" s="5"/>
      <c r="M15729" s="5"/>
    </row>
    <row r="15730" spans="1:13" s="3" customFormat="1" x14ac:dyDescent="0.25">
      <c r="A15730" s="5"/>
      <c r="B15730" s="5"/>
      <c r="C15730" s="5"/>
      <c r="D15730" s="5"/>
      <c r="E15730" s="5"/>
      <c r="F15730" s="5"/>
      <c r="G15730" s="5"/>
      <c r="H15730" s="5"/>
      <c r="I15730" s="43"/>
      <c r="J15730" s="49"/>
      <c r="K15730" s="5"/>
      <c r="L15730" s="5"/>
      <c r="M15730" s="5"/>
    </row>
    <row r="15731" spans="1:13" s="3" customFormat="1" x14ac:dyDescent="0.25">
      <c r="A15731" s="5"/>
      <c r="B15731" s="5"/>
      <c r="C15731" s="5"/>
      <c r="D15731" s="5"/>
      <c r="E15731" s="5"/>
      <c r="F15731" s="5"/>
      <c r="G15731" s="5"/>
      <c r="H15731" s="5"/>
      <c r="I15731" s="43"/>
      <c r="J15731" s="49"/>
      <c r="K15731" s="5"/>
      <c r="L15731" s="5"/>
      <c r="M15731" s="5"/>
    </row>
    <row r="15732" spans="1:13" s="3" customFormat="1" x14ac:dyDescent="0.25">
      <c r="A15732" s="5"/>
      <c r="B15732" s="5"/>
      <c r="C15732" s="5"/>
      <c r="D15732" s="5"/>
      <c r="E15732" s="5"/>
      <c r="F15732" s="5"/>
      <c r="G15732" s="5"/>
      <c r="H15732" s="5"/>
      <c r="I15732" s="43"/>
      <c r="J15732" s="49"/>
      <c r="K15732" s="5"/>
      <c r="L15732" s="5"/>
      <c r="M15732" s="5"/>
    </row>
    <row r="15733" spans="1:13" s="3" customFormat="1" x14ac:dyDescent="0.25">
      <c r="A15733" s="5"/>
      <c r="B15733" s="5"/>
      <c r="C15733" s="5"/>
      <c r="D15733" s="5"/>
      <c r="E15733" s="5"/>
      <c r="F15733" s="5"/>
      <c r="G15733" s="5"/>
      <c r="H15733" s="5"/>
      <c r="I15733" s="43"/>
      <c r="J15733" s="49"/>
      <c r="K15733" s="5"/>
      <c r="L15733" s="5"/>
      <c r="M15733" s="5"/>
    </row>
    <row r="15734" spans="1:13" s="3" customFormat="1" x14ac:dyDescent="0.25">
      <c r="A15734" s="5"/>
      <c r="B15734" s="5"/>
      <c r="C15734" s="5"/>
      <c r="D15734" s="5"/>
      <c r="E15734" s="5"/>
      <c r="F15734" s="5"/>
      <c r="G15734" s="5"/>
      <c r="H15734" s="5"/>
      <c r="I15734" s="43"/>
      <c r="J15734" s="49"/>
      <c r="K15734" s="5"/>
      <c r="L15734" s="5"/>
      <c r="M15734" s="5"/>
    </row>
    <row r="15735" spans="1:13" s="3" customFormat="1" x14ac:dyDescent="0.25">
      <c r="A15735" s="5"/>
      <c r="B15735" s="5"/>
      <c r="C15735" s="5"/>
      <c r="D15735" s="5"/>
      <c r="E15735" s="5"/>
      <c r="F15735" s="5"/>
      <c r="G15735" s="5"/>
      <c r="H15735" s="5"/>
      <c r="I15735" s="43"/>
      <c r="J15735" s="49"/>
      <c r="K15735" s="5"/>
      <c r="L15735" s="5"/>
      <c r="M15735" s="5"/>
    </row>
    <row r="15736" spans="1:13" s="3" customFormat="1" x14ac:dyDescent="0.25">
      <c r="A15736" s="5"/>
      <c r="B15736" s="5"/>
      <c r="C15736" s="5"/>
      <c r="D15736" s="5"/>
      <c r="E15736" s="5"/>
      <c r="F15736" s="5"/>
      <c r="G15736" s="5"/>
      <c r="H15736" s="5"/>
      <c r="I15736" s="43"/>
      <c r="J15736" s="49"/>
      <c r="K15736" s="5"/>
      <c r="L15736" s="5"/>
      <c r="M15736" s="5"/>
    </row>
    <row r="15737" spans="1:13" s="3" customFormat="1" x14ac:dyDescent="0.25">
      <c r="A15737" s="5"/>
      <c r="B15737" s="5"/>
      <c r="C15737" s="5"/>
      <c r="D15737" s="5"/>
      <c r="E15737" s="5"/>
      <c r="F15737" s="5"/>
      <c r="G15737" s="5"/>
      <c r="H15737" s="5"/>
      <c r="I15737" s="43"/>
      <c r="J15737" s="49"/>
      <c r="K15737" s="5"/>
      <c r="L15737" s="5"/>
      <c r="M15737" s="5"/>
    </row>
    <row r="15738" spans="1:13" s="3" customFormat="1" x14ac:dyDescent="0.25">
      <c r="A15738" s="5"/>
      <c r="B15738" s="5"/>
      <c r="C15738" s="5"/>
      <c r="D15738" s="5"/>
      <c r="E15738" s="5"/>
      <c r="F15738" s="5"/>
      <c r="G15738" s="5"/>
      <c r="H15738" s="5"/>
      <c r="I15738" s="43"/>
      <c r="J15738" s="49"/>
      <c r="K15738" s="5"/>
      <c r="L15738" s="5"/>
      <c r="M15738" s="5"/>
    </row>
    <row r="15739" spans="1:13" s="3" customFormat="1" x14ac:dyDescent="0.25">
      <c r="A15739" s="5"/>
      <c r="B15739" s="5"/>
      <c r="C15739" s="5"/>
      <c r="D15739" s="5"/>
      <c r="E15739" s="5"/>
      <c r="F15739" s="5"/>
      <c r="G15739" s="5"/>
      <c r="H15739" s="5"/>
      <c r="I15739" s="43"/>
      <c r="J15739" s="49"/>
      <c r="K15739" s="5"/>
      <c r="L15739" s="5"/>
      <c r="M15739" s="5"/>
    </row>
    <row r="15740" spans="1:13" s="3" customFormat="1" x14ac:dyDescent="0.25">
      <c r="A15740" s="5"/>
      <c r="B15740" s="5"/>
      <c r="C15740" s="5"/>
      <c r="D15740" s="5"/>
      <c r="E15740" s="5"/>
      <c r="F15740" s="5"/>
      <c r="G15740" s="5"/>
      <c r="H15740" s="5"/>
      <c r="I15740" s="43"/>
      <c r="J15740" s="49"/>
      <c r="K15740" s="5"/>
      <c r="L15740" s="5"/>
      <c r="M15740" s="5"/>
    </row>
    <row r="15741" spans="1:13" s="3" customFormat="1" x14ac:dyDescent="0.25">
      <c r="A15741" s="5"/>
      <c r="B15741" s="5"/>
      <c r="C15741" s="5"/>
      <c r="D15741" s="5"/>
      <c r="E15741" s="5"/>
      <c r="F15741" s="5"/>
      <c r="G15741" s="5"/>
      <c r="H15741" s="5"/>
      <c r="I15741" s="43"/>
      <c r="J15741" s="49"/>
      <c r="K15741" s="5"/>
      <c r="L15741" s="5"/>
      <c r="M15741" s="5"/>
    </row>
    <row r="15742" spans="1:13" s="3" customFormat="1" x14ac:dyDescent="0.25">
      <c r="A15742" s="5"/>
      <c r="B15742" s="5"/>
      <c r="C15742" s="5"/>
      <c r="D15742" s="5"/>
      <c r="E15742" s="5"/>
      <c r="F15742" s="5"/>
      <c r="G15742" s="5"/>
      <c r="H15742" s="5"/>
      <c r="I15742" s="43"/>
      <c r="J15742" s="49"/>
      <c r="K15742" s="5"/>
      <c r="L15742" s="5"/>
      <c r="M15742" s="5"/>
    </row>
    <row r="15743" spans="1:13" s="3" customFormat="1" x14ac:dyDescent="0.25">
      <c r="A15743" s="5"/>
      <c r="B15743" s="5"/>
      <c r="C15743" s="5"/>
      <c r="D15743" s="5"/>
      <c r="E15743" s="5"/>
      <c r="F15743" s="5"/>
      <c r="G15743" s="5"/>
      <c r="H15743" s="5"/>
      <c r="I15743" s="43"/>
      <c r="J15743" s="49"/>
      <c r="K15743" s="5"/>
      <c r="L15743" s="5"/>
      <c r="M15743" s="5"/>
    </row>
    <row r="15744" spans="1:13" s="3" customFormat="1" x14ac:dyDescent="0.25">
      <c r="A15744" s="5"/>
      <c r="B15744" s="5"/>
      <c r="C15744" s="5"/>
      <c r="D15744" s="5"/>
      <c r="E15744" s="5"/>
      <c r="F15744" s="5"/>
      <c r="G15744" s="5"/>
      <c r="H15744" s="5"/>
      <c r="I15744" s="43"/>
      <c r="J15744" s="49"/>
      <c r="K15744" s="5"/>
      <c r="L15744" s="5"/>
      <c r="M15744" s="5"/>
    </row>
    <row r="15745" spans="1:13" s="3" customFormat="1" x14ac:dyDescent="0.25">
      <c r="A15745" s="5"/>
      <c r="B15745" s="5"/>
      <c r="C15745" s="5"/>
      <c r="D15745" s="5"/>
      <c r="E15745" s="5"/>
      <c r="F15745" s="5"/>
      <c r="G15745" s="5"/>
      <c r="H15745" s="5"/>
      <c r="I15745" s="43"/>
      <c r="J15745" s="49"/>
      <c r="K15745" s="5"/>
      <c r="L15745" s="5"/>
      <c r="M15745" s="5"/>
    </row>
    <row r="15746" spans="1:13" s="3" customFormat="1" x14ac:dyDescent="0.25">
      <c r="A15746" s="5"/>
      <c r="B15746" s="5"/>
      <c r="C15746" s="5"/>
      <c r="D15746" s="5"/>
      <c r="E15746" s="5"/>
      <c r="F15746" s="5"/>
      <c r="G15746" s="5"/>
      <c r="H15746" s="5"/>
      <c r="I15746" s="43"/>
      <c r="J15746" s="49"/>
      <c r="K15746" s="5"/>
      <c r="L15746" s="5"/>
      <c r="M15746" s="5"/>
    </row>
    <row r="15747" spans="1:13" s="3" customFormat="1" x14ac:dyDescent="0.25">
      <c r="A15747" s="5"/>
      <c r="B15747" s="5"/>
      <c r="C15747" s="5"/>
      <c r="D15747" s="5"/>
      <c r="E15747" s="5"/>
      <c r="F15747" s="5"/>
      <c r="G15747" s="5"/>
      <c r="H15747" s="5"/>
      <c r="I15747" s="43"/>
      <c r="J15747" s="49"/>
      <c r="K15747" s="5"/>
      <c r="L15747" s="5"/>
      <c r="M15747" s="5"/>
    </row>
    <row r="15748" spans="1:13" s="3" customFormat="1" x14ac:dyDescent="0.25">
      <c r="A15748" s="5"/>
      <c r="B15748" s="5"/>
      <c r="C15748" s="5"/>
      <c r="D15748" s="5"/>
      <c r="E15748" s="5"/>
      <c r="F15748" s="5"/>
      <c r="G15748" s="5"/>
      <c r="H15748" s="5"/>
      <c r="I15748" s="43"/>
      <c r="J15748" s="49"/>
      <c r="K15748" s="5"/>
      <c r="L15748" s="5"/>
      <c r="M15748" s="5"/>
    </row>
    <row r="15749" spans="1:13" s="3" customFormat="1" x14ac:dyDescent="0.25">
      <c r="A15749" s="5"/>
      <c r="B15749" s="5"/>
      <c r="C15749" s="5"/>
      <c r="D15749" s="5"/>
      <c r="E15749" s="5"/>
      <c r="F15749" s="5"/>
      <c r="G15749" s="5"/>
      <c r="H15749" s="5"/>
      <c r="I15749" s="43"/>
      <c r="J15749" s="49"/>
      <c r="K15749" s="5"/>
      <c r="L15749" s="5"/>
      <c r="M15749" s="5"/>
    </row>
    <row r="15750" spans="1:13" s="3" customFormat="1" x14ac:dyDescent="0.25">
      <c r="A15750" s="5"/>
      <c r="B15750" s="5"/>
      <c r="C15750" s="5"/>
      <c r="D15750" s="5"/>
      <c r="E15750" s="5"/>
      <c r="F15750" s="5"/>
      <c r="G15750" s="5"/>
      <c r="H15750" s="5"/>
      <c r="I15750" s="43"/>
      <c r="J15750" s="49"/>
      <c r="K15750" s="5"/>
      <c r="L15750" s="5"/>
      <c r="M15750" s="5"/>
    </row>
    <row r="15751" spans="1:13" s="3" customFormat="1" x14ac:dyDescent="0.25">
      <c r="A15751" s="5"/>
      <c r="B15751" s="5"/>
      <c r="C15751" s="5"/>
      <c r="D15751" s="5"/>
      <c r="E15751" s="5"/>
      <c r="F15751" s="5"/>
      <c r="G15751" s="5"/>
      <c r="H15751" s="5"/>
      <c r="I15751" s="43"/>
      <c r="J15751" s="49"/>
      <c r="K15751" s="5"/>
      <c r="L15751" s="5"/>
      <c r="M15751" s="5"/>
    </row>
    <row r="15752" spans="1:13" s="3" customFormat="1" x14ac:dyDescent="0.25">
      <c r="A15752" s="5"/>
      <c r="B15752" s="5"/>
      <c r="C15752" s="5"/>
      <c r="D15752" s="5"/>
      <c r="E15752" s="5"/>
      <c r="F15752" s="5"/>
      <c r="G15752" s="5"/>
      <c r="H15752" s="5"/>
      <c r="I15752" s="43"/>
      <c r="J15752" s="49"/>
      <c r="K15752" s="5"/>
      <c r="L15752" s="5"/>
      <c r="M15752" s="5"/>
    </row>
    <row r="15753" spans="1:13" s="3" customFormat="1" x14ac:dyDescent="0.25">
      <c r="A15753" s="5"/>
      <c r="B15753" s="5"/>
      <c r="C15753" s="5"/>
      <c r="D15753" s="5"/>
      <c r="E15753" s="5"/>
      <c r="F15753" s="5"/>
      <c r="G15753" s="5"/>
      <c r="H15753" s="5"/>
      <c r="I15753" s="43"/>
      <c r="J15753" s="49"/>
      <c r="K15753" s="5"/>
      <c r="L15753" s="5"/>
      <c r="M15753" s="5"/>
    </row>
    <row r="15754" spans="1:13" s="3" customFormat="1" x14ac:dyDescent="0.25">
      <c r="A15754" s="5"/>
      <c r="B15754" s="5"/>
      <c r="C15754" s="5"/>
      <c r="D15754" s="5"/>
      <c r="E15754" s="5"/>
      <c r="F15754" s="5"/>
      <c r="G15754" s="5"/>
      <c r="H15754" s="5"/>
      <c r="I15754" s="43"/>
      <c r="J15754" s="49"/>
      <c r="K15754" s="5"/>
      <c r="L15754" s="5"/>
      <c r="M15754" s="5"/>
    </row>
    <row r="15755" spans="1:13" s="3" customFormat="1" x14ac:dyDescent="0.25">
      <c r="A15755" s="5"/>
      <c r="B15755" s="5"/>
      <c r="C15755" s="5"/>
      <c r="D15755" s="5"/>
      <c r="E15755" s="5"/>
      <c r="F15755" s="5"/>
      <c r="G15755" s="5"/>
      <c r="H15755" s="5"/>
      <c r="I15755" s="43"/>
      <c r="J15755" s="49"/>
      <c r="K15755" s="5"/>
      <c r="L15755" s="5"/>
      <c r="M15755" s="5"/>
    </row>
    <row r="15756" spans="1:13" s="3" customFormat="1" x14ac:dyDescent="0.25">
      <c r="A15756" s="5"/>
      <c r="B15756" s="5"/>
      <c r="C15756" s="5"/>
      <c r="D15756" s="5"/>
      <c r="E15756" s="5"/>
      <c r="F15756" s="5"/>
      <c r="G15756" s="5"/>
      <c r="H15756" s="5"/>
      <c r="I15756" s="43"/>
      <c r="J15756" s="49"/>
      <c r="K15756" s="5"/>
      <c r="L15756" s="5"/>
      <c r="M15756" s="5"/>
    </row>
    <row r="15757" spans="1:13" s="3" customFormat="1" x14ac:dyDescent="0.25">
      <c r="A15757" s="5"/>
      <c r="B15757" s="5"/>
      <c r="C15757" s="5"/>
      <c r="D15757" s="5"/>
      <c r="E15757" s="5"/>
      <c r="F15757" s="5"/>
      <c r="G15757" s="5"/>
      <c r="H15757" s="5"/>
      <c r="I15757" s="43"/>
      <c r="J15757" s="49"/>
      <c r="K15757" s="5"/>
      <c r="L15757" s="5"/>
      <c r="M15757" s="5"/>
    </row>
    <row r="15758" spans="1:13" s="3" customFormat="1" x14ac:dyDescent="0.25">
      <c r="A15758" s="5"/>
      <c r="B15758" s="5"/>
      <c r="C15758" s="5"/>
      <c r="D15758" s="5"/>
      <c r="E15758" s="5"/>
      <c r="F15758" s="5"/>
      <c r="G15758" s="5"/>
      <c r="H15758" s="5"/>
      <c r="I15758" s="43"/>
      <c r="J15758" s="49"/>
      <c r="K15758" s="5"/>
      <c r="L15758" s="5"/>
      <c r="M15758" s="5"/>
    </row>
    <row r="15759" spans="1:13" s="3" customFormat="1" x14ac:dyDescent="0.25">
      <c r="A15759" s="5"/>
      <c r="B15759" s="5"/>
      <c r="C15759" s="5"/>
      <c r="D15759" s="5"/>
      <c r="E15759" s="5"/>
      <c r="F15759" s="5"/>
      <c r="G15759" s="5"/>
      <c r="H15759" s="5"/>
      <c r="I15759" s="43"/>
      <c r="J15759" s="49"/>
      <c r="K15759" s="5"/>
      <c r="L15759" s="5"/>
      <c r="M15759" s="5"/>
    </row>
    <row r="15760" spans="1:13" s="3" customFormat="1" x14ac:dyDescent="0.25">
      <c r="A15760" s="5"/>
      <c r="B15760" s="5"/>
      <c r="C15760" s="5"/>
      <c r="D15760" s="5"/>
      <c r="E15760" s="5"/>
      <c r="F15760" s="5"/>
      <c r="G15760" s="5"/>
      <c r="H15760" s="5"/>
      <c r="I15760" s="43"/>
      <c r="J15760" s="49"/>
      <c r="K15760" s="5"/>
      <c r="L15760" s="5"/>
      <c r="M15760" s="5"/>
    </row>
    <row r="15761" spans="1:13" s="3" customFormat="1" x14ac:dyDescent="0.25">
      <c r="A15761" s="5"/>
      <c r="B15761" s="5"/>
      <c r="C15761" s="5"/>
      <c r="D15761" s="5"/>
      <c r="E15761" s="5"/>
      <c r="F15761" s="5"/>
      <c r="G15761" s="5"/>
      <c r="H15761" s="5"/>
      <c r="I15761" s="43"/>
      <c r="J15761" s="49"/>
      <c r="K15761" s="5"/>
      <c r="L15761" s="5"/>
      <c r="M15761" s="5"/>
    </row>
    <row r="15762" spans="1:13" s="3" customFormat="1" x14ac:dyDescent="0.25">
      <c r="A15762" s="5"/>
      <c r="B15762" s="5"/>
      <c r="C15762" s="5"/>
      <c r="D15762" s="5"/>
      <c r="E15762" s="5"/>
      <c r="F15762" s="5"/>
      <c r="G15762" s="5"/>
      <c r="H15762" s="5"/>
      <c r="I15762" s="43"/>
      <c r="J15762" s="49"/>
      <c r="K15762" s="5"/>
      <c r="L15762" s="5"/>
      <c r="M15762" s="5"/>
    </row>
    <row r="15763" spans="1:13" s="3" customFormat="1" x14ac:dyDescent="0.25">
      <c r="A15763" s="5"/>
      <c r="B15763" s="5"/>
      <c r="C15763" s="5"/>
      <c r="D15763" s="5"/>
      <c r="E15763" s="5"/>
      <c r="F15763" s="5"/>
      <c r="G15763" s="5"/>
      <c r="H15763" s="5"/>
      <c r="I15763" s="43"/>
      <c r="J15763" s="49"/>
      <c r="K15763" s="5"/>
      <c r="L15763" s="5"/>
      <c r="M15763" s="5"/>
    </row>
    <row r="15764" spans="1:13" s="3" customFormat="1" x14ac:dyDescent="0.25">
      <c r="A15764" s="5"/>
      <c r="B15764" s="5"/>
      <c r="C15764" s="5"/>
      <c r="D15764" s="5"/>
      <c r="E15764" s="5"/>
      <c r="F15764" s="5"/>
      <c r="G15764" s="5"/>
      <c r="H15764" s="5"/>
      <c r="I15764" s="43"/>
      <c r="J15764" s="49"/>
      <c r="K15764" s="5"/>
      <c r="L15764" s="5"/>
      <c r="M15764" s="5"/>
    </row>
    <row r="15765" spans="1:13" s="3" customFormat="1" x14ac:dyDescent="0.25">
      <c r="A15765" s="5"/>
      <c r="B15765" s="5"/>
      <c r="C15765" s="5"/>
      <c r="D15765" s="5"/>
      <c r="E15765" s="5"/>
      <c r="F15765" s="5"/>
      <c r="G15765" s="5"/>
      <c r="H15765" s="5"/>
      <c r="I15765" s="43"/>
      <c r="J15765" s="49"/>
      <c r="K15765" s="5"/>
      <c r="L15765" s="5"/>
      <c r="M15765" s="5"/>
    </row>
    <row r="15766" spans="1:13" s="3" customFormat="1" x14ac:dyDescent="0.25">
      <c r="A15766" s="5"/>
      <c r="B15766" s="5"/>
      <c r="C15766" s="5"/>
      <c r="D15766" s="5"/>
      <c r="E15766" s="5"/>
      <c r="F15766" s="5"/>
      <c r="G15766" s="5"/>
      <c r="H15766" s="5"/>
      <c r="I15766" s="43"/>
      <c r="J15766" s="49"/>
      <c r="K15766" s="5"/>
      <c r="L15766" s="5"/>
      <c r="M15766" s="5"/>
    </row>
    <row r="15767" spans="1:13" s="3" customFormat="1" x14ac:dyDescent="0.25">
      <c r="A15767" s="5"/>
      <c r="B15767" s="5"/>
      <c r="C15767" s="5"/>
      <c r="D15767" s="5"/>
      <c r="E15767" s="5"/>
      <c r="F15767" s="5"/>
      <c r="G15767" s="5"/>
      <c r="H15767" s="5"/>
      <c r="I15767" s="43"/>
      <c r="J15767" s="49"/>
      <c r="K15767" s="5"/>
      <c r="L15767" s="5"/>
      <c r="M15767" s="5"/>
    </row>
    <row r="15768" spans="1:13" s="3" customFormat="1" x14ac:dyDescent="0.25">
      <c r="A15768" s="5"/>
      <c r="B15768" s="5"/>
      <c r="C15768" s="5"/>
      <c r="D15768" s="5"/>
      <c r="E15768" s="5"/>
      <c r="F15768" s="5"/>
      <c r="G15768" s="5"/>
      <c r="H15768" s="5"/>
      <c r="I15768" s="43"/>
      <c r="J15768" s="49"/>
      <c r="K15768" s="5"/>
      <c r="L15768" s="5"/>
      <c r="M15768" s="5"/>
    </row>
    <row r="15769" spans="1:13" s="3" customFormat="1" x14ac:dyDescent="0.25">
      <c r="A15769" s="5"/>
      <c r="B15769" s="5"/>
      <c r="C15769" s="5"/>
      <c r="D15769" s="5"/>
      <c r="E15769" s="5"/>
      <c r="F15769" s="5"/>
      <c r="G15769" s="5"/>
      <c r="H15769" s="5"/>
      <c r="I15769" s="43"/>
      <c r="J15769" s="49"/>
      <c r="K15769" s="5"/>
      <c r="L15769" s="5"/>
      <c r="M15769" s="5"/>
    </row>
    <row r="15770" spans="1:13" s="3" customFormat="1" x14ac:dyDescent="0.25">
      <c r="A15770" s="5"/>
      <c r="B15770" s="5"/>
      <c r="C15770" s="5"/>
      <c r="D15770" s="5"/>
      <c r="E15770" s="5"/>
      <c r="F15770" s="5"/>
      <c r="G15770" s="5"/>
      <c r="H15770" s="5"/>
      <c r="I15770" s="43"/>
      <c r="J15770" s="49"/>
      <c r="K15770" s="5"/>
      <c r="L15770" s="5"/>
      <c r="M15770" s="5"/>
    </row>
    <row r="15771" spans="1:13" s="3" customFormat="1" x14ac:dyDescent="0.25">
      <c r="A15771" s="5"/>
      <c r="B15771" s="5"/>
      <c r="C15771" s="5"/>
      <c r="D15771" s="5"/>
      <c r="E15771" s="5"/>
      <c r="F15771" s="5"/>
      <c r="G15771" s="5"/>
      <c r="H15771" s="5"/>
      <c r="I15771" s="43"/>
      <c r="J15771" s="49"/>
      <c r="K15771" s="5"/>
      <c r="L15771" s="5"/>
      <c r="M15771" s="5"/>
    </row>
    <row r="15772" spans="1:13" s="3" customFormat="1" x14ac:dyDescent="0.25">
      <c r="A15772" s="5"/>
      <c r="B15772" s="5"/>
      <c r="C15772" s="5"/>
      <c r="D15772" s="5"/>
      <c r="E15772" s="5"/>
      <c r="F15772" s="5"/>
      <c r="G15772" s="5"/>
      <c r="H15772" s="5"/>
      <c r="I15772" s="43"/>
      <c r="J15772" s="49"/>
      <c r="K15772" s="5"/>
      <c r="L15772" s="5"/>
      <c r="M15772" s="5"/>
    </row>
    <row r="15773" spans="1:13" s="3" customFormat="1" x14ac:dyDescent="0.25">
      <c r="A15773" s="5"/>
      <c r="B15773" s="5"/>
      <c r="C15773" s="5"/>
      <c r="D15773" s="5"/>
      <c r="E15773" s="5"/>
      <c r="F15773" s="5"/>
      <c r="G15773" s="5"/>
      <c r="H15773" s="5"/>
      <c r="I15773" s="43"/>
      <c r="J15773" s="49"/>
      <c r="K15773" s="5"/>
      <c r="L15773" s="5"/>
      <c r="M15773" s="5"/>
    </row>
    <row r="15774" spans="1:13" s="3" customFormat="1" x14ac:dyDescent="0.25">
      <c r="A15774" s="5"/>
      <c r="B15774" s="5"/>
      <c r="C15774" s="5"/>
      <c r="D15774" s="5"/>
      <c r="E15774" s="5"/>
      <c r="F15774" s="5"/>
      <c r="G15774" s="5"/>
      <c r="H15774" s="5"/>
      <c r="I15774" s="43"/>
      <c r="J15774" s="49"/>
      <c r="K15774" s="5"/>
      <c r="L15774" s="5"/>
      <c r="M15774" s="5"/>
    </row>
    <row r="15775" spans="1:13" s="3" customFormat="1" x14ac:dyDescent="0.25">
      <c r="A15775" s="5"/>
      <c r="B15775" s="5"/>
      <c r="C15775" s="5"/>
      <c r="D15775" s="5"/>
      <c r="E15775" s="5"/>
      <c r="F15775" s="5"/>
      <c r="G15775" s="5"/>
      <c r="H15775" s="5"/>
      <c r="I15775" s="43"/>
      <c r="J15775" s="49"/>
      <c r="K15775" s="5"/>
      <c r="L15775" s="5"/>
      <c r="M15775" s="5"/>
    </row>
    <row r="15776" spans="1:13" s="3" customFormat="1" x14ac:dyDescent="0.25">
      <c r="A15776" s="5"/>
      <c r="B15776" s="5"/>
      <c r="C15776" s="5"/>
      <c r="D15776" s="5"/>
      <c r="E15776" s="5"/>
      <c r="F15776" s="5"/>
      <c r="G15776" s="5"/>
      <c r="H15776" s="5"/>
      <c r="I15776" s="43"/>
      <c r="J15776" s="49"/>
      <c r="K15776" s="5"/>
      <c r="L15776" s="5"/>
      <c r="M15776" s="5"/>
    </row>
    <row r="15777" spans="1:13" s="3" customFormat="1" x14ac:dyDescent="0.25">
      <c r="A15777" s="5"/>
      <c r="B15777" s="5"/>
      <c r="C15777" s="5"/>
      <c r="D15777" s="5"/>
      <c r="E15777" s="5"/>
      <c r="F15777" s="5"/>
      <c r="G15777" s="5"/>
      <c r="H15777" s="5"/>
      <c r="I15777" s="43"/>
      <c r="J15777" s="49"/>
      <c r="K15777" s="5"/>
      <c r="L15777" s="5"/>
      <c r="M15777" s="5"/>
    </row>
    <row r="15778" spans="1:13" s="3" customFormat="1" x14ac:dyDescent="0.25">
      <c r="A15778" s="5"/>
      <c r="B15778" s="5"/>
      <c r="C15778" s="5"/>
      <c r="D15778" s="5"/>
      <c r="E15778" s="5"/>
      <c r="F15778" s="5"/>
      <c r="G15778" s="5"/>
      <c r="H15778" s="5"/>
      <c r="I15778" s="43"/>
      <c r="J15778" s="49"/>
      <c r="K15778" s="5"/>
      <c r="L15778" s="5"/>
      <c r="M15778" s="5"/>
    </row>
    <row r="15779" spans="1:13" s="3" customFormat="1" x14ac:dyDescent="0.25">
      <c r="A15779" s="5"/>
      <c r="B15779" s="5"/>
      <c r="C15779" s="5"/>
      <c r="D15779" s="5"/>
      <c r="E15779" s="5"/>
      <c r="F15779" s="5"/>
      <c r="G15779" s="5"/>
      <c r="H15779" s="5"/>
      <c r="I15779" s="43"/>
      <c r="J15779" s="49"/>
      <c r="K15779" s="5"/>
      <c r="L15779" s="5"/>
      <c r="M15779" s="5"/>
    </row>
    <row r="15780" spans="1:13" s="3" customFormat="1" x14ac:dyDescent="0.25">
      <c r="A15780" s="5"/>
      <c r="B15780" s="5"/>
      <c r="C15780" s="5"/>
      <c r="D15780" s="5"/>
      <c r="E15780" s="5"/>
      <c r="F15780" s="5"/>
      <c r="G15780" s="5"/>
      <c r="H15780" s="5"/>
      <c r="I15780" s="43"/>
      <c r="J15780" s="49"/>
      <c r="K15780" s="5"/>
      <c r="L15780" s="5"/>
      <c r="M15780" s="5"/>
    </row>
    <row r="15781" spans="1:13" s="3" customFormat="1" x14ac:dyDescent="0.25">
      <c r="A15781" s="5"/>
      <c r="B15781" s="5"/>
      <c r="C15781" s="5"/>
      <c r="D15781" s="5"/>
      <c r="E15781" s="5"/>
      <c r="F15781" s="5"/>
      <c r="G15781" s="5"/>
      <c r="H15781" s="5"/>
      <c r="I15781" s="43"/>
      <c r="J15781" s="49"/>
      <c r="K15781" s="5"/>
      <c r="L15781" s="5"/>
      <c r="M15781" s="5"/>
    </row>
    <row r="15782" spans="1:13" s="3" customFormat="1" x14ac:dyDescent="0.25">
      <c r="A15782" s="5"/>
      <c r="B15782" s="5"/>
      <c r="C15782" s="5"/>
      <c r="D15782" s="5"/>
      <c r="E15782" s="5"/>
      <c r="F15782" s="5"/>
      <c r="G15782" s="5"/>
      <c r="H15782" s="5"/>
      <c r="I15782" s="43"/>
      <c r="J15782" s="49"/>
      <c r="K15782" s="5"/>
      <c r="L15782" s="5"/>
      <c r="M15782" s="5"/>
    </row>
    <row r="15783" spans="1:13" s="3" customFormat="1" x14ac:dyDescent="0.25">
      <c r="A15783" s="5"/>
      <c r="B15783" s="5"/>
      <c r="C15783" s="5"/>
      <c r="D15783" s="5"/>
      <c r="E15783" s="5"/>
      <c r="F15783" s="5"/>
      <c r="G15783" s="5"/>
      <c r="H15783" s="5"/>
      <c r="I15783" s="43"/>
      <c r="J15783" s="49"/>
      <c r="K15783" s="5"/>
      <c r="L15783" s="5"/>
      <c r="M15783" s="5"/>
    </row>
    <row r="15784" spans="1:13" s="3" customFormat="1" x14ac:dyDescent="0.25">
      <c r="A15784" s="5"/>
      <c r="B15784" s="5"/>
      <c r="C15784" s="5"/>
      <c r="D15784" s="5"/>
      <c r="E15784" s="5"/>
      <c r="F15784" s="5"/>
      <c r="G15784" s="5"/>
      <c r="H15784" s="5"/>
      <c r="I15784" s="43"/>
      <c r="J15784" s="49"/>
      <c r="K15784" s="5"/>
      <c r="L15784" s="5"/>
      <c r="M15784" s="5"/>
    </row>
    <row r="15785" spans="1:13" s="3" customFormat="1" x14ac:dyDescent="0.25">
      <c r="A15785" s="5"/>
      <c r="B15785" s="5"/>
      <c r="C15785" s="5"/>
      <c r="D15785" s="5"/>
      <c r="E15785" s="5"/>
      <c r="F15785" s="5"/>
      <c r="G15785" s="5"/>
      <c r="H15785" s="5"/>
      <c r="I15785" s="43"/>
      <c r="J15785" s="49"/>
      <c r="K15785" s="5"/>
      <c r="L15785" s="5"/>
      <c r="M15785" s="5"/>
    </row>
    <row r="15786" spans="1:13" s="3" customFormat="1" x14ac:dyDescent="0.25">
      <c r="A15786" s="5"/>
      <c r="B15786" s="5"/>
      <c r="C15786" s="5"/>
      <c r="D15786" s="5"/>
      <c r="E15786" s="5"/>
      <c r="F15786" s="5"/>
      <c r="G15786" s="5"/>
      <c r="H15786" s="5"/>
      <c r="I15786" s="43"/>
      <c r="J15786" s="49"/>
      <c r="K15786" s="5"/>
      <c r="L15786" s="5"/>
      <c r="M15786" s="5"/>
    </row>
    <row r="15787" spans="1:13" s="3" customFormat="1" x14ac:dyDescent="0.25">
      <c r="A15787" s="5"/>
      <c r="B15787" s="5"/>
      <c r="C15787" s="5"/>
      <c r="D15787" s="5"/>
      <c r="E15787" s="5"/>
      <c r="F15787" s="5"/>
      <c r="G15787" s="5"/>
      <c r="H15787" s="5"/>
      <c r="I15787" s="43"/>
      <c r="J15787" s="49"/>
      <c r="K15787" s="5"/>
      <c r="L15787" s="5"/>
      <c r="M15787" s="5"/>
    </row>
    <row r="15788" spans="1:13" s="3" customFormat="1" x14ac:dyDescent="0.25">
      <c r="A15788" s="5"/>
      <c r="B15788" s="5"/>
      <c r="C15788" s="5"/>
      <c r="D15788" s="5"/>
      <c r="E15788" s="5"/>
      <c r="F15788" s="5"/>
      <c r="G15788" s="5"/>
      <c r="H15788" s="5"/>
      <c r="I15788" s="43"/>
      <c r="J15788" s="49"/>
      <c r="K15788" s="5"/>
      <c r="L15788" s="5"/>
      <c r="M15788" s="5"/>
    </row>
    <row r="15789" spans="1:13" s="3" customFormat="1" x14ac:dyDescent="0.25">
      <c r="A15789" s="5"/>
      <c r="B15789" s="5"/>
      <c r="C15789" s="5"/>
      <c r="D15789" s="5"/>
      <c r="E15789" s="5"/>
      <c r="F15789" s="5"/>
      <c r="G15789" s="5"/>
      <c r="H15789" s="5"/>
      <c r="I15789" s="43"/>
      <c r="J15789" s="49"/>
      <c r="K15789" s="5"/>
      <c r="L15789" s="5"/>
      <c r="M15789" s="5"/>
    </row>
    <row r="15790" spans="1:13" s="3" customFormat="1" x14ac:dyDescent="0.25">
      <c r="A15790" s="5"/>
      <c r="B15790" s="5"/>
      <c r="C15790" s="5"/>
      <c r="D15790" s="5"/>
      <c r="E15790" s="5"/>
      <c r="F15790" s="5"/>
      <c r="G15790" s="5"/>
      <c r="H15790" s="5"/>
      <c r="I15790" s="43"/>
      <c r="J15790" s="49"/>
      <c r="K15790" s="5"/>
      <c r="L15790" s="5"/>
      <c r="M15790" s="5"/>
    </row>
    <row r="15791" spans="1:13" s="3" customFormat="1" x14ac:dyDescent="0.25">
      <c r="A15791" s="5"/>
      <c r="B15791" s="5"/>
      <c r="C15791" s="5"/>
      <c r="D15791" s="5"/>
      <c r="E15791" s="5"/>
      <c r="F15791" s="5"/>
      <c r="G15791" s="5"/>
      <c r="H15791" s="5"/>
      <c r="I15791" s="43"/>
      <c r="J15791" s="49"/>
      <c r="K15791" s="5"/>
      <c r="L15791" s="5"/>
      <c r="M15791" s="5"/>
    </row>
    <row r="15792" spans="1:13" s="3" customFormat="1" x14ac:dyDescent="0.25">
      <c r="A15792" s="5"/>
      <c r="B15792" s="5"/>
      <c r="C15792" s="5"/>
      <c r="D15792" s="5"/>
      <c r="E15792" s="5"/>
      <c r="F15792" s="5"/>
      <c r="G15792" s="5"/>
      <c r="H15792" s="5"/>
      <c r="I15792" s="43"/>
      <c r="J15792" s="49"/>
      <c r="K15792" s="5"/>
      <c r="L15792" s="5"/>
      <c r="M15792" s="5"/>
    </row>
    <row r="15793" spans="1:13" s="3" customFormat="1" x14ac:dyDescent="0.25">
      <c r="A15793" s="5"/>
      <c r="B15793" s="5"/>
      <c r="C15793" s="5"/>
      <c r="D15793" s="5"/>
      <c r="E15793" s="5"/>
      <c r="F15793" s="5"/>
      <c r="G15793" s="5"/>
      <c r="H15793" s="5"/>
      <c r="I15793" s="43"/>
      <c r="J15793" s="49"/>
      <c r="K15793" s="5"/>
      <c r="L15793" s="5"/>
      <c r="M15793" s="5"/>
    </row>
    <row r="15794" spans="1:13" s="3" customFormat="1" x14ac:dyDescent="0.25">
      <c r="A15794" s="5"/>
      <c r="B15794" s="5"/>
      <c r="C15794" s="5"/>
      <c r="D15794" s="5"/>
      <c r="E15794" s="5"/>
      <c r="F15794" s="5"/>
      <c r="G15794" s="5"/>
      <c r="H15794" s="5"/>
      <c r="I15794" s="43"/>
      <c r="J15794" s="49"/>
      <c r="K15794" s="5"/>
      <c r="L15794" s="5"/>
      <c r="M15794" s="5"/>
    </row>
    <row r="15795" spans="1:13" s="3" customFormat="1" x14ac:dyDescent="0.25">
      <c r="A15795" s="5"/>
      <c r="B15795" s="5"/>
      <c r="C15795" s="5"/>
      <c r="D15795" s="5"/>
      <c r="E15795" s="5"/>
      <c r="F15795" s="5"/>
      <c r="G15795" s="5"/>
      <c r="H15795" s="5"/>
      <c r="I15795" s="43"/>
      <c r="J15795" s="49"/>
      <c r="K15795" s="5"/>
      <c r="L15795" s="5"/>
      <c r="M15795" s="5"/>
    </row>
    <row r="15796" spans="1:13" s="3" customFormat="1" x14ac:dyDescent="0.25">
      <c r="A15796" s="5"/>
      <c r="B15796" s="5"/>
      <c r="C15796" s="5"/>
      <c r="D15796" s="5"/>
      <c r="E15796" s="5"/>
      <c r="F15796" s="5"/>
      <c r="G15796" s="5"/>
      <c r="H15796" s="5"/>
      <c r="I15796" s="43"/>
      <c r="J15796" s="49"/>
      <c r="K15796" s="5"/>
      <c r="L15796" s="5"/>
      <c r="M15796" s="5"/>
    </row>
    <row r="15797" spans="1:13" s="3" customFormat="1" x14ac:dyDescent="0.25">
      <c r="A15797" s="5"/>
      <c r="B15797" s="5"/>
      <c r="C15797" s="5"/>
      <c r="D15797" s="5"/>
      <c r="E15797" s="5"/>
      <c r="F15797" s="5"/>
      <c r="G15797" s="5"/>
      <c r="H15797" s="5"/>
      <c r="I15797" s="43"/>
      <c r="J15797" s="49"/>
      <c r="K15797" s="5"/>
      <c r="L15797" s="5"/>
      <c r="M15797" s="5"/>
    </row>
    <row r="15798" spans="1:13" s="3" customFormat="1" x14ac:dyDescent="0.25">
      <c r="A15798" s="5"/>
      <c r="B15798" s="5"/>
      <c r="C15798" s="5"/>
      <c r="D15798" s="5"/>
      <c r="E15798" s="5"/>
      <c r="F15798" s="5"/>
      <c r="G15798" s="5"/>
      <c r="H15798" s="5"/>
      <c r="I15798" s="43"/>
      <c r="J15798" s="49"/>
      <c r="K15798" s="5"/>
      <c r="L15798" s="5"/>
      <c r="M15798" s="5"/>
    </row>
    <row r="15799" spans="1:13" s="3" customFormat="1" x14ac:dyDescent="0.25">
      <c r="A15799" s="5"/>
      <c r="B15799" s="5"/>
      <c r="C15799" s="5"/>
      <c r="D15799" s="5"/>
      <c r="E15799" s="5"/>
      <c r="F15799" s="5"/>
      <c r="G15799" s="5"/>
      <c r="H15799" s="5"/>
      <c r="I15799" s="43"/>
      <c r="J15799" s="49"/>
      <c r="K15799" s="5"/>
      <c r="L15799" s="5"/>
      <c r="M15799" s="5"/>
    </row>
    <row r="15800" spans="1:13" s="3" customFormat="1" x14ac:dyDescent="0.25">
      <c r="A15800" s="5"/>
      <c r="B15800" s="5"/>
      <c r="C15800" s="5"/>
      <c r="D15800" s="5"/>
      <c r="E15800" s="5"/>
      <c r="F15800" s="5"/>
      <c r="G15800" s="5"/>
      <c r="H15800" s="5"/>
      <c r="I15800" s="43"/>
      <c r="J15800" s="49"/>
      <c r="K15800" s="5"/>
      <c r="L15800" s="5"/>
      <c r="M15800" s="5"/>
    </row>
    <row r="15801" spans="1:13" s="3" customFormat="1" x14ac:dyDescent="0.25">
      <c r="A15801" s="5"/>
      <c r="B15801" s="5"/>
      <c r="C15801" s="5"/>
      <c r="D15801" s="5"/>
      <c r="E15801" s="5"/>
      <c r="F15801" s="5"/>
      <c r="G15801" s="5"/>
      <c r="H15801" s="5"/>
      <c r="I15801" s="43"/>
      <c r="J15801" s="49"/>
      <c r="K15801" s="5"/>
      <c r="L15801" s="5"/>
      <c r="M15801" s="5"/>
    </row>
    <row r="15802" spans="1:13" s="3" customFormat="1" x14ac:dyDescent="0.25">
      <c r="A15802" s="5"/>
      <c r="B15802" s="5"/>
      <c r="C15802" s="5"/>
      <c r="D15802" s="5"/>
      <c r="E15802" s="5"/>
      <c r="F15802" s="5"/>
      <c r="G15802" s="5"/>
      <c r="H15802" s="5"/>
      <c r="I15802" s="43"/>
      <c r="J15802" s="49"/>
      <c r="K15802" s="5"/>
      <c r="L15802" s="5"/>
      <c r="M15802" s="5"/>
    </row>
    <row r="15803" spans="1:13" s="3" customFormat="1" x14ac:dyDescent="0.25">
      <c r="A15803" s="5"/>
      <c r="B15803" s="5"/>
      <c r="C15803" s="5"/>
      <c r="D15803" s="5"/>
      <c r="E15803" s="5"/>
      <c r="F15803" s="5"/>
      <c r="G15803" s="5"/>
      <c r="H15803" s="5"/>
      <c r="I15803" s="43"/>
      <c r="J15803" s="49"/>
      <c r="K15803" s="5"/>
      <c r="L15803" s="5"/>
      <c r="M15803" s="5"/>
    </row>
    <row r="15804" spans="1:13" s="3" customFormat="1" x14ac:dyDescent="0.25">
      <c r="A15804" s="5"/>
      <c r="B15804" s="5"/>
      <c r="C15804" s="5"/>
      <c r="D15804" s="5"/>
      <c r="E15804" s="5"/>
      <c r="F15804" s="5"/>
      <c r="G15804" s="5"/>
      <c r="H15804" s="5"/>
      <c r="I15804" s="43"/>
      <c r="J15804" s="49"/>
      <c r="K15804" s="5"/>
      <c r="L15804" s="5"/>
      <c r="M15804" s="5"/>
    </row>
    <row r="15805" spans="1:13" s="3" customFormat="1" x14ac:dyDescent="0.25">
      <c r="A15805" s="5"/>
      <c r="B15805" s="5"/>
      <c r="C15805" s="5"/>
      <c r="D15805" s="5"/>
      <c r="E15805" s="5"/>
      <c r="F15805" s="5"/>
      <c r="G15805" s="5"/>
      <c r="H15805" s="5"/>
      <c r="I15805" s="43"/>
      <c r="J15805" s="49"/>
      <c r="K15805" s="5"/>
      <c r="L15805" s="5"/>
      <c r="M15805" s="5"/>
    </row>
    <row r="15806" spans="1:13" s="3" customFormat="1" x14ac:dyDescent="0.25">
      <c r="A15806" s="5"/>
      <c r="B15806" s="5"/>
      <c r="C15806" s="5"/>
      <c r="D15806" s="5"/>
      <c r="E15806" s="5"/>
      <c r="F15806" s="5"/>
      <c r="G15806" s="5"/>
      <c r="H15806" s="5"/>
      <c r="I15806" s="43"/>
      <c r="J15806" s="49"/>
      <c r="K15806" s="5"/>
      <c r="L15806" s="5"/>
      <c r="M15806" s="5"/>
    </row>
    <row r="15807" spans="1:13" s="3" customFormat="1" x14ac:dyDescent="0.25">
      <c r="A15807" s="5"/>
      <c r="B15807" s="5"/>
      <c r="C15807" s="5"/>
      <c r="D15807" s="5"/>
      <c r="E15807" s="5"/>
      <c r="F15807" s="5"/>
      <c r="G15807" s="5"/>
      <c r="H15807" s="5"/>
      <c r="I15807" s="43"/>
      <c r="J15807" s="49"/>
      <c r="K15807" s="5"/>
      <c r="L15807" s="5"/>
      <c r="M15807" s="5"/>
    </row>
    <row r="15808" spans="1:13" s="3" customFormat="1" x14ac:dyDescent="0.25">
      <c r="A15808" s="5"/>
      <c r="B15808" s="5"/>
      <c r="C15808" s="5"/>
      <c r="D15808" s="5"/>
      <c r="E15808" s="5"/>
      <c r="F15808" s="5"/>
      <c r="G15808" s="5"/>
      <c r="H15808" s="5"/>
      <c r="I15808" s="43"/>
      <c r="J15808" s="49"/>
      <c r="K15808" s="5"/>
      <c r="L15808" s="5"/>
      <c r="M15808" s="5"/>
    </row>
    <row r="15809" spans="1:13" s="3" customFormat="1" x14ac:dyDescent="0.25">
      <c r="A15809" s="5"/>
      <c r="B15809" s="5"/>
      <c r="C15809" s="5"/>
      <c r="D15809" s="5"/>
      <c r="E15809" s="5"/>
      <c r="F15809" s="5"/>
      <c r="G15809" s="5"/>
      <c r="H15809" s="5"/>
      <c r="I15809" s="43"/>
      <c r="J15809" s="49"/>
      <c r="K15809" s="5"/>
      <c r="L15809" s="5"/>
      <c r="M15809" s="5"/>
    </row>
    <row r="15810" spans="1:13" s="3" customFormat="1" x14ac:dyDescent="0.25">
      <c r="A15810" s="5"/>
      <c r="B15810" s="5"/>
      <c r="C15810" s="5"/>
      <c r="D15810" s="5"/>
      <c r="E15810" s="5"/>
      <c r="F15810" s="5"/>
      <c r="G15810" s="5"/>
      <c r="H15810" s="5"/>
      <c r="I15810" s="43"/>
      <c r="J15810" s="49"/>
      <c r="K15810" s="5"/>
      <c r="L15810" s="5"/>
      <c r="M15810" s="5"/>
    </row>
    <row r="15811" spans="1:13" s="3" customFormat="1" x14ac:dyDescent="0.25">
      <c r="A15811" s="5"/>
      <c r="B15811" s="5"/>
      <c r="C15811" s="5"/>
      <c r="D15811" s="5"/>
      <c r="E15811" s="5"/>
      <c r="F15811" s="5"/>
      <c r="G15811" s="5"/>
      <c r="H15811" s="5"/>
      <c r="I15811" s="43"/>
      <c r="J15811" s="49"/>
      <c r="K15811" s="5"/>
      <c r="L15811" s="5"/>
      <c r="M15811" s="5"/>
    </row>
    <row r="15812" spans="1:13" s="3" customFormat="1" x14ac:dyDescent="0.25">
      <c r="A15812" s="5"/>
      <c r="B15812" s="5"/>
      <c r="C15812" s="5"/>
      <c r="D15812" s="5"/>
      <c r="E15812" s="5"/>
      <c r="F15812" s="5"/>
      <c r="G15812" s="5"/>
      <c r="H15812" s="5"/>
      <c r="I15812" s="43"/>
      <c r="J15812" s="49"/>
      <c r="K15812" s="5"/>
      <c r="L15812" s="5"/>
      <c r="M15812" s="5"/>
    </row>
    <row r="15813" spans="1:13" s="3" customFormat="1" x14ac:dyDescent="0.25">
      <c r="A15813" s="5"/>
      <c r="B15813" s="5"/>
      <c r="C15813" s="5"/>
      <c r="D15813" s="5"/>
      <c r="E15813" s="5"/>
      <c r="F15813" s="5"/>
      <c r="G15813" s="5"/>
      <c r="H15813" s="5"/>
      <c r="I15813" s="43"/>
      <c r="J15813" s="49"/>
      <c r="K15813" s="5"/>
      <c r="L15813" s="5"/>
      <c r="M15813" s="5"/>
    </row>
    <row r="15814" spans="1:13" s="3" customFormat="1" x14ac:dyDescent="0.25">
      <c r="A15814" s="5"/>
      <c r="B15814" s="5"/>
      <c r="C15814" s="5"/>
      <c r="D15814" s="5"/>
      <c r="E15814" s="5"/>
      <c r="F15814" s="5"/>
      <c r="G15814" s="5"/>
      <c r="H15814" s="5"/>
      <c r="I15814" s="43"/>
      <c r="J15814" s="49"/>
      <c r="K15814" s="5"/>
      <c r="L15814" s="5"/>
      <c r="M15814" s="5"/>
    </row>
    <row r="15815" spans="1:13" s="3" customFormat="1" x14ac:dyDescent="0.25">
      <c r="A15815" s="5"/>
      <c r="B15815" s="5"/>
      <c r="C15815" s="5"/>
      <c r="D15815" s="5"/>
      <c r="E15815" s="5"/>
      <c r="F15815" s="5"/>
      <c r="G15815" s="5"/>
      <c r="H15815" s="5"/>
      <c r="I15815" s="43"/>
      <c r="J15815" s="49"/>
      <c r="K15815" s="5"/>
      <c r="L15815" s="5"/>
      <c r="M15815" s="5"/>
    </row>
    <row r="15816" spans="1:13" s="3" customFormat="1" x14ac:dyDescent="0.25">
      <c r="A15816" s="5"/>
      <c r="B15816" s="5"/>
      <c r="C15816" s="5"/>
      <c r="D15816" s="5"/>
      <c r="E15816" s="5"/>
      <c r="F15816" s="5"/>
      <c r="G15816" s="5"/>
      <c r="H15816" s="5"/>
      <c r="I15816" s="43"/>
      <c r="J15816" s="49"/>
      <c r="K15816" s="5"/>
      <c r="L15816" s="5"/>
      <c r="M15816" s="5"/>
    </row>
    <row r="15817" spans="1:13" s="3" customFormat="1" x14ac:dyDescent="0.25">
      <c r="A15817" s="5"/>
      <c r="B15817" s="5"/>
      <c r="C15817" s="5"/>
      <c r="D15817" s="5"/>
      <c r="E15817" s="5"/>
      <c r="F15817" s="5"/>
      <c r="G15817" s="5"/>
      <c r="H15817" s="5"/>
      <c r="I15817" s="43"/>
      <c r="J15817" s="49"/>
      <c r="K15817" s="5"/>
      <c r="L15817" s="5"/>
      <c r="M15817" s="5"/>
    </row>
    <row r="15818" spans="1:13" s="3" customFormat="1" x14ac:dyDescent="0.25">
      <c r="A15818" s="5"/>
      <c r="B15818" s="5"/>
      <c r="C15818" s="5"/>
      <c r="D15818" s="5"/>
      <c r="E15818" s="5"/>
      <c r="F15818" s="5"/>
      <c r="G15818" s="5"/>
      <c r="H15818" s="5"/>
      <c r="I15818" s="43"/>
      <c r="J15818" s="49"/>
      <c r="K15818" s="5"/>
      <c r="L15818" s="5"/>
      <c r="M15818" s="5"/>
    </row>
    <row r="15819" spans="1:13" s="3" customFormat="1" x14ac:dyDescent="0.25">
      <c r="A15819" s="5"/>
      <c r="B15819" s="5"/>
      <c r="C15819" s="5"/>
      <c r="D15819" s="5"/>
      <c r="E15819" s="5"/>
      <c r="F15819" s="5"/>
      <c r="G15819" s="5"/>
      <c r="H15819" s="5"/>
      <c r="I15819" s="43"/>
      <c r="J15819" s="49"/>
      <c r="K15819" s="5"/>
      <c r="L15819" s="5"/>
      <c r="M15819" s="5"/>
    </row>
    <row r="15820" spans="1:13" s="3" customFormat="1" x14ac:dyDescent="0.25">
      <c r="A15820" s="5"/>
      <c r="B15820" s="5"/>
      <c r="C15820" s="5"/>
      <c r="D15820" s="5"/>
      <c r="E15820" s="5"/>
      <c r="F15820" s="5"/>
      <c r="G15820" s="5"/>
      <c r="H15820" s="5"/>
      <c r="I15820" s="43"/>
      <c r="J15820" s="49"/>
      <c r="K15820" s="5"/>
      <c r="L15820" s="5"/>
      <c r="M15820" s="5"/>
    </row>
    <row r="15821" spans="1:13" s="3" customFormat="1" x14ac:dyDescent="0.25">
      <c r="A15821" s="5"/>
      <c r="B15821" s="5"/>
      <c r="C15821" s="5"/>
      <c r="D15821" s="5"/>
      <c r="E15821" s="5"/>
      <c r="F15821" s="5"/>
      <c r="G15821" s="5"/>
      <c r="H15821" s="5"/>
      <c r="I15821" s="43"/>
      <c r="J15821" s="49"/>
      <c r="K15821" s="5"/>
      <c r="L15821" s="5"/>
      <c r="M15821" s="5"/>
    </row>
    <row r="15822" spans="1:13" s="3" customFormat="1" x14ac:dyDescent="0.25">
      <c r="A15822" s="5"/>
      <c r="B15822" s="5"/>
      <c r="C15822" s="5"/>
      <c r="D15822" s="5"/>
      <c r="E15822" s="5"/>
      <c r="F15822" s="5"/>
      <c r="G15822" s="5"/>
      <c r="H15822" s="5"/>
      <c r="I15822" s="43"/>
      <c r="J15822" s="49"/>
      <c r="K15822" s="5"/>
      <c r="L15822" s="5"/>
      <c r="M15822" s="5"/>
    </row>
    <row r="15823" spans="1:13" s="3" customFormat="1" x14ac:dyDescent="0.25">
      <c r="A15823" s="5"/>
      <c r="B15823" s="5"/>
      <c r="C15823" s="5"/>
      <c r="D15823" s="5"/>
      <c r="E15823" s="5"/>
      <c r="F15823" s="5"/>
      <c r="G15823" s="5"/>
      <c r="H15823" s="5"/>
      <c r="I15823" s="43"/>
      <c r="J15823" s="49"/>
      <c r="K15823" s="5"/>
      <c r="L15823" s="5"/>
      <c r="M15823" s="5"/>
    </row>
    <row r="15824" spans="1:13" s="3" customFormat="1" x14ac:dyDescent="0.25">
      <c r="A15824" s="5"/>
      <c r="B15824" s="5"/>
      <c r="C15824" s="5"/>
      <c r="D15824" s="5"/>
      <c r="E15824" s="5"/>
      <c r="F15824" s="5"/>
      <c r="G15824" s="5"/>
      <c r="H15824" s="5"/>
      <c r="I15824" s="43"/>
      <c r="J15824" s="49"/>
      <c r="K15824" s="5"/>
      <c r="L15824" s="5"/>
      <c r="M15824" s="5"/>
    </row>
    <row r="15825" spans="1:13" s="3" customFormat="1" x14ac:dyDescent="0.25">
      <c r="A15825" s="5"/>
      <c r="B15825" s="5"/>
      <c r="C15825" s="5"/>
      <c r="D15825" s="5"/>
      <c r="E15825" s="5"/>
      <c r="F15825" s="5"/>
      <c r="G15825" s="5"/>
      <c r="H15825" s="5"/>
      <c r="I15825" s="43"/>
      <c r="J15825" s="49"/>
      <c r="K15825" s="5"/>
      <c r="L15825" s="5"/>
      <c r="M15825" s="5"/>
    </row>
    <row r="15826" spans="1:13" s="3" customFormat="1" x14ac:dyDescent="0.25">
      <c r="A15826" s="5"/>
      <c r="B15826" s="5"/>
      <c r="C15826" s="5"/>
      <c r="D15826" s="5"/>
      <c r="E15826" s="5"/>
      <c r="F15826" s="5"/>
      <c r="G15826" s="5"/>
      <c r="H15826" s="5"/>
      <c r="I15826" s="43"/>
      <c r="J15826" s="49"/>
      <c r="K15826" s="5"/>
      <c r="L15826" s="5"/>
      <c r="M15826" s="5"/>
    </row>
    <row r="15827" spans="1:13" s="3" customFormat="1" x14ac:dyDescent="0.25">
      <c r="A15827" s="5"/>
      <c r="B15827" s="5"/>
      <c r="C15827" s="5"/>
      <c r="D15827" s="5"/>
      <c r="E15827" s="5"/>
      <c r="F15827" s="5"/>
      <c r="G15827" s="5"/>
      <c r="H15827" s="5"/>
      <c r="I15827" s="43"/>
      <c r="J15827" s="49"/>
      <c r="K15827" s="5"/>
      <c r="L15827" s="5"/>
      <c r="M15827" s="5"/>
    </row>
    <row r="15828" spans="1:13" s="3" customFormat="1" x14ac:dyDescent="0.25">
      <c r="A15828" s="5"/>
      <c r="B15828" s="5"/>
      <c r="C15828" s="5"/>
      <c r="D15828" s="5"/>
      <c r="E15828" s="5"/>
      <c r="F15828" s="5"/>
      <c r="G15828" s="5"/>
      <c r="H15828" s="5"/>
      <c r="I15828" s="43"/>
      <c r="J15828" s="49"/>
      <c r="K15828" s="5"/>
      <c r="L15828" s="5"/>
      <c r="M15828" s="5"/>
    </row>
    <row r="15829" spans="1:13" s="3" customFormat="1" x14ac:dyDescent="0.25">
      <c r="A15829" s="5"/>
      <c r="B15829" s="5"/>
      <c r="C15829" s="5"/>
      <c r="D15829" s="5"/>
      <c r="E15829" s="5"/>
      <c r="F15829" s="5"/>
      <c r="G15829" s="5"/>
      <c r="H15829" s="5"/>
      <c r="I15829" s="43"/>
      <c r="J15829" s="49"/>
      <c r="K15829" s="5"/>
      <c r="L15829" s="5"/>
      <c r="M15829" s="5"/>
    </row>
    <row r="15830" spans="1:13" s="3" customFormat="1" x14ac:dyDescent="0.25">
      <c r="A15830" s="5"/>
      <c r="B15830" s="5"/>
      <c r="C15830" s="5"/>
      <c r="D15830" s="5"/>
      <c r="E15830" s="5"/>
      <c r="F15830" s="5"/>
      <c r="G15830" s="5"/>
      <c r="H15830" s="5"/>
      <c r="I15830" s="43"/>
      <c r="J15830" s="49"/>
      <c r="K15830" s="5"/>
      <c r="L15830" s="5"/>
      <c r="M15830" s="5"/>
    </row>
    <row r="15831" spans="1:13" s="3" customFormat="1" x14ac:dyDescent="0.25">
      <c r="A15831" s="5"/>
      <c r="B15831" s="5"/>
      <c r="C15831" s="5"/>
      <c r="D15831" s="5"/>
      <c r="E15831" s="5"/>
      <c r="F15831" s="5"/>
      <c r="G15831" s="5"/>
      <c r="H15831" s="5"/>
      <c r="I15831" s="43"/>
      <c r="J15831" s="49"/>
      <c r="K15831" s="5"/>
      <c r="L15831" s="5"/>
      <c r="M15831" s="5"/>
    </row>
    <row r="15832" spans="1:13" s="3" customFormat="1" x14ac:dyDescent="0.25">
      <c r="A15832" s="5"/>
      <c r="B15832" s="5"/>
      <c r="C15832" s="5"/>
      <c r="D15832" s="5"/>
      <c r="E15832" s="5"/>
      <c r="F15832" s="5"/>
      <c r="G15832" s="5"/>
      <c r="H15832" s="5"/>
      <c r="I15832" s="43"/>
      <c r="J15832" s="49"/>
      <c r="K15832" s="5"/>
      <c r="L15832" s="5"/>
      <c r="M15832" s="5"/>
    </row>
    <row r="15833" spans="1:13" s="3" customFormat="1" x14ac:dyDescent="0.25">
      <c r="A15833" s="5"/>
      <c r="B15833" s="5"/>
      <c r="C15833" s="5"/>
      <c r="D15833" s="5"/>
      <c r="E15833" s="5"/>
      <c r="F15833" s="5"/>
      <c r="G15833" s="5"/>
      <c r="H15833" s="5"/>
      <c r="I15833" s="43"/>
      <c r="J15833" s="49"/>
      <c r="K15833" s="5"/>
      <c r="L15833" s="5"/>
      <c r="M15833" s="5"/>
    </row>
    <row r="15834" spans="1:13" s="3" customFormat="1" x14ac:dyDescent="0.25">
      <c r="A15834" s="5"/>
      <c r="B15834" s="5"/>
      <c r="C15834" s="5"/>
      <c r="D15834" s="5"/>
      <c r="E15834" s="5"/>
      <c r="F15834" s="5"/>
      <c r="G15834" s="5"/>
      <c r="H15834" s="5"/>
      <c r="I15834" s="43"/>
      <c r="J15834" s="49"/>
      <c r="K15834" s="5"/>
      <c r="L15834" s="5"/>
      <c r="M15834" s="5"/>
    </row>
    <row r="15835" spans="1:13" s="3" customFormat="1" x14ac:dyDescent="0.25">
      <c r="A15835" s="5"/>
      <c r="B15835" s="5"/>
      <c r="C15835" s="5"/>
      <c r="D15835" s="5"/>
      <c r="E15835" s="5"/>
      <c r="F15835" s="5"/>
      <c r="G15835" s="5"/>
      <c r="H15835" s="5"/>
      <c r="I15835" s="43"/>
      <c r="J15835" s="49"/>
      <c r="K15835" s="5"/>
      <c r="L15835" s="5"/>
      <c r="M15835" s="5"/>
    </row>
    <row r="15836" spans="1:13" s="3" customFormat="1" x14ac:dyDescent="0.25">
      <c r="A15836" s="5"/>
      <c r="B15836" s="5"/>
      <c r="C15836" s="5"/>
      <c r="D15836" s="5"/>
      <c r="E15836" s="5"/>
      <c r="F15836" s="5"/>
      <c r="G15836" s="5"/>
      <c r="H15836" s="5"/>
      <c r="I15836" s="43"/>
      <c r="J15836" s="49"/>
      <c r="K15836" s="5"/>
      <c r="L15836" s="5"/>
      <c r="M15836" s="5"/>
    </row>
    <row r="15837" spans="1:13" s="3" customFormat="1" x14ac:dyDescent="0.25">
      <c r="A15837" s="5"/>
      <c r="B15837" s="5"/>
      <c r="C15837" s="5"/>
      <c r="D15837" s="5"/>
      <c r="E15837" s="5"/>
      <c r="F15837" s="5"/>
      <c r="G15837" s="5"/>
      <c r="H15837" s="5"/>
      <c r="I15837" s="43"/>
      <c r="J15837" s="49"/>
      <c r="K15837" s="5"/>
      <c r="L15837" s="5"/>
      <c r="M15837" s="5"/>
    </row>
    <row r="15838" spans="1:13" s="3" customFormat="1" x14ac:dyDescent="0.25">
      <c r="A15838" s="5"/>
      <c r="B15838" s="5"/>
      <c r="C15838" s="5"/>
      <c r="D15838" s="5"/>
      <c r="E15838" s="5"/>
      <c r="F15838" s="5"/>
      <c r="G15838" s="5"/>
      <c r="H15838" s="5"/>
      <c r="I15838" s="43"/>
      <c r="J15838" s="49"/>
      <c r="K15838" s="5"/>
      <c r="L15838" s="5"/>
      <c r="M15838" s="5"/>
    </row>
    <row r="15839" spans="1:13" s="3" customFormat="1" x14ac:dyDescent="0.25">
      <c r="A15839" s="5"/>
      <c r="B15839" s="5"/>
      <c r="C15839" s="5"/>
      <c r="D15839" s="5"/>
      <c r="E15839" s="5"/>
      <c r="F15839" s="5"/>
      <c r="G15839" s="5"/>
      <c r="H15839" s="5"/>
      <c r="I15839" s="43"/>
      <c r="J15839" s="49"/>
      <c r="K15839" s="5"/>
      <c r="L15839" s="5"/>
      <c r="M15839" s="5"/>
    </row>
    <row r="15840" spans="1:13" s="3" customFormat="1" x14ac:dyDescent="0.25">
      <c r="A15840" s="5"/>
      <c r="B15840" s="5"/>
      <c r="C15840" s="5"/>
      <c r="D15840" s="5"/>
      <c r="E15840" s="5"/>
      <c r="F15840" s="5"/>
      <c r="G15840" s="5"/>
      <c r="H15840" s="5"/>
      <c r="I15840" s="43"/>
      <c r="J15840" s="49"/>
      <c r="K15840" s="5"/>
      <c r="L15840" s="5"/>
      <c r="M15840" s="5"/>
    </row>
    <row r="15841" spans="1:13" s="3" customFormat="1" x14ac:dyDescent="0.25">
      <c r="A15841" s="5"/>
      <c r="B15841" s="5"/>
      <c r="C15841" s="5"/>
      <c r="D15841" s="5"/>
      <c r="E15841" s="5"/>
      <c r="F15841" s="5"/>
      <c r="G15841" s="5"/>
      <c r="H15841" s="5"/>
      <c r="I15841" s="43"/>
      <c r="J15841" s="49"/>
      <c r="K15841" s="5"/>
      <c r="L15841" s="5"/>
      <c r="M15841" s="5"/>
    </row>
    <row r="15842" spans="1:13" s="3" customFormat="1" x14ac:dyDescent="0.25">
      <c r="A15842" s="5"/>
      <c r="B15842" s="5"/>
      <c r="C15842" s="5"/>
      <c r="D15842" s="5"/>
      <c r="E15842" s="5"/>
      <c r="F15842" s="5"/>
      <c r="G15842" s="5"/>
      <c r="H15842" s="5"/>
      <c r="I15842" s="43"/>
      <c r="J15842" s="49"/>
      <c r="K15842" s="5"/>
      <c r="L15842" s="5"/>
      <c r="M15842" s="5"/>
    </row>
    <row r="15843" spans="1:13" s="3" customFormat="1" x14ac:dyDescent="0.25">
      <c r="A15843" s="5"/>
      <c r="B15843" s="5"/>
      <c r="C15843" s="5"/>
      <c r="D15843" s="5"/>
      <c r="E15843" s="5"/>
      <c r="F15843" s="5"/>
      <c r="G15843" s="5"/>
      <c r="H15843" s="5"/>
      <c r="I15843" s="43"/>
      <c r="J15843" s="49"/>
      <c r="K15843" s="5"/>
      <c r="L15843" s="5"/>
      <c r="M15843" s="5"/>
    </row>
    <row r="15844" spans="1:13" s="3" customFormat="1" x14ac:dyDescent="0.25">
      <c r="A15844" s="5"/>
      <c r="B15844" s="5"/>
      <c r="C15844" s="5"/>
      <c r="D15844" s="5"/>
      <c r="E15844" s="5"/>
      <c r="F15844" s="5"/>
      <c r="G15844" s="5"/>
      <c r="H15844" s="5"/>
      <c r="I15844" s="43"/>
      <c r="J15844" s="49"/>
      <c r="K15844" s="5"/>
      <c r="L15844" s="5"/>
      <c r="M15844" s="5"/>
    </row>
    <row r="15845" spans="1:13" s="3" customFormat="1" x14ac:dyDescent="0.25">
      <c r="A15845" s="5"/>
      <c r="B15845" s="5"/>
      <c r="C15845" s="5"/>
      <c r="D15845" s="5"/>
      <c r="E15845" s="5"/>
      <c r="F15845" s="5"/>
      <c r="G15845" s="5"/>
      <c r="H15845" s="5"/>
      <c r="I15845" s="43"/>
      <c r="J15845" s="49"/>
      <c r="K15845" s="5"/>
      <c r="L15845" s="5"/>
      <c r="M15845" s="5"/>
    </row>
    <row r="15846" spans="1:13" s="3" customFormat="1" x14ac:dyDescent="0.25">
      <c r="A15846" s="5"/>
      <c r="B15846" s="5"/>
      <c r="C15846" s="5"/>
      <c r="D15846" s="5"/>
      <c r="E15846" s="5"/>
      <c r="F15846" s="5"/>
      <c r="G15846" s="5"/>
      <c r="H15846" s="5"/>
      <c r="I15846" s="43"/>
      <c r="J15846" s="49"/>
      <c r="K15846" s="5"/>
      <c r="L15846" s="5"/>
      <c r="M15846" s="5"/>
    </row>
    <row r="15847" spans="1:13" s="3" customFormat="1" x14ac:dyDescent="0.25">
      <c r="A15847" s="5"/>
      <c r="B15847" s="5"/>
      <c r="C15847" s="5"/>
      <c r="D15847" s="5"/>
      <c r="E15847" s="5"/>
      <c r="F15847" s="5"/>
      <c r="G15847" s="5"/>
      <c r="H15847" s="5"/>
      <c r="I15847" s="43"/>
      <c r="J15847" s="49"/>
      <c r="K15847" s="5"/>
      <c r="L15847" s="5"/>
      <c r="M15847" s="5"/>
    </row>
    <row r="15848" spans="1:13" s="3" customFormat="1" x14ac:dyDescent="0.25">
      <c r="A15848" s="5"/>
      <c r="B15848" s="5"/>
      <c r="C15848" s="5"/>
      <c r="D15848" s="5"/>
      <c r="E15848" s="5"/>
      <c r="F15848" s="5"/>
      <c r="G15848" s="5"/>
      <c r="H15848" s="5"/>
      <c r="I15848" s="43"/>
      <c r="J15848" s="49"/>
      <c r="K15848" s="5"/>
      <c r="L15848" s="5"/>
      <c r="M15848" s="5"/>
    </row>
    <row r="15849" spans="1:13" s="3" customFormat="1" x14ac:dyDescent="0.25">
      <c r="A15849" s="5"/>
      <c r="B15849" s="5"/>
      <c r="C15849" s="5"/>
      <c r="D15849" s="5"/>
      <c r="E15849" s="5"/>
      <c r="F15849" s="5"/>
      <c r="G15849" s="5"/>
      <c r="H15849" s="5"/>
      <c r="I15849" s="43"/>
      <c r="J15849" s="49"/>
      <c r="K15849" s="5"/>
      <c r="L15849" s="5"/>
      <c r="M15849" s="5"/>
    </row>
    <row r="15850" spans="1:13" s="3" customFormat="1" x14ac:dyDescent="0.25">
      <c r="A15850" s="5"/>
      <c r="B15850" s="5"/>
      <c r="C15850" s="5"/>
      <c r="D15850" s="5"/>
      <c r="E15850" s="5"/>
      <c r="F15850" s="5"/>
      <c r="G15850" s="5"/>
      <c r="H15850" s="5"/>
      <c r="I15850" s="43"/>
      <c r="J15850" s="49"/>
      <c r="K15850" s="5"/>
      <c r="L15850" s="5"/>
      <c r="M15850" s="5"/>
    </row>
    <row r="15851" spans="1:13" s="3" customFormat="1" x14ac:dyDescent="0.25">
      <c r="A15851" s="5"/>
      <c r="B15851" s="5"/>
      <c r="C15851" s="5"/>
      <c r="D15851" s="5"/>
      <c r="E15851" s="5"/>
      <c r="F15851" s="5"/>
      <c r="G15851" s="5"/>
      <c r="H15851" s="5"/>
      <c r="I15851" s="43"/>
      <c r="J15851" s="49"/>
      <c r="K15851" s="5"/>
      <c r="L15851" s="5"/>
      <c r="M15851" s="5"/>
    </row>
    <row r="15852" spans="1:13" s="3" customFormat="1" x14ac:dyDescent="0.25">
      <c r="A15852" s="5"/>
      <c r="B15852" s="5"/>
      <c r="C15852" s="5"/>
      <c r="D15852" s="5"/>
      <c r="E15852" s="5"/>
      <c r="F15852" s="5"/>
      <c r="G15852" s="5"/>
      <c r="H15852" s="5"/>
      <c r="I15852" s="43"/>
      <c r="J15852" s="49"/>
      <c r="K15852" s="5"/>
      <c r="L15852" s="5"/>
      <c r="M15852" s="5"/>
    </row>
    <row r="15853" spans="1:13" s="3" customFormat="1" x14ac:dyDescent="0.25">
      <c r="A15853" s="5"/>
      <c r="B15853" s="5"/>
      <c r="C15853" s="5"/>
      <c r="D15853" s="5"/>
      <c r="E15853" s="5"/>
      <c r="F15853" s="5"/>
      <c r="G15853" s="5"/>
      <c r="H15853" s="5"/>
      <c r="I15853" s="43"/>
      <c r="J15853" s="49"/>
      <c r="K15853" s="5"/>
      <c r="L15853" s="5"/>
      <c r="M15853" s="5"/>
    </row>
    <row r="15854" spans="1:13" s="3" customFormat="1" x14ac:dyDescent="0.25">
      <c r="A15854" s="5"/>
      <c r="B15854" s="5"/>
      <c r="C15854" s="5"/>
      <c r="D15854" s="5"/>
      <c r="E15854" s="5"/>
      <c r="F15854" s="5"/>
      <c r="G15854" s="5"/>
      <c r="H15854" s="5"/>
      <c r="I15854" s="43"/>
      <c r="J15854" s="49"/>
      <c r="K15854" s="5"/>
      <c r="L15854" s="5"/>
      <c r="M15854" s="5"/>
    </row>
    <row r="15855" spans="1:13" s="3" customFormat="1" x14ac:dyDescent="0.25">
      <c r="A15855" s="5"/>
      <c r="B15855" s="5"/>
      <c r="C15855" s="5"/>
      <c r="D15855" s="5"/>
      <c r="E15855" s="5"/>
      <c r="F15855" s="5"/>
      <c r="G15855" s="5"/>
      <c r="H15855" s="5"/>
      <c r="I15855" s="43"/>
      <c r="J15855" s="49"/>
      <c r="K15855" s="5"/>
      <c r="L15855" s="5"/>
      <c r="M15855" s="5"/>
    </row>
    <row r="15856" spans="1:13" s="3" customFormat="1" x14ac:dyDescent="0.25">
      <c r="A15856" s="5"/>
      <c r="B15856" s="5"/>
      <c r="C15856" s="5"/>
      <c r="D15856" s="5"/>
      <c r="E15856" s="5"/>
      <c r="F15856" s="5"/>
      <c r="G15856" s="5"/>
      <c r="H15856" s="5"/>
      <c r="I15856" s="43"/>
      <c r="J15856" s="49"/>
      <c r="K15856" s="5"/>
      <c r="L15856" s="5"/>
      <c r="M15856" s="5"/>
    </row>
    <row r="15857" spans="1:13" s="3" customFormat="1" x14ac:dyDescent="0.25">
      <c r="A15857" s="5"/>
      <c r="B15857" s="5"/>
      <c r="C15857" s="5"/>
      <c r="D15857" s="5"/>
      <c r="E15857" s="5"/>
      <c r="F15857" s="5"/>
      <c r="G15857" s="5"/>
      <c r="H15857" s="5"/>
      <c r="I15857" s="43"/>
      <c r="J15857" s="49"/>
      <c r="K15857" s="5"/>
      <c r="L15857" s="5"/>
      <c r="M15857" s="5"/>
    </row>
    <row r="15858" spans="1:13" s="3" customFormat="1" x14ac:dyDescent="0.25">
      <c r="A15858" s="5"/>
      <c r="B15858" s="5"/>
      <c r="C15858" s="5"/>
      <c r="D15858" s="5"/>
      <c r="E15858" s="5"/>
      <c r="F15858" s="5"/>
      <c r="G15858" s="5"/>
      <c r="H15858" s="5"/>
      <c r="I15858" s="43"/>
      <c r="J15858" s="49"/>
      <c r="K15858" s="5"/>
      <c r="L15858" s="5"/>
      <c r="M15858" s="5"/>
    </row>
    <row r="15859" spans="1:13" s="3" customFormat="1" x14ac:dyDescent="0.25">
      <c r="A15859" s="5"/>
      <c r="B15859" s="5"/>
      <c r="C15859" s="5"/>
      <c r="D15859" s="5"/>
      <c r="E15859" s="5"/>
      <c r="F15859" s="5"/>
      <c r="G15859" s="5"/>
      <c r="H15859" s="5"/>
      <c r="I15859" s="43"/>
      <c r="J15859" s="49"/>
      <c r="K15859" s="5"/>
      <c r="L15859" s="5"/>
      <c r="M15859" s="5"/>
    </row>
    <row r="15860" spans="1:13" s="3" customFormat="1" x14ac:dyDescent="0.25">
      <c r="A15860" s="5"/>
      <c r="B15860" s="5"/>
      <c r="C15860" s="5"/>
      <c r="D15860" s="5"/>
      <c r="E15860" s="5"/>
      <c r="F15860" s="5"/>
      <c r="G15860" s="5"/>
      <c r="H15860" s="5"/>
      <c r="I15860" s="43"/>
      <c r="J15860" s="49"/>
      <c r="K15860" s="5"/>
      <c r="L15860" s="5"/>
      <c r="M15860" s="5"/>
    </row>
    <row r="15861" spans="1:13" s="3" customFormat="1" x14ac:dyDescent="0.25">
      <c r="A15861" s="5"/>
      <c r="B15861" s="5"/>
      <c r="C15861" s="5"/>
      <c r="D15861" s="5"/>
      <c r="E15861" s="5"/>
      <c r="F15861" s="5"/>
      <c r="G15861" s="5"/>
      <c r="H15861" s="5"/>
      <c r="I15861" s="43"/>
      <c r="J15861" s="49"/>
      <c r="K15861" s="5"/>
      <c r="L15861" s="5"/>
      <c r="M15861" s="5"/>
    </row>
    <row r="15862" spans="1:13" s="3" customFormat="1" x14ac:dyDescent="0.25">
      <c r="A15862" s="5"/>
      <c r="B15862" s="5"/>
      <c r="C15862" s="5"/>
      <c r="D15862" s="5"/>
      <c r="E15862" s="5"/>
      <c r="F15862" s="5"/>
      <c r="G15862" s="5"/>
      <c r="H15862" s="5"/>
      <c r="I15862" s="43"/>
      <c r="J15862" s="49"/>
      <c r="K15862" s="5"/>
      <c r="L15862" s="5"/>
      <c r="M15862" s="5"/>
    </row>
    <row r="15863" spans="1:13" s="3" customFormat="1" x14ac:dyDescent="0.25">
      <c r="A15863" s="5"/>
      <c r="B15863" s="5"/>
      <c r="C15863" s="5"/>
      <c r="D15863" s="5"/>
      <c r="E15863" s="5"/>
      <c r="F15863" s="5"/>
      <c r="G15863" s="5"/>
      <c r="H15863" s="5"/>
      <c r="I15863" s="43"/>
      <c r="J15863" s="49"/>
      <c r="K15863" s="5"/>
      <c r="L15863" s="5"/>
      <c r="M15863" s="5"/>
    </row>
    <row r="15864" spans="1:13" s="3" customFormat="1" x14ac:dyDescent="0.25">
      <c r="A15864" s="5"/>
      <c r="B15864" s="5"/>
      <c r="C15864" s="5"/>
      <c r="D15864" s="5"/>
      <c r="E15864" s="5"/>
      <c r="F15864" s="5"/>
      <c r="G15864" s="5"/>
      <c r="H15864" s="5"/>
      <c r="I15864" s="43"/>
      <c r="J15864" s="49"/>
      <c r="K15864" s="5"/>
      <c r="L15864" s="5"/>
      <c r="M15864" s="5"/>
    </row>
    <row r="15865" spans="1:13" s="3" customFormat="1" x14ac:dyDescent="0.25">
      <c r="A15865" s="5"/>
      <c r="B15865" s="5"/>
      <c r="C15865" s="5"/>
      <c r="D15865" s="5"/>
      <c r="E15865" s="5"/>
      <c r="F15865" s="5"/>
      <c r="G15865" s="5"/>
      <c r="H15865" s="5"/>
      <c r="I15865" s="43"/>
      <c r="J15865" s="49"/>
      <c r="K15865" s="5"/>
      <c r="L15865" s="5"/>
      <c r="M15865" s="5"/>
    </row>
    <row r="15866" spans="1:13" s="3" customFormat="1" x14ac:dyDescent="0.25">
      <c r="A15866" s="5"/>
      <c r="B15866" s="5"/>
      <c r="C15866" s="5"/>
      <c r="D15866" s="5"/>
      <c r="E15866" s="5"/>
      <c r="F15866" s="5"/>
      <c r="G15866" s="5"/>
      <c r="H15866" s="5"/>
      <c r="I15866" s="43"/>
      <c r="J15866" s="49"/>
      <c r="K15866" s="5"/>
      <c r="L15866" s="5"/>
      <c r="M15866" s="5"/>
    </row>
    <row r="15867" spans="1:13" s="3" customFormat="1" x14ac:dyDescent="0.25">
      <c r="A15867" s="5"/>
      <c r="B15867" s="5"/>
      <c r="C15867" s="5"/>
      <c r="D15867" s="5"/>
      <c r="E15867" s="5"/>
      <c r="F15867" s="5"/>
      <c r="G15867" s="5"/>
      <c r="H15867" s="5"/>
      <c r="I15867" s="43"/>
      <c r="J15867" s="49"/>
      <c r="K15867" s="5"/>
      <c r="L15867" s="5"/>
      <c r="M15867" s="5"/>
    </row>
    <row r="15868" spans="1:13" s="3" customFormat="1" x14ac:dyDescent="0.25">
      <c r="A15868" s="5"/>
      <c r="B15868" s="5"/>
      <c r="C15868" s="5"/>
      <c r="D15868" s="5"/>
      <c r="E15868" s="5"/>
      <c r="F15868" s="5"/>
      <c r="G15868" s="5"/>
      <c r="H15868" s="5"/>
      <c r="I15868" s="43"/>
      <c r="J15868" s="49"/>
      <c r="K15868" s="5"/>
      <c r="L15868" s="5"/>
      <c r="M15868" s="5"/>
    </row>
    <row r="15869" spans="1:13" s="3" customFormat="1" x14ac:dyDescent="0.25">
      <c r="A15869" s="5"/>
      <c r="B15869" s="5"/>
      <c r="C15869" s="5"/>
      <c r="D15869" s="5"/>
      <c r="E15869" s="5"/>
      <c r="F15869" s="5"/>
      <c r="G15869" s="5"/>
      <c r="H15869" s="5"/>
      <c r="I15869" s="43"/>
      <c r="J15869" s="49"/>
      <c r="K15869" s="5"/>
      <c r="L15869" s="5"/>
      <c r="M15869" s="5"/>
    </row>
    <row r="15870" spans="1:13" s="3" customFormat="1" x14ac:dyDescent="0.25">
      <c r="A15870" s="5"/>
      <c r="B15870" s="5"/>
      <c r="C15870" s="5"/>
      <c r="D15870" s="5"/>
      <c r="E15870" s="5"/>
      <c r="F15870" s="5"/>
      <c r="G15870" s="5"/>
      <c r="H15870" s="5"/>
      <c r="I15870" s="43"/>
      <c r="J15870" s="49"/>
      <c r="K15870" s="5"/>
      <c r="L15870" s="5"/>
      <c r="M15870" s="5"/>
    </row>
    <row r="15871" spans="1:13" s="3" customFormat="1" x14ac:dyDescent="0.25">
      <c r="A15871" s="5"/>
      <c r="B15871" s="5"/>
      <c r="C15871" s="5"/>
      <c r="D15871" s="5"/>
      <c r="E15871" s="5"/>
      <c r="F15871" s="5"/>
      <c r="G15871" s="5"/>
      <c r="H15871" s="5"/>
      <c r="I15871" s="43"/>
      <c r="J15871" s="49"/>
      <c r="K15871" s="5"/>
      <c r="L15871" s="5"/>
      <c r="M15871" s="5"/>
    </row>
    <row r="15872" spans="1:13" s="3" customFormat="1" x14ac:dyDescent="0.25">
      <c r="A15872" s="5"/>
      <c r="B15872" s="5"/>
      <c r="C15872" s="5"/>
      <c r="D15872" s="5"/>
      <c r="E15872" s="5"/>
      <c r="F15872" s="5"/>
      <c r="G15872" s="5"/>
      <c r="H15872" s="5"/>
      <c r="I15872" s="43"/>
      <c r="J15872" s="49"/>
      <c r="K15872" s="5"/>
      <c r="L15872" s="5"/>
      <c r="M15872" s="5"/>
    </row>
    <row r="15873" spans="1:13" s="3" customFormat="1" x14ac:dyDescent="0.25">
      <c r="A15873" s="5"/>
      <c r="B15873" s="5"/>
      <c r="C15873" s="5"/>
      <c r="D15873" s="5"/>
      <c r="E15873" s="5"/>
      <c r="F15873" s="5"/>
      <c r="G15873" s="5"/>
      <c r="H15873" s="5"/>
      <c r="I15873" s="43"/>
      <c r="J15873" s="49"/>
      <c r="K15873" s="5"/>
      <c r="L15873" s="5"/>
      <c r="M15873" s="5"/>
    </row>
    <row r="15874" spans="1:13" s="3" customFormat="1" x14ac:dyDescent="0.25">
      <c r="A15874" s="5"/>
      <c r="B15874" s="5"/>
      <c r="C15874" s="5"/>
      <c r="D15874" s="5"/>
      <c r="E15874" s="5"/>
      <c r="F15874" s="5"/>
      <c r="G15874" s="5"/>
      <c r="H15874" s="5"/>
      <c r="I15874" s="43"/>
      <c r="J15874" s="49"/>
      <c r="K15874" s="5"/>
      <c r="L15874" s="5"/>
      <c r="M15874" s="5"/>
    </row>
    <row r="15875" spans="1:13" s="3" customFormat="1" x14ac:dyDescent="0.25">
      <c r="A15875" s="5"/>
      <c r="B15875" s="5"/>
      <c r="C15875" s="5"/>
      <c r="D15875" s="5"/>
      <c r="E15875" s="5"/>
      <c r="F15875" s="5"/>
      <c r="G15875" s="5"/>
      <c r="H15875" s="5"/>
      <c r="I15875" s="43"/>
      <c r="J15875" s="49"/>
      <c r="K15875" s="5"/>
      <c r="L15875" s="5"/>
      <c r="M15875" s="5"/>
    </row>
    <row r="15876" spans="1:13" s="3" customFormat="1" x14ac:dyDescent="0.25">
      <c r="A15876" s="5"/>
      <c r="B15876" s="5"/>
      <c r="C15876" s="5"/>
      <c r="D15876" s="5"/>
      <c r="E15876" s="5"/>
      <c r="F15876" s="5"/>
      <c r="G15876" s="5"/>
      <c r="H15876" s="5"/>
      <c r="I15876" s="43"/>
      <c r="J15876" s="49"/>
      <c r="K15876" s="5"/>
      <c r="L15876" s="5"/>
      <c r="M15876" s="5"/>
    </row>
    <row r="15877" spans="1:13" s="3" customFormat="1" x14ac:dyDescent="0.25">
      <c r="A15877" s="5"/>
      <c r="B15877" s="5"/>
      <c r="C15877" s="5"/>
      <c r="D15877" s="5"/>
      <c r="E15877" s="5"/>
      <c r="F15877" s="5"/>
      <c r="G15877" s="5"/>
      <c r="H15877" s="5"/>
      <c r="I15877" s="43"/>
      <c r="J15877" s="49"/>
      <c r="K15877" s="5"/>
      <c r="L15877" s="5"/>
      <c r="M15877" s="5"/>
    </row>
    <row r="15878" spans="1:13" s="3" customFormat="1" x14ac:dyDescent="0.25">
      <c r="A15878" s="5"/>
      <c r="B15878" s="5"/>
      <c r="C15878" s="5"/>
      <c r="D15878" s="5"/>
      <c r="E15878" s="5"/>
      <c r="F15878" s="5"/>
      <c r="G15878" s="5"/>
      <c r="H15878" s="5"/>
      <c r="I15878" s="43"/>
      <c r="J15878" s="49"/>
      <c r="K15878" s="5"/>
      <c r="L15878" s="5"/>
      <c r="M15878" s="5"/>
    </row>
    <row r="15879" spans="1:13" s="3" customFormat="1" x14ac:dyDescent="0.25">
      <c r="A15879" s="5"/>
      <c r="B15879" s="5"/>
      <c r="C15879" s="5"/>
      <c r="D15879" s="5"/>
      <c r="E15879" s="5"/>
      <c r="F15879" s="5"/>
      <c r="G15879" s="5"/>
      <c r="H15879" s="5"/>
      <c r="I15879" s="43"/>
      <c r="J15879" s="49"/>
      <c r="K15879" s="5"/>
      <c r="L15879" s="5"/>
      <c r="M15879" s="5"/>
    </row>
    <row r="15880" spans="1:13" s="3" customFormat="1" x14ac:dyDescent="0.25">
      <c r="A15880" s="5"/>
      <c r="B15880" s="5"/>
      <c r="C15880" s="5"/>
      <c r="D15880" s="5"/>
      <c r="E15880" s="5"/>
      <c r="F15880" s="5"/>
      <c r="G15880" s="5"/>
      <c r="H15880" s="5"/>
      <c r="I15880" s="43"/>
      <c r="J15880" s="49"/>
      <c r="K15880" s="5"/>
      <c r="L15880" s="5"/>
      <c r="M15880" s="5"/>
    </row>
    <row r="15881" spans="1:13" s="3" customFormat="1" x14ac:dyDescent="0.25">
      <c r="A15881" s="5"/>
      <c r="B15881" s="5"/>
      <c r="C15881" s="5"/>
      <c r="D15881" s="5"/>
      <c r="E15881" s="5"/>
      <c r="F15881" s="5"/>
      <c r="G15881" s="5"/>
      <c r="H15881" s="5"/>
      <c r="I15881" s="43"/>
      <c r="J15881" s="49"/>
      <c r="K15881" s="5"/>
      <c r="L15881" s="5"/>
      <c r="M15881" s="5"/>
    </row>
    <row r="15882" spans="1:13" s="3" customFormat="1" x14ac:dyDescent="0.25">
      <c r="A15882" s="5"/>
      <c r="B15882" s="5"/>
      <c r="C15882" s="5"/>
      <c r="D15882" s="5"/>
      <c r="E15882" s="5"/>
      <c r="F15882" s="5"/>
      <c r="G15882" s="5"/>
      <c r="H15882" s="5"/>
      <c r="I15882" s="43"/>
      <c r="J15882" s="49"/>
      <c r="K15882" s="5"/>
      <c r="L15882" s="5"/>
      <c r="M15882" s="5"/>
    </row>
    <row r="15883" spans="1:13" s="3" customFormat="1" x14ac:dyDescent="0.25">
      <c r="A15883" s="5"/>
      <c r="B15883" s="5"/>
      <c r="C15883" s="5"/>
      <c r="D15883" s="5"/>
      <c r="E15883" s="5"/>
      <c r="F15883" s="5"/>
      <c r="G15883" s="5"/>
      <c r="H15883" s="5"/>
      <c r="I15883" s="43"/>
      <c r="J15883" s="49"/>
      <c r="K15883" s="5"/>
      <c r="L15883" s="5"/>
      <c r="M15883" s="5"/>
    </row>
    <row r="15884" spans="1:13" s="3" customFormat="1" x14ac:dyDescent="0.25">
      <c r="A15884" s="5"/>
      <c r="B15884" s="5"/>
      <c r="C15884" s="5"/>
      <c r="D15884" s="5"/>
      <c r="E15884" s="5"/>
      <c r="F15884" s="5"/>
      <c r="G15884" s="5"/>
      <c r="H15884" s="5"/>
      <c r="I15884" s="43"/>
      <c r="J15884" s="49"/>
      <c r="K15884" s="5"/>
      <c r="L15884" s="5"/>
      <c r="M15884" s="5"/>
    </row>
    <row r="15885" spans="1:13" s="3" customFormat="1" x14ac:dyDescent="0.25">
      <c r="A15885" s="5"/>
      <c r="B15885" s="5"/>
      <c r="C15885" s="5"/>
      <c r="D15885" s="5"/>
      <c r="E15885" s="5"/>
      <c r="F15885" s="5"/>
      <c r="G15885" s="5"/>
      <c r="H15885" s="5"/>
      <c r="I15885" s="43"/>
      <c r="J15885" s="49"/>
      <c r="K15885" s="5"/>
      <c r="L15885" s="5"/>
      <c r="M15885" s="5"/>
    </row>
    <row r="15886" spans="1:13" s="3" customFormat="1" x14ac:dyDescent="0.25">
      <c r="A15886" s="5"/>
      <c r="B15886" s="5"/>
      <c r="C15886" s="5"/>
      <c r="D15886" s="5"/>
      <c r="E15886" s="5"/>
      <c r="F15886" s="5"/>
      <c r="G15886" s="5"/>
      <c r="H15886" s="5"/>
      <c r="I15886" s="43"/>
      <c r="J15886" s="49"/>
      <c r="K15886" s="5"/>
      <c r="L15886" s="5"/>
      <c r="M15886" s="5"/>
    </row>
    <row r="15887" spans="1:13" s="3" customFormat="1" x14ac:dyDescent="0.25">
      <c r="A15887" s="5"/>
      <c r="B15887" s="5"/>
      <c r="C15887" s="5"/>
      <c r="D15887" s="5"/>
      <c r="E15887" s="5"/>
      <c r="F15887" s="5"/>
      <c r="G15887" s="5"/>
      <c r="H15887" s="5"/>
      <c r="I15887" s="43"/>
      <c r="J15887" s="49"/>
      <c r="K15887" s="5"/>
      <c r="L15887" s="5"/>
      <c r="M15887" s="5"/>
    </row>
    <row r="15888" spans="1:13" s="3" customFormat="1" x14ac:dyDescent="0.25">
      <c r="A15888" s="5"/>
      <c r="B15888" s="5"/>
      <c r="C15888" s="5"/>
      <c r="D15888" s="5"/>
      <c r="E15888" s="5"/>
      <c r="F15888" s="5"/>
      <c r="G15888" s="5"/>
      <c r="H15888" s="5"/>
      <c r="I15888" s="43"/>
      <c r="J15888" s="49"/>
      <c r="K15888" s="5"/>
      <c r="L15888" s="5"/>
      <c r="M15888" s="5"/>
    </row>
    <row r="15889" spans="1:13" s="3" customFormat="1" x14ac:dyDescent="0.25">
      <c r="A15889" s="5"/>
      <c r="B15889" s="5"/>
      <c r="C15889" s="5"/>
      <c r="D15889" s="5"/>
      <c r="E15889" s="5"/>
      <c r="F15889" s="5"/>
      <c r="G15889" s="5"/>
      <c r="H15889" s="5"/>
      <c r="I15889" s="43"/>
      <c r="J15889" s="49"/>
      <c r="K15889" s="5"/>
      <c r="L15889" s="5"/>
      <c r="M15889" s="5"/>
    </row>
    <row r="15890" spans="1:13" s="3" customFormat="1" x14ac:dyDescent="0.25">
      <c r="A15890" s="5"/>
      <c r="B15890" s="5"/>
      <c r="C15890" s="5"/>
      <c r="D15890" s="5"/>
      <c r="E15890" s="5"/>
      <c r="F15890" s="5"/>
      <c r="G15890" s="5"/>
      <c r="H15890" s="5"/>
      <c r="I15890" s="43"/>
      <c r="J15890" s="49"/>
      <c r="K15890" s="5"/>
      <c r="L15890" s="5"/>
      <c r="M15890" s="5"/>
    </row>
    <row r="15891" spans="1:13" s="3" customFormat="1" x14ac:dyDescent="0.25">
      <c r="A15891" s="5"/>
      <c r="B15891" s="5"/>
      <c r="C15891" s="5"/>
      <c r="D15891" s="5"/>
      <c r="E15891" s="5"/>
      <c r="F15891" s="5"/>
      <c r="G15891" s="5"/>
      <c r="H15891" s="5"/>
      <c r="I15891" s="43"/>
      <c r="J15891" s="49"/>
      <c r="K15891" s="5"/>
      <c r="L15891" s="5"/>
      <c r="M15891" s="5"/>
    </row>
    <row r="15892" spans="1:13" s="3" customFormat="1" x14ac:dyDescent="0.25">
      <c r="A15892" s="5"/>
      <c r="B15892" s="5"/>
      <c r="C15892" s="5"/>
      <c r="D15892" s="5"/>
      <c r="E15892" s="5"/>
      <c r="F15892" s="5"/>
      <c r="G15892" s="5"/>
      <c r="H15892" s="5"/>
      <c r="I15892" s="43"/>
      <c r="J15892" s="49"/>
      <c r="K15892" s="5"/>
      <c r="L15892" s="5"/>
      <c r="M15892" s="5"/>
    </row>
    <row r="15893" spans="1:13" s="3" customFormat="1" x14ac:dyDescent="0.25">
      <c r="A15893" s="5"/>
      <c r="B15893" s="5"/>
      <c r="C15893" s="5"/>
      <c r="D15893" s="5"/>
      <c r="E15893" s="5"/>
      <c r="F15893" s="5"/>
      <c r="G15893" s="5"/>
      <c r="H15893" s="5"/>
      <c r="I15893" s="43"/>
      <c r="J15893" s="49"/>
      <c r="K15893" s="5"/>
      <c r="L15893" s="5"/>
      <c r="M15893" s="5"/>
    </row>
    <row r="15894" spans="1:13" s="3" customFormat="1" x14ac:dyDescent="0.25">
      <c r="A15894" s="5"/>
      <c r="B15894" s="5"/>
      <c r="C15894" s="5"/>
      <c r="D15894" s="5"/>
      <c r="E15894" s="5"/>
      <c r="F15894" s="5"/>
      <c r="G15894" s="5"/>
      <c r="H15894" s="5"/>
      <c r="I15894" s="43"/>
      <c r="J15894" s="49"/>
      <c r="K15894" s="5"/>
      <c r="L15894" s="5"/>
      <c r="M15894" s="5"/>
    </row>
    <row r="15895" spans="1:13" s="3" customFormat="1" x14ac:dyDescent="0.25">
      <c r="A15895" s="5"/>
      <c r="B15895" s="5"/>
      <c r="C15895" s="5"/>
      <c r="D15895" s="5"/>
      <c r="E15895" s="5"/>
      <c r="F15895" s="5"/>
      <c r="G15895" s="5"/>
      <c r="H15895" s="5"/>
      <c r="I15895" s="43"/>
      <c r="J15895" s="49"/>
      <c r="K15895" s="5"/>
      <c r="L15895" s="5"/>
      <c r="M15895" s="5"/>
    </row>
    <row r="15896" spans="1:13" s="3" customFormat="1" x14ac:dyDescent="0.25">
      <c r="A15896" s="5"/>
      <c r="B15896" s="5"/>
      <c r="C15896" s="5"/>
      <c r="D15896" s="5"/>
      <c r="E15896" s="5"/>
      <c r="F15896" s="5"/>
      <c r="G15896" s="5"/>
      <c r="H15896" s="5"/>
      <c r="I15896" s="43"/>
      <c r="J15896" s="49"/>
      <c r="K15896" s="5"/>
      <c r="L15896" s="5"/>
      <c r="M15896" s="5"/>
    </row>
    <row r="15897" spans="1:13" s="3" customFormat="1" x14ac:dyDescent="0.25">
      <c r="A15897" s="5"/>
      <c r="B15897" s="5"/>
      <c r="C15897" s="5"/>
      <c r="D15897" s="5"/>
      <c r="E15897" s="5"/>
      <c r="F15897" s="5"/>
      <c r="G15897" s="5"/>
      <c r="H15897" s="5"/>
      <c r="I15897" s="43"/>
      <c r="J15897" s="49"/>
      <c r="K15897" s="5"/>
      <c r="L15897" s="5"/>
      <c r="M15897" s="5"/>
    </row>
    <row r="15898" spans="1:13" s="3" customFormat="1" x14ac:dyDescent="0.25">
      <c r="A15898" s="5"/>
      <c r="B15898" s="5"/>
      <c r="C15898" s="5"/>
      <c r="D15898" s="5"/>
      <c r="E15898" s="5"/>
      <c r="F15898" s="5"/>
      <c r="G15898" s="5"/>
      <c r="H15898" s="5"/>
      <c r="I15898" s="43"/>
      <c r="J15898" s="49"/>
      <c r="K15898" s="5"/>
      <c r="L15898" s="5"/>
      <c r="M15898" s="5"/>
    </row>
    <row r="15899" spans="1:13" s="3" customFormat="1" x14ac:dyDescent="0.25">
      <c r="A15899" s="5"/>
      <c r="B15899" s="5"/>
      <c r="C15899" s="5"/>
      <c r="D15899" s="5"/>
      <c r="E15899" s="5"/>
      <c r="F15899" s="5"/>
      <c r="G15899" s="5"/>
      <c r="H15899" s="5"/>
      <c r="I15899" s="43"/>
      <c r="J15899" s="49"/>
      <c r="K15899" s="5"/>
      <c r="L15899" s="5"/>
      <c r="M15899" s="5"/>
    </row>
    <row r="15900" spans="1:13" s="3" customFormat="1" x14ac:dyDescent="0.25">
      <c r="A15900" s="5"/>
      <c r="B15900" s="5"/>
      <c r="C15900" s="5"/>
      <c r="D15900" s="5"/>
      <c r="E15900" s="5"/>
      <c r="F15900" s="5"/>
      <c r="G15900" s="5"/>
      <c r="H15900" s="5"/>
      <c r="I15900" s="43"/>
      <c r="J15900" s="49"/>
      <c r="K15900" s="5"/>
      <c r="L15900" s="5"/>
      <c r="M15900" s="5"/>
    </row>
    <row r="15901" spans="1:13" s="3" customFormat="1" x14ac:dyDescent="0.25">
      <c r="A15901" s="5"/>
      <c r="B15901" s="5"/>
      <c r="C15901" s="5"/>
      <c r="D15901" s="5"/>
      <c r="E15901" s="5"/>
      <c r="F15901" s="5"/>
      <c r="G15901" s="5"/>
      <c r="H15901" s="5"/>
      <c r="I15901" s="43"/>
      <c r="J15901" s="49"/>
      <c r="K15901" s="5"/>
      <c r="L15901" s="5"/>
      <c r="M15901" s="5"/>
    </row>
    <row r="15902" spans="1:13" s="3" customFormat="1" x14ac:dyDescent="0.25">
      <c r="A15902" s="5"/>
      <c r="B15902" s="5"/>
      <c r="C15902" s="5"/>
      <c r="D15902" s="5"/>
      <c r="E15902" s="5"/>
      <c r="F15902" s="5"/>
      <c r="G15902" s="5"/>
      <c r="H15902" s="5"/>
      <c r="I15902" s="43"/>
      <c r="J15902" s="49"/>
      <c r="K15902" s="5"/>
      <c r="L15902" s="5"/>
      <c r="M15902" s="5"/>
    </row>
    <row r="15903" spans="1:13" s="3" customFormat="1" x14ac:dyDescent="0.25">
      <c r="A15903" s="5"/>
      <c r="B15903" s="5"/>
      <c r="C15903" s="5"/>
      <c r="D15903" s="5"/>
      <c r="E15903" s="5"/>
      <c r="F15903" s="5"/>
      <c r="G15903" s="5"/>
      <c r="H15903" s="5"/>
      <c r="I15903" s="43"/>
      <c r="J15903" s="49"/>
      <c r="K15903" s="5"/>
      <c r="L15903" s="5"/>
      <c r="M15903" s="5"/>
    </row>
    <row r="15904" spans="1:13" s="3" customFormat="1" x14ac:dyDescent="0.25">
      <c r="A15904" s="5"/>
      <c r="B15904" s="5"/>
      <c r="C15904" s="5"/>
      <c r="D15904" s="5"/>
      <c r="E15904" s="5"/>
      <c r="F15904" s="5"/>
      <c r="G15904" s="5"/>
      <c r="H15904" s="5"/>
      <c r="I15904" s="43"/>
      <c r="J15904" s="49"/>
      <c r="K15904" s="5"/>
      <c r="L15904" s="5"/>
      <c r="M15904" s="5"/>
    </row>
    <row r="15905" spans="1:13" s="3" customFormat="1" x14ac:dyDescent="0.25">
      <c r="A15905" s="5"/>
      <c r="B15905" s="5"/>
      <c r="C15905" s="5"/>
      <c r="D15905" s="5"/>
      <c r="E15905" s="5"/>
      <c r="F15905" s="5"/>
      <c r="G15905" s="5"/>
      <c r="H15905" s="5"/>
      <c r="I15905" s="43"/>
      <c r="J15905" s="49"/>
      <c r="K15905" s="5"/>
      <c r="L15905" s="5"/>
      <c r="M15905" s="5"/>
    </row>
    <row r="15906" spans="1:13" s="3" customFormat="1" x14ac:dyDescent="0.25">
      <c r="A15906" s="5"/>
      <c r="B15906" s="5"/>
      <c r="C15906" s="5"/>
      <c r="D15906" s="5"/>
      <c r="E15906" s="5"/>
      <c r="F15906" s="5"/>
      <c r="G15906" s="5"/>
      <c r="H15906" s="5"/>
      <c r="I15906" s="43"/>
      <c r="J15906" s="49"/>
      <c r="K15906" s="5"/>
      <c r="L15906" s="5"/>
      <c r="M15906" s="5"/>
    </row>
    <row r="15907" spans="1:13" s="3" customFormat="1" x14ac:dyDescent="0.25">
      <c r="A15907" s="5"/>
      <c r="B15907" s="5"/>
      <c r="C15907" s="5"/>
      <c r="D15907" s="5"/>
      <c r="E15907" s="5"/>
      <c r="F15907" s="5"/>
      <c r="G15907" s="5"/>
      <c r="H15907" s="5"/>
      <c r="I15907" s="43"/>
      <c r="J15907" s="49"/>
      <c r="K15907" s="5"/>
      <c r="L15907" s="5"/>
      <c r="M15907" s="5"/>
    </row>
    <row r="15908" spans="1:13" s="3" customFormat="1" x14ac:dyDescent="0.25">
      <c r="A15908" s="5"/>
      <c r="B15908" s="5"/>
      <c r="C15908" s="5"/>
      <c r="D15908" s="5"/>
      <c r="E15908" s="5"/>
      <c r="F15908" s="5"/>
      <c r="G15908" s="5"/>
      <c r="H15908" s="5"/>
      <c r="I15908" s="43"/>
      <c r="J15908" s="49"/>
      <c r="K15908" s="5"/>
      <c r="L15908" s="5"/>
      <c r="M15908" s="5"/>
    </row>
    <row r="15909" spans="1:13" s="3" customFormat="1" x14ac:dyDescent="0.25">
      <c r="A15909" s="5"/>
      <c r="B15909" s="5"/>
      <c r="C15909" s="5"/>
      <c r="D15909" s="5"/>
      <c r="E15909" s="5"/>
      <c r="F15909" s="5"/>
      <c r="G15909" s="5"/>
      <c r="H15909" s="5"/>
      <c r="I15909" s="43"/>
      <c r="J15909" s="49"/>
      <c r="K15909" s="5"/>
      <c r="L15909" s="5"/>
      <c r="M15909" s="5"/>
    </row>
    <row r="15910" spans="1:13" s="3" customFormat="1" x14ac:dyDescent="0.25">
      <c r="A15910" s="5"/>
      <c r="B15910" s="5"/>
      <c r="C15910" s="5"/>
      <c r="D15910" s="5"/>
      <c r="E15910" s="5"/>
      <c r="F15910" s="5"/>
      <c r="G15910" s="5"/>
      <c r="H15910" s="5"/>
      <c r="I15910" s="43"/>
      <c r="J15910" s="49"/>
      <c r="K15910" s="5"/>
      <c r="L15910" s="5"/>
      <c r="M15910" s="5"/>
    </row>
    <row r="15911" spans="1:13" s="3" customFormat="1" x14ac:dyDescent="0.25">
      <c r="A15911" s="5"/>
      <c r="B15911" s="5"/>
      <c r="C15911" s="5"/>
      <c r="D15911" s="5"/>
      <c r="E15911" s="5"/>
      <c r="F15911" s="5"/>
      <c r="G15911" s="5"/>
      <c r="H15911" s="5"/>
      <c r="I15911" s="43"/>
      <c r="J15911" s="49"/>
      <c r="K15911" s="5"/>
      <c r="L15911" s="5"/>
      <c r="M15911" s="5"/>
    </row>
    <row r="15912" spans="1:13" s="3" customFormat="1" x14ac:dyDescent="0.25">
      <c r="A15912" s="5"/>
      <c r="B15912" s="5"/>
      <c r="C15912" s="5"/>
      <c r="D15912" s="5"/>
      <c r="E15912" s="5"/>
      <c r="F15912" s="5"/>
      <c r="G15912" s="5"/>
      <c r="H15912" s="5"/>
      <c r="I15912" s="43"/>
      <c r="J15912" s="49"/>
      <c r="K15912" s="5"/>
      <c r="L15912" s="5"/>
      <c r="M15912" s="5"/>
    </row>
    <row r="15913" spans="1:13" s="3" customFormat="1" x14ac:dyDescent="0.25">
      <c r="A15913" s="5"/>
      <c r="B15913" s="5"/>
      <c r="C15913" s="5"/>
      <c r="D15913" s="5"/>
      <c r="E15913" s="5"/>
      <c r="F15913" s="5"/>
      <c r="G15913" s="5"/>
      <c r="H15913" s="5"/>
      <c r="I15913" s="43"/>
      <c r="J15913" s="49"/>
      <c r="K15913" s="5"/>
      <c r="L15913" s="5"/>
      <c r="M15913" s="5"/>
    </row>
    <row r="15914" spans="1:13" s="3" customFormat="1" x14ac:dyDescent="0.25">
      <c r="A15914" s="5"/>
      <c r="B15914" s="5"/>
      <c r="C15914" s="5"/>
      <c r="D15914" s="5"/>
      <c r="E15914" s="5"/>
      <c r="F15914" s="5"/>
      <c r="G15914" s="5"/>
      <c r="H15914" s="5"/>
      <c r="I15914" s="43"/>
      <c r="J15914" s="49"/>
      <c r="K15914" s="5"/>
      <c r="L15914" s="5"/>
      <c r="M15914" s="5"/>
    </row>
    <row r="15915" spans="1:13" s="3" customFormat="1" x14ac:dyDescent="0.25">
      <c r="A15915" s="5"/>
      <c r="B15915" s="5"/>
      <c r="C15915" s="5"/>
      <c r="D15915" s="5"/>
      <c r="E15915" s="5"/>
      <c r="F15915" s="5"/>
      <c r="G15915" s="5"/>
      <c r="H15915" s="5"/>
      <c r="I15915" s="43"/>
      <c r="J15915" s="49"/>
      <c r="K15915" s="5"/>
      <c r="L15915" s="5"/>
      <c r="M15915" s="5"/>
    </row>
    <row r="15916" spans="1:13" s="3" customFormat="1" x14ac:dyDescent="0.25">
      <c r="A15916" s="5"/>
      <c r="B15916" s="5"/>
      <c r="C15916" s="5"/>
      <c r="D15916" s="5"/>
      <c r="E15916" s="5"/>
      <c r="F15916" s="5"/>
      <c r="G15916" s="5"/>
      <c r="H15916" s="5"/>
      <c r="I15916" s="43"/>
      <c r="J15916" s="49"/>
      <c r="K15916" s="5"/>
      <c r="L15916" s="5"/>
      <c r="M15916" s="5"/>
    </row>
    <row r="15917" spans="1:13" s="3" customFormat="1" x14ac:dyDescent="0.25">
      <c r="A15917" s="5"/>
      <c r="B15917" s="5"/>
      <c r="C15917" s="5"/>
      <c r="D15917" s="5"/>
      <c r="E15917" s="5"/>
      <c r="F15917" s="5"/>
      <c r="G15917" s="5"/>
      <c r="H15917" s="5"/>
      <c r="I15917" s="43"/>
      <c r="J15917" s="49"/>
      <c r="K15917" s="5"/>
      <c r="L15917" s="5"/>
      <c r="M15917" s="5"/>
    </row>
    <row r="15918" spans="1:13" s="3" customFormat="1" x14ac:dyDescent="0.25">
      <c r="A15918" s="5"/>
      <c r="B15918" s="5"/>
      <c r="C15918" s="5"/>
      <c r="D15918" s="5"/>
      <c r="E15918" s="5"/>
      <c r="F15918" s="5"/>
      <c r="G15918" s="5"/>
      <c r="H15918" s="5"/>
      <c r="I15918" s="43"/>
      <c r="J15918" s="49"/>
      <c r="K15918" s="5"/>
      <c r="L15918" s="5"/>
      <c r="M15918" s="5"/>
    </row>
    <row r="15919" spans="1:13" s="3" customFormat="1" x14ac:dyDescent="0.25">
      <c r="A15919" s="5"/>
      <c r="B15919" s="5"/>
      <c r="C15919" s="5"/>
      <c r="D15919" s="5"/>
      <c r="E15919" s="5"/>
      <c r="F15919" s="5"/>
      <c r="G15919" s="5"/>
      <c r="H15919" s="5"/>
      <c r="I15919" s="43"/>
      <c r="J15919" s="49"/>
      <c r="K15919" s="5"/>
      <c r="L15919" s="5"/>
      <c r="M15919" s="5"/>
    </row>
    <row r="15920" spans="1:13" s="3" customFormat="1" x14ac:dyDescent="0.25">
      <c r="A15920" s="5"/>
      <c r="B15920" s="5"/>
      <c r="C15920" s="5"/>
      <c r="D15920" s="5"/>
      <c r="E15920" s="5"/>
      <c r="F15920" s="5"/>
      <c r="G15920" s="5"/>
      <c r="H15920" s="5"/>
      <c r="I15920" s="43"/>
      <c r="J15920" s="49"/>
      <c r="K15920" s="5"/>
      <c r="L15920" s="5"/>
      <c r="M15920" s="5"/>
    </row>
    <row r="15921" spans="1:13" s="3" customFormat="1" x14ac:dyDescent="0.25">
      <c r="A15921" s="5"/>
      <c r="B15921" s="5"/>
      <c r="C15921" s="5"/>
      <c r="D15921" s="5"/>
      <c r="E15921" s="5"/>
      <c r="F15921" s="5"/>
      <c r="G15921" s="5"/>
      <c r="H15921" s="5"/>
      <c r="I15921" s="43"/>
      <c r="J15921" s="49"/>
      <c r="K15921" s="5"/>
      <c r="L15921" s="5"/>
      <c r="M15921" s="5"/>
    </row>
    <row r="15922" spans="1:13" s="3" customFormat="1" x14ac:dyDescent="0.25">
      <c r="A15922" s="5"/>
      <c r="B15922" s="5"/>
      <c r="C15922" s="5"/>
      <c r="D15922" s="5"/>
      <c r="E15922" s="5"/>
      <c r="F15922" s="5"/>
      <c r="G15922" s="5"/>
      <c r="H15922" s="5"/>
      <c r="I15922" s="43"/>
      <c r="J15922" s="49"/>
      <c r="K15922" s="5"/>
      <c r="L15922" s="5"/>
      <c r="M15922" s="5"/>
    </row>
    <row r="15923" spans="1:13" s="3" customFormat="1" x14ac:dyDescent="0.25">
      <c r="A15923" s="5"/>
      <c r="B15923" s="5"/>
      <c r="C15923" s="5"/>
      <c r="D15923" s="5"/>
      <c r="E15923" s="5"/>
      <c r="F15923" s="5"/>
      <c r="G15923" s="5"/>
      <c r="H15923" s="5"/>
      <c r="I15923" s="43"/>
      <c r="J15923" s="49"/>
      <c r="K15923" s="5"/>
      <c r="L15923" s="5"/>
      <c r="M15923" s="5"/>
    </row>
    <row r="15924" spans="1:13" s="3" customFormat="1" x14ac:dyDescent="0.25">
      <c r="A15924" s="5"/>
      <c r="B15924" s="5"/>
      <c r="C15924" s="5"/>
      <c r="D15924" s="5"/>
      <c r="E15924" s="5"/>
      <c r="F15924" s="5"/>
      <c r="G15924" s="5"/>
      <c r="H15924" s="5"/>
      <c r="I15924" s="43"/>
      <c r="J15924" s="49"/>
      <c r="K15924" s="5"/>
      <c r="L15924" s="5"/>
      <c r="M15924" s="5"/>
    </row>
    <row r="15925" spans="1:13" s="3" customFormat="1" x14ac:dyDescent="0.25">
      <c r="A15925" s="5"/>
      <c r="B15925" s="5"/>
      <c r="C15925" s="5"/>
      <c r="D15925" s="5"/>
      <c r="E15925" s="5"/>
      <c r="F15925" s="5"/>
      <c r="G15925" s="5"/>
      <c r="H15925" s="5"/>
      <c r="I15925" s="43"/>
      <c r="J15925" s="49"/>
      <c r="K15925" s="5"/>
      <c r="L15925" s="5"/>
      <c r="M15925" s="5"/>
    </row>
    <row r="15926" spans="1:13" s="3" customFormat="1" x14ac:dyDescent="0.25">
      <c r="A15926" s="5"/>
      <c r="B15926" s="5"/>
      <c r="C15926" s="5"/>
      <c r="D15926" s="5"/>
      <c r="E15926" s="5"/>
      <c r="F15926" s="5"/>
      <c r="G15926" s="5"/>
      <c r="H15926" s="5"/>
      <c r="I15926" s="43"/>
      <c r="J15926" s="49"/>
      <c r="K15926" s="5"/>
      <c r="L15926" s="5"/>
      <c r="M15926" s="5"/>
    </row>
    <row r="15927" spans="1:13" s="3" customFormat="1" x14ac:dyDescent="0.25">
      <c r="A15927" s="5"/>
      <c r="B15927" s="5"/>
      <c r="C15927" s="5"/>
      <c r="D15927" s="5"/>
      <c r="E15927" s="5"/>
      <c r="F15927" s="5"/>
      <c r="G15927" s="5"/>
      <c r="H15927" s="5"/>
      <c r="I15927" s="43"/>
      <c r="J15927" s="49"/>
      <c r="K15927" s="5"/>
      <c r="L15927" s="5"/>
      <c r="M15927" s="5"/>
    </row>
    <row r="15928" spans="1:13" s="3" customFormat="1" x14ac:dyDescent="0.25">
      <c r="A15928" s="5"/>
      <c r="B15928" s="5"/>
      <c r="C15928" s="5"/>
      <c r="D15928" s="5"/>
      <c r="E15928" s="5"/>
      <c r="F15928" s="5"/>
      <c r="G15928" s="5"/>
      <c r="H15928" s="5"/>
      <c r="I15928" s="43"/>
      <c r="J15928" s="49"/>
      <c r="K15928" s="5"/>
      <c r="L15928" s="5"/>
      <c r="M15928" s="5"/>
    </row>
    <row r="15929" spans="1:13" s="3" customFormat="1" x14ac:dyDescent="0.25">
      <c r="A15929" s="5"/>
      <c r="B15929" s="5"/>
      <c r="C15929" s="5"/>
      <c r="D15929" s="5"/>
      <c r="E15929" s="5"/>
      <c r="F15929" s="5"/>
      <c r="G15929" s="5"/>
      <c r="H15929" s="5"/>
      <c r="I15929" s="43"/>
      <c r="J15929" s="49"/>
      <c r="K15929" s="5"/>
      <c r="L15929" s="5"/>
      <c r="M15929" s="5"/>
    </row>
    <row r="15930" spans="1:13" s="3" customFormat="1" x14ac:dyDescent="0.25">
      <c r="A15930" s="5"/>
      <c r="B15930" s="5"/>
      <c r="C15930" s="5"/>
      <c r="D15930" s="5"/>
      <c r="E15930" s="5"/>
      <c r="F15930" s="5"/>
      <c r="G15930" s="5"/>
      <c r="H15930" s="5"/>
      <c r="I15930" s="43"/>
      <c r="J15930" s="49"/>
      <c r="K15930" s="5"/>
      <c r="L15930" s="5"/>
      <c r="M15930" s="5"/>
    </row>
    <row r="15931" spans="1:13" s="3" customFormat="1" x14ac:dyDescent="0.25">
      <c r="A15931" s="5"/>
      <c r="B15931" s="5"/>
      <c r="C15931" s="5"/>
      <c r="D15931" s="5"/>
      <c r="E15931" s="5"/>
      <c r="F15931" s="5"/>
      <c r="G15931" s="5"/>
      <c r="H15931" s="5"/>
      <c r="I15931" s="43"/>
      <c r="J15931" s="49"/>
      <c r="K15931" s="5"/>
      <c r="L15931" s="5"/>
      <c r="M15931" s="5"/>
    </row>
    <row r="15932" spans="1:13" s="3" customFormat="1" x14ac:dyDescent="0.25">
      <c r="A15932" s="5"/>
      <c r="B15932" s="5"/>
      <c r="C15932" s="5"/>
      <c r="D15932" s="5"/>
      <c r="E15932" s="5"/>
      <c r="F15932" s="5"/>
      <c r="G15932" s="5"/>
      <c r="H15932" s="5"/>
      <c r="I15932" s="43"/>
      <c r="J15932" s="49"/>
      <c r="K15932" s="5"/>
      <c r="L15932" s="5"/>
      <c r="M15932" s="5"/>
    </row>
    <row r="15933" spans="1:13" s="3" customFormat="1" x14ac:dyDescent="0.25">
      <c r="A15933" s="5"/>
      <c r="B15933" s="5"/>
      <c r="C15933" s="5"/>
      <c r="D15933" s="5"/>
      <c r="E15933" s="5"/>
      <c r="F15933" s="5"/>
      <c r="G15933" s="5"/>
      <c r="H15933" s="5"/>
      <c r="I15933" s="43"/>
      <c r="J15933" s="49"/>
      <c r="K15933" s="5"/>
      <c r="L15933" s="5"/>
      <c r="M15933" s="5"/>
    </row>
    <row r="15934" spans="1:13" s="3" customFormat="1" x14ac:dyDescent="0.25">
      <c r="A15934" s="5"/>
      <c r="B15934" s="5"/>
      <c r="C15934" s="5"/>
      <c r="D15934" s="5"/>
      <c r="E15934" s="5"/>
      <c r="F15934" s="5"/>
      <c r="G15934" s="5"/>
      <c r="H15934" s="5"/>
      <c r="I15934" s="43"/>
      <c r="J15934" s="49"/>
      <c r="K15934" s="5"/>
      <c r="L15934" s="5"/>
      <c r="M15934" s="5"/>
    </row>
    <row r="15935" spans="1:13" s="3" customFormat="1" x14ac:dyDescent="0.25">
      <c r="A15935" s="5"/>
      <c r="B15935" s="5"/>
      <c r="C15935" s="5"/>
      <c r="D15935" s="5"/>
      <c r="E15935" s="5"/>
      <c r="F15935" s="5"/>
      <c r="G15935" s="5"/>
      <c r="H15935" s="5"/>
      <c r="I15935" s="43"/>
      <c r="J15935" s="49"/>
      <c r="K15935" s="5"/>
      <c r="L15935" s="5"/>
      <c r="M15935" s="5"/>
    </row>
    <row r="15936" spans="1:13" s="3" customFormat="1" x14ac:dyDescent="0.25">
      <c r="A15936" s="5"/>
      <c r="B15936" s="5"/>
      <c r="C15936" s="5"/>
      <c r="D15936" s="5"/>
      <c r="E15936" s="5"/>
      <c r="F15936" s="5"/>
      <c r="G15936" s="5"/>
      <c r="H15936" s="5"/>
      <c r="I15936" s="43"/>
      <c r="J15936" s="49"/>
      <c r="K15936" s="5"/>
      <c r="L15936" s="5"/>
      <c r="M15936" s="5"/>
    </row>
    <row r="15937" spans="1:13" s="3" customFormat="1" x14ac:dyDescent="0.25">
      <c r="A15937" s="5"/>
      <c r="B15937" s="5"/>
      <c r="C15937" s="5"/>
      <c r="D15937" s="5"/>
      <c r="E15937" s="5"/>
      <c r="F15937" s="5"/>
      <c r="G15937" s="5"/>
      <c r="H15937" s="5"/>
      <c r="I15937" s="43"/>
      <c r="J15937" s="49"/>
      <c r="K15937" s="5"/>
      <c r="L15937" s="5"/>
      <c r="M15937" s="5"/>
    </row>
    <row r="15938" spans="1:13" s="3" customFormat="1" x14ac:dyDescent="0.25">
      <c r="A15938" s="5"/>
      <c r="B15938" s="5"/>
      <c r="C15938" s="5"/>
      <c r="D15938" s="5"/>
      <c r="E15938" s="5"/>
      <c r="F15938" s="5"/>
      <c r="G15938" s="5"/>
      <c r="H15938" s="5"/>
      <c r="I15938" s="43"/>
      <c r="J15938" s="49"/>
      <c r="K15938" s="5"/>
      <c r="L15938" s="5"/>
      <c r="M15938" s="5"/>
    </row>
    <row r="15939" spans="1:13" s="3" customFormat="1" x14ac:dyDescent="0.25">
      <c r="A15939" s="5"/>
      <c r="B15939" s="5"/>
      <c r="C15939" s="5"/>
      <c r="D15939" s="5"/>
      <c r="E15939" s="5"/>
      <c r="F15939" s="5"/>
      <c r="G15939" s="5"/>
      <c r="H15939" s="5"/>
      <c r="I15939" s="43"/>
      <c r="J15939" s="49"/>
      <c r="K15939" s="5"/>
      <c r="L15939" s="5"/>
      <c r="M15939" s="5"/>
    </row>
    <row r="15940" spans="1:13" s="3" customFormat="1" x14ac:dyDescent="0.25">
      <c r="A15940" s="5"/>
      <c r="B15940" s="5"/>
      <c r="C15940" s="5"/>
      <c r="D15940" s="5"/>
      <c r="E15940" s="5"/>
      <c r="F15940" s="5"/>
      <c r="G15940" s="5"/>
      <c r="H15940" s="5"/>
      <c r="I15940" s="43"/>
      <c r="J15940" s="49"/>
      <c r="K15940" s="5"/>
      <c r="L15940" s="5"/>
      <c r="M15940" s="5"/>
    </row>
    <row r="15941" spans="1:13" s="3" customFormat="1" x14ac:dyDescent="0.25">
      <c r="A15941" s="5"/>
      <c r="B15941" s="5"/>
      <c r="C15941" s="5"/>
      <c r="D15941" s="5"/>
      <c r="E15941" s="5"/>
      <c r="F15941" s="5"/>
      <c r="G15941" s="5"/>
      <c r="H15941" s="5"/>
      <c r="I15941" s="43"/>
      <c r="J15941" s="49"/>
      <c r="K15941" s="5"/>
      <c r="L15941" s="5"/>
      <c r="M15941" s="5"/>
    </row>
    <row r="15942" spans="1:13" s="3" customFormat="1" x14ac:dyDescent="0.25">
      <c r="A15942" s="5"/>
      <c r="B15942" s="5"/>
      <c r="C15942" s="5"/>
      <c r="D15942" s="5"/>
      <c r="E15942" s="5"/>
      <c r="F15942" s="5"/>
      <c r="G15942" s="5"/>
      <c r="H15942" s="5"/>
      <c r="I15942" s="43"/>
      <c r="J15942" s="49"/>
      <c r="K15942" s="5"/>
      <c r="L15942" s="5"/>
      <c r="M15942" s="5"/>
    </row>
    <row r="15943" spans="1:13" s="3" customFormat="1" x14ac:dyDescent="0.25">
      <c r="A15943" s="5"/>
      <c r="B15943" s="5"/>
      <c r="C15943" s="5"/>
      <c r="D15943" s="5"/>
      <c r="E15943" s="5"/>
      <c r="F15943" s="5"/>
      <c r="G15943" s="5"/>
      <c r="H15943" s="5"/>
      <c r="I15943" s="43"/>
      <c r="J15943" s="49"/>
      <c r="K15943" s="5"/>
      <c r="L15943" s="5"/>
      <c r="M15943" s="5"/>
    </row>
    <row r="15944" spans="1:13" s="3" customFormat="1" x14ac:dyDescent="0.25">
      <c r="A15944" s="5"/>
      <c r="B15944" s="5"/>
      <c r="C15944" s="5"/>
      <c r="D15944" s="5"/>
      <c r="E15944" s="5"/>
      <c r="F15944" s="5"/>
      <c r="G15944" s="5"/>
      <c r="H15944" s="5"/>
      <c r="I15944" s="43"/>
      <c r="J15944" s="49"/>
      <c r="K15944" s="5"/>
      <c r="L15944" s="5"/>
      <c r="M15944" s="5"/>
    </row>
    <row r="15945" spans="1:13" s="3" customFormat="1" x14ac:dyDescent="0.25">
      <c r="A15945" s="5"/>
      <c r="B15945" s="5"/>
      <c r="C15945" s="5"/>
      <c r="D15945" s="5"/>
      <c r="E15945" s="5"/>
      <c r="F15945" s="5"/>
      <c r="G15945" s="5"/>
      <c r="H15945" s="5"/>
      <c r="I15945" s="43"/>
      <c r="J15945" s="49"/>
      <c r="K15945" s="5"/>
      <c r="L15945" s="5"/>
      <c r="M15945" s="5"/>
    </row>
    <row r="15946" spans="1:13" s="3" customFormat="1" x14ac:dyDescent="0.25">
      <c r="A15946" s="5"/>
      <c r="B15946" s="5"/>
      <c r="C15946" s="5"/>
      <c r="D15946" s="5"/>
      <c r="E15946" s="5"/>
      <c r="F15946" s="5"/>
      <c r="G15946" s="5"/>
      <c r="H15946" s="5"/>
      <c r="I15946" s="43"/>
      <c r="J15946" s="49"/>
      <c r="K15946" s="5"/>
      <c r="L15946" s="5"/>
      <c r="M15946" s="5"/>
    </row>
    <row r="15947" spans="1:13" s="3" customFormat="1" x14ac:dyDescent="0.25">
      <c r="A15947" s="5"/>
      <c r="B15947" s="5"/>
      <c r="C15947" s="5"/>
      <c r="D15947" s="5"/>
      <c r="E15947" s="5"/>
      <c r="F15947" s="5"/>
      <c r="G15947" s="5"/>
      <c r="H15947" s="5"/>
      <c r="I15947" s="43"/>
      <c r="J15947" s="49"/>
      <c r="K15947" s="5"/>
      <c r="L15947" s="5"/>
      <c r="M15947" s="5"/>
    </row>
    <row r="15948" spans="1:13" s="3" customFormat="1" x14ac:dyDescent="0.25">
      <c r="A15948" s="5"/>
      <c r="B15948" s="5"/>
      <c r="C15948" s="5"/>
      <c r="D15948" s="5"/>
      <c r="E15948" s="5"/>
      <c r="F15948" s="5"/>
      <c r="G15948" s="5"/>
      <c r="H15948" s="5"/>
      <c r="I15948" s="43"/>
      <c r="J15948" s="49"/>
      <c r="K15948" s="5"/>
      <c r="L15948" s="5"/>
      <c r="M15948" s="5"/>
    </row>
    <row r="15949" spans="1:13" s="3" customFormat="1" x14ac:dyDescent="0.25">
      <c r="A15949" s="5"/>
      <c r="B15949" s="5"/>
      <c r="C15949" s="5"/>
      <c r="D15949" s="5"/>
      <c r="E15949" s="5"/>
      <c r="F15949" s="5"/>
      <c r="G15949" s="5"/>
      <c r="H15949" s="5"/>
      <c r="I15949" s="43"/>
      <c r="J15949" s="49"/>
      <c r="K15949" s="5"/>
      <c r="L15949" s="5"/>
      <c r="M15949" s="5"/>
    </row>
    <row r="15950" spans="1:13" s="3" customFormat="1" x14ac:dyDescent="0.25">
      <c r="A15950" s="5"/>
      <c r="B15950" s="5"/>
      <c r="C15950" s="5"/>
      <c r="D15950" s="5"/>
      <c r="E15950" s="5"/>
      <c r="F15950" s="5"/>
      <c r="G15950" s="5"/>
      <c r="H15950" s="5"/>
      <c r="I15950" s="43"/>
      <c r="J15950" s="49"/>
      <c r="K15950" s="5"/>
      <c r="L15950" s="5"/>
      <c r="M15950" s="5"/>
    </row>
    <row r="15951" spans="1:13" s="3" customFormat="1" x14ac:dyDescent="0.25">
      <c r="A15951" s="5"/>
      <c r="B15951" s="5"/>
      <c r="C15951" s="5"/>
      <c r="D15951" s="5"/>
      <c r="E15951" s="5"/>
      <c r="F15951" s="5"/>
      <c r="G15951" s="5"/>
      <c r="H15951" s="5"/>
      <c r="I15951" s="43"/>
      <c r="J15951" s="49"/>
      <c r="K15951" s="5"/>
      <c r="L15951" s="5"/>
      <c r="M15951" s="5"/>
    </row>
    <row r="15952" spans="1:13" s="3" customFormat="1" x14ac:dyDescent="0.25">
      <c r="A15952" s="5"/>
      <c r="B15952" s="5"/>
      <c r="C15952" s="5"/>
      <c r="D15952" s="5"/>
      <c r="E15952" s="5"/>
      <c r="F15952" s="5"/>
      <c r="G15952" s="5"/>
      <c r="H15952" s="5"/>
      <c r="I15952" s="43"/>
      <c r="J15952" s="49"/>
      <c r="K15952" s="5"/>
      <c r="L15952" s="5"/>
      <c r="M15952" s="5"/>
    </row>
    <row r="15953" spans="1:13" s="3" customFormat="1" x14ac:dyDescent="0.25">
      <c r="A15953" s="5"/>
      <c r="B15953" s="5"/>
      <c r="C15953" s="5"/>
      <c r="D15953" s="5"/>
      <c r="E15953" s="5"/>
      <c r="F15953" s="5"/>
      <c r="G15953" s="5"/>
      <c r="H15953" s="5"/>
      <c r="I15953" s="43"/>
      <c r="J15953" s="49"/>
      <c r="K15953" s="5"/>
      <c r="L15953" s="5"/>
      <c r="M15953" s="5"/>
    </row>
    <row r="15954" spans="1:13" s="3" customFormat="1" x14ac:dyDescent="0.25">
      <c r="A15954" s="5"/>
      <c r="B15954" s="5"/>
      <c r="C15954" s="5"/>
      <c r="D15954" s="5"/>
      <c r="E15954" s="5"/>
      <c r="F15954" s="5"/>
      <c r="G15954" s="5"/>
      <c r="H15954" s="5"/>
      <c r="I15954" s="43"/>
      <c r="J15954" s="49"/>
      <c r="K15954" s="5"/>
      <c r="L15954" s="5"/>
      <c r="M15954" s="5"/>
    </row>
    <row r="15955" spans="1:13" s="3" customFormat="1" x14ac:dyDescent="0.25">
      <c r="A15955" s="5"/>
      <c r="B15955" s="5"/>
      <c r="C15955" s="5"/>
      <c r="D15955" s="5"/>
      <c r="E15955" s="5"/>
      <c r="F15955" s="5"/>
      <c r="G15955" s="5"/>
      <c r="H15955" s="5"/>
      <c r="I15955" s="43"/>
      <c r="J15955" s="49"/>
      <c r="K15955" s="5"/>
      <c r="L15955" s="5"/>
      <c r="M15955" s="5"/>
    </row>
    <row r="15956" spans="1:13" s="3" customFormat="1" x14ac:dyDescent="0.25">
      <c r="A15956" s="5"/>
      <c r="B15956" s="5"/>
      <c r="C15956" s="5"/>
      <c r="D15956" s="5"/>
      <c r="E15956" s="5"/>
      <c r="F15956" s="5"/>
      <c r="G15956" s="5"/>
      <c r="H15956" s="5"/>
      <c r="I15956" s="43"/>
      <c r="J15956" s="49"/>
      <c r="K15956" s="5"/>
      <c r="L15956" s="5"/>
      <c r="M15956" s="5"/>
    </row>
    <row r="15957" spans="1:13" s="3" customFormat="1" x14ac:dyDescent="0.25">
      <c r="A15957" s="5"/>
      <c r="B15957" s="5"/>
      <c r="C15957" s="5"/>
      <c r="D15957" s="5"/>
      <c r="E15957" s="5"/>
      <c r="F15957" s="5"/>
      <c r="G15957" s="5"/>
      <c r="H15957" s="5"/>
      <c r="I15957" s="43"/>
      <c r="J15957" s="49"/>
      <c r="K15957" s="5"/>
      <c r="L15957" s="5"/>
      <c r="M15957" s="5"/>
    </row>
    <row r="15958" spans="1:13" s="3" customFormat="1" x14ac:dyDescent="0.25">
      <c r="A15958" s="5"/>
      <c r="B15958" s="5"/>
      <c r="C15958" s="5"/>
      <c r="D15958" s="5"/>
      <c r="E15958" s="5"/>
      <c r="F15958" s="5"/>
      <c r="G15958" s="5"/>
      <c r="H15958" s="5"/>
      <c r="I15958" s="43"/>
      <c r="J15958" s="49"/>
      <c r="K15958" s="5"/>
      <c r="L15958" s="5"/>
      <c r="M15958" s="5"/>
    </row>
    <row r="15959" spans="1:13" s="3" customFormat="1" x14ac:dyDescent="0.25">
      <c r="A15959" s="5"/>
      <c r="B15959" s="5"/>
      <c r="C15959" s="5"/>
      <c r="D15959" s="5"/>
      <c r="E15959" s="5"/>
      <c r="F15959" s="5"/>
      <c r="G15959" s="5"/>
      <c r="H15959" s="5"/>
      <c r="I15959" s="43"/>
      <c r="J15959" s="49"/>
      <c r="K15959" s="5"/>
      <c r="L15959" s="5"/>
      <c r="M15959" s="5"/>
    </row>
    <row r="15960" spans="1:13" s="3" customFormat="1" x14ac:dyDescent="0.25">
      <c r="A15960" s="5"/>
      <c r="B15960" s="5"/>
      <c r="C15960" s="5"/>
      <c r="D15960" s="5"/>
      <c r="E15960" s="5"/>
      <c r="F15960" s="5"/>
      <c r="G15960" s="5"/>
      <c r="H15960" s="5"/>
      <c r="I15960" s="43"/>
      <c r="J15960" s="49"/>
      <c r="K15960" s="5"/>
      <c r="L15960" s="5"/>
      <c r="M15960" s="5"/>
    </row>
    <row r="15961" spans="1:13" s="3" customFormat="1" x14ac:dyDescent="0.25">
      <c r="A15961" s="5"/>
      <c r="B15961" s="5"/>
      <c r="C15961" s="5"/>
      <c r="D15961" s="5"/>
      <c r="E15961" s="5"/>
      <c r="F15961" s="5"/>
      <c r="G15961" s="5"/>
      <c r="H15961" s="5"/>
      <c r="I15961" s="43"/>
      <c r="J15961" s="49"/>
      <c r="K15961" s="5"/>
      <c r="L15961" s="5"/>
      <c r="M15961" s="5"/>
    </row>
    <row r="15962" spans="1:13" s="3" customFormat="1" x14ac:dyDescent="0.25">
      <c r="A15962" s="5"/>
      <c r="B15962" s="5"/>
      <c r="C15962" s="5"/>
      <c r="D15962" s="5"/>
      <c r="E15962" s="5"/>
      <c r="F15962" s="5"/>
      <c r="G15962" s="5"/>
      <c r="H15962" s="5"/>
      <c r="I15962" s="43"/>
      <c r="J15962" s="49"/>
      <c r="K15962" s="5"/>
      <c r="L15962" s="5"/>
      <c r="M15962" s="5"/>
    </row>
    <row r="15963" spans="1:13" s="3" customFormat="1" x14ac:dyDescent="0.25">
      <c r="A15963" s="5"/>
      <c r="B15963" s="5"/>
      <c r="C15963" s="5"/>
      <c r="D15963" s="5"/>
      <c r="E15963" s="5"/>
      <c r="F15963" s="5"/>
      <c r="G15963" s="5"/>
      <c r="H15963" s="5"/>
      <c r="I15963" s="43"/>
      <c r="J15963" s="49"/>
      <c r="K15963" s="5"/>
      <c r="L15963" s="5"/>
      <c r="M15963" s="5"/>
    </row>
    <row r="15964" spans="1:13" s="3" customFormat="1" x14ac:dyDescent="0.25">
      <c r="A15964" s="5"/>
      <c r="B15964" s="5"/>
      <c r="C15964" s="5"/>
      <c r="D15964" s="5"/>
      <c r="E15964" s="5"/>
      <c r="F15964" s="5"/>
      <c r="G15964" s="5"/>
      <c r="H15964" s="5"/>
      <c r="I15964" s="43"/>
      <c r="J15964" s="49"/>
      <c r="K15964" s="5"/>
      <c r="L15964" s="5"/>
      <c r="M15964" s="5"/>
    </row>
    <row r="15965" spans="1:13" s="3" customFormat="1" x14ac:dyDescent="0.25">
      <c r="A15965" s="5"/>
      <c r="B15965" s="5"/>
      <c r="C15965" s="5"/>
      <c r="D15965" s="5"/>
      <c r="E15965" s="5"/>
      <c r="F15965" s="5"/>
      <c r="G15965" s="5"/>
      <c r="H15965" s="5"/>
      <c r="I15965" s="43"/>
      <c r="J15965" s="49"/>
      <c r="K15965" s="5"/>
      <c r="L15965" s="5"/>
      <c r="M15965" s="5"/>
    </row>
    <row r="15966" spans="1:13" s="3" customFormat="1" x14ac:dyDescent="0.25">
      <c r="A15966" s="5"/>
      <c r="B15966" s="5"/>
      <c r="C15966" s="5"/>
      <c r="D15966" s="5"/>
      <c r="E15966" s="5"/>
      <c r="F15966" s="5"/>
      <c r="G15966" s="5"/>
      <c r="H15966" s="5"/>
      <c r="I15966" s="43"/>
      <c r="J15966" s="49"/>
      <c r="K15966" s="5"/>
      <c r="L15966" s="5"/>
      <c r="M15966" s="5"/>
    </row>
    <row r="15967" spans="1:13" s="3" customFormat="1" x14ac:dyDescent="0.25">
      <c r="A15967" s="5"/>
      <c r="B15967" s="5"/>
      <c r="C15967" s="5"/>
      <c r="D15967" s="5"/>
      <c r="E15967" s="5"/>
      <c r="F15967" s="5"/>
      <c r="G15967" s="5"/>
      <c r="H15967" s="5"/>
      <c r="I15967" s="43"/>
      <c r="J15967" s="49"/>
      <c r="K15967" s="5"/>
      <c r="L15967" s="5"/>
      <c r="M15967" s="5"/>
    </row>
    <row r="15968" spans="1:13" s="3" customFormat="1" x14ac:dyDescent="0.25">
      <c r="A15968" s="5"/>
      <c r="B15968" s="5"/>
      <c r="C15968" s="5"/>
      <c r="D15968" s="5"/>
      <c r="E15968" s="5"/>
      <c r="F15968" s="5"/>
      <c r="G15968" s="5"/>
      <c r="H15968" s="5"/>
      <c r="I15968" s="43"/>
      <c r="J15968" s="49"/>
      <c r="K15968" s="5"/>
      <c r="L15968" s="5"/>
      <c r="M15968" s="5"/>
    </row>
    <row r="15969" spans="1:13" s="3" customFormat="1" x14ac:dyDescent="0.25">
      <c r="A15969" s="5"/>
      <c r="B15969" s="5"/>
      <c r="C15969" s="5"/>
      <c r="D15969" s="5"/>
      <c r="E15969" s="5"/>
      <c r="F15969" s="5"/>
      <c r="G15969" s="5"/>
      <c r="H15969" s="5"/>
      <c r="I15969" s="43"/>
      <c r="J15969" s="49"/>
      <c r="K15969" s="5"/>
      <c r="L15969" s="5"/>
      <c r="M15969" s="5"/>
    </row>
    <row r="15970" spans="1:13" s="3" customFormat="1" x14ac:dyDescent="0.25">
      <c r="A15970" s="5"/>
      <c r="B15970" s="5"/>
      <c r="C15970" s="5"/>
      <c r="D15970" s="5"/>
      <c r="E15970" s="5"/>
      <c r="F15970" s="5"/>
      <c r="G15970" s="5"/>
      <c r="H15970" s="5"/>
      <c r="I15970" s="43"/>
      <c r="J15970" s="49"/>
      <c r="K15970" s="5"/>
      <c r="L15970" s="5"/>
      <c r="M15970" s="5"/>
    </row>
    <row r="15971" spans="1:13" s="3" customFormat="1" x14ac:dyDescent="0.25">
      <c r="A15971" s="5"/>
      <c r="B15971" s="5"/>
      <c r="C15971" s="5"/>
      <c r="D15971" s="5"/>
      <c r="E15971" s="5"/>
      <c r="F15971" s="5"/>
      <c r="G15971" s="5"/>
      <c r="H15971" s="5"/>
      <c r="I15971" s="43"/>
      <c r="J15971" s="49"/>
      <c r="K15971" s="5"/>
      <c r="L15971" s="5"/>
      <c r="M15971" s="5"/>
    </row>
    <row r="15972" spans="1:13" s="3" customFormat="1" x14ac:dyDescent="0.25">
      <c r="A15972" s="5"/>
      <c r="B15972" s="5"/>
      <c r="C15972" s="5"/>
      <c r="D15972" s="5"/>
      <c r="E15972" s="5"/>
      <c r="F15972" s="5"/>
      <c r="G15972" s="5"/>
      <c r="H15972" s="5"/>
      <c r="I15972" s="43"/>
      <c r="J15972" s="49"/>
      <c r="K15972" s="5"/>
      <c r="L15972" s="5"/>
      <c r="M15972" s="5"/>
    </row>
    <row r="15973" spans="1:13" s="3" customFormat="1" x14ac:dyDescent="0.25">
      <c r="A15973" s="5"/>
      <c r="B15973" s="5"/>
      <c r="C15973" s="5"/>
      <c r="D15973" s="5"/>
      <c r="E15973" s="5"/>
      <c r="F15973" s="5"/>
      <c r="G15973" s="5"/>
      <c r="H15973" s="5"/>
      <c r="I15973" s="43"/>
      <c r="J15973" s="49"/>
      <c r="K15973" s="5"/>
      <c r="L15973" s="5"/>
      <c r="M15973" s="5"/>
    </row>
    <row r="15974" spans="1:13" s="3" customFormat="1" x14ac:dyDescent="0.25">
      <c r="A15974" s="5"/>
      <c r="B15974" s="5"/>
      <c r="C15974" s="5"/>
      <c r="D15974" s="5"/>
      <c r="E15974" s="5"/>
      <c r="F15974" s="5"/>
      <c r="G15974" s="5"/>
      <c r="H15974" s="5"/>
      <c r="I15974" s="43"/>
      <c r="J15974" s="49"/>
      <c r="K15974" s="5"/>
      <c r="L15974" s="5"/>
      <c r="M15974" s="5"/>
    </row>
    <row r="15975" spans="1:13" s="3" customFormat="1" x14ac:dyDescent="0.25">
      <c r="A15975" s="5"/>
      <c r="B15975" s="5"/>
      <c r="C15975" s="5"/>
      <c r="D15975" s="5"/>
      <c r="E15975" s="5"/>
      <c r="F15975" s="5"/>
      <c r="G15975" s="5"/>
      <c r="H15975" s="5"/>
      <c r="I15975" s="43"/>
      <c r="J15975" s="49"/>
      <c r="K15975" s="5"/>
      <c r="L15975" s="5"/>
      <c r="M15975" s="5"/>
    </row>
    <row r="15976" spans="1:13" s="3" customFormat="1" x14ac:dyDescent="0.25">
      <c r="A15976" s="5"/>
      <c r="B15976" s="5"/>
      <c r="C15976" s="5"/>
      <c r="D15976" s="5"/>
      <c r="E15976" s="5"/>
      <c r="F15976" s="5"/>
      <c r="G15976" s="5"/>
      <c r="H15976" s="5"/>
      <c r="I15976" s="43"/>
      <c r="J15976" s="49"/>
      <c r="K15976" s="5"/>
      <c r="L15976" s="5"/>
      <c r="M15976" s="5"/>
    </row>
    <row r="15977" spans="1:13" s="3" customFormat="1" x14ac:dyDescent="0.25">
      <c r="A15977" s="5"/>
      <c r="B15977" s="5"/>
      <c r="C15977" s="5"/>
      <c r="D15977" s="5"/>
      <c r="E15977" s="5"/>
      <c r="F15977" s="5"/>
      <c r="G15977" s="5"/>
      <c r="H15977" s="5"/>
      <c r="I15977" s="43"/>
      <c r="J15977" s="49"/>
      <c r="K15977" s="5"/>
      <c r="L15977" s="5"/>
      <c r="M15977" s="5"/>
    </row>
    <row r="15978" spans="1:13" s="3" customFormat="1" x14ac:dyDescent="0.25">
      <c r="A15978" s="5"/>
      <c r="B15978" s="5"/>
      <c r="C15978" s="5"/>
      <c r="D15978" s="5"/>
      <c r="E15978" s="5"/>
      <c r="F15978" s="5"/>
      <c r="G15978" s="5"/>
      <c r="H15978" s="5"/>
      <c r="I15978" s="43"/>
      <c r="J15978" s="49"/>
      <c r="K15978" s="5"/>
      <c r="L15978" s="5"/>
      <c r="M15978" s="5"/>
    </row>
    <row r="15979" spans="1:13" s="3" customFormat="1" x14ac:dyDescent="0.25">
      <c r="A15979" s="5"/>
      <c r="B15979" s="5"/>
      <c r="C15979" s="5"/>
      <c r="D15979" s="5"/>
      <c r="E15979" s="5"/>
      <c r="F15979" s="5"/>
      <c r="G15979" s="5"/>
      <c r="H15979" s="5"/>
      <c r="I15979" s="43"/>
      <c r="J15979" s="49"/>
      <c r="K15979" s="5"/>
      <c r="L15979" s="5"/>
      <c r="M15979" s="5"/>
    </row>
    <row r="15980" spans="1:13" s="3" customFormat="1" x14ac:dyDescent="0.25">
      <c r="A15980" s="5"/>
      <c r="B15980" s="5"/>
      <c r="C15980" s="5"/>
      <c r="D15980" s="5"/>
      <c r="E15980" s="5"/>
      <c r="F15980" s="5"/>
      <c r="G15980" s="5"/>
      <c r="H15980" s="5"/>
      <c r="I15980" s="43"/>
      <c r="J15980" s="49"/>
      <c r="K15980" s="5"/>
      <c r="L15980" s="5"/>
      <c r="M15980" s="5"/>
    </row>
    <row r="15981" spans="1:13" s="3" customFormat="1" x14ac:dyDescent="0.25">
      <c r="A15981" s="5"/>
      <c r="B15981" s="5"/>
      <c r="C15981" s="5"/>
      <c r="D15981" s="5"/>
      <c r="E15981" s="5"/>
      <c r="F15981" s="5"/>
      <c r="G15981" s="5"/>
      <c r="H15981" s="5"/>
      <c r="I15981" s="43"/>
      <c r="J15981" s="49"/>
      <c r="K15981" s="5"/>
      <c r="L15981" s="5"/>
      <c r="M15981" s="5"/>
    </row>
    <row r="15982" spans="1:13" s="3" customFormat="1" x14ac:dyDescent="0.25">
      <c r="A15982" s="5"/>
      <c r="B15982" s="5"/>
      <c r="C15982" s="5"/>
      <c r="D15982" s="5"/>
      <c r="E15982" s="5"/>
      <c r="F15982" s="5"/>
      <c r="G15982" s="5"/>
      <c r="H15982" s="5"/>
      <c r="I15982" s="43"/>
      <c r="J15982" s="49"/>
      <c r="K15982" s="5"/>
      <c r="L15982" s="5"/>
      <c r="M15982" s="5"/>
    </row>
    <row r="15983" spans="1:13" s="3" customFormat="1" x14ac:dyDescent="0.25">
      <c r="A15983" s="5"/>
      <c r="B15983" s="5"/>
      <c r="C15983" s="5"/>
      <c r="D15983" s="5"/>
      <c r="E15983" s="5"/>
      <c r="F15983" s="5"/>
      <c r="G15983" s="5"/>
      <c r="H15983" s="5"/>
      <c r="I15983" s="43"/>
      <c r="J15983" s="49"/>
      <c r="K15983" s="5"/>
      <c r="L15983" s="5"/>
      <c r="M15983" s="5"/>
    </row>
    <row r="15984" spans="1:13" s="3" customFormat="1" x14ac:dyDescent="0.25">
      <c r="A15984" s="5"/>
      <c r="B15984" s="5"/>
      <c r="C15984" s="5"/>
      <c r="D15984" s="5"/>
      <c r="E15984" s="5"/>
      <c r="F15984" s="5"/>
      <c r="G15984" s="5"/>
      <c r="H15984" s="5"/>
      <c r="I15984" s="43"/>
      <c r="J15984" s="49"/>
      <c r="K15984" s="5"/>
      <c r="L15984" s="5"/>
      <c r="M15984" s="5"/>
    </row>
    <row r="15985" spans="1:13" s="3" customFormat="1" x14ac:dyDescent="0.25">
      <c r="A15985" s="5"/>
      <c r="B15985" s="5"/>
      <c r="C15985" s="5"/>
      <c r="D15985" s="5"/>
      <c r="E15985" s="5"/>
      <c r="F15985" s="5"/>
      <c r="G15985" s="5"/>
      <c r="H15985" s="5"/>
      <c r="I15985" s="43"/>
      <c r="J15985" s="49"/>
      <c r="K15985" s="5"/>
      <c r="L15985" s="5"/>
      <c r="M15985" s="5"/>
    </row>
    <row r="15986" spans="1:13" s="3" customFormat="1" x14ac:dyDescent="0.25">
      <c r="A15986" s="5"/>
      <c r="B15986" s="5"/>
      <c r="C15986" s="5"/>
      <c r="D15986" s="5"/>
      <c r="E15986" s="5"/>
      <c r="F15986" s="5"/>
      <c r="G15986" s="5"/>
      <c r="H15986" s="5"/>
      <c r="I15986" s="43"/>
      <c r="J15986" s="49"/>
      <c r="K15986" s="5"/>
      <c r="L15986" s="5"/>
      <c r="M15986" s="5"/>
    </row>
    <row r="15987" spans="1:13" s="3" customFormat="1" x14ac:dyDescent="0.25">
      <c r="A15987" s="5"/>
      <c r="B15987" s="5"/>
      <c r="C15987" s="5"/>
      <c r="D15987" s="5"/>
      <c r="E15987" s="5"/>
      <c r="F15987" s="5"/>
      <c r="G15987" s="5"/>
      <c r="H15987" s="5"/>
      <c r="I15987" s="43"/>
      <c r="J15987" s="49"/>
      <c r="K15987" s="5"/>
      <c r="L15987" s="5"/>
      <c r="M15987" s="5"/>
    </row>
    <row r="15988" spans="1:13" s="3" customFormat="1" x14ac:dyDescent="0.25">
      <c r="A15988" s="5"/>
      <c r="B15988" s="5"/>
      <c r="C15988" s="5"/>
      <c r="D15988" s="5"/>
      <c r="E15988" s="5"/>
      <c r="F15988" s="5"/>
      <c r="G15988" s="5"/>
      <c r="H15988" s="5"/>
      <c r="I15988" s="43"/>
      <c r="J15988" s="49"/>
      <c r="K15988" s="5"/>
      <c r="L15988" s="5"/>
      <c r="M15988" s="5"/>
    </row>
    <row r="15989" spans="1:13" s="3" customFormat="1" x14ac:dyDescent="0.25">
      <c r="A15989" s="5"/>
      <c r="B15989" s="5"/>
      <c r="C15989" s="5"/>
      <c r="D15989" s="5"/>
      <c r="E15989" s="5"/>
      <c r="F15989" s="5"/>
      <c r="G15989" s="5"/>
      <c r="H15989" s="5"/>
      <c r="I15989" s="43"/>
      <c r="J15989" s="49"/>
      <c r="K15989" s="5"/>
      <c r="L15989" s="5"/>
      <c r="M15989" s="5"/>
    </row>
    <row r="15990" spans="1:13" s="3" customFormat="1" x14ac:dyDescent="0.25">
      <c r="A15990" s="5"/>
      <c r="B15990" s="5"/>
      <c r="C15990" s="5"/>
      <c r="D15990" s="5"/>
      <c r="E15990" s="5"/>
      <c r="F15990" s="5"/>
      <c r="G15990" s="5"/>
      <c r="H15990" s="5"/>
      <c r="I15990" s="43"/>
      <c r="J15990" s="49"/>
      <c r="K15990" s="5"/>
      <c r="L15990" s="5"/>
      <c r="M15990" s="5"/>
    </row>
    <row r="15991" spans="1:13" s="3" customFormat="1" x14ac:dyDescent="0.25">
      <c r="A15991" s="5"/>
      <c r="B15991" s="5"/>
      <c r="C15991" s="5"/>
      <c r="D15991" s="5"/>
      <c r="E15991" s="5"/>
      <c r="F15991" s="5"/>
      <c r="G15991" s="5"/>
      <c r="H15991" s="5"/>
      <c r="I15991" s="43"/>
      <c r="J15991" s="49"/>
      <c r="K15991" s="5"/>
      <c r="L15991" s="5"/>
      <c r="M15991" s="5"/>
    </row>
    <row r="15992" spans="1:13" s="3" customFormat="1" x14ac:dyDescent="0.25">
      <c r="A15992" s="5"/>
      <c r="B15992" s="5"/>
      <c r="C15992" s="5"/>
      <c r="D15992" s="5"/>
      <c r="E15992" s="5"/>
      <c r="F15992" s="5"/>
      <c r="G15992" s="5"/>
      <c r="H15992" s="5"/>
      <c r="I15992" s="43"/>
      <c r="J15992" s="49"/>
      <c r="K15992" s="5"/>
      <c r="L15992" s="5"/>
      <c r="M15992" s="5"/>
    </row>
    <row r="15993" spans="1:13" s="3" customFormat="1" x14ac:dyDescent="0.25">
      <c r="A15993" s="5"/>
      <c r="B15993" s="5"/>
      <c r="C15993" s="5"/>
      <c r="D15993" s="5"/>
      <c r="E15993" s="5"/>
      <c r="F15993" s="5"/>
      <c r="G15993" s="5"/>
      <c r="H15993" s="5"/>
      <c r="I15993" s="43"/>
      <c r="J15993" s="49"/>
      <c r="K15993" s="5"/>
      <c r="L15993" s="5"/>
      <c r="M15993" s="5"/>
    </row>
    <row r="15994" spans="1:13" s="3" customFormat="1" x14ac:dyDescent="0.25">
      <c r="A15994" s="5"/>
      <c r="B15994" s="5"/>
      <c r="C15994" s="5"/>
      <c r="D15994" s="5"/>
      <c r="E15994" s="5"/>
      <c r="F15994" s="5"/>
      <c r="G15994" s="5"/>
      <c r="H15994" s="5"/>
      <c r="I15994" s="43"/>
      <c r="J15994" s="49"/>
      <c r="K15994" s="5"/>
      <c r="L15994" s="5"/>
      <c r="M15994" s="5"/>
    </row>
    <row r="15995" spans="1:13" s="3" customFormat="1" x14ac:dyDescent="0.25">
      <c r="A15995" s="5"/>
      <c r="B15995" s="5"/>
      <c r="C15995" s="5"/>
      <c r="D15995" s="5"/>
      <c r="E15995" s="5"/>
      <c r="F15995" s="5"/>
      <c r="G15995" s="5"/>
      <c r="H15995" s="5"/>
      <c r="I15995" s="43"/>
      <c r="J15995" s="49"/>
      <c r="K15995" s="5"/>
      <c r="L15995" s="5"/>
      <c r="M15995" s="5"/>
    </row>
    <row r="15996" spans="1:13" s="3" customFormat="1" x14ac:dyDescent="0.25">
      <c r="A15996" s="5"/>
      <c r="B15996" s="5"/>
      <c r="C15996" s="5"/>
      <c r="D15996" s="5"/>
      <c r="E15996" s="5"/>
      <c r="F15996" s="5"/>
      <c r="G15996" s="5"/>
      <c r="H15996" s="5"/>
      <c r="I15996" s="43"/>
      <c r="J15996" s="49"/>
      <c r="K15996" s="5"/>
      <c r="L15996" s="5"/>
      <c r="M15996" s="5"/>
    </row>
    <row r="15997" spans="1:13" s="3" customFormat="1" x14ac:dyDescent="0.25">
      <c r="A15997" s="5"/>
      <c r="B15997" s="5"/>
      <c r="C15997" s="5"/>
      <c r="D15997" s="5"/>
      <c r="E15997" s="5"/>
      <c r="F15997" s="5"/>
      <c r="G15997" s="5"/>
      <c r="H15997" s="5"/>
      <c r="I15997" s="43"/>
      <c r="J15997" s="49"/>
      <c r="K15997" s="5"/>
      <c r="L15997" s="5"/>
      <c r="M15997" s="5"/>
    </row>
    <row r="15998" spans="1:13" s="3" customFormat="1" x14ac:dyDescent="0.25">
      <c r="A15998" s="5"/>
      <c r="B15998" s="5"/>
      <c r="C15998" s="5"/>
      <c r="D15998" s="5"/>
      <c r="E15998" s="5"/>
      <c r="F15998" s="5"/>
      <c r="G15998" s="5"/>
      <c r="H15998" s="5"/>
      <c r="I15998" s="43"/>
      <c r="J15998" s="49"/>
      <c r="K15998" s="5"/>
      <c r="L15998" s="5"/>
      <c r="M15998" s="5"/>
    </row>
    <row r="15999" spans="1:13" s="3" customFormat="1" x14ac:dyDescent="0.25">
      <c r="A15999" s="5"/>
      <c r="B15999" s="5"/>
      <c r="C15999" s="5"/>
      <c r="D15999" s="5"/>
      <c r="E15999" s="5"/>
      <c r="F15999" s="5"/>
      <c r="G15999" s="5"/>
      <c r="H15999" s="5"/>
      <c r="I15999" s="43"/>
      <c r="J15999" s="49"/>
      <c r="K15999" s="5"/>
      <c r="L15999" s="5"/>
      <c r="M15999" s="5"/>
    </row>
    <row r="16000" spans="1:13" s="3" customFormat="1" x14ac:dyDescent="0.25">
      <c r="A16000" s="5"/>
      <c r="B16000" s="5"/>
      <c r="C16000" s="5"/>
      <c r="D16000" s="5"/>
      <c r="E16000" s="5"/>
      <c r="F16000" s="5"/>
      <c r="G16000" s="5"/>
      <c r="H16000" s="5"/>
      <c r="I16000" s="43"/>
      <c r="J16000" s="49"/>
      <c r="K16000" s="5"/>
      <c r="L16000" s="5"/>
      <c r="M16000" s="5"/>
    </row>
    <row r="16001" spans="1:13" s="3" customFormat="1" x14ac:dyDescent="0.25">
      <c r="A16001" s="5"/>
      <c r="B16001" s="5"/>
      <c r="C16001" s="5"/>
      <c r="D16001" s="5"/>
      <c r="E16001" s="5"/>
      <c r="F16001" s="5"/>
      <c r="G16001" s="5"/>
      <c r="H16001" s="5"/>
      <c r="I16001" s="43"/>
      <c r="J16001" s="49"/>
      <c r="K16001" s="5"/>
      <c r="L16001" s="5"/>
      <c r="M16001" s="5"/>
    </row>
    <row r="16002" spans="1:13" s="3" customFormat="1" x14ac:dyDescent="0.25">
      <c r="A16002" s="5"/>
      <c r="B16002" s="5"/>
      <c r="C16002" s="5"/>
      <c r="D16002" s="5"/>
      <c r="E16002" s="5"/>
      <c r="F16002" s="5"/>
      <c r="G16002" s="5"/>
      <c r="H16002" s="5"/>
      <c r="I16002" s="43"/>
      <c r="J16002" s="49"/>
      <c r="K16002" s="5"/>
      <c r="L16002" s="5"/>
      <c r="M16002" s="5"/>
    </row>
    <row r="16003" spans="1:13" s="3" customFormat="1" x14ac:dyDescent="0.25">
      <c r="A16003" s="5"/>
      <c r="B16003" s="5"/>
      <c r="C16003" s="5"/>
      <c r="D16003" s="5"/>
      <c r="E16003" s="5"/>
      <c r="F16003" s="5"/>
      <c r="G16003" s="5"/>
      <c r="H16003" s="5"/>
      <c r="I16003" s="43"/>
      <c r="J16003" s="49"/>
      <c r="K16003" s="5"/>
      <c r="L16003" s="5"/>
      <c r="M16003" s="5"/>
    </row>
    <row r="16004" spans="1:13" s="3" customFormat="1" x14ac:dyDescent="0.25">
      <c r="A16004" s="5"/>
      <c r="B16004" s="5"/>
      <c r="C16004" s="5"/>
      <c r="D16004" s="5"/>
      <c r="E16004" s="5"/>
      <c r="F16004" s="5"/>
      <c r="G16004" s="5"/>
      <c r="H16004" s="5"/>
      <c r="I16004" s="43"/>
      <c r="J16004" s="49"/>
      <c r="K16004" s="5"/>
      <c r="L16004" s="5"/>
      <c r="M16004" s="5"/>
    </row>
    <row r="16005" spans="1:13" s="3" customFormat="1" x14ac:dyDescent="0.25">
      <c r="A16005" s="5"/>
      <c r="B16005" s="5"/>
      <c r="C16005" s="5"/>
      <c r="D16005" s="5"/>
      <c r="E16005" s="5"/>
      <c r="F16005" s="5"/>
      <c r="G16005" s="5"/>
      <c r="H16005" s="5"/>
      <c r="I16005" s="43"/>
      <c r="J16005" s="49"/>
      <c r="K16005" s="5"/>
      <c r="L16005" s="5"/>
      <c r="M16005" s="5"/>
    </row>
    <row r="16006" spans="1:13" s="3" customFormat="1" x14ac:dyDescent="0.25">
      <c r="A16006" s="5"/>
      <c r="B16006" s="5"/>
      <c r="C16006" s="5"/>
      <c r="D16006" s="5"/>
      <c r="E16006" s="5"/>
      <c r="F16006" s="5"/>
      <c r="G16006" s="5"/>
      <c r="H16006" s="5"/>
      <c r="I16006" s="43"/>
      <c r="J16006" s="49"/>
      <c r="K16006" s="5"/>
      <c r="L16006" s="5"/>
      <c r="M16006" s="5"/>
    </row>
    <row r="16007" spans="1:13" x14ac:dyDescent="0.25">
      <c r="A16007" s="4"/>
      <c r="B16007" s="4"/>
      <c r="C16007" s="4"/>
      <c r="D16007" s="4"/>
      <c r="E16007" s="4"/>
      <c r="F16007" s="4"/>
      <c r="G16007" s="4"/>
      <c r="H16007" s="4"/>
      <c r="I16007" s="43"/>
      <c r="J16007" s="49"/>
      <c r="K16007" s="5"/>
      <c r="L16007" s="5"/>
      <c r="M16007" s="4"/>
    </row>
    <row r="16008" spans="1:13" x14ac:dyDescent="0.25">
      <c r="A16008" s="4"/>
      <c r="B16008" s="4"/>
      <c r="C16008" s="4"/>
      <c r="D16008" s="4"/>
      <c r="E16008" s="4"/>
      <c r="F16008" s="4"/>
      <c r="G16008" s="4"/>
      <c r="H16008" s="4"/>
      <c r="I16008" s="43"/>
      <c r="J16008" s="49"/>
      <c r="K16008" s="5"/>
      <c r="L16008" s="5"/>
      <c r="M16008" s="4"/>
    </row>
    <row r="16009" spans="1:13" x14ac:dyDescent="0.25">
      <c r="A16009" s="4"/>
      <c r="B16009" s="4"/>
      <c r="C16009" s="4"/>
      <c r="D16009" s="4"/>
      <c r="E16009" s="4"/>
      <c r="F16009" s="4"/>
      <c r="G16009" s="4"/>
      <c r="H16009" s="4"/>
      <c r="I16009" s="43"/>
      <c r="J16009" s="49"/>
      <c r="K16009" s="5"/>
      <c r="L16009" s="5"/>
      <c r="M16009" s="4"/>
    </row>
    <row r="16010" spans="1:13" x14ac:dyDescent="0.25">
      <c r="A16010" s="4"/>
      <c r="B16010" s="4"/>
      <c r="C16010" s="4"/>
      <c r="D16010" s="4"/>
      <c r="E16010" s="4"/>
      <c r="F16010" s="4"/>
      <c r="G16010" s="4"/>
      <c r="H16010" s="4"/>
      <c r="I16010" s="43"/>
      <c r="J16010" s="49"/>
      <c r="K16010" s="5"/>
      <c r="L16010" s="5"/>
      <c r="M16010" s="4"/>
    </row>
    <row r="16011" spans="1:13" x14ac:dyDescent="0.25">
      <c r="A16011" s="4"/>
      <c r="B16011" s="4"/>
      <c r="C16011" s="4"/>
      <c r="D16011" s="4"/>
      <c r="E16011" s="4"/>
      <c r="F16011" s="4"/>
      <c r="G16011" s="4"/>
      <c r="H16011" s="4"/>
      <c r="I16011" s="43"/>
      <c r="J16011" s="49"/>
      <c r="K16011" s="5"/>
      <c r="L16011" s="5"/>
      <c r="M16011" s="4"/>
    </row>
    <row r="16012" spans="1:13" x14ac:dyDescent="0.25">
      <c r="A16012" s="4"/>
      <c r="B16012" s="4"/>
      <c r="C16012" s="4"/>
      <c r="D16012" s="4"/>
      <c r="E16012" s="4"/>
      <c r="F16012" s="4"/>
      <c r="G16012" s="4"/>
      <c r="H16012" s="4"/>
      <c r="I16012" s="43"/>
      <c r="J16012" s="49"/>
      <c r="K16012" s="5"/>
      <c r="L16012" s="5"/>
      <c r="M16012" s="4"/>
    </row>
    <row r="16013" spans="1:13" x14ac:dyDescent="0.25">
      <c r="A16013" s="4"/>
      <c r="B16013" s="4"/>
      <c r="C16013" s="4"/>
      <c r="D16013" s="4"/>
      <c r="E16013" s="4"/>
      <c r="F16013" s="4"/>
      <c r="G16013" s="4"/>
      <c r="H16013" s="4"/>
      <c r="I16013" s="43"/>
      <c r="J16013" s="49"/>
      <c r="K16013" s="5"/>
      <c r="L16013" s="5"/>
      <c r="M16013" s="4"/>
    </row>
    <row r="16014" spans="1:13" x14ac:dyDescent="0.25">
      <c r="A16014" s="4"/>
      <c r="B16014" s="4"/>
      <c r="C16014" s="4"/>
      <c r="D16014" s="4"/>
      <c r="E16014" s="4"/>
      <c r="F16014" s="4"/>
      <c r="G16014" s="4"/>
      <c r="H16014" s="4"/>
      <c r="I16014" s="43"/>
      <c r="J16014" s="49"/>
      <c r="K16014" s="5"/>
      <c r="L16014" s="5"/>
      <c r="M16014" s="4"/>
    </row>
    <row r="16015" spans="1:13" x14ac:dyDescent="0.25">
      <c r="A16015" s="4"/>
      <c r="B16015" s="4"/>
      <c r="C16015" s="4"/>
      <c r="D16015" s="4"/>
      <c r="E16015" s="4"/>
      <c r="F16015" s="4"/>
      <c r="G16015" s="4"/>
      <c r="H16015" s="4"/>
      <c r="I16015" s="43"/>
      <c r="J16015" s="49"/>
      <c r="K16015" s="5"/>
      <c r="L16015" s="5"/>
      <c r="M16015" s="4"/>
    </row>
    <row r="16016" spans="1:13" x14ac:dyDescent="0.25">
      <c r="A16016" s="4"/>
      <c r="B16016" s="4"/>
      <c r="C16016" s="4"/>
      <c r="D16016" s="4"/>
      <c r="E16016" s="4"/>
      <c r="F16016" s="4"/>
      <c r="G16016" s="4"/>
      <c r="H16016" s="4"/>
      <c r="I16016" s="43"/>
      <c r="J16016" s="49"/>
      <c r="K16016" s="5"/>
      <c r="L16016" s="5"/>
      <c r="M16016" s="4"/>
    </row>
    <row r="16017" spans="1:13" x14ac:dyDescent="0.25">
      <c r="A16017" s="4"/>
      <c r="B16017" s="4"/>
      <c r="C16017" s="4"/>
      <c r="D16017" s="4"/>
      <c r="E16017" s="4"/>
      <c r="F16017" s="4"/>
      <c r="G16017" s="4"/>
      <c r="H16017" s="4"/>
      <c r="I16017" s="43"/>
      <c r="J16017" s="49"/>
      <c r="K16017" s="5"/>
      <c r="L16017" s="5"/>
      <c r="M16017" s="4"/>
    </row>
    <row r="16018" spans="1:13" x14ac:dyDescent="0.25">
      <c r="A16018" s="4"/>
      <c r="B16018" s="4"/>
      <c r="C16018" s="4"/>
      <c r="D16018" s="4"/>
      <c r="E16018" s="4"/>
      <c r="F16018" s="4"/>
      <c r="G16018" s="4"/>
      <c r="H16018" s="4"/>
      <c r="I16018" s="43"/>
      <c r="J16018" s="49"/>
      <c r="K16018" s="5"/>
      <c r="L16018" s="5"/>
      <c r="M16018" s="4"/>
    </row>
    <row r="16019" spans="1:13" x14ac:dyDescent="0.25">
      <c r="A16019" s="4"/>
      <c r="B16019" s="4"/>
      <c r="C16019" s="4"/>
      <c r="D16019" s="4"/>
      <c r="E16019" s="4"/>
      <c r="F16019" s="4"/>
      <c r="G16019" s="4"/>
      <c r="H16019" s="4"/>
      <c r="I16019" s="43"/>
      <c r="J16019" s="49"/>
      <c r="K16019" s="5"/>
      <c r="L16019" s="5"/>
      <c r="M16019" s="4"/>
    </row>
    <row r="16020" spans="1:13" x14ac:dyDescent="0.25">
      <c r="A16020" s="4"/>
      <c r="B16020" s="4"/>
      <c r="C16020" s="4"/>
      <c r="D16020" s="4"/>
      <c r="E16020" s="4"/>
      <c r="F16020" s="4"/>
      <c r="G16020" s="4"/>
      <c r="H16020" s="4"/>
      <c r="I16020" s="43"/>
      <c r="J16020" s="49"/>
      <c r="K16020" s="5"/>
      <c r="L16020" s="5"/>
      <c r="M16020" s="4"/>
    </row>
    <row r="16021" spans="1:13" x14ac:dyDescent="0.25">
      <c r="A16021" s="4"/>
      <c r="B16021" s="4"/>
      <c r="C16021" s="4"/>
      <c r="D16021" s="4"/>
      <c r="E16021" s="4"/>
      <c r="F16021" s="4"/>
      <c r="G16021" s="4"/>
      <c r="H16021" s="4"/>
      <c r="I16021" s="43"/>
      <c r="J16021" s="49"/>
      <c r="K16021" s="5"/>
      <c r="L16021" s="5"/>
      <c r="M16021" s="4"/>
    </row>
    <row r="16022" spans="1:13" x14ac:dyDescent="0.25">
      <c r="A16022" s="4"/>
      <c r="B16022" s="4"/>
      <c r="C16022" s="4"/>
      <c r="D16022" s="4"/>
      <c r="E16022" s="4"/>
      <c r="F16022" s="4"/>
      <c r="G16022" s="4"/>
      <c r="H16022" s="4"/>
      <c r="I16022" s="43"/>
      <c r="J16022" s="49"/>
      <c r="K16022" s="5"/>
      <c r="L16022" s="5"/>
      <c r="M16022" s="4"/>
    </row>
    <row r="16023" spans="1:13" x14ac:dyDescent="0.25">
      <c r="A16023" s="4"/>
      <c r="B16023" s="4"/>
      <c r="C16023" s="4"/>
      <c r="D16023" s="4"/>
      <c r="E16023" s="4"/>
      <c r="F16023" s="4"/>
      <c r="G16023" s="4"/>
      <c r="H16023" s="4"/>
      <c r="I16023" s="43"/>
      <c r="J16023" s="49"/>
      <c r="K16023" s="5"/>
      <c r="L16023" s="5"/>
      <c r="M16023" s="4"/>
    </row>
    <row r="16024" spans="1:13" x14ac:dyDescent="0.25">
      <c r="A16024" s="4"/>
      <c r="B16024" s="4"/>
      <c r="C16024" s="4"/>
      <c r="D16024" s="4"/>
      <c r="E16024" s="4"/>
      <c r="F16024" s="4"/>
      <c r="G16024" s="4"/>
      <c r="H16024" s="4"/>
      <c r="I16024" s="43"/>
      <c r="J16024" s="49"/>
      <c r="K16024" s="5"/>
      <c r="L16024" s="5"/>
      <c r="M16024" s="4"/>
    </row>
    <row r="16025" spans="1:13" x14ac:dyDescent="0.25">
      <c r="A16025" s="4"/>
      <c r="B16025" s="4"/>
      <c r="C16025" s="4"/>
      <c r="D16025" s="4"/>
      <c r="E16025" s="4"/>
      <c r="F16025" s="4"/>
      <c r="G16025" s="4"/>
      <c r="H16025" s="4"/>
      <c r="I16025" s="43"/>
      <c r="J16025" s="49"/>
      <c r="K16025" s="5"/>
      <c r="L16025" s="5"/>
      <c r="M16025" s="4"/>
    </row>
    <row r="16026" spans="1:13" x14ac:dyDescent="0.25">
      <c r="A16026" s="4"/>
      <c r="B16026" s="4"/>
      <c r="C16026" s="4"/>
      <c r="D16026" s="4"/>
      <c r="E16026" s="4"/>
      <c r="F16026" s="4"/>
      <c r="G16026" s="4"/>
      <c r="H16026" s="4"/>
      <c r="I16026" s="43"/>
      <c r="J16026" s="49"/>
      <c r="K16026" s="5"/>
      <c r="L16026" s="5"/>
      <c r="M16026" s="4"/>
    </row>
  </sheetData>
  <mergeCells count="3">
    <mergeCell ref="A3:M3"/>
    <mergeCell ref="A1:M1"/>
    <mergeCell ref="A2:M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zoomScale="80" zoomScaleNormal="80" workbookViewId="0">
      <selection sqref="A1:G1"/>
    </sheetView>
  </sheetViews>
  <sheetFormatPr defaultRowHeight="15" x14ac:dyDescent="0.25"/>
  <cols>
    <col min="1" max="7" width="26.5703125" customWidth="1"/>
  </cols>
  <sheetData>
    <row r="1" spans="1:14" s="6" customFormat="1" ht="24.75" customHeight="1" x14ac:dyDescent="0.2">
      <c r="A1" s="55" t="s">
        <v>36987</v>
      </c>
      <c r="B1" s="55"/>
      <c r="C1" s="55"/>
      <c r="D1" s="55"/>
      <c r="E1" s="55"/>
      <c r="F1" s="55"/>
      <c r="G1" s="55"/>
      <c r="H1" s="14"/>
      <c r="I1" s="14"/>
      <c r="J1" s="14"/>
      <c r="K1" s="14"/>
      <c r="L1" s="14"/>
      <c r="M1" s="14"/>
      <c r="N1" s="14"/>
    </row>
    <row r="2" spans="1:14" s="6" customFormat="1" ht="24.75" customHeight="1" x14ac:dyDescent="0.2">
      <c r="A2" s="56" t="s">
        <v>37000</v>
      </c>
      <c r="B2" s="56"/>
      <c r="C2" s="56"/>
      <c r="D2" s="56"/>
      <c r="E2" s="56"/>
      <c r="F2" s="56"/>
      <c r="G2" s="56"/>
      <c r="H2" s="16"/>
      <c r="I2" s="16"/>
      <c r="J2" s="16"/>
      <c r="K2" s="16"/>
      <c r="L2" s="16"/>
      <c r="M2" s="16"/>
    </row>
    <row r="3" spans="1:14" s="6" customFormat="1" ht="44.25" customHeight="1" x14ac:dyDescent="0.2">
      <c r="A3" s="57" t="s">
        <v>37002</v>
      </c>
      <c r="B3" s="57"/>
      <c r="C3" s="57"/>
      <c r="D3" s="57"/>
      <c r="E3" s="57"/>
      <c r="F3" s="57"/>
      <c r="G3" s="57"/>
      <c r="H3" s="15"/>
      <c r="I3" s="15"/>
      <c r="J3" s="15"/>
      <c r="K3" s="15"/>
      <c r="L3" s="15"/>
      <c r="M3" s="15"/>
      <c r="N3" s="15"/>
    </row>
    <row r="4" spans="1:14" s="9" customFormat="1" ht="52.5" customHeight="1" x14ac:dyDescent="0.25">
      <c r="A4" s="17" t="s">
        <v>36994</v>
      </c>
      <c r="B4" s="17" t="s">
        <v>36999</v>
      </c>
      <c r="C4" s="17" t="s">
        <v>37003</v>
      </c>
      <c r="D4" s="17" t="s">
        <v>36998</v>
      </c>
      <c r="E4" s="17" t="s">
        <v>36997</v>
      </c>
      <c r="F4" s="17" t="s">
        <v>36995</v>
      </c>
      <c r="G4" s="17" t="s">
        <v>36996</v>
      </c>
    </row>
    <row r="5" spans="1:14" x14ac:dyDescent="0.25">
      <c r="A5" s="53" t="s">
        <v>8</v>
      </c>
      <c r="B5" s="52">
        <v>19.001999999999999</v>
      </c>
      <c r="C5" s="53" t="s">
        <v>8</v>
      </c>
      <c r="D5" s="53" t="s">
        <v>8</v>
      </c>
      <c r="E5" s="53" t="s">
        <v>8</v>
      </c>
      <c r="F5" s="53" t="s">
        <v>8</v>
      </c>
      <c r="G5" s="53" t="s">
        <v>8</v>
      </c>
    </row>
  </sheetData>
  <mergeCells count="3">
    <mergeCell ref="A1:G1"/>
    <mergeCell ref="A3:G3"/>
    <mergeCell ref="A2:G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Individual Performance</vt:lpstr>
      <vt:lpstr>Aggregate Performance</vt:lpstr>
    </vt:vector>
  </TitlesOfParts>
  <Company>RTI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Karwaski, Christopher</dc:creator>
  <cp:lastModifiedBy>Lauren Lowenstein</cp:lastModifiedBy>
  <dcterms:created xsi:type="dcterms:W3CDTF">2016-10-25T16:02:58Z</dcterms:created>
  <dcterms:modified xsi:type="dcterms:W3CDTF">2017-09-28T16:04:22Z</dcterms:modified>
</cp:coreProperties>
</file>